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Y:\P-04 - COMPRAS\EDUARDO\"/>
    </mc:Choice>
  </mc:AlternateContent>
  <xr:revisionPtr revIDLastSave="0" documentId="13_ncr:1_{9869E360-6049-4018-9C13-8A5EF4D6C717}" xr6:coauthVersionLast="43" xr6:coauthVersionMax="47" xr10:uidLastSave="{00000000-0000-0000-0000-000000000000}"/>
  <bookViews>
    <workbookView xWindow="-120" yWindow="-120" windowWidth="20730" windowHeight="11040" tabRatio="742" firstSheet="2" activeTab="2" xr2:uid="{00000000-000D-0000-FFFF-FFFF00000000}"/>
  </bookViews>
  <sheets>
    <sheet name="MENU" sheetId="1" r:id="rId1"/>
    <sheet name="Planilha2" sheetId="24" r:id="rId2"/>
    <sheet name="ABASTECIMENTOS " sheetId="23" r:id="rId3"/>
    <sheet name="Planilha4" sheetId="26" r:id="rId4"/>
    <sheet name="Planilha3" sheetId="25" r:id="rId5"/>
    <sheet name="CUSTO DA FROTA" sheetId="17" r:id="rId6"/>
    <sheet name="CADASTRO DE VEÍCULO" sheetId="18" r:id="rId7"/>
    <sheet name="OBJETIVOS" sheetId="21" r:id="rId8"/>
    <sheet name="VALIDAÇÃO" sheetId="20" r:id="rId9"/>
    <sheet name="Planilha1" sheetId="22" state="hidden" r:id="rId10"/>
  </sheets>
  <externalReferences>
    <externalReference r:id="rId11"/>
    <externalReference r:id="rId12"/>
  </externalReferences>
  <definedNames>
    <definedName name="_xlnm._FilterDatabase" localSheetId="2" hidden="1">'ABASTECIMENTOS '!$A$1:$F$1</definedName>
    <definedName name="_xlnm._FilterDatabase" localSheetId="6" hidden="1">'CADASTRO DE VEÍCULO'!$A$1:$H$56</definedName>
    <definedName name="_xlnm._FilterDatabase" localSheetId="5" hidden="1">'CUSTO DA FROTA'!$A$1:$G$1251</definedName>
    <definedName name="_xlnm._FilterDatabase" localSheetId="7" hidden="1">OBJETIVOS!$A$1:$C$13</definedName>
    <definedName name="_xlnm._FilterDatabase" localSheetId="9" hidden="1">Planilha1!$A$2:$B$2</definedName>
    <definedName name="_xlnm._FilterDatabase" localSheetId="8" hidden="1">VALIDAÇÃO!#REF!</definedName>
    <definedName name="AVARIAS_NO_TRANSPORTE_MENU">MENU!#REF!</definedName>
    <definedName name="CUSTO_DO_KM_RODADO">#REF!</definedName>
    <definedName name="CUSTO_KM_RODADO_MENU">MENU!$C$17</definedName>
    <definedName name="DE_AVARIAS_NO_TRANSPORTE">#REF!</definedName>
    <definedName name="DE_OCIOSIDADE_DA_FROTA">#REF!</definedName>
    <definedName name="DOCUMENTAÇÃO">#REF!</definedName>
    <definedName name="EFICIÊNCIA_DAS_ENTREGAS">#REF!</definedName>
    <definedName name="EFICIÊNCIA_ENTREGAS_MENU">MENU!#REF!</definedName>
    <definedName name="FRETE_SOBRE_FATURAMENTO">#REF!</definedName>
    <definedName name="FRETE_SOBRE_FATURAMENTO_MENU">MENU!$C$19</definedName>
    <definedName name="GESTÃO_DOS_CUSTOS_MENU">MENU!$W$15</definedName>
    <definedName name="GESTÃO_M.O.D_MENU">MENU!$AO$15</definedName>
    <definedName name="OCIOSIDADE_DA_FROTA_MENU">MENU!$C$21</definedName>
    <definedName name="VALOR_TRANSPORTADO_KM_RODADO">#REF!</definedName>
    <definedName name="VALOR_TRASNPORTADI_KM_RODADO_MENU">MENU!#REF!</definedName>
    <definedName name="VALOR_TRASPORTADO_POR_KM_RODADO">#REF!</definedName>
  </definedNames>
  <calcPr calcId="191029"/>
  <pivotCaches>
    <pivotCache cacheId="0" r:id="rId13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6398" i="23" l="1"/>
  <c r="L6398" i="23" s="1"/>
  <c r="M6398" i="23" a="1"/>
  <c r="M6398" i="23" s="1"/>
  <c r="N6398" i="23" s="1"/>
  <c r="K6397" i="23"/>
  <c r="L6397" i="23" s="1"/>
  <c r="M6397" i="23" a="1"/>
  <c r="M6397" i="23" s="1"/>
  <c r="N6397" i="23" s="1"/>
  <c r="K6396" i="23"/>
  <c r="L6396" i="23" s="1"/>
  <c r="M6396" i="23" a="1"/>
  <c r="M6396" i="23" s="1"/>
  <c r="N6396" i="23" s="1"/>
  <c r="K6394" i="23"/>
  <c r="L6394" i="23" s="1"/>
  <c r="M6394" i="23" a="1"/>
  <c r="M6394" i="23" s="1"/>
  <c r="N6394" i="23" s="1"/>
  <c r="K6393" i="23"/>
  <c r="L6393" i="23" s="1"/>
  <c r="M6393" i="23" a="1"/>
  <c r="M6393" i="23"/>
  <c r="N6393" i="23" s="1"/>
  <c r="K6391" i="23"/>
  <c r="L6391" i="23" s="1"/>
  <c r="M6391" i="23" a="1"/>
  <c r="M6391" i="23" s="1"/>
  <c r="N6391" i="23" s="1"/>
  <c r="K6386" i="23"/>
  <c r="L6386" i="23" s="1"/>
  <c r="M6386" i="23" a="1"/>
  <c r="M6386" i="23" s="1"/>
  <c r="N6386" i="23" s="1"/>
  <c r="K6385" i="23"/>
  <c r="L6385" i="23" s="1"/>
  <c r="M6385" i="23" a="1"/>
  <c r="M6385" i="23" s="1"/>
  <c r="N6385" i="23" s="1"/>
  <c r="K6384" i="23"/>
  <c r="L6384" i="23" s="1"/>
  <c r="M6384" i="23" a="1"/>
  <c r="M6384" i="23"/>
  <c r="N6384" i="23"/>
  <c r="K6380" i="23"/>
  <c r="L6380" i="23" s="1"/>
  <c r="M6380" i="23" a="1"/>
  <c r="M6380" i="23" s="1"/>
  <c r="N6380" i="23" s="1"/>
  <c r="K6379" i="23"/>
  <c r="L6379" i="23" s="1"/>
  <c r="M6379" i="23" a="1"/>
  <c r="M6379" i="23" s="1"/>
  <c r="N6379" i="23" s="1"/>
  <c r="K6378" i="23"/>
  <c r="L6378" i="23" s="1"/>
  <c r="M6378" i="23" a="1"/>
  <c r="M6378" i="23"/>
  <c r="N6378" i="23" s="1"/>
  <c r="K6377" i="23"/>
  <c r="L6377" i="23" s="1"/>
  <c r="M6377" i="23" a="1"/>
  <c r="M6377" i="23"/>
  <c r="N6377" i="23"/>
  <c r="K6376" i="23"/>
  <c r="L6376" i="23" s="1"/>
  <c r="M6376" i="23" a="1"/>
  <c r="M6376" i="23" s="1"/>
  <c r="N6376" i="23" s="1"/>
  <c r="K6372" i="23"/>
  <c r="L6372" i="23" s="1"/>
  <c r="M6372" i="23" a="1"/>
  <c r="M6372" i="23" s="1"/>
  <c r="N6372" i="23" s="1"/>
  <c r="K6367" i="23"/>
  <c r="L6367" i="23" s="1"/>
  <c r="M6367" i="23" a="1"/>
  <c r="M6367" i="23" s="1"/>
  <c r="N6367" i="23" s="1"/>
  <c r="K6366" i="23"/>
  <c r="L6366" i="23" s="1"/>
  <c r="M6366" i="23" a="1"/>
  <c r="M6366" i="23"/>
  <c r="N6366" i="23" s="1"/>
  <c r="K6365" i="23"/>
  <c r="L6365" i="23" s="1"/>
  <c r="M6365" i="23" a="1"/>
  <c r="M6365" i="23"/>
  <c r="N6365" i="23" s="1"/>
  <c r="K6364" i="23"/>
  <c r="L6364" i="23" s="1"/>
  <c r="M6364" i="23" a="1"/>
  <c r="M6364" i="23" s="1"/>
  <c r="N6364" i="23" s="1"/>
  <c r="K6363" i="23"/>
  <c r="L6363" i="23" s="1"/>
  <c r="M6363" i="23" a="1"/>
  <c r="M6363" i="23" s="1"/>
  <c r="N6363" i="23" s="1"/>
  <c r="K6357" i="23"/>
  <c r="L6357" i="23" s="1"/>
  <c r="M6357" i="23" a="1"/>
  <c r="M6357" i="23" s="1"/>
  <c r="N6357" i="23" s="1"/>
  <c r="K6355" i="23"/>
  <c r="L6355" i="23" s="1"/>
  <c r="M6355" i="23" a="1"/>
  <c r="M6355" i="23" s="1"/>
  <c r="N6355" i="23" s="1"/>
  <c r="K6354" i="23"/>
  <c r="L6354" i="23" s="1"/>
  <c r="M6354" i="23" a="1"/>
  <c r="M6354" i="23"/>
  <c r="N6354" i="23" s="1"/>
  <c r="K6353" i="23"/>
  <c r="L6353" i="23" s="1"/>
  <c r="M6353" i="23" a="1"/>
  <c r="M6353" i="23" s="1"/>
  <c r="N6353" i="23" s="1"/>
  <c r="K6352" i="23"/>
  <c r="L6352" i="23" s="1"/>
  <c r="M6352" i="23" a="1"/>
  <c r="M6352" i="23" s="1"/>
  <c r="N6352" i="23" s="1"/>
  <c r="K6350" i="23"/>
  <c r="L6350" i="23" s="1"/>
  <c r="M6350" i="23" a="1"/>
  <c r="M6350" i="23" s="1"/>
  <c r="N6350" i="23" s="1"/>
  <c r="K6349" i="23"/>
  <c r="L6349" i="23" s="1"/>
  <c r="M6349" i="23" a="1"/>
  <c r="M6349" i="23"/>
  <c r="N6349" i="23" s="1"/>
  <c r="K6348" i="23"/>
  <c r="L6348" i="23" s="1"/>
  <c r="M6348" i="23" a="1"/>
  <c r="M6348" i="23"/>
  <c r="N6348" i="23"/>
  <c r="K6347" i="23"/>
  <c r="L6347" i="23" s="1"/>
  <c r="M6347" i="23" a="1"/>
  <c r="M6347" i="23"/>
  <c r="N6347" i="23" s="1"/>
  <c r="K6345" i="23"/>
  <c r="L6345" i="23" s="1"/>
  <c r="M6345" i="23" a="1"/>
  <c r="M6345" i="23" s="1"/>
  <c r="N6345" i="23" s="1"/>
  <c r="K6343" i="23"/>
  <c r="L6343" i="23" s="1"/>
  <c r="M6343" i="23" a="1"/>
  <c r="M6343" i="23" s="1"/>
  <c r="N6343" i="23" s="1"/>
  <c r="K6342" i="23"/>
  <c r="L6342" i="23" s="1"/>
  <c r="M6342" i="23" a="1"/>
  <c r="M6342" i="23"/>
  <c r="N6342" i="23" s="1"/>
  <c r="K6335" i="23"/>
  <c r="L6335" i="23" s="1"/>
  <c r="M6335" i="23" a="1"/>
  <c r="M6335" i="23" s="1"/>
  <c r="N6335" i="23" s="1"/>
  <c r="K6334" i="23"/>
  <c r="L6334" i="23" s="1"/>
  <c r="M6334" i="23" a="1"/>
  <c r="M6334" i="23" s="1"/>
  <c r="N6334" i="23" s="1"/>
  <c r="K6333" i="23"/>
  <c r="L6333" i="23" s="1"/>
  <c r="M6333" i="23" a="1"/>
  <c r="M6333" i="23" s="1"/>
  <c r="N6333" i="23" s="1"/>
  <c r="K6154" i="23" l="1"/>
  <c r="L6154" i="23" s="1"/>
  <c r="M6154" i="23" a="1"/>
  <c r="M6154" i="23" s="1"/>
  <c r="N6154" i="23" s="1"/>
  <c r="K6146" i="23"/>
  <c r="L6146" i="23" s="1"/>
  <c r="M6146" i="23" a="1"/>
  <c r="M6146" i="23" s="1"/>
  <c r="N6146" i="23" s="1"/>
  <c r="K6145" i="23"/>
  <c r="L6145" i="23" s="1"/>
  <c r="M6145" i="23" a="1"/>
  <c r="M6145" i="23" s="1"/>
  <c r="N6145" i="23" s="1"/>
  <c r="K6144" i="23"/>
  <c r="L6144" i="23" s="1"/>
  <c r="M6144" i="23" a="1"/>
  <c r="M6144" i="23" s="1"/>
  <c r="N6144" i="23" s="1"/>
  <c r="K6143" i="23"/>
  <c r="L6143" i="23" s="1"/>
  <c r="M6143" i="23" a="1"/>
  <c r="M6143" i="23" s="1"/>
  <c r="N6143" i="23" s="1"/>
  <c r="K6136" i="23" l="1"/>
  <c r="L6136" i="23" s="1"/>
  <c r="M6136" i="23" a="1"/>
  <c r="M6136" i="23" s="1"/>
  <c r="N6136" i="23" s="1"/>
  <c r="K6135" i="23"/>
  <c r="L6135" i="23" s="1"/>
  <c r="M6135" i="23" a="1"/>
  <c r="M6135" i="23" s="1"/>
  <c r="N6135" i="23" s="1"/>
  <c r="K6134" i="23"/>
  <c r="L6134" i="23" s="1"/>
  <c r="M6134" i="23" a="1"/>
  <c r="M6134" i="23" s="1"/>
  <c r="N6134" i="23" s="1"/>
  <c r="K6133" i="23"/>
  <c r="L6133" i="23" s="1"/>
  <c r="M6133" i="23" a="1"/>
  <c r="M6133" i="23" s="1"/>
  <c r="N6133" i="23" s="1"/>
  <c r="K6132" i="23"/>
  <c r="L6132" i="23" s="1"/>
  <c r="M6132" i="23" a="1"/>
  <c r="M6132" i="23" s="1"/>
  <c r="N6132" i="23" s="1"/>
  <c r="K6117" i="23"/>
  <c r="L6117" i="23" s="1"/>
  <c r="M6117" i="23" a="1"/>
  <c r="M6117" i="23" s="1"/>
  <c r="N6117" i="23" s="1"/>
  <c r="K6332" i="23" l="1"/>
  <c r="L6332" i="23" s="1"/>
  <c r="M6332" i="23" a="1"/>
  <c r="M6332" i="23"/>
  <c r="N6332" i="23" s="1"/>
  <c r="K6331" i="23"/>
  <c r="L6331" i="23" s="1"/>
  <c r="M6331" i="23" a="1"/>
  <c r="M6331" i="23" s="1"/>
  <c r="N6331" i="23" s="1"/>
  <c r="K6330" i="23"/>
  <c r="L6330" i="23" s="1"/>
  <c r="M6330" i="23" a="1"/>
  <c r="M6330" i="23" s="1"/>
  <c r="N6330" i="23" s="1"/>
  <c r="K6329" i="23"/>
  <c r="L6329" i="23" s="1"/>
  <c r="M6329" i="23" a="1"/>
  <c r="M6329" i="23" s="1"/>
  <c r="N6329" i="23" s="1"/>
  <c r="K6328" i="23"/>
  <c r="L6328" i="23" s="1"/>
  <c r="M6328" i="23" a="1"/>
  <c r="M6328" i="23" s="1"/>
  <c r="N6328" i="23" s="1"/>
  <c r="K6318" i="23"/>
  <c r="L6318" i="23" s="1"/>
  <c r="M6318" i="23" a="1"/>
  <c r="M6318" i="23" s="1"/>
  <c r="N6318" i="23" s="1"/>
  <c r="K6317" i="23"/>
  <c r="L6317" i="23" s="1"/>
  <c r="M6317" i="23" a="1"/>
  <c r="M6317" i="23"/>
  <c r="N6317" i="23" s="1"/>
  <c r="K6316" i="23"/>
  <c r="L6316" i="23" s="1"/>
  <c r="M6316" i="23" a="1"/>
  <c r="M6316" i="23" s="1"/>
  <c r="N6316" i="23" s="1"/>
  <c r="K6315" i="23"/>
  <c r="L6315" i="23" s="1"/>
  <c r="M6315" i="23" a="1"/>
  <c r="M6315" i="23" s="1"/>
  <c r="N6315" i="23" s="1"/>
  <c r="K6308" i="23"/>
  <c r="L6308" i="23" s="1"/>
  <c r="M6308" i="23" a="1"/>
  <c r="M6308" i="23" s="1"/>
  <c r="N6308" i="23" s="1"/>
  <c r="K6307" i="23"/>
  <c r="L6307" i="23" s="1"/>
  <c r="M6307" i="23" a="1"/>
  <c r="M6307" i="23" s="1"/>
  <c r="N6307" i="23" s="1"/>
  <c r="K6300" i="23"/>
  <c r="L6300" i="23" s="1"/>
  <c r="M6300" i="23" a="1"/>
  <c r="M6300" i="23" s="1"/>
  <c r="N6300" i="23" s="1"/>
  <c r="K6299" i="23"/>
  <c r="L6299" i="23" s="1"/>
  <c r="M6299" i="23" a="1"/>
  <c r="M6299" i="23" s="1"/>
  <c r="N6299" i="23" s="1"/>
  <c r="K6291" i="23"/>
  <c r="L6291" i="23" s="1"/>
  <c r="M6291" i="23" a="1"/>
  <c r="M6291" i="23" s="1"/>
  <c r="N6291" i="23" s="1"/>
  <c r="K6283" i="23"/>
  <c r="L6283" i="23" s="1"/>
  <c r="M6283" i="23" a="1"/>
  <c r="M6283" i="23" s="1"/>
  <c r="N6283" i="23" s="1"/>
  <c r="K6282" i="23"/>
  <c r="L6282" i="23" s="1"/>
  <c r="M6282" i="23" a="1"/>
  <c r="M6282" i="23" s="1"/>
  <c r="N6282" i="23" s="1"/>
  <c r="K6281" i="23"/>
  <c r="L6281" i="23" s="1"/>
  <c r="M6281" i="23" a="1"/>
  <c r="M6281" i="23"/>
  <c r="N6281" i="23" s="1"/>
  <c r="K6278" i="23"/>
  <c r="L6278" i="23" s="1"/>
  <c r="M6278" i="23" a="1"/>
  <c r="M6278" i="23" s="1"/>
  <c r="N6278" i="23" s="1"/>
  <c r="K6272" i="23"/>
  <c r="L6272" i="23" s="1"/>
  <c r="M6272" i="23" a="1"/>
  <c r="M6272" i="23" s="1"/>
  <c r="N6272" i="23" s="1"/>
  <c r="K6273" i="23"/>
  <c r="L6273" i="23" s="1"/>
  <c r="M6273" i="23" a="1"/>
  <c r="M6273" i="23"/>
  <c r="N6273" i="23" s="1"/>
  <c r="K6271" i="23"/>
  <c r="L6271" i="23" s="1"/>
  <c r="M6271" i="23" a="1"/>
  <c r="M6271" i="23" s="1"/>
  <c r="N6271" i="23" s="1"/>
  <c r="K6270" i="23"/>
  <c r="L6270" i="23" s="1"/>
  <c r="M6270" i="23" a="1"/>
  <c r="M6270" i="23" s="1"/>
  <c r="N6270" i="23" s="1"/>
  <c r="K6269" i="23"/>
  <c r="L6269" i="23" s="1"/>
  <c r="M6269" i="23" a="1"/>
  <c r="M6269" i="23" s="1"/>
  <c r="N6269" i="23" s="1"/>
  <c r="K6268" i="23"/>
  <c r="L6268" i="23" s="1"/>
  <c r="M6268" i="23" a="1"/>
  <c r="M6268" i="23" s="1"/>
  <c r="N6268" i="23" s="1"/>
  <c r="K6261" i="23"/>
  <c r="L6261" i="23" s="1"/>
  <c r="M6261" i="23" a="1"/>
  <c r="M6261" i="23" s="1"/>
  <c r="N6261" i="23" s="1"/>
  <c r="K6253" i="23"/>
  <c r="L6253" i="23" s="1"/>
  <c r="M6253" i="23" a="1"/>
  <c r="M6253" i="23" s="1"/>
  <c r="N6253" i="23" s="1"/>
  <c r="K6252" i="23"/>
  <c r="L6252" i="23" s="1"/>
  <c r="M6252" i="23" a="1"/>
  <c r="M6252" i="23" s="1"/>
  <c r="N6252" i="23" s="1"/>
  <c r="K6246" i="23"/>
  <c r="L6246" i="23" s="1"/>
  <c r="M6246" i="23" a="1"/>
  <c r="M6246" i="23" s="1"/>
  <c r="N6246" i="23" s="1"/>
  <c r="K6238" i="23"/>
  <c r="L6238" i="23" s="1"/>
  <c r="M6238" i="23" a="1"/>
  <c r="M6238" i="23" s="1"/>
  <c r="N6238" i="23" s="1"/>
  <c r="K6237" i="23"/>
  <c r="L6237" i="23" s="1"/>
  <c r="M6237" i="23" a="1"/>
  <c r="M6237" i="23" s="1"/>
  <c r="N6237" i="23" s="1"/>
  <c r="K6228" i="23"/>
  <c r="L6228" i="23" s="1"/>
  <c r="M6228" i="23" a="1"/>
  <c r="M6228" i="23"/>
  <c r="N6228" i="23" s="1"/>
  <c r="K6227" i="23"/>
  <c r="L6227" i="23" s="1"/>
  <c r="M6227" i="23" a="1"/>
  <c r="M6227" i="23" s="1"/>
  <c r="N6227" i="23" s="1"/>
  <c r="K6226" i="23"/>
  <c r="L6226" i="23" s="1"/>
  <c r="M6226" i="23" a="1"/>
  <c r="M6226" i="23" s="1"/>
  <c r="N6226" i="23" s="1"/>
  <c r="K6225" i="23"/>
  <c r="L6225" i="23" s="1"/>
  <c r="M6225" i="23" a="1"/>
  <c r="M6225" i="23" s="1"/>
  <c r="N6225" i="23" s="1"/>
  <c r="K6223" i="23"/>
  <c r="L6223" i="23" s="1"/>
  <c r="M6223" i="23" a="1"/>
  <c r="M6223" i="23" s="1"/>
  <c r="N6223" i="23" s="1"/>
  <c r="K6224" i="23"/>
  <c r="L6224" i="23" s="1"/>
  <c r="M6224" i="23" a="1"/>
  <c r="M6224" i="23" s="1"/>
  <c r="N6224" i="23" s="1"/>
  <c r="K6222" i="23"/>
  <c r="L6222" i="23" s="1"/>
  <c r="M6222" i="23" a="1"/>
  <c r="M6222" i="23" s="1"/>
  <c r="N6222" i="23" s="1"/>
  <c r="K6216" i="23"/>
  <c r="L6216" i="23" s="1"/>
  <c r="M6216" i="23" a="1"/>
  <c r="M6216" i="23" s="1"/>
  <c r="N6216" i="23" s="1"/>
  <c r="K6211" i="23"/>
  <c r="L6211" i="23" s="1"/>
  <c r="M6211" i="23" a="1"/>
  <c r="M6211" i="23" s="1"/>
  <c r="N6211" i="23" s="1"/>
  <c r="K6209" i="23"/>
  <c r="L6209" i="23" s="1"/>
  <c r="M6209" i="23" a="1"/>
  <c r="M6209" i="23" s="1"/>
  <c r="N6209" i="23" s="1"/>
  <c r="K6210" i="23"/>
  <c r="L6210" i="23" s="1"/>
  <c r="M6210" i="23" a="1"/>
  <c r="M6210" i="23" s="1"/>
  <c r="N6210" i="23" s="1"/>
  <c r="K6208" i="23"/>
  <c r="L6208" i="23" s="1"/>
  <c r="M6208" i="23" a="1"/>
  <c r="M6208" i="23"/>
  <c r="N6208" i="23" s="1"/>
  <c r="K6207" i="23"/>
  <c r="L6207" i="23" s="1"/>
  <c r="M6207" i="23" a="1"/>
  <c r="M6207" i="23" s="1"/>
  <c r="N6207" i="23" s="1"/>
  <c r="K6206" i="23"/>
  <c r="L6206" i="23" s="1"/>
  <c r="M6206" i="23" a="1"/>
  <c r="M6206" i="23" s="1"/>
  <c r="N6206" i="23" s="1"/>
  <c r="K6205" i="23"/>
  <c r="L6205" i="23" s="1"/>
  <c r="M6205" i="23" a="1"/>
  <c r="M6205" i="23" s="1"/>
  <c r="N6205" i="23" s="1"/>
  <c r="K6201" i="23"/>
  <c r="L6201" i="23" s="1"/>
  <c r="M6201" i="23" a="1"/>
  <c r="M6201" i="23"/>
  <c r="N6201" i="23" s="1"/>
  <c r="K6200" i="23"/>
  <c r="L6200" i="23" s="1"/>
  <c r="M6200" i="23" a="1"/>
  <c r="M6200" i="23"/>
  <c r="N6200" i="23" s="1"/>
  <c r="K6199" i="23"/>
  <c r="L6199" i="23" s="1"/>
  <c r="M6199" i="23" a="1"/>
  <c r="M6199" i="23" s="1"/>
  <c r="N6199" i="23" s="1"/>
  <c r="K6198" i="23"/>
  <c r="L6198" i="23" s="1"/>
  <c r="M6198" i="23" a="1"/>
  <c r="M6198" i="23" s="1"/>
  <c r="N6198" i="23" s="1"/>
  <c r="K6197" i="23"/>
  <c r="L6197" i="23" s="1"/>
  <c r="M6197" i="23" a="1"/>
  <c r="M6197" i="23" s="1"/>
  <c r="N6197" i="23" s="1"/>
  <c r="K6192" i="23"/>
  <c r="L6192" i="23" s="1"/>
  <c r="M6192" i="23" a="1"/>
  <c r="M6192" i="23" s="1"/>
  <c r="N6192" i="23" s="1"/>
  <c r="K6191" i="23"/>
  <c r="L6191" i="23" s="1"/>
  <c r="M6191" i="23" a="1"/>
  <c r="M6191" i="23"/>
  <c r="N6191" i="23" s="1"/>
  <c r="K6190" i="23"/>
  <c r="L6190" i="23" s="1"/>
  <c r="M6190" i="23" a="1"/>
  <c r="M6190" i="23" s="1"/>
  <c r="N6190" i="23" s="1"/>
  <c r="K6189" i="23"/>
  <c r="L6189" i="23" s="1"/>
  <c r="M6189" i="23" a="1"/>
  <c r="M6189" i="23" s="1"/>
  <c r="N6189" i="23" s="1"/>
  <c r="K6188" i="23"/>
  <c r="L6188" i="23" s="1"/>
  <c r="M6188" i="23" a="1"/>
  <c r="M6188" i="23" s="1"/>
  <c r="N6188" i="23" s="1"/>
  <c r="K6184" i="23"/>
  <c r="L6184" i="23" s="1"/>
  <c r="M6184" i="23" a="1"/>
  <c r="M6184" i="23" s="1"/>
  <c r="N6184" i="23" s="1"/>
  <c r="K6183" i="23"/>
  <c r="L6183" i="23" s="1"/>
  <c r="M6183" i="23" a="1"/>
  <c r="M6183" i="23" s="1"/>
  <c r="N6183" i="23" s="1"/>
  <c r="K6179" i="23"/>
  <c r="L6179" i="23" s="1"/>
  <c r="M6179" i="23" a="1"/>
  <c r="M6179" i="23" s="1"/>
  <c r="N6179" i="23" s="1"/>
  <c r="K6174" i="23"/>
  <c r="L6174" i="23" s="1"/>
  <c r="M6174" i="23" a="1"/>
  <c r="M6174" i="23" s="1"/>
  <c r="N6174" i="23" s="1"/>
  <c r="K6172" i="23"/>
  <c r="L6172" i="23" s="1"/>
  <c r="M6172" i="23" a="1"/>
  <c r="M6172" i="23" s="1"/>
  <c r="N6172" i="23" s="1"/>
  <c r="K6171" i="23" l="1"/>
  <c r="L6171" i="23" s="1"/>
  <c r="M6171" i="23" a="1"/>
  <c r="M6171" i="23"/>
  <c r="N6171" i="23" s="1"/>
  <c r="K6168" i="23"/>
  <c r="L6168" i="23" s="1"/>
  <c r="M6168" i="23" a="1"/>
  <c r="M6168" i="23" s="1"/>
  <c r="N6168" i="23" s="1"/>
  <c r="K6167" i="23"/>
  <c r="L6167" i="23" s="1"/>
  <c r="M6167" i="23" a="1"/>
  <c r="M6167" i="23"/>
  <c r="N6167" i="23" s="1"/>
  <c r="K6166" i="23"/>
  <c r="L6166" i="23" s="1"/>
  <c r="M6166" i="23" a="1"/>
  <c r="M6166" i="23" s="1"/>
  <c r="N6166" i="23" s="1"/>
  <c r="K6165" i="23"/>
  <c r="L6165" i="23" s="1"/>
  <c r="M6165" i="23" a="1"/>
  <c r="M6165" i="23" s="1"/>
  <c r="N6165" i="23" s="1"/>
  <c r="K6159" i="23"/>
  <c r="L6159" i="23" s="1"/>
  <c r="M6159" i="23" a="1"/>
  <c r="M6159" i="23"/>
  <c r="N6159" i="23" s="1"/>
  <c r="K6158" i="23"/>
  <c r="L6158" i="23" s="1"/>
  <c r="M6158" i="23" a="1"/>
  <c r="M6158" i="23" s="1"/>
  <c r="N6158" i="23" s="1"/>
  <c r="K6156" i="23"/>
  <c r="L6156" i="23" s="1"/>
  <c r="M6156" i="23" a="1"/>
  <c r="M6156" i="23" s="1"/>
  <c r="N6156" i="23" s="1"/>
  <c r="K6336" i="23"/>
  <c r="L6336" i="23" s="1"/>
  <c r="M6336" i="23" a="1"/>
  <c r="M6336" i="23" s="1"/>
  <c r="N6336" i="23" s="1"/>
  <c r="K6327" i="23"/>
  <c r="L6327" i="23" s="1"/>
  <c r="M6327" i="23" a="1"/>
  <c r="M6327" i="23" s="1"/>
  <c r="N6327" i="23" s="1"/>
  <c r="K6319" i="23"/>
  <c r="L6319" i="23" s="1"/>
  <c r="M6319" i="23" a="1"/>
  <c r="M6319" i="23" s="1"/>
  <c r="N6319" i="23" s="1"/>
  <c r="K6320" i="23"/>
  <c r="L6320" i="23" s="1"/>
  <c r="M6320" i="23" a="1"/>
  <c r="M6320" i="23" s="1"/>
  <c r="N6320" i="23" s="1"/>
  <c r="K6314" i="23"/>
  <c r="L6314" i="23" s="1"/>
  <c r="M6314" i="23" a="1"/>
  <c r="M6314" i="23" s="1"/>
  <c r="N6314" i="23" s="1"/>
  <c r="K6313" i="23"/>
  <c r="L6313" i="23" s="1"/>
  <c r="M6313" i="23" a="1"/>
  <c r="M6313" i="23" s="1"/>
  <c r="N6313" i="23" s="1"/>
  <c r="K6312" i="23"/>
  <c r="L6312" i="23" s="1"/>
  <c r="M6312" i="23" a="1"/>
  <c r="M6312" i="23" s="1"/>
  <c r="N6312" i="23" s="1"/>
  <c r="K6306" i="23"/>
  <c r="L6306" i="23" s="1"/>
  <c r="M6306" i="23" a="1"/>
  <c r="M6306" i="23" s="1"/>
  <c r="N6306" i="23" s="1"/>
  <c r="K6305" i="23" l="1"/>
  <c r="L6305" i="23" s="1"/>
  <c r="M6305" i="23" a="1"/>
  <c r="M6305" i="23"/>
  <c r="N6305" i="23"/>
  <c r="K6304" i="23"/>
  <c r="L6304" i="23" s="1"/>
  <c r="M6304" i="23" a="1"/>
  <c r="M6304" i="23" s="1"/>
  <c r="N6304" i="23" s="1"/>
  <c r="K6303" i="23"/>
  <c r="L6303" i="23" s="1"/>
  <c r="M6303" i="23" a="1"/>
  <c r="M6303" i="23" s="1"/>
  <c r="N6303" i="23" s="1"/>
  <c r="K6298" i="23"/>
  <c r="L6298" i="23" s="1"/>
  <c r="M6298" i="23" a="1"/>
  <c r="M6298" i="23"/>
  <c r="N6298" i="23" s="1"/>
  <c r="K6297" i="23"/>
  <c r="L6297" i="23" s="1"/>
  <c r="M6297" i="23" a="1"/>
  <c r="M6297" i="23" s="1"/>
  <c r="N6297" i="23" s="1"/>
  <c r="K6290" i="23"/>
  <c r="L6290" i="23" s="1"/>
  <c r="M6290" i="23" a="1"/>
  <c r="M6290" i="23" s="1"/>
  <c r="N6290" i="23" s="1"/>
  <c r="K6289" i="23"/>
  <c r="L6289" i="23" s="1"/>
  <c r="M6289" i="23" a="1"/>
  <c r="M6289" i="23" s="1"/>
  <c r="N6289" i="23" s="1"/>
  <c r="K6288" i="23"/>
  <c r="L6288" i="23" s="1"/>
  <c r="M6288" i="23" a="1"/>
  <c r="M6288" i="23" s="1"/>
  <c r="N6288" i="23" s="1"/>
  <c r="K6287" i="23"/>
  <c r="L6287" i="23" s="1"/>
  <c r="M6287" i="23" a="1"/>
  <c r="M6287" i="23" s="1"/>
  <c r="N6287" i="23" s="1"/>
  <c r="K6280" i="23"/>
  <c r="L6280" i="23" s="1"/>
  <c r="M6280" i="23" a="1"/>
  <c r="M6280" i="23" s="1"/>
  <c r="N6280" i="23" s="1"/>
  <c r="K6274" i="23"/>
  <c r="L6274" i="23" s="1"/>
  <c r="M6274" i="23" a="1"/>
  <c r="M6274" i="23" s="1"/>
  <c r="N6274" i="23" s="1"/>
  <c r="K6262" i="23"/>
  <c r="L6262" i="23" s="1"/>
  <c r="M6262" i="23" a="1"/>
  <c r="M6262" i="23"/>
  <c r="N6262" i="23" s="1"/>
  <c r="K6260" i="23"/>
  <c r="L6260" i="23" s="1"/>
  <c r="M6260" i="23" a="1"/>
  <c r="M6260" i="23" s="1"/>
  <c r="N6260" i="23" s="1"/>
  <c r="K6259" i="23"/>
  <c r="L6259" i="23" s="1"/>
  <c r="M6259" i="23" a="1"/>
  <c r="M6259" i="23" s="1"/>
  <c r="N6259" i="23" s="1"/>
  <c r="K6258" i="23"/>
  <c r="L6258" i="23" s="1"/>
  <c r="M6258" i="23" a="1"/>
  <c r="M6258" i="23" s="1"/>
  <c r="N6258" i="23" s="1"/>
  <c r="K6257" i="23"/>
  <c r="L6257" i="23" s="1"/>
  <c r="M6257" i="23" a="1"/>
  <c r="M6257" i="23" s="1"/>
  <c r="N6257" i="23" s="1"/>
  <c r="K6254" i="23"/>
  <c r="L6254" i="23" s="1"/>
  <c r="M6254" i="23" a="1"/>
  <c r="M6254" i="23" s="1"/>
  <c r="N6254" i="23" s="1"/>
  <c r="K6251" i="23"/>
  <c r="L6251" i="23" s="1"/>
  <c r="M6251" i="23" a="1"/>
  <c r="M6251" i="23" s="1"/>
  <c r="N6251" i="23" s="1"/>
  <c r="K6250" i="23"/>
  <c r="L6250" i="23" s="1"/>
  <c r="M6250" i="23" a="1"/>
  <c r="M6250" i="23" s="1"/>
  <c r="N6250" i="23" s="1"/>
  <c r="K6249" i="23"/>
  <c r="L6249" i="23" s="1"/>
  <c r="M6249" i="23" a="1"/>
  <c r="M6249" i="23" s="1"/>
  <c r="N6249" i="23" s="1"/>
  <c r="K6236" i="23" l="1"/>
  <c r="L6236" i="23" s="1"/>
  <c r="M6236" i="23" a="1"/>
  <c r="M6236" i="23" s="1"/>
  <c r="N6236" i="23" s="1"/>
  <c r="K6235" i="23"/>
  <c r="L6235" i="23" s="1"/>
  <c r="M6235" i="23" a="1"/>
  <c r="M6235" i="23" s="1"/>
  <c r="N6235" i="23" s="1"/>
  <c r="K6234" i="23"/>
  <c r="L6234" i="23" s="1"/>
  <c r="M6234" i="23" a="1"/>
  <c r="M6234" i="23" s="1"/>
  <c r="N6234" i="23" s="1"/>
  <c r="K6215" i="23"/>
  <c r="L6215" i="23" s="1"/>
  <c r="M6215" i="23" a="1"/>
  <c r="M6215" i="23" s="1"/>
  <c r="N6215" i="23" s="1"/>
  <c r="K6214" i="23"/>
  <c r="L6214" i="23" s="1"/>
  <c r="M6214" i="23" a="1"/>
  <c r="M6214" i="23" s="1"/>
  <c r="N6214" i="23" s="1"/>
  <c r="K6213" i="23"/>
  <c r="L6213" i="23" s="1"/>
  <c r="M6213" i="23" a="1"/>
  <c r="M6213" i="23" s="1"/>
  <c r="N6213" i="23" s="1"/>
  <c r="K6202" i="23"/>
  <c r="L6202" i="23" s="1"/>
  <c r="M6202" i="23" a="1"/>
  <c r="M6202" i="23" s="1"/>
  <c r="N6202" i="23" s="1"/>
  <c r="K6196" i="23"/>
  <c r="L6196" i="23" s="1"/>
  <c r="M6196" i="23" a="1"/>
  <c r="M6196" i="23" s="1"/>
  <c r="N6196" i="23" s="1"/>
  <c r="K6182" i="23"/>
  <c r="L6182" i="23" s="1"/>
  <c r="M6182" i="23" a="1"/>
  <c r="M6182" i="23" s="1"/>
  <c r="N6182" i="23" s="1"/>
  <c r="K6180" i="23"/>
  <c r="L6180" i="23" s="1"/>
  <c r="M6180" i="23" a="1"/>
  <c r="M6180" i="23" s="1"/>
  <c r="N6180" i="23" s="1"/>
  <c r="K6178" i="23"/>
  <c r="L6178" i="23" s="1"/>
  <c r="M6178" i="23" a="1"/>
  <c r="M6178" i="23" s="1"/>
  <c r="N6178" i="23" s="1"/>
  <c r="K6177" i="23"/>
  <c r="L6177" i="23" s="1"/>
  <c r="M6177" i="23" a="1"/>
  <c r="M6177" i="23" s="1"/>
  <c r="N6177" i="23" s="1"/>
  <c r="K6176" i="23"/>
  <c r="L6176" i="23" s="1"/>
  <c r="M6176" i="23" a="1"/>
  <c r="M6176" i="23" s="1"/>
  <c r="N6176" i="23" s="1"/>
  <c r="K6175" i="23"/>
  <c r="L6175" i="23" s="1"/>
  <c r="M6175" i="23" a="1"/>
  <c r="M6175" i="23" s="1"/>
  <c r="N6175" i="23" s="1"/>
  <c r="K6164" i="23"/>
  <c r="L6164" i="23" s="1"/>
  <c r="M6164" i="23" a="1"/>
  <c r="M6164" i="23" s="1"/>
  <c r="N6164" i="23" s="1"/>
  <c r="K6153" i="23"/>
  <c r="L6153" i="23" s="1"/>
  <c r="M6153" i="23" a="1"/>
  <c r="M6153" i="23" s="1"/>
  <c r="N6153" i="23" s="1"/>
  <c r="K6138" i="23"/>
  <c r="L6138" i="23" s="1"/>
  <c r="M6138" i="23" a="1"/>
  <c r="M6138" i="23" s="1"/>
  <c r="N6138" i="23" s="1"/>
  <c r="K6131" i="23"/>
  <c r="L6131" i="23" s="1"/>
  <c r="M6131" i="23" a="1"/>
  <c r="M6131" i="23" s="1"/>
  <c r="N6131" i="23" s="1"/>
  <c r="K6109" i="23"/>
  <c r="L6109" i="23" s="1"/>
  <c r="M6109" i="23" a="1"/>
  <c r="M6109" i="23" s="1"/>
  <c r="N6109" i="23" s="1"/>
  <c r="K6105" i="23"/>
  <c r="L6105" i="23" s="1"/>
  <c r="M6105" i="23" a="1"/>
  <c r="M6105" i="23" s="1"/>
  <c r="N6105" i="23" s="1"/>
  <c r="K6383" i="23"/>
  <c r="L6383" i="23" s="1"/>
  <c r="M6383" i="23" a="1"/>
  <c r="M6383" i="23" s="1"/>
  <c r="N6383" i="23" s="1"/>
  <c r="K6375" i="23"/>
  <c r="L6375" i="23" s="1"/>
  <c r="M6375" i="23" a="1"/>
  <c r="M6375" i="23" s="1"/>
  <c r="N6375" i="23" s="1"/>
  <c r="K6371" i="23"/>
  <c r="L6371" i="23" s="1"/>
  <c r="M6371" i="23" a="1"/>
  <c r="M6371" i="23" s="1"/>
  <c r="N6371" i="23" s="1"/>
  <c r="K6368" i="23"/>
  <c r="L6368" i="23" s="1"/>
  <c r="M6368" i="23" a="1"/>
  <c r="M6368" i="23" s="1"/>
  <c r="N6368" i="23" s="1"/>
  <c r="K6351" i="23"/>
  <c r="L6351" i="23" s="1"/>
  <c r="M6351" i="23" a="1"/>
  <c r="M6351" i="23" s="1"/>
  <c r="N6351" i="23" s="1"/>
  <c r="K6337" i="23"/>
  <c r="L6337" i="23" s="1"/>
  <c r="M6337" i="23" a="1"/>
  <c r="M6337" i="23" s="1"/>
  <c r="N6337" i="23" s="1"/>
  <c r="K6326" i="23" l="1"/>
  <c r="L6326" i="23" s="1"/>
  <c r="M6326" i="23" a="1"/>
  <c r="M6326" i="23" s="1"/>
  <c r="N6326" i="23" s="1"/>
  <c r="K6325" i="23"/>
  <c r="L6325" i="23" s="1"/>
  <c r="M6325" i="23" a="1"/>
  <c r="M6325" i="23" s="1"/>
  <c r="N6325" i="23" s="1"/>
  <c r="K6311" i="23"/>
  <c r="L6311" i="23" s="1"/>
  <c r="M6311" i="23" a="1"/>
  <c r="M6311" i="23" s="1"/>
  <c r="N6311" i="23" s="1"/>
  <c r="K6296" i="23"/>
  <c r="L6296" i="23" s="1"/>
  <c r="M6296" i="23" a="1"/>
  <c r="M6296" i="23" s="1"/>
  <c r="N6296" i="23" s="1"/>
  <c r="K6286" i="23"/>
  <c r="L6286" i="23" s="1"/>
  <c r="M6286" i="23" a="1"/>
  <c r="M6286" i="23" s="1"/>
  <c r="N6286" i="23" s="1"/>
  <c r="K6256" i="23"/>
  <c r="L6256" i="23" s="1"/>
  <c r="M6256" i="23" a="1"/>
  <c r="M6256" i="23" s="1"/>
  <c r="N6256" i="23" s="1"/>
  <c r="K6243" i="23"/>
  <c r="L6243" i="23" s="1"/>
  <c r="M6243" i="23" a="1"/>
  <c r="M6243" i="23" s="1"/>
  <c r="N6243" i="23" s="1"/>
  <c r="K6233" i="23"/>
  <c r="L6233" i="23" s="1"/>
  <c r="M6233" i="23" a="1"/>
  <c r="M6233" i="23" s="1"/>
  <c r="N6233" i="23" s="1"/>
  <c r="K6221" i="23"/>
  <c r="L6221" i="23" s="1"/>
  <c r="M6221" i="23" a="1"/>
  <c r="M6221" i="23" s="1"/>
  <c r="N6221" i="23" s="1"/>
  <c r="K6220" i="23"/>
  <c r="L6220" i="23" s="1"/>
  <c r="M6220" i="23" a="1"/>
  <c r="M6220" i="23" s="1"/>
  <c r="N6220" i="23" s="1"/>
  <c r="K6195" i="23"/>
  <c r="L6195" i="23" s="1"/>
  <c r="M6195" i="23" a="1"/>
  <c r="M6195" i="23" s="1"/>
  <c r="N6195" i="23" s="1"/>
  <c r="K6163" i="23"/>
  <c r="L6163" i="23" s="1"/>
  <c r="M6163" i="23" a="1"/>
  <c r="M6163" i="23" s="1"/>
  <c r="N6163" i="23" s="1"/>
  <c r="K6142" i="23"/>
  <c r="L6142" i="23" s="1"/>
  <c r="M6142" i="23" a="1"/>
  <c r="M6142" i="23" s="1"/>
  <c r="N6142" i="23" s="1"/>
  <c r="M6137" i="23" a="1"/>
  <c r="M6137" i="23" s="1"/>
  <c r="N6137" i="23" s="1"/>
  <c r="K6137" i="23"/>
  <c r="L6137" i="23" s="1"/>
  <c r="M6128" i="23" a="1"/>
  <c r="M6128" i="23" s="1"/>
  <c r="N6128" i="23" s="1"/>
  <c r="K6128" i="23"/>
  <c r="L6128" i="23" s="1"/>
  <c r="M6127" i="23" a="1"/>
  <c r="M6127" i="23" s="1"/>
  <c r="N6127" i="23" s="1"/>
  <c r="K6127" i="23"/>
  <c r="L6127" i="23" s="1"/>
  <c r="K6115" i="23"/>
  <c r="L6115" i="23" s="1"/>
  <c r="M6115" i="23" a="1"/>
  <c r="M6115" i="23" s="1"/>
  <c r="N6115" i="23" s="1"/>
  <c r="K6100" i="23"/>
  <c r="L6100" i="23" s="1"/>
  <c r="M6100" i="23" a="1"/>
  <c r="M6100" i="23" s="1"/>
  <c r="N6100" i="23" s="1"/>
  <c r="K6099" i="23"/>
  <c r="L6099" i="23" s="1"/>
  <c r="M6099" i="23" a="1"/>
  <c r="M6099" i="23" s="1"/>
  <c r="N6099" i="23" s="1"/>
  <c r="K6087" i="23"/>
  <c r="L6087" i="23" s="1"/>
  <c r="M6087" i="23" a="1"/>
  <c r="M6087" i="23" s="1"/>
  <c r="N6087" i="23" s="1"/>
  <c r="K6341" i="23"/>
  <c r="L6341" i="23" s="1"/>
  <c r="M6341" i="23" a="1"/>
  <c r="M6341" i="23" s="1"/>
  <c r="N6341" i="23" s="1"/>
  <c r="K6362" i="23"/>
  <c r="L6362" i="23" s="1"/>
  <c r="M6362" i="23" a="1"/>
  <c r="M6362" i="23" s="1"/>
  <c r="N6362" i="23" s="1"/>
  <c r="K6388" i="23"/>
  <c r="L6388" i="23" s="1"/>
  <c r="M6388" i="23" a="1"/>
  <c r="M6388" i="23" s="1"/>
  <c r="N6388" i="23" s="1"/>
  <c r="K6381" i="23"/>
  <c r="L6381" i="23" s="1"/>
  <c r="M6381" i="23" a="1"/>
  <c r="M6381" i="23" s="1"/>
  <c r="N6381" i="23" s="1"/>
  <c r="K6373" i="23"/>
  <c r="L6373" i="23" s="1"/>
  <c r="M6373" i="23" a="1"/>
  <c r="M6373" i="23" s="1"/>
  <c r="N6373" i="23" s="1"/>
  <c r="K6361" i="23"/>
  <c r="L6361" i="23" s="1"/>
  <c r="M6361" i="23" a="1"/>
  <c r="M6361" i="23" s="1"/>
  <c r="N6361" i="23" s="1"/>
  <c r="K6360" i="23"/>
  <c r="L6360" i="23" s="1"/>
  <c r="M6360" i="23" a="1"/>
  <c r="M6360" i="23" s="1"/>
  <c r="N6360" i="23" s="1"/>
  <c r="K6359" i="23"/>
  <c r="L6359" i="23" s="1"/>
  <c r="M6359" i="23" a="1"/>
  <c r="M6359" i="23" s="1"/>
  <c r="N6359" i="23" s="1"/>
  <c r="K6387" i="23"/>
  <c r="L6387" i="23" s="1"/>
  <c r="M6387" i="23" a="1"/>
  <c r="M6387" i="23" s="1"/>
  <c r="N6387" i="23" s="1"/>
  <c r="K6382" i="23"/>
  <c r="L6382" i="23" s="1"/>
  <c r="M6382" i="23" a="1"/>
  <c r="M6382" i="23" s="1"/>
  <c r="N6382" i="23" s="1"/>
  <c r="K6346" i="23" l="1"/>
  <c r="L6346" i="23" s="1"/>
  <c r="M6346" i="23" a="1"/>
  <c r="M6346" i="23" s="1"/>
  <c r="N6346" i="23" s="1"/>
  <c r="K6340" i="23"/>
  <c r="L6340" i="23" s="1"/>
  <c r="M6340" i="23" a="1"/>
  <c r="M6340" i="23" s="1"/>
  <c r="N6340" i="23" s="1"/>
  <c r="K6339" i="23"/>
  <c r="L6339" i="23" s="1"/>
  <c r="M6339" i="23" a="1"/>
  <c r="M6339" i="23" s="1"/>
  <c r="N6339" i="23" s="1"/>
  <c r="K6344" i="23"/>
  <c r="L6344" i="23" s="1"/>
  <c r="M6344" i="23" a="1"/>
  <c r="M6344" i="23" s="1"/>
  <c r="N6344" i="23" s="1"/>
  <c r="K6321" i="23"/>
  <c r="L6321" i="23" s="1"/>
  <c r="M6321" i="23" a="1"/>
  <c r="M6321" i="23" s="1"/>
  <c r="N6321" i="23" s="1"/>
  <c r="K6277" i="23"/>
  <c r="L6277" i="23" s="1"/>
  <c r="M6277" i="23" a="1"/>
  <c r="M6277" i="23" s="1"/>
  <c r="N6277" i="23" s="1"/>
  <c r="K6322" i="23"/>
  <c r="L6322" i="23" s="1"/>
  <c r="M6322" i="23" a="1"/>
  <c r="M6322" i="23" s="1"/>
  <c r="N6322" i="23" s="1"/>
  <c r="K6302" i="23"/>
  <c r="L6302" i="23" s="1"/>
  <c r="M6302" i="23" a="1"/>
  <c r="M6302" i="23" s="1"/>
  <c r="N6302" i="23" s="1"/>
  <c r="K6295" i="23"/>
  <c r="L6295" i="23" s="1"/>
  <c r="M6295" i="23" a="1"/>
  <c r="M6295" i="23" s="1"/>
  <c r="N6295" i="23" s="1"/>
  <c r="K6294" i="23"/>
  <c r="L6294" i="23" s="1"/>
  <c r="M6294" i="23" a="1"/>
  <c r="M6294" i="23" s="1"/>
  <c r="N6294" i="23" s="1"/>
  <c r="K6285" i="23"/>
  <c r="L6285" i="23" s="1"/>
  <c r="M6285" i="23" a="1"/>
  <c r="M6285" i="23" s="1"/>
  <c r="N6285" i="23" s="1"/>
  <c r="K6279" i="23"/>
  <c r="L6279" i="23" s="1"/>
  <c r="M6279" i="23" a="1"/>
  <c r="M6279" i="23" s="1"/>
  <c r="N6279" i="23" s="1"/>
  <c r="V69" i="18"/>
  <c r="K6276" i="23"/>
  <c r="L6276" i="23" s="1"/>
  <c r="M6276" i="23" a="1"/>
  <c r="M6276" i="23" s="1"/>
  <c r="N6276" i="23" s="1"/>
  <c r="K6310" i="23"/>
  <c r="L6310" i="23" s="1"/>
  <c r="M6310" i="23" a="1"/>
  <c r="M6310" i="23" s="1"/>
  <c r="N6310" i="23" s="1"/>
  <c r="K6309" i="23"/>
  <c r="L6309" i="23" s="1"/>
  <c r="M6309" i="23" a="1"/>
  <c r="M6309" i="23" s="1"/>
  <c r="N6309" i="23" s="1"/>
  <c r="K6267" i="23" l="1"/>
  <c r="L6267" i="23" s="1"/>
  <c r="M6267" i="23" a="1"/>
  <c r="M6267" i="23" s="1"/>
  <c r="N6267" i="23" s="1"/>
  <c r="K6242" i="23"/>
  <c r="L6242" i="23" s="1"/>
  <c r="M6242" i="23" a="1"/>
  <c r="M6242" i="23" s="1"/>
  <c r="N6242" i="23" s="1"/>
  <c r="K6266" i="23"/>
  <c r="L6266" i="23" s="1"/>
  <c r="M6266" i="23" a="1"/>
  <c r="M6266" i="23" s="1"/>
  <c r="N6266" i="23" s="1"/>
  <c r="K6264" i="23"/>
  <c r="L6264" i="23" s="1"/>
  <c r="M6264" i="23" a="1"/>
  <c r="M6264" i="23" s="1"/>
  <c r="N6264" i="23" s="1"/>
  <c r="K6248" i="23"/>
  <c r="L6248" i="23" s="1"/>
  <c r="M6248" i="23" a="1"/>
  <c r="M6248" i="23" s="1"/>
  <c r="N6248" i="23" s="1"/>
  <c r="K6247" i="23"/>
  <c r="L6247" i="23" s="1"/>
  <c r="M6247" i="23" a="1"/>
  <c r="M6247" i="23" s="1"/>
  <c r="N6247" i="23" s="1"/>
  <c r="K6245" i="23"/>
  <c r="L6245" i="23" s="1"/>
  <c r="M6245" i="23" a="1"/>
  <c r="M6245" i="23" s="1"/>
  <c r="N6245" i="23" s="1"/>
  <c r="K6043" i="23"/>
  <c r="L6043" i="23" s="1"/>
  <c r="M6043" i="23" a="1"/>
  <c r="M6043" i="23" s="1"/>
  <c r="N6043" i="23" s="1"/>
  <c r="K6232" i="23"/>
  <c r="L6232" i="23" s="1"/>
  <c r="M6232" i="23" a="1"/>
  <c r="M6232" i="23" s="1"/>
  <c r="N6232" i="23" s="1"/>
  <c r="K6229" i="23"/>
  <c r="L6229" i="23" s="1"/>
  <c r="M6229" i="23" a="1"/>
  <c r="M6229" i="23" s="1"/>
  <c r="N6229" i="23" s="1"/>
  <c r="K6217" i="23"/>
  <c r="L6217" i="23" s="1"/>
  <c r="M6217" i="23" a="1"/>
  <c r="M6217" i="23" s="1"/>
  <c r="N6217" i="23" s="1"/>
  <c r="K6212" i="23"/>
  <c r="L6212" i="23" s="1"/>
  <c r="M6212" i="23" a="1"/>
  <c r="M6212" i="23" s="1"/>
  <c r="N6212" i="23" s="1"/>
  <c r="K6162" i="23"/>
  <c r="L6162" i="23" s="1"/>
  <c r="M6162" i="23" a="1"/>
  <c r="M6162" i="23" s="1"/>
  <c r="N6162" i="23" s="1"/>
  <c r="K6193" i="23"/>
  <c r="L6193" i="23" s="1"/>
  <c r="M6193" i="23" a="1"/>
  <c r="M6193" i="23" s="1"/>
  <c r="N6193" i="23" s="1"/>
  <c r="K6160" i="23"/>
  <c r="L6160" i="23" s="1"/>
  <c r="M6160" i="23" a="1"/>
  <c r="M6160" i="23" s="1"/>
  <c r="N6160" i="23" s="1"/>
  <c r="K6187" i="23"/>
  <c r="L6187" i="23" s="1"/>
  <c r="M6187" i="23" a="1"/>
  <c r="M6187" i="23" s="1"/>
  <c r="N6187" i="23" s="1"/>
  <c r="K6173" i="23"/>
  <c r="L6173" i="23" s="1"/>
  <c r="M6173" i="23" a="1"/>
  <c r="M6173" i="23" s="1"/>
  <c r="N6173" i="23" s="1"/>
  <c r="K6150" i="23"/>
  <c r="L6150" i="23" s="1"/>
  <c r="M6150" i="23" a="1"/>
  <c r="M6150" i="23" s="1"/>
  <c r="N6150" i="23" s="1"/>
  <c r="K6152" i="23"/>
  <c r="L6152" i="23" s="1"/>
  <c r="M6152" i="23" a="1"/>
  <c r="M6152" i="23" s="1"/>
  <c r="N6152" i="23" s="1"/>
  <c r="K6151" i="23"/>
  <c r="L6151" i="23" s="1"/>
  <c r="M6151" i="23" a="1"/>
  <c r="M6151" i="23" s="1"/>
  <c r="N6151" i="23" s="1"/>
  <c r="K6161" i="23" l="1"/>
  <c r="L6161" i="23" s="1"/>
  <c r="M6161" i="23" a="1"/>
  <c r="M6161" i="23" s="1"/>
  <c r="N6161" i="23" s="1"/>
  <c r="K6157" i="23"/>
  <c r="L6157" i="23" s="1"/>
  <c r="M6157" i="23" a="1"/>
  <c r="M6157" i="23" s="1"/>
  <c r="N6157" i="23" s="1"/>
  <c r="K6155" i="23"/>
  <c r="L6155" i="23" s="1"/>
  <c r="M6155" i="23" a="1"/>
  <c r="M6155" i="23" s="1"/>
  <c r="N6155" i="23" s="1"/>
  <c r="K6149" i="23"/>
  <c r="L6149" i="23" s="1"/>
  <c r="M6149" i="23" a="1"/>
  <c r="M6149" i="23" s="1"/>
  <c r="N6149" i="23" s="1"/>
  <c r="K6147" i="23"/>
  <c r="L6147" i="23" s="1"/>
  <c r="M6147" i="23" a="1"/>
  <c r="M6147" i="23" s="1"/>
  <c r="N6147" i="23" s="1"/>
  <c r="K6148" i="23"/>
  <c r="L6148" i="23" s="1"/>
  <c r="M6148" i="23" a="1"/>
  <c r="M6148" i="23" s="1"/>
  <c r="N6148" i="23" s="1"/>
  <c r="K5770" i="23"/>
  <c r="L5770" i="23" s="1"/>
  <c r="M5770" i="23" a="1"/>
  <c r="M5770" i="23" s="1"/>
  <c r="N5770" i="23" s="1"/>
  <c r="K5759" i="23"/>
  <c r="L5759" i="23" s="1"/>
  <c r="M5759" i="23" a="1"/>
  <c r="M5759" i="23" s="1"/>
  <c r="N5759" i="23" s="1"/>
  <c r="K6086" i="23" l="1"/>
  <c r="L6086" i="23" s="1"/>
  <c r="M6086" i="23" a="1"/>
  <c r="M6086" i="23" s="1"/>
  <c r="N6086" i="23" s="1"/>
  <c r="K5995" i="23"/>
  <c r="L5995" i="23" s="1"/>
  <c r="M5995" i="23" a="1"/>
  <c r="M5995" i="23" s="1"/>
  <c r="N5995" i="23" s="1"/>
  <c r="K6073" i="23"/>
  <c r="L6073" i="23" s="1"/>
  <c r="M6073" i="23" a="1"/>
  <c r="M6073" i="23" s="1"/>
  <c r="N6073" i="23" s="1"/>
  <c r="K6116" i="23"/>
  <c r="L6116" i="23" s="1"/>
  <c r="M6116" i="23" a="1"/>
  <c r="M6116" i="23" s="1"/>
  <c r="N6116" i="23" s="1"/>
  <c r="K6085" i="23"/>
  <c r="L6085" i="23" s="1"/>
  <c r="M6085" i="23" a="1"/>
  <c r="M6085" i="23" s="1"/>
  <c r="N6085" i="23" s="1"/>
  <c r="K5999" i="23"/>
  <c r="L5999" i="23" s="1"/>
  <c r="M5999" i="23" a="1"/>
  <c r="M5999" i="23" s="1"/>
  <c r="N5999" i="23" s="1"/>
  <c r="K6110" i="23" l="1"/>
  <c r="L6110" i="23" s="1"/>
  <c r="M6110" i="23" a="1"/>
  <c r="M6110" i="23" s="1"/>
  <c r="N6110" i="23" s="1"/>
  <c r="K6101" i="23"/>
  <c r="L6101" i="23" s="1"/>
  <c r="M6101" i="23" a="1"/>
  <c r="M6101" i="23" s="1"/>
  <c r="N6101" i="23" s="1"/>
  <c r="K6052" i="23"/>
  <c r="L6052" i="23" s="1"/>
  <c r="M6052" i="23" a="1"/>
  <c r="M6052" i="23" s="1"/>
  <c r="N6052" i="23" s="1"/>
  <c r="K6121" i="23"/>
  <c r="L6121" i="23" s="1"/>
  <c r="M6121" i="23" a="1"/>
  <c r="M6121" i="23" s="1"/>
  <c r="N6121" i="23" s="1"/>
  <c r="K6089" i="23"/>
  <c r="L6089" i="23" s="1"/>
  <c r="M6089" i="23" a="1"/>
  <c r="M6089" i="23" s="1"/>
  <c r="N6089" i="23" s="1"/>
  <c r="K6016" i="23"/>
  <c r="L6016" i="23" s="1"/>
  <c r="M6016" i="23" a="1"/>
  <c r="M6016" i="23" s="1"/>
  <c r="N6016" i="23" s="1"/>
  <c r="K5994" i="23"/>
  <c r="L5994" i="23" s="1"/>
  <c r="M5994" i="23" a="1"/>
  <c r="M5994" i="23" s="1"/>
  <c r="N5994" i="23" s="1"/>
  <c r="K6092" i="23" l="1"/>
  <c r="L6092" i="23" s="1"/>
  <c r="M6092" i="23" a="1"/>
  <c r="M6092" i="23" s="1"/>
  <c r="N6092" i="23" s="1"/>
  <c r="K6126" i="23"/>
  <c r="L6126" i="23" s="1"/>
  <c r="M6126" i="23" a="1"/>
  <c r="M6126" i="23" s="1"/>
  <c r="N6126" i="23" s="1"/>
  <c r="K6114" i="23"/>
  <c r="L6114" i="23" s="1"/>
  <c r="M6114" i="23" a="1"/>
  <c r="M6114" i="23" s="1"/>
  <c r="N6114" i="23" s="1"/>
  <c r="K6053" i="23"/>
  <c r="L6053" i="23" s="1"/>
  <c r="M6053" i="23" a="1"/>
  <c r="M6053" i="23" s="1"/>
  <c r="N6053" i="23" s="1"/>
  <c r="K6051" i="23"/>
  <c r="L6051" i="23" s="1"/>
  <c r="M6051" i="23" a="1"/>
  <c r="M6051" i="23" s="1"/>
  <c r="N6051" i="23" s="1"/>
  <c r="K6141" i="23"/>
  <c r="L6141" i="23" s="1"/>
  <c r="M6141" i="23" a="1"/>
  <c r="M6141" i="23" s="1"/>
  <c r="N6141" i="23" s="1"/>
  <c r="K6093" i="23"/>
  <c r="L6093" i="23" s="1"/>
  <c r="M6093" i="23" a="1"/>
  <c r="M6093" i="23" s="1"/>
  <c r="N6093" i="23" s="1"/>
  <c r="K6028" i="23"/>
  <c r="L6028" i="23" s="1"/>
  <c r="M6028" i="23" a="1"/>
  <c r="M6028" i="23" s="1"/>
  <c r="N6028" i="23" s="1"/>
  <c r="K5981" i="23"/>
  <c r="L5981" i="23" s="1"/>
  <c r="M5981" i="23" a="1"/>
  <c r="M5981" i="23" s="1"/>
  <c r="N5981" i="23" s="1"/>
  <c r="K5980" i="23"/>
  <c r="L5980" i="23" s="1"/>
  <c r="M5980" i="23" a="1"/>
  <c r="M5980" i="23" s="1"/>
  <c r="N5980" i="23" s="1"/>
  <c r="K6074" i="23" l="1"/>
  <c r="L6074" i="23" s="1"/>
  <c r="M6074" i="23" a="1"/>
  <c r="M6074" i="23" s="1"/>
  <c r="N6074" i="23" s="1"/>
  <c r="K6017" i="23"/>
  <c r="L6017" i="23" s="1"/>
  <c r="M6017" i="23" a="1"/>
  <c r="M6017" i="23" s="1"/>
  <c r="N6017" i="23" s="1"/>
  <c r="K6108" i="23"/>
  <c r="L6108" i="23" s="1"/>
  <c r="M6108" i="23" a="1"/>
  <c r="K5982" i="23"/>
  <c r="L5982" i="23" s="1"/>
  <c r="M5982" i="23" a="1"/>
  <c r="M5982" i="23" s="1"/>
  <c r="N5982" i="23" s="1"/>
  <c r="K6125" i="23"/>
  <c r="L6125" i="23" s="1"/>
  <c r="M6125" i="23" a="1"/>
  <c r="M6125" i="23" s="1"/>
  <c r="N6125" i="23" s="1"/>
  <c r="K6139" i="23"/>
  <c r="L6139" i="23" s="1"/>
  <c r="M6139" i="23" a="1"/>
  <c r="M6139" i="23" s="1"/>
  <c r="N6139" i="23" s="1"/>
  <c r="K6129" i="23"/>
  <c r="L6129" i="23" s="1"/>
  <c r="M6129" i="23" a="1"/>
  <c r="M6129" i="23" s="1"/>
  <c r="N6129" i="23" s="1"/>
  <c r="K6113" i="23"/>
  <c r="L6113" i="23" s="1"/>
  <c r="M6113" i="23" a="1"/>
  <c r="M6113" i="23" s="1"/>
  <c r="N6113" i="23" s="1"/>
  <c r="K6098" i="23"/>
  <c r="L6098" i="23" s="1"/>
  <c r="M6098" i="23" a="1"/>
  <c r="M6098" i="23" s="1"/>
  <c r="N6098" i="23" s="1"/>
  <c r="K6088" i="23"/>
  <c r="L6088" i="23" s="1"/>
  <c r="M6088" i="23" a="1"/>
  <c r="M6088" i="23" s="1"/>
  <c r="N6088" i="23" s="1"/>
  <c r="K6036" i="23"/>
  <c r="L6036" i="23" s="1"/>
  <c r="M6036" i="23" a="1"/>
  <c r="M6036" i="23" s="1"/>
  <c r="N6036" i="23" s="1"/>
  <c r="K6112" i="23"/>
  <c r="L6112" i="23" s="1"/>
  <c r="M6112" i="23" a="1"/>
  <c r="M6112" i="23" s="1"/>
  <c r="N6112" i="23" s="1"/>
  <c r="K6013" i="23"/>
  <c r="L6013" i="23" s="1"/>
  <c r="M6013" i="23" a="1"/>
  <c r="M6013" i="23" s="1"/>
  <c r="N6013" i="23" s="1"/>
  <c r="K6106" i="23"/>
  <c r="L6106" i="23" s="1"/>
  <c r="M6106" i="23" a="1"/>
  <c r="M6106" i="23" s="1"/>
  <c r="N6106" i="23" s="1"/>
  <c r="K6090" i="23"/>
  <c r="L6090" i="23" s="1"/>
  <c r="M6090" i="23" a="1"/>
  <c r="M6090" i="23" s="1"/>
  <c r="N6090" i="23" s="1"/>
  <c r="K6029" i="23"/>
  <c r="L6029" i="23" s="1"/>
  <c r="M6029" i="23" a="1"/>
  <c r="M6029" i="23" s="1"/>
  <c r="N6029" i="23" s="1"/>
  <c r="K6018" i="23"/>
  <c r="L6018" i="23" s="1"/>
  <c r="M6018" i="23" a="1"/>
  <c r="M6018" i="23" s="1"/>
  <c r="N6018" i="23" s="1"/>
  <c r="K6009" i="23"/>
  <c r="L6009" i="23" s="1"/>
  <c r="M6009" i="23" a="1"/>
  <c r="M6009" i="23" s="1"/>
  <c r="N6009" i="23" s="1"/>
  <c r="M6002" i="23" a="1"/>
  <c r="M6002" i="23" s="1"/>
  <c r="N6002" i="23" s="1"/>
  <c r="K6002" i="23"/>
  <c r="L6002" i="23" s="1"/>
  <c r="K5877" i="23"/>
  <c r="L5877" i="23" s="1"/>
  <c r="M5877" i="23" a="1"/>
  <c r="M5877" i="23" s="1"/>
  <c r="N5877" i="23" s="1"/>
  <c r="K5949" i="23"/>
  <c r="L5949" i="23" s="1"/>
  <c r="M5949" i="23" a="1"/>
  <c r="M5949" i="23" s="1"/>
  <c r="N5949" i="23" s="1"/>
  <c r="K5948" i="23"/>
  <c r="L5948" i="23" s="1"/>
  <c r="M5948" i="23" a="1"/>
  <c r="M5948" i="23" s="1"/>
  <c r="N5948" i="23" s="1"/>
  <c r="K5943" i="23"/>
  <c r="L5943" i="23" s="1"/>
  <c r="M5943" i="23" a="1"/>
  <c r="M5943" i="23" s="1"/>
  <c r="N5943" i="23" s="1"/>
  <c r="K5883" i="23"/>
  <c r="L5883" i="23" s="1"/>
  <c r="M5883" i="23" a="1"/>
  <c r="M5883" i="23" s="1"/>
  <c r="N5883" i="23" s="1"/>
  <c r="K5958" i="23" l="1"/>
  <c r="L5958" i="23" s="1"/>
  <c r="M5958" i="23" a="1"/>
  <c r="M5958" i="23" s="1"/>
  <c r="N5958" i="23" s="1"/>
  <c r="K5856" i="23"/>
  <c r="L5856" i="23" s="1"/>
  <c r="M5856" i="23" a="1"/>
  <c r="M5856" i="23" s="1"/>
  <c r="N5856" i="23" s="1"/>
  <c r="K5855" i="23"/>
  <c r="L5855" i="23" s="1"/>
  <c r="M5855" i="23" a="1"/>
  <c r="M5855" i="23" s="1"/>
  <c r="N5855" i="23" s="1"/>
  <c r="K5863" i="23"/>
  <c r="L5863" i="23" s="1"/>
  <c r="M5863" i="23" a="1"/>
  <c r="M5863" i="23" s="1"/>
  <c r="N5863" i="23" s="1"/>
  <c r="K5838" i="23"/>
  <c r="L5838" i="23" s="1"/>
  <c r="M5838" i="23" a="1"/>
  <c r="M5838" i="23" s="1"/>
  <c r="N5838" i="23" s="1"/>
  <c r="K5969" i="23"/>
  <c r="L5969" i="23" s="1"/>
  <c r="M5969" i="23" a="1"/>
  <c r="M5969" i="23" s="1"/>
  <c r="N5969" i="23" s="1"/>
  <c r="K5906" i="23"/>
  <c r="L5906" i="23" s="1"/>
  <c r="M5906" i="23" a="1"/>
  <c r="M5906" i="23" s="1"/>
  <c r="N5906" i="23" s="1"/>
  <c r="K5915" i="23"/>
  <c r="L5915" i="23" s="1"/>
  <c r="M5915" i="23" a="1"/>
  <c r="M5915" i="23" s="1"/>
  <c r="N5915" i="23" s="1"/>
  <c r="K5837" i="23"/>
  <c r="L5837" i="23" s="1"/>
  <c r="M5837" i="23" a="1"/>
  <c r="M5837" i="23" s="1"/>
  <c r="N5837" i="23" s="1"/>
  <c r="K5878" i="23"/>
  <c r="L5878" i="23" s="1"/>
  <c r="M5878" i="23" a="1"/>
  <c r="M5878" i="23" s="1"/>
  <c r="N5878" i="23" s="1"/>
  <c r="K5864" i="23"/>
  <c r="L5864" i="23" s="1"/>
  <c r="M5864" i="23" a="1"/>
  <c r="M5864" i="23" s="1"/>
  <c r="N5864" i="23" s="1"/>
  <c r="K5849" i="23"/>
  <c r="L5849" i="23" s="1"/>
  <c r="M5849" i="23" a="1"/>
  <c r="M5849" i="23" s="1"/>
  <c r="N5849" i="23" s="1"/>
  <c r="K5844" i="23" l="1"/>
  <c r="L5844" i="23" s="1"/>
  <c r="M5844" i="23" a="1"/>
  <c r="M5844" i="23" s="1"/>
  <c r="N5844" i="23" s="1"/>
  <c r="K5809" i="23" l="1"/>
  <c r="L5809" i="23" s="1"/>
  <c r="M5809" i="23" a="1"/>
  <c r="M5809" i="23" s="1"/>
  <c r="N5809" i="23" s="1"/>
  <c r="K5731" i="23"/>
  <c r="L5731" i="23" s="1"/>
  <c r="M5731" i="23" a="1"/>
  <c r="M5731" i="23" s="1"/>
  <c r="N5731" i="23" s="1"/>
  <c r="K5712" i="23"/>
  <c r="L5712" i="23" s="1"/>
  <c r="M5712" i="23" a="1"/>
  <c r="M5712" i="23" s="1"/>
  <c r="N5712" i="23" s="1"/>
  <c r="K5752" i="23"/>
  <c r="L5752" i="23" s="1"/>
  <c r="M5752" i="23" a="1"/>
  <c r="M5752" i="23" s="1"/>
  <c r="N5752" i="23" s="1"/>
  <c r="K5767" i="23"/>
  <c r="L5767" i="23" s="1"/>
  <c r="M5767" i="23" a="1"/>
  <c r="M5767" i="23" s="1"/>
  <c r="N5767" i="23" s="1"/>
  <c r="K5750" i="23"/>
  <c r="L5750" i="23" s="1"/>
  <c r="M5750" i="23" a="1"/>
  <c r="M5750" i="23" s="1"/>
  <c r="N5750" i="23" s="1"/>
  <c r="K5711" i="23"/>
  <c r="L5711" i="23" s="1"/>
  <c r="M5711" i="23" a="1"/>
  <c r="M5711" i="23" s="1"/>
  <c r="N5711" i="23" s="1"/>
  <c r="K5721" i="23" l="1"/>
  <c r="L5721" i="23" s="1"/>
  <c r="M5721" i="23" a="1"/>
  <c r="M5721" i="23" s="1"/>
  <c r="N5721" i="23" s="1"/>
  <c r="K5732" i="23"/>
  <c r="L5732" i="23" s="1"/>
  <c r="M5732" i="23" a="1"/>
  <c r="M5732" i="23" s="1"/>
  <c r="N5732" i="23" s="1"/>
  <c r="K5761" i="23"/>
  <c r="L5761" i="23" s="1"/>
  <c r="M5761" i="23" a="1"/>
  <c r="M5761" i="23" s="1"/>
  <c r="N5761" i="23" s="1"/>
  <c r="K5714" i="23"/>
  <c r="L5714" i="23" s="1"/>
  <c r="M5714" i="23" a="1"/>
  <c r="M5714" i="23" s="1"/>
  <c r="N5714" i="23" s="1"/>
  <c r="K5730" i="23"/>
  <c r="L5730" i="23" s="1"/>
  <c r="M5730" i="23" a="1"/>
  <c r="M5730" i="23" s="1"/>
  <c r="N5730" i="23" s="1"/>
  <c r="K5735" i="23"/>
  <c r="L5735" i="23" s="1"/>
  <c r="M5735" i="23" a="1"/>
  <c r="M5735" i="23" s="1"/>
  <c r="N5735" i="23" s="1"/>
  <c r="K5733" i="23"/>
  <c r="L5733" i="23" s="1"/>
  <c r="M5733" i="23" a="1"/>
  <c r="M5733" i="23" s="1"/>
  <c r="N5733" i="23" s="1"/>
  <c r="K5704" i="23"/>
  <c r="L5704" i="23" s="1"/>
  <c r="M5704" i="23" a="1"/>
  <c r="M5704" i="23" s="1"/>
  <c r="N5704" i="23" s="1"/>
  <c r="K5742" i="23" l="1"/>
  <c r="L5742" i="23" s="1"/>
  <c r="M5742" i="23" a="1"/>
  <c r="M5742" i="23" s="1"/>
  <c r="N5742" i="23" s="1"/>
  <c r="K5795" i="23" l="1"/>
  <c r="L5795" i="23" s="1"/>
  <c r="M5795" i="23" a="1"/>
  <c r="M5795" i="23" s="1"/>
  <c r="N5795" i="23" s="1"/>
  <c r="K5780" i="23"/>
  <c r="L5780" i="23" s="1"/>
  <c r="M5780" i="23" a="1"/>
  <c r="M5780" i="23" s="1"/>
  <c r="N5780" i="23" s="1"/>
  <c r="K5779" i="23"/>
  <c r="L5779" i="23" s="1"/>
  <c r="M5779" i="23" a="1"/>
  <c r="M5779" i="23" s="1"/>
  <c r="N5779" i="23" s="1"/>
  <c r="K5766" i="23"/>
  <c r="L5766" i="23" s="1"/>
  <c r="M5766" i="23" a="1"/>
  <c r="M5766" i="23" s="1"/>
  <c r="N5766" i="23" s="1"/>
  <c r="K5758" i="23"/>
  <c r="L5758" i="23" s="1"/>
  <c r="M5758" i="23" a="1"/>
  <c r="M5758" i="23" s="1"/>
  <c r="N5758" i="23" s="1"/>
  <c r="K5757" i="23"/>
  <c r="L5757" i="23" s="1"/>
  <c r="M5757" i="23" a="1"/>
  <c r="M5757" i="23" s="1"/>
  <c r="N5757" i="23" s="1"/>
  <c r="K5749" i="23" l="1"/>
  <c r="L5749" i="23" s="1"/>
  <c r="M5749" i="23" a="1"/>
  <c r="M5749" i="23" s="1"/>
  <c r="N5749" i="23" s="1"/>
  <c r="K5722" i="23"/>
  <c r="L5722" i="23" s="1"/>
  <c r="M5722" i="23" a="1"/>
  <c r="M5722" i="23" s="1"/>
  <c r="N5722" i="23" s="1"/>
  <c r="K5717" i="23"/>
  <c r="L5717" i="23" s="1"/>
  <c r="M5717" i="23" a="1"/>
  <c r="M5717" i="23" s="1"/>
  <c r="N5717" i="23" s="1"/>
  <c r="K5710" i="23"/>
  <c r="L5710" i="23" s="1"/>
  <c r="M5710" i="23" a="1"/>
  <c r="M5710" i="23" s="1"/>
  <c r="N5710" i="23" s="1"/>
  <c r="K5781" i="23"/>
  <c r="L5781" i="23" s="1"/>
  <c r="M5781" i="23" a="1"/>
  <c r="M5781" i="23" s="1"/>
  <c r="N5781" i="23" s="1"/>
  <c r="K5734" i="23"/>
  <c r="L5734" i="23" s="1"/>
  <c r="M5734" i="23" a="1"/>
  <c r="M5734" i="23" s="1"/>
  <c r="N5734" i="23" s="1"/>
  <c r="K5753" i="23" l="1"/>
  <c r="L5753" i="23" s="1"/>
  <c r="M5753" i="23" a="1"/>
  <c r="M5753" i="23" s="1"/>
  <c r="N5753" i="23" s="1"/>
  <c r="K5716" i="23"/>
  <c r="L5716" i="23" s="1"/>
  <c r="M5716" i="23" a="1"/>
  <c r="M5716" i="23" s="1"/>
  <c r="N5716" i="23" s="1"/>
  <c r="K5810" i="23" l="1"/>
  <c r="L5810" i="23" s="1"/>
  <c r="M5810" i="23" a="1"/>
  <c r="M5810" i="23" s="1"/>
  <c r="N5810" i="23" s="1"/>
  <c r="K5756" i="23"/>
  <c r="L5756" i="23" s="1"/>
  <c r="M5756" i="23" a="1"/>
  <c r="M5756" i="23" s="1"/>
  <c r="N5756" i="23" s="1"/>
  <c r="K5709" i="23"/>
  <c r="L5709" i="23" s="1"/>
  <c r="M5709" i="23" a="1"/>
  <c r="M5709" i="23" s="1"/>
  <c r="N5709" i="23" s="1"/>
  <c r="K5808" i="23"/>
  <c r="L5808" i="23" s="1"/>
  <c r="M5808" i="23" a="1"/>
  <c r="M5808" i="23" s="1"/>
  <c r="N5808" i="23" s="1"/>
  <c r="K5763" i="23"/>
  <c r="L5763" i="23" s="1"/>
  <c r="M5763" i="23" a="1"/>
  <c r="M5763" i="23" s="1"/>
  <c r="N5763" i="23" s="1"/>
  <c r="K5760" i="23"/>
  <c r="L5760" i="23" s="1"/>
  <c r="M5760" i="23" a="1"/>
  <c r="M5760" i="23" s="1"/>
  <c r="N5760" i="23" s="1"/>
  <c r="K5755" i="23"/>
  <c r="L5755" i="23" s="1"/>
  <c r="M5755" i="23" a="1"/>
  <c r="M5755" i="23" s="1"/>
  <c r="N5755" i="23" s="1"/>
  <c r="K5743" i="23"/>
  <c r="L5743" i="23" s="1"/>
  <c r="M5743" i="23" a="1"/>
  <c r="M5743" i="23" s="1"/>
  <c r="N5743" i="23" s="1"/>
  <c r="K5769" i="23"/>
  <c r="L5769" i="23" s="1"/>
  <c r="M5769" i="23" a="1"/>
  <c r="M5769" i="23" s="1"/>
  <c r="N5769" i="23" s="1"/>
  <c r="K5720" i="23"/>
  <c r="L5720" i="23" s="1"/>
  <c r="M5720" i="23" a="1"/>
  <c r="M5720" i="23" s="1"/>
  <c r="N5720" i="23" s="1"/>
  <c r="K5811" i="23"/>
  <c r="L5811" i="23" s="1"/>
  <c r="M5811" i="23" a="1"/>
  <c r="M5811" i="23" s="1"/>
  <c r="N5811" i="23" s="1"/>
  <c r="K5765" i="23"/>
  <c r="L5765" i="23" s="1"/>
  <c r="M5765" i="23" a="1"/>
  <c r="M5765" i="23" s="1"/>
  <c r="N5765" i="23" s="1"/>
  <c r="K5740" i="23"/>
  <c r="L5740" i="23" s="1"/>
  <c r="M5740" i="23" a="1"/>
  <c r="M5740" i="23" s="1"/>
  <c r="N5740" i="23" s="1"/>
  <c r="K5736" i="23"/>
  <c r="L5736" i="23" s="1"/>
  <c r="M5736" i="23" a="1"/>
  <c r="M5736" i="23" s="1"/>
  <c r="N5736" i="23" s="1"/>
  <c r="K5719" i="23" l="1"/>
  <c r="L5719" i="23" s="1"/>
  <c r="M5719" i="23" a="1"/>
  <c r="M5719" i="23" s="1"/>
  <c r="N5719" i="23" s="1"/>
  <c r="K5782" i="23"/>
  <c r="L5782" i="23" s="1"/>
  <c r="M5782" i="23" a="1"/>
  <c r="M5782" i="23" s="1"/>
  <c r="N5782" i="23" s="1"/>
  <c r="K5746" i="23"/>
  <c r="L5746" i="23" s="1"/>
  <c r="M5746" i="23" a="1"/>
  <c r="M5746" i="23" s="1"/>
  <c r="N5746" i="23" s="1"/>
  <c r="K5727" i="23"/>
  <c r="L5727" i="23" s="1"/>
  <c r="M5727" i="23" a="1"/>
  <c r="M5727" i="23" s="1"/>
  <c r="N5727" i="23" s="1"/>
  <c r="K5737" i="23"/>
  <c r="L5737" i="23" s="1"/>
  <c r="M5737" i="23" a="1"/>
  <c r="M5737" i="23" s="1"/>
  <c r="N5737" i="23" s="1"/>
  <c r="K5715" i="23"/>
  <c r="L5715" i="23" s="1"/>
  <c r="M5715" i="23" a="1"/>
  <c r="M5715" i="23" s="1"/>
  <c r="N5715" i="23" s="1"/>
  <c r="K6050" i="23" l="1"/>
  <c r="L6050" i="23" s="1"/>
  <c r="M6050" i="23" a="1"/>
  <c r="M6050" i="23" s="1"/>
  <c r="N6050" i="23" s="1"/>
  <c r="K6124" i="23"/>
  <c r="L6124" i="23" s="1"/>
  <c r="M6124" i="23" a="1"/>
  <c r="M6124" i="23" s="1"/>
  <c r="N6124" i="23" s="1"/>
  <c r="K6130" i="23"/>
  <c r="L6130" i="23" s="1"/>
  <c r="M6130" i="23" a="1"/>
  <c r="M6130" i="23" s="1"/>
  <c r="N6130" i="23" s="1"/>
  <c r="K6072" i="23"/>
  <c r="L6072" i="23" s="1"/>
  <c r="M6072" i="23" a="1"/>
  <c r="M6072" i="23" s="1"/>
  <c r="N6072" i="23" s="1"/>
  <c r="K6008" i="23"/>
  <c r="L6008" i="23" s="1"/>
  <c r="M6008" i="23" a="1"/>
  <c r="M6008" i="23" s="1"/>
  <c r="N6008" i="23" s="1"/>
  <c r="K6122" i="23"/>
  <c r="L6122" i="23" s="1"/>
  <c r="M6122" i="23" a="1"/>
  <c r="M6122" i="23" s="1"/>
  <c r="N6122" i="23" s="1"/>
  <c r="K6107" i="23"/>
  <c r="L6107" i="23" s="1"/>
  <c r="M6107" i="23" a="1"/>
  <c r="M6107" i="23" s="1"/>
  <c r="N6107" i="23" s="1"/>
  <c r="K5848" i="23"/>
  <c r="L5848" i="23" s="1"/>
  <c r="M5848" i="23" a="1"/>
  <c r="M5848" i="23" s="1"/>
  <c r="N5848" i="23" s="1"/>
  <c r="K5916" i="23"/>
  <c r="L5916" i="23" s="1"/>
  <c r="M5916" i="23" a="1"/>
  <c r="M5916" i="23" s="1"/>
  <c r="N5916" i="23" s="1"/>
  <c r="K5882" i="23"/>
  <c r="L5882" i="23" s="1"/>
  <c r="M5882" i="23" a="1"/>
  <c r="M5882" i="23" s="1"/>
  <c r="N5882" i="23" s="1"/>
  <c r="K5718" i="23"/>
  <c r="L5718" i="23" s="1"/>
  <c r="M5718" i="23" a="1"/>
  <c r="M5718" i="23" s="1"/>
  <c r="N5718" i="23" s="1"/>
  <c r="K5762" i="23"/>
  <c r="L5762" i="23" s="1"/>
  <c r="M5762" i="23" a="1"/>
  <c r="M5762" i="23" s="1"/>
  <c r="N5762" i="23" s="1"/>
  <c r="K5751" i="23"/>
  <c r="L5751" i="23" s="1"/>
  <c r="M5751" i="23" a="1"/>
  <c r="M5751" i="23" s="1"/>
  <c r="N5751" i="23" s="1"/>
  <c r="K5741" i="23"/>
  <c r="L5741" i="23" s="1"/>
  <c r="M5741" i="23" a="1"/>
  <c r="M5741" i="23" s="1"/>
  <c r="N5741" i="23" s="1"/>
  <c r="K5705" i="23"/>
  <c r="L5705" i="23" s="1"/>
  <c r="M5705" i="23" a="1"/>
  <c r="M5705" i="23" s="1"/>
  <c r="N5705" i="23" s="1"/>
  <c r="K6071" i="23" l="1"/>
  <c r="L6071" i="23" s="1"/>
  <c r="M6071" i="23" a="1"/>
  <c r="M6071" i="23" s="1"/>
  <c r="N6071" i="23" s="1"/>
  <c r="K6049" i="23"/>
  <c r="L6049" i="23" s="1"/>
  <c r="M6049" i="23" a="1"/>
  <c r="M6049" i="23" s="1"/>
  <c r="N6049" i="23" s="1"/>
  <c r="K6027" i="23"/>
  <c r="L6027" i="23" s="1"/>
  <c r="M6027" i="23" a="1"/>
  <c r="M6027" i="23" s="1"/>
  <c r="N6027" i="23" s="1"/>
  <c r="K6026" i="23"/>
  <c r="L6026" i="23" s="1"/>
  <c r="M6026" i="23" a="1"/>
  <c r="M6026" i="23" s="1"/>
  <c r="N6026" i="23" s="1"/>
  <c r="K6007" i="23"/>
  <c r="L6007" i="23" s="1"/>
  <c r="M6007" i="23" a="1"/>
  <c r="M6007" i="23" s="1"/>
  <c r="N6007" i="23" s="1"/>
  <c r="K5966" i="23"/>
  <c r="L5966" i="23" s="1"/>
  <c r="M5966" i="23" a="1"/>
  <c r="M5966" i="23" s="1"/>
  <c r="N5966" i="23" s="1"/>
  <c r="K5962" i="23"/>
  <c r="L5962" i="23" s="1"/>
  <c r="M5962" i="23" a="1"/>
  <c r="M5962" i="23" s="1"/>
  <c r="N5962" i="23" s="1"/>
  <c r="K5944" i="23"/>
  <c r="L5944" i="23" s="1"/>
  <c r="M5944" i="23" a="1"/>
  <c r="M5944" i="23" s="1"/>
  <c r="N5944" i="23" s="1"/>
  <c r="K5936" i="23"/>
  <c r="L5936" i="23" s="1"/>
  <c r="M5936" i="23" a="1"/>
  <c r="M5936" i="23" s="1"/>
  <c r="N5936" i="23" s="1"/>
  <c r="K5914" i="23"/>
  <c r="L5914" i="23" s="1"/>
  <c r="M5914" i="23" a="1"/>
  <c r="M5914" i="23" s="1"/>
  <c r="N5914" i="23" s="1"/>
  <c r="K5873" i="23"/>
  <c r="L5873" i="23" s="1"/>
  <c r="M5873" i="23" a="1"/>
  <c r="M5873" i="23" s="1"/>
  <c r="N5873" i="23" s="1"/>
  <c r="K5870" i="23"/>
  <c r="L5870" i="23" s="1"/>
  <c r="M5870" i="23" a="1"/>
  <c r="M5870" i="23" s="1"/>
  <c r="N5870" i="23" s="1"/>
  <c r="M5862" i="23" a="1"/>
  <c r="M5862" i="23" s="1"/>
  <c r="N5862" i="23" s="1"/>
  <c r="K5862" i="23"/>
  <c r="L5862" i="23" s="1"/>
  <c r="K5843" i="23"/>
  <c r="L5843" i="23" s="1"/>
  <c r="M5843" i="23" a="1"/>
  <c r="M5843" i="23" s="1"/>
  <c r="N5843" i="23" s="1"/>
  <c r="K5814" i="23"/>
  <c r="L5814" i="23" s="1"/>
  <c r="M5814" i="23" a="1"/>
  <c r="M5814" i="23" s="1"/>
  <c r="N5814" i="23" s="1"/>
  <c r="K5783" i="23"/>
  <c r="L5783" i="23" s="1"/>
  <c r="M5783" i="23" a="1"/>
  <c r="M5783" i="23" s="1"/>
  <c r="N5783" i="23" s="1"/>
  <c r="K5778" i="23"/>
  <c r="L5778" i="23" s="1"/>
  <c r="M5778" i="23" a="1"/>
  <c r="M5778" i="23" s="1"/>
  <c r="N5778" i="23" s="1"/>
  <c r="K5777" i="23"/>
  <c r="L5777" i="23" s="1"/>
  <c r="M5777" i="23" a="1"/>
  <c r="M5777" i="23" s="1"/>
  <c r="N5777" i="23" s="1"/>
  <c r="K6169" i="23" l="1"/>
  <c r="L6169" i="23" s="1"/>
  <c r="M6169" i="23" a="1"/>
  <c r="M6169" i="23" s="1"/>
  <c r="N6169" i="23" s="1"/>
  <c r="K5922" i="23"/>
  <c r="L5922" i="23" s="1"/>
  <c r="M5922" i="23" a="1"/>
  <c r="M5922" i="23" s="1"/>
  <c r="N5922" i="23" s="1"/>
  <c r="K5931" i="23"/>
  <c r="L5931" i="23" s="1"/>
  <c r="M5931" i="23" a="1"/>
  <c r="M5931" i="23" s="1"/>
  <c r="N5931" i="23" s="1"/>
  <c r="K6015" i="23"/>
  <c r="L6015" i="23" s="1"/>
  <c r="M6015" i="23" a="1"/>
  <c r="M6015" i="23" s="1"/>
  <c r="N6015" i="23" s="1"/>
  <c r="K6030" i="23"/>
  <c r="L6030" i="23" s="1"/>
  <c r="M6030" i="23" a="1"/>
  <c r="M6030" i="23" s="1"/>
  <c r="N6030" i="23" s="1"/>
  <c r="K5881" i="23"/>
  <c r="L5881" i="23" s="1"/>
  <c r="M5881" i="23" a="1"/>
  <c r="M5881" i="23" s="1"/>
  <c r="N5881" i="23" s="1"/>
  <c r="K6025" i="23"/>
  <c r="L6025" i="23" s="1"/>
  <c r="M6025" i="23" a="1"/>
  <c r="M6025" i="23" s="1"/>
  <c r="N6025" i="23" s="1"/>
  <c r="K5928" i="23"/>
  <c r="L5928" i="23" s="1"/>
  <c r="M5928" i="23" a="1"/>
  <c r="M5928" i="23" s="1"/>
  <c r="N5928" i="23" s="1"/>
  <c r="K6065" i="23"/>
  <c r="L6065" i="23" s="1"/>
  <c r="M6065" i="23" a="1"/>
  <c r="M6065" i="23" s="1"/>
  <c r="N6065" i="23" s="1"/>
  <c r="K6064" i="23"/>
  <c r="L6064" i="23" s="1"/>
  <c r="M6064" i="23" a="1"/>
  <c r="M6064" i="23" s="1"/>
  <c r="N6064" i="23" s="1"/>
  <c r="K5930" i="23"/>
  <c r="L5930" i="23" s="1"/>
  <c r="M5930" i="23" a="1"/>
  <c r="M5930" i="23" s="1"/>
  <c r="N5930" i="23" s="1"/>
  <c r="K5861" i="23" l="1"/>
  <c r="L5861" i="23" s="1"/>
  <c r="M5861" i="23" a="1"/>
  <c r="M5861" i="23" s="1"/>
  <c r="N5861" i="23" s="1"/>
  <c r="K6097" i="23" l="1"/>
  <c r="L6097" i="23" s="1"/>
  <c r="M6097" i="23" a="1"/>
  <c r="M6097" i="23" s="1"/>
  <c r="N6097" i="23" s="1"/>
  <c r="K6096" i="23"/>
  <c r="L6096" i="23" s="1"/>
  <c r="M6096" i="23" a="1"/>
  <c r="M6096" i="23" s="1"/>
  <c r="N6096" i="23" s="1"/>
  <c r="K6095" i="23"/>
  <c r="L6095" i="23" s="1"/>
  <c r="M6095" i="23" a="1"/>
  <c r="M6095" i="23" s="1"/>
  <c r="N6095" i="23" s="1"/>
  <c r="K6070" i="23"/>
  <c r="L6070" i="23" s="1"/>
  <c r="M6070" i="23" a="1"/>
  <c r="M6070" i="23" s="1"/>
  <c r="N6070" i="23" s="1"/>
  <c r="K6061" i="23"/>
  <c r="L6061" i="23" s="1"/>
  <c r="M6061" i="23" a="1"/>
  <c r="M6061" i="23" s="1"/>
  <c r="N6061" i="23" s="1"/>
  <c r="K6054" i="23"/>
  <c r="L6054" i="23" s="1"/>
  <c r="M6054" i="23" a="1"/>
  <c r="M6054" i="23" s="1"/>
  <c r="N6054" i="23" s="1"/>
  <c r="K6044" i="23"/>
  <c r="L6044" i="23" s="1"/>
  <c r="M6044" i="23" a="1"/>
  <c r="M6044" i="23" s="1"/>
  <c r="N6044" i="23" s="1"/>
  <c r="K6042" i="23"/>
  <c r="L6042" i="23" s="1"/>
  <c r="M6042" i="23" a="1"/>
  <c r="M6042" i="23" s="1"/>
  <c r="N6042" i="23" s="1"/>
  <c r="K6041" i="23"/>
  <c r="L6041" i="23" s="1"/>
  <c r="M6041" i="23" a="1"/>
  <c r="M6041" i="23" s="1"/>
  <c r="N6041" i="23" s="1"/>
  <c r="K6031" i="23"/>
  <c r="L6031" i="23" s="1"/>
  <c r="M6031" i="23" a="1"/>
  <c r="M6031" i="23" s="1"/>
  <c r="N6031" i="23" s="1"/>
  <c r="K6019" i="23"/>
  <c r="L6019" i="23" s="1"/>
  <c r="M6019" i="23" a="1"/>
  <c r="M6019" i="23" s="1"/>
  <c r="N6019" i="23" s="1"/>
  <c r="K5996" i="23"/>
  <c r="L5996" i="23" s="1"/>
  <c r="M5996" i="23" a="1"/>
  <c r="M5996" i="23" s="1"/>
  <c r="N5996" i="23" s="1"/>
  <c r="K5985" i="23"/>
  <c r="L5985" i="23" s="1"/>
  <c r="M5985" i="23" a="1"/>
  <c r="M5985" i="23" s="1"/>
  <c r="N5985" i="23" s="1"/>
  <c r="K5984" i="23"/>
  <c r="L5984" i="23" s="1"/>
  <c r="M5984" i="23" a="1"/>
  <c r="M5984" i="23" s="1"/>
  <c r="N5984" i="23" s="1"/>
  <c r="K5983" i="23"/>
  <c r="L5983" i="23" s="1"/>
  <c r="M5983" i="23" a="1"/>
  <c r="M5983" i="23" s="1"/>
  <c r="N5983" i="23" s="1"/>
  <c r="K5968" i="23"/>
  <c r="L5968" i="23" s="1"/>
  <c r="M5968" i="23" a="1"/>
  <c r="M5968" i="23" s="1"/>
  <c r="N5968" i="23" s="1"/>
  <c r="K5961" i="23"/>
  <c r="L5961" i="23" s="1"/>
  <c r="M5961" i="23" a="1"/>
  <c r="M5961" i="23" s="1"/>
  <c r="N5961" i="23" s="1"/>
  <c r="K5957" i="23"/>
  <c r="L5957" i="23" s="1"/>
  <c r="M5957" i="23" a="1"/>
  <c r="M5957" i="23" s="1"/>
  <c r="N5957" i="23" s="1"/>
  <c r="K5956" i="23"/>
  <c r="L5956" i="23" s="1"/>
  <c r="M5956" i="23" a="1"/>
  <c r="M5956" i="23" s="1"/>
  <c r="N5956" i="23" s="1"/>
  <c r="K5941" i="23"/>
  <c r="L5941" i="23" s="1"/>
  <c r="M5941" i="23" a="1"/>
  <c r="M5941" i="23" s="1"/>
  <c r="N5941" i="23" s="1"/>
  <c r="M5923" i="23" a="1"/>
  <c r="M5923" i="23" s="1"/>
  <c r="N5923" i="23" s="1"/>
  <c r="K5923" i="23"/>
  <c r="L5923" i="23" s="1"/>
  <c r="K5913" i="23"/>
  <c r="L5913" i="23" s="1"/>
  <c r="M5913" i="23" a="1"/>
  <c r="M5913" i="23" s="1"/>
  <c r="N5913" i="23" s="1"/>
  <c r="K5912" i="23"/>
  <c r="L5912" i="23" s="1"/>
  <c r="M5912" i="23" a="1"/>
  <c r="M5912" i="23" s="1"/>
  <c r="N5912" i="23" s="1"/>
  <c r="K5911" i="23"/>
  <c r="L5911" i="23" s="1"/>
  <c r="M5911" i="23" a="1"/>
  <c r="M5911" i="23" s="1"/>
  <c r="N5911" i="23" s="1"/>
  <c r="K5907" i="23"/>
  <c r="L5907" i="23" s="1"/>
  <c r="M5907" i="23" a="1"/>
  <c r="M5907" i="23" s="1"/>
  <c r="N5907" i="23" s="1"/>
  <c r="K5905" i="23"/>
  <c r="L5905" i="23" s="1"/>
  <c r="M5905" i="23" a="1"/>
  <c r="M5905" i="23" s="1"/>
  <c r="N5905" i="23" s="1"/>
  <c r="K5904" i="23"/>
  <c r="L5904" i="23" s="1"/>
  <c r="M5904" i="23" a="1"/>
  <c r="M5904" i="23" s="1"/>
  <c r="N5904" i="23" s="1"/>
  <c r="K5885" i="23"/>
  <c r="L5885" i="23" s="1"/>
  <c r="M5885" i="23" a="1"/>
  <c r="M5885" i="23" s="1"/>
  <c r="N5885" i="23" s="1"/>
  <c r="K5884" i="23"/>
  <c r="L5884" i="23" s="1"/>
  <c r="M5884" i="23" a="1"/>
  <c r="M5884" i="23" s="1"/>
  <c r="N5884" i="23" s="1"/>
  <c r="K5886" i="23"/>
  <c r="L5886" i="23" s="1"/>
  <c r="M5886" i="23" a="1"/>
  <c r="M5886" i="23" s="1"/>
  <c r="N5886" i="23" s="1"/>
  <c r="K5876" i="23"/>
  <c r="L5876" i="23" s="1"/>
  <c r="M5876" i="23" a="1"/>
  <c r="M5876" i="23" s="1"/>
  <c r="N5876" i="23" s="1"/>
  <c r="K5869" i="23"/>
  <c r="L5869" i="23" s="1"/>
  <c r="M5869" i="23" a="1"/>
  <c r="M5869" i="23" s="1"/>
  <c r="N5869" i="23" s="1"/>
  <c r="K5868" i="23"/>
  <c r="L5868" i="23" s="1"/>
  <c r="M5868" i="23" a="1"/>
  <c r="M5868" i="23" s="1"/>
  <c r="N5868" i="23" s="1"/>
  <c r="K5860" i="23"/>
  <c r="L5860" i="23" s="1"/>
  <c r="M5860" i="23" a="1"/>
  <c r="M5860" i="23" s="1"/>
  <c r="N5860" i="23" s="1"/>
  <c r="K5859" i="23"/>
  <c r="L5859" i="23" s="1"/>
  <c r="M5859" i="23" a="1"/>
  <c r="M5859" i="23" s="1"/>
  <c r="N5859" i="23" s="1"/>
  <c r="K5854" i="23"/>
  <c r="L5854" i="23" s="1"/>
  <c r="M5854" i="23" a="1"/>
  <c r="M5854" i="23" s="1"/>
  <c r="N5854" i="23" s="1"/>
  <c r="K5825" i="23"/>
  <c r="L5825" i="23" s="1"/>
  <c r="M5825" i="23" a="1"/>
  <c r="M5825" i="23" s="1"/>
  <c r="N5825" i="23" s="1"/>
  <c r="K5824" i="23"/>
  <c r="L5824" i="23" s="1"/>
  <c r="M5824" i="23" a="1"/>
  <c r="M5824" i="23" s="1"/>
  <c r="N5824" i="23" s="1"/>
  <c r="K5823" i="23"/>
  <c r="L5823" i="23" s="1"/>
  <c r="M5823" i="23" a="1"/>
  <c r="M5823" i="23" s="1"/>
  <c r="N5823" i="23" s="1"/>
  <c r="K5807" i="23"/>
  <c r="L5807" i="23" s="1"/>
  <c r="M5807" i="23" a="1"/>
  <c r="M5807" i="23" s="1"/>
  <c r="N5807" i="23" s="1"/>
  <c r="K5806" i="23"/>
  <c r="L5806" i="23" s="1"/>
  <c r="M5806" i="23" a="1"/>
  <c r="M5806" i="23" s="1"/>
  <c r="N5806" i="23" s="1"/>
  <c r="K5805" i="23"/>
  <c r="L5805" i="23" s="1"/>
  <c r="M5805" i="23" a="1"/>
  <c r="M5805" i="23" s="1"/>
  <c r="N5805" i="23" s="1"/>
  <c r="K5804" i="23"/>
  <c r="L5804" i="23" s="1"/>
  <c r="M5804" i="23" a="1"/>
  <c r="M5804" i="23" s="1"/>
  <c r="N5804" i="23" s="1"/>
  <c r="K5792" i="23"/>
  <c r="L5792" i="23" s="1"/>
  <c r="M5792" i="23" a="1"/>
  <c r="M5792" i="23" s="1"/>
  <c r="N5792" i="23" s="1"/>
  <c r="K6080" i="23" l="1"/>
  <c r="L6080" i="23" s="1"/>
  <c r="M6080" i="23" a="1"/>
  <c r="M6080" i="23" s="1"/>
  <c r="N6080" i="23" s="1"/>
  <c r="K6079" i="23"/>
  <c r="L6079" i="23" s="1"/>
  <c r="M6079" i="23" a="1"/>
  <c r="M6079" i="23" s="1"/>
  <c r="N6079" i="23" s="1"/>
  <c r="K6078" i="23"/>
  <c r="L6078" i="23" s="1"/>
  <c r="M6078" i="23" a="1"/>
  <c r="M6078" i="23" s="1"/>
  <c r="N6078" i="23" s="1"/>
  <c r="K6077" i="23"/>
  <c r="L6077" i="23" s="1"/>
  <c r="M6077" i="23" a="1"/>
  <c r="M6077" i="23" s="1"/>
  <c r="N6077" i="23" s="1"/>
  <c r="K6076" i="23"/>
  <c r="L6076" i="23" s="1"/>
  <c r="M6076" i="23" a="1"/>
  <c r="M6076" i="23" s="1"/>
  <c r="N6076" i="23" s="1"/>
  <c r="K6075" i="23"/>
  <c r="L6075" i="23" s="1"/>
  <c r="M6075" i="23" a="1"/>
  <c r="M6075" i="23" s="1"/>
  <c r="N6075" i="23" s="1"/>
  <c r="K6067" i="23" l="1"/>
  <c r="L6067" i="23" s="1"/>
  <c r="M6067" i="23" a="1"/>
  <c r="M6067" i="23" s="1"/>
  <c r="N6067" i="23" s="1"/>
  <c r="K6066" i="23"/>
  <c r="L6066" i="23" s="1"/>
  <c r="M6066" i="23" a="1"/>
  <c r="M6066" i="23" s="1"/>
  <c r="N6066" i="23" s="1"/>
  <c r="K6063" i="23"/>
  <c r="L6063" i="23" s="1"/>
  <c r="M6063" i="23" a="1"/>
  <c r="M6063" i="23" s="1"/>
  <c r="N6063" i="23" s="1"/>
  <c r="K6062" i="23"/>
  <c r="L6062" i="23" s="1"/>
  <c r="M6062" i="23" a="1"/>
  <c r="M6062" i="23" s="1"/>
  <c r="N6062" i="23" s="1"/>
  <c r="K6060" i="23"/>
  <c r="L6060" i="23" s="1"/>
  <c r="M6060" i="23" a="1"/>
  <c r="M6060" i="23" s="1"/>
  <c r="N6060" i="23" s="1"/>
  <c r="K6059" i="23"/>
  <c r="L6059" i="23" s="1"/>
  <c r="M6059" i="23" a="1"/>
  <c r="M6059" i="23" s="1"/>
  <c r="N6059" i="23" s="1"/>
  <c r="K6058" i="23"/>
  <c r="L6058" i="23" s="1"/>
  <c r="M6058" i="23" a="1"/>
  <c r="M6058" i="23" s="1"/>
  <c r="N6058" i="23" s="1"/>
  <c r="K6057" i="23" l="1"/>
  <c r="L6057" i="23" s="1"/>
  <c r="M6057" i="23" a="1"/>
  <c r="M6057" i="23" s="1"/>
  <c r="N6057" i="23" s="1"/>
  <c r="K6056" i="23"/>
  <c r="L6056" i="23" s="1"/>
  <c r="M6056" i="23" a="1"/>
  <c r="M6056" i="23" s="1"/>
  <c r="N6056" i="23" s="1"/>
  <c r="K6055" i="23"/>
  <c r="L6055" i="23" s="1"/>
  <c r="M6055" i="23" a="1"/>
  <c r="M6055" i="23" s="1"/>
  <c r="N6055" i="23" s="1"/>
  <c r="K6048" i="23"/>
  <c r="L6048" i="23" s="1"/>
  <c r="M6048" i="23" a="1"/>
  <c r="M6048" i="23" s="1"/>
  <c r="N6048" i="23" s="1"/>
  <c r="K6047" i="23"/>
  <c r="L6047" i="23" s="1"/>
  <c r="M6047" i="23" a="1"/>
  <c r="M6047" i="23" s="1"/>
  <c r="N6047" i="23" s="1"/>
  <c r="K6046" i="23"/>
  <c r="L6046" i="23" s="1"/>
  <c r="M6046" i="23" a="1"/>
  <c r="M6046" i="23" s="1"/>
  <c r="N6046" i="23" s="1"/>
  <c r="K6045" i="23"/>
  <c r="L6045" i="23" s="1"/>
  <c r="M6045" i="23" a="1"/>
  <c r="M6045" i="23" s="1"/>
  <c r="N6045" i="23" s="1"/>
  <c r="K6038" i="23"/>
  <c r="L6038" i="23" s="1"/>
  <c r="M6038" i="23" a="1"/>
  <c r="M6038" i="23" s="1"/>
  <c r="N6038" i="23" s="1"/>
  <c r="K6037" i="23"/>
  <c r="L6037" i="23" s="1"/>
  <c r="M6037" i="23" a="1"/>
  <c r="M6037" i="23" s="1"/>
  <c r="N6037" i="23" s="1"/>
  <c r="K6032" i="23"/>
  <c r="L6032" i="23" s="1"/>
  <c r="M6032" i="23" a="1"/>
  <c r="M6032" i="23" s="1"/>
  <c r="N6032" i="23" s="1"/>
  <c r="K6024" i="23"/>
  <c r="L6024" i="23" s="1"/>
  <c r="M6024" i="23" a="1"/>
  <c r="M6024" i="23" s="1"/>
  <c r="N6024" i="23" s="1"/>
  <c r="K6023" i="23"/>
  <c r="L6023" i="23" s="1"/>
  <c r="M6023" i="23" a="1"/>
  <c r="M6023" i="23" s="1"/>
  <c r="N6023" i="23" s="1"/>
  <c r="K6021" i="23"/>
  <c r="L6021" i="23" s="1"/>
  <c r="M6021" i="23" a="1"/>
  <c r="M6021" i="23" s="1"/>
  <c r="N6021" i="23" s="1"/>
  <c r="K6022" i="23"/>
  <c r="L6022" i="23" s="1"/>
  <c r="M6022" i="23" a="1"/>
  <c r="M6022" i="23" s="1"/>
  <c r="N6022" i="23" s="1"/>
  <c r="K6014" i="23"/>
  <c r="L6014" i="23" s="1"/>
  <c r="M6014" i="23" a="1"/>
  <c r="M6014" i="23" s="1"/>
  <c r="N6014" i="23" s="1"/>
  <c r="K6012" i="23"/>
  <c r="L6012" i="23" s="1"/>
  <c r="M6012" i="23" a="1"/>
  <c r="M6012" i="23" s="1"/>
  <c r="N6012" i="23" s="1"/>
  <c r="K6011" i="23"/>
  <c r="L6011" i="23" s="1"/>
  <c r="M6011" i="23" a="1"/>
  <c r="M6011" i="23" s="1"/>
  <c r="N6011" i="23" s="1"/>
  <c r="K6004" i="23"/>
  <c r="L6004" i="23" s="1"/>
  <c r="M6004" i="23" a="1"/>
  <c r="M6004" i="23" s="1"/>
  <c r="N6004" i="23" s="1"/>
  <c r="K6003" i="23"/>
  <c r="L6003" i="23" s="1"/>
  <c r="M6003" i="23" a="1"/>
  <c r="M6003" i="23" s="1"/>
  <c r="N6003" i="23" s="1"/>
  <c r="K6001" i="23"/>
  <c r="L6001" i="23" s="1"/>
  <c r="M6001" i="23" a="1"/>
  <c r="M6001" i="23" s="1"/>
  <c r="N6001" i="23" s="1"/>
  <c r="K6000" i="23"/>
  <c r="L6000" i="23" s="1"/>
  <c r="M6000" i="23" a="1"/>
  <c r="M6000" i="23" s="1"/>
  <c r="N6000" i="23" s="1"/>
  <c r="K5997" i="23"/>
  <c r="L5997" i="23" s="1"/>
  <c r="M5997" i="23" a="1"/>
  <c r="M5997" i="23" s="1"/>
  <c r="N5997" i="23" s="1"/>
  <c r="K5993" i="23"/>
  <c r="L5993" i="23" s="1"/>
  <c r="M5993" i="23" a="1"/>
  <c r="M5993" i="23" s="1"/>
  <c r="N5993" i="23" s="1"/>
  <c r="K5992" i="23"/>
  <c r="L5992" i="23" s="1"/>
  <c r="M5992" i="23" a="1"/>
  <c r="M5992" i="23" s="1"/>
  <c r="N5992" i="23" s="1"/>
  <c r="K5991" i="23"/>
  <c r="L5991" i="23" s="1"/>
  <c r="M5991" i="23" a="1"/>
  <c r="M5991" i="23" s="1"/>
  <c r="N5991" i="23" s="1"/>
  <c r="K5990" i="23"/>
  <c r="L5990" i="23" s="1"/>
  <c r="M5990" i="23" a="1"/>
  <c r="M5990" i="23" s="1"/>
  <c r="N5990" i="23" s="1"/>
  <c r="K5989" i="23"/>
  <c r="L5989" i="23" s="1"/>
  <c r="M5989" i="23" a="1"/>
  <c r="M5989" i="23" s="1"/>
  <c r="N5989" i="23" s="1"/>
  <c r="K5988" i="23"/>
  <c r="L5988" i="23" s="1"/>
  <c r="M5988" i="23" a="1"/>
  <c r="M5988" i="23" s="1"/>
  <c r="N5988" i="23" s="1"/>
  <c r="K5977" i="23"/>
  <c r="L5977" i="23" s="1"/>
  <c r="M5977" i="23" a="1"/>
  <c r="M5977" i="23" s="1"/>
  <c r="N5977" i="23" s="1"/>
  <c r="K5976" i="23"/>
  <c r="L5976" i="23" s="1"/>
  <c r="M5976" i="23" a="1"/>
  <c r="M5976" i="23" s="1"/>
  <c r="N5976" i="23" s="1"/>
  <c r="K5975" i="23"/>
  <c r="L5975" i="23" s="1"/>
  <c r="M5975" i="23" a="1"/>
  <c r="M5975" i="23" s="1"/>
  <c r="N5975" i="23" s="1"/>
  <c r="K5974" i="23"/>
  <c r="L5974" i="23" s="1"/>
  <c r="M5974" i="23" a="1"/>
  <c r="M5974" i="23" s="1"/>
  <c r="N5974" i="23" s="1"/>
  <c r="K5973" i="23"/>
  <c r="L5973" i="23" s="1"/>
  <c r="M5973" i="23" a="1"/>
  <c r="M5973" i="23" s="1"/>
  <c r="N5973" i="23" s="1"/>
  <c r="K5972" i="23"/>
  <c r="L5972" i="23" s="1"/>
  <c r="M5972" i="23" a="1"/>
  <c r="M5972" i="23" s="1"/>
  <c r="N5972" i="23" s="1"/>
  <c r="K5971" i="23"/>
  <c r="L5971" i="23" s="1"/>
  <c r="M5971" i="23" a="1"/>
  <c r="M5971" i="23" s="1"/>
  <c r="N5971" i="23" s="1"/>
  <c r="K5970" i="23"/>
  <c r="L5970" i="23" s="1"/>
  <c r="M5970" i="23" a="1"/>
  <c r="M5970" i="23" s="1"/>
  <c r="N5970" i="23" s="1"/>
  <c r="K5967" i="23"/>
  <c r="L5967" i="23" s="1"/>
  <c r="M5967" i="23" a="1"/>
  <c r="M5967" i="23" s="1"/>
  <c r="N5967" i="23" s="1"/>
  <c r="K5965" i="23"/>
  <c r="L5965" i="23" s="1"/>
  <c r="M5965" i="23" a="1"/>
  <c r="M5965" i="23" s="1"/>
  <c r="N5965" i="23" s="1"/>
  <c r="K5964" i="23"/>
  <c r="L5964" i="23" s="1"/>
  <c r="M5964" i="23" a="1"/>
  <c r="M5964" i="23" s="1"/>
  <c r="N5964" i="23" s="1"/>
  <c r="K5963" i="23"/>
  <c r="L5963" i="23" s="1"/>
  <c r="M5963" i="23" a="1"/>
  <c r="M5963" i="23" s="1"/>
  <c r="N5963" i="23" s="1"/>
  <c r="K5960" i="23"/>
  <c r="L5960" i="23" s="1"/>
  <c r="M5960" i="23" a="1"/>
  <c r="M5960" i="23" s="1"/>
  <c r="N5960" i="23" s="1"/>
  <c r="K5959" i="23"/>
  <c r="L5959" i="23" s="1"/>
  <c r="M5959" i="23" a="1"/>
  <c r="M5959" i="23" s="1"/>
  <c r="N5959" i="23" s="1"/>
  <c r="K5955" i="23"/>
  <c r="L5955" i="23" s="1"/>
  <c r="M5955" i="23" a="1"/>
  <c r="M5955" i="23" s="1"/>
  <c r="N5955" i="23" s="1"/>
  <c r="K5951" i="23"/>
  <c r="L5951" i="23" s="1"/>
  <c r="M5951" i="23" a="1"/>
  <c r="M5951" i="23" s="1"/>
  <c r="N5951" i="23" s="1"/>
  <c r="K5950" i="23"/>
  <c r="L5950" i="23" s="1"/>
  <c r="M5950" i="23" a="1"/>
  <c r="M5950" i="23" s="1"/>
  <c r="N5950" i="23" s="1"/>
  <c r="K5952" i="23"/>
  <c r="L5952" i="23" s="1"/>
  <c r="M5952" i="23" a="1"/>
  <c r="M5952" i="23" s="1"/>
  <c r="N5952" i="23" s="1"/>
  <c r="K5947" i="23"/>
  <c r="L5947" i="23" s="1"/>
  <c r="M5947" i="23" a="1"/>
  <c r="M5947" i="23" s="1"/>
  <c r="N5947" i="23" s="1"/>
  <c r="K5945" i="23"/>
  <c r="L5945" i="23" s="1"/>
  <c r="M5945" i="23" a="1"/>
  <c r="M5945" i="23" s="1"/>
  <c r="N5945" i="23" s="1"/>
  <c r="K5942" i="23"/>
  <c r="L5942" i="23" s="1"/>
  <c r="M5942" i="23" a="1"/>
  <c r="M5942" i="23" s="1"/>
  <c r="N5942" i="23" s="1"/>
  <c r="K5940" i="23"/>
  <c r="L5940" i="23" s="1"/>
  <c r="M5940" i="23" a="1"/>
  <c r="M5940" i="23" s="1"/>
  <c r="N5940" i="23" s="1"/>
  <c r="K5939" i="23"/>
  <c r="L5939" i="23" s="1"/>
  <c r="M5939" i="23" a="1"/>
  <c r="M5939" i="23" s="1"/>
  <c r="N5939" i="23" s="1"/>
  <c r="K5937" i="23"/>
  <c r="L5937" i="23" s="1"/>
  <c r="M5937" i="23" a="1"/>
  <c r="M5937" i="23" s="1"/>
  <c r="N5937" i="23" s="1"/>
  <c r="K5938" i="23"/>
  <c r="L5938" i="23" s="1"/>
  <c r="M5938" i="23" a="1"/>
  <c r="M5938" i="23" s="1"/>
  <c r="N5938" i="23" s="1"/>
  <c r="K5935" i="23"/>
  <c r="L5935" i="23" s="1"/>
  <c r="M5935" i="23" a="1"/>
  <c r="M5935" i="23" s="1"/>
  <c r="N5935" i="23" s="1"/>
  <c r="K5932" i="23"/>
  <c r="L5932" i="23" s="1"/>
  <c r="M5932" i="23" a="1"/>
  <c r="M5932" i="23" s="1"/>
  <c r="N5932" i="23" s="1"/>
  <c r="K5927" i="23"/>
  <c r="L5927" i="23" s="1"/>
  <c r="M5927" i="23" a="1"/>
  <c r="M5927" i="23" s="1"/>
  <c r="N5927" i="23" s="1"/>
  <c r="K5926" i="23"/>
  <c r="L5926" i="23" s="1"/>
  <c r="M5926" i="23" a="1"/>
  <c r="M5926" i="23" s="1"/>
  <c r="N5926" i="23" s="1"/>
  <c r="K5921" i="23"/>
  <c r="L5921" i="23" s="1"/>
  <c r="M5921" i="23" a="1"/>
  <c r="M5921" i="23" s="1"/>
  <c r="N5921" i="23" s="1"/>
  <c r="K5920" i="23"/>
  <c r="L5920" i="23" s="1"/>
  <c r="M5920" i="23" a="1"/>
  <c r="M5920" i="23" s="1"/>
  <c r="N5920" i="23" s="1"/>
  <c r="K5909" i="23"/>
  <c r="L5909" i="23" s="1"/>
  <c r="M5909" i="23" a="1"/>
  <c r="M5909" i="23" s="1"/>
  <c r="N5909" i="23" s="1"/>
  <c r="K5908" i="23"/>
  <c r="L5908" i="23" s="1"/>
  <c r="M5908" i="23" a="1"/>
  <c r="M5908" i="23" s="1"/>
  <c r="N5908" i="23" s="1"/>
  <c r="K5903" i="23"/>
  <c r="L5903" i="23" s="1"/>
  <c r="M5903" i="23" a="1"/>
  <c r="M5903" i="23" s="1"/>
  <c r="N5903" i="23" s="1"/>
  <c r="K5902" i="23"/>
  <c r="L5902" i="23" s="1"/>
  <c r="M5902" i="23" a="1"/>
  <c r="M5902" i="23" s="1"/>
  <c r="N5902" i="23" s="1"/>
  <c r="K5901" i="23"/>
  <c r="L5901" i="23" s="1"/>
  <c r="M5901" i="23" a="1"/>
  <c r="M5901" i="23" s="1"/>
  <c r="N5901" i="23" s="1"/>
  <c r="K5899" i="23"/>
  <c r="L5899" i="23" s="1"/>
  <c r="M5899" i="23" a="1"/>
  <c r="M5899" i="23" s="1"/>
  <c r="N5899" i="23" s="1"/>
  <c r="K5900" i="23"/>
  <c r="L5900" i="23" s="1"/>
  <c r="M5900" i="23" a="1"/>
  <c r="M5900" i="23" s="1"/>
  <c r="N5900" i="23" s="1"/>
  <c r="K5898" i="23"/>
  <c r="L5898" i="23" s="1"/>
  <c r="M5898" i="23" a="1"/>
  <c r="M5898" i="23" s="1"/>
  <c r="N5898" i="23" s="1"/>
  <c r="K5892" i="23"/>
  <c r="L5892" i="23" s="1"/>
  <c r="M5892" i="23" a="1"/>
  <c r="M5892" i="23" s="1"/>
  <c r="N5892" i="23" s="1"/>
  <c r="K5891" i="23"/>
  <c r="L5891" i="23" s="1"/>
  <c r="M5891" i="23" a="1"/>
  <c r="M5891" i="23" s="1"/>
  <c r="N5891" i="23" s="1"/>
  <c r="K5890" i="23"/>
  <c r="L5890" i="23" s="1"/>
  <c r="M5890" i="23" a="1"/>
  <c r="M5890" i="23" s="1"/>
  <c r="N5890" i="23" s="1"/>
  <c r="K5889" i="23"/>
  <c r="L5889" i="23" s="1"/>
  <c r="M5889" i="23" a="1"/>
  <c r="M5889" i="23" s="1"/>
  <c r="N5889" i="23" s="1"/>
  <c r="K5888" i="23"/>
  <c r="L5888" i="23" s="1"/>
  <c r="M5888" i="23" a="1"/>
  <c r="M5888" i="23" s="1"/>
  <c r="N5888" i="23" s="1"/>
  <c r="K5887" i="23"/>
  <c r="L5887" i="23" s="1"/>
  <c r="M5887" i="23" a="1"/>
  <c r="M5887" i="23" s="1"/>
  <c r="N5887" i="23" s="1"/>
  <c r="K5880" i="23"/>
  <c r="L5880" i="23" s="1"/>
  <c r="M5880" i="23" a="1"/>
  <c r="M5880" i="23" s="1"/>
  <c r="N5880" i="23" s="1"/>
  <c r="K5879" i="23"/>
  <c r="L5879" i="23" s="1"/>
  <c r="M5879" i="23" a="1"/>
  <c r="M5879" i="23" s="1"/>
  <c r="N5879" i="23" s="1"/>
  <c r="K5875" i="23"/>
  <c r="L5875" i="23" s="1"/>
  <c r="M5875" i="23" a="1"/>
  <c r="M5875" i="23" s="1"/>
  <c r="N5875" i="23" s="1"/>
  <c r="K5874" i="23"/>
  <c r="L5874" i="23" s="1"/>
  <c r="M5874" i="23" a="1"/>
  <c r="M5874" i="23" s="1"/>
  <c r="N5874" i="23" s="1"/>
  <c r="K5871" i="23"/>
  <c r="L5871" i="23" s="1"/>
  <c r="M5871" i="23" a="1"/>
  <c r="M5871" i="23" s="1"/>
  <c r="N5871" i="23" s="1"/>
  <c r="K5867" i="23"/>
  <c r="L5867" i="23" s="1"/>
  <c r="M5867" i="23" a="1"/>
  <c r="M5867" i="23" s="1"/>
  <c r="N5867" i="23" s="1"/>
  <c r="K5866" i="23"/>
  <c r="L5866" i="23" s="1"/>
  <c r="M5866" i="23" a="1"/>
  <c r="M5866" i="23" s="1"/>
  <c r="N5866" i="23" s="1"/>
  <c r="K5865" i="23"/>
  <c r="L5865" i="23" s="1"/>
  <c r="M5865" i="23" a="1"/>
  <c r="M5865" i="23" s="1"/>
  <c r="N5865" i="23" s="1"/>
  <c r="K5858" i="23"/>
  <c r="L5858" i="23" s="1"/>
  <c r="M5858" i="23" a="1"/>
  <c r="M5858" i="23" s="1"/>
  <c r="N5858" i="23" s="1"/>
  <c r="K5853" i="23" l="1"/>
  <c r="L5853" i="23" s="1"/>
  <c r="M5853" i="23" a="1"/>
  <c r="M5853" i="23" s="1"/>
  <c r="N5853" i="23" s="1"/>
  <c r="K5852" i="23"/>
  <c r="L5852" i="23" s="1"/>
  <c r="M5852" i="23" a="1"/>
  <c r="M5852" i="23" s="1"/>
  <c r="N5852" i="23" s="1"/>
  <c r="K5851" i="23"/>
  <c r="L5851" i="23" s="1"/>
  <c r="M5851" i="23" a="1"/>
  <c r="M5851" i="23" s="1"/>
  <c r="N5851" i="23" s="1"/>
  <c r="K5847" i="23"/>
  <c r="L5847" i="23" s="1"/>
  <c r="M5847" i="23" a="1"/>
  <c r="M5847" i="23" s="1"/>
  <c r="N5847" i="23" s="1"/>
  <c r="K5845" i="23"/>
  <c r="L5845" i="23" s="1"/>
  <c r="M5845" i="23" a="1"/>
  <c r="M5845" i="23" s="1"/>
  <c r="N5845" i="23" s="1"/>
  <c r="K5840" i="23"/>
  <c r="L5840" i="23" s="1"/>
  <c r="M5840" i="23" a="1"/>
  <c r="M5840" i="23" s="1"/>
  <c r="N5840" i="23" s="1"/>
  <c r="K5839" i="23"/>
  <c r="L5839" i="23" s="1"/>
  <c r="M5839" i="23" a="1"/>
  <c r="M5839" i="23" s="1"/>
  <c r="N5839" i="23" s="1"/>
  <c r="K5836" i="23"/>
  <c r="L5836" i="23" s="1"/>
  <c r="M5836" i="23" a="1"/>
  <c r="M5836" i="23" s="1"/>
  <c r="N5836" i="23" s="1"/>
  <c r="K5835" i="23"/>
  <c r="L5835" i="23" s="1"/>
  <c r="M5835" i="23" a="1"/>
  <c r="M5835" i="23" s="1"/>
  <c r="N5835" i="23" s="1"/>
  <c r="K5834" i="23"/>
  <c r="L5834" i="23" s="1"/>
  <c r="M5834" i="23" a="1"/>
  <c r="M5834" i="23" s="1"/>
  <c r="N5834" i="23" s="1"/>
  <c r="K5833" i="23"/>
  <c r="L5833" i="23" s="1"/>
  <c r="M5833" i="23" a="1"/>
  <c r="M5833" i="23" s="1"/>
  <c r="N5833" i="23" s="1"/>
  <c r="K5832" i="23"/>
  <c r="L5832" i="23" s="1"/>
  <c r="M5832" i="23" a="1"/>
  <c r="M5832" i="23" s="1"/>
  <c r="N5832" i="23" s="1"/>
  <c r="K5822" i="23" l="1"/>
  <c r="L5822" i="23" s="1"/>
  <c r="M5822" i="23" a="1"/>
  <c r="M5822" i="23" s="1"/>
  <c r="N5822" i="23" s="1"/>
  <c r="K5819" i="23" l="1"/>
  <c r="L5819" i="23" s="1"/>
  <c r="M5819" i="23" a="1"/>
  <c r="M5819" i="23" s="1"/>
  <c r="N5819" i="23" s="1"/>
  <c r="K5818" i="23"/>
  <c r="L5818" i="23" s="1"/>
  <c r="M5818" i="23" a="1"/>
  <c r="M5818" i="23" s="1"/>
  <c r="N5818" i="23" s="1"/>
  <c r="K5816" i="23"/>
  <c r="L5816" i="23" s="1"/>
  <c r="M5816" i="23" a="1"/>
  <c r="M5816" i="23" s="1"/>
  <c r="N5816" i="23" s="1"/>
  <c r="K5815" i="23"/>
  <c r="L5815" i="23" s="1"/>
  <c r="M5815" i="23" a="1"/>
  <c r="M5815" i="23" s="1"/>
  <c r="N5815" i="23" s="1"/>
  <c r="K5812" i="23"/>
  <c r="L5812" i="23" s="1"/>
  <c r="M5812" i="23" a="1"/>
  <c r="M5812" i="23" s="1"/>
  <c r="N5812" i="23" s="1"/>
  <c r="K5803" i="23"/>
  <c r="L5803" i="23" s="1"/>
  <c r="M5803" i="23" a="1"/>
  <c r="M5803" i="23" s="1"/>
  <c r="N5803" i="23" s="1"/>
  <c r="K5802" i="23" l="1"/>
  <c r="L5802" i="23" s="1"/>
  <c r="M5802" i="23" a="1"/>
  <c r="M5802" i="23" s="1"/>
  <c r="N5802" i="23" s="1"/>
  <c r="K5801" i="23"/>
  <c r="L5801" i="23" s="1"/>
  <c r="M5801" i="23" a="1"/>
  <c r="M5801" i="23" s="1"/>
  <c r="N5801" i="23" s="1"/>
  <c r="K5800" i="23"/>
  <c r="L5800" i="23" s="1"/>
  <c r="M5800" i="23" a="1"/>
  <c r="M5800" i="23" s="1"/>
  <c r="N5800" i="23" s="1"/>
  <c r="K5799" i="23"/>
  <c r="L5799" i="23" s="1"/>
  <c r="M5799" i="23" a="1"/>
  <c r="M5799" i="23" s="1"/>
  <c r="N5799" i="23" s="1"/>
  <c r="K5798" i="23"/>
  <c r="L5798" i="23" s="1"/>
  <c r="M5798" i="23" a="1"/>
  <c r="M5798" i="23" s="1"/>
  <c r="N5798" i="23" s="1"/>
  <c r="K5794" i="23"/>
  <c r="L5794" i="23" s="1"/>
  <c r="M5794" i="23" a="1"/>
  <c r="M5794" i="23" s="1"/>
  <c r="N5794" i="23" s="1"/>
  <c r="K5793" i="23"/>
  <c r="L5793" i="23" s="1"/>
  <c r="M5793" i="23" a="1"/>
  <c r="M5793" i="23" s="1"/>
  <c r="N5793" i="23" s="1"/>
  <c r="K5789" i="23"/>
  <c r="L5789" i="23" s="1"/>
  <c r="M5789" i="23" a="1"/>
  <c r="M5789" i="23" s="1"/>
  <c r="N5789" i="23" s="1"/>
  <c r="K5788" i="23"/>
  <c r="L5788" i="23" s="1"/>
  <c r="M5788" i="23" a="1"/>
  <c r="M5788" i="23" s="1"/>
  <c r="N5788" i="23" s="1"/>
  <c r="K5786" i="23"/>
  <c r="L5786" i="23" s="1"/>
  <c r="M5786" i="23" a="1"/>
  <c r="M5786" i="23" s="1"/>
  <c r="N5786" i="23" s="1"/>
  <c r="K5785" i="23"/>
  <c r="L5785" i="23" s="1"/>
  <c r="M5785" i="23" a="1"/>
  <c r="M5785" i="23" s="1"/>
  <c r="N5785" i="23" s="1"/>
  <c r="K5784" i="23"/>
  <c r="L5784" i="23" s="1"/>
  <c r="M5784" i="23" a="1"/>
  <c r="M5784" i="23" s="1"/>
  <c r="N5784" i="23" s="1"/>
  <c r="K5773" i="23"/>
  <c r="L5773" i="23" s="1"/>
  <c r="M5773" i="23" a="1"/>
  <c r="M5773" i="23" s="1"/>
  <c r="N5773" i="23" s="1"/>
  <c r="K5772" i="23"/>
  <c r="L5772" i="23" s="1"/>
  <c r="M5772" i="23" a="1"/>
  <c r="M5772" i="23" s="1"/>
  <c r="N5772" i="23" s="1"/>
  <c r="K5771" i="23"/>
  <c r="L5771" i="23" s="1"/>
  <c r="M5771" i="23" a="1"/>
  <c r="M5771" i="23" s="1"/>
  <c r="N5771" i="23" s="1"/>
  <c r="K5768" i="23"/>
  <c r="L5768" i="23" s="1"/>
  <c r="M5768" i="23" a="1"/>
  <c r="M5768" i="23" s="1"/>
  <c r="N5768" i="23" s="1"/>
  <c r="K5726" i="23" l="1"/>
  <c r="L5726" i="23" s="1"/>
  <c r="M5726" i="23" a="1"/>
  <c r="M5726" i="23" s="1"/>
  <c r="N5726" i="23" s="1"/>
  <c r="M5725" i="23" a="1"/>
  <c r="M5725" i="23" s="1"/>
  <c r="N5725" i="23" s="1"/>
  <c r="K5725" i="23"/>
  <c r="L5725" i="23" s="1"/>
  <c r="K5724" i="23"/>
  <c r="L5724" i="23" s="1"/>
  <c r="M5724" i="23" a="1"/>
  <c r="M5724" i="23" s="1"/>
  <c r="N5724" i="23" s="1"/>
  <c r="K5723" i="23"/>
  <c r="L5723" i="23" s="1"/>
  <c r="M5723" i="23" a="1"/>
  <c r="M5723" i="23" s="1"/>
  <c r="N5723" i="23" s="1"/>
  <c r="K5713" i="23"/>
  <c r="L5713" i="23" s="1"/>
  <c r="M5713" i="23" a="1"/>
  <c r="M5713" i="23" s="1"/>
  <c r="N5713" i="23" s="1"/>
  <c r="K5706" i="23"/>
  <c r="L5706" i="23" s="1"/>
  <c r="M5706" i="23" a="1"/>
  <c r="M5706" i="23" s="1"/>
  <c r="N5706" i="23" s="1"/>
  <c r="K5702" i="23"/>
  <c r="L5702" i="23" s="1"/>
  <c r="M5702" i="23" a="1"/>
  <c r="M5702" i="23" s="1"/>
  <c r="N5702" i="23" s="1"/>
  <c r="K5701" i="23"/>
  <c r="L5701" i="23" s="1"/>
  <c r="M5701" i="23" a="1"/>
  <c r="M5701" i="23" s="1"/>
  <c r="N5701" i="23" s="1"/>
  <c r="K5699" i="23"/>
  <c r="L5699" i="23" s="1"/>
  <c r="M5699" i="23" a="1"/>
  <c r="M5699" i="23" s="1"/>
  <c r="N5699" i="23" s="1"/>
  <c r="K5695" i="23"/>
  <c r="L5695" i="23" s="1"/>
  <c r="M5695" i="23" a="1"/>
  <c r="M5695" i="23" s="1"/>
  <c r="N5695" i="23" s="1"/>
  <c r="K5694" i="23"/>
  <c r="L5694" i="23" s="1"/>
  <c r="M5694" i="23" a="1"/>
  <c r="M5694" i="23" s="1"/>
  <c r="N5694" i="23" s="1"/>
  <c r="K5692" i="23"/>
  <c r="L5692" i="23" s="1"/>
  <c r="M5692" i="23" a="1"/>
  <c r="M5692" i="23" s="1"/>
  <c r="N5692" i="23" s="1"/>
  <c r="K5693" i="23"/>
  <c r="L5693" i="23" s="1"/>
  <c r="M5693" i="23" a="1"/>
  <c r="M5693" i="23" s="1"/>
  <c r="N5693" i="23" s="1"/>
  <c r="K5691" i="23"/>
  <c r="L5691" i="23" s="1"/>
  <c r="M5691" i="23" a="1"/>
  <c r="M5691" i="23" s="1"/>
  <c r="N5691" i="23" s="1"/>
  <c r="K5689" i="23"/>
  <c r="L5689" i="23" s="1"/>
  <c r="M5689" i="23" a="1"/>
  <c r="M5689" i="23" s="1"/>
  <c r="N5689" i="23" s="1"/>
  <c r="K5688" i="23"/>
  <c r="L5688" i="23" s="1"/>
  <c r="M5688" i="23" a="1"/>
  <c r="M5688" i="23" s="1"/>
  <c r="N5688" i="23" s="1"/>
  <c r="K5686" i="23"/>
  <c r="L5686" i="23" s="1"/>
  <c r="M5686" i="23" a="1"/>
  <c r="M5686" i="23" s="1"/>
  <c r="N5686" i="23" s="1"/>
  <c r="K5683" i="23"/>
  <c r="L5683" i="23" s="1"/>
  <c r="M5683" i="23" a="1"/>
  <c r="M5683" i="23" s="1"/>
  <c r="N5683" i="23" s="1"/>
  <c r="K5684" i="23"/>
  <c r="L5684" i="23" s="1"/>
  <c r="M5684" i="23" a="1"/>
  <c r="M5684" i="23" s="1"/>
  <c r="N5684" i="23" s="1"/>
  <c r="K5685" i="23"/>
  <c r="L5685" i="23" s="1"/>
  <c r="M5685" i="23" a="1"/>
  <c r="M5685" i="23" s="1"/>
  <c r="N5685" i="23" s="1"/>
  <c r="K5679" i="23"/>
  <c r="L5679" i="23" s="1"/>
  <c r="M5679" i="23" a="1"/>
  <c r="M5679" i="23" s="1"/>
  <c r="N5679" i="23" s="1"/>
  <c r="K5678" i="23"/>
  <c r="L5678" i="23" s="1"/>
  <c r="M5678" i="23" a="1"/>
  <c r="M5678" i="23" s="1"/>
  <c r="N5678" i="23" s="1"/>
  <c r="K5682" i="23"/>
  <c r="L5682" i="23" s="1"/>
  <c r="M5682" i="23" a="1"/>
  <c r="M5682" i="23" s="1"/>
  <c r="N5682" i="23" s="1"/>
  <c r="K5681" i="23"/>
  <c r="L5681" i="23" s="1"/>
  <c r="M5681" i="23" a="1"/>
  <c r="M5681" i="23" s="1"/>
  <c r="N5681" i="23" s="1"/>
  <c r="K5680" i="23"/>
  <c r="L5680" i="23" s="1"/>
  <c r="M5680" i="23" a="1"/>
  <c r="M5680" i="23" s="1"/>
  <c r="N5680" i="23" s="1"/>
  <c r="K5674" i="23"/>
  <c r="L5674" i="23" s="1"/>
  <c r="M5674" i="23" a="1"/>
  <c r="M5674" i="23" s="1"/>
  <c r="N5674" i="23" s="1"/>
  <c r="K5676" i="23"/>
  <c r="L5676" i="23" s="1"/>
  <c r="M5676" i="23" a="1"/>
  <c r="M5676" i="23" s="1"/>
  <c r="N5676" i="23" s="1"/>
  <c r="K5677" i="23"/>
  <c r="L5677" i="23" s="1"/>
  <c r="M5677" i="23" a="1"/>
  <c r="M5677" i="23" s="1"/>
  <c r="N5677" i="23" s="1"/>
  <c r="K5669" i="23"/>
  <c r="L5669" i="23" s="1"/>
  <c r="M5669" i="23" a="1"/>
  <c r="M5669" i="23" s="1"/>
  <c r="N5669" i="23" s="1"/>
  <c r="K5671" i="23"/>
  <c r="L5671" i="23" s="1"/>
  <c r="M5671" i="23" a="1"/>
  <c r="M5671" i="23" s="1"/>
  <c r="N5671" i="23" s="1"/>
  <c r="K5673" i="23"/>
  <c r="L5673" i="23" s="1"/>
  <c r="M5673" i="23" a="1"/>
  <c r="M5673" i="23" s="1"/>
  <c r="N5673" i="23" s="1"/>
  <c r="K5672" i="23"/>
  <c r="L5672" i="23" s="1"/>
  <c r="M5672" i="23" a="1"/>
  <c r="M5672" i="23" s="1"/>
  <c r="N5672" i="23" s="1"/>
  <c r="K5668" i="23"/>
  <c r="L5668" i="23" s="1"/>
  <c r="M5668" i="23" a="1"/>
  <c r="M5668" i="23" s="1"/>
  <c r="N5668" i="23" s="1"/>
  <c r="K5665" i="23"/>
  <c r="L5665" i="23" s="1"/>
  <c r="M5665" i="23" a="1"/>
  <c r="M5665" i="23" s="1"/>
  <c r="N5665" i="23" s="1"/>
  <c r="K5667" i="23"/>
  <c r="L5667" i="23" s="1"/>
  <c r="M5667" i="23" a="1"/>
  <c r="M5667" i="23" s="1"/>
  <c r="N5667" i="23" s="1"/>
  <c r="K5666" i="23"/>
  <c r="L5666" i="23" s="1"/>
  <c r="M5666" i="23" a="1"/>
  <c r="M5666" i="23" s="1"/>
  <c r="N5666" i="23" s="1"/>
  <c r="K5663" i="23" l="1"/>
  <c r="L5663" i="23" s="1"/>
  <c r="M5663" i="23" a="1"/>
  <c r="M5663" i="23" s="1"/>
  <c r="N5663" i="23" s="1"/>
  <c r="K5664" i="23"/>
  <c r="L5664" i="23" s="1"/>
  <c r="M5664" i="23" a="1"/>
  <c r="M5664" i="23" s="1"/>
  <c r="N5664" i="23" s="1"/>
  <c r="K5661" i="23"/>
  <c r="L5661" i="23" s="1"/>
  <c r="M5661" i="23" a="1"/>
  <c r="M5661" i="23" s="1"/>
  <c r="N5661" i="23" s="1"/>
  <c r="K5660" i="23"/>
  <c r="L5660" i="23" s="1"/>
  <c r="M5660" i="23" a="1"/>
  <c r="M5660" i="23" s="1"/>
  <c r="N5660" i="23" s="1"/>
  <c r="K5659" i="23"/>
  <c r="L5659" i="23" s="1"/>
  <c r="M5659" i="23" a="1"/>
  <c r="M5659" i="23" s="1"/>
  <c r="N5659" i="23" s="1"/>
  <c r="K5650" i="23"/>
  <c r="L5650" i="23" s="1"/>
  <c r="M5650" i="23" a="1"/>
  <c r="M5650" i="23" s="1"/>
  <c r="N5650" i="23" s="1"/>
  <c r="K5675" i="23"/>
  <c r="L5675" i="23" s="1"/>
  <c r="M5675" i="23" a="1"/>
  <c r="M5675" i="23" s="1"/>
  <c r="N5675" i="23" s="1"/>
  <c r="K5670" i="23"/>
  <c r="L5670" i="23" s="1"/>
  <c r="M5670" i="23" a="1"/>
  <c r="M5670" i="23" s="1"/>
  <c r="N5670" i="23" s="1"/>
  <c r="K5707" i="23" l="1"/>
  <c r="L5707" i="23" s="1"/>
  <c r="M5707" i="23" a="1"/>
  <c r="M5707" i="23" s="1"/>
  <c r="N5707" i="23" s="1"/>
  <c r="K5700" i="23"/>
  <c r="L5700" i="23" s="1"/>
  <c r="M5700" i="23" a="1"/>
  <c r="M5700" i="23" s="1"/>
  <c r="N5700" i="23" s="1"/>
  <c r="K5708" i="23"/>
  <c r="L5708" i="23" s="1"/>
  <c r="M5708" i="23" a="1"/>
  <c r="M5708" i="23" s="1"/>
  <c r="N5708" i="23" s="1"/>
  <c r="M5739" i="23" a="1"/>
  <c r="M5739" i="23" s="1"/>
  <c r="N5739" i="23" s="1"/>
  <c r="K5739" i="23"/>
  <c r="L5739" i="23" s="1"/>
  <c r="K5729" i="23"/>
  <c r="L5729" i="23" s="1"/>
  <c r="M5729" i="23" a="1"/>
  <c r="M5729" i="23" s="1"/>
  <c r="N5729" i="23" s="1"/>
  <c r="K5658" i="23"/>
  <c r="L5658" i="23" s="1"/>
  <c r="M5658" i="23" a="1"/>
  <c r="M5658" i="23" s="1"/>
  <c r="N5658" i="23" s="1"/>
  <c r="K5657" i="23"/>
  <c r="L5657" i="23" s="1"/>
  <c r="M5657" i="23" a="1"/>
  <c r="M5657" i="23" s="1"/>
  <c r="N5657" i="23" s="1"/>
  <c r="K5656" i="23"/>
  <c r="L5656" i="23" s="1"/>
  <c r="M5656" i="23" a="1"/>
  <c r="M5656" i="23" s="1"/>
  <c r="N5656" i="23" s="1"/>
  <c r="K5655" i="23"/>
  <c r="L5655" i="23" s="1"/>
  <c r="M5655" i="23" a="1"/>
  <c r="M5655" i="23" s="1"/>
  <c r="N5655" i="23" s="1"/>
  <c r="K5654" i="23"/>
  <c r="L5654" i="23" s="1"/>
  <c r="M5654" i="23" a="1"/>
  <c r="M5654" i="23" s="1"/>
  <c r="N5654" i="23" s="1"/>
  <c r="K5653" i="23"/>
  <c r="L5653" i="23" s="1"/>
  <c r="M5653" i="23" a="1"/>
  <c r="M5653" i="23" s="1"/>
  <c r="N5653" i="23" s="1"/>
  <c r="K5652" i="23"/>
  <c r="L5652" i="23" s="1"/>
  <c r="M5652" i="23" a="1"/>
  <c r="M5652" i="23" s="1"/>
  <c r="N5652" i="23" s="1"/>
  <c r="M5662" i="23" a="1"/>
  <c r="M5662" i="23" s="1"/>
  <c r="N5662" i="23" s="1"/>
  <c r="K5662" i="23"/>
  <c r="L5662" i="23" s="1"/>
  <c r="K5622" i="23"/>
  <c r="L5622" i="23" s="1"/>
  <c r="M5622" i="23" a="1"/>
  <c r="M5622" i="23" s="1"/>
  <c r="N5622" i="23" s="1"/>
  <c r="K5599" i="23"/>
  <c r="L5599" i="23" s="1"/>
  <c r="M5599" i="23" a="1"/>
  <c r="M5599" i="23" s="1"/>
  <c r="N5599" i="23" s="1"/>
  <c r="K5523" i="23"/>
  <c r="L5523" i="23" s="1"/>
  <c r="M5523" i="23" a="1"/>
  <c r="M5523" i="23" s="1"/>
  <c r="N5523" i="23" s="1"/>
  <c r="K5531" i="23"/>
  <c r="L5531" i="23" s="1"/>
  <c r="M5531" i="23" a="1"/>
  <c r="M5531" i="23" s="1"/>
  <c r="N5531" i="23" s="1"/>
  <c r="K5515" i="23"/>
  <c r="L5515" i="23" s="1"/>
  <c r="M5515" i="23" a="1"/>
  <c r="M5515" i="23" s="1"/>
  <c r="N5515" i="23" s="1"/>
  <c r="K5441" i="23"/>
  <c r="L5441" i="23" s="1"/>
  <c r="M5441" i="23" a="1"/>
  <c r="M5441" i="23" s="1"/>
  <c r="N5441" i="23" s="1"/>
  <c r="K5603" i="23" l="1"/>
  <c r="L5603" i="23" s="1"/>
  <c r="M5603" i="23" a="1"/>
  <c r="M5603" i="23" s="1"/>
  <c r="N5603" i="23" s="1"/>
  <c r="K5589" i="23"/>
  <c r="L5589" i="23" s="1"/>
  <c r="M5589" i="23" a="1"/>
  <c r="M5589" i="23" s="1"/>
  <c r="N5589" i="23" s="1"/>
  <c r="K5569" i="23"/>
  <c r="L5569" i="23" s="1"/>
  <c r="M5569" i="23" a="1"/>
  <c r="M5569" i="23" s="1"/>
  <c r="N5569" i="23" s="1"/>
  <c r="K5624" i="23"/>
  <c r="L5624" i="23" s="1"/>
  <c r="M5624" i="23" a="1"/>
  <c r="M5624" i="23" s="1"/>
  <c r="N5624" i="23" s="1"/>
  <c r="K5596" i="23"/>
  <c r="L5596" i="23" s="1"/>
  <c r="M5596" i="23" a="1"/>
  <c r="M5596" i="23" s="1"/>
  <c r="N5596" i="23" s="1"/>
  <c r="K5575" i="23"/>
  <c r="L5575" i="23" s="1"/>
  <c r="M5575" i="23" a="1"/>
  <c r="M5575" i="23" s="1"/>
  <c r="N5575" i="23" s="1"/>
  <c r="K5581" i="23"/>
  <c r="L5581" i="23" s="1"/>
  <c r="M5581" i="23" a="1"/>
  <c r="M5581" i="23" s="1"/>
  <c r="N5581" i="23" s="1"/>
  <c r="K5601" i="23"/>
  <c r="L5601" i="23" s="1"/>
  <c r="M5601" i="23" a="1"/>
  <c r="M5601" i="23" s="1"/>
  <c r="N5601" i="23" s="1"/>
  <c r="K5605" i="23"/>
  <c r="L5605" i="23" s="1"/>
  <c r="M5605" i="23" a="1"/>
  <c r="M5605" i="23" s="1"/>
  <c r="N5605" i="23" s="1"/>
  <c r="K5611" i="23"/>
  <c r="L5611" i="23" s="1"/>
  <c r="M5611" i="23" a="1"/>
  <c r="M5611" i="23" s="1"/>
  <c r="N5611" i="23" s="1"/>
  <c r="K5619" i="23"/>
  <c r="L5619" i="23" s="1"/>
  <c r="M5619" i="23" a="1"/>
  <c r="M5619" i="23" s="1"/>
  <c r="N5619" i="23" s="1"/>
  <c r="K5626" i="23"/>
  <c r="L5626" i="23" s="1"/>
  <c r="M5626" i="23" a="1"/>
  <c r="M5626" i="23" s="1"/>
  <c r="N5626" i="23" s="1"/>
  <c r="K5600" i="23"/>
  <c r="L5600" i="23" s="1"/>
  <c r="M5600" i="23" a="1"/>
  <c r="M5600" i="23" s="1"/>
  <c r="N5600" i="23" s="1"/>
  <c r="K5625" i="23"/>
  <c r="L5625" i="23" s="1"/>
  <c r="M5625" i="23" a="1"/>
  <c r="M5625" i="23" s="1"/>
  <c r="N5625" i="23" s="1"/>
  <c r="K5602" i="23"/>
  <c r="L5602" i="23" s="1"/>
  <c r="M5602" i="23" a="1"/>
  <c r="M5602" i="23" s="1"/>
  <c r="N5602" i="23" s="1"/>
  <c r="K5584" i="23"/>
  <c r="L5584" i="23" s="1"/>
  <c r="M5584" i="23" a="1"/>
  <c r="M5584" i="23" s="1"/>
  <c r="N5584" i="23" s="1"/>
  <c r="K5621" i="23"/>
  <c r="L5621" i="23" s="1"/>
  <c r="M5621" i="23" a="1"/>
  <c r="M5621" i="23" s="1"/>
  <c r="N5621" i="23" s="1"/>
  <c r="K5590" i="23"/>
  <c r="L5590" i="23" s="1"/>
  <c r="M5590" i="23" a="1"/>
  <c r="M5590" i="23" s="1"/>
  <c r="N5590" i="23" s="1"/>
  <c r="K5617" i="23"/>
  <c r="L5617" i="23" s="1"/>
  <c r="M5617" i="23" a="1"/>
  <c r="M5617" i="23" s="1"/>
  <c r="N5617" i="23" s="1"/>
  <c r="K5579" i="23"/>
  <c r="L5579" i="23" s="1"/>
  <c r="M5579" i="23" a="1"/>
  <c r="M5579" i="23" s="1"/>
  <c r="N5579" i="23" s="1"/>
  <c r="K5630" i="23"/>
  <c r="L5630" i="23" s="1"/>
  <c r="M5630" i="23" a="1"/>
  <c r="M5630" i="23" s="1"/>
  <c r="N5630" i="23" s="1"/>
  <c r="K5628" i="23" l="1"/>
  <c r="L5628" i="23" s="1"/>
  <c r="M5628" i="23" a="1"/>
  <c r="M5628" i="23" s="1"/>
  <c r="N5628" i="23" s="1"/>
  <c r="K5636" i="23"/>
  <c r="L5636" i="23" s="1"/>
  <c r="M5636" i="23" a="1"/>
  <c r="M5636" i="23" s="1"/>
  <c r="N5636" i="23" s="1"/>
  <c r="K5627" i="23"/>
  <c r="L5627" i="23" s="1"/>
  <c r="M5627" i="23" a="1"/>
  <c r="M5627" i="23" s="1"/>
  <c r="N5627" i="23" s="1"/>
  <c r="K5593" i="23"/>
  <c r="L5593" i="23" s="1"/>
  <c r="M5593" i="23" a="1"/>
  <c r="M5593" i="23" s="1"/>
  <c r="N5593" i="23" s="1"/>
  <c r="K5583" i="23"/>
  <c r="L5583" i="23" s="1"/>
  <c r="M5583" i="23" a="1"/>
  <c r="M5583" i="23" s="1"/>
  <c r="N5583" i="23" s="1"/>
  <c r="K5614" i="23"/>
  <c r="L5614" i="23" s="1"/>
  <c r="M5614" i="23" a="1"/>
  <c r="M5614" i="23" s="1"/>
  <c r="N5614" i="23" s="1"/>
  <c r="K5588" i="23"/>
  <c r="L5588" i="23" s="1"/>
  <c r="M5588" i="23" a="1"/>
  <c r="M5588" i="23" s="1"/>
  <c r="N5588" i="23" s="1"/>
  <c r="K5616" i="23"/>
  <c r="L5616" i="23" s="1"/>
  <c r="M5616" i="23" a="1"/>
  <c r="M5616" i="23" s="1"/>
  <c r="N5616" i="23" s="1"/>
  <c r="K5613" i="23"/>
  <c r="L5613" i="23" s="1"/>
  <c r="M5613" i="23" a="1"/>
  <c r="M5613" i="23" s="1"/>
  <c r="N5613" i="23" s="1"/>
  <c r="K5574" i="23"/>
  <c r="L5574" i="23" s="1"/>
  <c r="M5574" i="23" a="1"/>
  <c r="M5574" i="23" s="1"/>
  <c r="N5574" i="23" s="1"/>
  <c r="K5645" i="23"/>
  <c r="L5645" i="23" s="1"/>
  <c r="M5645" i="23" a="1"/>
  <c r="M5645" i="23" s="1"/>
  <c r="N5645" i="23" s="1"/>
  <c r="K5592" i="23"/>
  <c r="L5592" i="23" s="1"/>
  <c r="M5592" i="23" a="1"/>
  <c r="M5592" i="23" s="1"/>
  <c r="N5592" i="23" s="1"/>
  <c r="K5629" i="23"/>
  <c r="L5629" i="23" s="1"/>
  <c r="M5629" i="23" a="1"/>
  <c r="M5629" i="23" s="1"/>
  <c r="N5629" i="23" s="1"/>
  <c r="K5571" i="23"/>
  <c r="L5571" i="23" s="1"/>
  <c r="M5571" i="23" a="1"/>
  <c r="M5571" i="23" s="1"/>
  <c r="N5571" i="23" s="1"/>
  <c r="K5578" i="23"/>
  <c r="L5578" i="23" s="1"/>
  <c r="M5578" i="23" a="1"/>
  <c r="M5578" i="23" s="1"/>
  <c r="N5578" i="23" s="1"/>
  <c r="K5577" i="23" l="1"/>
  <c r="L5577" i="23" s="1"/>
  <c r="M5577" i="23" a="1"/>
  <c r="M5577" i="23" s="1"/>
  <c r="N5577" i="23" s="1"/>
  <c r="K5597" i="23"/>
  <c r="L5597" i="23" s="1"/>
  <c r="M5597" i="23" a="1"/>
  <c r="M5597" i="23" s="1"/>
  <c r="N5597" i="23" s="1"/>
  <c r="K5608" i="23"/>
  <c r="L5608" i="23" s="1"/>
  <c r="M5608" i="23" a="1"/>
  <c r="M5608" i="23" s="1"/>
  <c r="N5608" i="23" s="1"/>
  <c r="K5606" i="23"/>
  <c r="L5606" i="23" s="1"/>
  <c r="M5606" i="23" a="1"/>
  <c r="M5606" i="23" s="1"/>
  <c r="N5606" i="23" s="1"/>
  <c r="K5585" i="23"/>
  <c r="L5585" i="23" s="1"/>
  <c r="M5585" i="23" a="1"/>
  <c r="M5585" i="23" s="1"/>
  <c r="N5585" i="23" s="1"/>
  <c r="K5607" i="23"/>
  <c r="L5607" i="23" s="1"/>
  <c r="M5607" i="23" a="1"/>
  <c r="M5607" i="23" s="1"/>
  <c r="N5607" i="23" s="1"/>
  <c r="K5573" i="23"/>
  <c r="L5573" i="23" s="1"/>
  <c r="M5573" i="23" a="1"/>
  <c r="M5573" i="23" s="1"/>
  <c r="N5573" i="23" s="1"/>
  <c r="K5612" i="23"/>
  <c r="L5612" i="23" s="1"/>
  <c r="M5612" i="23" a="1"/>
  <c r="M5612" i="23" s="1"/>
  <c r="N5612" i="23" s="1"/>
  <c r="K5586" i="23"/>
  <c r="L5586" i="23" s="1"/>
  <c r="M5586" i="23" a="1"/>
  <c r="M5586" i="23" s="1"/>
  <c r="N5586" i="23" s="1"/>
  <c r="K5576" i="23"/>
  <c r="L5576" i="23" s="1"/>
  <c r="M5576" i="23" a="1"/>
  <c r="M5576" i="23" s="1"/>
  <c r="N5576" i="23" s="1"/>
  <c r="K5595" i="23"/>
  <c r="L5595" i="23" s="1"/>
  <c r="M5595" i="23" a="1"/>
  <c r="M5595" i="23" s="1"/>
  <c r="N5595" i="23" s="1"/>
  <c r="K5618" i="23"/>
  <c r="L5618" i="23" s="1"/>
  <c r="M5618" i="23" a="1"/>
  <c r="M5618" i="23" s="1"/>
  <c r="N5618" i="23" s="1"/>
  <c r="K5598" i="23"/>
  <c r="L5598" i="23" s="1"/>
  <c r="M5598" i="23" a="1"/>
  <c r="M5598" i="23" s="1"/>
  <c r="N5598" i="23" s="1"/>
  <c r="K5594" i="23" l="1"/>
  <c r="L5594" i="23" s="1"/>
  <c r="M5594" i="23" a="1"/>
  <c r="M5594" i="23" s="1"/>
  <c r="N5594" i="23" s="1"/>
  <c r="K5580" i="23" l="1"/>
  <c r="L5580" i="23" s="1"/>
  <c r="M5580" i="23" a="1"/>
  <c r="M5580" i="23" s="1"/>
  <c r="N5580" i="23" s="1"/>
  <c r="K5644" i="23"/>
  <c r="L5644" i="23" s="1"/>
  <c r="M5644" i="23" a="1"/>
  <c r="M5644" i="23" s="1"/>
  <c r="N5644" i="23" s="1"/>
  <c r="K5570" i="23"/>
  <c r="L5570" i="23" s="1"/>
  <c r="M5570" i="23" a="1"/>
  <c r="M5570" i="23" s="1"/>
  <c r="N5570" i="23" s="1"/>
  <c r="K5620" i="23"/>
  <c r="L5620" i="23" s="1"/>
  <c r="M5620" i="23" a="1"/>
  <c r="M5620" i="23" s="1"/>
  <c r="N5620" i="23" s="1"/>
  <c r="K5641" i="23"/>
  <c r="L5641" i="23" s="1"/>
  <c r="M5641" i="23" a="1"/>
  <c r="M5641" i="23" s="1"/>
  <c r="N5641" i="23" s="1"/>
  <c r="K5587" i="23"/>
  <c r="L5587" i="23" s="1"/>
  <c r="M5587" i="23" a="1"/>
  <c r="M5587" i="23" s="1"/>
  <c r="N5587" i="23" s="1"/>
  <c r="K5591" i="23"/>
  <c r="L5591" i="23" s="1"/>
  <c r="M5591" i="23" a="1"/>
  <c r="M5591" i="23" s="1"/>
  <c r="N5591" i="23" s="1"/>
  <c r="K5582" i="23"/>
  <c r="L5582" i="23" s="1"/>
  <c r="M5582" i="23" a="1"/>
  <c r="M5582" i="23" s="1"/>
  <c r="N5582" i="23" s="1"/>
  <c r="K5604" i="23"/>
  <c r="L5604" i="23" s="1"/>
  <c r="M5604" i="23" a="1"/>
  <c r="M5604" i="23" s="1"/>
  <c r="N5604" i="23" s="1"/>
  <c r="K5610" i="23"/>
  <c r="L5610" i="23" s="1"/>
  <c r="M5610" i="23" a="1"/>
  <c r="M5610" i="23" s="1"/>
  <c r="N5610" i="23" s="1"/>
  <c r="K5572" i="23"/>
  <c r="L5572" i="23" s="1"/>
  <c r="M5572" i="23" a="1"/>
  <c r="M5572" i="23" s="1"/>
  <c r="N5572" i="23" s="1"/>
  <c r="K5642" i="23"/>
  <c r="L5642" i="23" s="1"/>
  <c r="M5642" i="23" a="1"/>
  <c r="M5642" i="23" s="1"/>
  <c r="N5642" i="23" s="1"/>
  <c r="K5647" i="23"/>
  <c r="L5647" i="23" s="1"/>
  <c r="M5647" i="23" a="1"/>
  <c r="M5647" i="23" s="1"/>
  <c r="N5647" i="23" s="1"/>
  <c r="M5633" i="23" a="1"/>
  <c r="M5633" i="23" s="1"/>
  <c r="N5633" i="23" s="1"/>
  <c r="K5633" i="23"/>
  <c r="L5633" i="23" s="1"/>
  <c r="K5615" i="23"/>
  <c r="L5615" i="23" s="1"/>
  <c r="M5615" i="23" a="1"/>
  <c r="M5615" i="23" s="1"/>
  <c r="N5615" i="23" s="1"/>
  <c r="K5623" i="23"/>
  <c r="L5623" i="23" s="1"/>
  <c r="M5623" i="23" a="1"/>
  <c r="M5623" i="23" s="1"/>
  <c r="N5623" i="23" s="1"/>
  <c r="M5609" i="23" a="1"/>
  <c r="M5609" i="23" s="1"/>
  <c r="N5609" i="23" s="1"/>
  <c r="K5609" i="23"/>
  <c r="L5609" i="23" s="1"/>
  <c r="M5631" i="23" a="1"/>
  <c r="M5631" i="23" s="1"/>
  <c r="N5631" i="23" s="1"/>
  <c r="K5631" i="23"/>
  <c r="L5631" i="23" s="1"/>
  <c r="K5634" i="23"/>
  <c r="L5634" i="23" s="1"/>
  <c r="M5634" i="23" a="1"/>
  <c r="M5634" i="23" s="1"/>
  <c r="N5634" i="23" s="1"/>
  <c r="K5635" i="23"/>
  <c r="L5635" i="23" s="1"/>
  <c r="M5635" i="23" a="1"/>
  <c r="M5635" i="23" s="1"/>
  <c r="N5635" i="23" s="1"/>
  <c r="K5638" i="23"/>
  <c r="L5638" i="23" s="1"/>
  <c r="M5638" i="23" a="1"/>
  <c r="M5638" i="23" s="1"/>
  <c r="N5638" i="23" s="1"/>
  <c r="K5639" i="23"/>
  <c r="L5639" i="23" s="1"/>
  <c r="M5639" i="23" a="1"/>
  <c r="M5639" i="23" s="1"/>
  <c r="N5639" i="23" s="1"/>
  <c r="K5637" i="23"/>
  <c r="L5637" i="23" s="1"/>
  <c r="M5637" i="23" a="1"/>
  <c r="M5637" i="23" s="1"/>
  <c r="N5637" i="23" s="1"/>
  <c r="K5643" i="23"/>
  <c r="L5643" i="23" s="1"/>
  <c r="M5643" i="23" a="1"/>
  <c r="M5643" i="23" s="1"/>
  <c r="N5643" i="23" s="1"/>
  <c r="K5640" i="23"/>
  <c r="L5640" i="23" s="1"/>
  <c r="M5640" i="23" a="1"/>
  <c r="M5640" i="23" s="1"/>
  <c r="N5640" i="23" s="1"/>
  <c r="K5632" i="23"/>
  <c r="L5632" i="23" s="1"/>
  <c r="M5632" i="23" a="1"/>
  <c r="M5632" i="23" s="1"/>
  <c r="N5632" i="23" s="1"/>
  <c r="K5646" i="23"/>
  <c r="L5646" i="23" s="1"/>
  <c r="M5646" i="23" a="1"/>
  <c r="M5646" i="23" s="1"/>
  <c r="N5646" i="23" s="1"/>
  <c r="K5649" i="23"/>
  <c r="L5649" i="23" s="1"/>
  <c r="M5649" i="23" a="1"/>
  <c r="M5649" i="23" s="1"/>
  <c r="N5649" i="23" s="1"/>
  <c r="K5648" i="23"/>
  <c r="L5648" i="23" s="1"/>
  <c r="M5648" i="23" a="1"/>
  <c r="M5648" i="23" s="1"/>
  <c r="N5648" i="23" s="1"/>
  <c r="K5651" i="23"/>
  <c r="L5651" i="23" s="1"/>
  <c r="M5651" i="23" a="1"/>
  <c r="M5651" i="23" s="1"/>
  <c r="N5651" i="23" s="1"/>
  <c r="K5687" i="23"/>
  <c r="L5687" i="23" s="1"/>
  <c r="M5687" i="23" a="1"/>
  <c r="M5687" i="23" s="1"/>
  <c r="N5687" i="23" s="1"/>
  <c r="K5690" i="23"/>
  <c r="L5690" i="23" s="1"/>
  <c r="M5690" i="23" a="1"/>
  <c r="M5690" i="23" s="1"/>
  <c r="N5690" i="23" s="1"/>
  <c r="K5698" i="23"/>
  <c r="L5698" i="23" s="1"/>
  <c r="M5698" i="23" a="1"/>
  <c r="M5698" i="23" s="1"/>
  <c r="N5698" i="23" s="1"/>
  <c r="K5696" i="23"/>
  <c r="L5696" i="23" s="1"/>
  <c r="M5696" i="23" a="1"/>
  <c r="M5696" i="23" s="1"/>
  <c r="N5696" i="23" s="1"/>
  <c r="K5697" i="23"/>
  <c r="L5697" i="23" s="1"/>
  <c r="M5697" i="23" a="1"/>
  <c r="M5697" i="23" s="1"/>
  <c r="N5697" i="23" s="1"/>
  <c r="K5703" i="23"/>
  <c r="L5703" i="23" s="1"/>
  <c r="M5703" i="23" a="1"/>
  <c r="M5703" i="23" s="1"/>
  <c r="N5703" i="23" s="1"/>
  <c r="K5728" i="23"/>
  <c r="L5728" i="23" s="1"/>
  <c r="M5728" i="23" a="1"/>
  <c r="M5728" i="23" s="1"/>
  <c r="N5728" i="23" s="1"/>
  <c r="K5738" i="23"/>
  <c r="L5738" i="23" s="1"/>
  <c r="M5738" i="23" a="1"/>
  <c r="M5738" i="23" s="1"/>
  <c r="N5738" i="23" s="1"/>
  <c r="K5744" i="23"/>
  <c r="L5744" i="23" s="1"/>
  <c r="M5744" i="23" a="1"/>
  <c r="M5744" i="23" s="1"/>
  <c r="N5744" i="23" s="1"/>
  <c r="K5745" i="23"/>
  <c r="L5745" i="23" s="1"/>
  <c r="M5745" i="23" a="1"/>
  <c r="M5745" i="23" s="1"/>
  <c r="N5745" i="23" s="1"/>
  <c r="K5747" i="23"/>
  <c r="L5747" i="23" s="1"/>
  <c r="M5747" i="23" a="1"/>
  <c r="M5747" i="23" s="1"/>
  <c r="N5747" i="23" s="1"/>
  <c r="K5748" i="23"/>
  <c r="L5748" i="23" s="1"/>
  <c r="M5748" i="23" a="1"/>
  <c r="M5748" i="23" s="1"/>
  <c r="N5748" i="23" s="1"/>
  <c r="K5754" i="23"/>
  <c r="L5754" i="23" s="1"/>
  <c r="M5754" i="23" a="1"/>
  <c r="M5754" i="23" s="1"/>
  <c r="N5754" i="23" s="1"/>
  <c r="K5764" i="23"/>
  <c r="L5764" i="23" s="1"/>
  <c r="M5764" i="23" a="1"/>
  <c r="M5764" i="23" s="1"/>
  <c r="N5764" i="23" s="1"/>
  <c r="K5774" i="23"/>
  <c r="L5774" i="23" s="1"/>
  <c r="M5774" i="23" a="1"/>
  <c r="M5774" i="23" s="1"/>
  <c r="N5774" i="23" s="1"/>
  <c r="K5775" i="23"/>
  <c r="L5775" i="23" s="1"/>
  <c r="M5775" i="23" a="1"/>
  <c r="M5775" i="23" s="1"/>
  <c r="N5775" i="23" s="1"/>
  <c r="K5776" i="23"/>
  <c r="L5776" i="23" s="1"/>
  <c r="M5776" i="23" a="1"/>
  <c r="M5776" i="23" s="1"/>
  <c r="N5776" i="23" s="1"/>
  <c r="K5787" i="23"/>
  <c r="L5787" i="23" s="1"/>
  <c r="M5787" i="23" a="1"/>
  <c r="M5787" i="23" s="1"/>
  <c r="N5787" i="23" s="1"/>
  <c r="K5790" i="23"/>
  <c r="L5790" i="23" s="1"/>
  <c r="M5790" i="23" a="1"/>
  <c r="M5790" i="23" s="1"/>
  <c r="N5790" i="23" s="1"/>
  <c r="K5791" i="23"/>
  <c r="L5791" i="23" s="1"/>
  <c r="M5791" i="23" a="1"/>
  <c r="M5791" i="23" s="1"/>
  <c r="N5791" i="23" s="1"/>
  <c r="K5796" i="23"/>
  <c r="L5796" i="23" s="1"/>
  <c r="M5796" i="23" a="1"/>
  <c r="M5796" i="23" s="1"/>
  <c r="N5796" i="23" s="1"/>
  <c r="K5797" i="23"/>
  <c r="L5797" i="23" s="1"/>
  <c r="M5797" i="23" a="1"/>
  <c r="M5797" i="23" s="1"/>
  <c r="N5797" i="23" s="1"/>
  <c r="K5813" i="23"/>
  <c r="L5813" i="23" s="1"/>
  <c r="M5813" i="23" a="1"/>
  <c r="M5813" i="23" s="1"/>
  <c r="N5813" i="23" s="1"/>
  <c r="K5817" i="23"/>
  <c r="L5817" i="23" s="1"/>
  <c r="M5817" i="23" a="1"/>
  <c r="M5817" i="23" s="1"/>
  <c r="N5817" i="23" s="1"/>
  <c r="K5820" i="23"/>
  <c r="L5820" i="23" s="1"/>
  <c r="M5820" i="23" a="1"/>
  <c r="M5820" i="23" s="1"/>
  <c r="N5820" i="23" s="1"/>
  <c r="K5821" i="23"/>
  <c r="L5821" i="23" s="1"/>
  <c r="M5821" i="23" a="1"/>
  <c r="M5821" i="23" s="1"/>
  <c r="N5821" i="23" s="1"/>
  <c r="K5827" i="23"/>
  <c r="L5827" i="23" s="1"/>
  <c r="M5827" i="23" a="1"/>
  <c r="M5827" i="23" s="1"/>
  <c r="N5827" i="23" s="1"/>
  <c r="K5826" i="23"/>
  <c r="L5826" i="23" s="1"/>
  <c r="M5826" i="23" a="1"/>
  <c r="M5826" i="23" s="1"/>
  <c r="N5826" i="23" s="1"/>
  <c r="K5828" i="23"/>
  <c r="L5828" i="23" s="1"/>
  <c r="M5828" i="23" a="1"/>
  <c r="M5828" i="23" s="1"/>
  <c r="N5828" i="23" s="1"/>
  <c r="K5829" i="23"/>
  <c r="L5829" i="23" s="1"/>
  <c r="M5829" i="23" a="1"/>
  <c r="M5829" i="23" s="1"/>
  <c r="N5829" i="23" s="1"/>
  <c r="K5830" i="23"/>
  <c r="L5830" i="23" s="1"/>
  <c r="M5830" i="23" a="1"/>
  <c r="M5830" i="23" s="1"/>
  <c r="N5830" i="23" s="1"/>
  <c r="K5831" i="23"/>
  <c r="L5831" i="23" s="1"/>
  <c r="M5831" i="23" a="1"/>
  <c r="M5831" i="23" s="1"/>
  <c r="N5831" i="23" s="1"/>
  <c r="K5841" i="23"/>
  <c r="L5841" i="23" s="1"/>
  <c r="M5841" i="23" a="1"/>
  <c r="M5841" i="23" s="1"/>
  <c r="N5841" i="23" s="1"/>
  <c r="K5842" i="23"/>
  <c r="L5842" i="23" s="1"/>
  <c r="M5842" i="23" a="1"/>
  <c r="M5842" i="23" s="1"/>
  <c r="N5842" i="23" s="1"/>
  <c r="K5846" i="23"/>
  <c r="L5846" i="23" s="1"/>
  <c r="M5846" i="23" a="1"/>
  <c r="M5846" i="23" s="1"/>
  <c r="N5846" i="23" s="1"/>
  <c r="K5850" i="23"/>
  <c r="L5850" i="23" s="1"/>
  <c r="M5850" i="23" a="1"/>
  <c r="M5850" i="23" s="1"/>
  <c r="N5850" i="23" s="1"/>
  <c r="K5857" i="23"/>
  <c r="L5857" i="23" s="1"/>
  <c r="M5857" i="23" a="1"/>
  <c r="M5857" i="23" s="1"/>
  <c r="N5857" i="23" s="1"/>
  <c r="K5872" i="23"/>
  <c r="L5872" i="23" s="1"/>
  <c r="M5872" i="23" a="1"/>
  <c r="M5872" i="23" s="1"/>
  <c r="N5872" i="23" s="1"/>
  <c r="K5893" i="23"/>
  <c r="L5893" i="23" s="1"/>
  <c r="M5893" i="23" a="1"/>
  <c r="M5893" i="23" s="1"/>
  <c r="N5893" i="23" s="1"/>
  <c r="K5894" i="23"/>
  <c r="L5894" i="23" s="1"/>
  <c r="M5894" i="23" a="1"/>
  <c r="M5894" i="23" s="1"/>
  <c r="N5894" i="23" s="1"/>
  <c r="K5895" i="23"/>
  <c r="L5895" i="23" s="1"/>
  <c r="M5895" i="23" a="1"/>
  <c r="M5895" i="23" s="1"/>
  <c r="N5895" i="23" s="1"/>
  <c r="K5896" i="23"/>
  <c r="L5896" i="23" s="1"/>
  <c r="M5896" i="23" a="1"/>
  <c r="M5896" i="23" s="1"/>
  <c r="N5896" i="23" s="1"/>
  <c r="K5897" i="23"/>
  <c r="L5897" i="23" s="1"/>
  <c r="M5897" i="23" a="1"/>
  <c r="M5897" i="23" s="1"/>
  <c r="N5897" i="23" s="1"/>
  <c r="K5910" i="23"/>
  <c r="L5910" i="23" s="1"/>
  <c r="M5910" i="23" a="1"/>
  <c r="M5910" i="23" s="1"/>
  <c r="N5910" i="23" s="1"/>
  <c r="K5917" i="23"/>
  <c r="L5917" i="23" s="1"/>
  <c r="M5917" i="23" a="1"/>
  <c r="M5917" i="23" s="1"/>
  <c r="N5917" i="23" s="1"/>
  <c r="K5918" i="23"/>
  <c r="L5918" i="23" s="1"/>
  <c r="M5918" i="23" a="1"/>
  <c r="M5918" i="23" s="1"/>
  <c r="N5918" i="23" s="1"/>
  <c r="K5919" i="23"/>
  <c r="L5919" i="23" s="1"/>
  <c r="M5919" i="23" a="1"/>
  <c r="M5919" i="23" s="1"/>
  <c r="N5919" i="23" s="1"/>
  <c r="K5924" i="23"/>
  <c r="L5924" i="23" s="1"/>
  <c r="M5924" i="23" a="1"/>
  <c r="M5924" i="23" s="1"/>
  <c r="N5924" i="23" s="1"/>
  <c r="K5925" i="23"/>
  <c r="L5925" i="23" s="1"/>
  <c r="M5925" i="23" a="1"/>
  <c r="M5925" i="23" s="1"/>
  <c r="N5925" i="23" s="1"/>
  <c r="K5929" i="23"/>
  <c r="L5929" i="23" s="1"/>
  <c r="M5929" i="23" a="1"/>
  <c r="M5929" i="23" s="1"/>
  <c r="N5929" i="23" s="1"/>
  <c r="K5933" i="23"/>
  <c r="L5933" i="23" s="1"/>
  <c r="M5933" i="23" a="1"/>
  <c r="M5933" i="23" s="1"/>
  <c r="N5933" i="23" s="1"/>
  <c r="K5934" i="23"/>
  <c r="L5934" i="23" s="1"/>
  <c r="M5934" i="23" a="1"/>
  <c r="M5934" i="23" s="1"/>
  <c r="N5934" i="23" s="1"/>
  <c r="K5946" i="23"/>
  <c r="L5946" i="23" s="1"/>
  <c r="M5946" i="23" a="1"/>
  <c r="M5946" i="23" s="1"/>
  <c r="N5946" i="23" s="1"/>
  <c r="K5953" i="23"/>
  <c r="L5953" i="23" s="1"/>
  <c r="M5953" i="23" a="1"/>
  <c r="M5953" i="23" s="1"/>
  <c r="N5953" i="23" s="1"/>
  <c r="K5954" i="23"/>
  <c r="L5954" i="23" s="1"/>
  <c r="M5954" i="23" a="1"/>
  <c r="M5954" i="23" s="1"/>
  <c r="N5954" i="23" s="1"/>
  <c r="K5978" i="23"/>
  <c r="L5978" i="23" s="1"/>
  <c r="M5978" i="23" a="1"/>
  <c r="M5978" i="23" s="1"/>
  <c r="N5978" i="23" s="1"/>
  <c r="K5979" i="23"/>
  <c r="L5979" i="23" s="1"/>
  <c r="M5979" i="23" a="1"/>
  <c r="M5979" i="23" s="1"/>
  <c r="N5979" i="23" s="1"/>
  <c r="K5986" i="23"/>
  <c r="L5986" i="23" s="1"/>
  <c r="M5986" i="23" a="1"/>
  <c r="M5986" i="23" s="1"/>
  <c r="N5986" i="23" s="1"/>
  <c r="K5987" i="23"/>
  <c r="L5987" i="23" s="1"/>
  <c r="M5987" i="23" a="1"/>
  <c r="M5987" i="23" s="1"/>
  <c r="N5987" i="23" s="1"/>
  <c r="K5998" i="23"/>
  <c r="L5998" i="23" s="1"/>
  <c r="M5998" i="23" a="1"/>
  <c r="M5998" i="23" s="1"/>
  <c r="N5998" i="23" s="1"/>
  <c r="K6005" i="23"/>
  <c r="L6005" i="23" s="1"/>
  <c r="M6005" i="23" a="1"/>
  <c r="M6005" i="23" s="1"/>
  <c r="N6005" i="23" s="1"/>
  <c r="K6006" i="23"/>
  <c r="L6006" i="23" s="1"/>
  <c r="M6006" i="23" a="1"/>
  <c r="M6006" i="23" s="1"/>
  <c r="N6006" i="23" s="1"/>
  <c r="K6010" i="23"/>
  <c r="L6010" i="23" s="1"/>
  <c r="M6010" i="23" a="1"/>
  <c r="M6010" i="23" s="1"/>
  <c r="N6010" i="23" s="1"/>
  <c r="K6020" i="23"/>
  <c r="L6020" i="23" s="1"/>
  <c r="M6020" i="23" a="1"/>
  <c r="M6020" i="23" s="1"/>
  <c r="N6020" i="23" s="1"/>
  <c r="K6033" i="23"/>
  <c r="L6033" i="23" s="1"/>
  <c r="M6033" i="23" a="1"/>
  <c r="M6033" i="23" s="1"/>
  <c r="N6033" i="23" s="1"/>
  <c r="K6034" i="23"/>
  <c r="L6034" i="23" s="1"/>
  <c r="M6034" i="23" a="1"/>
  <c r="M6034" i="23" s="1"/>
  <c r="N6034" i="23" s="1"/>
  <c r="K6035" i="23"/>
  <c r="L6035" i="23" s="1"/>
  <c r="M6035" i="23" a="1"/>
  <c r="M6035" i="23" s="1"/>
  <c r="N6035" i="23" s="1"/>
  <c r="K6039" i="23"/>
  <c r="L6039" i="23" s="1"/>
  <c r="M6039" i="23" a="1"/>
  <c r="M6039" i="23" s="1"/>
  <c r="N6039" i="23" s="1"/>
  <c r="K6040" i="23"/>
  <c r="L6040" i="23" s="1"/>
  <c r="M6040" i="23" a="1"/>
  <c r="M6040" i="23" s="1"/>
  <c r="N6040" i="23" s="1"/>
  <c r="K6068" i="23"/>
  <c r="L6068" i="23" s="1"/>
  <c r="M6068" i="23" a="1"/>
  <c r="M6068" i="23" s="1"/>
  <c r="N6068" i="23" s="1"/>
  <c r="K6069" i="23"/>
  <c r="L6069" i="23" s="1"/>
  <c r="M6069" i="23" a="1"/>
  <c r="M6069" i="23" s="1"/>
  <c r="N6069" i="23" s="1"/>
  <c r="K6081" i="23"/>
  <c r="L6081" i="23" s="1"/>
  <c r="M6081" i="23" a="1"/>
  <c r="M6081" i="23" s="1"/>
  <c r="N6081" i="23" s="1"/>
  <c r="K6082" i="23"/>
  <c r="L6082" i="23" s="1"/>
  <c r="M6082" i="23" a="1"/>
  <c r="M6082" i="23" s="1"/>
  <c r="N6082" i="23" s="1"/>
  <c r="K6083" i="23"/>
  <c r="L6083" i="23" s="1"/>
  <c r="M6083" i="23" a="1"/>
  <c r="M6083" i="23" s="1"/>
  <c r="N6083" i="23" s="1"/>
  <c r="K6084" i="23"/>
  <c r="L6084" i="23" s="1"/>
  <c r="M6084" i="23" a="1"/>
  <c r="M6084" i="23" s="1"/>
  <c r="N6084" i="23" s="1"/>
  <c r="K6091" i="23"/>
  <c r="L6091" i="23" s="1"/>
  <c r="M6091" i="23" a="1"/>
  <c r="M6091" i="23" s="1"/>
  <c r="N6091" i="23" s="1"/>
  <c r="K6094" i="23"/>
  <c r="L6094" i="23" s="1"/>
  <c r="M6094" i="23" a="1"/>
  <c r="M6094" i="23" s="1"/>
  <c r="N6094" i="23" s="1"/>
  <c r="K6102" i="23"/>
  <c r="L6102" i="23" s="1"/>
  <c r="M6102" i="23" a="1"/>
  <c r="M6102" i="23" s="1"/>
  <c r="N6102" i="23" s="1"/>
  <c r="K6103" i="23"/>
  <c r="L6103" i="23" s="1"/>
  <c r="M6103" i="23" a="1"/>
  <c r="M6103" i="23" s="1"/>
  <c r="N6103" i="23" s="1"/>
  <c r="K6104" i="23"/>
  <c r="L6104" i="23" s="1"/>
  <c r="M6104" i="23" a="1"/>
  <c r="M6104" i="23" s="1"/>
  <c r="N6104" i="23" s="1"/>
  <c r="K6111" i="23"/>
  <c r="L6111" i="23" s="1"/>
  <c r="M6111" i="23" a="1"/>
  <c r="M6111" i="23" s="1"/>
  <c r="N6111" i="23" s="1"/>
  <c r="K6118" i="23"/>
  <c r="L6118" i="23" s="1"/>
  <c r="M6118" i="23" a="1"/>
  <c r="M6118" i="23" s="1"/>
  <c r="N6118" i="23" s="1"/>
  <c r="K6119" i="23"/>
  <c r="L6119" i="23" s="1"/>
  <c r="M6119" i="23" a="1"/>
  <c r="M6119" i="23" s="1"/>
  <c r="N6119" i="23" s="1"/>
  <c r="K6120" i="23"/>
  <c r="L6120" i="23" s="1"/>
  <c r="M6120" i="23" a="1"/>
  <c r="M6120" i="23" s="1"/>
  <c r="N6120" i="23" s="1"/>
  <c r="K6123" i="23"/>
  <c r="L6123" i="23" s="1"/>
  <c r="M6123" i="23" a="1"/>
  <c r="M6123" i="23" s="1"/>
  <c r="N6123" i="23" s="1"/>
  <c r="K6140" i="23"/>
  <c r="L6140" i="23" s="1"/>
  <c r="M6140" i="23" a="1"/>
  <c r="M6140" i="23" s="1"/>
  <c r="N6140" i="23" s="1"/>
  <c r="K6170" i="23"/>
  <c r="L6170" i="23" s="1"/>
  <c r="M6170" i="23" a="1"/>
  <c r="M6170" i="23" s="1"/>
  <c r="N6170" i="23" s="1"/>
  <c r="K6181" i="23"/>
  <c r="L6181" i="23" s="1"/>
  <c r="M6181" i="23" a="1"/>
  <c r="M6181" i="23" s="1"/>
  <c r="N6181" i="23" s="1"/>
  <c r="K6185" i="23"/>
  <c r="L6185" i="23" s="1"/>
  <c r="M6185" i="23" a="1"/>
  <c r="M6185" i="23" s="1"/>
  <c r="N6185" i="23" s="1"/>
  <c r="K6186" i="23"/>
  <c r="L6186" i="23" s="1"/>
  <c r="M6186" i="23" a="1"/>
  <c r="M6186" i="23" s="1"/>
  <c r="N6186" i="23" s="1"/>
  <c r="K6194" i="23"/>
  <c r="L6194" i="23" s="1"/>
  <c r="M6194" i="23" a="1"/>
  <c r="M6194" i="23" s="1"/>
  <c r="N6194" i="23" s="1"/>
  <c r="K6203" i="23"/>
  <c r="L6203" i="23" s="1"/>
  <c r="M6203" i="23" a="1"/>
  <c r="M6203" i="23" s="1"/>
  <c r="N6203" i="23" s="1"/>
  <c r="K6204" i="23"/>
  <c r="L6204" i="23" s="1"/>
  <c r="M6204" i="23" a="1"/>
  <c r="M6204" i="23" s="1"/>
  <c r="N6204" i="23" s="1"/>
  <c r="K6218" i="23"/>
  <c r="L6218" i="23" s="1"/>
  <c r="M6218" i="23" a="1"/>
  <c r="M6218" i="23" s="1"/>
  <c r="N6218" i="23" s="1"/>
  <c r="K6219" i="23"/>
  <c r="L6219" i="23" s="1"/>
  <c r="M6219" i="23" a="1"/>
  <c r="M6219" i="23" s="1"/>
  <c r="N6219" i="23" s="1"/>
  <c r="K6230" i="23"/>
  <c r="L6230" i="23" s="1"/>
  <c r="M6230" i="23" a="1"/>
  <c r="M6230" i="23" s="1"/>
  <c r="N6230" i="23" s="1"/>
  <c r="K6231" i="23"/>
  <c r="L6231" i="23" s="1"/>
  <c r="M6231" i="23" a="1"/>
  <c r="M6231" i="23" s="1"/>
  <c r="N6231" i="23" s="1"/>
  <c r="K6239" i="23"/>
  <c r="L6239" i="23" s="1"/>
  <c r="M6239" i="23" a="1"/>
  <c r="M6239" i="23" s="1"/>
  <c r="N6239" i="23" s="1"/>
  <c r="K6240" i="23"/>
  <c r="L6240" i="23" s="1"/>
  <c r="M6240" i="23" a="1"/>
  <c r="M6240" i="23" s="1"/>
  <c r="N6240" i="23" s="1"/>
  <c r="K6241" i="23"/>
  <c r="L6241" i="23" s="1"/>
  <c r="M6241" i="23" a="1"/>
  <c r="M6241" i="23" s="1"/>
  <c r="N6241" i="23" s="1"/>
  <c r="K6244" i="23"/>
  <c r="L6244" i="23" s="1"/>
  <c r="M6244" i="23" a="1"/>
  <c r="M6244" i="23" s="1"/>
  <c r="N6244" i="23" s="1"/>
  <c r="K6255" i="23"/>
  <c r="L6255" i="23" s="1"/>
  <c r="M6255" i="23" a="1"/>
  <c r="M6255" i="23" s="1"/>
  <c r="N6255" i="23" s="1"/>
  <c r="K6263" i="23"/>
  <c r="L6263" i="23" s="1"/>
  <c r="M6263" i="23" a="1"/>
  <c r="M6263" i="23" s="1"/>
  <c r="N6263" i="23" s="1"/>
  <c r="K6265" i="23"/>
  <c r="L6265" i="23" s="1"/>
  <c r="M6265" i="23" a="1"/>
  <c r="M6265" i="23" s="1"/>
  <c r="N6265" i="23" s="1"/>
  <c r="K6275" i="23"/>
  <c r="L6275" i="23" s="1"/>
  <c r="M6275" i="23" a="1"/>
  <c r="M6275" i="23" s="1"/>
  <c r="N6275" i="23" s="1"/>
  <c r="K6284" i="23"/>
  <c r="L6284" i="23" s="1"/>
  <c r="M6284" i="23" a="1"/>
  <c r="M6284" i="23" s="1"/>
  <c r="N6284" i="23" s="1"/>
  <c r="K6292" i="23"/>
  <c r="L6292" i="23" s="1"/>
  <c r="M6292" i="23" a="1"/>
  <c r="M6292" i="23" s="1"/>
  <c r="N6292" i="23" s="1"/>
  <c r="K6293" i="23"/>
  <c r="L6293" i="23" s="1"/>
  <c r="M6293" i="23" a="1"/>
  <c r="M6293" i="23" s="1"/>
  <c r="N6293" i="23" s="1"/>
  <c r="K6301" i="23"/>
  <c r="L6301" i="23" s="1"/>
  <c r="M6301" i="23" a="1"/>
  <c r="M6301" i="23" s="1"/>
  <c r="N6301" i="23" s="1"/>
  <c r="K6323" i="23"/>
  <c r="L6323" i="23" s="1"/>
  <c r="M6323" i="23" a="1"/>
  <c r="M6323" i="23" s="1"/>
  <c r="N6323" i="23" s="1"/>
  <c r="K6324" i="23"/>
  <c r="L6324" i="23" s="1"/>
  <c r="M6324" i="23" a="1"/>
  <c r="M6324" i="23" s="1"/>
  <c r="N6324" i="23" s="1"/>
  <c r="K6338" i="23"/>
  <c r="L6338" i="23" s="1"/>
  <c r="M6338" i="23" a="1"/>
  <c r="M6338" i="23" s="1"/>
  <c r="N6338" i="23" s="1"/>
  <c r="K6356" i="23"/>
  <c r="L6356" i="23" s="1"/>
  <c r="M6356" i="23" a="1"/>
  <c r="M6356" i="23" s="1"/>
  <c r="N6356" i="23" s="1"/>
  <c r="K6358" i="23"/>
  <c r="L6358" i="23" s="1"/>
  <c r="M6358" i="23" a="1"/>
  <c r="M6358" i="23" s="1"/>
  <c r="N6358" i="23" s="1"/>
  <c r="K6369" i="23"/>
  <c r="L6369" i="23" s="1"/>
  <c r="M6369" i="23" a="1"/>
  <c r="M6369" i="23" s="1"/>
  <c r="N6369" i="23" s="1"/>
  <c r="K6370" i="23"/>
  <c r="L6370" i="23" s="1"/>
  <c r="M6370" i="23" a="1"/>
  <c r="M6370" i="23" s="1"/>
  <c r="N6370" i="23" s="1"/>
  <c r="K6374" i="23"/>
  <c r="L6374" i="23" s="1"/>
  <c r="M6374" i="23" a="1"/>
  <c r="M6374" i="23" s="1"/>
  <c r="N6374" i="23" s="1"/>
  <c r="K6389" i="23"/>
  <c r="L6389" i="23" s="1"/>
  <c r="M6389" i="23" a="1"/>
  <c r="M6389" i="23" s="1"/>
  <c r="N6389" i="23" s="1"/>
  <c r="K6390" i="23"/>
  <c r="L6390" i="23" s="1"/>
  <c r="M6390" i="23" a="1"/>
  <c r="M6390" i="23" s="1"/>
  <c r="N6390" i="23" s="1"/>
  <c r="K6392" i="23"/>
  <c r="L6392" i="23" s="1"/>
  <c r="M6392" i="23" a="1"/>
  <c r="M6392" i="23" s="1"/>
  <c r="N6392" i="23" s="1"/>
  <c r="K6395" i="23"/>
  <c r="L6395" i="23" s="1"/>
  <c r="M6395" i="23" a="1"/>
  <c r="M6395" i="23" s="1"/>
  <c r="N6395" i="23" s="1"/>
  <c r="K6399" i="23"/>
  <c r="L6399" i="23" s="1"/>
  <c r="M6399" i="23" a="1"/>
  <c r="M6399" i="23" s="1"/>
  <c r="N6399" i="23" s="1"/>
  <c r="K6400" i="23"/>
  <c r="L6400" i="23" s="1"/>
  <c r="M6400" i="23" a="1"/>
  <c r="M6400" i="23" s="1"/>
  <c r="N6400" i="23" s="1"/>
  <c r="K6401" i="23"/>
  <c r="L6401" i="23" s="1"/>
  <c r="M6401" i="23" a="1"/>
  <c r="M6401" i="23" s="1"/>
  <c r="N6401" i="23" s="1"/>
  <c r="K6402" i="23"/>
  <c r="L6402" i="23" s="1"/>
  <c r="M6402" i="23" a="1"/>
  <c r="M6402" i="23" s="1"/>
  <c r="N6402" i="23" s="1"/>
  <c r="K6403" i="23"/>
  <c r="L6403" i="23" s="1"/>
  <c r="M6403" i="23" a="1"/>
  <c r="M6403" i="23" s="1"/>
  <c r="N6403" i="23" s="1"/>
  <c r="K6404" i="23"/>
  <c r="L6404" i="23" s="1"/>
  <c r="M6404" i="23" a="1"/>
  <c r="M6404" i="23" s="1"/>
  <c r="N6404" i="23" s="1"/>
  <c r="K6405" i="23"/>
  <c r="L6405" i="23" s="1"/>
  <c r="M6405" i="23" a="1"/>
  <c r="M6405" i="23" s="1"/>
  <c r="N6405" i="23" s="1"/>
  <c r="K6406" i="23"/>
  <c r="L6406" i="23" s="1"/>
  <c r="M6406" i="23" a="1"/>
  <c r="M6406" i="23" s="1"/>
  <c r="N6406" i="23" s="1"/>
  <c r="K6407" i="23"/>
  <c r="L6407" i="23" s="1"/>
  <c r="M6407" i="23" a="1"/>
  <c r="M6407" i="23" s="1"/>
  <c r="N6407" i="23" s="1"/>
  <c r="K6408" i="23"/>
  <c r="L6408" i="23" s="1"/>
  <c r="M6408" i="23" a="1"/>
  <c r="M6408" i="23" s="1"/>
  <c r="N6408" i="23" s="1"/>
  <c r="K6409" i="23"/>
  <c r="L6409" i="23" s="1"/>
  <c r="M6409" i="23" a="1"/>
  <c r="M6409" i="23" s="1"/>
  <c r="N6409" i="23" s="1"/>
  <c r="K6410" i="23"/>
  <c r="L6410" i="23" s="1"/>
  <c r="M6410" i="23" a="1"/>
  <c r="M6410" i="23" s="1"/>
  <c r="N6410" i="23" s="1"/>
  <c r="K6411" i="23"/>
  <c r="L6411" i="23" s="1"/>
  <c r="M6411" i="23" a="1"/>
  <c r="M6411" i="23" s="1"/>
  <c r="N6411" i="23" s="1"/>
  <c r="K6412" i="23"/>
  <c r="L6412" i="23" s="1"/>
  <c r="M6412" i="23" a="1"/>
  <c r="M6412" i="23" s="1"/>
  <c r="N6412" i="23" s="1"/>
  <c r="K6413" i="23"/>
  <c r="L6413" i="23" s="1"/>
  <c r="M6413" i="23" a="1"/>
  <c r="M6413" i="23" s="1"/>
  <c r="N6413" i="23" s="1"/>
  <c r="K6414" i="23"/>
  <c r="L6414" i="23" s="1"/>
  <c r="M6414" i="23" a="1"/>
  <c r="M6414" i="23" s="1"/>
  <c r="N6414" i="23" s="1"/>
  <c r="K6415" i="23"/>
  <c r="L6415" i="23" s="1"/>
  <c r="M6415" i="23" a="1"/>
  <c r="M6415" i="23" s="1"/>
  <c r="N6415" i="23" s="1"/>
  <c r="K6416" i="23"/>
  <c r="L6416" i="23" s="1"/>
  <c r="M6416" i="23" a="1"/>
  <c r="M6416" i="23" s="1"/>
  <c r="N6416" i="23" s="1"/>
  <c r="K6417" i="23"/>
  <c r="L6417" i="23" s="1"/>
  <c r="M6417" i="23" a="1"/>
  <c r="M6417" i="23" s="1"/>
  <c r="N6417" i="23" s="1"/>
  <c r="K6418" i="23"/>
  <c r="L6418" i="23" s="1"/>
  <c r="M6418" i="23" a="1"/>
  <c r="M6418" i="23" s="1"/>
  <c r="N6418" i="23" s="1"/>
  <c r="K6419" i="23"/>
  <c r="L6419" i="23" s="1"/>
  <c r="M6419" i="23" a="1"/>
  <c r="M6419" i="23" s="1"/>
  <c r="N6419" i="23" s="1"/>
  <c r="K6420" i="23"/>
  <c r="L6420" i="23" s="1"/>
  <c r="M6420" i="23" a="1"/>
  <c r="M6420" i="23" s="1"/>
  <c r="N6420" i="23" s="1"/>
  <c r="K6421" i="23"/>
  <c r="L6421" i="23" s="1"/>
  <c r="M6421" i="23" a="1"/>
  <c r="M6421" i="23" s="1"/>
  <c r="N6421" i="23" s="1"/>
  <c r="K6422" i="23"/>
  <c r="L6422" i="23" s="1"/>
  <c r="M6422" i="23" a="1"/>
  <c r="M6422" i="23" s="1"/>
  <c r="N6422" i="23" s="1"/>
  <c r="K6423" i="23"/>
  <c r="L6423" i="23" s="1"/>
  <c r="M6423" i="23" a="1"/>
  <c r="M6423" i="23" s="1"/>
  <c r="N6423" i="23" s="1"/>
  <c r="K6424" i="23"/>
  <c r="L6424" i="23" s="1"/>
  <c r="M6424" i="23" a="1"/>
  <c r="M6424" i="23" s="1"/>
  <c r="N6424" i="23" s="1"/>
  <c r="K6425" i="23"/>
  <c r="L6425" i="23" s="1"/>
  <c r="M6425" i="23" a="1"/>
  <c r="M6425" i="23" s="1"/>
  <c r="N6425" i="23" s="1"/>
  <c r="K6426" i="23"/>
  <c r="L6426" i="23" s="1"/>
  <c r="M6426" i="23" a="1"/>
  <c r="M6426" i="23" s="1"/>
  <c r="N6426" i="23" s="1"/>
  <c r="K6427" i="23"/>
  <c r="L6427" i="23" s="1"/>
  <c r="M6427" i="23" a="1"/>
  <c r="M6427" i="23" s="1"/>
  <c r="N6427" i="23" s="1"/>
  <c r="K6428" i="23"/>
  <c r="L6428" i="23" s="1"/>
  <c r="M6428" i="23" a="1"/>
  <c r="M6428" i="23" s="1"/>
  <c r="N6428" i="23" s="1"/>
  <c r="K6429" i="23"/>
  <c r="L6429" i="23" s="1"/>
  <c r="M6429" i="23" a="1"/>
  <c r="M6429" i="23" s="1"/>
  <c r="N6429" i="23" s="1"/>
  <c r="K6430" i="23"/>
  <c r="L6430" i="23" s="1"/>
  <c r="M6430" i="23" a="1"/>
  <c r="M6430" i="23" s="1"/>
  <c r="N6430" i="23" s="1"/>
  <c r="K6431" i="23"/>
  <c r="L6431" i="23" s="1"/>
  <c r="M6431" i="23" a="1"/>
  <c r="M6431" i="23" s="1"/>
  <c r="N6431" i="23" s="1"/>
  <c r="K6432" i="23"/>
  <c r="L6432" i="23" s="1"/>
  <c r="M6432" i="23" a="1"/>
  <c r="M6432" i="23" s="1"/>
  <c r="N6432" i="23" s="1"/>
  <c r="K6433" i="23"/>
  <c r="L6433" i="23" s="1"/>
  <c r="M6433" i="23" a="1"/>
  <c r="M6433" i="23" s="1"/>
  <c r="N6433" i="23" s="1"/>
  <c r="K6434" i="23"/>
  <c r="L6434" i="23" s="1"/>
  <c r="M6434" i="23" a="1"/>
  <c r="M6434" i="23" s="1"/>
  <c r="N6434" i="23" s="1"/>
  <c r="K6435" i="23"/>
  <c r="L6435" i="23" s="1"/>
  <c r="M6435" i="23" a="1"/>
  <c r="M6435" i="23" s="1"/>
  <c r="N6435" i="23" s="1"/>
  <c r="K6436" i="23"/>
  <c r="L6436" i="23" s="1"/>
  <c r="M6436" i="23" a="1"/>
  <c r="M6436" i="23" s="1"/>
  <c r="N6436" i="23" s="1"/>
  <c r="K6437" i="23"/>
  <c r="L6437" i="23" s="1"/>
  <c r="M6437" i="23" a="1"/>
  <c r="M6437" i="23" s="1"/>
  <c r="N6437" i="23" s="1"/>
  <c r="K6438" i="23"/>
  <c r="L6438" i="23" s="1"/>
  <c r="M6438" i="23" a="1"/>
  <c r="M6438" i="23" s="1"/>
  <c r="N6438" i="23" s="1"/>
  <c r="K6439" i="23"/>
  <c r="L6439" i="23" s="1"/>
  <c r="M6439" i="23" a="1"/>
  <c r="M6439" i="23" s="1"/>
  <c r="N6439" i="23" s="1"/>
  <c r="K6440" i="23"/>
  <c r="L6440" i="23" s="1"/>
  <c r="M6440" i="23" a="1"/>
  <c r="M6440" i="23" s="1"/>
  <c r="N6440" i="23" s="1"/>
  <c r="K6441" i="23"/>
  <c r="L6441" i="23" s="1"/>
  <c r="M6441" i="23" a="1"/>
  <c r="M6441" i="23" s="1"/>
  <c r="N6441" i="23" s="1"/>
  <c r="K6442" i="23"/>
  <c r="L6442" i="23" s="1"/>
  <c r="M6442" i="23" a="1"/>
  <c r="M6442" i="23" s="1"/>
  <c r="N6442" i="23" s="1"/>
  <c r="K6443" i="23"/>
  <c r="L6443" i="23" s="1"/>
  <c r="M6443" i="23" a="1"/>
  <c r="M6443" i="23" s="1"/>
  <c r="N6443" i="23" s="1"/>
  <c r="K5453" i="23" l="1"/>
  <c r="L5453" i="23" s="1"/>
  <c r="M5453" i="23" a="1"/>
  <c r="M5453" i="23" s="1"/>
  <c r="N5453" i="23" s="1"/>
  <c r="K5452" i="23"/>
  <c r="L5452" i="23" s="1"/>
  <c r="M5452" i="23" a="1"/>
  <c r="M5452" i="23" s="1"/>
  <c r="N5452" i="23" s="1"/>
  <c r="K5457" i="23"/>
  <c r="L5457" i="23" s="1"/>
  <c r="M5457" i="23" a="1"/>
  <c r="M5457" i="23" s="1"/>
  <c r="N5457" i="23" s="1"/>
  <c r="K5396" i="23"/>
  <c r="L5396" i="23" s="1"/>
  <c r="M5396" i="23" a="1"/>
  <c r="M5396" i="23" s="1"/>
  <c r="N5396" i="23" s="1"/>
  <c r="K5466" i="23"/>
  <c r="L5466" i="23" s="1"/>
  <c r="M5466" i="23" a="1"/>
  <c r="M5466" i="23" s="1"/>
  <c r="N5466" i="23" s="1"/>
  <c r="K5472" i="23"/>
  <c r="L5472" i="23" s="1"/>
  <c r="M5472" i="23" a="1"/>
  <c r="M5472" i="23" s="1"/>
  <c r="N5472" i="23" s="1"/>
  <c r="K5481" i="23"/>
  <c r="L5481" i="23" s="1"/>
  <c r="M5481" i="23" a="1"/>
  <c r="M5481" i="23" s="1"/>
  <c r="N5481" i="23" s="1"/>
  <c r="K5462" i="23"/>
  <c r="L5462" i="23" s="1"/>
  <c r="M5462" i="23" a="1"/>
  <c r="M5462" i="23" s="1"/>
  <c r="N5462" i="23" s="1"/>
  <c r="K5474" i="23"/>
  <c r="L5474" i="23" s="1"/>
  <c r="M5474" i="23" a="1"/>
  <c r="M5474" i="23" s="1"/>
  <c r="N5474" i="23" s="1"/>
  <c r="K5450" i="23"/>
  <c r="L5450" i="23" s="1"/>
  <c r="M5450" i="23" a="1"/>
  <c r="M5450" i="23" s="1"/>
  <c r="N5450" i="23" s="1"/>
  <c r="K5442" i="23"/>
  <c r="L5442" i="23" s="1"/>
  <c r="M5442" i="23" a="1"/>
  <c r="M5442" i="23" s="1"/>
  <c r="N5442" i="23" s="1"/>
  <c r="K5436" i="23"/>
  <c r="L5436" i="23" s="1"/>
  <c r="M5436" i="23" a="1"/>
  <c r="M5436" i="23" s="1"/>
  <c r="N5436" i="23" s="1"/>
  <c r="K5416" i="23"/>
  <c r="L5416" i="23" s="1"/>
  <c r="M5416" i="23" a="1"/>
  <c r="M5416" i="23" s="1"/>
  <c r="N5416" i="23" s="1"/>
  <c r="K5440" i="23"/>
  <c r="L5440" i="23" s="1"/>
  <c r="M5440" i="23" a="1"/>
  <c r="M5440" i="23" s="1"/>
  <c r="N5440" i="23" s="1"/>
  <c r="K5419" i="23"/>
  <c r="L5419" i="23" s="1"/>
  <c r="M5419" i="23" a="1"/>
  <c r="M5419" i="23" s="1"/>
  <c r="N5419" i="23" s="1"/>
  <c r="K5381" i="23"/>
  <c r="L5381" i="23" s="1"/>
  <c r="M5381" i="23" a="1"/>
  <c r="M5381" i="23" s="1"/>
  <c r="N5381" i="23" s="1"/>
  <c r="K5420" i="23"/>
  <c r="L5420" i="23" s="1"/>
  <c r="M5420" i="23" a="1"/>
  <c r="M5420" i="23" s="1"/>
  <c r="N5420" i="23" s="1"/>
  <c r="K5432" i="23"/>
  <c r="L5432" i="23" s="1"/>
  <c r="M5432" i="23" a="1"/>
  <c r="M5432" i="23" s="1"/>
  <c r="N5432" i="23" s="1"/>
  <c r="K5415" i="23"/>
  <c r="L5415" i="23" s="1"/>
  <c r="M5415" i="23" a="1"/>
  <c r="M5415" i="23" s="1"/>
  <c r="N5415" i="23" s="1"/>
  <c r="K5437" i="23"/>
  <c r="L5437" i="23" s="1"/>
  <c r="M5437" i="23" a="1"/>
  <c r="M5437" i="23" s="1"/>
  <c r="N5437" i="23" s="1"/>
  <c r="K5405" i="23"/>
  <c r="L5405" i="23" s="1"/>
  <c r="M5405" i="23" a="1"/>
  <c r="M5405" i="23" s="1"/>
  <c r="N5405" i="23" s="1"/>
  <c r="K5425" i="23"/>
  <c r="L5425" i="23" s="1"/>
  <c r="M5425" i="23" a="1"/>
  <c r="M5425" i="23" s="1"/>
  <c r="N5425" i="23" s="1"/>
  <c r="K5478" i="23"/>
  <c r="L5478" i="23" s="1"/>
  <c r="M5478" i="23" a="1"/>
  <c r="M5478" i="23" s="1"/>
  <c r="N5478" i="23" s="1"/>
  <c r="K5477" i="23"/>
  <c r="L5477" i="23" s="1"/>
  <c r="M5477" i="23" a="1"/>
  <c r="M5477" i="23" s="1"/>
  <c r="N5477" i="23" s="1"/>
  <c r="K5461" i="23"/>
  <c r="L5461" i="23" s="1"/>
  <c r="M5461" i="23" a="1"/>
  <c r="M5461" i="23" s="1"/>
  <c r="N5461" i="23" s="1"/>
  <c r="K5406" i="23"/>
  <c r="L5406" i="23" s="1"/>
  <c r="M5406" i="23" a="1"/>
  <c r="M5406" i="23" s="1"/>
  <c r="N5406" i="23" s="1"/>
  <c r="K5427" i="23"/>
  <c r="L5427" i="23" s="1"/>
  <c r="M5427" i="23" a="1"/>
  <c r="M5427" i="23" s="1"/>
  <c r="N5427" i="23" s="1"/>
  <c r="K5417" i="23"/>
  <c r="L5417" i="23" s="1"/>
  <c r="M5417" i="23" a="1"/>
  <c r="M5417" i="23" s="1"/>
  <c r="N5417" i="23" s="1"/>
  <c r="K5411" i="23"/>
  <c r="L5411" i="23" s="1"/>
  <c r="M5411" i="23" a="1"/>
  <c r="M5411" i="23" s="1"/>
  <c r="N5411" i="23" s="1"/>
  <c r="K5398" i="23"/>
  <c r="L5398" i="23" s="1"/>
  <c r="M5398" i="23" a="1"/>
  <c r="M5398" i="23" s="1"/>
  <c r="N5398" i="23" s="1"/>
  <c r="K5394" i="23"/>
  <c r="L5394" i="23" s="1"/>
  <c r="M5394" i="23" a="1"/>
  <c r="M5394" i="23" s="1"/>
  <c r="N5394" i="23" s="1"/>
  <c r="K5403" i="23"/>
  <c r="L5403" i="23" s="1"/>
  <c r="M5403" i="23" a="1"/>
  <c r="M5403" i="23" s="1"/>
  <c r="N5403" i="23" s="1"/>
  <c r="K5460" i="23"/>
  <c r="L5460" i="23" s="1"/>
  <c r="M5460" i="23" a="1"/>
  <c r="M5460" i="23" s="1"/>
  <c r="N5460" i="23" s="1"/>
  <c r="K5397" i="23"/>
  <c r="L5397" i="23" s="1"/>
  <c r="M5397" i="23" a="1"/>
  <c r="M5397" i="23" s="1"/>
  <c r="N5397" i="23" s="1"/>
  <c r="K5469" i="23"/>
  <c r="L5469" i="23" s="1"/>
  <c r="M5469" i="23" a="1"/>
  <c r="M5469" i="23" s="1"/>
  <c r="N5469" i="23" s="1"/>
  <c r="K5391" i="23"/>
  <c r="L5391" i="23" s="1"/>
  <c r="M5391" i="23" a="1"/>
  <c r="M5391" i="23" s="1"/>
  <c r="N5391" i="23" s="1"/>
  <c r="K5476" i="23"/>
  <c r="L5476" i="23" s="1"/>
  <c r="M5476" i="23" a="1"/>
  <c r="M5476" i="23" s="1"/>
  <c r="N5476" i="23" s="1"/>
  <c r="K5486" i="23"/>
  <c r="L5486" i="23" s="1"/>
  <c r="M5486" i="23" a="1"/>
  <c r="M5486" i="23" s="1"/>
  <c r="N5486" i="23" s="1"/>
  <c r="K5421" i="23"/>
  <c r="L5421" i="23" s="1"/>
  <c r="M5421" i="23" a="1"/>
  <c r="M5421" i="23" s="1"/>
  <c r="N5421" i="23" s="1"/>
  <c r="K5390" i="23"/>
  <c r="L5390" i="23" s="1"/>
  <c r="M5390" i="23" a="1"/>
  <c r="M5390" i="23" s="1"/>
  <c r="N5390" i="23" s="1"/>
  <c r="K5467" i="23"/>
  <c r="L5467" i="23" s="1"/>
  <c r="M5467" i="23" a="1"/>
  <c r="M5467" i="23" s="1"/>
  <c r="N5467" i="23" s="1"/>
  <c r="K5392" i="23" l="1"/>
  <c r="L5392" i="23" s="1"/>
  <c r="M5392" i="23" a="1"/>
  <c r="M5392" i="23" s="1"/>
  <c r="N5392" i="23" s="1"/>
  <c r="K5451" i="23"/>
  <c r="L5451" i="23" s="1"/>
  <c r="M5451" i="23" a="1"/>
  <c r="M5451" i="23" s="1"/>
  <c r="N5451" i="23" s="1"/>
  <c r="K5386" i="23" l="1"/>
  <c r="L5386" i="23" s="1"/>
  <c r="M5386" i="23" a="1"/>
  <c r="M5386" i="23" s="1"/>
  <c r="N5386" i="23" s="1"/>
  <c r="K5447" i="23"/>
  <c r="L5447" i="23" s="1"/>
  <c r="M5447" i="23" a="1"/>
  <c r="M5447" i="23" s="1"/>
  <c r="N5447" i="23" s="1"/>
  <c r="K5448" i="23"/>
  <c r="L5448" i="23" s="1"/>
  <c r="M5448" i="23" a="1"/>
  <c r="M5448" i="23" s="1"/>
  <c r="N5448" i="23" s="1"/>
  <c r="K5408" i="23"/>
  <c r="L5408" i="23" s="1"/>
  <c r="M5408" i="23" a="1"/>
  <c r="M5408" i="23" s="1"/>
  <c r="N5408" i="23" s="1"/>
  <c r="K5407" i="23"/>
  <c r="L5407" i="23" s="1"/>
  <c r="M5407" i="23" a="1"/>
  <c r="M5407" i="23" s="1"/>
  <c r="N5407" i="23" s="1"/>
  <c r="K5428" i="23"/>
  <c r="L5428" i="23" s="1"/>
  <c r="M5428" i="23" a="1"/>
  <c r="M5428" i="23" s="1"/>
  <c r="N5428" i="23" s="1"/>
  <c r="K5485" i="23"/>
  <c r="L5485" i="23" s="1"/>
  <c r="M5485" i="23" a="1"/>
  <c r="M5485" i="23" s="1"/>
  <c r="N5485" i="23" s="1"/>
  <c r="K5473" i="23"/>
  <c r="L5473" i="23" s="1"/>
  <c r="M5473" i="23" a="1"/>
  <c r="M5473" i="23" s="1"/>
  <c r="N5473" i="23" s="1"/>
  <c r="K5389" i="23"/>
  <c r="L5389" i="23" s="1"/>
  <c r="M5389" i="23" a="1"/>
  <c r="M5389" i="23" s="1"/>
  <c r="N5389" i="23" s="1"/>
  <c r="K5418" i="23"/>
  <c r="L5418" i="23" s="1"/>
  <c r="M5418" i="23" a="1"/>
  <c r="M5418" i="23" s="1"/>
  <c r="N5418" i="23" s="1"/>
  <c r="K5400" i="23"/>
  <c r="L5400" i="23" s="1"/>
  <c r="M5400" i="23" a="1"/>
  <c r="M5400" i="23" s="1"/>
  <c r="N5400" i="23" s="1"/>
  <c r="K5402" i="23"/>
  <c r="L5402" i="23" s="1"/>
  <c r="M5402" i="23" a="1"/>
  <c r="M5402" i="23" s="1"/>
  <c r="N5402" i="23" s="1"/>
  <c r="K5384" i="23"/>
  <c r="L5384" i="23" s="1"/>
  <c r="M5384" i="23" a="1"/>
  <c r="M5384" i="23" s="1"/>
  <c r="N5384" i="23" s="1"/>
  <c r="K5388" i="23"/>
  <c r="L5388" i="23" s="1"/>
  <c r="M5388" i="23" a="1"/>
  <c r="M5388" i="23" s="1"/>
  <c r="N5388" i="23" s="1"/>
  <c r="K5387" i="23"/>
  <c r="L5387" i="23" s="1"/>
  <c r="M5387" i="23" a="1"/>
  <c r="M5387" i="23" s="1"/>
  <c r="N5387" i="23" s="1"/>
  <c r="K5449" i="23"/>
  <c r="L5449" i="23" s="1"/>
  <c r="M5449" i="23" a="1"/>
  <c r="M5449" i="23" s="1"/>
  <c r="N5449" i="23" s="1"/>
  <c r="K5393" i="23"/>
  <c r="L5393" i="23" s="1"/>
  <c r="M5393" i="23" a="1"/>
  <c r="M5393" i="23" s="1"/>
  <c r="N5393" i="23" s="1"/>
  <c r="K5413" i="23"/>
  <c r="L5413" i="23" s="1"/>
  <c r="M5413" i="23" a="1"/>
  <c r="M5413" i="23" s="1"/>
  <c r="N5413" i="23" s="1"/>
  <c r="K5468" i="23"/>
  <c r="L5468" i="23" s="1"/>
  <c r="M5468" i="23" a="1"/>
  <c r="M5468" i="23" s="1"/>
  <c r="N5468" i="23" s="1"/>
  <c r="K5429" i="23"/>
  <c r="L5429" i="23" s="1"/>
  <c r="M5429" i="23" a="1"/>
  <c r="M5429" i="23" s="1"/>
  <c r="N5429" i="23" s="1"/>
  <c r="K5383" i="23"/>
  <c r="L5383" i="23" s="1"/>
  <c r="M5383" i="23" a="1"/>
  <c r="M5383" i="23" s="1"/>
  <c r="N5383" i="23" s="1"/>
  <c r="K5454" i="23"/>
  <c r="L5454" i="23" s="1"/>
  <c r="M5454" i="23" a="1"/>
  <c r="M5454" i="23" s="1"/>
  <c r="N5454" i="23" s="1"/>
  <c r="K5438" i="23"/>
  <c r="L5438" i="23" s="1"/>
  <c r="M5438" i="23" a="1"/>
  <c r="M5438" i="23" s="1"/>
  <c r="N5438" i="23" s="1"/>
  <c r="K5455" i="23"/>
  <c r="L5455" i="23" s="1"/>
  <c r="M5455" i="23" a="1"/>
  <c r="M5455" i="23" s="1"/>
  <c r="N5455" i="23" s="1"/>
  <c r="K5424" i="23"/>
  <c r="L5424" i="23" s="1"/>
  <c r="M5424" i="23" a="1"/>
  <c r="M5424" i="23" s="1"/>
  <c r="N5424" i="23" s="1"/>
  <c r="K5399" i="23"/>
  <c r="L5399" i="23" s="1"/>
  <c r="M5399" i="23" a="1"/>
  <c r="M5399" i="23" s="1"/>
  <c r="N5399" i="23" s="1"/>
  <c r="K5412" i="23"/>
  <c r="L5412" i="23" s="1"/>
  <c r="M5412" i="23" a="1"/>
  <c r="M5412" i="23" s="1"/>
  <c r="N5412" i="23" s="1"/>
  <c r="K5446" i="23"/>
  <c r="L5446" i="23" s="1"/>
  <c r="M5446" i="23" a="1"/>
  <c r="M5446" i="23" s="1"/>
  <c r="N5446" i="23" s="1"/>
  <c r="K5470" i="23"/>
  <c r="L5470" i="23" s="1"/>
  <c r="M5470" i="23" a="1"/>
  <c r="M5470" i="23" s="1"/>
  <c r="N5470" i="23" s="1"/>
  <c r="K5395" i="23"/>
  <c r="L5395" i="23" s="1"/>
  <c r="M5395" i="23" a="1"/>
  <c r="M5395" i="23" s="1"/>
  <c r="N5395" i="23" s="1"/>
  <c r="K5426" i="23"/>
  <c r="L5426" i="23" s="1"/>
  <c r="M5426" i="23" a="1"/>
  <c r="M5426" i="23" s="1"/>
  <c r="N5426" i="23" s="1"/>
  <c r="K5385" i="23"/>
  <c r="L5385" i="23" s="1"/>
  <c r="M5385" i="23" a="1"/>
  <c r="M5385" i="23" s="1"/>
  <c r="N5385" i="23" s="1"/>
  <c r="K5482" i="23"/>
  <c r="L5482" i="23" s="1"/>
  <c r="M5482" i="23" a="1"/>
  <c r="M5482" i="23" s="1"/>
  <c r="N5482" i="23" s="1"/>
  <c r="K5380" i="23"/>
  <c r="L5380" i="23" s="1"/>
  <c r="M5380" i="23" a="1"/>
  <c r="M5380" i="23" s="1"/>
  <c r="N5380" i="23" s="1"/>
  <c r="K5483" i="23"/>
  <c r="L5483" i="23" s="1"/>
  <c r="M5483" i="23" a="1"/>
  <c r="K5475" i="23"/>
  <c r="L5475" i="23" s="1"/>
  <c r="M5475" i="23" a="1"/>
  <c r="M5475" i="23" s="1"/>
  <c r="N5475" i="23" s="1"/>
  <c r="K5463" i="23"/>
  <c r="L5463" i="23" s="1"/>
  <c r="M5463" i="23" a="1"/>
  <c r="M5463" i="23" s="1"/>
  <c r="N5463" i="23" s="1"/>
  <c r="K5465" i="23" l="1"/>
  <c r="L5465" i="23" s="1"/>
  <c r="M5465" i="23" a="1"/>
  <c r="M5465" i="23" s="1"/>
  <c r="N5465" i="23" s="1"/>
  <c r="K5434" i="23"/>
  <c r="L5434" i="23" s="1"/>
  <c r="M5434" i="23" a="1"/>
  <c r="M5434" i="23" s="1"/>
  <c r="N5434" i="23" s="1"/>
  <c r="K5464" i="23"/>
  <c r="L5464" i="23" s="1"/>
  <c r="M5464" i="23" a="1"/>
  <c r="M5464" i="23" s="1"/>
  <c r="N5464" i="23" s="1"/>
  <c r="K5443" i="23"/>
  <c r="L5443" i="23" s="1"/>
  <c r="M5443" i="23" a="1"/>
  <c r="M5443" i="23" s="1"/>
  <c r="N5443" i="23" s="1"/>
  <c r="K5404" i="23"/>
  <c r="L5404" i="23" s="1"/>
  <c r="M5404" i="23" a="1"/>
  <c r="M5404" i="23" s="1"/>
  <c r="N5404" i="23" s="1"/>
  <c r="K5430" i="23"/>
  <c r="L5430" i="23" s="1"/>
  <c r="M5430" i="23" a="1"/>
  <c r="M5430" i="23" s="1"/>
  <c r="N5430" i="23" s="1"/>
  <c r="K5458" i="23" l="1"/>
  <c r="L5458" i="23" s="1"/>
  <c r="M5458" i="23" a="1"/>
  <c r="M5458" i="23" s="1"/>
  <c r="N5458" i="23" s="1"/>
  <c r="K5459" i="23"/>
  <c r="L5459" i="23" s="1"/>
  <c r="M5459" i="23" a="1"/>
  <c r="M5459" i="23" s="1"/>
  <c r="N5459" i="23" s="1"/>
  <c r="K5471" i="23"/>
  <c r="L5471" i="23" s="1"/>
  <c r="M5471" i="23" a="1"/>
  <c r="M5471" i="23" s="1"/>
  <c r="N5471" i="23" s="1"/>
  <c r="K5484" i="23"/>
  <c r="L5484" i="23" s="1"/>
  <c r="M5484" i="23" a="1"/>
  <c r="M5484" i="23" s="1"/>
  <c r="N5484" i="23" s="1"/>
  <c r="K5410" i="23"/>
  <c r="L5410" i="23" s="1"/>
  <c r="M5410" i="23" a="1"/>
  <c r="M5410" i="23" s="1"/>
  <c r="N5410" i="23" s="1"/>
  <c r="K5359" i="23"/>
  <c r="L5359" i="23" s="1"/>
  <c r="M5359" i="23" a="1"/>
  <c r="M5359" i="23" s="1"/>
  <c r="N5359" i="23" s="1"/>
  <c r="K5445" i="23"/>
  <c r="L5445" i="23" s="1"/>
  <c r="M5445" i="23" a="1"/>
  <c r="M5445" i="23" s="1"/>
  <c r="N5445" i="23" s="1"/>
  <c r="K5444" i="23"/>
  <c r="L5444" i="23" s="1"/>
  <c r="M5444" i="23" a="1"/>
  <c r="M5444" i="23" s="1"/>
  <c r="N5444" i="23" s="1"/>
  <c r="K5435" i="23"/>
  <c r="L5435" i="23" s="1"/>
  <c r="M5435" i="23" a="1"/>
  <c r="M5435" i="23" s="1"/>
  <c r="N5435" i="23" s="1"/>
  <c r="K5409" i="23" l="1"/>
  <c r="L5409" i="23" s="1"/>
  <c r="M5409" i="23" a="1"/>
  <c r="M5409" i="23" s="1"/>
  <c r="N5409" i="23" s="1"/>
  <c r="K5431" i="23"/>
  <c r="L5431" i="23" s="1"/>
  <c r="M5431" i="23" a="1"/>
  <c r="M5431" i="23" s="1"/>
  <c r="N5431" i="23" s="1"/>
  <c r="K5433" i="23"/>
  <c r="L5433" i="23" s="1"/>
  <c r="M5433" i="23" a="1"/>
  <c r="M5433" i="23" s="1"/>
  <c r="N5433" i="23" s="1"/>
  <c r="K5382" i="23"/>
  <c r="L5382" i="23" s="1"/>
  <c r="M5382" i="23" a="1"/>
  <c r="M5382" i="23" s="1"/>
  <c r="N5382" i="23" s="1"/>
  <c r="K5439" i="23"/>
  <c r="L5439" i="23" s="1"/>
  <c r="M5439" i="23" a="1"/>
  <c r="M5439" i="23" s="1"/>
  <c r="N5439" i="23" s="1"/>
  <c r="K5401" i="23"/>
  <c r="L5401" i="23" s="1"/>
  <c r="M5401" i="23" a="1"/>
  <c r="M5401" i="23" s="1"/>
  <c r="N5401" i="23" s="1"/>
  <c r="K5414" i="23" l="1"/>
  <c r="L5414" i="23" s="1"/>
  <c r="M5414" i="23" a="1"/>
  <c r="M5414" i="23" s="1"/>
  <c r="N5414" i="23" s="1"/>
  <c r="K5422" i="23"/>
  <c r="L5422" i="23" s="1"/>
  <c r="M5422" i="23" a="1"/>
  <c r="M5422" i="23" s="1"/>
  <c r="N5422" i="23" s="1"/>
  <c r="K5456" i="23"/>
  <c r="L5456" i="23" s="1"/>
  <c r="M5456" i="23" a="1"/>
  <c r="M5456" i="23" s="1"/>
  <c r="N5456" i="23" s="1"/>
  <c r="K5480" i="23"/>
  <c r="L5480" i="23" s="1"/>
  <c r="M5480" i="23" a="1"/>
  <c r="M5480" i="23" s="1"/>
  <c r="N5480" i="23" s="1"/>
  <c r="K5202" i="23"/>
  <c r="L5202" i="23" s="1"/>
  <c r="M5202" i="23" a="1"/>
  <c r="M5202" i="23" s="1"/>
  <c r="N5202" i="23" s="1"/>
  <c r="K5200" i="23"/>
  <c r="L5200" i="23" s="1"/>
  <c r="M5200" i="23" a="1"/>
  <c r="M5200" i="23" s="1"/>
  <c r="N5200" i="23" s="1"/>
  <c r="K5520" i="23" l="1"/>
  <c r="L5520" i="23" s="1"/>
  <c r="M5520" i="23" a="1"/>
  <c r="M5520" i="23" s="1"/>
  <c r="N5520" i="23" s="1"/>
  <c r="K5494" i="23"/>
  <c r="L5494" i="23" s="1"/>
  <c r="M5494" i="23" a="1"/>
  <c r="M5494" i="23" s="1"/>
  <c r="N5494" i="23" s="1"/>
  <c r="K5513" i="23"/>
  <c r="L5513" i="23" s="1"/>
  <c r="M5513" i="23" a="1"/>
  <c r="M5513" i="23" s="1"/>
  <c r="N5513" i="23" s="1"/>
  <c r="K5552" i="23"/>
  <c r="L5552" i="23" s="1"/>
  <c r="M5552" i="23" a="1"/>
  <c r="M5552" i="23" s="1"/>
  <c r="N5552" i="23" s="1"/>
  <c r="K5507" i="23"/>
  <c r="L5507" i="23" s="1"/>
  <c r="M5507" i="23" a="1"/>
  <c r="M5507" i="23" s="1"/>
  <c r="N5507" i="23" s="1"/>
  <c r="K5516" i="23"/>
  <c r="L5516" i="23" s="1"/>
  <c r="M5516" i="23" a="1"/>
  <c r="M5516" i="23" s="1"/>
  <c r="N5516" i="23" s="1"/>
  <c r="K5551" i="23"/>
  <c r="L5551" i="23" s="1"/>
  <c r="M5551" i="23" a="1"/>
  <c r="M5551" i="23" s="1"/>
  <c r="N5551" i="23" s="1"/>
  <c r="K5524" i="23"/>
  <c r="L5524" i="23" s="1"/>
  <c r="M5524" i="23" a="1"/>
  <c r="M5524" i="23" s="1"/>
  <c r="N5524" i="23" s="1"/>
  <c r="K5521" i="23"/>
  <c r="L5521" i="23" s="1"/>
  <c r="M5521" i="23" a="1"/>
  <c r="M5521" i="23" s="1"/>
  <c r="N5521" i="23" s="1"/>
  <c r="K5567" i="23"/>
  <c r="L5567" i="23" s="1"/>
  <c r="M5567" i="23" a="1"/>
  <c r="M5567" i="23" s="1"/>
  <c r="N5567" i="23" s="1"/>
  <c r="K5547" i="23"/>
  <c r="L5547" i="23" s="1"/>
  <c r="M5547" i="23" a="1"/>
  <c r="M5547" i="23" s="1"/>
  <c r="N5547" i="23" s="1"/>
  <c r="K5542" i="23"/>
  <c r="L5542" i="23" s="1"/>
  <c r="M5542" i="23" a="1"/>
  <c r="M5542" i="23" s="1"/>
  <c r="N5542" i="23" s="1"/>
  <c r="K5488" i="23"/>
  <c r="L5488" i="23" s="1"/>
  <c r="M5488" i="23" a="1"/>
  <c r="M5488" i="23" s="1"/>
  <c r="N5488" i="23" s="1"/>
  <c r="K5504" i="23"/>
  <c r="L5504" i="23" s="1"/>
  <c r="M5504" i="23" a="1"/>
  <c r="M5504" i="23" s="1"/>
  <c r="N5504" i="23" s="1"/>
  <c r="K5535" i="23"/>
  <c r="L5535" i="23" s="1"/>
  <c r="M5535" i="23" a="1"/>
  <c r="M5535" i="23" s="1"/>
  <c r="N5535" i="23" s="1"/>
  <c r="K5546" i="23"/>
  <c r="L5546" i="23" s="1"/>
  <c r="M5546" i="23" a="1"/>
  <c r="M5546" i="23" s="1"/>
  <c r="N5546" i="23" s="1"/>
  <c r="K5540" i="23"/>
  <c r="L5540" i="23" s="1"/>
  <c r="M5540" i="23" a="1"/>
  <c r="M5540" i="23" s="1"/>
  <c r="N5540" i="23" s="1"/>
  <c r="K5527" i="23"/>
  <c r="L5527" i="23" s="1"/>
  <c r="M5527" i="23" a="1"/>
  <c r="M5527" i="23" s="1"/>
  <c r="N5527" i="23" s="1"/>
  <c r="K5503" i="23"/>
  <c r="L5503" i="23" s="1"/>
  <c r="M5503" i="23" a="1"/>
  <c r="M5503" i="23" s="1"/>
  <c r="N5503" i="23" s="1"/>
  <c r="K5489" i="23"/>
  <c r="L5489" i="23" s="1"/>
  <c r="M5489" i="23" a="1"/>
  <c r="M5489" i="23" s="1"/>
  <c r="N5489" i="23" s="1"/>
  <c r="K5490" i="23"/>
  <c r="L5490" i="23" s="1"/>
  <c r="M5490" i="23" a="1"/>
  <c r="M5490" i="23" s="1"/>
  <c r="N5490" i="23" s="1"/>
  <c r="K5497" i="23"/>
  <c r="L5497" i="23" s="1"/>
  <c r="M5497" i="23" a="1"/>
  <c r="M5497" i="23" s="1"/>
  <c r="N5497" i="23" s="1"/>
  <c r="K5558" i="23"/>
  <c r="L5558" i="23" s="1"/>
  <c r="M5558" i="23" a="1"/>
  <c r="M5558" i="23" s="1"/>
  <c r="N5558" i="23" s="1"/>
  <c r="K5496" i="23"/>
  <c r="L5496" i="23" s="1"/>
  <c r="M5496" i="23" a="1"/>
  <c r="M5496" i="23" s="1"/>
  <c r="N5496" i="23" s="1"/>
  <c r="K5508" i="23"/>
  <c r="L5508" i="23" s="1"/>
  <c r="M5508" i="23" a="1"/>
  <c r="M5508" i="23" s="1"/>
  <c r="N5508" i="23" s="1"/>
  <c r="K5556" i="23"/>
  <c r="L5556" i="23" s="1"/>
  <c r="M5556" i="23" a="1"/>
  <c r="M5556" i="23" s="1"/>
  <c r="N5556" i="23" s="1"/>
  <c r="K5526" i="23"/>
  <c r="L5526" i="23" s="1"/>
  <c r="M5526" i="23" a="1"/>
  <c r="M5526" i="23" s="1"/>
  <c r="N5526" i="23" s="1"/>
  <c r="K5544" i="23"/>
  <c r="L5544" i="23" s="1"/>
  <c r="M5544" i="23" a="1"/>
  <c r="M5544" i="23" s="1"/>
  <c r="N5544" i="23" s="1"/>
  <c r="K5559" i="23"/>
  <c r="L5559" i="23" s="1"/>
  <c r="M5559" i="23" a="1"/>
  <c r="M5559" i="23" s="1"/>
  <c r="N5559" i="23" s="1"/>
  <c r="K5539" i="23"/>
  <c r="L5539" i="23" s="1"/>
  <c r="M5539" i="23" a="1"/>
  <c r="M5539" i="23" s="1"/>
  <c r="N5539" i="23" s="1"/>
  <c r="K5525" i="23"/>
  <c r="L5525" i="23" s="1"/>
  <c r="M5525" i="23" a="1"/>
  <c r="M5525" i="23" s="1"/>
  <c r="N5525" i="23" s="1"/>
  <c r="K5568" i="23"/>
  <c r="L5568" i="23" s="1"/>
  <c r="M5568" i="23" a="1"/>
  <c r="M5568" i="23" s="1"/>
  <c r="N5568" i="23" s="1"/>
  <c r="K5498" i="23"/>
  <c r="L5498" i="23" s="1"/>
  <c r="M5498" i="23" a="1"/>
  <c r="M5498" i="23" s="1"/>
  <c r="N5498" i="23" s="1"/>
  <c r="K5550" i="23"/>
  <c r="L5550" i="23" s="1"/>
  <c r="M5550" i="23" a="1"/>
  <c r="M5550" i="23" s="1"/>
  <c r="N5550" i="23" s="1"/>
  <c r="K5537" i="23"/>
  <c r="L5537" i="23" s="1"/>
  <c r="M5537" i="23" a="1"/>
  <c r="M5537" i="23" s="1"/>
  <c r="N5537" i="23" s="1"/>
  <c r="K5557" i="23"/>
  <c r="L5557" i="23" s="1"/>
  <c r="M5557" i="23" a="1"/>
  <c r="M5557" i="23" s="1"/>
  <c r="N5557" i="23" s="1"/>
  <c r="K5506" i="23" l="1"/>
  <c r="L5506" i="23" s="1"/>
  <c r="M5506" i="23" a="1"/>
  <c r="M5506" i="23" s="1"/>
  <c r="N5506" i="23" s="1"/>
  <c r="K5566" i="23"/>
  <c r="L5566" i="23" s="1"/>
  <c r="M5566" i="23" a="1"/>
  <c r="M5566" i="23" s="1"/>
  <c r="N5566" i="23" s="1"/>
  <c r="K5514" i="23"/>
  <c r="L5514" i="23" s="1"/>
  <c r="M5514" i="23" a="1"/>
  <c r="M5514" i="23" s="1"/>
  <c r="N5514" i="23" s="1"/>
  <c r="K5518" i="23"/>
  <c r="L5518" i="23" s="1"/>
  <c r="M5518" i="23" a="1"/>
  <c r="M5518" i="23" s="1"/>
  <c r="N5518" i="23" s="1"/>
  <c r="K5519" i="23"/>
  <c r="L5519" i="23" s="1"/>
  <c r="M5519" i="23" a="1"/>
  <c r="M5519" i="23" s="1"/>
  <c r="N5519" i="23" s="1"/>
  <c r="K5549" i="23"/>
  <c r="L5549" i="23" s="1"/>
  <c r="M5549" i="23" a="1"/>
  <c r="M5549" i="23" s="1"/>
  <c r="N5549" i="23" s="1"/>
  <c r="K5512" i="23"/>
  <c r="L5512" i="23" s="1"/>
  <c r="M5512" i="23" a="1"/>
  <c r="M5512" i="23" s="1"/>
  <c r="N5512" i="23" s="1"/>
  <c r="K5492" i="23" l="1"/>
  <c r="L5492" i="23" s="1"/>
  <c r="M5492" i="23" a="1"/>
  <c r="M5492" i="23" s="1"/>
  <c r="N5492" i="23" s="1"/>
  <c r="K5491" i="23"/>
  <c r="L5491" i="23" s="1"/>
  <c r="M5491" i="23" a="1"/>
  <c r="M5491" i="23" s="1"/>
  <c r="N5491" i="23" s="1"/>
  <c r="K5562" i="23"/>
  <c r="L5562" i="23" s="1"/>
  <c r="M5562" i="23" a="1"/>
  <c r="M5562" i="23" s="1"/>
  <c r="N5562" i="23" s="1"/>
  <c r="K5517" i="23"/>
  <c r="L5517" i="23" s="1"/>
  <c r="M5517" i="23" a="1"/>
  <c r="M5517" i="23" s="1"/>
  <c r="N5517" i="23" s="1"/>
  <c r="K5545" i="23"/>
  <c r="L5545" i="23" s="1"/>
  <c r="M5545" i="23" a="1"/>
  <c r="M5545" i="23" s="1"/>
  <c r="N5545" i="23" s="1"/>
  <c r="K5564" i="23"/>
  <c r="L5564" i="23" s="1"/>
  <c r="M5564" i="23" a="1"/>
  <c r="M5564" i="23" s="1"/>
  <c r="N5564" i="23" s="1"/>
  <c r="K5548" i="23"/>
  <c r="L5548" i="23" s="1"/>
  <c r="M5548" i="23" a="1"/>
  <c r="M5548" i="23" s="1"/>
  <c r="N5548" i="23" s="1"/>
  <c r="K5565" i="23"/>
  <c r="L5565" i="23" s="1"/>
  <c r="M5565" i="23" a="1"/>
  <c r="M5565" i="23" s="1"/>
  <c r="N5565" i="23" s="1"/>
  <c r="K5536" i="23"/>
  <c r="L5536" i="23" s="1"/>
  <c r="M5536" i="23" a="1"/>
  <c r="M5536" i="23" s="1"/>
  <c r="N5536" i="23" s="1"/>
  <c r="K5528" i="23"/>
  <c r="L5528" i="23" s="1"/>
  <c r="M5528" i="23" a="1"/>
  <c r="M5528" i="23" s="1"/>
  <c r="N5528" i="23" s="1"/>
  <c r="K5541" i="23"/>
  <c r="L5541" i="23" s="1"/>
  <c r="M5541" i="23" a="1"/>
  <c r="M5541" i="23" s="1"/>
  <c r="N5541" i="23" s="1"/>
  <c r="K5505" i="23"/>
  <c r="L5505" i="23" s="1"/>
  <c r="M5505" i="23" a="1"/>
  <c r="M5505" i="23" s="1"/>
  <c r="N5505" i="23" s="1"/>
  <c r="K5495" i="23"/>
  <c r="L5495" i="23" s="1"/>
  <c r="M5495" i="23" a="1"/>
  <c r="M5495" i="23" s="1"/>
  <c r="N5495" i="23" s="1"/>
  <c r="K5510" i="23"/>
  <c r="L5510" i="23" s="1"/>
  <c r="M5510" i="23" a="1"/>
  <c r="M5510" i="23" s="1"/>
  <c r="N5510" i="23" s="1"/>
  <c r="K5554" i="23"/>
  <c r="L5554" i="23" s="1"/>
  <c r="M5554" i="23" a="1"/>
  <c r="M5554" i="23" s="1"/>
  <c r="N5554" i="23" s="1"/>
  <c r="K5534" i="23"/>
  <c r="L5534" i="23" s="1"/>
  <c r="M5534" i="23" a="1"/>
  <c r="M5534" i="23" s="1"/>
  <c r="N5534" i="23" s="1"/>
  <c r="K5532" i="23"/>
  <c r="L5532" i="23" s="1"/>
  <c r="M5532" i="23" a="1"/>
  <c r="M5532" i="23" s="1"/>
  <c r="N5532" i="23" s="1"/>
  <c r="K5561" i="23"/>
  <c r="L5561" i="23" s="1"/>
  <c r="M5561" i="23" a="1"/>
  <c r="M5561" i="23" s="1"/>
  <c r="N5561" i="23" s="1"/>
  <c r="K5493" i="23"/>
  <c r="L5493" i="23" s="1"/>
  <c r="M5493" i="23" a="1"/>
  <c r="M5493" i="23" s="1"/>
  <c r="N5493" i="23" s="1"/>
  <c r="K5560" i="23"/>
  <c r="L5560" i="23" s="1"/>
  <c r="M5560" i="23" a="1"/>
  <c r="M5560" i="23" s="1"/>
  <c r="N5560" i="23" s="1"/>
  <c r="K5522" i="23"/>
  <c r="L5522" i="23" s="1"/>
  <c r="M5522" i="23" a="1"/>
  <c r="M5522" i="23" s="1"/>
  <c r="N5522" i="23" s="1"/>
  <c r="K5533" i="23"/>
  <c r="L5533" i="23" s="1"/>
  <c r="M5533" i="23" a="1"/>
  <c r="M5533" i="23" s="1"/>
  <c r="N5533" i="23" s="1"/>
  <c r="K5529" i="23"/>
  <c r="L5529" i="23" s="1"/>
  <c r="M5529" i="23" a="1"/>
  <c r="M5529" i="23" s="1"/>
  <c r="N5529" i="23" s="1"/>
  <c r="K5502" i="23"/>
  <c r="L5502" i="23" s="1"/>
  <c r="M5502" i="23" a="1"/>
  <c r="M5502" i="23" s="1"/>
  <c r="N5502" i="23" s="1"/>
  <c r="K5499" i="23"/>
  <c r="L5499" i="23" s="1"/>
  <c r="M5499" i="23" a="1"/>
  <c r="M5499" i="23" s="1"/>
  <c r="N5499" i="23" s="1"/>
  <c r="K5509" i="23"/>
  <c r="L5509" i="23" s="1"/>
  <c r="M5509" i="23" a="1"/>
  <c r="M5509" i="23" s="1"/>
  <c r="N5509" i="23" s="1"/>
  <c r="K5543" i="23"/>
  <c r="L5543" i="23" s="1"/>
  <c r="M5543" i="23" a="1"/>
  <c r="M5543" i="23" s="1"/>
  <c r="N5543" i="23" s="1"/>
  <c r="K5500" i="23"/>
  <c r="L5500" i="23" s="1"/>
  <c r="M5500" i="23" a="1"/>
  <c r="M5500" i="23" s="1"/>
  <c r="N5500" i="23" s="1"/>
  <c r="K5538" i="23"/>
  <c r="L5538" i="23" s="1"/>
  <c r="M5538" i="23" a="1"/>
  <c r="M5538" i="23" s="1"/>
  <c r="N5538" i="23" s="1"/>
  <c r="K5563" i="23"/>
  <c r="L5563" i="23" s="1"/>
  <c r="M5563" i="23" a="1"/>
  <c r="M5563" i="23" s="1"/>
  <c r="N5563" i="23" s="1"/>
  <c r="K5553" i="23"/>
  <c r="L5553" i="23" s="1"/>
  <c r="M5553" i="23" a="1"/>
  <c r="M5553" i="23" s="1"/>
  <c r="N5553" i="23" s="1"/>
  <c r="K5511" i="23" l="1"/>
  <c r="L5511" i="23" s="1"/>
  <c r="M5511" i="23" a="1"/>
  <c r="M5511" i="23" s="1"/>
  <c r="N5511" i="23" s="1"/>
  <c r="K5530" i="23"/>
  <c r="L5530" i="23" s="1"/>
  <c r="M5530" i="23" a="1"/>
  <c r="M5530" i="23" s="1"/>
  <c r="N5530" i="23" s="1"/>
  <c r="M5501" i="23" a="1"/>
  <c r="M5501" i="23" s="1"/>
  <c r="N5501" i="23" s="1"/>
  <c r="K5501" i="23"/>
  <c r="L5501" i="23" s="1"/>
  <c r="V68" i="18" l="1"/>
  <c r="V67" i="18"/>
  <c r="V66" i="18"/>
  <c r="V65" i="18"/>
  <c r="V64" i="18"/>
  <c r="K5555" i="23"/>
  <c r="L5555" i="23" s="1"/>
  <c r="M5555" i="23" a="1"/>
  <c r="M5555" i="23" s="1"/>
  <c r="N5555" i="23" s="1"/>
  <c r="K5487" i="23"/>
  <c r="L5487" i="23" s="1"/>
  <c r="M5487" i="23" a="1"/>
  <c r="M5487" i="23" s="1"/>
  <c r="N5487" i="23" s="1"/>
  <c r="K5335" i="23" l="1"/>
  <c r="L5335" i="23" s="1"/>
  <c r="M5335" i="23" a="1"/>
  <c r="M5335" i="23" s="1"/>
  <c r="N5335" i="23" s="1"/>
  <c r="K5284" i="23"/>
  <c r="L5284" i="23" s="1"/>
  <c r="M5284" i="23" a="1"/>
  <c r="M5284" i="23" s="1"/>
  <c r="N5284" i="23" s="1"/>
  <c r="K5377" i="23"/>
  <c r="L5377" i="23" s="1"/>
  <c r="M5377" i="23" a="1"/>
  <c r="M5377" i="23" s="1"/>
  <c r="N5377" i="23" s="1"/>
  <c r="K5371" i="23"/>
  <c r="L5371" i="23" s="1"/>
  <c r="M5371" i="23" a="1"/>
  <c r="M5371" i="23" s="1"/>
  <c r="N5371" i="23" s="1"/>
  <c r="K5370" i="23"/>
  <c r="L5370" i="23" s="1"/>
  <c r="M5370" i="23" a="1"/>
  <c r="M5370" i="23" s="1"/>
  <c r="N5370" i="23" s="1"/>
  <c r="K5315" i="23"/>
  <c r="L5315" i="23" s="1"/>
  <c r="M5315" i="23" a="1"/>
  <c r="M5315" i="23" s="1"/>
  <c r="N5315" i="23" s="1"/>
  <c r="K5375" i="23"/>
  <c r="L5375" i="23" s="1"/>
  <c r="M5375" i="23" a="1"/>
  <c r="M5375" i="23" s="1"/>
  <c r="N5375" i="23" s="1"/>
  <c r="K5262" i="23"/>
  <c r="L5262" i="23" s="1"/>
  <c r="M5262" i="23" a="1"/>
  <c r="M5262" i="23" s="1"/>
  <c r="N5262" i="23" s="1"/>
  <c r="K5354" i="23"/>
  <c r="L5354" i="23" s="1"/>
  <c r="M5354" i="23" a="1"/>
  <c r="M5354" i="23" s="1"/>
  <c r="N5354" i="23" s="1"/>
  <c r="K5363" i="23"/>
  <c r="L5363" i="23" s="1"/>
  <c r="M5363" i="23" a="1"/>
  <c r="M5363" i="23" s="1"/>
  <c r="N5363" i="23" s="1"/>
  <c r="K5362" i="23"/>
  <c r="L5362" i="23" s="1"/>
  <c r="M5362" i="23" a="1"/>
  <c r="M5362" i="23" s="1"/>
  <c r="N5362" i="23" s="1"/>
  <c r="K5355" i="23"/>
  <c r="L5355" i="23" s="1"/>
  <c r="M5355" i="23" a="1"/>
  <c r="M5355" i="23" s="1"/>
  <c r="N5355" i="23" s="1"/>
  <c r="K5361" i="23"/>
  <c r="L5361" i="23" s="1"/>
  <c r="M5361" i="23" a="1"/>
  <c r="M5361" i="23" s="1"/>
  <c r="N5361" i="23" s="1"/>
  <c r="K5326" i="23"/>
  <c r="L5326" i="23" s="1"/>
  <c r="M5326" i="23" a="1"/>
  <c r="M5326" i="23" s="1"/>
  <c r="N5326" i="23" s="1"/>
  <c r="K5351" i="23" l="1"/>
  <c r="L5351" i="23" s="1"/>
  <c r="M5351" i="23" a="1"/>
  <c r="M5351" i="23" s="1"/>
  <c r="N5351" i="23" s="1"/>
  <c r="K5299" i="23"/>
  <c r="L5299" i="23" s="1"/>
  <c r="M5299" i="23" a="1"/>
  <c r="M5299" i="23" s="1"/>
  <c r="N5299" i="23" s="1"/>
  <c r="K5324" i="23"/>
  <c r="L5324" i="23" s="1"/>
  <c r="M5324" i="23" a="1"/>
  <c r="M5324" i="23" s="1"/>
  <c r="N5324" i="23" s="1"/>
  <c r="K5372" i="23"/>
  <c r="L5372" i="23" s="1"/>
  <c r="M5372" i="23" a="1"/>
  <c r="M5372" i="23" s="1"/>
  <c r="N5372" i="23" s="1"/>
  <c r="K5323" i="23"/>
  <c r="L5323" i="23" s="1"/>
  <c r="M5323" i="23" a="1"/>
  <c r="M5323" i="23" s="1"/>
  <c r="N5323" i="23" s="1"/>
  <c r="K5374" i="23"/>
  <c r="L5374" i="23" s="1"/>
  <c r="M5374" i="23" a="1"/>
  <c r="M5374" i="23" s="1"/>
  <c r="N5374" i="23" s="1"/>
  <c r="K5327" i="23" l="1"/>
  <c r="L5327" i="23" s="1"/>
  <c r="M5327" i="23" a="1"/>
  <c r="M5327" i="23" s="1"/>
  <c r="N5327" i="23" s="1"/>
  <c r="K5339" i="23"/>
  <c r="L5339" i="23" s="1"/>
  <c r="M5339" i="23" a="1"/>
  <c r="M5339" i="23" s="1"/>
  <c r="N5339" i="23" s="1"/>
  <c r="K5275" i="23"/>
  <c r="L5275" i="23" s="1"/>
  <c r="M5275" i="23" a="1"/>
  <c r="M5275" i="23" s="1"/>
  <c r="N5275" i="23" s="1"/>
  <c r="K5358" i="23"/>
  <c r="L5358" i="23" s="1"/>
  <c r="M5358" i="23" a="1"/>
  <c r="M5358" i="23" s="1"/>
  <c r="N5358" i="23" s="1"/>
  <c r="K5367" i="23"/>
  <c r="L5367" i="23" s="1"/>
  <c r="M5367" i="23" a="1"/>
  <c r="M5367" i="23" s="1"/>
  <c r="N5367" i="23" s="1"/>
  <c r="K5360" i="23"/>
  <c r="L5360" i="23" s="1"/>
  <c r="M5360" i="23" a="1"/>
  <c r="M5360" i="23" s="1"/>
  <c r="N5360" i="23" s="1"/>
  <c r="K5331" i="23"/>
  <c r="L5331" i="23" s="1"/>
  <c r="M5331" i="23" a="1"/>
  <c r="M5331" i="23" s="1"/>
  <c r="N5331" i="23" s="1"/>
  <c r="K5369" i="23"/>
  <c r="L5369" i="23" s="1"/>
  <c r="M5369" i="23" a="1"/>
  <c r="M5369" i="23" s="1"/>
  <c r="N5369" i="23" s="1"/>
  <c r="K5368" i="23"/>
  <c r="L5368" i="23" s="1"/>
  <c r="M5368" i="23" a="1"/>
  <c r="M5368" i="23" s="1"/>
  <c r="N5368" i="23" s="1"/>
  <c r="K5366" i="23"/>
  <c r="L5366" i="23" s="1"/>
  <c r="M5366" i="23" a="1"/>
  <c r="M5366" i="23" s="1"/>
  <c r="N5366" i="23" s="1"/>
  <c r="K5365" i="23"/>
  <c r="L5365" i="23" s="1"/>
  <c r="M5365" i="23" a="1"/>
  <c r="M5365" i="23" s="1"/>
  <c r="N5365" i="23" s="1"/>
  <c r="K5320" i="23"/>
  <c r="L5320" i="23" s="1"/>
  <c r="M5320" i="23" a="1"/>
  <c r="M5320" i="23" s="1"/>
  <c r="N5320" i="23" s="1"/>
  <c r="K5344" i="23"/>
  <c r="L5344" i="23" s="1"/>
  <c r="M5344" i="23" a="1"/>
  <c r="M5344" i="23" s="1"/>
  <c r="N5344" i="23" s="1"/>
  <c r="K5423" i="23"/>
  <c r="L5423" i="23" s="1"/>
  <c r="M5423" i="23" a="1"/>
  <c r="M5423" i="23" s="1"/>
  <c r="N5423" i="23" s="1"/>
  <c r="K5345" i="23"/>
  <c r="L5345" i="23" s="1"/>
  <c r="M5345" i="23" a="1"/>
  <c r="M5345" i="23" s="1"/>
  <c r="N5345" i="23" s="1"/>
  <c r="K5250" i="23"/>
  <c r="L5250" i="23" s="1"/>
  <c r="M5250" i="23" a="1"/>
  <c r="M5250" i="23" s="1"/>
  <c r="N5250" i="23" s="1"/>
  <c r="K5376" i="23"/>
  <c r="L5376" i="23" s="1"/>
  <c r="M5376" i="23" a="1"/>
  <c r="M5376" i="23" s="1"/>
  <c r="N5376" i="23" s="1"/>
  <c r="K5364" i="23"/>
  <c r="L5364" i="23" s="1"/>
  <c r="M5364" i="23" a="1"/>
  <c r="M5364" i="23" s="1"/>
  <c r="N5364" i="23" s="1"/>
  <c r="K5378" i="23"/>
  <c r="L5378" i="23" s="1"/>
  <c r="M5378" i="23" a="1"/>
  <c r="M5378" i="23" s="1"/>
  <c r="N5378" i="23" s="1"/>
  <c r="K5379" i="23"/>
  <c r="L5379" i="23" s="1"/>
  <c r="M5379" i="23" a="1"/>
  <c r="M5379" i="23" s="1"/>
  <c r="N5379" i="23" s="1"/>
  <c r="K5373" i="23"/>
  <c r="L5373" i="23" s="1"/>
  <c r="M5373" i="23" a="1"/>
  <c r="M5373" i="23" s="1"/>
  <c r="N5373" i="23" s="1"/>
  <c r="K5349" i="23"/>
  <c r="L5349" i="23" s="1"/>
  <c r="M5349" i="23" a="1"/>
  <c r="M5349" i="23" s="1"/>
  <c r="N5349" i="23" s="1"/>
  <c r="K5311" i="23"/>
  <c r="L5311" i="23" s="1"/>
  <c r="M5311" i="23" a="1"/>
  <c r="M5311" i="23" s="1"/>
  <c r="N5311" i="23" s="1"/>
  <c r="K5357" i="23"/>
  <c r="L5357" i="23" s="1"/>
  <c r="M5357" i="23" a="1"/>
  <c r="M5357" i="23" s="1"/>
  <c r="N5357" i="23" s="1"/>
  <c r="K5203" i="23"/>
  <c r="L5203" i="23" s="1"/>
  <c r="M5203" i="23" a="1"/>
  <c r="M5203" i="23" s="1"/>
  <c r="N5203" i="23" s="1"/>
  <c r="K5170" i="23" l="1"/>
  <c r="L5170" i="23" s="1"/>
  <c r="M5170" i="23" a="1"/>
  <c r="M5170" i="23" s="1"/>
  <c r="N5170" i="23" s="1"/>
  <c r="K5124" i="23"/>
  <c r="L5124" i="23" s="1"/>
  <c r="M5124" i="23" a="1"/>
  <c r="M5124" i="23" s="1"/>
  <c r="N5124" i="23" s="1"/>
  <c r="L5184" i="23"/>
  <c r="M5184" i="23" a="1"/>
  <c r="M5184" i="23" s="1"/>
  <c r="N5184" i="23" s="1"/>
  <c r="K5135" i="23"/>
  <c r="L5135" i="23" s="1"/>
  <c r="M5135" i="23" a="1"/>
  <c r="M5135" i="23" s="1"/>
  <c r="N5135" i="23" s="1"/>
  <c r="K5225" i="23"/>
  <c r="L5225" i="23" s="1"/>
  <c r="M5225" i="23" a="1"/>
  <c r="M5225" i="23" s="1"/>
  <c r="N5225" i="23" s="1"/>
  <c r="K5224" i="23"/>
  <c r="L5224" i="23" s="1"/>
  <c r="M5224" i="23" a="1"/>
  <c r="M5224" i="23" s="1"/>
  <c r="N5224" i="23" s="1"/>
  <c r="K5289" i="23" l="1"/>
  <c r="L5289" i="23" s="1"/>
  <c r="M5289" i="23" a="1"/>
  <c r="M5289" i="23" s="1"/>
  <c r="N5289" i="23" s="1"/>
  <c r="K5272" i="23"/>
  <c r="L5272" i="23" s="1"/>
  <c r="M5272" i="23" a="1"/>
  <c r="M5272" i="23" s="1"/>
  <c r="N5272" i="23" s="1"/>
  <c r="K5290" i="23"/>
  <c r="L5290" i="23" s="1"/>
  <c r="M5290" i="23" a="1"/>
  <c r="M5290" i="23" s="1"/>
  <c r="N5290" i="23" s="1"/>
  <c r="K5297" i="23"/>
  <c r="L5297" i="23" s="1"/>
  <c r="M5297" i="23" a="1"/>
  <c r="M5297" i="23" s="1"/>
  <c r="N5297" i="23" s="1"/>
  <c r="K5285" i="23"/>
  <c r="L5285" i="23" s="1"/>
  <c r="M5285" i="23" a="1"/>
  <c r="M5285" i="23" s="1"/>
  <c r="N5285" i="23" s="1"/>
  <c r="K5307" i="23"/>
  <c r="L5307" i="23" s="1"/>
  <c r="M5307" i="23" a="1"/>
  <c r="M5307" i="23" s="1"/>
  <c r="N5307" i="23" s="1"/>
  <c r="K5241" i="23"/>
  <c r="L5241" i="23" s="1"/>
  <c r="M5241" i="23" a="1"/>
  <c r="M5241" i="23" s="1"/>
  <c r="N5241" i="23" s="1"/>
  <c r="K5322" i="23"/>
  <c r="L5322" i="23" s="1"/>
  <c r="M5322" i="23" a="1"/>
  <c r="M5322" i="23" s="1"/>
  <c r="N5322" i="23" s="1"/>
  <c r="K5282" i="23"/>
  <c r="L5282" i="23" s="1"/>
  <c r="M5282" i="23" a="1"/>
  <c r="M5282" i="23" s="1"/>
  <c r="N5282" i="23" s="1"/>
  <c r="K5264" i="23"/>
  <c r="L5264" i="23" s="1"/>
  <c r="M5264" i="23" a="1"/>
  <c r="M5264" i="23" s="1"/>
  <c r="N5264" i="23" s="1"/>
  <c r="K5288" i="23"/>
  <c r="L5288" i="23" s="1"/>
  <c r="M5288" i="23" a="1"/>
  <c r="M5288" i="23" s="1"/>
  <c r="N5288" i="23" s="1"/>
  <c r="K5257" i="23"/>
  <c r="L5257" i="23" s="1"/>
  <c r="M5257" i="23" a="1"/>
  <c r="M5257" i="23" s="1"/>
  <c r="N5257" i="23" s="1"/>
  <c r="K5268" i="23"/>
  <c r="L5268" i="23" s="1"/>
  <c r="M5268" i="23" a="1"/>
  <c r="M5268" i="23" s="1"/>
  <c r="N5268" i="23" s="1"/>
  <c r="K5280" i="23"/>
  <c r="L5280" i="23" s="1"/>
  <c r="M5280" i="23" a="1"/>
  <c r="M5280" i="23" s="1"/>
  <c r="N5280" i="23" s="1"/>
  <c r="K5310" i="23"/>
  <c r="L5310" i="23" s="1"/>
  <c r="M5310" i="23" a="1"/>
  <c r="M5310" i="23" s="1"/>
  <c r="N5310" i="23" s="1"/>
  <c r="K5281" i="23"/>
  <c r="L5281" i="23" s="1"/>
  <c r="M5281" i="23" a="1"/>
  <c r="M5281" i="23" s="1"/>
  <c r="N5281" i="23" s="1"/>
  <c r="K5296" i="23"/>
  <c r="L5296" i="23" s="1"/>
  <c r="M5296" i="23" a="1"/>
  <c r="M5296" i="23" s="1"/>
  <c r="N5296" i="23" s="1"/>
  <c r="K5337" i="23"/>
  <c r="L5337" i="23" s="1"/>
  <c r="M5337" i="23" a="1"/>
  <c r="M5337" i="23" s="1"/>
  <c r="N5337" i="23" s="1"/>
  <c r="K5338" i="23"/>
  <c r="L5338" i="23" s="1"/>
  <c r="M5338" i="23" a="1"/>
  <c r="M5338" i="23" s="1"/>
  <c r="N5338" i="23" s="1"/>
  <c r="K5325" i="23"/>
  <c r="L5325" i="23" s="1"/>
  <c r="M5325" i="23" a="1"/>
  <c r="M5325" i="23" s="1"/>
  <c r="N5325" i="23" s="1"/>
  <c r="K5346" i="23"/>
  <c r="L5346" i="23" s="1"/>
  <c r="M5346" i="23" a="1"/>
  <c r="M5346" i="23" s="1"/>
  <c r="N5346" i="23" s="1"/>
  <c r="K5343" i="23"/>
  <c r="L5343" i="23" s="1"/>
  <c r="M5343" i="23" a="1"/>
  <c r="M5343" i="23" s="1"/>
  <c r="N5343" i="23" s="1"/>
  <c r="K5298" i="23"/>
  <c r="L5298" i="23" s="1"/>
  <c r="M5298" i="23" a="1"/>
  <c r="M5298" i="23" s="1"/>
  <c r="N5298" i="23" s="1"/>
  <c r="K5353" i="23"/>
  <c r="L5353" i="23" s="1"/>
  <c r="M5353" i="23" a="1"/>
  <c r="M5353" i="23" s="1"/>
  <c r="N5353" i="23" s="1"/>
  <c r="K5350" i="23"/>
  <c r="L5350" i="23" s="1"/>
  <c r="M5350" i="23" a="1"/>
  <c r="M5350" i="23" s="1"/>
  <c r="N5350" i="23" s="1"/>
  <c r="K5278" i="23"/>
  <c r="L5278" i="23" s="1"/>
  <c r="M5278" i="23" a="1"/>
  <c r="M5278" i="23" s="1"/>
  <c r="N5278" i="23" s="1"/>
  <c r="K5352" i="23" l="1"/>
  <c r="L5352" i="23" s="1"/>
  <c r="M5352" i="23" a="1"/>
  <c r="M5352" i="23" s="1"/>
  <c r="N5352" i="23" s="1"/>
  <c r="K5356" i="23"/>
  <c r="L5356" i="23" s="1"/>
  <c r="M5356" i="23" a="1"/>
  <c r="M5356" i="23" s="1"/>
  <c r="N5356" i="23" s="1"/>
  <c r="K5348" i="23"/>
  <c r="L5348" i="23" s="1"/>
  <c r="M5348" i="23" a="1"/>
  <c r="M5348" i="23" s="1"/>
  <c r="N5348" i="23" s="1"/>
  <c r="K5347" i="23"/>
  <c r="L5347" i="23" s="1"/>
  <c r="M5347" i="23" a="1"/>
  <c r="M5347" i="23" s="1"/>
  <c r="N5347" i="23" s="1"/>
  <c r="K5341" i="23"/>
  <c r="L5341" i="23" s="1"/>
  <c r="M5341" i="23" a="1"/>
  <c r="M5341" i="23" s="1"/>
  <c r="N5341" i="23" s="1"/>
  <c r="K5340" i="23"/>
  <c r="L5340" i="23" s="1"/>
  <c r="M5340" i="23" a="1"/>
  <c r="M5340" i="23" s="1"/>
  <c r="N5340" i="23" s="1"/>
  <c r="K5342" i="23"/>
  <c r="L5342" i="23" s="1"/>
  <c r="M5342" i="23" a="1"/>
  <c r="M5342" i="23" s="1"/>
  <c r="N5342" i="23" s="1"/>
  <c r="K5334" i="23"/>
  <c r="L5334" i="23" s="1"/>
  <c r="M5334" i="23" a="1"/>
  <c r="M5334" i="23" s="1"/>
  <c r="N5334" i="23" s="1"/>
  <c r="K5333" i="23"/>
  <c r="L5333" i="23" s="1"/>
  <c r="M5333" i="23" a="1"/>
  <c r="M5333" i="23" s="1"/>
  <c r="N5333" i="23" s="1"/>
  <c r="K5336" i="23"/>
  <c r="L5336" i="23" s="1"/>
  <c r="M5336" i="23" a="1"/>
  <c r="M5336" i="23" s="1"/>
  <c r="N5336" i="23" s="1"/>
  <c r="K5330" i="23"/>
  <c r="L5330" i="23" s="1"/>
  <c r="M5330" i="23" a="1"/>
  <c r="M5330" i="23" s="1"/>
  <c r="N5330" i="23" s="1"/>
  <c r="K5332" i="23"/>
  <c r="L5332" i="23" s="1"/>
  <c r="M5332" i="23" a="1"/>
  <c r="M5332" i="23" s="1"/>
  <c r="N5332" i="23" s="1"/>
  <c r="K5329" i="23"/>
  <c r="L5329" i="23" s="1"/>
  <c r="M5329" i="23" a="1"/>
  <c r="M5329" i="23" s="1"/>
  <c r="N5329" i="23" s="1"/>
  <c r="K5328" i="23"/>
  <c r="L5328" i="23" s="1"/>
  <c r="M5328" i="23" a="1"/>
  <c r="M5328" i="23" s="1"/>
  <c r="N5328" i="23" s="1"/>
  <c r="K5318" i="23"/>
  <c r="L5318" i="23" s="1"/>
  <c r="M5318" i="23" a="1"/>
  <c r="M5318" i="23" s="1"/>
  <c r="N5318" i="23" s="1"/>
  <c r="K5319" i="23"/>
  <c r="L5319" i="23" s="1"/>
  <c r="M5319" i="23" a="1"/>
  <c r="M5319" i="23" s="1"/>
  <c r="N5319" i="23" s="1"/>
  <c r="K5321" i="23"/>
  <c r="L5321" i="23" s="1"/>
  <c r="M5321" i="23" a="1"/>
  <c r="M5321" i="23" s="1"/>
  <c r="N5321" i="23" s="1"/>
  <c r="K5314" i="23"/>
  <c r="L5314" i="23" s="1"/>
  <c r="M5314" i="23" a="1"/>
  <c r="M5314" i="23" s="1"/>
  <c r="N5314" i="23" s="1"/>
  <c r="K5316" i="23"/>
  <c r="L5316" i="23" s="1"/>
  <c r="M5316" i="23" a="1"/>
  <c r="M5316" i="23" s="1"/>
  <c r="N5316" i="23" s="1"/>
  <c r="K5317" i="23"/>
  <c r="L5317" i="23" s="1"/>
  <c r="M5317" i="23" a="1"/>
  <c r="M5317" i="23" s="1"/>
  <c r="N5317" i="23" s="1"/>
  <c r="K5313" i="23"/>
  <c r="L5313" i="23" s="1"/>
  <c r="M5313" i="23" a="1"/>
  <c r="M5313" i="23" s="1"/>
  <c r="N5313" i="23" s="1"/>
  <c r="K5312" i="23"/>
  <c r="L5312" i="23" s="1"/>
  <c r="M5312" i="23" a="1"/>
  <c r="M5312" i="23" s="1"/>
  <c r="N5312" i="23" s="1"/>
  <c r="K5308" i="23"/>
  <c r="L5308" i="23" s="1"/>
  <c r="M5308" i="23" a="1"/>
  <c r="M5308" i="23" s="1"/>
  <c r="N5308" i="23" s="1"/>
  <c r="K5309" i="23"/>
  <c r="L5309" i="23" s="1"/>
  <c r="M5309" i="23" a="1"/>
  <c r="M5309" i="23" s="1"/>
  <c r="N5309" i="23" s="1"/>
  <c r="K5294" i="23"/>
  <c r="L5294" i="23" s="1"/>
  <c r="M5294" i="23" a="1"/>
  <c r="M5294" i="23" s="1"/>
  <c r="N5294" i="23" s="1"/>
  <c r="K5305" i="23"/>
  <c r="L5305" i="23" s="1"/>
  <c r="M5305" i="23" a="1"/>
  <c r="M5305" i="23" s="1"/>
  <c r="N5305" i="23" s="1"/>
  <c r="K5300" i="23"/>
  <c r="L5300" i="23" s="1"/>
  <c r="M5300" i="23" a="1"/>
  <c r="M5300" i="23" s="1"/>
  <c r="N5300" i="23" s="1"/>
  <c r="K5304" i="23"/>
  <c r="L5304" i="23" s="1"/>
  <c r="M5304" i="23" a="1"/>
  <c r="M5304" i="23" s="1"/>
  <c r="N5304" i="23" s="1"/>
  <c r="K5306" i="23"/>
  <c r="L5306" i="23" s="1"/>
  <c r="M5306" i="23" a="1"/>
  <c r="M5306" i="23" s="1"/>
  <c r="N5306" i="23" s="1"/>
  <c r="K5295" i="23"/>
  <c r="L5295" i="23" s="1"/>
  <c r="M5295" i="23" a="1"/>
  <c r="M5295" i="23" s="1"/>
  <c r="N5295" i="23" s="1"/>
  <c r="K5303" i="23"/>
  <c r="L5303" i="23" s="1"/>
  <c r="M5303" i="23" a="1"/>
  <c r="M5303" i="23" s="1"/>
  <c r="N5303" i="23" s="1"/>
  <c r="K5302" i="23"/>
  <c r="L5302" i="23" s="1"/>
  <c r="M5302" i="23" a="1"/>
  <c r="M5302" i="23" s="1"/>
  <c r="N5302" i="23" s="1"/>
  <c r="K5301" i="23"/>
  <c r="L5301" i="23" s="1"/>
  <c r="M5301" i="23" a="1"/>
  <c r="M5301" i="23" s="1"/>
  <c r="N5301" i="23" s="1"/>
  <c r="K5293" i="23"/>
  <c r="L5293" i="23" s="1"/>
  <c r="M5293" i="23" a="1"/>
  <c r="M5293" i="23" s="1"/>
  <c r="N5293" i="23" s="1"/>
  <c r="K5291" i="23"/>
  <c r="L5291" i="23" s="1"/>
  <c r="M5291" i="23" a="1"/>
  <c r="M5291" i="23" s="1"/>
  <c r="N5291" i="23" s="1"/>
  <c r="K5292" i="23"/>
  <c r="L5292" i="23" s="1"/>
  <c r="M5292" i="23" a="1"/>
  <c r="M5292" i="23" s="1"/>
  <c r="N5292" i="23" s="1"/>
  <c r="K5283" i="23"/>
  <c r="L5283" i="23" s="1"/>
  <c r="M5283" i="23" a="1"/>
  <c r="M5283" i="23" s="1"/>
  <c r="N5283" i="23" s="1"/>
  <c r="K5279" i="23"/>
  <c r="L5279" i="23" s="1"/>
  <c r="M5279" i="23" a="1"/>
  <c r="M5279" i="23" s="1"/>
  <c r="N5279" i="23" s="1"/>
  <c r="K5276" i="23"/>
  <c r="L5276" i="23" s="1"/>
  <c r="M5276" i="23" a="1"/>
  <c r="M5276" i="23" s="1"/>
  <c r="N5276" i="23" s="1"/>
  <c r="K5277" i="23"/>
  <c r="L5277" i="23" s="1"/>
  <c r="M5277" i="23" a="1"/>
  <c r="M5277" i="23" s="1"/>
  <c r="N5277" i="23" s="1"/>
  <c r="K5274" i="23"/>
  <c r="L5274" i="23" s="1"/>
  <c r="M5274" i="23" a="1"/>
  <c r="M5274" i="23" s="1"/>
  <c r="N5274" i="23" s="1"/>
  <c r="K5273" i="23"/>
  <c r="L5273" i="23" s="1"/>
  <c r="M5273" i="23" a="1"/>
  <c r="M5273" i="23" s="1"/>
  <c r="N5273" i="23" s="1"/>
  <c r="K5286" i="23"/>
  <c r="L5286" i="23" s="1"/>
  <c r="M5286" i="23" a="1"/>
  <c r="M5286" i="23" s="1"/>
  <c r="N5286" i="23" s="1"/>
  <c r="K5287" i="23"/>
  <c r="L5287" i="23" s="1"/>
  <c r="M5287" i="23" a="1"/>
  <c r="M5287" i="23" s="1"/>
  <c r="N5287" i="23" s="1"/>
  <c r="K5267" i="23"/>
  <c r="L5267" i="23" s="1"/>
  <c r="M5267" i="23" a="1"/>
  <c r="M5267" i="23" s="1"/>
  <c r="N5267" i="23" s="1"/>
  <c r="K5271" i="23"/>
  <c r="L5271" i="23" s="1"/>
  <c r="M5271" i="23" a="1"/>
  <c r="M5271" i="23" s="1"/>
  <c r="N5271" i="23" s="1"/>
  <c r="K5270" i="23"/>
  <c r="L5270" i="23" s="1"/>
  <c r="M5270" i="23" a="1"/>
  <c r="M5270" i="23" s="1"/>
  <c r="N5270" i="23" s="1"/>
  <c r="K5269" i="23"/>
  <c r="L5269" i="23" s="1"/>
  <c r="M5269" i="23" a="1"/>
  <c r="M5269" i="23" s="1"/>
  <c r="N5269" i="23" s="1"/>
  <c r="K5266" i="23"/>
  <c r="L5266" i="23" s="1"/>
  <c r="M5266" i="23" a="1"/>
  <c r="M5266" i="23" s="1"/>
  <c r="N5266" i="23" s="1"/>
  <c r="K5265" i="23"/>
  <c r="L5265" i="23" s="1"/>
  <c r="M5265" i="23" a="1"/>
  <c r="M5265" i="23" s="1"/>
  <c r="N5265" i="23" s="1"/>
  <c r="K5263" i="23"/>
  <c r="L5263" i="23" s="1"/>
  <c r="M5263" i="23" a="1"/>
  <c r="M5263" i="23" s="1"/>
  <c r="N5263" i="23" s="1"/>
  <c r="K5249" i="23"/>
  <c r="L5249" i="23" s="1"/>
  <c r="M5249" i="23" a="1"/>
  <c r="M5249" i="23" s="1"/>
  <c r="N5249" i="23" s="1"/>
  <c r="K5248" i="23"/>
  <c r="L5248" i="23" s="1"/>
  <c r="M5248" i="23" a="1"/>
  <c r="M5248" i="23" s="1"/>
  <c r="N5248" i="23" s="1"/>
  <c r="K5243" i="23"/>
  <c r="L5243" i="23" s="1"/>
  <c r="M5243" i="23" a="1"/>
  <c r="M5243" i="23" s="1"/>
  <c r="N5243" i="23" s="1"/>
  <c r="K5242" i="23"/>
  <c r="L5242" i="23" s="1"/>
  <c r="M5242" i="23" a="1"/>
  <c r="M5242" i="23" s="1"/>
  <c r="N5242" i="23" s="1"/>
  <c r="K5247" i="23"/>
  <c r="L5247" i="23" s="1"/>
  <c r="M5247" i="23" a="1"/>
  <c r="M5247" i="23" s="1"/>
  <c r="N5247" i="23" s="1"/>
  <c r="K5245" i="23"/>
  <c r="L5245" i="23" s="1"/>
  <c r="M5245" i="23" a="1"/>
  <c r="M5245" i="23" s="1"/>
  <c r="N5245" i="23" s="1"/>
  <c r="K5237" i="23"/>
  <c r="L5237" i="23" s="1"/>
  <c r="M5237" i="23" a="1"/>
  <c r="M5237" i="23" s="1"/>
  <c r="N5237" i="23" s="1"/>
  <c r="K5233" i="23"/>
  <c r="L5233" i="23" s="1"/>
  <c r="M5233" i="23" a="1"/>
  <c r="M5233" i="23" s="1"/>
  <c r="N5233" i="23" s="1"/>
  <c r="K5232" i="23"/>
  <c r="L5232" i="23" s="1"/>
  <c r="M5232" i="23" a="1"/>
  <c r="M5232" i="23" s="1"/>
  <c r="N5232" i="23" s="1"/>
  <c r="K5221" i="23"/>
  <c r="L5221" i="23" s="1"/>
  <c r="M5221" i="23" a="1"/>
  <c r="M5221" i="23" s="1"/>
  <c r="N5221" i="23" s="1"/>
  <c r="K5217" i="23" l="1"/>
  <c r="L5217" i="23" s="1"/>
  <c r="M5217" i="23" a="1"/>
  <c r="M5217" i="23" s="1"/>
  <c r="N5217" i="23" s="1"/>
  <c r="K5207" i="23"/>
  <c r="L5207" i="23" s="1"/>
  <c r="M5207" i="23" a="1"/>
  <c r="M5207" i="23" s="1"/>
  <c r="N5207" i="23" s="1"/>
  <c r="K5148" i="23"/>
  <c r="L5148" i="23" s="1"/>
  <c r="M5148" i="23" a="1"/>
  <c r="M5148" i="23" s="1"/>
  <c r="N5148" i="23" s="1"/>
  <c r="K5218" i="23"/>
  <c r="L5218" i="23" s="1"/>
  <c r="M5218" i="23" a="1"/>
  <c r="M5218" i="23" s="1"/>
  <c r="N5218" i="23" s="1"/>
  <c r="K5122" i="23"/>
  <c r="L5122" i="23" s="1"/>
  <c r="M5122" i="23" a="1"/>
  <c r="M5122" i="23" s="1"/>
  <c r="N5122" i="23" s="1"/>
  <c r="K5167" i="23"/>
  <c r="L5167" i="23" s="1"/>
  <c r="M5167" i="23" a="1"/>
  <c r="M5167" i="23" s="1"/>
  <c r="N5167" i="23" s="1"/>
  <c r="K5183" i="23"/>
  <c r="L5183" i="23" s="1"/>
  <c r="M5183" i="23" a="1"/>
  <c r="M5183" i="23" s="1"/>
  <c r="N5183" i="23" s="1"/>
  <c r="K5186" i="23"/>
  <c r="L5186" i="23" s="1"/>
  <c r="M5186" i="23" a="1"/>
  <c r="M5186" i="23" s="1"/>
  <c r="N5186" i="23" s="1"/>
  <c r="K5185" i="23"/>
  <c r="L5185" i="23" s="1"/>
  <c r="M5185" i="23" a="1"/>
  <c r="M5185" i="23" s="1"/>
  <c r="N5185" i="23" s="1"/>
  <c r="K5205" i="23"/>
  <c r="L5205" i="23" s="1"/>
  <c r="M5205" i="23" a="1"/>
  <c r="M5205" i="23" s="1"/>
  <c r="N5205" i="23" s="1"/>
  <c r="K5149" i="23"/>
  <c r="L5149" i="23" s="1"/>
  <c r="M5149" i="23" a="1"/>
  <c r="M5149" i="23" s="1"/>
  <c r="N5149" i="23" s="1"/>
  <c r="K5195" i="23"/>
  <c r="L5195" i="23" s="1"/>
  <c r="M5195" i="23" a="1"/>
  <c r="M5195" i="23" s="1"/>
  <c r="N5195" i="23" s="1"/>
  <c r="K5258" i="23"/>
  <c r="L5258" i="23" s="1"/>
  <c r="M5258" i="23" a="1"/>
  <c r="M5258" i="23" s="1"/>
  <c r="N5258" i="23" s="1"/>
  <c r="K5155" i="23"/>
  <c r="L5155" i="23" s="1"/>
  <c r="M5155" i="23" a="1"/>
  <c r="M5155" i="23" s="1"/>
  <c r="N5155" i="23" s="1"/>
  <c r="K5252" i="23"/>
  <c r="L5252" i="23" s="1"/>
  <c r="M5252" i="23" a="1"/>
  <c r="M5252" i="23" s="1"/>
  <c r="N5252" i="23" s="1"/>
  <c r="K5213" i="23"/>
  <c r="L5213" i="23" s="1"/>
  <c r="M5213" i="23" a="1"/>
  <c r="M5213" i="23" s="1"/>
  <c r="N5213" i="23" s="1"/>
  <c r="K5212" i="23"/>
  <c r="L5212" i="23" s="1"/>
  <c r="M5212" i="23" a="1"/>
  <c r="M5212" i="23" s="1"/>
  <c r="N5212" i="23" s="1"/>
  <c r="K5246" i="23"/>
  <c r="L5246" i="23" s="1"/>
  <c r="M5246" i="23" a="1"/>
  <c r="M5246" i="23" s="1"/>
  <c r="N5246" i="23" s="1"/>
  <c r="K5123" i="23"/>
  <c r="L5123" i="23" s="1"/>
  <c r="M5123" i="23" a="1"/>
  <c r="M5123" i="23" s="1"/>
  <c r="N5123" i="23" s="1"/>
  <c r="K5211" i="23"/>
  <c r="L5211" i="23" s="1"/>
  <c r="M5211" i="23" a="1"/>
  <c r="M5211" i="23" s="1"/>
  <c r="N5211" i="23" s="1"/>
  <c r="K5214" i="23"/>
  <c r="L5214" i="23" s="1"/>
  <c r="M5214" i="23" a="1"/>
  <c r="M5214" i="23" s="1"/>
  <c r="N5214" i="23" s="1"/>
  <c r="K5223" i="23"/>
  <c r="L5223" i="23" s="1"/>
  <c r="M5223" i="23" a="1"/>
  <c r="M5223" i="23" s="1"/>
  <c r="N5223" i="23" s="1"/>
  <c r="K5126" i="23"/>
  <c r="L5126" i="23" s="1"/>
  <c r="M5126" i="23" a="1"/>
  <c r="M5126" i="23" s="1"/>
  <c r="N5126" i="23" s="1"/>
  <c r="K5244" i="23"/>
  <c r="K5251" i="23"/>
  <c r="K5254" i="23"/>
  <c r="K5253" i="23"/>
  <c r="K5255" i="23"/>
  <c r="K5256" i="23"/>
  <c r="K5259" i="23"/>
  <c r="K5260" i="23"/>
  <c r="K5261" i="23"/>
  <c r="K4363" i="23"/>
  <c r="K4359" i="23"/>
  <c r="K4361" i="23"/>
  <c r="K4362" i="23"/>
  <c r="K4368" i="23"/>
  <c r="K4367" i="23"/>
  <c r="K4364" i="23"/>
  <c r="K4366" i="23"/>
  <c r="K4365" i="23"/>
  <c r="K4374" i="23"/>
  <c r="K4376" i="23"/>
  <c r="K4377" i="23"/>
  <c r="K4373" i="23"/>
  <c r="K4370" i="23"/>
  <c r="K4372" i="23"/>
  <c r="K4375" i="23"/>
  <c r="K4371" i="23"/>
  <c r="K4369" i="23"/>
  <c r="K4379" i="23"/>
  <c r="K4382" i="23"/>
  <c r="K4380" i="23"/>
  <c r="K4381" i="23"/>
  <c r="K4383" i="23"/>
  <c r="K4384" i="23"/>
  <c r="K4385" i="23"/>
  <c r="K4378" i="23"/>
  <c r="K4387" i="23"/>
  <c r="K4386" i="23"/>
  <c r="K4391" i="23"/>
  <c r="K4388" i="23"/>
  <c r="K4389" i="23"/>
  <c r="K4390" i="23"/>
  <c r="K4392" i="23"/>
  <c r="K4393" i="23"/>
  <c r="K4394" i="23"/>
  <c r="K4396" i="23"/>
  <c r="K4397" i="23"/>
  <c r="K4398" i="23"/>
  <c r="K4395" i="23"/>
  <c r="K4402" i="23"/>
  <c r="K4403" i="23"/>
  <c r="K4407" i="23"/>
  <c r="K4400" i="23"/>
  <c r="K4408" i="23"/>
  <c r="K4406" i="23"/>
  <c r="K4404" i="23"/>
  <c r="K4399" i="23"/>
  <c r="K4401" i="23"/>
  <c r="K4405" i="23"/>
  <c r="K4412" i="23"/>
  <c r="K4414" i="23"/>
  <c r="K4415" i="23"/>
  <c r="K4411" i="23"/>
  <c r="K4419" i="23"/>
  <c r="K4409" i="23"/>
  <c r="K4417" i="23"/>
  <c r="K4413" i="23"/>
  <c r="K4410" i="23"/>
  <c r="K4418" i="23"/>
  <c r="K4416" i="23"/>
  <c r="K4425" i="23"/>
  <c r="K4422" i="23"/>
  <c r="K4421" i="23"/>
  <c r="K4424" i="23"/>
  <c r="K4420" i="23"/>
  <c r="K4426" i="23"/>
  <c r="K4423" i="23"/>
  <c r="K4438" i="23"/>
  <c r="K4434" i="23"/>
  <c r="K4429" i="23"/>
  <c r="K4439" i="23"/>
  <c r="K4437" i="23"/>
  <c r="K4428" i="23"/>
  <c r="K4430" i="23"/>
  <c r="K4427" i="23"/>
  <c r="K4431" i="23"/>
  <c r="K4436" i="23"/>
  <c r="K4432" i="23"/>
  <c r="K4433" i="23"/>
  <c r="K4435" i="23"/>
  <c r="K4440" i="23"/>
  <c r="K4441" i="23"/>
  <c r="K4442" i="23"/>
  <c r="K4443" i="23"/>
  <c r="K4449" i="23"/>
  <c r="K4445" i="23"/>
  <c r="K4447" i="23"/>
  <c r="K4444" i="23"/>
  <c r="K4450" i="23"/>
  <c r="K4446" i="23"/>
  <c r="K4448" i="23"/>
  <c r="K4458" i="23"/>
  <c r="K4454" i="23"/>
  <c r="K4459" i="23"/>
  <c r="K4453" i="23"/>
  <c r="K4455" i="23"/>
  <c r="K4456" i="23"/>
  <c r="K4451" i="23"/>
  <c r="K4457" i="23"/>
  <c r="K4465" i="23"/>
  <c r="K4464" i="23"/>
  <c r="K4461" i="23"/>
  <c r="K4462" i="23"/>
  <c r="K4463" i="23"/>
  <c r="K4460" i="23"/>
  <c r="K4474" i="23"/>
  <c r="K4471" i="23"/>
  <c r="K4477" i="23"/>
  <c r="K4466" i="23"/>
  <c r="K4468" i="23"/>
  <c r="K4469" i="23"/>
  <c r="K4470" i="23"/>
  <c r="K4476" i="23"/>
  <c r="K4467" i="23"/>
  <c r="K4472" i="23"/>
  <c r="K4473" i="23"/>
  <c r="K4475" i="23"/>
  <c r="K4484" i="23"/>
  <c r="K4486" i="23"/>
  <c r="K4479" i="23"/>
  <c r="K4478" i="23"/>
  <c r="K4480" i="23"/>
  <c r="K4482" i="23"/>
  <c r="K4483" i="23"/>
  <c r="K4481" i="23"/>
  <c r="K4485" i="23"/>
  <c r="K4487" i="23"/>
  <c r="K4489" i="23"/>
  <c r="K4490" i="23"/>
  <c r="K4488" i="23"/>
  <c r="K4499" i="23"/>
  <c r="K4495" i="23"/>
  <c r="K4491" i="23"/>
  <c r="K4498" i="23"/>
  <c r="K4497" i="23"/>
  <c r="K4492" i="23"/>
  <c r="K4496" i="23"/>
  <c r="K4493" i="23"/>
  <c r="K4494" i="23"/>
  <c r="K4504" i="23"/>
  <c r="K4505" i="23"/>
  <c r="K4503" i="23"/>
  <c r="K4506" i="23"/>
  <c r="K4501" i="23"/>
  <c r="K4507" i="23"/>
  <c r="K4502" i="23"/>
  <c r="K4500" i="23"/>
  <c r="K4509" i="23"/>
  <c r="K4508" i="23"/>
  <c r="K4519" i="23"/>
  <c r="K4511" i="23"/>
  <c r="K4518" i="23"/>
  <c r="K4516" i="23"/>
  <c r="K4513" i="23"/>
  <c r="K4514" i="23"/>
  <c r="K4517" i="23"/>
  <c r="K4520" i="23"/>
  <c r="K4515" i="23"/>
  <c r="K4512" i="23"/>
  <c r="K4510" i="23"/>
  <c r="K4522" i="23"/>
  <c r="K4523" i="23"/>
  <c r="K4521" i="23"/>
  <c r="K4527" i="23"/>
  <c r="K4524" i="23"/>
  <c r="K4528" i="23"/>
  <c r="K4530" i="23"/>
  <c r="K4525" i="23"/>
  <c r="K4526" i="23"/>
  <c r="K4529" i="23"/>
  <c r="K4531" i="23"/>
  <c r="K4532" i="23"/>
  <c r="K4533" i="23"/>
  <c r="K4534" i="23"/>
  <c r="K4537" i="23"/>
  <c r="K4538" i="23"/>
  <c r="K4535" i="23"/>
  <c r="K4536" i="23"/>
  <c r="K4539" i="23"/>
  <c r="K4542" i="23"/>
  <c r="K4543" i="23"/>
  <c r="K4546" i="23"/>
  <c r="K4545" i="23"/>
  <c r="K4540" i="23"/>
  <c r="K4544" i="23"/>
  <c r="K4541" i="23"/>
  <c r="K4550" i="23"/>
  <c r="K4551" i="23"/>
  <c r="K4552" i="23"/>
  <c r="K4547" i="23"/>
  <c r="K4549" i="23"/>
  <c r="K4548" i="23"/>
  <c r="K4554" i="23"/>
  <c r="K4553" i="23"/>
  <c r="K4560" i="23"/>
  <c r="K4555" i="23"/>
  <c r="K4557" i="23"/>
  <c r="K4561" i="23"/>
  <c r="K4559" i="23"/>
  <c r="K4558" i="23"/>
  <c r="K4556" i="23"/>
  <c r="K4564" i="23"/>
  <c r="K4565" i="23"/>
  <c r="K4562" i="23"/>
  <c r="K4566" i="23"/>
  <c r="K4568" i="23"/>
  <c r="K4567" i="23"/>
  <c r="K4563" i="23"/>
  <c r="K4571" i="23"/>
  <c r="K4569" i="23"/>
  <c r="K4570" i="23"/>
  <c r="K4574" i="23"/>
  <c r="K4573" i="23"/>
  <c r="K4572" i="23"/>
  <c r="K4577" i="23"/>
  <c r="K4575" i="23"/>
  <c r="K4576" i="23"/>
  <c r="K4578" i="23"/>
  <c r="K4585" i="23"/>
  <c r="K4583" i="23"/>
  <c r="K4580" i="23"/>
  <c r="K4584" i="23"/>
  <c r="K4582" i="23"/>
  <c r="K4579" i="23"/>
  <c r="K4581" i="23"/>
  <c r="K4590" i="23"/>
  <c r="K4588" i="23"/>
  <c r="K4587" i="23"/>
  <c r="K4594" i="23"/>
  <c r="K4589" i="23"/>
  <c r="K4592" i="23"/>
  <c r="K4591" i="23"/>
  <c r="K4593" i="23"/>
  <c r="K4586" i="23"/>
  <c r="K4600" i="23"/>
  <c r="K4598" i="23"/>
  <c r="K4597" i="23"/>
  <c r="K4596" i="23"/>
  <c r="K4599" i="23"/>
  <c r="K4595" i="23"/>
  <c r="K4603" i="23"/>
  <c r="K4602" i="23"/>
  <c r="K4601" i="23"/>
  <c r="K4604" i="23"/>
  <c r="K4606" i="23"/>
  <c r="K4605" i="23"/>
  <c r="K4607" i="23"/>
  <c r="K4608" i="23"/>
  <c r="K4611" i="23"/>
  <c r="K4613" i="23"/>
  <c r="K4615" i="23"/>
  <c r="K4609" i="23"/>
  <c r="K4612" i="23"/>
  <c r="K4618" i="23"/>
  <c r="K4619" i="23"/>
  <c r="K4614" i="23"/>
  <c r="K4616" i="23"/>
  <c r="K4610" i="23"/>
  <c r="K4617" i="23"/>
  <c r="K4620" i="23"/>
  <c r="K4623" i="23"/>
  <c r="K4624" i="23"/>
  <c r="K4621" i="23"/>
  <c r="K4622" i="23"/>
  <c r="K4625" i="23"/>
  <c r="K4626" i="23"/>
  <c r="K4630" i="23"/>
  <c r="K4627" i="23"/>
  <c r="K4634" i="23"/>
  <c r="K4632" i="23"/>
  <c r="K4629" i="23"/>
  <c r="K4635" i="23"/>
  <c r="K4628" i="23"/>
  <c r="K4631" i="23"/>
  <c r="K4633" i="23"/>
  <c r="K4642" i="23"/>
  <c r="K4646" i="23"/>
  <c r="K4637" i="23"/>
  <c r="K4649" i="23"/>
  <c r="K4640" i="23"/>
  <c r="K4644" i="23"/>
  <c r="K4636" i="23"/>
  <c r="K4645" i="23"/>
  <c r="K4643" i="23"/>
  <c r="K4638" i="23"/>
  <c r="K4639" i="23"/>
  <c r="K4647" i="23"/>
  <c r="K4648" i="23"/>
  <c r="K4641" i="23"/>
  <c r="K4650" i="23"/>
  <c r="K4651" i="23"/>
  <c r="K4657" i="23"/>
  <c r="K4653" i="23"/>
  <c r="K4655" i="23"/>
  <c r="K4658" i="23"/>
  <c r="K4656" i="23"/>
  <c r="K4652" i="23"/>
  <c r="K4654" i="23"/>
  <c r="K4659" i="23"/>
  <c r="K4660" i="23"/>
  <c r="K4667" i="23"/>
  <c r="K4664" i="23"/>
  <c r="K4666" i="23"/>
  <c r="K4663" i="23"/>
  <c r="K4661" i="23"/>
  <c r="K4662" i="23"/>
  <c r="K4665" i="23"/>
  <c r="K4668" i="23"/>
  <c r="K4674" i="23"/>
  <c r="K4673" i="23"/>
  <c r="K4675" i="23"/>
  <c r="K4676" i="23"/>
  <c r="K4672" i="23"/>
  <c r="K4670" i="23"/>
  <c r="K4669" i="23"/>
  <c r="K4671" i="23"/>
  <c r="K4678" i="23"/>
  <c r="K4677" i="23"/>
  <c r="K4680" i="23"/>
  <c r="K4679" i="23"/>
  <c r="K4682" i="23"/>
  <c r="K4681" i="23"/>
  <c r="K4684" i="23"/>
  <c r="K4683" i="23"/>
  <c r="K4685" i="23"/>
  <c r="K4688" i="23"/>
  <c r="K4689" i="23"/>
  <c r="K4686" i="23"/>
  <c r="K4687" i="23"/>
  <c r="K4703" i="23"/>
  <c r="K4695" i="23"/>
  <c r="K4696" i="23"/>
  <c r="K4694" i="23"/>
  <c r="K4692" i="23"/>
  <c r="K4697" i="23"/>
  <c r="K4702" i="23"/>
  <c r="K4701" i="23"/>
  <c r="K4699" i="23"/>
  <c r="K4691" i="23"/>
  <c r="K4700" i="23"/>
  <c r="K4698" i="23"/>
  <c r="K4693" i="23"/>
  <c r="K4706" i="23"/>
  <c r="K4709" i="23"/>
  <c r="K4707" i="23"/>
  <c r="K4711" i="23"/>
  <c r="K4708" i="23"/>
  <c r="K4704" i="23"/>
  <c r="K4705" i="23"/>
  <c r="K4710" i="23"/>
  <c r="K4712" i="23"/>
  <c r="K4713" i="23"/>
  <c r="K4716" i="23"/>
  <c r="K4715" i="23"/>
  <c r="K4714" i="23"/>
  <c r="K4717" i="23"/>
  <c r="K4718" i="23"/>
  <c r="K4721" i="23"/>
  <c r="K4719" i="23"/>
  <c r="K4720" i="23"/>
  <c r="K4722" i="23"/>
  <c r="K4724" i="23"/>
  <c r="K4725" i="23"/>
  <c r="K4729" i="23"/>
  <c r="K4728" i="23"/>
  <c r="K4727" i="23"/>
  <c r="K4730" i="23"/>
  <c r="K4723" i="23"/>
  <c r="K4731" i="23"/>
  <c r="K4726" i="23"/>
  <c r="K4735" i="23"/>
  <c r="K4733" i="23"/>
  <c r="K4734" i="23"/>
  <c r="K4732" i="23"/>
  <c r="K4742" i="23"/>
  <c r="K4740" i="23"/>
  <c r="K4741" i="23"/>
  <c r="K4744" i="23"/>
  <c r="K4738" i="23"/>
  <c r="K4739" i="23"/>
  <c r="K4743" i="23"/>
  <c r="K4737" i="23"/>
  <c r="K4736" i="23"/>
  <c r="K4750" i="23"/>
  <c r="K4746" i="23"/>
  <c r="K4752" i="23"/>
  <c r="K4745" i="23"/>
  <c r="K4749" i="23"/>
  <c r="K4751" i="23"/>
  <c r="K4753" i="23"/>
  <c r="K4747" i="23"/>
  <c r="K4748" i="23"/>
  <c r="K4754" i="23"/>
  <c r="K4756" i="23"/>
  <c r="K4759" i="23"/>
  <c r="K4755" i="23"/>
  <c r="K4758" i="23"/>
  <c r="K4760" i="23"/>
  <c r="K4761" i="23"/>
  <c r="K4757" i="23"/>
  <c r="K4763" i="23"/>
  <c r="K4762" i="23"/>
  <c r="K4766" i="23"/>
  <c r="K4767" i="23"/>
  <c r="K4764" i="23"/>
  <c r="K4765" i="23"/>
  <c r="K4770" i="23"/>
  <c r="K4769" i="23"/>
  <c r="K4771" i="23"/>
  <c r="K4768" i="23"/>
  <c r="K4772" i="23"/>
  <c r="K4773" i="23"/>
  <c r="K4774" i="23"/>
  <c r="K4778" i="23"/>
  <c r="K4782" i="23"/>
  <c r="K4783" i="23"/>
  <c r="K4777" i="23"/>
  <c r="K4785" i="23"/>
  <c r="K4775" i="23"/>
  <c r="K4776" i="23"/>
  <c r="K4779" i="23"/>
  <c r="K4784" i="23"/>
  <c r="K4780" i="23"/>
  <c r="K4781" i="23"/>
  <c r="K4793" i="23"/>
  <c r="K4796" i="23"/>
  <c r="K4794" i="23"/>
  <c r="K4792" i="23"/>
  <c r="K4795" i="23"/>
  <c r="K4797" i="23"/>
  <c r="K4786" i="23"/>
  <c r="K4787" i="23"/>
  <c r="K4790" i="23"/>
  <c r="K4791" i="23"/>
  <c r="K4788" i="23"/>
  <c r="K4789" i="23"/>
  <c r="K4802" i="23"/>
  <c r="K4801" i="23"/>
  <c r="K4799" i="23"/>
  <c r="K4800" i="23"/>
  <c r="K4798" i="23"/>
  <c r="K4803" i="23"/>
  <c r="K4805" i="23"/>
  <c r="K4804" i="23"/>
  <c r="K4809" i="23"/>
  <c r="K4811" i="23"/>
  <c r="K4812" i="23"/>
  <c r="K4813" i="23"/>
  <c r="K4814" i="23"/>
  <c r="K4807" i="23"/>
  <c r="K4806" i="23"/>
  <c r="K4808" i="23"/>
  <c r="K4810" i="23"/>
  <c r="K4816" i="23"/>
  <c r="K4818" i="23"/>
  <c r="K4819" i="23"/>
  <c r="K4817" i="23"/>
  <c r="K4815" i="23"/>
  <c r="K4820" i="23"/>
  <c r="K4823" i="23"/>
  <c r="K4824" i="23"/>
  <c r="K4829" i="23"/>
  <c r="K4833" i="23"/>
  <c r="K4822" i="23"/>
  <c r="K4830" i="23"/>
  <c r="K4832" i="23"/>
  <c r="K4831" i="23"/>
  <c r="K4828" i="23"/>
  <c r="K4825" i="23"/>
  <c r="K4826" i="23"/>
  <c r="K4827" i="23"/>
  <c r="K4821" i="23"/>
  <c r="K4842" i="23"/>
  <c r="K4837" i="23"/>
  <c r="K4839" i="23"/>
  <c r="K4843" i="23"/>
  <c r="K4844" i="23"/>
  <c r="K4845" i="23"/>
  <c r="K4846" i="23"/>
  <c r="K4836" i="23"/>
  <c r="K4840" i="23"/>
  <c r="K4841" i="23"/>
  <c r="K4834" i="23"/>
  <c r="K4835" i="23"/>
  <c r="K4838" i="23"/>
  <c r="K4850" i="23"/>
  <c r="K4851" i="23"/>
  <c r="K4849" i="23"/>
  <c r="K4848" i="23"/>
  <c r="K4847" i="23"/>
  <c r="K4852" i="23"/>
  <c r="K4853" i="23"/>
  <c r="K4452" i="23"/>
  <c r="K4855" i="23"/>
  <c r="K4857" i="23"/>
  <c r="K4858" i="23"/>
  <c r="K4854" i="23"/>
  <c r="K4856" i="23"/>
  <c r="K4864" i="23"/>
  <c r="K4868" i="23"/>
  <c r="K4867" i="23"/>
  <c r="K4859" i="23"/>
  <c r="K4866" i="23"/>
  <c r="K4861" i="23"/>
  <c r="K4863" i="23"/>
  <c r="K4865" i="23"/>
  <c r="K4862" i="23"/>
  <c r="K4860" i="23"/>
  <c r="K4871" i="23"/>
  <c r="K4872" i="23"/>
  <c r="K4869" i="23"/>
  <c r="K4870" i="23"/>
  <c r="K4873" i="23"/>
  <c r="K4874" i="23"/>
  <c r="K4876" i="23"/>
  <c r="K4878" i="23"/>
  <c r="K4877" i="23"/>
  <c r="K4881" i="23"/>
  <c r="K4880" i="23"/>
  <c r="K4882" i="23"/>
  <c r="K4883" i="23"/>
  <c r="K4879" i="23"/>
  <c r="K4690" i="23"/>
  <c r="K4875" i="23"/>
  <c r="K4886" i="23"/>
  <c r="K4891" i="23"/>
  <c r="K4892" i="23"/>
  <c r="K4885" i="23"/>
  <c r="K4888" i="23"/>
  <c r="K4889" i="23"/>
  <c r="K4887" i="23"/>
  <c r="K4884" i="23"/>
  <c r="K4890" i="23"/>
  <c r="K4894" i="23"/>
  <c r="K4895" i="23"/>
  <c r="K4893" i="23"/>
  <c r="K4896" i="23"/>
  <c r="K4899" i="23"/>
  <c r="K4901" i="23"/>
  <c r="K4900" i="23"/>
  <c r="K4902" i="23"/>
  <c r="K4897" i="23"/>
  <c r="K4898" i="23"/>
  <c r="K4907" i="23"/>
  <c r="K4905" i="23"/>
  <c r="K4904" i="23"/>
  <c r="K4903" i="23"/>
  <c r="K4906" i="23"/>
  <c r="K4908" i="23"/>
  <c r="K4916" i="23"/>
  <c r="K4918" i="23"/>
  <c r="K4917" i="23"/>
  <c r="K4920" i="23"/>
  <c r="K4909" i="23"/>
  <c r="K4910" i="23"/>
  <c r="K4919" i="23"/>
  <c r="K4913" i="23"/>
  <c r="K4914" i="23"/>
  <c r="K4915" i="23"/>
  <c r="K4911" i="23"/>
  <c r="K4912" i="23"/>
  <c r="K4924" i="23"/>
  <c r="K4926" i="23"/>
  <c r="K4927" i="23"/>
  <c r="K4925" i="23"/>
  <c r="K4931" i="23"/>
  <c r="K4922" i="23"/>
  <c r="K4921" i="23"/>
  <c r="K4929" i="23"/>
  <c r="K4923" i="23"/>
  <c r="K4930" i="23"/>
  <c r="K4933" i="23"/>
  <c r="K4928" i="23"/>
  <c r="K4932" i="23"/>
  <c r="K4934" i="23"/>
  <c r="K4936" i="23"/>
  <c r="K4935" i="23"/>
  <c r="K4941" i="23"/>
  <c r="K4940" i="23"/>
  <c r="K4937" i="23"/>
  <c r="K4949" i="23"/>
  <c r="K4947" i="23"/>
  <c r="K4943" i="23"/>
  <c r="K4944" i="23"/>
  <c r="K4945" i="23"/>
  <c r="K4948" i="23"/>
  <c r="K4942" i="23"/>
  <c r="K4946" i="23"/>
  <c r="K4938" i="23"/>
  <c r="K4939" i="23"/>
  <c r="K4953" i="23"/>
  <c r="K4952" i="23"/>
  <c r="K4950" i="23"/>
  <c r="K4951" i="23"/>
  <c r="K4963" i="23"/>
  <c r="K4954" i="23"/>
  <c r="K4957" i="23"/>
  <c r="K4965" i="23"/>
  <c r="K4964" i="23"/>
  <c r="K4960" i="23"/>
  <c r="K4961" i="23"/>
  <c r="K4958" i="23"/>
  <c r="K4959" i="23"/>
  <c r="K4962" i="23"/>
  <c r="K4955" i="23"/>
  <c r="K4956" i="23"/>
  <c r="K4968" i="23"/>
  <c r="K4967" i="23"/>
  <c r="K4975" i="23"/>
  <c r="K4971" i="23"/>
  <c r="K4972" i="23"/>
  <c r="K4974" i="23"/>
  <c r="K4969" i="23"/>
  <c r="K4973" i="23"/>
  <c r="K4970" i="23"/>
  <c r="K4966" i="23"/>
  <c r="K4981" i="23"/>
  <c r="K4984" i="23"/>
  <c r="K4982" i="23"/>
  <c r="K4985" i="23"/>
  <c r="K4986" i="23"/>
  <c r="K4979" i="23"/>
  <c r="K4978" i="23"/>
  <c r="K4983" i="23"/>
  <c r="K4980" i="23"/>
  <c r="K4976" i="23"/>
  <c r="K4977" i="23"/>
  <c r="K4987" i="23"/>
  <c r="K4990" i="23"/>
  <c r="K4992" i="23"/>
  <c r="K4991" i="23"/>
  <c r="K4988" i="23"/>
  <c r="K4989" i="23"/>
  <c r="K4997" i="23"/>
  <c r="K5003" i="23"/>
  <c r="K5001" i="23"/>
  <c r="K5002" i="23"/>
  <c r="K4994" i="23"/>
  <c r="K4999" i="23"/>
  <c r="K4993" i="23"/>
  <c r="K4998" i="23"/>
  <c r="K5000" i="23"/>
  <c r="K4995" i="23"/>
  <c r="K4996" i="23"/>
  <c r="K5005" i="23"/>
  <c r="K5008" i="23"/>
  <c r="K5007" i="23"/>
  <c r="K5004" i="23"/>
  <c r="K5006" i="23"/>
  <c r="K5012" i="23"/>
  <c r="K5009" i="23"/>
  <c r="K5015" i="23"/>
  <c r="K5016" i="23"/>
  <c r="K5013" i="23"/>
  <c r="K5014" i="23"/>
  <c r="K5011" i="23"/>
  <c r="K5010" i="23"/>
  <c r="K5021" i="23"/>
  <c r="K5017" i="23"/>
  <c r="K5018" i="23"/>
  <c r="K5019" i="23"/>
  <c r="K5020" i="23"/>
  <c r="K5024" i="23"/>
  <c r="K5025" i="23"/>
  <c r="K5026" i="23"/>
  <c r="K5027" i="23"/>
  <c r="K5028" i="23"/>
  <c r="K5022" i="23"/>
  <c r="K5023" i="23"/>
  <c r="K5031" i="23"/>
  <c r="K5032" i="23"/>
  <c r="K5029" i="23"/>
  <c r="K5030" i="23"/>
  <c r="K5034" i="23"/>
  <c r="K5035" i="23"/>
  <c r="K5036" i="23"/>
  <c r="K5033" i="23"/>
  <c r="K5037" i="23"/>
  <c r="K5038" i="23"/>
  <c r="K5040" i="23"/>
  <c r="K5041" i="23"/>
  <c r="K5045" i="23"/>
  <c r="K5046" i="23"/>
  <c r="K5039" i="23"/>
  <c r="K5043" i="23"/>
  <c r="K5044" i="23"/>
  <c r="K5047" i="23"/>
  <c r="K5042" i="23"/>
  <c r="K5049" i="23"/>
  <c r="K5052" i="23"/>
  <c r="K5048" i="23"/>
  <c r="K5050" i="23"/>
  <c r="K5051" i="23"/>
  <c r="K5055" i="23"/>
  <c r="K5058" i="23"/>
  <c r="K5054" i="23"/>
  <c r="K5059" i="23"/>
  <c r="K5061" i="23"/>
  <c r="K5057" i="23"/>
  <c r="K5056" i="23"/>
  <c r="K5060" i="23"/>
  <c r="K5053" i="23"/>
  <c r="K5063" i="23"/>
  <c r="K5062" i="23"/>
  <c r="K5068" i="23"/>
  <c r="K5069" i="23"/>
  <c r="K5065" i="23"/>
  <c r="K5066" i="23"/>
  <c r="K5067" i="23"/>
  <c r="K5064" i="23"/>
  <c r="K5072" i="23"/>
  <c r="K5070" i="23"/>
  <c r="K5071" i="23"/>
  <c r="K5073" i="23"/>
  <c r="K5074" i="23"/>
  <c r="K5078" i="23"/>
  <c r="K5081" i="23"/>
  <c r="K5080" i="23"/>
  <c r="K5077" i="23"/>
  <c r="K5079" i="23"/>
  <c r="K5076" i="23"/>
  <c r="K5075" i="23"/>
  <c r="K5083" i="23"/>
  <c r="K5082" i="23"/>
  <c r="K5090" i="23"/>
  <c r="K5085" i="23"/>
  <c r="K5088" i="23"/>
  <c r="K5084" i="23"/>
  <c r="K5086" i="23"/>
  <c r="K5087" i="23"/>
  <c r="K5089" i="23"/>
  <c r="K5091" i="23"/>
  <c r="K5096" i="23"/>
  <c r="K5097" i="23"/>
  <c r="K5095" i="23"/>
  <c r="K5093" i="23"/>
  <c r="K5092" i="23"/>
  <c r="K5094" i="23"/>
  <c r="K5101" i="23"/>
  <c r="K5098" i="23"/>
  <c r="K5099" i="23"/>
  <c r="K5100" i="23"/>
  <c r="K5103" i="23"/>
  <c r="K5102" i="23"/>
  <c r="K5107" i="23"/>
  <c r="K5108" i="23"/>
  <c r="K5105" i="23"/>
  <c r="K5106" i="23"/>
  <c r="K5104" i="23"/>
  <c r="K5109" i="23"/>
  <c r="K5110" i="23"/>
  <c r="K5111" i="23"/>
  <c r="K5118" i="23"/>
  <c r="K5119" i="23"/>
  <c r="K5117" i="23"/>
  <c r="K5112" i="23"/>
  <c r="K5115" i="23"/>
  <c r="K5116" i="23"/>
  <c r="K5113" i="23"/>
  <c r="K5114" i="23"/>
  <c r="K5125" i="23"/>
  <c r="K5120" i="23"/>
  <c r="K5121" i="23"/>
  <c r="K5130" i="23"/>
  <c r="K5132" i="23"/>
  <c r="K5129" i="23"/>
  <c r="K5127" i="23"/>
  <c r="K5128" i="23"/>
  <c r="K5131" i="23"/>
  <c r="K5133" i="23"/>
  <c r="K5137" i="23"/>
  <c r="K5136" i="23"/>
  <c r="K5134" i="23"/>
  <c r="K5138" i="23"/>
  <c r="K5139" i="23"/>
  <c r="K5142" i="23"/>
  <c r="K5144" i="23"/>
  <c r="K5140" i="23"/>
  <c r="K5141" i="23"/>
  <c r="K5143" i="23"/>
  <c r="K5145" i="23"/>
  <c r="K5146" i="23"/>
  <c r="K5147" i="23"/>
  <c r="K5152" i="23"/>
  <c r="K5150" i="23"/>
  <c r="K5153" i="23"/>
  <c r="K5151" i="23"/>
  <c r="K5154" i="23"/>
  <c r="K5157" i="23"/>
  <c r="K5156" i="23"/>
  <c r="K5165" i="23"/>
  <c r="K5160" i="23"/>
  <c r="K5162" i="23"/>
  <c r="K5164" i="23"/>
  <c r="K5158" i="23"/>
  <c r="K5161" i="23"/>
  <c r="K5163" i="23"/>
  <c r="K5159" i="23"/>
  <c r="K5173" i="23"/>
  <c r="K5169" i="23"/>
  <c r="K5171" i="23"/>
  <c r="K5168" i="23"/>
  <c r="K5172" i="23"/>
  <c r="K5166" i="23"/>
  <c r="K5175" i="23"/>
  <c r="K5180" i="23"/>
  <c r="K5181" i="23"/>
  <c r="K5177" i="23"/>
  <c r="K5176" i="23"/>
  <c r="K5178" i="23"/>
  <c r="K5179" i="23"/>
  <c r="K5174" i="23"/>
  <c r="L5174" i="23" s="1"/>
  <c r="K5182" i="23"/>
  <c r="K5187" i="23"/>
  <c r="K5190" i="23"/>
  <c r="K5188" i="23"/>
  <c r="K5189" i="23"/>
  <c r="K5193" i="23"/>
  <c r="K5192" i="23"/>
  <c r="K5191" i="23"/>
  <c r="K5197" i="23"/>
  <c r="K5196" i="23"/>
  <c r="K5194" i="23"/>
  <c r="K5198" i="23"/>
  <c r="K5199" i="23"/>
  <c r="K5201" i="23"/>
  <c r="K5204" i="23"/>
  <c r="K5209" i="23"/>
  <c r="K5208" i="23"/>
  <c r="K5206" i="23"/>
  <c r="K5210" i="23"/>
  <c r="K5215" i="23"/>
  <c r="K5219" i="23"/>
  <c r="K5216" i="23"/>
  <c r="K5220" i="23"/>
  <c r="K5227" i="23"/>
  <c r="K5228" i="23"/>
  <c r="K5222" i="23"/>
  <c r="K5226" i="23"/>
  <c r="K5229" i="23"/>
  <c r="K5231" i="23"/>
  <c r="K5230" i="23"/>
  <c r="K5239" i="23"/>
  <c r="K5236" i="23"/>
  <c r="K5234" i="23"/>
  <c r="K5240" i="23"/>
  <c r="K5238" i="23"/>
  <c r="L5238" i="23" s="1"/>
  <c r="K5235" i="23"/>
  <c r="L5235" i="23" s="1"/>
  <c r="K3851" i="23"/>
  <c r="K3847" i="23"/>
  <c r="K3846" i="23"/>
  <c r="K3856" i="23"/>
  <c r="K3838" i="23"/>
  <c r="K3853" i="23"/>
  <c r="K3841" i="23"/>
  <c r="K3857" i="23"/>
  <c r="K3836" i="23"/>
  <c r="K3852" i="23"/>
  <c r="K3843" i="23"/>
  <c r="K3869" i="23"/>
  <c r="K3863" i="23"/>
  <c r="K3866" i="23"/>
  <c r="K3864" i="23"/>
  <c r="K3868" i="23"/>
  <c r="K3865" i="23"/>
  <c r="K3867" i="23"/>
  <c r="K3871" i="23"/>
  <c r="K3870" i="23"/>
  <c r="K3877" i="23"/>
  <c r="K3880" i="23"/>
  <c r="K3881" i="23"/>
  <c r="K3882" i="23"/>
  <c r="K3878" i="23"/>
  <c r="K3874" i="23"/>
  <c r="K3872" i="23"/>
  <c r="K3875" i="23"/>
  <c r="K3879" i="23"/>
  <c r="K3876" i="23"/>
  <c r="K3873" i="23"/>
  <c r="K3884" i="23"/>
  <c r="K3885" i="23"/>
  <c r="K3883" i="23"/>
  <c r="K3886" i="23"/>
  <c r="K3887" i="23"/>
  <c r="K3896" i="23"/>
  <c r="K3900" i="23"/>
  <c r="K3901" i="23"/>
  <c r="K3898" i="23"/>
  <c r="K3889" i="23"/>
  <c r="K3895" i="23"/>
  <c r="K3888" i="23"/>
  <c r="K3902" i="23"/>
  <c r="K3894" i="23"/>
  <c r="K3891" i="23"/>
  <c r="K3899" i="23"/>
  <c r="K3897" i="23"/>
  <c r="K3890" i="23"/>
  <c r="K3892" i="23"/>
  <c r="K3893" i="23"/>
  <c r="K3912" i="23"/>
  <c r="K3913" i="23"/>
  <c r="K3923" i="23"/>
  <c r="K3924" i="23"/>
  <c r="K3906" i="23"/>
  <c r="K3922" i="23"/>
  <c r="K3907" i="23"/>
  <c r="K3908" i="23"/>
  <c r="K3910" i="23"/>
  <c r="K3911" i="23"/>
  <c r="K3915" i="23"/>
  <c r="K3920" i="23"/>
  <c r="K3916" i="23"/>
  <c r="K3905" i="23"/>
  <c r="K3918" i="23"/>
  <c r="K3917" i="23"/>
  <c r="K3919" i="23"/>
  <c r="K3903" i="23"/>
  <c r="K3914" i="23"/>
  <c r="K3921" i="23"/>
  <c r="K3904" i="23"/>
  <c r="K3909" i="23"/>
  <c r="K3930" i="23"/>
  <c r="K3925" i="23"/>
  <c r="K3935" i="23"/>
  <c r="K3926" i="23"/>
  <c r="K3934" i="23"/>
  <c r="K3928" i="23"/>
  <c r="K3927" i="23"/>
  <c r="K3929" i="23"/>
  <c r="K3933" i="23"/>
  <c r="K3932" i="23"/>
  <c r="K3931" i="23"/>
  <c r="K3946" i="23"/>
  <c r="K3940" i="23"/>
  <c r="K3944" i="23"/>
  <c r="K3949" i="23"/>
  <c r="K3938" i="23"/>
  <c r="K3937" i="23"/>
  <c r="K3936" i="23"/>
  <c r="K3952" i="23"/>
  <c r="K3950" i="23"/>
  <c r="K3948" i="23"/>
  <c r="K3939" i="23"/>
  <c r="K3951" i="23"/>
  <c r="K3947" i="23"/>
  <c r="K3942" i="23"/>
  <c r="K3943" i="23"/>
  <c r="K3941" i="23"/>
  <c r="K3945" i="23"/>
  <c r="K3962" i="23"/>
  <c r="K3967" i="23"/>
  <c r="K3969" i="23"/>
  <c r="K3954" i="23"/>
  <c r="K3960" i="23"/>
  <c r="K3955" i="23"/>
  <c r="K3959" i="23"/>
  <c r="K3965" i="23"/>
  <c r="K3956" i="23"/>
  <c r="K3958" i="23"/>
  <c r="K3966" i="23"/>
  <c r="K3957" i="23"/>
  <c r="K3961" i="23"/>
  <c r="K3953" i="23"/>
  <c r="K3968" i="23"/>
  <c r="K3963" i="23"/>
  <c r="K3964" i="23"/>
  <c r="K3971" i="23"/>
  <c r="K3970" i="23"/>
  <c r="K3972" i="23"/>
  <c r="K3974" i="23"/>
  <c r="K3973" i="23"/>
  <c r="K3976" i="23"/>
  <c r="K3977" i="23"/>
  <c r="K3978" i="23"/>
  <c r="K3975" i="23"/>
  <c r="K3979" i="23"/>
  <c r="K3982" i="23"/>
  <c r="K3991" i="23"/>
  <c r="K3980" i="23"/>
  <c r="K3984" i="23"/>
  <c r="K3986" i="23"/>
  <c r="K3990" i="23"/>
  <c r="K3985" i="23"/>
  <c r="K3992" i="23"/>
  <c r="K3989" i="23"/>
  <c r="K3987" i="23"/>
  <c r="K3983" i="23"/>
  <c r="K3988" i="23"/>
  <c r="K3981" i="23"/>
  <c r="K4005" i="23"/>
  <c r="K3994" i="23"/>
  <c r="K3993" i="23"/>
  <c r="K4004" i="23"/>
  <c r="K3996" i="23"/>
  <c r="K3999" i="23"/>
  <c r="K4009" i="23"/>
  <c r="K4000" i="23"/>
  <c r="K4007" i="23"/>
  <c r="K3997" i="23"/>
  <c r="K3995" i="23"/>
  <c r="K4001" i="23"/>
  <c r="K3998" i="23"/>
  <c r="K4008" i="23"/>
  <c r="K4010" i="23"/>
  <c r="K4003" i="23"/>
  <c r="K4002" i="23"/>
  <c r="K4006" i="23"/>
  <c r="K4015" i="23"/>
  <c r="K4017" i="23"/>
  <c r="K4011" i="23"/>
  <c r="K4016" i="23"/>
  <c r="K4013" i="23"/>
  <c r="K4014" i="23"/>
  <c r="K4012" i="23"/>
  <c r="K4018" i="23"/>
  <c r="K4019" i="23"/>
  <c r="K4022" i="23"/>
  <c r="K4020" i="23"/>
  <c r="K4021" i="23"/>
  <c r="K4024" i="23"/>
  <c r="K4025" i="23"/>
  <c r="K4026" i="23"/>
  <c r="K4023" i="23"/>
  <c r="K4027" i="23"/>
  <c r="K4048" i="23"/>
  <c r="K4028" i="23"/>
  <c r="K4029" i="23"/>
  <c r="K4038" i="23"/>
  <c r="K4036" i="23"/>
  <c r="K4039" i="23"/>
  <c r="K4041" i="23"/>
  <c r="K4049" i="23"/>
  <c r="K4032" i="23"/>
  <c r="K4035" i="23"/>
  <c r="K4042" i="23"/>
  <c r="K4044" i="23"/>
  <c r="K4043" i="23"/>
  <c r="K4034" i="23"/>
  <c r="K4037" i="23"/>
  <c r="K4046" i="23"/>
  <c r="K4047" i="23"/>
  <c r="K4045" i="23"/>
  <c r="K4033" i="23"/>
  <c r="K4030" i="23"/>
  <c r="K4031" i="23"/>
  <c r="K4040" i="23"/>
  <c r="K4056" i="23"/>
  <c r="K4050" i="23"/>
  <c r="K4057" i="23"/>
  <c r="K4054" i="23"/>
  <c r="K4051" i="23"/>
  <c r="K4052" i="23"/>
  <c r="K4055" i="23"/>
  <c r="K4062" i="23"/>
  <c r="K4060" i="23"/>
  <c r="K4063" i="23"/>
  <c r="K4059" i="23"/>
  <c r="K4053" i="23"/>
  <c r="K4058" i="23"/>
  <c r="K4061" i="23"/>
  <c r="K4064" i="23"/>
  <c r="K4075" i="23"/>
  <c r="K4078" i="23"/>
  <c r="K4069" i="23"/>
  <c r="K4072" i="23"/>
  <c r="K4068" i="23"/>
  <c r="K4081" i="23"/>
  <c r="K4084" i="23"/>
  <c r="K4083" i="23"/>
  <c r="K4082" i="23"/>
  <c r="K4065" i="23"/>
  <c r="K4076" i="23"/>
  <c r="K4077" i="23"/>
  <c r="K4079" i="23"/>
  <c r="K4080" i="23"/>
  <c r="K4066" i="23"/>
  <c r="K4070" i="23"/>
  <c r="K4073" i="23"/>
  <c r="K4071" i="23"/>
  <c r="K4074" i="23"/>
  <c r="K4067" i="23"/>
  <c r="K4088" i="23"/>
  <c r="K4092" i="23"/>
  <c r="K4096" i="23"/>
  <c r="K4101" i="23"/>
  <c r="K4102" i="23"/>
  <c r="K4097" i="23"/>
  <c r="K4094" i="23"/>
  <c r="K4099" i="23"/>
  <c r="K4089" i="23"/>
  <c r="K4090" i="23"/>
  <c r="K4100" i="23"/>
  <c r="K4085" i="23"/>
  <c r="K4093" i="23"/>
  <c r="K4086" i="23"/>
  <c r="K4103" i="23"/>
  <c r="K4091" i="23"/>
  <c r="K4087" i="23"/>
  <c r="K4095" i="23"/>
  <c r="K4098" i="23"/>
  <c r="K4104" i="23"/>
  <c r="K4110" i="23"/>
  <c r="K4105" i="23"/>
  <c r="K4106" i="23"/>
  <c r="K4111" i="23"/>
  <c r="K4108" i="23"/>
  <c r="K4109" i="23"/>
  <c r="K4107" i="23"/>
  <c r="K4112" i="23"/>
  <c r="K4113" i="23"/>
  <c r="K4114" i="23"/>
  <c r="K4115" i="23"/>
  <c r="K4119" i="23"/>
  <c r="K4120" i="23"/>
  <c r="K4116" i="23"/>
  <c r="K4123" i="23"/>
  <c r="K4121" i="23"/>
  <c r="K4117" i="23"/>
  <c r="K4118" i="23"/>
  <c r="K4122" i="23"/>
  <c r="K4128" i="23"/>
  <c r="K4126" i="23"/>
  <c r="K4125" i="23"/>
  <c r="K4130" i="23"/>
  <c r="K4129" i="23"/>
  <c r="K4124" i="23"/>
  <c r="K4127" i="23"/>
  <c r="K4136" i="23"/>
  <c r="K4135" i="23"/>
  <c r="K4134" i="23"/>
  <c r="K4131" i="23"/>
  <c r="K4137" i="23"/>
  <c r="K4132" i="23"/>
  <c r="K4139" i="23"/>
  <c r="K4133" i="23"/>
  <c r="K4138" i="23"/>
  <c r="K4141" i="23"/>
  <c r="K4146" i="23"/>
  <c r="K4142" i="23"/>
  <c r="K4140" i="23"/>
  <c r="K4145" i="23"/>
  <c r="K4143" i="23"/>
  <c r="K4147" i="23"/>
  <c r="K4144" i="23"/>
  <c r="K4148" i="23"/>
  <c r="K4151" i="23"/>
  <c r="K4153" i="23"/>
  <c r="K4150" i="23"/>
  <c r="K4154" i="23"/>
  <c r="K4149" i="23"/>
  <c r="K4152" i="23"/>
  <c r="K4155" i="23"/>
  <c r="K4157" i="23"/>
  <c r="K4156" i="23"/>
  <c r="K4158" i="23"/>
  <c r="K4159" i="23"/>
  <c r="K4161" i="23"/>
  <c r="K4166" i="23"/>
  <c r="K4162" i="23"/>
  <c r="K4163" i="23"/>
  <c r="K4160" i="23"/>
  <c r="K4165" i="23"/>
  <c r="K4164" i="23"/>
  <c r="K4169" i="23"/>
  <c r="K4170" i="23"/>
  <c r="K4167" i="23"/>
  <c r="K4168" i="23"/>
  <c r="K4174" i="23"/>
  <c r="K4172" i="23"/>
  <c r="K4171" i="23"/>
  <c r="K4175" i="23"/>
  <c r="K4173" i="23"/>
  <c r="K4177" i="23"/>
  <c r="K4176" i="23"/>
  <c r="K4182" i="23"/>
  <c r="K4179" i="23"/>
  <c r="K4178" i="23"/>
  <c r="K4181" i="23"/>
  <c r="K4180" i="23"/>
  <c r="K4184" i="23"/>
  <c r="K4185" i="23"/>
  <c r="K4183" i="23"/>
  <c r="K4191" i="23"/>
  <c r="K4190" i="23"/>
  <c r="K4194" i="23"/>
  <c r="K4187" i="23"/>
  <c r="K4189" i="23"/>
  <c r="K4186" i="23"/>
  <c r="K4193" i="23"/>
  <c r="K4188" i="23"/>
  <c r="K4192" i="23"/>
  <c r="K4196" i="23"/>
  <c r="K4195" i="23"/>
  <c r="K4197" i="23"/>
  <c r="K4200" i="23"/>
  <c r="K4198" i="23"/>
  <c r="K4199" i="23"/>
  <c r="K4201" i="23"/>
  <c r="K4214" i="23"/>
  <c r="K4206" i="23"/>
  <c r="K4207" i="23"/>
  <c r="K4212" i="23"/>
  <c r="K4203" i="23"/>
  <c r="K4209" i="23"/>
  <c r="K4204" i="23"/>
  <c r="K4205" i="23"/>
  <c r="K4213" i="23"/>
  <c r="K4202" i="23"/>
  <c r="K4208" i="23"/>
  <c r="K4211" i="23"/>
  <c r="K4210" i="23"/>
  <c r="K4219" i="23"/>
  <c r="K4215" i="23"/>
  <c r="K4216" i="23"/>
  <c r="K4217" i="23"/>
  <c r="K4218" i="23"/>
  <c r="K4220" i="23"/>
  <c r="K4226" i="23"/>
  <c r="K4221" i="23"/>
  <c r="K4224" i="23"/>
  <c r="K4223" i="23"/>
  <c r="K4227" i="23"/>
  <c r="K4225" i="23"/>
  <c r="K4222" i="23"/>
  <c r="K4228" i="23"/>
  <c r="K4229" i="23"/>
  <c r="K4232" i="23"/>
  <c r="K4233" i="23"/>
  <c r="K4230" i="23"/>
  <c r="K4231" i="23"/>
  <c r="K4235" i="23"/>
  <c r="K4234" i="23"/>
  <c r="K4236" i="23"/>
  <c r="K4237" i="23"/>
  <c r="K4239" i="23"/>
  <c r="K4240" i="23"/>
  <c r="K4238" i="23"/>
  <c r="K4242" i="23"/>
  <c r="K4243" i="23"/>
  <c r="K4247" i="23"/>
  <c r="K4250" i="23"/>
  <c r="K4249" i="23"/>
  <c r="K4251" i="23"/>
  <c r="K4244" i="23"/>
  <c r="K4248" i="23"/>
  <c r="K4245" i="23"/>
  <c r="K4246" i="23"/>
  <c r="K4241" i="23"/>
  <c r="K4256" i="23"/>
  <c r="K4254" i="23"/>
  <c r="K4252" i="23"/>
  <c r="K4255" i="23"/>
  <c r="K4253" i="23"/>
  <c r="K4257" i="23"/>
  <c r="K4259" i="23"/>
  <c r="K4260" i="23"/>
  <c r="K4261" i="23"/>
  <c r="K4258" i="23"/>
  <c r="K4264" i="23"/>
  <c r="K4271" i="23"/>
  <c r="K4268" i="23"/>
  <c r="K4262" i="23"/>
  <c r="K4265" i="23"/>
  <c r="K4272" i="23"/>
  <c r="K4263" i="23"/>
  <c r="K4269" i="23"/>
  <c r="K4266" i="23"/>
  <c r="K4267" i="23"/>
  <c r="K4270" i="23"/>
  <c r="K4275" i="23"/>
  <c r="K4276" i="23"/>
  <c r="K4277" i="23"/>
  <c r="K4273" i="23"/>
  <c r="K4278" i="23"/>
  <c r="K4274" i="23"/>
  <c r="K4279" i="23"/>
  <c r="K4284" i="23"/>
  <c r="K4281" i="23"/>
  <c r="K4285" i="23"/>
  <c r="K4282" i="23"/>
  <c r="K4283" i="23"/>
  <c r="K4280" i="23"/>
  <c r="K4286" i="23"/>
  <c r="K4287" i="23"/>
  <c r="K4288" i="23"/>
  <c r="K4290" i="23"/>
  <c r="K4289" i="23"/>
  <c r="K4291" i="23"/>
  <c r="K4296" i="23"/>
  <c r="K4292" i="23"/>
  <c r="K4299" i="23"/>
  <c r="K4297" i="23"/>
  <c r="K4295" i="23"/>
  <c r="K4293" i="23"/>
  <c r="K4298" i="23"/>
  <c r="K4294" i="23"/>
  <c r="K4302" i="23"/>
  <c r="K4303" i="23"/>
  <c r="K4300" i="23"/>
  <c r="K4301" i="23"/>
  <c r="K4304" i="23"/>
  <c r="K4305" i="23"/>
  <c r="K4306" i="23"/>
  <c r="K4310" i="23"/>
  <c r="K4315" i="23"/>
  <c r="K4309" i="23"/>
  <c r="K4312" i="23"/>
  <c r="K4313" i="23"/>
  <c r="K4314" i="23"/>
  <c r="K4307" i="23"/>
  <c r="K4308" i="23"/>
  <c r="K4311" i="23"/>
  <c r="K4323" i="23"/>
  <c r="K4319" i="23"/>
  <c r="K4320" i="23"/>
  <c r="K4324" i="23"/>
  <c r="K4322" i="23"/>
  <c r="K4321" i="23"/>
  <c r="K4325" i="23"/>
  <c r="K4317" i="23"/>
  <c r="K4318" i="23"/>
  <c r="K4316" i="23"/>
  <c r="K4331" i="23"/>
  <c r="K4330" i="23"/>
  <c r="K4327" i="23"/>
  <c r="K4328" i="23"/>
  <c r="K4326" i="23"/>
  <c r="K4329" i="23"/>
  <c r="K4339" i="23"/>
  <c r="K4340" i="23"/>
  <c r="K4341" i="23"/>
  <c r="K4334" i="23"/>
  <c r="K4333" i="23"/>
  <c r="K4332" i="23"/>
  <c r="K4338" i="23"/>
  <c r="K4336" i="23"/>
  <c r="K4337" i="23"/>
  <c r="K4335" i="23"/>
  <c r="K4344" i="23"/>
  <c r="K4342" i="23"/>
  <c r="K4343" i="23"/>
  <c r="K4345" i="23"/>
  <c r="K4346" i="23"/>
  <c r="K4347" i="23"/>
  <c r="K4349" i="23"/>
  <c r="K4353" i="23"/>
  <c r="K4357" i="23"/>
  <c r="K4352" i="23"/>
  <c r="K4354" i="23"/>
  <c r="K4356" i="23"/>
  <c r="K4355" i="23"/>
  <c r="K4351" i="23"/>
  <c r="K4350" i="23"/>
  <c r="K4348" i="23"/>
  <c r="K4358" i="23"/>
  <c r="K4360" i="23"/>
  <c r="K3717" i="23"/>
  <c r="K3718" i="23"/>
  <c r="K3719" i="23"/>
  <c r="K3724" i="23"/>
  <c r="K3725" i="23"/>
  <c r="K3730" i="23"/>
  <c r="K3729" i="23"/>
  <c r="K3723" i="23"/>
  <c r="K3736" i="23"/>
  <c r="K3722" i="23"/>
  <c r="K3733" i="23"/>
  <c r="K3734" i="23"/>
  <c r="K3726" i="23"/>
  <c r="K3727" i="23"/>
  <c r="K3728" i="23"/>
  <c r="K3732" i="23"/>
  <c r="K3721" i="23"/>
  <c r="K3735" i="23"/>
  <c r="K3731" i="23"/>
  <c r="K3720" i="23"/>
  <c r="K3742" i="23"/>
  <c r="K3740" i="23"/>
  <c r="K3744" i="23"/>
  <c r="K3737" i="23"/>
  <c r="K3738" i="23"/>
  <c r="K3741" i="23"/>
  <c r="K3743" i="23"/>
  <c r="K3747" i="23"/>
  <c r="K3739" i="23"/>
  <c r="K3746" i="23"/>
  <c r="K3745" i="23"/>
  <c r="K3754" i="23"/>
  <c r="K3758" i="23"/>
  <c r="K3752" i="23"/>
  <c r="K3753" i="23"/>
  <c r="K3761" i="23"/>
  <c r="K3762" i="23"/>
  <c r="K3759" i="23"/>
  <c r="K3763" i="23"/>
  <c r="K3750" i="23"/>
  <c r="K3756" i="23"/>
  <c r="K3760" i="23"/>
  <c r="K3751" i="23"/>
  <c r="K3748" i="23"/>
  <c r="K3755" i="23"/>
  <c r="K3757" i="23"/>
  <c r="K3749" i="23"/>
  <c r="K3769" i="23"/>
  <c r="K3777" i="23"/>
  <c r="K3772" i="23"/>
  <c r="K3779" i="23"/>
  <c r="K3768" i="23"/>
  <c r="K3766" i="23"/>
  <c r="K3764" i="23"/>
  <c r="K3765" i="23"/>
  <c r="K3770" i="23"/>
  <c r="K3774" i="23"/>
  <c r="K3775" i="23"/>
  <c r="K3771" i="23"/>
  <c r="K3773" i="23"/>
  <c r="K3776" i="23"/>
  <c r="K3778" i="23"/>
  <c r="K3767" i="23"/>
  <c r="K3788" i="23"/>
  <c r="K3789" i="23"/>
  <c r="K3785" i="23"/>
  <c r="K3780" i="23"/>
  <c r="K3784" i="23"/>
  <c r="K3786" i="23"/>
  <c r="K3787" i="23"/>
  <c r="K3781" i="23"/>
  <c r="K3790" i="23"/>
  <c r="K3782" i="23"/>
  <c r="K3783" i="23"/>
  <c r="K3792" i="23"/>
  <c r="K3791" i="23"/>
  <c r="K3793" i="23"/>
  <c r="K3797" i="23"/>
  <c r="K3798" i="23"/>
  <c r="K3795" i="23"/>
  <c r="K3796" i="23"/>
  <c r="K3794" i="23"/>
  <c r="K3811" i="23"/>
  <c r="K3807" i="23"/>
  <c r="K3803" i="23"/>
  <c r="K3810" i="23"/>
  <c r="K3812" i="23"/>
  <c r="K3814" i="23"/>
  <c r="K3799" i="23"/>
  <c r="K3815" i="23"/>
  <c r="K3804" i="23"/>
  <c r="K3800" i="23"/>
  <c r="K3808" i="23"/>
  <c r="K3801" i="23"/>
  <c r="K3806" i="23"/>
  <c r="K3809" i="23"/>
  <c r="K3805" i="23"/>
  <c r="K3813" i="23"/>
  <c r="K3802" i="23"/>
  <c r="K3827" i="23"/>
  <c r="K3832" i="23"/>
  <c r="K3834" i="23"/>
  <c r="K3823" i="23"/>
  <c r="K3820" i="23"/>
  <c r="K3822" i="23"/>
  <c r="K3826" i="23"/>
  <c r="K3817" i="23"/>
  <c r="K3830" i="23"/>
  <c r="K3829" i="23"/>
  <c r="K3833" i="23"/>
  <c r="K3825" i="23"/>
  <c r="K3819" i="23"/>
  <c r="K3816" i="23"/>
  <c r="K3818" i="23"/>
  <c r="K3835" i="23"/>
  <c r="K3828" i="23"/>
  <c r="K3821" i="23"/>
  <c r="K3824" i="23"/>
  <c r="K3831" i="23"/>
  <c r="K3855" i="23"/>
  <c r="K3858" i="23"/>
  <c r="K3842" i="23"/>
  <c r="K3840" i="23"/>
  <c r="K3860" i="23"/>
  <c r="K3861" i="23"/>
  <c r="K3845" i="23"/>
  <c r="K3854" i="23"/>
  <c r="K3844" i="23"/>
  <c r="K3848" i="23"/>
  <c r="K3859" i="23"/>
  <c r="K3850" i="23"/>
  <c r="K3839" i="23"/>
  <c r="K3837" i="23"/>
  <c r="K3862" i="23"/>
  <c r="K3849" i="23"/>
  <c r="K3531" i="23"/>
  <c r="K3524" i="23"/>
  <c r="K3526" i="23"/>
  <c r="K3528" i="23"/>
  <c r="K3529" i="23"/>
  <c r="K3549" i="23"/>
  <c r="K3546" i="23"/>
  <c r="K3545" i="23"/>
  <c r="K3541" i="23"/>
  <c r="K3543" i="23"/>
  <c r="K3537" i="23"/>
  <c r="K3547" i="23"/>
  <c r="K3534" i="23"/>
  <c r="K3540" i="23"/>
  <c r="K3536" i="23"/>
  <c r="K3533" i="23"/>
  <c r="K3538" i="23"/>
  <c r="K3539" i="23"/>
  <c r="K3548" i="23"/>
  <c r="K3535" i="23"/>
  <c r="K3544" i="23"/>
  <c r="K3542" i="23"/>
  <c r="K3550" i="23"/>
  <c r="K3551" i="23"/>
  <c r="K3552" i="23"/>
  <c r="K3553" i="23"/>
  <c r="K3563" i="23"/>
  <c r="K3564" i="23"/>
  <c r="K3571" i="23"/>
  <c r="K3568" i="23"/>
  <c r="K3555" i="23"/>
  <c r="K3556" i="23"/>
  <c r="K3560" i="23"/>
  <c r="K3561" i="23"/>
  <c r="K3566" i="23"/>
  <c r="K3572" i="23"/>
  <c r="K3567" i="23"/>
  <c r="K3570" i="23"/>
  <c r="K3569" i="23"/>
  <c r="K3554" i="23"/>
  <c r="K3562" i="23"/>
  <c r="K3557" i="23"/>
  <c r="K3565" i="23"/>
  <c r="K3559" i="23"/>
  <c r="K3558" i="23"/>
  <c r="K3573" i="23"/>
  <c r="K3579" i="23"/>
  <c r="K3576" i="23"/>
  <c r="K3577" i="23"/>
  <c r="K3582" i="23"/>
  <c r="K3583" i="23"/>
  <c r="K3575" i="23"/>
  <c r="K3581" i="23"/>
  <c r="K3580" i="23"/>
  <c r="K3578" i="23"/>
  <c r="K3574" i="23"/>
  <c r="K3593" i="23"/>
  <c r="K3584" i="23"/>
  <c r="K3589" i="23"/>
  <c r="K3592" i="23"/>
  <c r="K3587" i="23"/>
  <c r="K3585" i="23"/>
  <c r="K3594" i="23"/>
  <c r="K3591" i="23"/>
  <c r="K3590" i="23"/>
  <c r="K3588" i="23"/>
  <c r="K3586" i="23"/>
  <c r="K3610" i="23"/>
  <c r="K3611" i="23"/>
  <c r="K3607" i="23"/>
  <c r="K3595" i="23"/>
  <c r="K3602" i="23"/>
  <c r="K3604" i="23"/>
  <c r="K3609" i="23"/>
  <c r="K3603" i="23"/>
  <c r="K3598" i="23"/>
  <c r="K3605" i="23"/>
  <c r="K3601" i="23"/>
  <c r="K3597" i="23"/>
  <c r="K3608" i="23"/>
  <c r="K3599" i="23"/>
  <c r="K3596" i="23"/>
  <c r="K3600" i="23"/>
  <c r="K3606" i="23"/>
  <c r="K3616" i="23"/>
  <c r="K3626" i="23"/>
  <c r="K3622" i="23"/>
  <c r="K3615" i="23"/>
  <c r="K3625" i="23"/>
  <c r="K3628" i="23"/>
  <c r="K3621" i="23"/>
  <c r="K3613" i="23"/>
  <c r="K3623" i="23"/>
  <c r="K3614" i="23"/>
  <c r="K3612" i="23"/>
  <c r="K3620" i="23"/>
  <c r="K3627" i="23"/>
  <c r="K3624" i="23"/>
  <c r="K3617" i="23"/>
  <c r="K3618" i="23"/>
  <c r="K3619" i="23"/>
  <c r="K3629" i="23"/>
  <c r="K3630" i="23"/>
  <c r="K3632" i="23"/>
  <c r="K3633" i="23"/>
  <c r="K3634" i="23"/>
  <c r="K3635" i="23"/>
  <c r="K3631" i="23"/>
  <c r="K3652" i="23"/>
  <c r="K3640" i="23"/>
  <c r="K3648" i="23"/>
  <c r="K3649" i="23"/>
  <c r="K3638" i="23"/>
  <c r="K3655" i="23"/>
  <c r="K3642" i="23"/>
  <c r="K3650" i="23"/>
  <c r="K3647" i="23"/>
  <c r="K3644" i="23"/>
  <c r="K3651" i="23"/>
  <c r="K3639" i="23"/>
  <c r="K3645" i="23"/>
  <c r="K3656" i="23"/>
  <c r="K3636" i="23"/>
  <c r="K3637" i="23"/>
  <c r="K3643" i="23"/>
  <c r="K3653" i="23"/>
  <c r="K3641" i="23"/>
  <c r="K3646" i="23"/>
  <c r="K3654" i="23"/>
  <c r="K3664" i="23"/>
  <c r="K3658" i="23"/>
  <c r="K3671" i="23"/>
  <c r="K3672" i="23"/>
  <c r="K3660" i="23"/>
  <c r="K3670" i="23"/>
  <c r="K3661" i="23"/>
  <c r="K3663" i="23"/>
  <c r="K3667" i="23"/>
  <c r="K3665" i="23"/>
  <c r="K3657" i="23"/>
  <c r="K3669" i="23"/>
  <c r="K3662" i="23"/>
  <c r="K3659" i="23"/>
  <c r="K3666" i="23"/>
  <c r="K3668" i="23"/>
  <c r="K3683" i="23"/>
  <c r="K3685" i="23"/>
  <c r="K3679" i="23"/>
  <c r="K3675" i="23"/>
  <c r="K3681" i="23"/>
  <c r="K3674" i="23"/>
  <c r="K3673" i="23"/>
  <c r="K3686" i="23"/>
  <c r="K3684" i="23"/>
  <c r="K3680" i="23"/>
  <c r="K3682" i="23"/>
  <c r="K3676" i="23"/>
  <c r="K3677" i="23"/>
  <c r="K3678" i="23"/>
  <c r="K3690" i="23"/>
  <c r="K3697" i="23"/>
  <c r="K3692" i="23"/>
  <c r="K3689" i="23"/>
  <c r="K3687" i="23"/>
  <c r="K3691" i="23"/>
  <c r="K3698" i="23"/>
  <c r="K3695" i="23"/>
  <c r="K3696" i="23"/>
  <c r="K3693" i="23"/>
  <c r="K3688" i="23"/>
  <c r="K3694" i="23"/>
  <c r="K3710" i="23"/>
  <c r="K3711" i="23"/>
  <c r="K3699" i="23"/>
  <c r="K3713" i="23"/>
  <c r="K3702" i="23"/>
  <c r="K3705" i="23"/>
  <c r="K3712" i="23"/>
  <c r="K3703" i="23"/>
  <c r="K3708" i="23"/>
  <c r="K3716" i="23"/>
  <c r="K3704" i="23"/>
  <c r="K3700" i="23"/>
  <c r="K3709" i="23"/>
  <c r="K3715" i="23"/>
  <c r="K3706" i="23"/>
  <c r="K3701" i="23"/>
  <c r="K3707" i="23"/>
  <c r="K3714" i="23"/>
  <c r="K3509" i="23"/>
  <c r="K3514" i="23"/>
  <c r="K3511" i="23"/>
  <c r="K3515" i="23"/>
  <c r="K3510" i="23"/>
  <c r="K3516" i="23"/>
  <c r="K3512" i="23"/>
  <c r="K3513" i="23"/>
  <c r="K3518" i="23"/>
  <c r="K3519" i="23"/>
  <c r="K3520" i="23"/>
  <c r="K3517" i="23"/>
  <c r="K3530" i="23"/>
  <c r="K3521" i="23"/>
  <c r="K3525" i="23"/>
  <c r="K3522" i="23"/>
  <c r="K3523" i="23"/>
  <c r="K3532" i="23"/>
  <c r="K3527" i="23"/>
  <c r="M5235" i="23" a="1"/>
  <c r="M5235" i="23" s="1"/>
  <c r="N5235" i="23" s="1"/>
  <c r="M5174" i="23" a="1"/>
  <c r="M5174" i="23" s="1"/>
  <c r="N5174" i="23" s="1"/>
  <c r="M5238" i="23" a="1"/>
  <c r="M5238" i="23" s="1"/>
  <c r="N5238" i="23" s="1"/>
  <c r="L5261" i="23" l="1"/>
  <c r="M5261" i="23" a="1"/>
  <c r="M5261" i="23" s="1"/>
  <c r="N5261" i="23" s="1"/>
  <c r="L5260" i="23"/>
  <c r="M5260" i="23" a="1"/>
  <c r="M5260" i="23" s="1"/>
  <c r="N5260" i="23" s="1"/>
  <c r="L5259" i="23"/>
  <c r="M5259" i="23" a="1"/>
  <c r="M5259" i="23" s="1"/>
  <c r="N5259" i="23" s="1"/>
  <c r="L5256" i="23"/>
  <c r="M5256" i="23" a="1"/>
  <c r="M5256" i="23" s="1"/>
  <c r="N5256" i="23" s="1"/>
  <c r="L5240" i="23"/>
  <c r="M5240" i="23" a="1"/>
  <c r="M5240" i="23" s="1"/>
  <c r="N5240" i="23" s="1"/>
  <c r="L5229" i="23"/>
  <c r="M5229" i="23" a="1"/>
  <c r="M5229" i="23" s="1"/>
  <c r="N5229" i="23" s="1"/>
  <c r="L5152" i="23"/>
  <c r="M5152" i="23" a="1"/>
  <c r="M5152" i="23" s="1"/>
  <c r="N5152" i="23" s="1"/>
  <c r="L5226" i="23" l="1"/>
  <c r="M5226" i="23" a="1"/>
  <c r="M5226" i="23" s="1"/>
  <c r="N5226" i="23" s="1"/>
  <c r="L5204" i="23" l="1"/>
  <c r="M5204" i="23" a="1"/>
  <c r="M5204" i="23" s="1"/>
  <c r="N5204" i="23" s="1"/>
  <c r="L5210" i="23"/>
  <c r="M5210" i="23" a="1"/>
  <c r="M5210" i="23" s="1"/>
  <c r="N5210" i="23" s="1"/>
  <c r="L5179" i="23"/>
  <c r="M5179" i="23" a="1"/>
  <c r="M5179" i="23" s="1"/>
  <c r="N5179" i="23" s="1"/>
  <c r="L5178" i="23"/>
  <c r="M5178" i="23" a="1"/>
  <c r="M5178" i="23" s="1"/>
  <c r="N5178" i="23" s="1"/>
  <c r="L5114" i="23"/>
  <c r="M5114" i="23" a="1"/>
  <c r="M5114" i="23" s="1"/>
  <c r="N5114" i="23" s="1"/>
  <c r="L5113" i="23"/>
  <c r="M5113" i="23" a="1"/>
  <c r="M5113" i="23" s="1"/>
  <c r="N5113" i="23" s="1"/>
  <c r="L5091" i="23"/>
  <c r="M5091" i="23" a="1"/>
  <c r="M5091" i="23" s="1"/>
  <c r="N5091" i="23" s="1"/>
  <c r="L4864" i="23"/>
  <c r="M4864" i="23" a="1"/>
  <c r="M4864" i="23" s="1"/>
  <c r="N4864" i="23" s="1"/>
  <c r="L5094" i="23"/>
  <c r="M5094" i="23" a="1"/>
  <c r="M5094" i="23" s="1"/>
  <c r="N5094" i="23" s="1"/>
  <c r="L5159" i="23"/>
  <c r="M5159" i="23" a="1"/>
  <c r="M5159" i="23" s="1"/>
  <c r="N5159" i="23" s="1"/>
  <c r="L5255" i="23" l="1"/>
  <c r="M5255" i="23" a="1"/>
  <c r="M5255" i="23" s="1"/>
  <c r="N5255" i="23" s="1"/>
  <c r="L5253" i="23"/>
  <c r="M5253" i="23" a="1"/>
  <c r="M5253" i="23" s="1"/>
  <c r="N5253" i="23" s="1"/>
  <c r="L5254" i="23"/>
  <c r="M5254" i="23" a="1"/>
  <c r="M5254" i="23" s="1"/>
  <c r="N5254" i="23" s="1"/>
  <c r="L5251" i="23"/>
  <c r="M5251" i="23" a="1"/>
  <c r="M5251" i="23" s="1"/>
  <c r="N5251" i="23" s="1"/>
  <c r="L5244" i="23"/>
  <c r="M5244" i="23" a="1"/>
  <c r="M5244" i="23" s="1"/>
  <c r="N5244" i="23" s="1"/>
  <c r="L5234" i="23"/>
  <c r="M5234" i="23" a="1"/>
  <c r="M5234" i="23" s="1"/>
  <c r="N5234" i="23" s="1"/>
  <c r="L5236" i="23"/>
  <c r="M5236" i="23" a="1"/>
  <c r="M5236" i="23" s="1"/>
  <c r="N5236" i="23" s="1"/>
  <c r="L5239" i="23"/>
  <c r="M5239" i="23" a="1"/>
  <c r="M5239" i="23" s="1"/>
  <c r="N5239" i="23" s="1"/>
  <c r="L5230" i="23"/>
  <c r="M5230" i="23" a="1"/>
  <c r="M5230" i="23" s="1"/>
  <c r="N5230" i="23" s="1"/>
  <c r="L5231" i="23"/>
  <c r="M5231" i="23" a="1"/>
  <c r="M5231" i="23" s="1"/>
  <c r="N5231" i="23" s="1"/>
  <c r="L5222" i="23"/>
  <c r="M5222" i="23" a="1"/>
  <c r="M5222" i="23" s="1"/>
  <c r="N5222" i="23" s="1"/>
  <c r="L5228" i="23"/>
  <c r="M5228" i="23" a="1"/>
  <c r="M5228" i="23" s="1"/>
  <c r="N5228" i="23" s="1"/>
  <c r="L5227" i="23"/>
  <c r="M5227" i="23" a="1"/>
  <c r="M5227" i="23" s="1"/>
  <c r="N5227" i="23" s="1"/>
  <c r="L5220" i="23"/>
  <c r="M5220" i="23" a="1"/>
  <c r="M5220" i="23" s="1"/>
  <c r="N5220" i="23" s="1"/>
  <c r="L5216" i="23"/>
  <c r="M5216" i="23" a="1"/>
  <c r="M5216" i="23" s="1"/>
  <c r="N5216" i="23" s="1"/>
  <c r="L5219" i="23"/>
  <c r="M5219" i="23" a="1"/>
  <c r="M5219" i="23" s="1"/>
  <c r="N5219" i="23" s="1"/>
  <c r="L5215" i="23"/>
  <c r="M5215" i="23" a="1"/>
  <c r="M5215" i="23" s="1"/>
  <c r="N5215" i="23" s="1"/>
  <c r="L5206" i="23"/>
  <c r="M5206" i="23" a="1"/>
  <c r="M5206" i="23" s="1"/>
  <c r="N5206" i="23" s="1"/>
  <c r="L5208" i="23"/>
  <c r="M5208" i="23" a="1"/>
  <c r="M5208" i="23" s="1"/>
  <c r="N5208" i="23" s="1"/>
  <c r="L5209" i="23"/>
  <c r="M5209" i="23" a="1"/>
  <c r="M5209" i="23" s="1"/>
  <c r="N5209" i="23" s="1"/>
  <c r="L5201" i="23"/>
  <c r="M5201" i="23" a="1"/>
  <c r="M5201" i="23" s="1"/>
  <c r="N5201" i="23" s="1"/>
  <c r="L5199" i="23"/>
  <c r="M5199" i="23" a="1"/>
  <c r="M5199" i="23" s="1"/>
  <c r="N5199" i="23" s="1"/>
  <c r="L5198" i="23"/>
  <c r="M5198" i="23" a="1"/>
  <c r="M5198" i="23" s="1"/>
  <c r="N5198" i="23" s="1"/>
  <c r="L5194" i="23"/>
  <c r="M5194" i="23" a="1"/>
  <c r="M5194" i="23" s="1"/>
  <c r="N5194" i="23" s="1"/>
  <c r="L5196" i="23"/>
  <c r="M5196" i="23" a="1"/>
  <c r="M5196" i="23" s="1"/>
  <c r="N5196" i="23" s="1"/>
  <c r="L5197" i="23" l="1"/>
  <c r="M5197" i="23" a="1"/>
  <c r="M5197" i="23" s="1"/>
  <c r="N5197" i="23" s="1"/>
  <c r="L5191" i="23"/>
  <c r="M5191" i="23" a="1"/>
  <c r="M5191" i="23" s="1"/>
  <c r="N5191" i="23" s="1"/>
  <c r="L5192" i="23" l="1"/>
  <c r="M5192" i="23" a="1"/>
  <c r="M5192" i="23" s="1"/>
  <c r="N5192" i="23" s="1"/>
  <c r="L5193" i="23"/>
  <c r="M5193" i="23" a="1"/>
  <c r="M5193" i="23" s="1"/>
  <c r="N5193" i="23" s="1"/>
  <c r="L5189" i="23"/>
  <c r="M5189" i="23" a="1"/>
  <c r="M5189" i="23" s="1"/>
  <c r="N5189" i="23" s="1"/>
  <c r="L5188" i="23"/>
  <c r="M5188" i="23" a="1"/>
  <c r="M5188" i="23" s="1"/>
  <c r="N5188" i="23" s="1"/>
  <c r="L5190" i="23"/>
  <c r="M5190" i="23" a="1"/>
  <c r="M5190" i="23" s="1"/>
  <c r="N5190" i="23" s="1"/>
  <c r="L5187" i="23"/>
  <c r="M5187" i="23" a="1"/>
  <c r="M5187" i="23" s="1"/>
  <c r="N5187" i="23" s="1"/>
  <c r="L5182" i="23"/>
  <c r="M5182" i="23" a="1"/>
  <c r="M5182" i="23" s="1"/>
  <c r="N5182" i="23" s="1"/>
  <c r="L5176" i="23"/>
  <c r="M5176" i="23" a="1"/>
  <c r="M5176" i="23" s="1"/>
  <c r="N5176" i="23" s="1"/>
  <c r="L5166" i="23"/>
  <c r="M5166" i="23" a="1"/>
  <c r="M5166" i="23" s="1"/>
  <c r="N5166" i="23" s="1"/>
  <c r="L5172" i="23"/>
  <c r="M5172" i="23" a="1"/>
  <c r="M5172" i="23" s="1"/>
  <c r="N5172" i="23" s="1"/>
  <c r="L5175" i="23"/>
  <c r="M5175" i="23" a="1"/>
  <c r="M5175" i="23" s="1"/>
  <c r="N5175" i="23" s="1"/>
  <c r="L5168" i="23"/>
  <c r="M5168" i="23" a="1"/>
  <c r="M5168" i="23" s="1"/>
  <c r="N5168" i="23" s="1"/>
  <c r="L5163" i="23"/>
  <c r="M5163" i="23" a="1"/>
  <c r="M5163" i="23" s="1"/>
  <c r="N5163" i="23" s="1"/>
  <c r="L5161" i="23"/>
  <c r="M5161" i="23" a="1"/>
  <c r="M5161" i="23" s="1"/>
  <c r="N5161" i="23" s="1"/>
  <c r="L5158" i="23"/>
  <c r="M5158" i="23" a="1"/>
  <c r="M5158" i="23" s="1"/>
  <c r="N5158" i="23" s="1"/>
  <c r="L5164" i="23" l="1"/>
  <c r="M5164" i="23" a="1"/>
  <c r="M5164" i="23" s="1"/>
  <c r="N5164" i="23" s="1"/>
  <c r="L5156" i="23"/>
  <c r="M5156" i="23" a="1"/>
  <c r="M5156" i="23" s="1"/>
  <c r="N5156" i="23" s="1"/>
  <c r="L5143" i="23"/>
  <c r="M5143" i="23" a="1"/>
  <c r="M5143" i="23" s="1"/>
  <c r="N5143" i="23" s="1"/>
  <c r="L5151" i="23"/>
  <c r="M5151" i="23" a="1"/>
  <c r="M5151" i="23" s="1"/>
  <c r="N5151" i="23" s="1"/>
  <c r="L5075" i="23"/>
  <c r="M5075" i="23" a="1"/>
  <c r="M5075" i="23" s="1"/>
  <c r="N5075" i="23" s="1"/>
  <c r="L5147" i="23" l="1"/>
  <c r="M5147" i="23" a="1"/>
  <c r="M5147" i="23" s="1"/>
  <c r="N5147" i="23" s="1"/>
  <c r="L5146" i="23"/>
  <c r="M5146" i="23" a="1"/>
  <c r="M5146" i="23" s="1"/>
  <c r="N5146" i="23" s="1"/>
  <c r="L4951" i="23"/>
  <c r="M4951" i="23" a="1"/>
  <c r="M4951" i="23" s="1"/>
  <c r="N4951" i="23" s="1"/>
  <c r="L4950" i="23"/>
  <c r="M4950" i="23" a="1"/>
  <c r="M4950" i="23" s="1"/>
  <c r="N4950" i="23" s="1"/>
  <c r="L5023" i="23" l="1"/>
  <c r="M5023" i="23" a="1"/>
  <c r="M5023" i="23" s="1"/>
  <c r="N5023" i="23" s="1"/>
  <c r="L5022" i="23"/>
  <c r="M5022" i="23" a="1"/>
  <c r="M5022" i="23" s="1"/>
  <c r="N5022" i="23" s="1"/>
  <c r="L4976" i="23"/>
  <c r="M4976" i="23" a="1"/>
  <c r="M4976" i="23" s="1"/>
  <c r="N4976" i="23" s="1"/>
  <c r="L4977" i="23"/>
  <c r="M4977" i="23" a="1"/>
  <c r="M4977" i="23" s="1"/>
  <c r="N4977" i="23" s="1"/>
  <c r="L4939" i="23"/>
  <c r="M4939" i="23" a="1"/>
  <c r="M4939" i="23" s="1"/>
  <c r="N4939" i="23" s="1"/>
  <c r="L4938" i="23"/>
  <c r="M4938" i="23" a="1"/>
  <c r="M4938" i="23" s="1"/>
  <c r="N4938" i="23" s="1"/>
  <c r="L5034" i="23"/>
  <c r="M5034" i="23" a="1"/>
  <c r="M5034" i="23" s="1"/>
  <c r="N5034" i="23" s="1"/>
  <c r="L5038" i="23"/>
  <c r="M5038" i="23" a="1"/>
  <c r="M5038" i="23" s="1"/>
  <c r="N5038" i="23" s="1"/>
  <c r="L4860" i="23"/>
  <c r="M4860" i="23" a="1"/>
  <c r="M4860" i="23" s="1"/>
  <c r="N4860" i="23" s="1"/>
  <c r="L5020" i="23"/>
  <c r="M5020" i="23" a="1"/>
  <c r="M5020" i="23" s="1"/>
  <c r="N5020" i="23" s="1"/>
  <c r="L5019" i="23"/>
  <c r="M5019" i="23" a="1"/>
  <c r="M5019" i="23" s="1"/>
  <c r="N5019" i="23" s="1"/>
  <c r="L5042" i="23"/>
  <c r="M5042" i="23" a="1"/>
  <c r="M5042" i="23" s="1"/>
  <c r="N5042" i="23" s="1"/>
  <c r="L5064" i="23"/>
  <c r="M5064" i="23" a="1"/>
  <c r="M5064" i="23" s="1"/>
  <c r="N5064" i="23" s="1"/>
  <c r="L5101" i="23"/>
  <c r="M5101" i="23" a="1"/>
  <c r="M5101" i="23" s="1"/>
  <c r="N5101" i="23" s="1"/>
  <c r="L5098" i="23"/>
  <c r="M5098" i="23" a="1"/>
  <c r="M5098" i="23" s="1"/>
  <c r="N5098" i="23" s="1"/>
  <c r="L5089" i="23"/>
  <c r="M5089" i="23" a="1"/>
  <c r="M5089" i="23" s="1"/>
  <c r="N5089" i="23" s="1"/>
  <c r="L5071" i="23"/>
  <c r="M5071" i="23" a="1"/>
  <c r="M5071" i="23" s="1"/>
  <c r="N5071" i="23" s="1"/>
  <c r="L5092" i="23"/>
  <c r="M5092" i="23" a="1"/>
  <c r="M5092" i="23" s="1"/>
  <c r="N5092" i="23" s="1"/>
  <c r="L5134" i="23"/>
  <c r="M5134" i="23" a="1"/>
  <c r="M5134" i="23" s="1"/>
  <c r="N5134" i="23" s="1"/>
  <c r="L5102" i="23"/>
  <c r="M5102" i="23" a="1"/>
  <c r="M5102" i="23" s="1"/>
  <c r="N5102" i="23" s="1"/>
  <c r="L4968" i="23"/>
  <c r="M4968" i="23" a="1"/>
  <c r="M4968" i="23" s="1"/>
  <c r="N4968" i="23" s="1"/>
  <c r="L4936" i="23"/>
  <c r="M4936" i="23" a="1"/>
  <c r="M4936" i="23" s="1"/>
  <c r="N4936" i="23" s="1"/>
  <c r="L4963" i="23"/>
  <c r="M4963" i="23" a="1"/>
  <c r="M4963" i="23" s="1"/>
  <c r="N4963" i="23" s="1"/>
  <c r="L5076" i="23"/>
  <c r="M5076" i="23" a="1"/>
  <c r="M5076" i="23" s="1"/>
  <c r="N5076" i="23" s="1"/>
  <c r="L5074" i="23"/>
  <c r="M5074" i="23" a="1"/>
  <c r="M5074" i="23" s="1"/>
  <c r="N5074" i="23" s="1"/>
  <c r="L5053" i="23"/>
  <c r="M5053" i="23" a="1"/>
  <c r="M5053" i="23" s="1"/>
  <c r="N5053" i="23" s="1"/>
  <c r="L5030" i="23"/>
  <c r="M5030" i="23" a="1"/>
  <c r="M5030" i="23" s="1"/>
  <c r="N5030" i="23" s="1"/>
  <c r="L5029" i="23"/>
  <c r="M5029" i="23" a="1"/>
  <c r="M5029" i="23" s="1"/>
  <c r="N5029" i="23" s="1"/>
  <c r="L5049" i="23"/>
  <c r="M5049" i="23" a="1"/>
  <c r="M5049" i="23" s="1"/>
  <c r="N5049" i="23" s="1"/>
  <c r="L5078" i="23"/>
  <c r="M5078" i="23" a="1"/>
  <c r="M5078" i="23" s="1"/>
  <c r="N5078" i="23" s="1"/>
  <c r="L5070" i="23" l="1"/>
  <c r="M5070" i="23" a="1"/>
  <c r="M5070" i="23" s="1"/>
  <c r="N5070" i="23" s="1"/>
  <c r="L5133" i="23"/>
  <c r="M5133" i="23" a="1"/>
  <c r="M5133" i="23" s="1"/>
  <c r="N5133" i="23" s="1"/>
  <c r="L4989" i="23"/>
  <c r="M4989" i="23" a="1"/>
  <c r="M4989" i="23" s="1"/>
  <c r="N4989" i="23" s="1"/>
  <c r="L4895" i="23" l="1"/>
  <c r="M4895" i="23" a="1"/>
  <c r="M4895" i="23" s="1"/>
  <c r="N4895" i="23" s="1"/>
  <c r="L5005" i="23"/>
  <c r="M5005" i="23" a="1"/>
  <c r="M5005" i="23" s="1"/>
  <c r="N5005" i="23" s="1"/>
  <c r="L5081" i="23"/>
  <c r="M5081" i="23" a="1"/>
  <c r="M5081" i="23" s="1"/>
  <c r="N5081" i="23" s="1"/>
  <c r="L5028" i="23"/>
  <c r="M5028" i="23" a="1"/>
  <c r="M5028" i="23" s="1"/>
  <c r="N5028" i="23" s="1"/>
  <c r="L5072" i="23"/>
  <c r="M5072" i="23" a="1"/>
  <c r="M5072" i="23" s="1"/>
  <c r="N5072" i="23" s="1"/>
  <c r="L5162" i="23"/>
  <c r="M5162" i="23" a="1"/>
  <c r="M5162" i="23" s="1"/>
  <c r="N5162" i="23" s="1"/>
  <c r="L5035" i="23"/>
  <c r="M5035" i="23" a="1"/>
  <c r="M5035" i="23" s="1"/>
  <c r="N5035" i="23" s="1"/>
  <c r="L5107" i="23"/>
  <c r="M5107" i="23" a="1"/>
  <c r="M5107" i="23" s="1"/>
  <c r="N5107" i="23" s="1"/>
  <c r="L5111" i="23"/>
  <c r="M5111" i="23" a="1"/>
  <c r="M5111" i="23" s="1"/>
  <c r="N5111" i="23" s="1"/>
  <c r="L5083" i="23"/>
  <c r="M5083" i="23" a="1"/>
  <c r="M5083" i="23" s="1"/>
  <c r="N5083" i="23" s="1"/>
  <c r="L5073" i="23"/>
  <c r="M5073" i="23" a="1"/>
  <c r="M5073" i="23" s="1"/>
  <c r="N5073" i="23" s="1"/>
  <c r="L5138" i="23"/>
  <c r="M5138" i="23" a="1"/>
  <c r="M5138" i="23" s="1"/>
  <c r="N5138" i="23" s="1"/>
  <c r="L5139" i="23"/>
  <c r="M5139" i="23" a="1"/>
  <c r="M5139" i="23" s="1"/>
  <c r="N5139" i="23" s="1"/>
  <c r="L5157" i="23"/>
  <c r="M5157" i="23" a="1"/>
  <c r="M5157" i="23" s="1"/>
  <c r="N5157" i="23" s="1"/>
  <c r="L5171" i="23"/>
  <c r="M5171" i="23" a="1"/>
  <c r="M5171" i="23" s="1"/>
  <c r="N5171" i="23" s="1"/>
  <c r="L5027" i="23"/>
  <c r="M5027" i="23" a="1"/>
  <c r="M5027" i="23" s="1"/>
  <c r="N5027" i="23" s="1"/>
  <c r="L5093" i="23"/>
  <c r="M5093" i="23" a="1"/>
  <c r="M5093" i="23" s="1"/>
  <c r="N5093" i="23" s="1"/>
  <c r="L5026" i="23"/>
  <c r="M5026" i="23" a="1"/>
  <c r="M5026" i="23" s="1"/>
  <c r="N5026" i="23" s="1"/>
  <c r="L4988" i="23"/>
  <c r="M4988" i="23" a="1"/>
  <c r="M4988" i="23" s="1"/>
  <c r="N4988" i="23" s="1"/>
  <c r="L5131" i="23"/>
  <c r="M5131" i="23" a="1"/>
  <c r="M5131" i="23" s="1"/>
  <c r="N5131" i="23" s="1"/>
  <c r="L5103" i="23"/>
  <c r="M5103" i="23" a="1"/>
  <c r="M5103" i="23" s="1"/>
  <c r="N5103" i="23" s="1"/>
  <c r="L5097" i="23"/>
  <c r="M5097" i="23" a="1"/>
  <c r="M5097" i="23" s="1"/>
  <c r="N5097" i="23" s="1"/>
  <c r="L5169" i="23"/>
  <c r="M5169" i="23" a="1"/>
  <c r="M5169" i="23" s="1"/>
  <c r="N5169" i="23" s="1"/>
  <c r="L5177" i="23"/>
  <c r="M5177" i="23" a="1"/>
  <c r="M5177" i="23" s="1"/>
  <c r="N5177" i="23" s="1"/>
  <c r="L5181" i="23"/>
  <c r="M5181" i="23" a="1"/>
  <c r="M5181" i="23" s="1"/>
  <c r="N5181" i="23" s="1"/>
  <c r="L5180" i="23"/>
  <c r="M5180" i="23" a="1"/>
  <c r="M5180" i="23" s="1"/>
  <c r="N5180" i="23" s="1"/>
  <c r="L5153" i="23"/>
  <c r="M5153" i="23" a="1"/>
  <c r="M5153" i="23" s="1"/>
  <c r="N5153" i="23" s="1"/>
  <c r="L5150" i="23" l="1"/>
  <c r="M5150" i="23" a="1"/>
  <c r="M5150" i="23" s="1"/>
  <c r="N5150" i="23" s="1"/>
  <c r="L5145" i="23"/>
  <c r="M5145" i="23" a="1"/>
  <c r="M5145" i="23" s="1"/>
  <c r="N5145" i="23" s="1"/>
  <c r="L5160" i="23"/>
  <c r="M5160" i="23" a="1"/>
  <c r="M5160" i="23" s="1"/>
  <c r="N5160" i="23" s="1"/>
  <c r="L5141" i="23"/>
  <c r="M5141" i="23" a="1"/>
  <c r="M5141" i="23" s="1"/>
  <c r="N5141" i="23" s="1"/>
  <c r="L5140" i="23"/>
  <c r="M5140" i="23" a="1"/>
  <c r="M5140" i="23" s="1"/>
  <c r="N5140" i="23" s="1"/>
  <c r="L5142" i="23"/>
  <c r="M5142" i="23" a="1"/>
  <c r="M5142" i="23" s="1"/>
  <c r="N5142" i="23" s="1"/>
  <c r="L5136" i="23"/>
  <c r="M5136" i="23" a="1"/>
  <c r="M5136" i="23" s="1"/>
  <c r="N5136" i="23" s="1"/>
  <c r="L5137" i="23" l="1"/>
  <c r="M5137" i="23" a="1"/>
  <c r="M5137" i="23" s="1"/>
  <c r="N5137" i="23" s="1"/>
  <c r="L5128" i="23"/>
  <c r="M5128" i="23" a="1"/>
  <c r="M5128" i="23" s="1"/>
  <c r="N5128" i="23" s="1"/>
  <c r="L5127" i="23"/>
  <c r="M5127" i="23" a="1"/>
  <c r="M5127" i="23" s="1"/>
  <c r="N5127" i="23" s="1"/>
  <c r="L5129" i="23"/>
  <c r="M5129" i="23" a="1"/>
  <c r="M5129" i="23" s="1"/>
  <c r="N5129" i="23" s="1"/>
  <c r="L5132" i="23"/>
  <c r="M5132" i="23" a="1"/>
  <c r="M5132" i="23" s="1"/>
  <c r="N5132" i="23" s="1"/>
  <c r="L5130" i="23"/>
  <c r="M5130" i="23" a="1"/>
  <c r="M5130" i="23" s="1"/>
  <c r="N5130" i="23" s="1"/>
  <c r="L5121" i="23"/>
  <c r="M5121" i="23" a="1"/>
  <c r="M5121" i="23" s="1"/>
  <c r="N5121" i="23" s="1"/>
  <c r="L5120" i="23"/>
  <c r="M5120" i="23" a="1"/>
  <c r="M5120" i="23" s="1"/>
  <c r="N5120" i="23" s="1"/>
  <c r="L5116" i="23"/>
  <c r="M5116" i="23" a="1"/>
  <c r="M5116" i="23" s="1"/>
  <c r="N5116" i="23" s="1"/>
  <c r="L5115" i="23"/>
  <c r="M5115" i="23" a="1"/>
  <c r="M5115" i="23" s="1"/>
  <c r="N5115" i="23" s="1"/>
  <c r="L5112" i="23"/>
  <c r="M5112" i="23" a="1"/>
  <c r="M5112" i="23" s="1"/>
  <c r="N5112" i="23" s="1"/>
  <c r="L5117" i="23"/>
  <c r="M5117" i="23" a="1"/>
  <c r="M5117" i="23" s="1"/>
  <c r="N5117" i="23" s="1"/>
  <c r="L5119" i="23"/>
  <c r="M5119" i="23" a="1"/>
  <c r="M5119" i="23" s="1"/>
  <c r="N5119" i="23" s="1"/>
  <c r="L5118" i="23"/>
  <c r="M5118" i="23" a="1"/>
  <c r="M5118" i="23" s="1"/>
  <c r="N5118" i="23" s="1"/>
  <c r="L5109" i="23"/>
  <c r="M5109" i="23" a="1"/>
  <c r="M5109" i="23" s="1"/>
  <c r="N5109" i="23" s="1"/>
  <c r="L5104" i="23"/>
  <c r="M5104" i="23" a="1"/>
  <c r="M5104" i="23" s="1"/>
  <c r="N5104" i="23" s="1"/>
  <c r="L5108" i="23"/>
  <c r="M5108" i="23" a="1"/>
  <c r="M5108" i="23" s="1"/>
  <c r="N5108" i="23" s="1"/>
  <c r="L5100" i="23"/>
  <c r="M5100" i="23" a="1"/>
  <c r="M5100" i="23" s="1"/>
  <c r="N5100" i="23" s="1"/>
  <c r="L5099" i="23"/>
  <c r="M5099" i="23" a="1"/>
  <c r="M5099" i="23" s="1"/>
  <c r="N5099" i="23" s="1"/>
  <c r="L5095" i="23"/>
  <c r="M5095" i="23" a="1"/>
  <c r="M5095" i="23" s="1"/>
  <c r="N5095" i="23" s="1"/>
  <c r="L5096" i="23"/>
  <c r="M5096" i="23" a="1"/>
  <c r="M5096" i="23" s="1"/>
  <c r="N5096" i="23" s="1"/>
  <c r="L5087" i="23"/>
  <c r="M5087" i="23" a="1"/>
  <c r="M5087" i="23" s="1"/>
  <c r="N5087" i="23" s="1"/>
  <c r="L5086" i="23"/>
  <c r="M5086" i="23" a="1"/>
  <c r="M5086" i="23" s="1"/>
  <c r="N5086" i="23" s="1"/>
  <c r="L5084" i="23"/>
  <c r="M5084" i="23" a="1"/>
  <c r="M5084" i="23" s="1"/>
  <c r="N5084" i="23" s="1"/>
  <c r="L5088" i="23"/>
  <c r="M5088" i="23" a="1"/>
  <c r="M5088" i="23" s="1"/>
  <c r="N5088" i="23" s="1"/>
  <c r="L5082" i="23"/>
  <c r="M5082" i="23" a="1"/>
  <c r="M5082" i="23" s="1"/>
  <c r="N5082" i="23" s="1"/>
  <c r="L5079" i="23"/>
  <c r="M5079" i="23" a="1"/>
  <c r="M5079" i="23" s="1"/>
  <c r="N5079" i="23" s="1"/>
  <c r="L5080" i="23"/>
  <c r="M5080" i="23" a="1"/>
  <c r="M5080" i="23" s="1"/>
  <c r="N5080" i="23" s="1"/>
  <c r="L5077" i="23"/>
  <c r="M5077" i="23" a="1"/>
  <c r="M5077" i="23" s="1"/>
  <c r="N5077" i="23" s="1"/>
  <c r="L5067" i="23"/>
  <c r="M5067" i="23" a="1"/>
  <c r="M5067" i="23" s="1"/>
  <c r="N5067" i="23" s="1"/>
  <c r="L5066" i="23"/>
  <c r="M5066" i="23" a="1"/>
  <c r="M5066" i="23" s="1"/>
  <c r="N5066" i="23" s="1"/>
  <c r="L5065" i="23"/>
  <c r="M5065" i="23" a="1"/>
  <c r="M5065" i="23" s="1"/>
  <c r="N5065" i="23" s="1"/>
  <c r="L5069" i="23"/>
  <c r="M5069" i="23" a="1"/>
  <c r="M5069" i="23" s="1"/>
  <c r="N5069" i="23" s="1"/>
  <c r="L5060" i="23"/>
  <c r="M5060" i="23" a="1"/>
  <c r="M5060" i="23" s="1"/>
  <c r="N5060" i="23" s="1"/>
  <c r="L5068" i="23"/>
  <c r="M5068" i="23" a="1"/>
  <c r="M5068" i="23" s="1"/>
  <c r="N5068" i="23" s="1"/>
  <c r="L5062" i="23"/>
  <c r="M5062" i="23" a="1"/>
  <c r="M5062" i="23" s="1"/>
  <c r="N5062" i="23" s="1"/>
  <c r="L4934" i="23"/>
  <c r="M4934" i="23" a="1"/>
  <c r="M4934" i="23" s="1"/>
  <c r="N4934" i="23" s="1"/>
  <c r="L5056" i="23"/>
  <c r="M5056" i="23" a="1"/>
  <c r="M5056" i="23" s="1"/>
  <c r="N5056" i="23" s="1"/>
  <c r="L5051" i="23"/>
  <c r="M5051" i="23" a="1"/>
  <c r="M5051" i="23" s="1"/>
  <c r="N5051" i="23" s="1"/>
  <c r="L5050" i="23"/>
  <c r="M5050" i="23" a="1"/>
  <c r="M5050" i="23" s="1"/>
  <c r="N5050" i="23" s="1"/>
  <c r="L5052" i="23"/>
  <c r="M5052" i="23" a="1"/>
  <c r="M5052" i="23" s="1"/>
  <c r="N5052" i="23" s="1"/>
  <c r="L5047" i="23"/>
  <c r="M5047" i="23" a="1"/>
  <c r="M5047" i="23" s="1"/>
  <c r="N5047" i="23" s="1"/>
  <c r="L5037" i="23"/>
  <c r="M5037" i="23" a="1"/>
  <c r="M5037" i="23" s="1"/>
  <c r="N5037" i="23" s="1"/>
  <c r="L5032" i="23"/>
  <c r="M5032" i="23" a="1"/>
  <c r="M5032" i="23" s="1"/>
  <c r="N5032" i="23" s="1"/>
  <c r="L5031" i="23"/>
  <c r="M5031" i="23" a="1"/>
  <c r="M5031" i="23" s="1"/>
  <c r="N5031" i="23" s="1"/>
  <c r="L5024" i="23"/>
  <c r="M5024" i="23" a="1"/>
  <c r="M5024" i="23" s="1"/>
  <c r="N5024" i="23" s="1"/>
  <c r="L5025" i="23"/>
  <c r="M5025" i="23" a="1"/>
  <c r="M5025" i="23" s="1"/>
  <c r="N5025" i="23" s="1"/>
  <c r="L5018" i="23"/>
  <c r="M5018" i="23" a="1"/>
  <c r="M5018" i="23" s="1"/>
  <c r="N5018" i="23" s="1"/>
  <c r="L5017" i="23"/>
  <c r="M5017" i="23" a="1"/>
  <c r="M5017" i="23" s="1"/>
  <c r="N5017" i="23" s="1"/>
  <c r="L5010" i="23"/>
  <c r="M5010" i="23" a="1"/>
  <c r="M5010" i="23" s="1"/>
  <c r="N5010" i="23" s="1"/>
  <c r="L5006" i="23"/>
  <c r="M5006" i="23" a="1"/>
  <c r="M5006" i="23" s="1"/>
  <c r="N5006" i="23" s="1"/>
  <c r="L4996" i="23"/>
  <c r="M4996" i="23" a="1"/>
  <c r="M4996" i="23" s="1"/>
  <c r="N4996" i="23" s="1"/>
  <c r="L4995" i="23"/>
  <c r="M4995" i="23" a="1"/>
  <c r="M4995" i="23" s="1"/>
  <c r="N4995" i="23" s="1"/>
  <c r="L5000" i="23"/>
  <c r="M5000" i="23" a="1"/>
  <c r="M5000" i="23" s="1"/>
  <c r="N5000" i="23" s="1"/>
  <c r="L4991" i="23"/>
  <c r="M4991" i="23" a="1"/>
  <c r="M4991" i="23" s="1"/>
  <c r="N4991" i="23" s="1"/>
  <c r="L4967" i="23"/>
  <c r="M4967" i="23" a="1"/>
  <c r="M4967" i="23" s="1"/>
  <c r="N4967" i="23" s="1"/>
  <c r="L4975" i="23"/>
  <c r="M4975" i="23" a="1"/>
  <c r="M4975" i="23" s="1"/>
  <c r="N4975" i="23" s="1"/>
  <c r="L4946" i="23"/>
  <c r="M4946" i="23" a="1"/>
  <c r="M4946" i="23" s="1"/>
  <c r="N4946" i="23" s="1"/>
  <c r="L4992" i="23"/>
  <c r="M4992" i="23" a="1"/>
  <c r="M4992" i="23" s="1"/>
  <c r="N4992" i="23" s="1"/>
  <c r="L4908" i="23"/>
  <c r="M4908" i="23" a="1"/>
  <c r="M4908" i="23" s="1"/>
  <c r="N4908" i="23" s="1"/>
  <c r="L4890" i="23" l="1"/>
  <c r="M4890" i="23" a="1"/>
  <c r="M4890" i="23" s="1"/>
  <c r="N4890" i="23" s="1"/>
  <c r="L4617" i="23"/>
  <c r="M4617" i="23" a="1"/>
  <c r="M4617" i="23" s="1"/>
  <c r="N4617" i="23" s="1"/>
  <c r="L5173" i="23" l="1"/>
  <c r="M5173" i="23" a="1"/>
  <c r="M5173" i="23" s="1"/>
  <c r="N5173" i="23" s="1"/>
  <c r="L5165" i="23"/>
  <c r="M5165" i="23" a="1"/>
  <c r="M5165" i="23" s="1"/>
  <c r="N5165" i="23" s="1"/>
  <c r="L5154" i="23"/>
  <c r="M5154" i="23" a="1"/>
  <c r="M5154" i="23" s="1"/>
  <c r="N5154" i="23" s="1"/>
  <c r="L5144" i="23"/>
  <c r="M5144" i="23" a="1"/>
  <c r="M5144" i="23" s="1"/>
  <c r="N5144" i="23" s="1"/>
  <c r="L5125" i="23"/>
  <c r="M5125" i="23" a="1"/>
  <c r="M5125" i="23" s="1"/>
  <c r="N5125" i="23" s="1"/>
  <c r="L5110" i="23"/>
  <c r="M5110" i="23" a="1"/>
  <c r="M5110" i="23" s="1"/>
  <c r="N5110" i="23" s="1"/>
  <c r="L5106" i="23" l="1"/>
  <c r="M5106" i="23" a="1"/>
  <c r="M5106" i="23" s="1"/>
  <c r="N5106" i="23" s="1"/>
  <c r="L5105" i="23" l="1"/>
  <c r="M5105" i="23" a="1"/>
  <c r="M5105" i="23" s="1"/>
  <c r="N5105" i="23" s="1"/>
  <c r="L5085" i="23"/>
  <c r="M5085" i="23" a="1"/>
  <c r="M5085" i="23" s="1"/>
  <c r="N5085" i="23" s="1"/>
  <c r="L5090" i="23"/>
  <c r="M5090" i="23" a="1"/>
  <c r="M5090" i="23" s="1"/>
  <c r="N5090" i="23" s="1"/>
  <c r="L5063" i="23"/>
  <c r="M5063" i="23" a="1"/>
  <c r="M5063" i="23" s="1"/>
  <c r="N5063" i="23" s="1"/>
  <c r="L5057" i="23"/>
  <c r="M5057" i="23" a="1"/>
  <c r="M5057" i="23" s="1"/>
  <c r="N5057" i="23" s="1"/>
  <c r="L5061" i="23"/>
  <c r="M5061" i="23" a="1"/>
  <c r="M5061" i="23" s="1"/>
  <c r="N5061" i="23" s="1"/>
  <c r="L5059" i="23"/>
  <c r="M5059" i="23" a="1"/>
  <c r="M5059" i="23" s="1"/>
  <c r="N5059" i="23" s="1"/>
  <c r="L5054" i="23"/>
  <c r="M5054" i="23" a="1"/>
  <c r="M5054" i="23" s="1"/>
  <c r="N5054" i="23" s="1"/>
  <c r="L5058" i="23"/>
  <c r="M5058" i="23" a="1"/>
  <c r="M5058" i="23" s="1"/>
  <c r="N5058" i="23" s="1"/>
  <c r="L5055" i="23"/>
  <c r="M5055" i="23" a="1"/>
  <c r="M5055" i="23" s="1"/>
  <c r="N5055" i="23" s="1"/>
  <c r="L5048" i="23"/>
  <c r="M5048" i="23" a="1"/>
  <c r="M5048" i="23" s="1"/>
  <c r="N5048" i="23" s="1"/>
  <c r="L5044" i="23"/>
  <c r="M5044" i="23" a="1"/>
  <c r="M5044" i="23" s="1"/>
  <c r="N5044" i="23" s="1"/>
  <c r="L5043" i="23"/>
  <c r="M5043" i="23" a="1"/>
  <c r="M5043" i="23" s="1"/>
  <c r="N5043" i="23" s="1"/>
  <c r="L5039" i="23"/>
  <c r="M5039" i="23" a="1"/>
  <c r="M5039" i="23" s="1"/>
  <c r="N5039" i="23" s="1"/>
  <c r="L5046" i="23"/>
  <c r="M5046" i="23" a="1"/>
  <c r="M5046" i="23" s="1"/>
  <c r="N5046" i="23" s="1"/>
  <c r="L5045" i="23"/>
  <c r="M5045" i="23" a="1"/>
  <c r="M5045" i="23" s="1"/>
  <c r="N5045" i="23" s="1"/>
  <c r="L5041" i="23"/>
  <c r="M5041" i="23" a="1"/>
  <c r="M5041" i="23" s="1"/>
  <c r="N5041" i="23" s="1"/>
  <c r="L5040" i="23"/>
  <c r="M5040" i="23" a="1"/>
  <c r="M5040" i="23" s="1"/>
  <c r="N5040" i="23" s="1"/>
  <c r="L5033" i="23"/>
  <c r="M5033" i="23" a="1"/>
  <c r="M5033" i="23" s="1"/>
  <c r="N5033" i="23" s="1"/>
  <c r="L5036" i="23"/>
  <c r="M5036" i="23" a="1"/>
  <c r="M5036" i="23" s="1"/>
  <c r="N5036" i="23" s="1"/>
  <c r="L5021" i="23"/>
  <c r="M5021" i="23" a="1"/>
  <c r="M5021" i="23" s="1"/>
  <c r="N5021" i="23" s="1"/>
  <c r="L5011" i="23"/>
  <c r="M5011" i="23" a="1"/>
  <c r="M5011" i="23" s="1"/>
  <c r="N5011" i="23" s="1"/>
  <c r="L5014" i="23"/>
  <c r="M5014" i="23" a="1"/>
  <c r="M5014" i="23" s="1"/>
  <c r="N5014" i="23" s="1"/>
  <c r="L5013" i="23"/>
  <c r="M5013" i="23" a="1"/>
  <c r="M5013" i="23" s="1"/>
  <c r="N5013" i="23" s="1"/>
  <c r="L4971" i="23"/>
  <c r="M4971" i="23" a="1"/>
  <c r="M4971" i="23" s="1"/>
  <c r="N4971" i="23" s="1"/>
  <c r="L4956" i="23"/>
  <c r="M4956" i="23" a="1"/>
  <c r="M4956" i="23" s="1"/>
  <c r="N4956" i="23" s="1"/>
  <c r="L4955" i="23"/>
  <c r="M4955" i="23" a="1"/>
  <c r="M4955" i="23" s="1"/>
  <c r="N4955" i="23" s="1"/>
  <c r="L4941" i="23"/>
  <c r="M4941" i="23" a="1"/>
  <c r="M4941" i="23" s="1"/>
  <c r="N4941" i="23" s="1"/>
  <c r="L4911" i="23" l="1"/>
  <c r="M4911" i="23" a="1"/>
  <c r="M4911" i="23" s="1"/>
  <c r="N4911" i="23" s="1"/>
  <c r="L4912" i="23"/>
  <c r="M4912" i="23" a="1"/>
  <c r="M4912" i="23" s="1"/>
  <c r="N4912" i="23" s="1"/>
  <c r="L4924" i="23"/>
  <c r="M4924" i="23" a="1"/>
  <c r="M4924" i="23" s="1"/>
  <c r="N4924" i="23" s="1"/>
  <c r="L4757" i="23" l="1"/>
  <c r="M4757" i="23" a="1"/>
  <c r="M4757" i="23" s="1"/>
  <c r="N4757" i="23" s="1"/>
  <c r="L4875" i="23"/>
  <c r="M4875" i="23" a="1"/>
  <c r="M4875" i="23" s="1"/>
  <c r="N4875" i="23" s="1"/>
  <c r="L4856" i="23"/>
  <c r="M4856" i="23" a="1"/>
  <c r="M4856" i="23" s="1"/>
  <c r="N4856" i="23" s="1"/>
  <c r="L4754" i="23"/>
  <c r="M4754" i="23" a="1"/>
  <c r="M4754" i="23" s="1"/>
  <c r="N4754" i="23" s="1"/>
  <c r="L4962" i="23" l="1"/>
  <c r="M4962" i="23" a="1"/>
  <c r="M4962" i="23" s="1"/>
  <c r="N4962" i="23" s="1"/>
  <c r="L4980" i="23"/>
  <c r="M4980" i="23" a="1"/>
  <c r="M4980" i="23" s="1"/>
  <c r="N4980" i="23" s="1"/>
  <c r="L4983" i="23"/>
  <c r="M4983" i="23" a="1"/>
  <c r="M4983" i="23" s="1"/>
  <c r="N4983" i="23" s="1"/>
  <c r="L4990" i="23"/>
  <c r="M4990" i="23" a="1"/>
  <c r="M4990" i="23" s="1"/>
  <c r="N4990" i="23" s="1"/>
  <c r="L4915" i="23"/>
  <c r="M4915" i="23" a="1"/>
  <c r="M4915" i="23" s="1"/>
  <c r="N4915" i="23" s="1"/>
  <c r="L4914" i="23"/>
  <c r="M4914" i="23" a="1"/>
  <c r="M4914" i="23" s="1"/>
  <c r="N4914" i="23" s="1"/>
  <c r="L4928" i="23"/>
  <c r="M4928" i="23" a="1"/>
  <c r="M4928" i="23" s="1"/>
  <c r="N4928" i="23" s="1"/>
  <c r="L4930" i="23" l="1"/>
  <c r="M4930" i="23" a="1"/>
  <c r="M4930" i="23" s="1"/>
  <c r="N4930" i="23" s="1"/>
  <c r="L4959" i="23"/>
  <c r="M4959" i="23" a="1"/>
  <c r="M4959" i="23" s="1"/>
  <c r="N4959" i="23" s="1"/>
  <c r="L4958" i="23"/>
  <c r="M4958" i="23" a="1"/>
  <c r="M4958" i="23" s="1"/>
  <c r="N4958" i="23" s="1"/>
  <c r="L5004" i="23" l="1"/>
  <c r="M5004" i="23" a="1"/>
  <c r="M5004" i="23" s="1"/>
  <c r="N5004" i="23" s="1"/>
  <c r="L5007" i="23"/>
  <c r="M5007" i="23" a="1"/>
  <c r="M5007" i="23" s="1"/>
  <c r="N5007" i="23" s="1"/>
  <c r="L4998" i="23"/>
  <c r="M4998" i="23" a="1"/>
  <c r="M4998" i="23" s="1"/>
  <c r="N4998" i="23" s="1"/>
  <c r="L4993" i="23"/>
  <c r="M4993" i="23" a="1"/>
  <c r="M4993" i="23" s="1"/>
  <c r="N4993" i="23" s="1"/>
  <c r="L4999" i="23"/>
  <c r="M4999" i="23" a="1"/>
  <c r="M4999" i="23" s="1"/>
  <c r="N4999" i="23" s="1"/>
  <c r="L4994" i="23"/>
  <c r="M4994" i="23" a="1"/>
  <c r="M4994" i="23" s="1"/>
  <c r="N4994" i="23" s="1"/>
  <c r="L5002" i="23"/>
  <c r="M5002" i="23" a="1"/>
  <c r="M5002" i="23" s="1"/>
  <c r="N5002" i="23" s="1"/>
  <c r="L4987" i="23"/>
  <c r="M4987" i="23" a="1"/>
  <c r="M4987" i="23" s="1"/>
  <c r="N4987" i="23" s="1"/>
  <c r="L4966" i="23"/>
  <c r="M4966" i="23" a="1"/>
  <c r="M4966" i="23" s="1"/>
  <c r="N4966" i="23" s="1"/>
  <c r="L4961" i="23"/>
  <c r="M4961" i="23" a="1"/>
  <c r="M4961" i="23" s="1"/>
  <c r="N4961" i="23" s="1"/>
  <c r="L4960" i="23"/>
  <c r="M4960" i="23" a="1"/>
  <c r="M4960" i="23" s="1"/>
  <c r="N4960" i="23" s="1"/>
  <c r="L4972" i="23"/>
  <c r="M4972" i="23" a="1"/>
  <c r="M4972" i="23" s="1"/>
  <c r="N4972" i="23" s="1"/>
  <c r="L4940" i="23"/>
  <c r="M4940" i="23" a="1"/>
  <c r="M4940" i="23" s="1"/>
  <c r="N4940" i="23" s="1"/>
  <c r="L4952" i="23"/>
  <c r="M4952" i="23" a="1"/>
  <c r="M4952" i="23" s="1"/>
  <c r="N4952" i="23" s="1"/>
  <c r="L4935" i="23"/>
  <c r="M4935" i="23" a="1"/>
  <c r="M4935" i="23" s="1"/>
  <c r="N4935" i="23" s="1"/>
  <c r="L4916" i="23"/>
  <c r="M4916" i="23" a="1"/>
  <c r="M4916" i="23" s="1"/>
  <c r="N4916" i="23" s="1"/>
  <c r="L4898" i="23"/>
  <c r="M4898" i="23" a="1"/>
  <c r="M4898" i="23" s="1"/>
  <c r="N4898" i="23" s="1"/>
  <c r="L4978" i="23"/>
  <c r="M4978" i="23" a="1"/>
  <c r="M4978" i="23" s="1"/>
  <c r="N4978" i="23" s="1"/>
  <c r="L5016" i="23"/>
  <c r="M5016" i="23" a="1"/>
  <c r="M5016" i="23" s="1"/>
  <c r="N5016" i="23" s="1"/>
  <c r="L5015" i="23"/>
  <c r="M5015" i="23" a="1"/>
  <c r="M5015" i="23" s="1"/>
  <c r="N5015" i="23" s="1"/>
  <c r="L5009" i="23"/>
  <c r="M5009" i="23" a="1"/>
  <c r="M5009" i="23" s="1"/>
  <c r="N5009" i="23" s="1"/>
  <c r="L5012" i="23"/>
  <c r="M5012" i="23" a="1"/>
  <c r="M5012" i="23" s="1"/>
  <c r="N5012" i="23" s="1"/>
  <c r="L5008" i="23"/>
  <c r="M5008" i="23" a="1"/>
  <c r="M5008" i="23" s="1"/>
  <c r="N5008" i="23" s="1"/>
  <c r="L5001" i="23" l="1"/>
  <c r="M5001" i="23" a="1"/>
  <c r="M5001" i="23" s="1"/>
  <c r="N5001" i="23" s="1"/>
  <c r="L5003" i="23"/>
  <c r="M5003" i="23" a="1"/>
  <c r="M5003" i="23" s="1"/>
  <c r="N5003" i="23" s="1"/>
  <c r="L4997" i="23"/>
  <c r="M4997" i="23" a="1"/>
  <c r="M4997" i="23" s="1"/>
  <c r="N4997" i="23" s="1"/>
  <c r="L4979" i="23"/>
  <c r="M4979" i="23" a="1"/>
  <c r="M4979" i="23" s="1"/>
  <c r="N4979" i="23" s="1"/>
  <c r="L4986" i="23"/>
  <c r="M4986" i="23" a="1"/>
  <c r="M4986" i="23" s="1"/>
  <c r="N4986" i="23" s="1"/>
  <c r="L4985" i="23" l="1"/>
  <c r="M4985" i="23" a="1"/>
  <c r="M4985" i="23" s="1"/>
  <c r="N4985" i="23" s="1"/>
  <c r="L4982" i="23"/>
  <c r="M4982" i="23" a="1"/>
  <c r="M4982" i="23" s="1"/>
  <c r="N4982" i="23" s="1"/>
  <c r="L4984" i="23" l="1"/>
  <c r="M4984" i="23" a="1"/>
  <c r="M4984" i="23" s="1"/>
  <c r="N4984" i="23" s="1"/>
  <c r="L4970" i="23"/>
  <c r="M4970" i="23" a="1"/>
  <c r="M4970" i="23" s="1"/>
  <c r="N4970" i="23" s="1"/>
  <c r="L4973" i="23"/>
  <c r="M4973" i="23" a="1"/>
  <c r="M4973" i="23" s="1"/>
  <c r="N4973" i="23" s="1"/>
  <c r="L4969" i="23"/>
  <c r="M4969" i="23" a="1"/>
  <c r="M4969" i="23" s="1"/>
  <c r="N4969" i="23" s="1"/>
  <c r="L4964" i="23"/>
  <c r="M4964" i="23" a="1"/>
  <c r="M4964" i="23" s="1"/>
  <c r="N4964" i="23" s="1"/>
  <c r="L4965" i="23"/>
  <c r="M4965" i="23" a="1"/>
  <c r="M4965" i="23" s="1"/>
  <c r="N4965" i="23" s="1"/>
  <c r="L4957" i="23"/>
  <c r="M4957" i="23" a="1"/>
  <c r="M4957" i="23" s="1"/>
  <c r="N4957" i="23" s="1"/>
  <c r="L4942" i="23"/>
  <c r="M4942" i="23" a="1"/>
  <c r="M4942" i="23" s="1"/>
  <c r="N4942" i="23" s="1"/>
  <c r="L4948" i="23"/>
  <c r="M4948" i="23" a="1"/>
  <c r="M4948" i="23" s="1"/>
  <c r="N4948" i="23" s="1"/>
  <c r="L4932" i="23"/>
  <c r="M4932" i="23" a="1"/>
  <c r="M4932" i="23" s="1"/>
  <c r="N4932" i="23" s="1"/>
  <c r="L4923" i="23"/>
  <c r="M4923" i="23" a="1"/>
  <c r="M4923" i="23" s="1"/>
  <c r="N4923" i="23" s="1"/>
  <c r="L4929" i="23"/>
  <c r="M4929" i="23" a="1"/>
  <c r="M4929" i="23" s="1"/>
  <c r="N4929" i="23" s="1"/>
  <c r="L4913" i="23" l="1"/>
  <c r="M4913" i="23" a="1"/>
  <c r="M4913" i="23" s="1"/>
  <c r="N4913" i="23" s="1"/>
  <c r="L4906" i="23"/>
  <c r="M4906" i="23" a="1"/>
  <c r="M4906" i="23" s="1"/>
  <c r="N4906" i="23" s="1"/>
  <c r="L4690" i="23"/>
  <c r="M4690" i="23" a="1"/>
  <c r="M4690" i="23" s="1"/>
  <c r="N4690" i="23" s="1"/>
  <c r="L4687" i="23"/>
  <c r="M4687" i="23" a="1"/>
  <c r="M4687" i="23" s="1"/>
  <c r="N4687" i="23" s="1"/>
  <c r="L4879" i="23" l="1"/>
  <c r="M4879" i="23" a="1"/>
  <c r="M4879" i="23" s="1"/>
  <c r="N4879" i="23" s="1"/>
  <c r="L4862" i="23"/>
  <c r="M4862" i="23" a="1"/>
  <c r="M4862" i="23" s="1"/>
  <c r="N4862" i="23" s="1"/>
  <c r="L4820" i="23"/>
  <c r="M4820" i="23" a="1"/>
  <c r="M4820" i="23" s="1"/>
  <c r="N4820" i="23" s="1"/>
  <c r="L4810" i="23"/>
  <c r="M4810" i="23" a="1"/>
  <c r="M4810" i="23" s="1"/>
  <c r="N4810" i="23" s="1"/>
  <c r="L4808" i="23"/>
  <c r="M4808" i="23" a="1"/>
  <c r="M4808" i="23" s="1"/>
  <c r="N4808" i="23" s="1"/>
  <c r="L4945" i="23"/>
  <c r="M4945" i="23" a="1"/>
  <c r="M4945" i="23" s="1"/>
  <c r="N4945" i="23" s="1"/>
  <c r="L4944" i="23"/>
  <c r="M4944" i="23" a="1"/>
  <c r="M4944" i="23" s="1"/>
  <c r="N4944" i="23" s="1"/>
  <c r="L4943" i="23"/>
  <c r="M4943" i="23" a="1"/>
  <c r="M4943" i="23" s="1"/>
  <c r="N4943" i="23" s="1"/>
  <c r="L4921" i="23"/>
  <c r="M4921" i="23" a="1"/>
  <c r="M4921" i="23" s="1"/>
  <c r="N4921" i="23" s="1"/>
  <c r="L4884" i="23"/>
  <c r="M4884" i="23" a="1"/>
  <c r="M4884" i="23" s="1"/>
  <c r="N4884" i="23" s="1"/>
  <c r="L4873" i="23"/>
  <c r="M4873" i="23" a="1"/>
  <c r="M4873" i="23" s="1"/>
  <c r="N4873" i="23" s="1"/>
  <c r="L4903" i="23"/>
  <c r="M4903" i="23" a="1"/>
  <c r="M4903" i="23" s="1"/>
  <c r="N4903" i="23" s="1"/>
  <c r="L4922" i="23"/>
  <c r="M4922" i="23" a="1"/>
  <c r="M4922" i="23" s="1"/>
  <c r="N4922" i="23" s="1"/>
  <c r="L4947" i="23"/>
  <c r="M4947" i="23" a="1"/>
  <c r="M4947" i="23" s="1"/>
  <c r="N4947" i="23" s="1"/>
  <c r="L4893" i="23"/>
  <c r="M4893" i="23" a="1"/>
  <c r="M4893" i="23" s="1"/>
  <c r="N4893" i="23" s="1"/>
  <c r="L4798" i="23"/>
  <c r="M4798" i="23" a="1"/>
  <c r="M4798" i="23" s="1"/>
  <c r="N4798" i="23" s="1"/>
  <c r="M4387" i="23" l="1"/>
  <c r="M4381" i="23"/>
  <c r="M4321" i="23"/>
  <c r="M4981" i="23" l="1"/>
  <c r="N4981" i="23" s="1"/>
  <c r="M4974" i="23"/>
  <c r="N4974" i="23" s="1"/>
  <c r="M4954" i="23"/>
  <c r="N4954" i="23" s="1"/>
  <c r="M4953" i="23"/>
  <c r="N4953" i="23" s="1"/>
  <c r="M4949" i="23"/>
  <c r="N4949" i="23" s="1"/>
  <c r="M4937" i="23"/>
  <c r="N4937" i="23" s="1"/>
  <c r="M4933" i="23"/>
  <c r="N4933" i="23" s="1"/>
  <c r="M4931" i="23"/>
  <c r="N4931" i="23" s="1"/>
  <c r="M4925" i="23"/>
  <c r="N4925" i="23" s="1"/>
  <c r="M4927" i="23"/>
  <c r="N4927" i="23" s="1"/>
  <c r="M4926" i="23"/>
  <c r="N4926" i="23" s="1"/>
  <c r="M4919" i="23"/>
  <c r="N4919" i="23" s="1"/>
  <c r="M4910" i="23"/>
  <c r="N4910" i="23" s="1"/>
  <c r="M4909" i="23"/>
  <c r="N4909" i="23" s="1"/>
  <c r="M4920" i="23"/>
  <c r="N4920" i="23" s="1"/>
  <c r="M4917" i="23"/>
  <c r="N4917" i="23" s="1"/>
  <c r="M4918" i="23"/>
  <c r="N4918" i="23" s="1"/>
  <c r="M4904" i="23"/>
  <c r="N4904" i="23" s="1"/>
  <c r="M4905" i="23"/>
  <c r="N4905" i="23" s="1"/>
  <c r="M4907" i="23"/>
  <c r="N4907" i="23" s="1"/>
  <c r="M4897" i="23"/>
  <c r="N4897" i="23" s="1"/>
  <c r="M4902" i="23"/>
  <c r="N4902" i="23" s="1"/>
  <c r="M4900" i="23"/>
  <c r="N4900" i="23" s="1"/>
  <c r="M4901" i="23"/>
  <c r="N4901" i="23" s="1"/>
  <c r="M4899" i="23"/>
  <c r="N4899" i="23" s="1"/>
  <c r="M4896" i="23"/>
  <c r="N4896" i="23" s="1"/>
  <c r="M4887" i="23"/>
  <c r="N4887" i="23" s="1"/>
  <c r="M4889" i="23"/>
  <c r="N4889" i="23" s="1"/>
  <c r="M4888" i="23"/>
  <c r="N4888" i="23" s="1"/>
  <c r="M4885" i="23"/>
  <c r="N4885" i="23" s="1"/>
  <c r="M4892" i="23"/>
  <c r="N4892" i="23" s="1"/>
  <c r="M4891" i="23"/>
  <c r="N4891" i="23" s="1"/>
  <c r="M4886" i="23"/>
  <c r="N4886" i="23" s="1"/>
  <c r="M4883" i="23"/>
  <c r="N4883" i="23" s="1"/>
  <c r="M4882" i="23"/>
  <c r="N4882" i="23" s="1"/>
  <c r="M4880" i="23"/>
  <c r="N4880" i="23" s="1"/>
  <c r="M4881" i="23"/>
  <c r="N4881" i="23" s="1"/>
  <c r="M4877" i="23"/>
  <c r="N4877" i="23" s="1"/>
  <c r="M4878" i="23"/>
  <c r="N4878" i="23" s="1"/>
  <c r="M4876" i="23"/>
  <c r="N4876" i="23" s="1"/>
  <c r="M4874" i="23"/>
  <c r="N4874" i="23" s="1"/>
  <c r="M4870" i="23"/>
  <c r="N4870" i="23" s="1"/>
  <c r="M4869" i="23"/>
  <c r="N4869" i="23" s="1"/>
  <c r="M4872" i="23"/>
  <c r="N4872" i="23" s="1"/>
  <c r="M4871" i="23"/>
  <c r="N4871" i="23" s="1"/>
  <c r="M4865" i="23"/>
  <c r="N4865" i="23" s="1"/>
  <c r="M4863" i="23"/>
  <c r="N4863" i="23" s="1"/>
  <c r="M4861" i="23"/>
  <c r="N4861" i="23" s="1"/>
  <c r="M4866" i="23"/>
  <c r="N4866" i="23" s="1"/>
  <c r="M4859" i="23"/>
  <c r="N4859" i="23" s="1"/>
  <c r="M4867" i="23"/>
  <c r="N4867" i="23" s="1"/>
  <c r="M4868" i="23"/>
  <c r="N4868" i="23" s="1"/>
  <c r="M4854" i="23"/>
  <c r="N4854" i="23" s="1"/>
  <c r="M4858" i="23"/>
  <c r="N4858" i="23" s="1"/>
  <c r="M4857" i="23"/>
  <c r="N4857" i="23" s="1"/>
  <c r="M4855" i="23"/>
  <c r="N4855" i="23" s="1"/>
  <c r="M4452" i="23"/>
  <c r="N4452" i="23" s="1"/>
  <c r="M4853" i="23"/>
  <c r="N4853" i="23" s="1"/>
  <c r="M4852" i="23"/>
  <c r="N4852" i="23" s="1"/>
  <c r="M4847" i="23"/>
  <c r="N4847" i="23" s="1"/>
  <c r="M4848" i="23"/>
  <c r="N4848" i="23" s="1"/>
  <c r="M4849" i="23"/>
  <c r="N4849" i="23" s="1"/>
  <c r="M4851" i="23"/>
  <c r="N4851" i="23" s="1"/>
  <c r="M4850" i="23"/>
  <c r="N4850" i="23" s="1"/>
  <c r="M4838" i="23"/>
  <c r="N4838" i="23" s="1"/>
  <c r="M4835" i="23"/>
  <c r="N4835" i="23" s="1"/>
  <c r="M4834" i="23"/>
  <c r="N4834" i="23" s="1"/>
  <c r="M4841" i="23"/>
  <c r="N4841" i="23" s="1"/>
  <c r="M4840" i="23"/>
  <c r="N4840" i="23" s="1"/>
  <c r="M4836" i="23"/>
  <c r="N4836" i="23" s="1"/>
  <c r="M4846" i="23"/>
  <c r="N4846" i="23" s="1"/>
  <c r="M4845" i="23"/>
  <c r="N4845" i="23" s="1"/>
  <c r="M4844" i="23"/>
  <c r="N4844" i="23" s="1"/>
  <c r="M4843" i="23"/>
  <c r="N4843" i="23" s="1"/>
  <c r="M4839" i="23"/>
  <c r="N4839" i="23" s="1"/>
  <c r="M4837" i="23"/>
  <c r="N4837" i="23" s="1"/>
  <c r="M4842" i="23"/>
  <c r="N4842" i="23" s="1"/>
  <c r="M4821" i="23"/>
  <c r="N4821" i="23" s="1"/>
  <c r="M4827" i="23"/>
  <c r="N4827" i="23" s="1"/>
  <c r="M4826" i="23"/>
  <c r="N4826" i="23" s="1"/>
  <c r="M4825" i="23"/>
  <c r="N4825" i="23" s="1"/>
  <c r="M4828" i="23"/>
  <c r="N4828" i="23" s="1"/>
  <c r="M4831" i="23"/>
  <c r="N4831" i="23" s="1"/>
  <c r="M4832" i="23"/>
  <c r="N4832" i="23" s="1"/>
  <c r="M4830" i="23"/>
  <c r="N4830" i="23" s="1"/>
  <c r="M4822" i="23"/>
  <c r="N4822" i="23" s="1"/>
  <c r="M4833" i="23"/>
  <c r="N4833" i="23" s="1"/>
  <c r="M4829" i="23"/>
  <c r="N4829" i="23" s="1"/>
  <c r="M4824" i="23"/>
  <c r="N4824" i="23" s="1"/>
  <c r="M4823" i="23"/>
  <c r="N4823" i="23" s="1"/>
  <c r="M4815" i="23"/>
  <c r="N4815" i="23" s="1"/>
  <c r="M4817" i="23"/>
  <c r="N4817" i="23" s="1"/>
  <c r="M4819" i="23"/>
  <c r="N4819" i="23" s="1"/>
  <c r="M4818" i="23"/>
  <c r="N4818" i="23" s="1"/>
  <c r="M4816" i="23"/>
  <c r="N4816" i="23" s="1"/>
  <c r="M4806" i="23"/>
  <c r="N4806" i="23" s="1"/>
  <c r="M4807" i="23"/>
  <c r="N4807" i="23" s="1"/>
  <c r="M4814" i="23"/>
  <c r="N4814" i="23" s="1"/>
  <c r="M4813" i="23"/>
  <c r="N4813" i="23" s="1"/>
  <c r="M4812" i="23"/>
  <c r="N4812" i="23" s="1"/>
  <c r="M4811" i="23"/>
  <c r="N4811" i="23" s="1"/>
  <c r="M4809" i="23"/>
  <c r="N4809" i="23" s="1"/>
  <c r="M4804" i="23"/>
  <c r="N4804" i="23" s="1"/>
  <c r="M4805" i="23"/>
  <c r="N4805" i="23" s="1"/>
  <c r="M4803" i="23"/>
  <c r="N4803" i="23" s="1"/>
  <c r="M4800" i="23"/>
  <c r="N4800" i="23" s="1"/>
  <c r="M4799" i="23"/>
  <c r="N4799" i="23" s="1"/>
  <c r="M4801" i="23"/>
  <c r="N4801" i="23" s="1"/>
  <c r="M4802" i="23"/>
  <c r="N4802" i="23" s="1"/>
  <c r="M4789" i="23"/>
  <c r="N4789" i="23" s="1"/>
  <c r="M4788" i="23"/>
  <c r="N4788" i="23" s="1"/>
  <c r="M4791" i="23"/>
  <c r="N4791" i="23" s="1"/>
  <c r="M4790" i="23"/>
  <c r="N4790" i="23" s="1"/>
  <c r="M4787" i="23"/>
  <c r="N4787" i="23" s="1"/>
  <c r="M4786" i="23"/>
  <c r="N4786" i="23" s="1"/>
  <c r="M4797" i="23"/>
  <c r="N4797" i="23" s="1"/>
  <c r="M4795" i="23"/>
  <c r="N4795" i="23" s="1"/>
  <c r="M4792" i="23"/>
  <c r="N4792" i="23" s="1"/>
  <c r="M4794" i="23"/>
  <c r="N4794" i="23" s="1"/>
  <c r="M4796" i="23"/>
  <c r="N4796" i="23" s="1"/>
  <c r="M4793" i="23"/>
  <c r="N4793" i="23" s="1"/>
  <c r="M4781" i="23"/>
  <c r="N4781" i="23" s="1"/>
  <c r="M4780" i="23"/>
  <c r="N4780" i="23" s="1"/>
  <c r="M4784" i="23"/>
  <c r="N4784" i="23" s="1"/>
  <c r="M4779" i="23"/>
  <c r="N4779" i="23" s="1"/>
  <c r="M4776" i="23"/>
  <c r="N4776" i="23" s="1"/>
  <c r="M4775" i="23"/>
  <c r="N4775" i="23" s="1"/>
  <c r="M4785" i="23"/>
  <c r="N4785" i="23" s="1"/>
  <c r="M4777" i="23"/>
  <c r="N4777" i="23" s="1"/>
  <c r="M4783" i="23"/>
  <c r="N4783" i="23" s="1"/>
  <c r="M4782" i="23"/>
  <c r="N4782" i="23" s="1"/>
  <c r="M4778" i="23"/>
  <c r="N4778" i="23" s="1"/>
  <c r="M4774" i="23"/>
  <c r="N4774" i="23" s="1"/>
  <c r="M4773" i="23"/>
  <c r="N4773" i="23" s="1"/>
  <c r="M4772" i="23"/>
  <c r="N4772" i="23" s="1"/>
  <c r="M4768" i="23"/>
  <c r="N4768" i="23" s="1"/>
  <c r="M4771" i="23"/>
  <c r="N4771" i="23" s="1"/>
  <c r="M4769" i="23"/>
  <c r="N4769" i="23" s="1"/>
  <c r="M4770" i="23"/>
  <c r="N4770" i="23" s="1"/>
  <c r="M4765" i="23"/>
  <c r="N4765" i="23" s="1"/>
  <c r="M4764" i="23"/>
  <c r="N4764" i="23" s="1"/>
  <c r="M4767" i="23"/>
  <c r="N4767" i="23" s="1"/>
  <c r="M4766" i="23"/>
  <c r="N4766" i="23" s="1"/>
  <c r="M4762" i="23"/>
  <c r="N4762" i="23" s="1"/>
  <c r="M4763" i="23"/>
  <c r="N4763" i="23" s="1"/>
  <c r="M4761" i="23"/>
  <c r="N4761" i="23" s="1"/>
  <c r="M4760" i="23"/>
  <c r="N4760" i="23" s="1"/>
  <c r="M4758" i="23"/>
  <c r="N4758" i="23" s="1"/>
  <c r="M4755" i="23"/>
  <c r="N4755" i="23" s="1"/>
  <c r="M4759" i="23"/>
  <c r="N4759" i="23" s="1"/>
  <c r="M4756" i="23"/>
  <c r="N4756" i="23" s="1"/>
  <c r="M4748" i="23"/>
  <c r="N4748" i="23" s="1"/>
  <c r="M4747" i="23"/>
  <c r="N4747" i="23" s="1"/>
  <c r="M4753" i="23"/>
  <c r="N4753" i="23" s="1"/>
  <c r="M4751" i="23"/>
  <c r="N4751" i="23" s="1"/>
  <c r="M4749" i="23"/>
  <c r="N4749" i="23" s="1"/>
  <c r="M4745" i="23"/>
  <c r="N4745" i="23" s="1"/>
  <c r="M4752" i="23"/>
  <c r="N4752" i="23" s="1"/>
  <c r="M4746" i="23"/>
  <c r="N4746" i="23" s="1"/>
  <c r="M4750" i="23"/>
  <c r="N4750" i="23" s="1"/>
  <c r="M4736" i="23"/>
  <c r="N4736" i="23" s="1"/>
  <c r="M4737" i="23"/>
  <c r="N4737" i="23" s="1"/>
  <c r="M4743" i="23"/>
  <c r="N4743" i="23" s="1"/>
  <c r="M4739" i="23"/>
  <c r="N4739" i="23" s="1"/>
  <c r="M4738" i="23"/>
  <c r="N4738" i="23" s="1"/>
  <c r="M4744" i="23"/>
  <c r="N4744" i="23" s="1"/>
  <c r="M4741" i="23"/>
  <c r="N4741" i="23" s="1"/>
  <c r="M4740" i="23"/>
  <c r="N4740" i="23" s="1"/>
  <c r="M4742" i="23"/>
  <c r="N4742" i="23" s="1"/>
  <c r="M4732" i="23"/>
  <c r="N4732" i="23" s="1"/>
  <c r="M4734" i="23"/>
  <c r="N4734" i="23" s="1"/>
  <c r="M4733" i="23"/>
  <c r="N4733" i="23" s="1"/>
  <c r="M4735" i="23"/>
  <c r="N4735" i="23" s="1"/>
  <c r="M4726" i="23"/>
  <c r="N4726" i="23" s="1"/>
  <c r="M4731" i="23"/>
  <c r="N4731" i="23" s="1"/>
  <c r="M4723" i="23"/>
  <c r="N4723" i="23" s="1"/>
  <c r="M4730" i="23"/>
  <c r="N4730" i="23" s="1"/>
  <c r="M4727" i="23"/>
  <c r="N4727" i="23" s="1"/>
  <c r="M4728" i="23"/>
  <c r="N4728" i="23" s="1"/>
  <c r="M4729" i="23"/>
  <c r="N4729" i="23" s="1"/>
  <c r="M4725" i="23"/>
  <c r="N4725" i="23" s="1"/>
  <c r="M4724" i="23"/>
  <c r="N4724" i="23" s="1"/>
  <c r="M4722" i="23"/>
  <c r="N4722" i="23" s="1"/>
  <c r="M4720" i="23"/>
  <c r="N4720" i="23" s="1"/>
  <c r="M4719" i="23"/>
  <c r="N4719" i="23" s="1"/>
  <c r="M4721" i="23"/>
  <c r="N4721" i="23" s="1"/>
  <c r="M4718" i="23"/>
  <c r="N4718" i="23" s="1"/>
  <c r="M4717" i="23"/>
  <c r="N4717" i="23" s="1"/>
  <c r="M4714" i="23"/>
  <c r="N4714" i="23" s="1"/>
  <c r="M4715" i="23"/>
  <c r="N4715" i="23" s="1"/>
  <c r="M4716" i="23"/>
  <c r="N4716" i="23" s="1"/>
  <c r="M4713" i="23"/>
  <c r="N4713" i="23" s="1"/>
  <c r="M4712" i="23"/>
  <c r="N4712" i="23" s="1"/>
  <c r="M4710" i="23"/>
  <c r="N4710" i="23" s="1"/>
  <c r="M4705" i="23"/>
  <c r="N4705" i="23" s="1"/>
  <c r="M4704" i="23"/>
  <c r="N4704" i="23" s="1"/>
  <c r="M4708" i="23"/>
  <c r="N4708" i="23" s="1"/>
  <c r="M4711" i="23"/>
  <c r="N4711" i="23" s="1"/>
  <c r="M4707" i="23"/>
  <c r="N4707" i="23" s="1"/>
  <c r="M4709" i="23"/>
  <c r="N4709" i="23" s="1"/>
  <c r="M4706" i="23"/>
  <c r="N4706" i="23" s="1"/>
  <c r="M4693" i="23"/>
  <c r="N4693" i="23" s="1"/>
  <c r="M4698" i="23"/>
  <c r="N4698" i="23" s="1"/>
  <c r="M4700" i="23"/>
  <c r="N4700" i="23" s="1"/>
  <c r="M4691" i="23"/>
  <c r="N4691" i="23" s="1"/>
  <c r="M4699" i="23"/>
  <c r="N4699" i="23" s="1"/>
  <c r="M4701" i="23"/>
  <c r="N4701" i="23" s="1"/>
  <c r="M4702" i="23"/>
  <c r="N4702" i="23" s="1"/>
  <c r="M4697" i="23"/>
  <c r="N4697" i="23" s="1"/>
  <c r="M4692" i="23"/>
  <c r="N4692" i="23" s="1"/>
  <c r="M4694" i="23"/>
  <c r="N4694" i="23" s="1"/>
  <c r="M4696" i="23"/>
  <c r="N4696" i="23" s="1"/>
  <c r="M4695" i="23"/>
  <c r="N4695" i="23" s="1"/>
  <c r="M4703" i="23"/>
  <c r="N4703" i="23" s="1"/>
  <c r="M4686" i="23"/>
  <c r="N4686" i="23" s="1"/>
  <c r="M4689" i="23"/>
  <c r="N4689" i="23" s="1"/>
  <c r="M4688" i="23"/>
  <c r="N4688" i="23" s="1"/>
  <c r="M4685" i="23"/>
  <c r="N4685" i="23" s="1"/>
  <c r="M4683" i="23"/>
  <c r="N4683" i="23" s="1"/>
  <c r="M4684" i="23"/>
  <c r="N4684" i="23" s="1"/>
  <c r="M4681" i="23"/>
  <c r="N4681" i="23" s="1"/>
  <c r="M4682" i="23"/>
  <c r="N4682" i="23" s="1"/>
  <c r="M4679" i="23"/>
  <c r="N4679" i="23" s="1"/>
  <c r="M4680" i="23"/>
  <c r="N4680" i="23" s="1"/>
  <c r="M4677" i="23"/>
  <c r="N4677" i="23" s="1"/>
  <c r="M4678" i="23"/>
  <c r="N4678" i="23" s="1"/>
  <c r="M4671" i="23"/>
  <c r="N4671" i="23" s="1"/>
  <c r="M4669" i="23"/>
  <c r="N4669" i="23" s="1"/>
  <c r="M4670" i="23"/>
  <c r="N4670" i="23" s="1"/>
  <c r="M4672" i="23"/>
  <c r="N4672" i="23" s="1"/>
  <c r="M4676" i="23"/>
  <c r="N4676" i="23" s="1"/>
  <c r="M4675" i="23"/>
  <c r="N4675" i="23" s="1"/>
  <c r="M4673" i="23"/>
  <c r="N4673" i="23" s="1"/>
  <c r="M4674" i="23"/>
  <c r="N4674" i="23" s="1"/>
  <c r="M4668" i="23"/>
  <c r="N4668" i="23" s="1"/>
  <c r="M4665" i="23"/>
  <c r="N4665" i="23" s="1"/>
  <c r="M4662" i="23"/>
  <c r="N4662" i="23" s="1"/>
  <c r="M4661" i="23"/>
  <c r="N4661" i="23" s="1"/>
  <c r="M4663" i="23"/>
  <c r="N4663" i="23" s="1"/>
  <c r="M4666" i="23"/>
  <c r="N4666" i="23" s="1"/>
  <c r="M4664" i="23"/>
  <c r="N4664" i="23" s="1"/>
  <c r="M4667" i="23"/>
  <c r="N4667" i="23" s="1"/>
  <c r="M4660" i="23"/>
  <c r="N4660" i="23" s="1"/>
  <c r="M4659" i="23"/>
  <c r="N4659" i="23" s="1"/>
  <c r="M4654" i="23"/>
  <c r="N4654" i="23" s="1"/>
  <c r="M4652" i="23"/>
  <c r="N4652" i="23" s="1"/>
  <c r="M4656" i="23"/>
  <c r="N4656" i="23" s="1"/>
  <c r="M4658" i="23"/>
  <c r="N4658" i="23" s="1"/>
  <c r="M4655" i="23"/>
  <c r="N4655" i="23" s="1"/>
  <c r="M4653" i="23"/>
  <c r="N4653" i="23" s="1"/>
  <c r="M4657" i="23"/>
  <c r="N4657" i="23" s="1"/>
  <c r="M4651" i="23"/>
  <c r="N4651" i="23" s="1"/>
  <c r="M4650" i="23"/>
  <c r="N4650" i="23" s="1"/>
  <c r="M4641" i="23"/>
  <c r="N4641" i="23" s="1"/>
  <c r="M4648" i="23"/>
  <c r="N4648" i="23" s="1"/>
  <c r="M4647" i="23"/>
  <c r="N4647" i="23" s="1"/>
  <c r="M4639" i="23"/>
  <c r="N4639" i="23" s="1"/>
  <c r="M4638" i="23"/>
  <c r="N4638" i="23" s="1"/>
  <c r="M4643" i="23"/>
  <c r="N4643" i="23" s="1"/>
  <c r="M4645" i="23"/>
  <c r="N4645" i="23" s="1"/>
  <c r="M4636" i="23"/>
  <c r="N4636" i="23" s="1"/>
  <c r="M4644" i="23"/>
  <c r="N4644" i="23" s="1"/>
  <c r="M4640" i="23"/>
  <c r="N4640" i="23" s="1"/>
  <c r="M4649" i="23"/>
  <c r="N4649" i="23" s="1"/>
  <c r="M4637" i="23"/>
  <c r="N4637" i="23" s="1"/>
  <c r="M4646" i="23"/>
  <c r="N4646" i="23" s="1"/>
  <c r="M4642" i="23"/>
  <c r="N4642" i="23" s="1"/>
  <c r="M4633" i="23"/>
  <c r="N4633" i="23" s="1"/>
  <c r="M4631" i="23"/>
  <c r="N4631" i="23" s="1"/>
  <c r="M4628" i="23"/>
  <c r="N4628" i="23" s="1"/>
  <c r="M4635" i="23"/>
  <c r="N4635" i="23" s="1"/>
  <c r="M4629" i="23"/>
  <c r="N4629" i="23" s="1"/>
  <c r="M4632" i="23"/>
  <c r="N4632" i="23" s="1"/>
  <c r="M4634" i="23"/>
  <c r="N4634" i="23" s="1"/>
  <c r="M4627" i="23"/>
  <c r="N4627" i="23" s="1"/>
  <c r="M4630" i="23"/>
  <c r="N4630" i="23" s="1"/>
  <c r="M4626" i="23"/>
  <c r="N4626" i="23" s="1"/>
  <c r="M4625" i="23"/>
  <c r="N4625" i="23" s="1"/>
  <c r="M4622" i="23"/>
  <c r="N4622" i="23" s="1"/>
  <c r="M4621" i="23"/>
  <c r="N4621" i="23" s="1"/>
  <c r="M4624" i="23"/>
  <c r="N4624" i="23" s="1"/>
  <c r="M4623" i="23"/>
  <c r="N4623" i="23" s="1"/>
  <c r="M4620" i="23"/>
  <c r="N4620" i="23" s="1"/>
  <c r="M4610" i="23"/>
  <c r="N4610" i="23" s="1"/>
  <c r="M4616" i="23"/>
  <c r="N4616" i="23" s="1"/>
  <c r="M4614" i="23"/>
  <c r="N4614" i="23" s="1"/>
  <c r="M4619" i="23"/>
  <c r="N4619" i="23" s="1"/>
  <c r="M4618" i="23"/>
  <c r="N4618" i="23" s="1"/>
  <c r="M4612" i="23"/>
  <c r="N4612" i="23" s="1"/>
  <c r="M4609" i="23"/>
  <c r="N4609" i="23" s="1"/>
  <c r="M4615" i="23"/>
  <c r="N4615" i="23" s="1"/>
  <c r="M4613" i="23"/>
  <c r="N4613" i="23" s="1"/>
  <c r="M4611" i="23"/>
  <c r="N4611" i="23" s="1"/>
  <c r="M4608" i="23"/>
  <c r="N4608" i="23" s="1"/>
  <c r="M4607" i="23"/>
  <c r="N4607" i="23" s="1"/>
  <c r="M4605" i="23"/>
  <c r="N4605" i="23" s="1"/>
  <c r="M4606" i="23"/>
  <c r="N4606" i="23" s="1"/>
  <c r="M4604" i="23"/>
  <c r="N4604" i="23" s="1"/>
  <c r="M4601" i="23"/>
  <c r="N4601" i="23" s="1"/>
  <c r="M4602" i="23"/>
  <c r="N4602" i="23" s="1"/>
  <c r="M4603" i="23"/>
  <c r="N4603" i="23" s="1"/>
  <c r="M4595" i="23"/>
  <c r="N4595" i="23" s="1"/>
  <c r="M4599" i="23"/>
  <c r="N4599" i="23" s="1"/>
  <c r="M4596" i="23"/>
  <c r="N4596" i="23" s="1"/>
  <c r="M4597" i="23"/>
  <c r="N4597" i="23" s="1"/>
  <c r="M4598" i="23"/>
  <c r="N4598" i="23" s="1"/>
  <c r="M4600" i="23"/>
  <c r="N4600" i="23" s="1"/>
  <c r="M4586" i="23"/>
  <c r="N4586" i="23" s="1"/>
  <c r="M4593" i="23"/>
  <c r="N4593" i="23" s="1"/>
  <c r="M4591" i="23"/>
  <c r="N4591" i="23" s="1"/>
  <c r="M4592" i="23"/>
  <c r="N4592" i="23" s="1"/>
  <c r="M4589" i="23"/>
  <c r="N4589" i="23" s="1"/>
  <c r="M4594" i="23"/>
  <c r="N4594" i="23" s="1"/>
  <c r="M4587" i="23"/>
  <c r="N4587" i="23" s="1"/>
  <c r="M4588" i="23"/>
  <c r="N4588" i="23" s="1"/>
  <c r="M4590" i="23"/>
  <c r="N4590" i="23" s="1"/>
  <c r="M4581" i="23"/>
  <c r="N4581" i="23" s="1"/>
  <c r="M4579" i="23"/>
  <c r="N4579" i="23" s="1"/>
  <c r="M4582" i="23"/>
  <c r="N4582" i="23" s="1"/>
  <c r="M4584" i="23"/>
  <c r="N4584" i="23" s="1"/>
  <c r="M4580" i="23"/>
  <c r="N4580" i="23" s="1"/>
  <c r="M4583" i="23"/>
  <c r="N4583" i="23" s="1"/>
  <c r="M4585" i="23"/>
  <c r="N4585" i="23" s="1"/>
  <c r="M4578" i="23"/>
  <c r="N4578" i="23" s="1"/>
  <c r="M4576" i="23"/>
  <c r="N4576" i="23" s="1"/>
  <c r="M4575" i="23"/>
  <c r="N4575" i="23" s="1"/>
  <c r="M4577" i="23"/>
  <c r="N4577" i="23" s="1"/>
  <c r="M4572" i="23"/>
  <c r="N4572" i="23" s="1"/>
  <c r="M4573" i="23"/>
  <c r="N4573" i="23" s="1"/>
  <c r="M4574" i="23"/>
  <c r="N4574" i="23" s="1"/>
  <c r="M4570" i="23"/>
  <c r="N4570" i="23" s="1"/>
  <c r="M4569" i="23"/>
  <c r="N4569" i="23" s="1"/>
  <c r="M4571" i="23"/>
  <c r="N4571" i="23" s="1"/>
  <c r="M4563" i="23"/>
  <c r="N4563" i="23" s="1"/>
  <c r="M4567" i="23"/>
  <c r="N4567" i="23" s="1"/>
  <c r="M4568" i="23"/>
  <c r="N4568" i="23" s="1"/>
  <c r="M4566" i="23"/>
  <c r="N4566" i="23" s="1"/>
  <c r="M4562" i="23"/>
  <c r="N4562" i="23" s="1"/>
  <c r="M4565" i="23"/>
  <c r="N4565" i="23" s="1"/>
  <c r="M4564" i="23"/>
  <c r="N4564" i="23" s="1"/>
  <c r="M4556" i="23"/>
  <c r="N4556" i="23" s="1"/>
  <c r="M4558" i="23"/>
  <c r="N4558" i="23" s="1"/>
  <c r="M4559" i="23"/>
  <c r="N4559" i="23" s="1"/>
  <c r="M4561" i="23"/>
  <c r="N4561" i="23" s="1"/>
  <c r="M4557" i="23"/>
  <c r="N4557" i="23" s="1"/>
  <c r="M4555" i="23"/>
  <c r="N4555" i="23" s="1"/>
  <c r="M4560" i="23"/>
  <c r="N4560" i="23" s="1"/>
  <c r="M4553" i="23"/>
  <c r="N4553" i="23" s="1"/>
  <c r="M4554" i="23"/>
  <c r="N4554" i="23" s="1"/>
  <c r="M4548" i="23"/>
  <c r="N4548" i="23" s="1"/>
  <c r="M4549" i="23"/>
  <c r="N4549" i="23" s="1"/>
  <c r="M4547" i="23"/>
  <c r="N4547" i="23" s="1"/>
  <c r="M4552" i="23"/>
  <c r="N4552" i="23" s="1"/>
  <c r="M4551" i="23"/>
  <c r="N4551" i="23" s="1"/>
  <c r="M4550" i="23"/>
  <c r="N4550" i="23" s="1"/>
  <c r="M4541" i="23"/>
  <c r="N4541" i="23" s="1"/>
  <c r="M4544" i="23"/>
  <c r="N4544" i="23" s="1"/>
  <c r="M4540" i="23"/>
  <c r="N4540" i="23" s="1"/>
  <c r="M4545" i="23"/>
  <c r="N4545" i="23" s="1"/>
  <c r="M4546" i="23"/>
  <c r="N4546" i="23" s="1"/>
  <c r="M4543" i="23"/>
  <c r="N4543" i="23" s="1"/>
  <c r="M4542" i="23"/>
  <c r="N4542" i="23" s="1"/>
  <c r="M4539" i="23"/>
  <c r="N4539" i="23" s="1"/>
  <c r="M4536" i="23"/>
  <c r="N4536" i="23" s="1"/>
  <c r="M4535" i="23"/>
  <c r="N4535" i="23" s="1"/>
  <c r="M4538" i="23"/>
  <c r="N4538" i="23" s="1"/>
  <c r="M4537" i="23"/>
  <c r="N4537" i="23" s="1"/>
  <c r="M4534" i="23"/>
  <c r="N4534" i="23" s="1"/>
  <c r="M4533" i="23"/>
  <c r="N4533" i="23" s="1"/>
  <c r="M4532" i="23"/>
  <c r="N4532" i="23" s="1"/>
  <c r="M4531" i="23"/>
  <c r="N4531" i="23" s="1"/>
  <c r="M4529" i="23"/>
  <c r="N4529" i="23" s="1"/>
  <c r="M4526" i="23"/>
  <c r="N4526" i="23" s="1"/>
  <c r="M4525" i="23"/>
  <c r="N4525" i="23" s="1"/>
  <c r="M4530" i="23"/>
  <c r="N4530" i="23" s="1"/>
  <c r="M4528" i="23"/>
  <c r="N4528" i="23" s="1"/>
  <c r="M4524" i="23"/>
  <c r="N4524" i="23" s="1"/>
  <c r="M4527" i="23"/>
  <c r="N4527" i="23" s="1"/>
  <c r="M4521" i="23"/>
  <c r="N4521" i="23" s="1"/>
  <c r="M4523" i="23"/>
  <c r="N4523" i="23" s="1"/>
  <c r="M4522" i="23"/>
  <c r="N4522" i="23" s="1"/>
  <c r="M4510" i="23"/>
  <c r="N4510" i="23" s="1"/>
  <c r="M4512" i="23"/>
  <c r="N4512" i="23" s="1"/>
  <c r="M4515" i="23"/>
  <c r="N4515" i="23" s="1"/>
  <c r="M4520" i="23"/>
  <c r="N4520" i="23" s="1"/>
  <c r="M4517" i="23"/>
  <c r="N4517" i="23" s="1"/>
  <c r="M4514" i="23"/>
  <c r="N4514" i="23" s="1"/>
  <c r="M4513" i="23"/>
  <c r="N4513" i="23" s="1"/>
  <c r="M4516" i="23"/>
  <c r="N4516" i="23" s="1"/>
  <c r="M4518" i="23"/>
  <c r="N4518" i="23" s="1"/>
  <c r="M4511" i="23"/>
  <c r="N4511" i="23" s="1"/>
  <c r="M4519" i="23"/>
  <c r="N4519" i="23" s="1"/>
  <c r="M4508" i="23"/>
  <c r="N4508" i="23" s="1"/>
  <c r="M4509" i="23"/>
  <c r="N4509" i="23" s="1"/>
  <c r="M4500" i="23"/>
  <c r="N4500" i="23" s="1"/>
  <c r="M4502" i="23"/>
  <c r="N4502" i="23" s="1"/>
  <c r="M4507" i="23"/>
  <c r="N4507" i="23" s="1"/>
  <c r="M4501" i="23"/>
  <c r="N4501" i="23" s="1"/>
  <c r="M4506" i="23"/>
  <c r="N4506" i="23" s="1"/>
  <c r="M4503" i="23"/>
  <c r="N4503" i="23" s="1"/>
  <c r="M4505" i="23"/>
  <c r="N4505" i="23" s="1"/>
  <c r="M4504" i="23"/>
  <c r="N4504" i="23" s="1"/>
  <c r="M4494" i="23"/>
  <c r="N4494" i="23" s="1"/>
  <c r="M4493" i="23"/>
  <c r="N4493" i="23" s="1"/>
  <c r="M4496" i="23"/>
  <c r="N4496" i="23" s="1"/>
  <c r="M4492" i="23"/>
  <c r="N4492" i="23" s="1"/>
  <c r="M4497" i="23"/>
  <c r="N4497" i="23" s="1"/>
  <c r="M4498" i="23"/>
  <c r="N4498" i="23" s="1"/>
  <c r="M4491" i="23"/>
  <c r="N4491" i="23" s="1"/>
  <c r="M4495" i="23"/>
  <c r="N4495" i="23" s="1"/>
  <c r="M4499" i="23"/>
  <c r="N4499" i="23" s="1"/>
  <c r="M4488" i="23"/>
  <c r="N4488" i="23" s="1"/>
  <c r="M4490" i="23"/>
  <c r="N4490" i="23" s="1"/>
  <c r="M4489" i="23"/>
  <c r="N4489" i="23" s="1"/>
  <c r="M4487" i="23"/>
  <c r="N4487" i="23" s="1"/>
  <c r="M4485" i="23"/>
  <c r="N4485" i="23" s="1"/>
  <c r="M4481" i="23"/>
  <c r="N4481" i="23" s="1"/>
  <c r="M4483" i="23"/>
  <c r="N4483" i="23" s="1"/>
  <c r="M4482" i="23"/>
  <c r="N4482" i="23" s="1"/>
  <c r="M4480" i="23"/>
  <c r="N4480" i="23" s="1"/>
  <c r="M4478" i="23"/>
  <c r="N4478" i="23" s="1"/>
  <c r="M4479" i="23"/>
  <c r="N4479" i="23" s="1"/>
  <c r="M4486" i="23"/>
  <c r="N4486" i="23" s="1"/>
  <c r="M4484" i="23"/>
  <c r="N4484" i="23" s="1"/>
  <c r="M4475" i="23"/>
  <c r="N4475" i="23" s="1"/>
  <c r="M4473" i="23"/>
  <c r="N4473" i="23" s="1"/>
  <c r="M4472" i="23"/>
  <c r="N4472" i="23" s="1"/>
  <c r="M4467" i="23"/>
  <c r="N4467" i="23" s="1"/>
  <c r="M4476" i="23"/>
  <c r="N4476" i="23" s="1"/>
  <c r="M4470" i="23"/>
  <c r="N4470" i="23" s="1"/>
  <c r="M4469" i="23"/>
  <c r="N4469" i="23" s="1"/>
  <c r="M4468" i="23"/>
  <c r="N4468" i="23" s="1"/>
  <c r="M4466" i="23"/>
  <c r="N4466" i="23" s="1"/>
  <c r="M4477" i="23"/>
  <c r="N4477" i="23" s="1"/>
  <c r="M4471" i="23"/>
  <c r="N4471" i="23" s="1"/>
  <c r="M4474" i="23"/>
  <c r="N4474" i="23" s="1"/>
  <c r="M4460" i="23"/>
  <c r="N4460" i="23" s="1"/>
  <c r="M4463" i="23"/>
  <c r="N4463" i="23" s="1"/>
  <c r="M4462" i="23"/>
  <c r="N4462" i="23" s="1"/>
  <c r="M4461" i="23"/>
  <c r="N4461" i="23" s="1"/>
  <c r="M4464" i="23"/>
  <c r="N4464" i="23" s="1"/>
  <c r="M4465" i="23"/>
  <c r="N4465" i="23" s="1"/>
  <c r="M4457" i="23"/>
  <c r="N4457" i="23" s="1"/>
  <c r="M4451" i="23"/>
  <c r="N4451" i="23" s="1"/>
  <c r="M4456" i="23"/>
  <c r="N4456" i="23" s="1"/>
  <c r="M4455" i="23"/>
  <c r="N4455" i="23" s="1"/>
  <c r="M4453" i="23"/>
  <c r="N4453" i="23" s="1"/>
  <c r="M4459" i="23"/>
  <c r="N4459" i="23" s="1"/>
  <c r="M4454" i="23"/>
  <c r="N4454" i="23" s="1"/>
  <c r="M4458" i="23"/>
  <c r="N4458" i="23" s="1"/>
  <c r="M4448" i="23"/>
  <c r="N4448" i="23" s="1"/>
  <c r="M4446" i="23"/>
  <c r="N4446" i="23" s="1"/>
  <c r="M4450" i="23"/>
  <c r="N4450" i="23" s="1"/>
  <c r="M4444" i="23"/>
  <c r="N4444" i="23" s="1"/>
  <c r="M4447" i="23"/>
  <c r="N4447" i="23" s="1"/>
  <c r="M4445" i="23"/>
  <c r="N4445" i="23" s="1"/>
  <c r="M4449" i="23"/>
  <c r="N4449" i="23" s="1"/>
  <c r="M4443" i="23"/>
  <c r="N4443" i="23" s="1"/>
  <c r="M4442" i="23"/>
  <c r="N4442" i="23" s="1"/>
  <c r="M4441" i="23"/>
  <c r="N4441" i="23" s="1"/>
  <c r="M4440" i="23"/>
  <c r="N4440" i="23" s="1"/>
  <c r="M4435" i="23"/>
  <c r="N4435" i="23" s="1"/>
  <c r="M4433" i="23"/>
  <c r="N4433" i="23" s="1"/>
  <c r="M4432" i="23"/>
  <c r="N4432" i="23" s="1"/>
  <c r="M4436" i="23"/>
  <c r="N4436" i="23" s="1"/>
  <c r="M4431" i="23"/>
  <c r="N4431" i="23" s="1"/>
  <c r="M4427" i="23"/>
  <c r="N4427" i="23" s="1"/>
  <c r="M4430" i="23"/>
  <c r="N4430" i="23" s="1"/>
  <c r="M4428" i="23"/>
  <c r="N4428" i="23" s="1"/>
  <c r="M4437" i="23"/>
  <c r="N4437" i="23" s="1"/>
  <c r="M4439" i="23"/>
  <c r="N4439" i="23" s="1"/>
  <c r="M4429" i="23"/>
  <c r="N4429" i="23" s="1"/>
  <c r="M4434" i="23"/>
  <c r="N4434" i="23" s="1"/>
  <c r="M4438" i="23"/>
  <c r="N4438" i="23" s="1"/>
  <c r="M4423" i="23"/>
  <c r="N4423" i="23" s="1"/>
  <c r="M4426" i="23"/>
  <c r="N4426" i="23" s="1"/>
  <c r="M4420" i="23"/>
  <c r="N4420" i="23" s="1"/>
  <c r="M4424" i="23"/>
  <c r="N4424" i="23" s="1"/>
  <c r="M4421" i="23"/>
  <c r="N4421" i="23" s="1"/>
  <c r="M4422" i="23"/>
  <c r="N4422" i="23" s="1"/>
  <c r="M4425" i="23"/>
  <c r="N4425" i="23" s="1"/>
  <c r="M4416" i="23"/>
  <c r="N4416" i="23" s="1"/>
  <c r="M4418" i="23"/>
  <c r="N4418" i="23" s="1"/>
  <c r="M4410" i="23"/>
  <c r="N4410" i="23" s="1"/>
  <c r="M4413" i="23"/>
  <c r="N4413" i="23" s="1"/>
  <c r="M4417" i="23"/>
  <c r="N4417" i="23" s="1"/>
  <c r="M4409" i="23"/>
  <c r="N4409" i="23" s="1"/>
  <c r="M4419" i="23"/>
  <c r="N4419" i="23" s="1"/>
  <c r="M4411" i="23"/>
  <c r="N4411" i="23" s="1"/>
  <c r="M4415" i="23"/>
  <c r="N4415" i="23" s="1"/>
  <c r="M4414" i="23"/>
  <c r="N4414" i="23" s="1"/>
  <c r="M4412" i="23"/>
  <c r="N4412" i="23" s="1"/>
  <c r="M4405" i="23"/>
  <c r="N4405" i="23" s="1"/>
  <c r="M4401" i="23"/>
  <c r="N4401" i="23" s="1"/>
  <c r="M4399" i="23"/>
  <c r="N4399" i="23" s="1"/>
  <c r="M4404" i="23"/>
  <c r="N4404" i="23" s="1"/>
  <c r="M4406" i="23"/>
  <c r="N4406" i="23" s="1"/>
  <c r="M4408" i="23"/>
  <c r="N4408" i="23" s="1"/>
  <c r="M4400" i="23"/>
  <c r="N4400" i="23" s="1"/>
  <c r="M4407" i="23"/>
  <c r="N4407" i="23" s="1"/>
  <c r="M4403" i="23"/>
  <c r="N4403" i="23" s="1"/>
  <c r="M4402" i="23"/>
  <c r="N4402" i="23" s="1"/>
  <c r="M4395" i="23"/>
  <c r="N4395" i="23" s="1"/>
  <c r="M4398" i="23"/>
  <c r="N4398" i="23" s="1"/>
  <c r="M4397" i="23"/>
  <c r="N4397" i="23" s="1"/>
  <c r="M4396" i="23"/>
  <c r="N4396" i="23" s="1"/>
  <c r="M4394" i="23"/>
  <c r="N4394" i="23" s="1"/>
  <c r="M4393" i="23"/>
  <c r="N4393" i="23" s="1"/>
  <c r="M4392" i="23"/>
  <c r="N4392" i="23" s="1"/>
  <c r="M4390" i="23"/>
  <c r="N4390" i="23" s="1"/>
  <c r="M4389" i="23"/>
  <c r="N4389" i="23" s="1"/>
  <c r="M4388" i="23"/>
  <c r="N4388" i="23" s="1"/>
  <c r="M4391" i="23"/>
  <c r="N4391" i="23" s="1"/>
  <c r="M4386" i="23"/>
  <c r="N4386" i="23" s="1"/>
  <c r="N4387" i="23"/>
  <c r="M4378" i="23"/>
  <c r="N4378" i="23" s="1"/>
  <c r="M4385" i="23"/>
  <c r="N4385" i="23" s="1"/>
  <c r="M4384" i="23"/>
  <c r="N4384" i="23" s="1"/>
  <c r="M4383" i="23"/>
  <c r="N4383" i="23" s="1"/>
  <c r="N4381" i="23"/>
  <c r="M4380" i="23"/>
  <c r="N4380" i="23" s="1"/>
  <c r="M4382" i="23"/>
  <c r="N4382" i="23" s="1"/>
  <c r="M4379" i="23"/>
  <c r="N4379" i="23" s="1"/>
  <c r="M4369" i="23"/>
  <c r="N4369" i="23" s="1"/>
  <c r="M4371" i="23"/>
  <c r="N4371" i="23" s="1"/>
  <c r="M4375" i="23"/>
  <c r="N4375" i="23" s="1"/>
  <c r="M4372" i="23"/>
  <c r="N4372" i="23" s="1"/>
  <c r="M4370" i="23"/>
  <c r="N4370" i="23" s="1"/>
  <c r="M4373" i="23"/>
  <c r="N4373" i="23" s="1"/>
  <c r="M4377" i="23"/>
  <c r="N4377" i="23" s="1"/>
  <c r="M4376" i="23"/>
  <c r="N4376" i="23" s="1"/>
  <c r="M4374" i="23"/>
  <c r="N4374" i="23" s="1"/>
  <c r="M4365" i="23"/>
  <c r="N4365" i="23" s="1"/>
  <c r="M4366" i="23"/>
  <c r="N4366" i="23" s="1"/>
  <c r="M4364" i="23"/>
  <c r="N4364" i="23" s="1"/>
  <c r="M4367" i="23"/>
  <c r="N4367" i="23" s="1"/>
  <c r="M4368" i="23"/>
  <c r="N4368" i="23" s="1"/>
  <c r="M4362" i="23"/>
  <c r="N4362" i="23" s="1"/>
  <c r="M4361" i="23"/>
  <c r="N4361" i="23" s="1"/>
  <c r="M4359" i="23"/>
  <c r="N4359" i="23" s="1"/>
  <c r="M4363" i="23"/>
  <c r="N4363" i="23" s="1"/>
  <c r="M4360" i="23"/>
  <c r="N4360" i="23" s="1"/>
  <c r="M4358" i="23"/>
  <c r="N4358" i="23" s="1"/>
  <c r="M4348" i="23"/>
  <c r="N4348" i="23" s="1"/>
  <c r="M4350" i="23"/>
  <c r="N4350" i="23" s="1"/>
  <c r="M4351" i="23"/>
  <c r="N4351" i="23" s="1"/>
  <c r="M4355" i="23"/>
  <c r="N4355" i="23" s="1"/>
  <c r="M4356" i="23"/>
  <c r="N4356" i="23" s="1"/>
  <c r="M4354" i="23"/>
  <c r="N4354" i="23" s="1"/>
  <c r="M4352" i="23"/>
  <c r="N4352" i="23" s="1"/>
  <c r="M4357" i="23"/>
  <c r="N4357" i="23" s="1"/>
  <c r="M4353" i="23"/>
  <c r="N4353" i="23" s="1"/>
  <c r="M4349" i="23"/>
  <c r="N4349" i="23" s="1"/>
  <c r="M4347" i="23"/>
  <c r="N4347" i="23" s="1"/>
  <c r="M4346" i="23"/>
  <c r="N4346" i="23" s="1"/>
  <c r="M4345" i="23"/>
  <c r="N4345" i="23" s="1"/>
  <c r="M4343" i="23"/>
  <c r="N4343" i="23" s="1"/>
  <c r="M4342" i="23"/>
  <c r="N4342" i="23" s="1"/>
  <c r="M4344" i="23"/>
  <c r="N4344" i="23" s="1"/>
  <c r="M4335" i="23"/>
  <c r="N4335" i="23" s="1"/>
  <c r="M4337" i="23"/>
  <c r="N4337" i="23" s="1"/>
  <c r="M4336" i="23"/>
  <c r="N4336" i="23" s="1"/>
  <c r="M4338" i="23"/>
  <c r="N4338" i="23" s="1"/>
  <c r="M4332" i="23"/>
  <c r="N4332" i="23" s="1"/>
  <c r="M4333" i="23"/>
  <c r="N4333" i="23" s="1"/>
  <c r="M4334" i="23"/>
  <c r="N4334" i="23" s="1"/>
  <c r="M4341" i="23"/>
  <c r="N4341" i="23" s="1"/>
  <c r="M4340" i="23"/>
  <c r="N4340" i="23" s="1"/>
  <c r="M4339" i="23"/>
  <c r="N4339" i="23" s="1"/>
  <c r="M4329" i="23"/>
  <c r="N4329" i="23" s="1"/>
  <c r="M4326" i="23"/>
  <c r="N4326" i="23" s="1"/>
  <c r="M4328" i="23"/>
  <c r="N4328" i="23" s="1"/>
  <c r="M4327" i="23"/>
  <c r="N4327" i="23" s="1"/>
  <c r="M4330" i="23"/>
  <c r="N4330" i="23" s="1"/>
  <c r="M4331" i="23"/>
  <c r="N4331" i="23" s="1"/>
  <c r="M4316" i="23"/>
  <c r="N4316" i="23" s="1"/>
  <c r="M4318" i="23"/>
  <c r="N4318" i="23" s="1"/>
  <c r="M4317" i="23"/>
  <c r="N4317" i="23" s="1"/>
  <c r="M4325" i="23"/>
  <c r="N4325" i="23" s="1"/>
  <c r="N4321" i="23"/>
  <c r="M4322" i="23"/>
  <c r="N4322" i="23" s="1"/>
  <c r="M4324" i="23"/>
  <c r="N4324" i="23" s="1"/>
  <c r="M4320" i="23"/>
  <c r="N4320" i="23" s="1"/>
  <c r="M4319" i="23"/>
  <c r="N4319" i="23" s="1"/>
  <c r="M4323" i="23"/>
  <c r="N4323" i="23" s="1"/>
  <c r="M4311" i="23"/>
  <c r="N4311" i="23" s="1"/>
  <c r="M4308" i="23"/>
  <c r="N4308" i="23" s="1"/>
  <c r="M4307" i="23"/>
  <c r="N4307" i="23" s="1"/>
  <c r="M4314" i="23"/>
  <c r="N4314" i="23" s="1"/>
  <c r="M4313" i="23"/>
  <c r="N4313" i="23" s="1"/>
  <c r="M4312" i="23"/>
  <c r="N4312" i="23" s="1"/>
  <c r="M4309" i="23"/>
  <c r="N4309" i="23" s="1"/>
  <c r="M4315" i="23"/>
  <c r="N4315" i="23" s="1"/>
  <c r="M4310" i="23"/>
  <c r="N4310" i="23" s="1"/>
  <c r="M4306" i="23"/>
  <c r="N4306" i="23" s="1"/>
  <c r="M4305" i="23"/>
  <c r="N4305" i="23" s="1"/>
  <c r="M4304" i="23"/>
  <c r="N4304" i="23" s="1"/>
  <c r="M4301" i="23"/>
  <c r="N4301" i="23" s="1"/>
  <c r="M4300" i="23"/>
  <c r="N4300" i="23" s="1"/>
  <c r="M4303" i="23"/>
  <c r="N4303" i="23" s="1"/>
  <c r="M4302" i="23"/>
  <c r="N4302" i="23" s="1"/>
  <c r="M4294" i="23"/>
  <c r="N4294" i="23" s="1"/>
  <c r="M4298" i="23"/>
  <c r="N4298" i="23" s="1"/>
  <c r="M4293" i="23"/>
  <c r="N4293" i="23" s="1"/>
  <c r="M4295" i="23"/>
  <c r="N4295" i="23" s="1"/>
  <c r="M4297" i="23"/>
  <c r="N4297" i="23" s="1"/>
  <c r="M4299" i="23"/>
  <c r="N4299" i="23" s="1"/>
  <c r="M4292" i="23"/>
  <c r="N4292" i="23" s="1"/>
  <c r="M4296" i="23"/>
  <c r="N4296" i="23" s="1"/>
  <c r="M4291" i="23"/>
  <c r="N4291" i="23" s="1"/>
  <c r="M4289" i="23"/>
  <c r="N4289" i="23" s="1"/>
  <c r="M4290" i="23"/>
  <c r="N4290" i="23" s="1"/>
  <c r="M4288" i="23"/>
  <c r="N4288" i="23" s="1"/>
  <c r="M4287" i="23"/>
  <c r="N4287" i="23" s="1"/>
  <c r="M4286" i="23"/>
  <c r="N4286" i="23" s="1"/>
  <c r="M4280" i="23"/>
  <c r="N4280" i="23" s="1"/>
  <c r="M4283" i="23"/>
  <c r="N4283" i="23" s="1"/>
  <c r="M4282" i="23"/>
  <c r="N4282" i="23" s="1"/>
  <c r="M4285" i="23"/>
  <c r="N4285" i="23" s="1"/>
  <c r="M4281" i="23"/>
  <c r="N4281" i="23" s="1"/>
  <c r="M4284" i="23"/>
  <c r="N4284" i="23" s="1"/>
  <c r="M4279" i="23"/>
  <c r="N4279" i="23" s="1"/>
  <c r="M4274" i="23"/>
  <c r="N4274" i="23" s="1"/>
  <c r="M4278" i="23"/>
  <c r="N4278" i="23" s="1"/>
  <c r="M4273" i="23"/>
  <c r="N4273" i="23" s="1"/>
  <c r="M4277" i="23"/>
  <c r="N4277" i="23" s="1"/>
  <c r="M4276" i="23"/>
  <c r="N4276" i="23" s="1"/>
  <c r="M4275" i="23"/>
  <c r="N4275" i="23" s="1"/>
  <c r="M4270" i="23"/>
  <c r="N4270" i="23" s="1"/>
  <c r="M4267" i="23"/>
  <c r="N4267" i="23" s="1"/>
  <c r="M4266" i="23"/>
  <c r="N4266" i="23" s="1"/>
  <c r="M4269" i="23"/>
  <c r="N4269" i="23" s="1"/>
  <c r="M4263" i="23"/>
  <c r="N4263" i="23" s="1"/>
  <c r="M4272" i="23"/>
  <c r="N4272" i="23" s="1"/>
  <c r="M4265" i="23"/>
  <c r="N4265" i="23" s="1"/>
  <c r="M4262" i="23"/>
  <c r="N4262" i="23" s="1"/>
  <c r="M4268" i="23"/>
  <c r="N4268" i="23" s="1"/>
  <c r="M4271" i="23"/>
  <c r="N4271" i="23" s="1"/>
  <c r="M4264" i="23"/>
  <c r="N4264" i="23" s="1"/>
  <c r="M4258" i="23"/>
  <c r="N4258" i="23" s="1"/>
  <c r="M4261" i="23"/>
  <c r="N4261" i="23" s="1"/>
  <c r="M4260" i="23"/>
  <c r="N4260" i="23" s="1"/>
  <c r="M4259" i="23"/>
  <c r="N4259" i="23" s="1"/>
  <c r="M4257" i="23"/>
  <c r="N4257" i="23" s="1"/>
  <c r="M4253" i="23"/>
  <c r="N4253" i="23" s="1"/>
  <c r="M4255" i="23"/>
  <c r="N4255" i="23" s="1"/>
  <c r="M4252" i="23"/>
  <c r="N4252" i="23" s="1"/>
  <c r="M4254" i="23"/>
  <c r="N4254" i="23" s="1"/>
  <c r="M4256" i="23"/>
  <c r="N4256" i="23" s="1"/>
  <c r="M4241" i="23"/>
  <c r="N4241" i="23" s="1"/>
  <c r="M4246" i="23"/>
  <c r="N4246" i="23" s="1"/>
  <c r="M4245" i="23"/>
  <c r="N4245" i="23" s="1"/>
  <c r="M4248" i="23"/>
  <c r="N4248" i="23" s="1"/>
  <c r="M4244" i="23"/>
  <c r="N4244" i="23" s="1"/>
  <c r="M4251" i="23"/>
  <c r="N4251" i="23" s="1"/>
  <c r="M4249" i="23"/>
  <c r="N4249" i="23" s="1"/>
  <c r="M4250" i="23"/>
  <c r="N4250" i="23" s="1"/>
  <c r="M4247" i="23"/>
  <c r="N4247" i="23" s="1"/>
  <c r="M4243" i="23"/>
  <c r="N4243" i="23" s="1"/>
  <c r="M4242" i="23"/>
  <c r="N4242" i="23" s="1"/>
  <c r="M4238" i="23"/>
  <c r="N4238" i="23" s="1"/>
  <c r="M4240" i="23"/>
  <c r="N4240" i="23" s="1"/>
  <c r="M4239" i="23"/>
  <c r="N4239" i="23" s="1"/>
  <c r="M4237" i="23"/>
  <c r="N4237" i="23" s="1"/>
  <c r="M4236" i="23"/>
  <c r="N4236" i="23" s="1"/>
  <c r="M4234" i="23"/>
  <c r="N4234" i="23" s="1"/>
  <c r="M4235" i="23"/>
  <c r="N4235" i="23" s="1"/>
  <c r="M4231" i="23"/>
  <c r="N4231" i="23" s="1"/>
  <c r="M4230" i="23"/>
  <c r="N4230" i="23" s="1"/>
  <c r="M4233" i="23"/>
  <c r="N4233" i="23" s="1"/>
  <c r="M4232" i="23"/>
  <c r="N4232" i="23" s="1"/>
  <c r="M4229" i="23"/>
  <c r="N4229" i="23" s="1"/>
  <c r="M4228" i="23"/>
  <c r="N4228" i="23" s="1"/>
  <c r="M4222" i="23"/>
  <c r="N4222" i="23" s="1"/>
  <c r="M4225" i="23"/>
  <c r="N4225" i="23" s="1"/>
  <c r="M4227" i="23"/>
  <c r="N4227" i="23" s="1"/>
  <c r="M4223" i="23"/>
  <c r="N4223" i="23" s="1"/>
  <c r="M4224" i="23"/>
  <c r="N4224" i="23" s="1"/>
  <c r="M4221" i="23"/>
  <c r="N4221" i="23" s="1"/>
  <c r="M4226" i="23"/>
  <c r="N4226" i="23" s="1"/>
  <c r="M4220" i="23"/>
  <c r="N4220" i="23" s="1"/>
  <c r="M4218" i="23"/>
  <c r="N4218" i="23" s="1"/>
  <c r="M4217" i="23"/>
  <c r="N4217" i="23" s="1"/>
  <c r="M4216" i="23"/>
  <c r="N4216" i="23" s="1"/>
  <c r="M4215" i="23"/>
  <c r="N4215" i="23" s="1"/>
  <c r="M4219" i="23"/>
  <c r="N4219" i="23" s="1"/>
  <c r="M4210" i="23"/>
  <c r="N4210" i="23" s="1"/>
  <c r="M4211" i="23"/>
  <c r="N4211" i="23" s="1"/>
  <c r="M4208" i="23"/>
  <c r="N4208" i="23" s="1"/>
  <c r="M4202" i="23"/>
  <c r="N4202" i="23" s="1"/>
  <c r="M4213" i="23"/>
  <c r="N4213" i="23" s="1"/>
  <c r="M4205" i="23"/>
  <c r="N4205" i="23" s="1"/>
  <c r="M4204" i="23"/>
  <c r="N4204" i="23" s="1"/>
  <c r="M4209" i="23"/>
  <c r="N4209" i="23" s="1"/>
  <c r="M4203" i="23"/>
  <c r="N4203" i="23" s="1"/>
  <c r="M4212" i="23"/>
  <c r="N4212" i="23" s="1"/>
  <c r="M4207" i="23"/>
  <c r="N4207" i="23" s="1"/>
  <c r="M4206" i="23"/>
  <c r="N4206" i="23" s="1"/>
  <c r="M4214" i="23"/>
  <c r="N4214" i="23" s="1"/>
  <c r="M4201" i="23"/>
  <c r="N4201" i="23" s="1"/>
  <c r="M4199" i="23"/>
  <c r="N4199" i="23" s="1"/>
  <c r="M4198" i="23"/>
  <c r="N4198" i="23" s="1"/>
  <c r="M4200" i="23"/>
  <c r="N4200" i="23" s="1"/>
  <c r="M4197" i="23"/>
  <c r="N4197" i="23" s="1"/>
  <c r="M4195" i="23"/>
  <c r="N4195" i="23" s="1"/>
  <c r="M4196" i="23"/>
  <c r="N4196" i="23" s="1"/>
  <c r="M4192" i="23"/>
  <c r="N4192" i="23" s="1"/>
  <c r="M4188" i="23"/>
  <c r="N4188" i="23" s="1"/>
  <c r="M4193" i="23"/>
  <c r="N4193" i="23" s="1"/>
  <c r="M4186" i="23"/>
  <c r="N4186" i="23" s="1"/>
  <c r="M4189" i="23"/>
  <c r="N4189" i="23" s="1"/>
  <c r="M4187" i="23"/>
  <c r="N4187" i="23" s="1"/>
  <c r="M4194" i="23"/>
  <c r="N4194" i="23" s="1"/>
  <c r="M4190" i="23"/>
  <c r="N4190" i="23" s="1"/>
  <c r="M4191" i="23"/>
  <c r="N4191" i="23" s="1"/>
  <c r="M4183" i="23"/>
  <c r="N4183" i="23" s="1"/>
  <c r="M4185" i="23"/>
  <c r="N4185" i="23" s="1"/>
  <c r="M4184" i="23"/>
  <c r="N4184" i="23" s="1"/>
  <c r="M4180" i="23"/>
  <c r="N4180" i="23" s="1"/>
  <c r="M4181" i="23"/>
  <c r="N4181" i="23" s="1"/>
  <c r="M4178" i="23"/>
  <c r="N4178" i="23" s="1"/>
  <c r="M4179" i="23"/>
  <c r="N4179" i="23" s="1"/>
  <c r="M4182" i="23"/>
  <c r="N4182" i="23" s="1"/>
  <c r="M4176" i="23"/>
  <c r="N4176" i="23" s="1"/>
  <c r="M4177" i="23"/>
  <c r="N4177" i="23" s="1"/>
  <c r="M4173" i="23"/>
  <c r="N4173" i="23" s="1"/>
  <c r="M4175" i="23"/>
  <c r="N4175" i="23" s="1"/>
  <c r="M4171" i="23"/>
  <c r="N4171" i="23" s="1"/>
  <c r="M4172" i="23"/>
  <c r="N4172" i="23" s="1"/>
  <c r="M4174" i="23"/>
  <c r="N4174" i="23" s="1"/>
  <c r="M4168" i="23"/>
  <c r="N4168" i="23" s="1"/>
  <c r="M4167" i="23"/>
  <c r="N4167" i="23" s="1"/>
  <c r="M4170" i="23"/>
  <c r="N4170" i="23" s="1"/>
  <c r="M4169" i="23"/>
  <c r="N4169" i="23" s="1"/>
  <c r="M4164" i="23"/>
  <c r="N4164" i="23" s="1"/>
  <c r="M4165" i="23"/>
  <c r="N4165" i="23" s="1"/>
  <c r="M4160" i="23"/>
  <c r="N4160" i="23" s="1"/>
  <c r="M4163" i="23"/>
  <c r="N4163" i="23" s="1"/>
  <c r="M4162" i="23"/>
  <c r="N4162" i="23" s="1"/>
  <c r="M4166" i="23"/>
  <c r="N4166" i="23" s="1"/>
  <c r="M4161" i="23"/>
  <c r="N4161" i="23" s="1"/>
  <c r="M4159" i="23"/>
  <c r="N4159" i="23" s="1"/>
  <c r="M4158" i="23"/>
  <c r="N4158" i="23" s="1"/>
  <c r="M4156" i="23"/>
  <c r="N4156" i="23" s="1"/>
  <c r="M4157" i="23"/>
  <c r="N4157" i="23" s="1"/>
  <c r="M4155" i="23"/>
  <c r="N4155" i="23" s="1"/>
  <c r="M4152" i="23"/>
  <c r="N4152" i="23" s="1"/>
  <c r="M4149" i="23"/>
  <c r="N4149" i="23" s="1"/>
  <c r="M4154" i="23"/>
  <c r="N4154" i="23" s="1"/>
  <c r="M4150" i="23"/>
  <c r="N4150" i="23" s="1"/>
  <c r="M4153" i="23"/>
  <c r="N4153" i="23" s="1"/>
  <c r="M4151" i="23"/>
  <c r="N4151" i="23" s="1"/>
  <c r="M4148" i="23"/>
  <c r="N4148" i="23" s="1"/>
  <c r="M4144" i="23"/>
  <c r="N4144" i="23" s="1"/>
  <c r="M4147" i="23"/>
  <c r="N4147" i="23" s="1"/>
  <c r="M4143" i="23"/>
  <c r="N4143" i="23" s="1"/>
  <c r="M4145" i="23"/>
  <c r="N4145" i="23" s="1"/>
  <c r="M4140" i="23"/>
  <c r="N4140" i="23" s="1"/>
  <c r="M4142" i="23"/>
  <c r="N4142" i="23" s="1"/>
  <c r="M4146" i="23"/>
  <c r="N4146" i="23" s="1"/>
  <c r="M4141" i="23"/>
  <c r="N4141" i="23" s="1"/>
  <c r="M4138" i="23"/>
  <c r="N4138" i="23" s="1"/>
  <c r="M4133" i="23"/>
  <c r="N4133" i="23" s="1"/>
  <c r="M4139" i="23"/>
  <c r="N4139" i="23" s="1"/>
  <c r="M4132" i="23"/>
  <c r="N4132" i="23" s="1"/>
  <c r="M4137" i="23"/>
  <c r="N4137" i="23" s="1"/>
  <c r="M4131" i="23"/>
  <c r="N4131" i="23" s="1"/>
  <c r="M4134" i="23"/>
  <c r="N4134" i="23" s="1"/>
  <c r="M4135" i="23"/>
  <c r="N4135" i="23" s="1"/>
  <c r="M4136" i="23"/>
  <c r="N4136" i="23" s="1"/>
  <c r="M4127" i="23"/>
  <c r="N4127" i="23" s="1"/>
  <c r="M4124" i="23"/>
  <c r="N4124" i="23" s="1"/>
  <c r="M4129" i="23"/>
  <c r="N4129" i="23" s="1"/>
  <c r="M4130" i="23"/>
  <c r="N4130" i="23" s="1"/>
  <c r="M4125" i="23"/>
  <c r="N4125" i="23" s="1"/>
  <c r="M4126" i="23"/>
  <c r="N4126" i="23" s="1"/>
  <c r="M4128" i="23"/>
  <c r="N4128" i="23" s="1"/>
  <c r="M4122" i="23"/>
  <c r="N4122" i="23" s="1"/>
  <c r="M4118" i="23"/>
  <c r="N4118" i="23" s="1"/>
  <c r="M4117" i="23"/>
  <c r="N4117" i="23" s="1"/>
  <c r="M4121" i="23"/>
  <c r="N4121" i="23" s="1"/>
  <c r="M4123" i="23"/>
  <c r="N4123" i="23" s="1"/>
  <c r="M4116" i="23"/>
  <c r="N4116" i="23" s="1"/>
  <c r="M4120" i="23"/>
  <c r="N4120" i="23" s="1"/>
  <c r="M4119" i="23"/>
  <c r="N4119" i="23" s="1"/>
  <c r="M4115" i="23"/>
  <c r="N4115" i="23" s="1"/>
  <c r="M4114" i="23"/>
  <c r="N4114" i="23" s="1"/>
  <c r="M4113" i="23"/>
  <c r="N4113" i="23" s="1"/>
  <c r="M4112" i="23"/>
  <c r="N4112" i="23" s="1"/>
  <c r="M4107" i="23"/>
  <c r="N4107" i="23" s="1"/>
  <c r="M4109" i="23"/>
  <c r="N4109" i="23" s="1"/>
  <c r="M4108" i="23"/>
  <c r="N4108" i="23" s="1"/>
  <c r="M4111" i="23"/>
  <c r="N4111" i="23" s="1"/>
  <c r="M4106" i="23"/>
  <c r="N4106" i="23" s="1"/>
  <c r="M4105" i="23"/>
  <c r="N4105" i="23" s="1"/>
  <c r="M4110" i="23"/>
  <c r="N4110" i="23" s="1"/>
  <c r="M4104" i="23"/>
  <c r="N4104" i="23" s="1"/>
  <c r="M4098" i="23"/>
  <c r="N4098" i="23" s="1"/>
  <c r="M4095" i="23"/>
  <c r="N4095" i="23" s="1"/>
  <c r="M4087" i="23"/>
  <c r="N4087" i="23" s="1"/>
  <c r="M4091" i="23"/>
  <c r="N4091" i="23" s="1"/>
  <c r="M4103" i="23"/>
  <c r="N4103" i="23" s="1"/>
  <c r="M4086" i="23"/>
  <c r="N4086" i="23" s="1"/>
  <c r="M4093" i="23"/>
  <c r="N4093" i="23" s="1"/>
  <c r="M4085" i="23"/>
  <c r="N4085" i="23" s="1"/>
  <c r="M4100" i="23"/>
  <c r="N4100" i="23" s="1"/>
  <c r="M4090" i="23"/>
  <c r="N4090" i="23" s="1"/>
  <c r="M4089" i="23"/>
  <c r="N4089" i="23" s="1"/>
  <c r="M4099" i="23"/>
  <c r="N4099" i="23" s="1"/>
  <c r="M4094" i="23"/>
  <c r="N4094" i="23" s="1"/>
  <c r="M4097" i="23"/>
  <c r="N4097" i="23" s="1"/>
  <c r="M4102" i="23"/>
  <c r="N4102" i="23" s="1"/>
  <c r="M4101" i="23"/>
  <c r="N4101" i="23" s="1"/>
  <c r="M4096" i="23"/>
  <c r="N4096" i="23" s="1"/>
  <c r="M4092" i="23"/>
  <c r="N4092" i="23" s="1"/>
  <c r="M4088" i="23"/>
  <c r="N4088" i="23" s="1"/>
  <c r="M4067" i="23"/>
  <c r="N4067" i="23" s="1"/>
  <c r="M4074" i="23"/>
  <c r="N4074" i="23" s="1"/>
  <c r="M4071" i="23"/>
  <c r="N4071" i="23" s="1"/>
  <c r="M4073" i="23"/>
  <c r="N4073" i="23" s="1"/>
  <c r="M4070" i="23"/>
  <c r="N4070" i="23" s="1"/>
  <c r="M4066" i="23"/>
  <c r="N4066" i="23" s="1"/>
  <c r="M4080" i="23"/>
  <c r="N4080" i="23" s="1"/>
  <c r="M4079" i="23"/>
  <c r="N4079" i="23" s="1"/>
  <c r="M4077" i="23"/>
  <c r="N4077" i="23" s="1"/>
  <c r="M4076" i="23"/>
  <c r="N4076" i="23" s="1"/>
  <c r="M4065" i="23"/>
  <c r="N4065" i="23" s="1"/>
  <c r="M4082" i="23"/>
  <c r="N4082" i="23" s="1"/>
  <c r="M4083" i="23"/>
  <c r="N4083" i="23" s="1"/>
  <c r="M4084" i="23"/>
  <c r="N4084" i="23" s="1"/>
  <c r="M4081" i="23"/>
  <c r="N4081" i="23" s="1"/>
  <c r="M4068" i="23"/>
  <c r="N4068" i="23" s="1"/>
  <c r="M4072" i="23"/>
  <c r="N4072" i="23" s="1"/>
  <c r="M4069" i="23"/>
  <c r="N4069" i="23" s="1"/>
  <c r="M4078" i="23"/>
  <c r="N4078" i="23" s="1"/>
  <c r="M4075" i="23"/>
  <c r="N4075" i="23" s="1"/>
  <c r="M4064" i="23"/>
  <c r="N4064" i="23" s="1"/>
  <c r="M4061" i="23"/>
  <c r="N4061" i="23" s="1"/>
  <c r="M4058" i="23"/>
  <c r="N4058" i="23" s="1"/>
  <c r="M4053" i="23"/>
  <c r="N4053" i="23" s="1"/>
  <c r="M4059" i="23"/>
  <c r="N4059" i="23" s="1"/>
  <c r="M4063" i="23"/>
  <c r="N4063" i="23" s="1"/>
  <c r="M4060" i="23"/>
  <c r="N4060" i="23" s="1"/>
  <c r="M4062" i="23"/>
  <c r="N4062" i="23" s="1"/>
  <c r="M4055" i="23"/>
  <c r="N4055" i="23" s="1"/>
  <c r="M4052" i="23"/>
  <c r="N4052" i="23" s="1"/>
  <c r="M4051" i="23"/>
  <c r="N4051" i="23" s="1"/>
  <c r="M4054" i="23"/>
  <c r="N4054" i="23" s="1"/>
  <c r="M4057" i="23"/>
  <c r="N4057" i="23" s="1"/>
  <c r="M4050" i="23"/>
  <c r="N4050" i="23" s="1"/>
  <c r="M4056" i="23"/>
  <c r="N4056" i="23" s="1"/>
  <c r="M4040" i="23"/>
  <c r="N4040" i="23" s="1"/>
  <c r="M4031" i="23"/>
  <c r="N4031" i="23" s="1"/>
  <c r="M4030" i="23"/>
  <c r="N4030" i="23" s="1"/>
  <c r="M4033" i="23"/>
  <c r="N4033" i="23" s="1"/>
  <c r="M4045" i="23"/>
  <c r="N4045" i="23" s="1"/>
  <c r="M4047" i="23"/>
  <c r="N4047" i="23" s="1"/>
  <c r="M4046" i="23"/>
  <c r="N4046" i="23" s="1"/>
  <c r="M4037" i="23"/>
  <c r="N4037" i="23" s="1"/>
  <c r="M4034" i="23"/>
  <c r="N4034" i="23" s="1"/>
  <c r="M4043" i="23"/>
  <c r="N4043" i="23" s="1"/>
  <c r="M4044" i="23"/>
  <c r="N4044" i="23" s="1"/>
  <c r="M4042" i="23"/>
  <c r="N4042" i="23" s="1"/>
  <c r="M4035" i="23"/>
  <c r="N4035" i="23" s="1"/>
  <c r="M4032" i="23"/>
  <c r="N4032" i="23" s="1"/>
  <c r="M4049" i="23"/>
  <c r="N4049" i="23" s="1"/>
  <c r="M4041" i="23"/>
  <c r="N4041" i="23" s="1"/>
  <c r="M4039" i="23"/>
  <c r="N4039" i="23" s="1"/>
  <c r="M4036" i="23"/>
  <c r="N4036" i="23" s="1"/>
  <c r="M4038" i="23"/>
  <c r="N4038" i="23" s="1"/>
  <c r="M4029" i="23"/>
  <c r="N4029" i="23" s="1"/>
  <c r="M4028" i="23"/>
  <c r="N4028" i="23" s="1"/>
  <c r="M4048" i="23"/>
  <c r="N4048" i="23" s="1"/>
  <c r="M4027" i="23"/>
  <c r="N4027" i="23" s="1"/>
  <c r="M4023" i="23"/>
  <c r="N4023" i="23" s="1"/>
  <c r="M4026" i="23"/>
  <c r="N4026" i="23" s="1"/>
  <c r="M4025" i="23"/>
  <c r="N4025" i="23" s="1"/>
  <c r="M4024" i="23"/>
  <c r="N4024" i="23" s="1"/>
  <c r="M4021" i="23"/>
  <c r="N4021" i="23" s="1"/>
  <c r="M4020" i="23"/>
  <c r="N4020" i="23" s="1"/>
  <c r="M4022" i="23"/>
  <c r="N4022" i="23" s="1"/>
  <c r="M4019" i="23"/>
  <c r="N4019" i="23" s="1"/>
  <c r="M4018" i="23"/>
  <c r="N4018" i="23" s="1"/>
  <c r="M4012" i="23"/>
  <c r="N4012" i="23" s="1"/>
  <c r="M4014" i="23"/>
  <c r="N4014" i="23" s="1"/>
  <c r="M4013" i="23"/>
  <c r="N4013" i="23" s="1"/>
  <c r="M4016" i="23"/>
  <c r="N4016" i="23" s="1"/>
  <c r="M4011" i="23"/>
  <c r="N4011" i="23" s="1"/>
  <c r="M4017" i="23"/>
  <c r="N4017" i="23" s="1"/>
  <c r="M4015" i="23"/>
  <c r="N4015" i="23" s="1"/>
  <c r="M4006" i="23"/>
  <c r="N4006" i="23" s="1"/>
  <c r="M4002" i="23"/>
  <c r="N4002" i="23" s="1"/>
  <c r="M4003" i="23"/>
  <c r="N4003" i="23" s="1"/>
  <c r="M4010" i="23"/>
  <c r="N4010" i="23" s="1"/>
  <c r="M4008" i="23"/>
  <c r="N4008" i="23" s="1"/>
  <c r="M3998" i="23"/>
  <c r="N3998" i="23" s="1"/>
  <c r="M4001" i="23"/>
  <c r="N4001" i="23" s="1"/>
  <c r="M3995" i="23"/>
  <c r="N3995" i="23" s="1"/>
  <c r="M3997" i="23"/>
  <c r="N3997" i="23" s="1"/>
  <c r="M4007" i="23"/>
  <c r="N4007" i="23" s="1"/>
  <c r="M4000" i="23"/>
  <c r="N4000" i="23" s="1"/>
  <c r="M4009" i="23"/>
  <c r="N4009" i="23" s="1"/>
  <c r="M3999" i="23"/>
  <c r="N3999" i="23" s="1"/>
  <c r="M3996" i="23"/>
  <c r="N3996" i="23" s="1"/>
  <c r="M4004" i="23"/>
  <c r="N4004" i="23" s="1"/>
  <c r="M3993" i="23"/>
  <c r="N3993" i="23" s="1"/>
  <c r="M3994" i="23"/>
  <c r="N3994" i="23" s="1"/>
  <c r="M4005" i="23"/>
  <c r="N4005" i="23" s="1"/>
  <c r="M3981" i="23"/>
  <c r="N3981" i="23" s="1"/>
  <c r="M3988" i="23"/>
  <c r="N3988" i="23" s="1"/>
  <c r="M3983" i="23"/>
  <c r="N3983" i="23" s="1"/>
  <c r="M3987" i="23"/>
  <c r="N3987" i="23" s="1"/>
  <c r="M3989" i="23"/>
  <c r="N3989" i="23" s="1"/>
  <c r="M3992" i="23"/>
  <c r="N3992" i="23" s="1"/>
  <c r="M3985" i="23"/>
  <c r="N3985" i="23" s="1"/>
  <c r="M3990" i="23"/>
  <c r="N3990" i="23" s="1"/>
  <c r="M3986" i="23"/>
  <c r="N3986" i="23" s="1"/>
  <c r="M3984" i="23"/>
  <c r="N3984" i="23" s="1"/>
  <c r="M3980" i="23"/>
  <c r="N3980" i="23" s="1"/>
  <c r="M3991" i="23"/>
  <c r="N3991" i="23" s="1"/>
  <c r="M3982" i="23"/>
  <c r="N3982" i="23" s="1"/>
  <c r="M3979" i="23"/>
  <c r="N3979" i="23" s="1"/>
  <c r="M3975" i="23"/>
  <c r="N3975" i="23" s="1"/>
  <c r="M3978" i="23"/>
  <c r="N3978" i="23" s="1"/>
  <c r="M3977" i="23"/>
  <c r="N3977" i="23" s="1"/>
  <c r="M3976" i="23"/>
  <c r="N3976" i="23" s="1"/>
  <c r="M3973" i="23"/>
  <c r="N3973" i="23" s="1"/>
  <c r="M3974" i="23"/>
  <c r="N3974" i="23" s="1"/>
  <c r="M3972" i="23"/>
  <c r="N3972" i="23" s="1"/>
  <c r="M3970" i="23"/>
  <c r="N3970" i="23" s="1"/>
  <c r="M3971" i="23"/>
  <c r="N3971" i="23" s="1"/>
  <c r="M3964" i="23"/>
  <c r="N3964" i="23" s="1"/>
  <c r="M3963" i="23"/>
  <c r="N3963" i="23" s="1"/>
  <c r="M3968" i="23"/>
  <c r="N3968" i="23" s="1"/>
  <c r="M3953" i="23"/>
  <c r="N3953" i="23" s="1"/>
  <c r="M3961" i="23"/>
  <c r="N3961" i="23" s="1"/>
  <c r="M3957" i="23"/>
  <c r="N3957" i="23" s="1"/>
  <c r="M3966" i="23"/>
  <c r="N3966" i="23" s="1"/>
  <c r="M3958" i="23"/>
  <c r="N3958" i="23" s="1"/>
  <c r="M3956" i="23"/>
  <c r="N3956" i="23" s="1"/>
  <c r="M3965" i="23"/>
  <c r="N3965" i="23" s="1"/>
  <c r="M3959" i="23"/>
  <c r="N3959" i="23" s="1"/>
  <c r="M3955" i="23"/>
  <c r="N3955" i="23" s="1"/>
  <c r="M3960" i="23"/>
  <c r="N3960" i="23" s="1"/>
  <c r="M3954" i="23"/>
  <c r="N3954" i="23" s="1"/>
  <c r="M3969" i="23"/>
  <c r="N3969" i="23" s="1"/>
  <c r="M3967" i="23"/>
  <c r="N3967" i="23" s="1"/>
  <c r="M3962" i="23"/>
  <c r="N3962" i="23" s="1"/>
  <c r="M3945" i="23"/>
  <c r="N3945" i="23" s="1"/>
  <c r="M3941" i="23"/>
  <c r="N3941" i="23" s="1"/>
  <c r="M3943" i="23"/>
  <c r="N3943" i="23" s="1"/>
  <c r="M3942" i="23"/>
  <c r="N3942" i="23" s="1"/>
  <c r="M3947" i="23"/>
  <c r="N3947" i="23" s="1"/>
  <c r="M3951" i="23"/>
  <c r="N3951" i="23" s="1"/>
  <c r="M3939" i="23"/>
  <c r="N3939" i="23" s="1"/>
  <c r="M3948" i="23"/>
  <c r="N3948" i="23" s="1"/>
  <c r="M3950" i="23"/>
  <c r="N3950" i="23" s="1"/>
  <c r="M3952" i="23"/>
  <c r="N3952" i="23" s="1"/>
  <c r="M3936" i="23"/>
  <c r="N3936" i="23" s="1"/>
  <c r="M3937" i="23"/>
  <c r="N3937" i="23" s="1"/>
  <c r="M3938" i="23"/>
  <c r="N3938" i="23" s="1"/>
  <c r="M3949" i="23"/>
  <c r="N3949" i="23" s="1"/>
  <c r="M3944" i="23"/>
  <c r="N3944" i="23" s="1"/>
  <c r="M3940" i="23"/>
  <c r="N3940" i="23" s="1"/>
  <c r="M3946" i="23"/>
  <c r="N3946" i="23" s="1"/>
  <c r="M3931" i="23"/>
  <c r="N3931" i="23" s="1"/>
  <c r="M3932" i="23"/>
  <c r="N3932" i="23" s="1"/>
  <c r="M3933" i="23"/>
  <c r="N3933" i="23" s="1"/>
  <c r="M3929" i="23"/>
  <c r="N3929" i="23" s="1"/>
  <c r="M3927" i="23"/>
  <c r="N3927" i="23" s="1"/>
  <c r="M3928" i="23"/>
  <c r="N3928" i="23" s="1"/>
  <c r="M3934" i="23"/>
  <c r="N3934" i="23" s="1"/>
  <c r="M3926" i="23"/>
  <c r="N3926" i="23" s="1"/>
  <c r="M3935" i="23"/>
  <c r="N3935" i="23" s="1"/>
  <c r="M3925" i="23"/>
  <c r="N3925" i="23" s="1"/>
  <c r="M3930" i="23"/>
  <c r="N3930" i="23" s="1"/>
  <c r="M3909" i="23"/>
  <c r="N3909" i="23" s="1"/>
  <c r="M3904" i="23"/>
  <c r="N3904" i="23" s="1"/>
  <c r="M3921" i="23"/>
  <c r="N3921" i="23" s="1"/>
  <c r="M3914" i="23"/>
  <c r="N3914" i="23" s="1"/>
  <c r="M3903" i="23"/>
  <c r="N3903" i="23" s="1"/>
  <c r="M3919" i="23"/>
  <c r="N3919" i="23" s="1"/>
  <c r="M3917" i="23"/>
  <c r="N3917" i="23" s="1"/>
  <c r="M3918" i="23"/>
  <c r="N3918" i="23" s="1"/>
  <c r="M3905" i="23"/>
  <c r="N3905" i="23" s="1"/>
  <c r="M3916" i="23"/>
  <c r="N3916" i="23" s="1"/>
  <c r="M3920" i="23"/>
  <c r="N3920" i="23" s="1"/>
  <c r="M3915" i="23"/>
  <c r="N3915" i="23" s="1"/>
  <c r="M3911" i="23"/>
  <c r="N3911" i="23" s="1"/>
  <c r="L4981" i="23" l="1"/>
  <c r="L4974" i="23"/>
  <c r="L4949" i="23"/>
  <c r="L4954" i="23"/>
  <c r="L4953" i="23"/>
  <c r="L4933" i="23"/>
  <c r="L4931" i="23"/>
  <c r="L4910" i="23"/>
  <c r="L4919" i="23"/>
  <c r="L4909" i="23"/>
  <c r="L4904" i="23"/>
  <c r="L4896" i="23"/>
  <c r="L4883" i="23"/>
  <c r="L4882" i="23"/>
  <c r="L4854" i="23"/>
  <c r="L4847" i="23"/>
  <c r="L4821" i="23"/>
  <c r="L4804" i="23"/>
  <c r="L4937" i="23" l="1"/>
  <c r="L4880" i="23" l="1"/>
  <c r="L4865" i="23"/>
  <c r="L4780" i="23" l="1"/>
  <c r="L4781" i="23"/>
  <c r="L4747" i="23"/>
  <c r="L4748" i="23"/>
  <c r="L4789" i="23"/>
  <c r="L4788" i="23"/>
  <c r="L4827" i="23"/>
  <c r="L4806" i="23"/>
  <c r="L4838" i="23"/>
  <c r="L4869" i="23"/>
  <c r="L4870" i="23"/>
  <c r="L4881" i="23"/>
  <c r="L4863" i="23"/>
  <c r="L4790" i="23"/>
  <c r="L4791" i="23"/>
  <c r="L4824" i="23"/>
  <c r="L4823" i="23"/>
  <c r="L4825" i="23"/>
  <c r="L4826" i="23"/>
  <c r="L4852" i="23"/>
  <c r="L4848" i="23"/>
  <c r="L4834" i="23"/>
  <c r="L4835" i="23"/>
  <c r="L4861" i="23" l="1"/>
  <c r="L4452" i="23"/>
  <c r="L4877" i="23"/>
  <c r="L4855" i="23"/>
  <c r="L4736" i="23"/>
  <c r="L4762" i="23"/>
  <c r="L4887" i="23"/>
  <c r="L4897" i="23"/>
  <c r="L4872" i="23"/>
  <c r="L4732" i="23"/>
  <c r="L4768" i="23"/>
  <c r="L4772" i="23"/>
  <c r="L4905" i="23"/>
  <c r="L4920" i="23"/>
  <c r="L4927" i="23"/>
  <c r="L4926" i="23"/>
  <c r="L4918" i="23"/>
  <c r="L4902" i="23"/>
  <c r="L4900" i="23"/>
  <c r="L4901" i="23"/>
  <c r="L4907" i="23"/>
  <c r="L4899" i="23"/>
  <c r="L4917" i="23" l="1"/>
  <c r="L4889" i="23"/>
  <c r="L4888" i="23"/>
  <c r="L4885" i="23"/>
  <c r="L4892" i="23"/>
  <c r="L4891" i="23"/>
  <c r="L4886" i="23"/>
  <c r="L4878" i="23"/>
  <c r="L4876" i="23"/>
  <c r="L4871" i="23"/>
  <c r="L4866" i="23"/>
  <c r="L4859" i="23" l="1"/>
  <c r="L4867" i="23"/>
  <c r="L4868" i="23" l="1"/>
  <c r="L4828" i="23"/>
  <c r="L4853" i="23"/>
  <c r="L4849" i="23"/>
  <c r="L4851" i="23"/>
  <c r="L4807" i="23"/>
  <c r="L4814" i="23"/>
  <c r="L4813" i="23"/>
  <c r="L4831" i="23"/>
  <c r="L4841" i="23"/>
  <c r="L4840" i="23"/>
  <c r="L4836" i="23"/>
  <c r="L4846" i="23"/>
  <c r="L4845" i="23"/>
  <c r="L4787" i="23"/>
  <c r="L4737" i="23"/>
  <c r="L4765" i="23"/>
  <c r="L4764" i="23"/>
  <c r="L4725" i="23"/>
  <c r="L4724" i="23"/>
  <c r="L4720" i="23"/>
  <c r="L4719" i="23"/>
  <c r="L4710" i="23" l="1"/>
  <c r="L4784" i="23"/>
  <c r="L4761" i="23"/>
  <c r="L4760" i="23"/>
  <c r="L4668" i="23"/>
  <c r="L4750" i="23"/>
  <c r="L4805" i="23"/>
  <c r="L4722" i="23"/>
  <c r="L4763" i="23"/>
  <c r="L4677" i="23"/>
  <c r="L4779" i="23"/>
  <c r="L4786" i="23"/>
  <c r="L4693" i="23"/>
  <c r="L4800" i="23"/>
  <c r="L4758" i="23"/>
  <c r="L4832" i="23"/>
  <c r="L4743" i="23"/>
  <c r="L4541" i="23"/>
  <c r="L4844" i="23"/>
  <c r="L4843" i="23"/>
  <c r="L4839" i="23"/>
  <c r="L4837" i="23"/>
  <c r="L4842" i="23"/>
  <c r="L4830" i="23"/>
  <c r="L4822" i="23"/>
  <c r="L4833" i="23"/>
  <c r="L4829" i="23"/>
  <c r="L4815" i="23"/>
  <c r="L4817" i="23"/>
  <c r="L4819" i="23"/>
  <c r="L4818" i="23"/>
  <c r="L4816" i="23"/>
  <c r="L4812" i="23"/>
  <c r="L4811" i="23"/>
  <c r="L4608" i="23"/>
  <c r="L4809" i="23"/>
  <c r="L4803" i="23"/>
  <c r="L4799" i="23"/>
  <c r="L4801" i="23"/>
  <c r="L4802" i="23"/>
  <c r="L4797" i="23"/>
  <c r="L4792" i="23" l="1"/>
  <c r="L4794" i="23"/>
  <c r="L4796" i="23"/>
  <c r="L4793" i="23"/>
  <c r="L4776" i="23"/>
  <c r="L4775" i="23"/>
  <c r="L4785" i="23"/>
  <c r="L4777" i="23"/>
  <c r="L4783" i="23"/>
  <c r="L4771" i="23"/>
  <c r="L4767" i="23"/>
  <c r="L4782" i="23"/>
  <c r="L4769" i="23"/>
  <c r="L4770" i="23"/>
  <c r="L4766" i="23"/>
  <c r="L4755" i="23"/>
  <c r="L4759" i="23"/>
  <c r="L4756" i="23"/>
  <c r="L4753" i="23"/>
  <c r="L4751" i="23"/>
  <c r="L4749" i="23"/>
  <c r="L4745" i="23"/>
  <c r="L4752" i="23"/>
  <c r="L4746" i="23"/>
  <c r="L4739" i="23"/>
  <c r="L4738" i="23"/>
  <c r="L4744" i="23"/>
  <c r="L4741" i="23"/>
  <c r="L4740" i="23"/>
  <c r="L4742" i="23"/>
  <c r="L4734" i="23"/>
  <c r="L4733" i="23"/>
  <c r="L4726" i="23"/>
  <c r="L4731" i="23"/>
  <c r="L4730" i="23"/>
  <c r="L4721" i="23"/>
  <c r="L4641" i="23"/>
  <c r="L4648" i="23"/>
  <c r="L4647" i="23"/>
  <c r="L4654" i="23"/>
  <c r="L4686" i="23"/>
  <c r="L4610" i="23"/>
  <c r="L4639" i="23"/>
  <c r="L4638" i="23"/>
  <c r="L4616" i="23"/>
  <c r="L4581" i="23"/>
  <c r="L4633" i="23" l="1"/>
  <c r="L4643" i="23"/>
  <c r="L4674" i="23"/>
  <c r="L4718" i="23"/>
  <c r="L4717" i="23"/>
  <c r="L4660" i="23"/>
  <c r="L4659" i="23"/>
  <c r="L4651" i="23"/>
  <c r="L4650" i="23"/>
  <c r="L4626" i="23"/>
  <c r="L4630" i="23"/>
  <c r="L4620" i="23"/>
  <c r="L4603" i="23"/>
  <c r="L4586" i="23"/>
  <c r="L4665" i="23" l="1"/>
  <c r="L4625" i="23"/>
  <c r="L4671" i="23"/>
  <c r="L4698" i="23"/>
  <c r="L4706" i="23"/>
  <c r="L4700" i="23"/>
  <c r="L4679" i="23"/>
  <c r="L4622" i="23"/>
  <c r="L4621" i="23"/>
  <c r="L4631" i="23"/>
  <c r="L4669" i="23"/>
  <c r="L4691" i="23"/>
  <c r="L4670" i="23"/>
  <c r="L4735" i="23"/>
  <c r="L4699" i="23" l="1"/>
  <c r="L4627" i="23"/>
  <c r="L4579" i="23"/>
  <c r="L4595" i="23"/>
  <c r="L4652" i="23"/>
  <c r="L4701" i="23" l="1"/>
  <c r="L4723" i="23"/>
  <c r="L4689" i="23"/>
  <c r="L4645" i="23"/>
  <c r="L4599" i="23"/>
  <c r="L4614" i="23"/>
  <c r="L4661" i="23"/>
  <c r="L4662" i="23"/>
  <c r="L4727" i="23" l="1"/>
  <c r="L4728" i="23"/>
  <c r="L4729" i="23"/>
  <c r="L4714" i="23"/>
  <c r="L4715" i="23"/>
  <c r="L4716" i="23"/>
  <c r="L4713" i="23"/>
  <c r="L4712" i="23"/>
  <c r="L4705" i="23"/>
  <c r="L4704" i="23"/>
  <c r="L4708" i="23"/>
  <c r="L4711" i="23"/>
  <c r="L4707" i="23"/>
  <c r="L4709" i="23"/>
  <c r="L4702" i="23"/>
  <c r="L4697" i="23"/>
  <c r="L4692" i="23"/>
  <c r="L4694" i="23"/>
  <c r="L4696" i="23"/>
  <c r="L4695" i="23"/>
  <c r="L4703" i="23"/>
  <c r="L4688" i="23"/>
  <c r="L4685" i="23"/>
  <c r="L4683" i="23"/>
  <c r="L4684" i="23"/>
  <c r="L4681" i="23"/>
  <c r="L4682" i="23"/>
  <c r="L4680" i="23"/>
  <c r="L4678" i="23"/>
  <c r="L4672" i="23"/>
  <c r="L4676" i="23"/>
  <c r="L4675" i="23"/>
  <c r="L4673" i="23"/>
  <c r="L4663" i="23"/>
  <c r="L4666" i="23"/>
  <c r="L4664" i="23"/>
  <c r="L4667" i="23"/>
  <c r="L4656" i="23"/>
  <c r="L4636" i="23"/>
  <c r="L4644" i="23"/>
  <c r="L4640" i="23"/>
  <c r="L4649" i="23"/>
  <c r="L4628" i="23"/>
  <c r="L4607" i="23"/>
  <c r="L4570" i="23"/>
  <c r="L4569" i="23"/>
  <c r="L4553" i="23"/>
  <c r="L4574" i="23" l="1"/>
  <c r="L4440" i="23"/>
  <c r="L4634" i="23"/>
  <c r="L4611" i="23"/>
  <c r="L4460" i="23"/>
  <c r="L4347" i="23"/>
  <c r="L4534" i="23"/>
  <c r="L4510" i="23"/>
  <c r="L4369" i="23"/>
  <c r="L4438" i="23"/>
  <c r="L4348" i="23"/>
  <c r="L4442" i="23"/>
  <c r="L4658" i="23"/>
  <c r="L4655" i="23"/>
  <c r="L4653" i="23"/>
  <c r="L4657" i="23"/>
  <c r="L4637" i="23"/>
  <c r="L4646" i="23"/>
  <c r="L4642" i="23"/>
  <c r="L4635" i="23"/>
  <c r="L4629" i="23"/>
  <c r="L4632" i="23"/>
  <c r="L4624" i="23"/>
  <c r="L4623" i="23"/>
  <c r="L4619" i="23"/>
  <c r="L4618" i="23"/>
  <c r="L4612" i="23"/>
  <c r="L4609" i="23"/>
  <c r="L4615" i="23"/>
  <c r="L4613" i="23"/>
  <c r="L4605" i="23"/>
  <c r="L4606" i="23"/>
  <c r="L4604" i="23"/>
  <c r="L4601" i="23"/>
  <c r="L4602" i="23"/>
  <c r="L4596" i="23"/>
  <c r="L4597" i="23"/>
  <c r="L4598" i="23"/>
  <c r="L4593" i="23"/>
  <c r="L4591" i="23"/>
  <c r="L4592" i="23"/>
  <c r="L4589" i="23"/>
  <c r="L4582" i="23"/>
  <c r="L4576" i="23"/>
  <c r="L4558" i="23" l="1"/>
  <c r="L4529" i="23"/>
  <c r="L4526" i="23"/>
  <c r="L4523" i="23" l="1"/>
  <c r="L4522" i="23"/>
  <c r="L4488" i="23"/>
  <c r="L4575" i="23"/>
  <c r="L4500" i="23"/>
  <c r="L4536" i="23"/>
  <c r="L4535" i="23"/>
  <c r="L4548" i="23"/>
  <c r="L4554" i="23"/>
  <c r="L4563" i="23"/>
  <c r="L4571" i="23"/>
  <c r="L4549" i="23"/>
  <c r="L4538" i="23"/>
  <c r="L4537" i="23"/>
  <c r="L4508" i="23"/>
  <c r="L4565" i="23"/>
  <c r="L4564" i="23"/>
  <c r="L4463" i="23"/>
  <c r="L4600" i="23"/>
  <c r="L4594" i="23"/>
  <c r="L4587" i="23"/>
  <c r="L4588" i="23"/>
  <c r="L4590" i="23"/>
  <c r="L4584" i="23"/>
  <c r="L4580" i="23"/>
  <c r="L4583" i="23"/>
  <c r="L4585" i="23" l="1"/>
  <c r="L4578" i="23"/>
  <c r="L4577" i="23"/>
  <c r="L4572" i="23"/>
  <c r="L4573" i="23"/>
  <c r="L4567" i="23"/>
  <c r="L4568" i="23"/>
  <c r="L4566" i="23"/>
  <c r="L4562" i="23"/>
  <c r="L4556" i="23"/>
  <c r="L4559" i="23"/>
  <c r="L4561" i="23"/>
  <c r="L4547" i="23"/>
  <c r="L4544" i="23"/>
  <c r="L4540" i="23"/>
  <c r="L4533" i="23"/>
  <c r="L4521" i="23"/>
  <c r="L4530" i="23"/>
  <c r="L4525" i="23"/>
  <c r="L4512" i="23"/>
  <c r="L4504" i="23"/>
  <c r="L4505" i="23"/>
  <c r="L4485" i="23"/>
  <c r="L4416" i="23" l="1"/>
  <c r="L4448" i="23"/>
  <c r="L4405" i="23"/>
  <c r="L4418" i="23"/>
  <c r="L4475" i="23"/>
  <c r="L4473" i="23"/>
  <c r="L4503" i="23"/>
  <c r="L4494" i="23"/>
  <c r="L4493" i="23"/>
  <c r="L4515" i="23"/>
  <c r="L4545" i="23"/>
  <c r="L4496" i="23"/>
  <c r="L4487" i="23"/>
  <c r="L4489" i="23"/>
  <c r="L4490" i="23"/>
  <c r="L4546" i="23"/>
  <c r="L4557" i="23" l="1"/>
  <c r="L4555" i="23"/>
  <c r="L4560" i="23"/>
  <c r="L4552" i="23"/>
  <c r="L4551" i="23"/>
  <c r="L4550" i="23"/>
  <c r="L4543" i="23"/>
  <c r="L4542" i="23"/>
  <c r="L4539" i="23"/>
  <c r="L4532" i="23"/>
  <c r="L4531" i="23"/>
  <c r="L4528" i="23"/>
  <c r="L4524" i="23"/>
  <c r="L4527" i="23"/>
  <c r="L4331" i="23"/>
  <c r="L4520" i="23"/>
  <c r="L4517" i="23"/>
  <c r="L4509" i="23"/>
  <c r="L4519" i="23"/>
  <c r="L4506" i="23"/>
  <c r="L4507" i="23"/>
  <c r="L4502" i="23"/>
  <c r="L4511" i="23"/>
  <c r="L4518" i="23"/>
  <c r="L4516" i="23"/>
  <c r="L4513" i="23"/>
  <c r="L4492" i="23"/>
  <c r="L4497" i="23"/>
  <c r="L4498" i="23"/>
  <c r="L4491" i="23"/>
  <c r="L4495" i="23"/>
  <c r="L4499" i="23"/>
  <c r="L4481" i="23"/>
  <c r="L4483" i="23"/>
  <c r="L4482" i="23"/>
  <c r="L4480" i="23"/>
  <c r="L4478" i="23"/>
  <c r="L4479" i="23"/>
  <c r="L4486" i="23"/>
  <c r="L4472" i="23"/>
  <c r="L4467" i="23"/>
  <c r="L4476" i="23"/>
  <c r="L4470" i="23"/>
  <c r="L4469" i="23"/>
  <c r="L4468" i="23"/>
  <c r="L4462" i="23"/>
  <c r="L4457" i="23"/>
  <c r="L4446" i="23"/>
  <c r="L4435" i="23"/>
  <c r="L4433" i="23"/>
  <c r="L4432" i="23"/>
  <c r="L4423" i="23"/>
  <c r="L4426" i="23" l="1"/>
  <c r="L4471" i="23"/>
  <c r="L4410" i="23"/>
  <c r="L4434" i="23"/>
  <c r="L4392" i="23"/>
  <c r="L4443" i="23"/>
  <c r="L4441" i="23"/>
  <c r="L4402" i="23"/>
  <c r="L4436" i="23"/>
  <c r="L4388" i="23"/>
  <c r="L4401" i="23"/>
  <c r="L4429" i="23"/>
  <c r="L4466" i="23" l="1"/>
  <c r="L4484" i="23"/>
  <c r="L4461" i="23"/>
  <c r="L4464" i="23" l="1"/>
  <c r="L4465" i="23"/>
  <c r="L4451" i="23"/>
  <c r="L4456" i="23"/>
  <c r="L4455" i="23"/>
  <c r="L4453" i="23"/>
  <c r="L4459" i="23"/>
  <c r="L4454" i="23"/>
  <c r="L4458" i="23"/>
  <c r="L4450" i="23"/>
  <c r="L4444" i="23"/>
  <c r="L4447" i="23"/>
  <c r="L4445" i="23"/>
  <c r="L4449" i="23"/>
  <c r="L4431" i="23"/>
  <c r="L4427" i="23"/>
  <c r="L4430" i="23"/>
  <c r="L4428" i="23"/>
  <c r="L4420" i="23"/>
  <c r="L4437" i="23"/>
  <c r="L4424" i="23"/>
  <c r="L4421" i="23"/>
  <c r="L4417" i="23"/>
  <c r="L4399" i="23"/>
  <c r="L4222" i="23"/>
  <c r="L4395" i="23"/>
  <c r="L4378" i="23"/>
  <c r="L4375" i="23"/>
  <c r="L4400" i="23" l="1"/>
  <c r="L4379" i="23"/>
  <c r="L4404" i="23"/>
  <c r="L4372" i="23"/>
  <c r="L4361" i="23"/>
  <c r="L4387" i="23"/>
  <c r="L4366" i="23"/>
  <c r="L4349" i="23"/>
  <c r="L4391" i="23"/>
  <c r="L4409" i="23"/>
  <c r="L4283" i="23"/>
  <c r="L4286" i="23" l="1"/>
  <c r="L4281" i="23"/>
  <c r="L4332" i="23"/>
  <c r="L4310" i="23"/>
  <c r="L4316" i="23"/>
  <c r="L4350" i="23" l="1"/>
  <c r="L4364" i="23"/>
  <c r="L4382" i="23"/>
  <c r="L4358" i="23"/>
  <c r="L4353" i="23"/>
  <c r="L4344" i="23"/>
  <c r="L4323" i="23"/>
  <c r="L4307" i="23"/>
  <c r="L4439" i="23"/>
  <c r="L4422" i="23"/>
  <c r="L4425" i="23"/>
  <c r="L4413" i="23"/>
  <c r="L4419" i="23"/>
  <c r="L4411" i="23"/>
  <c r="L4415" i="23"/>
  <c r="L4414" i="23"/>
  <c r="L4412" i="23"/>
  <c r="L4406" i="23"/>
  <c r="L4408" i="23"/>
  <c r="L4407" i="23"/>
  <c r="L4403" i="23"/>
  <c r="L4398" i="23"/>
  <c r="L4397" i="23"/>
  <c r="L4396" i="23"/>
  <c r="L4394" i="23"/>
  <c r="L4393" i="23"/>
  <c r="L4390" i="23"/>
  <c r="L4389" i="23"/>
  <c r="L4386" i="23"/>
  <c r="L4385" i="23" l="1"/>
  <c r="L4384" i="23"/>
  <c r="L4383" i="23"/>
  <c r="L4381" i="23"/>
  <c r="L4380" i="23"/>
  <c r="L4371" i="23"/>
  <c r="L4370" i="23"/>
  <c r="L4373" i="23"/>
  <c r="L4367" i="23"/>
  <c r="L4336" i="23"/>
  <c r="L4339" i="23"/>
  <c r="L4330" i="23"/>
  <c r="L4277" i="23"/>
  <c r="L3697" i="23"/>
  <c r="M3697" i="23" a="1"/>
  <c r="M3697" i="23" s="1"/>
  <c r="N3697" i="23" s="1"/>
  <c r="L4377" i="23" l="1"/>
  <c r="L4376" i="23"/>
  <c r="L4374" i="23"/>
  <c r="L4365" i="23"/>
  <c r="L4359" i="23" l="1"/>
  <c r="L4354" i="23"/>
  <c r="L4352" i="23"/>
  <c r="L4356" i="23"/>
  <c r="L4337" i="23"/>
  <c r="L4326" i="23"/>
  <c r="L4308" i="23"/>
  <c r="L4357" i="23" l="1"/>
  <c r="L4345" i="23"/>
  <c r="L4338" i="23"/>
  <c r="L4334" i="23"/>
  <c r="L4304" i="23"/>
  <c r="L4368" i="23"/>
  <c r="L4362" i="23"/>
  <c r="L4363" i="23"/>
  <c r="L4360" i="23"/>
  <c r="L4351" i="23"/>
  <c r="L4355" i="23"/>
  <c r="L4346" i="23"/>
  <c r="L4343" i="23"/>
  <c r="L4342" i="23"/>
  <c r="L4335" i="23"/>
  <c r="L4333" i="23"/>
  <c r="L4341" i="23"/>
  <c r="L4340" i="23" l="1"/>
  <c r="L4298" i="23"/>
  <c r="L4291" i="23" l="1"/>
  <c r="L4296" i="23"/>
  <c r="L4270" i="23"/>
  <c r="L4254" i="23"/>
  <c r="L4232" i="23"/>
  <c r="L4225" i="23"/>
  <c r="L4210" i="23"/>
  <c r="L4211" i="23"/>
  <c r="L4192" i="23"/>
  <c r="L4177" i="23"/>
  <c r="L4176" i="23"/>
  <c r="L4152" i="23"/>
  <c r="L4098" i="23"/>
  <c r="L4122" i="23"/>
  <c r="L4127" i="23"/>
  <c r="L4144" i="23"/>
  <c r="L4027" i="23"/>
  <c r="L4040" i="23"/>
  <c r="L4061" i="23"/>
  <c r="L3975" i="23"/>
  <c r="L3931" i="23"/>
  <c r="L3932" i="23"/>
  <c r="L3852" i="23" l="1"/>
  <c r="M3852" i="23" a="1"/>
  <c r="M3852" i="23" s="1"/>
  <c r="N3852" i="23" s="1"/>
  <c r="L3843" i="23"/>
  <c r="M3843" i="23" a="1"/>
  <c r="M3843" i="23" s="1"/>
  <c r="N3843" i="23" s="1"/>
  <c r="L3831" i="23"/>
  <c r="M3831" i="23" a="1"/>
  <c r="M3831" i="23" s="1"/>
  <c r="N3831" i="23" s="1"/>
  <c r="L4284" i="23"/>
  <c r="L4279" i="23"/>
  <c r="L3714" i="23"/>
  <c r="M3714" i="23" a="1"/>
  <c r="M3714" i="23" s="1"/>
  <c r="N3714" i="23" s="1"/>
  <c r="L3745" i="23"/>
  <c r="M3745" i="23" a="1"/>
  <c r="M3745" i="23" s="1"/>
  <c r="N3745" i="23" s="1"/>
  <c r="L3666" i="23"/>
  <c r="M3666" i="23" a="1"/>
  <c r="M3666" i="23" s="1"/>
  <c r="N3666" i="23" s="1"/>
  <c r="L3668" i="23"/>
  <c r="M3668" i="23" a="1"/>
  <c r="M3668" i="23" s="1"/>
  <c r="N3668" i="23" s="1"/>
  <c r="L3654" i="23"/>
  <c r="M3654" i="23" a="1"/>
  <c r="M3654" i="23" s="1"/>
  <c r="N3654" i="23" s="1"/>
  <c r="L3606" i="23"/>
  <c r="M3606" i="23" a="1"/>
  <c r="M3606" i="23" s="1"/>
  <c r="N3606" i="23" s="1"/>
  <c r="L3567" i="23"/>
  <c r="M3567" i="23" a="1"/>
  <c r="M3567" i="23" s="1"/>
  <c r="N3567" i="23" s="1"/>
  <c r="L4317" i="23" l="1"/>
  <c r="L4318" i="23"/>
  <c r="L4322" i="23"/>
  <c r="L4303" i="23"/>
  <c r="L4302" i="23"/>
  <c r="L4305" i="23"/>
  <c r="L4306" i="23"/>
  <c r="L4321" i="23"/>
  <c r="L4312" i="23"/>
  <c r="L4329" i="23"/>
  <c r="L4328" i="23"/>
  <c r="L4315" i="23"/>
  <c r="L4327" i="23"/>
  <c r="L4300" i="23"/>
  <c r="L4325" i="23" l="1"/>
  <c r="L4324" i="23"/>
  <c r="L4320" i="23"/>
  <c r="L4319" i="23"/>
  <c r="L4311" i="23"/>
  <c r="L4314" i="23"/>
  <c r="L4313" i="23"/>
  <c r="L4309" i="23"/>
  <c r="L4301" i="23"/>
  <c r="L4294" i="23"/>
  <c r="L4293" i="23"/>
  <c r="L4295" i="23"/>
  <c r="L4297" i="23"/>
  <c r="L4299" i="23"/>
  <c r="L4292" i="23"/>
  <c r="L4289" i="23"/>
  <c r="L4290" i="23"/>
  <c r="L4288" i="23"/>
  <c r="L4287" i="23"/>
  <c r="L4280" i="23"/>
  <c r="L4282" i="23"/>
  <c r="L4285" i="23"/>
  <c r="L4274" i="23"/>
  <c r="L4278" i="23"/>
  <c r="L4273" i="23"/>
  <c r="L4276" i="23"/>
  <c r="L4275" i="23"/>
  <c r="L4257" i="23"/>
  <c r="L4259" i="23"/>
  <c r="L4256" i="23"/>
  <c r="L4252" i="23"/>
  <c r="L4255" i="23"/>
  <c r="L4246" i="23"/>
  <c r="L4236" i="23"/>
  <c r="L4237" i="23"/>
  <c r="L4228" i="23"/>
  <c r="L4229" i="23"/>
  <c r="L4233" i="23"/>
  <c r="L4220" i="23"/>
  <c r="L4201" i="23"/>
  <c r="L4197" i="23"/>
  <c r="L4135" i="23"/>
  <c r="L4125" i="23"/>
  <c r="L4087" i="23"/>
  <c r="L4006" i="23"/>
  <c r="L4260" i="23" l="1"/>
  <c r="L4261" i="23"/>
  <c r="L4258" i="23"/>
  <c r="L4264" i="23"/>
  <c r="L4271" i="23"/>
  <c r="L4268" i="23"/>
  <c r="L4262" i="23"/>
  <c r="L4265" i="23"/>
  <c r="L4272" i="23"/>
  <c r="L4263" i="23"/>
  <c r="L4269" i="23"/>
  <c r="L4266" i="23"/>
  <c r="L4267" i="23"/>
  <c r="L4241" i="23"/>
  <c r="L4248" i="23"/>
  <c r="L4253" i="23"/>
  <c r="L4244" i="23"/>
  <c r="L4251" i="23"/>
  <c r="L4249" i="23"/>
  <c r="L4250" i="23"/>
  <c r="L4247" i="23"/>
  <c r="L4243" i="23"/>
  <c r="L4242" i="23"/>
  <c r="L4238" i="23"/>
  <c r="L4240" i="23"/>
  <c r="K616" i="23"/>
  <c r="L616" i="23" s="1"/>
  <c r="M616" i="23" a="1"/>
  <c r="M616" i="23" s="1"/>
  <c r="N616" i="23" s="1"/>
  <c r="L4239" i="23"/>
  <c r="L4234" i="23"/>
  <c r="L4235" i="23"/>
  <c r="L4230" i="23"/>
  <c r="L4231" i="23"/>
  <c r="L4227" i="23"/>
  <c r="L4223" i="23"/>
  <c r="L4224" i="23"/>
  <c r="L4214" i="23"/>
  <c r="L4206" i="23"/>
  <c r="L4208" i="23"/>
  <c r="L4207" i="23"/>
  <c r="L4200" i="23"/>
  <c r="L4191" i="23"/>
  <c r="L4190" i="23"/>
  <c r="L4186" i="23"/>
  <c r="L4182" i="23"/>
  <c r="L4136" i="23"/>
  <c r="K3239" i="23"/>
  <c r="L3239" i="23" s="1"/>
  <c r="M3239" i="23" a="1"/>
  <c r="M3239" i="23" s="1"/>
  <c r="N3239" i="23" s="1"/>
  <c r="K3284" i="23"/>
  <c r="L3284" i="23" s="1"/>
  <c r="M3284" i="23" a="1"/>
  <c r="M3284" i="23" s="1"/>
  <c r="N3284" i="23" s="1"/>
  <c r="K3212" i="23"/>
  <c r="L3212" i="23" s="1"/>
  <c r="M3212" i="23" a="1"/>
  <c r="M3212" i="23" s="1"/>
  <c r="N3212" i="23" s="1"/>
  <c r="L3563" i="23"/>
  <c r="M3563" i="23" a="1"/>
  <c r="M3563" i="23" s="1"/>
  <c r="N3563" i="23" s="1"/>
  <c r="K3353" i="23"/>
  <c r="L3353" i="23" s="1"/>
  <c r="M3353" i="23" a="1"/>
  <c r="M3353" i="23" s="1"/>
  <c r="N3353" i="23" s="1"/>
  <c r="L3946" i="23"/>
  <c r="L3742" i="23"/>
  <c r="M3742" i="23" a="1"/>
  <c r="M3742" i="23" s="1"/>
  <c r="N3742" i="23" s="1"/>
  <c r="L4056" i="23"/>
  <c r="L3974" i="23"/>
  <c r="L4202" i="23" l="1"/>
  <c r="L4221" i="23"/>
  <c r="L4195" i="23" l="1"/>
  <c r="L4188" i="23"/>
  <c r="L4169" i="23"/>
  <c r="L4170" i="23"/>
  <c r="L4155" i="23"/>
  <c r="L4156" i="23"/>
  <c r="L4226" i="23"/>
  <c r="L4218" i="23"/>
  <c r="L4216" i="23"/>
  <c r="L4215" i="23"/>
  <c r="L4219" i="23"/>
  <c r="L4213" i="23"/>
  <c r="L4205" i="23"/>
  <c r="L4204" i="23"/>
  <c r="L4209" i="23"/>
  <c r="L4203" i="23"/>
  <c r="L4212" i="23"/>
  <c r="L4199" i="23"/>
  <c r="L4198" i="23"/>
  <c r="L4196" i="23"/>
  <c r="L4193" i="23"/>
  <c r="L4189" i="23"/>
  <c r="L4187" i="23"/>
  <c r="L4194" i="23"/>
  <c r="L4159" i="23"/>
  <c r="L4158" i="23"/>
  <c r="L4183" i="23"/>
  <c r="L4185" i="23"/>
  <c r="L4184" i="23"/>
  <c r="L4181" i="23"/>
  <c r="L4148" i="23"/>
  <c r="L4142" i="23"/>
  <c r="L4134" i="23"/>
  <c r="L3982" i="23"/>
  <c r="L3886" i="23"/>
  <c r="M3886" i="23" a="1"/>
  <c r="M3886" i="23" s="1"/>
  <c r="N3886" i="23" s="1"/>
  <c r="L3811" i="23"/>
  <c r="M3811" i="23" a="1"/>
  <c r="M3811" i="23" s="1"/>
  <c r="N3811" i="23" s="1"/>
  <c r="L3807" i="23"/>
  <c r="M3807" i="23" a="1"/>
  <c r="M3807" i="23" s="1"/>
  <c r="N3807" i="23" s="1"/>
  <c r="L3653" i="23"/>
  <c r="M3653" i="23" a="1"/>
  <c r="M3653" i="23" s="1"/>
  <c r="N3653" i="23" s="1"/>
  <c r="L4178" i="23"/>
  <c r="L3624" i="23"/>
  <c r="M3624" i="23" a="1"/>
  <c r="M3624" i="23" s="1"/>
  <c r="N3624" i="23" s="1"/>
  <c r="L3535" i="23"/>
  <c r="M3535" i="23" a="1"/>
  <c r="M3535" i="23" s="1"/>
  <c r="N3535" i="23" s="1"/>
  <c r="L3551" i="23"/>
  <c r="M3551" i="23" a="1"/>
  <c r="M3551" i="23" s="1"/>
  <c r="N3551" i="23" s="1"/>
  <c r="T47" i="18" l="1"/>
  <c r="V47" i="18" s="1"/>
  <c r="T46" i="18"/>
  <c r="V46" i="18" s="1"/>
  <c r="T45" i="18"/>
  <c r="V45" i="18" s="1"/>
  <c r="V48" i="18"/>
  <c r="V49" i="18"/>
  <c r="L4179" i="23"/>
  <c r="L4171" i="23"/>
  <c r="L4165" i="23"/>
  <c r="L4160" i="23"/>
  <c r="L4172" i="23"/>
  <c r="L4174" i="23"/>
  <c r="L4173" i="23"/>
  <c r="L4180" i="23"/>
  <c r="L4168" i="23"/>
  <c r="L4167" i="23"/>
  <c r="L4163" i="23"/>
  <c r="L4162" i="23"/>
  <c r="L4166" i="23"/>
  <c r="L4164" i="23"/>
  <c r="L4157" i="23"/>
  <c r="L4154" i="23"/>
  <c r="L4150" i="23"/>
  <c r="L4153" i="23"/>
  <c r="L4151" i="23"/>
  <c r="L4161" i="23"/>
  <c r="L4149" i="23"/>
  <c r="L4143" i="23"/>
  <c r="L4145" i="23"/>
  <c r="L4140" i="23"/>
  <c r="L4146" i="23"/>
  <c r="L4141" i="23"/>
  <c r="L4147" i="23"/>
  <c r="L4133" i="23"/>
  <c r="L4139" i="23"/>
  <c r="L4132" i="23"/>
  <c r="L4138" i="23"/>
  <c r="L4131" i="23"/>
  <c r="L4137" i="23"/>
  <c r="L4129" i="23"/>
  <c r="L4130" i="23"/>
  <c r="L4124" i="23"/>
  <c r="L4126" i="23"/>
  <c r="L4118" i="23"/>
  <c r="L4117" i="23"/>
  <c r="L4121" i="23"/>
  <c r="L4123" i="23"/>
  <c r="L4115" i="23"/>
  <c r="L4114" i="23"/>
  <c r="L4095" i="23"/>
  <c r="L4012" i="23"/>
  <c r="L3978" i="23"/>
  <c r="L3972" i="23"/>
  <c r="M3556" i="23" l="1"/>
  <c r="M3555" i="23"/>
  <c r="N3555" i="23" s="1"/>
  <c r="L3555" i="23"/>
  <c r="M3479" i="23" l="1"/>
  <c r="M3924" i="23" l="1"/>
  <c r="N3924" i="23" s="1"/>
  <c r="M3602" i="23"/>
  <c r="M3590" i="23"/>
  <c r="N3590" i="23" s="1"/>
  <c r="M3884" i="23"/>
  <c r="N3884" i="23" s="1"/>
  <c r="L4025" i="23"/>
  <c r="M3913" i="23"/>
  <c r="N3913" i="23" s="1"/>
  <c r="M3887" i="23"/>
  <c r="N3887" i="23" s="1"/>
  <c r="M3912" i="23"/>
  <c r="N3912" i="23" s="1"/>
  <c r="M3896" i="23"/>
  <c r="N3896" i="23" s="1"/>
  <c r="M3883" i="23"/>
  <c r="N3883" i="23" s="1"/>
  <c r="M3907" i="23"/>
  <c r="N3907" i="23" s="1"/>
  <c r="M3906" i="23"/>
  <c r="N3906" i="23" s="1"/>
  <c r="M3893" i="23"/>
  <c r="N3893" i="23" s="1"/>
  <c r="M3842" i="23"/>
  <c r="N3842" i="23" s="1"/>
  <c r="M3802" i="23"/>
  <c r="N3802" i="23" s="1"/>
  <c r="M3750" i="23"/>
  <c r="N3750" i="23" s="1"/>
  <c r="M3721" i="23"/>
  <c r="N3721" i="23" s="1"/>
  <c r="L4065" i="23"/>
  <c r="L4028" i="23"/>
  <c r="L3979" i="23"/>
  <c r="L4097" i="23"/>
  <c r="L4094" i="23"/>
  <c r="L4099" i="23"/>
  <c r="L4089" i="23"/>
  <c r="L4090" i="23"/>
  <c r="L4100" i="23"/>
  <c r="L4085" i="23"/>
  <c r="L4093" i="23"/>
  <c r="L4086" i="23"/>
  <c r="L4103" i="23"/>
  <c r="L4064" i="23"/>
  <c r="L4075" i="23"/>
  <c r="L4078" i="23"/>
  <c r="L4069" i="23"/>
  <c r="L4072" i="23"/>
  <c r="L4068" i="23"/>
  <c r="L4081" i="23"/>
  <c r="L4084" i="23"/>
  <c r="L4083" i="23"/>
  <c r="L4050" i="23"/>
  <c r="L4057" i="23"/>
  <c r="L4054" i="23"/>
  <c r="L4051" i="23"/>
  <c r="L4052" i="23"/>
  <c r="L4036" i="23"/>
  <c r="L4039" i="23"/>
  <c r="L4041" i="23"/>
  <c r="L4049" i="23"/>
  <c r="L4032" i="23"/>
  <c r="L4035" i="23"/>
  <c r="L4042" i="23"/>
  <c r="L4044" i="23"/>
  <c r="L4011" i="23"/>
  <c r="L4016" i="23"/>
  <c r="L4013" i="23"/>
  <c r="L4014" i="23"/>
  <c r="L3993" i="23"/>
  <c r="L4004" i="23"/>
  <c r="L3996" i="23"/>
  <c r="L3999" i="23"/>
  <c r="L4009" i="23"/>
  <c r="L4000" i="23"/>
  <c r="L4007" i="23"/>
  <c r="L3997" i="23"/>
  <c r="L3995" i="23"/>
  <c r="L4001" i="23"/>
  <c r="L3998" i="23"/>
  <c r="L3984" i="23"/>
  <c r="L3986" i="23"/>
  <c r="L3990" i="23"/>
  <c r="L3985" i="23"/>
  <c r="L3992" i="23"/>
  <c r="L3980" i="23"/>
  <c r="L3989" i="23"/>
  <c r="L3973" i="23"/>
  <c r="L3976" i="23"/>
  <c r="L3977" i="23"/>
  <c r="L3960" i="23"/>
  <c r="L4128" i="23"/>
  <c r="L4116" i="23"/>
  <c r="L4120" i="23"/>
  <c r="L3781" i="23"/>
  <c r="M3781" i="23" a="1"/>
  <c r="M3781" i="23" s="1"/>
  <c r="N3781" i="23" s="1"/>
  <c r="L4119" i="23"/>
  <c r="L4113" i="23"/>
  <c r="L3763" i="23"/>
  <c r="M3763" i="23" a="1"/>
  <c r="M3763" i="23" s="1"/>
  <c r="N3763" i="23" s="1"/>
  <c r="L4112" i="23"/>
  <c r="L3783" i="23"/>
  <c r="L4109" i="23"/>
  <c r="L4108" i="23"/>
  <c r="L4111" i="23"/>
  <c r="L4106" i="23"/>
  <c r="L4105" i="23"/>
  <c r="L4110" i="23"/>
  <c r="L4107" i="23"/>
  <c r="L4104" i="23"/>
  <c r="L4091" i="23"/>
  <c r="L4102" i="23"/>
  <c r="L4101" i="23"/>
  <c r="L4096" i="23"/>
  <c r="L4092" i="23"/>
  <c r="L4088" i="23"/>
  <c r="L4067" i="23"/>
  <c r="L4074" i="23"/>
  <c r="L4073" i="23"/>
  <c r="L4071" i="23"/>
  <c r="L4070" i="23"/>
  <c r="L4080" i="23"/>
  <c r="L4079" i="23"/>
  <c r="L4077" i="23"/>
  <c r="L4066" i="23"/>
  <c r="L4082" i="23"/>
  <c r="L4076" i="23"/>
  <c r="L4058" i="23"/>
  <c r="L4053" i="23"/>
  <c r="L4059" i="23"/>
  <c r="L4063" i="23"/>
  <c r="L4060" i="23"/>
  <c r="L4062" i="23"/>
  <c r="L4055" i="23"/>
  <c r="L4031" i="23"/>
  <c r="L4030" i="23"/>
  <c r="L4045" i="23"/>
  <c r="L4047" i="23"/>
  <c r="L4046" i="23"/>
  <c r="L4037" i="23"/>
  <c r="L4034" i="23"/>
  <c r="L4043" i="23"/>
  <c r="L4033" i="23"/>
  <c r="L4038" i="23"/>
  <c r="L4029" i="23"/>
  <c r="L4048" i="23"/>
  <c r="L4023" i="23"/>
  <c r="L4026" i="23"/>
  <c r="L3873" i="23"/>
  <c r="L4024" i="23"/>
  <c r="L4020" i="23"/>
  <c r="L4021" i="23"/>
  <c r="L4022" i="23"/>
  <c r="L4019" i="23"/>
  <c r="L4018" i="23"/>
  <c r="L4017" i="23"/>
  <c r="L4015" i="23"/>
  <c r="L4003" i="23"/>
  <c r="L4002" i="23"/>
  <c r="L4010" i="23"/>
  <c r="L4008" i="23"/>
  <c r="L3994" i="23"/>
  <c r="L4005" i="23"/>
  <c r="L3981" i="23"/>
  <c r="L3983" i="23"/>
  <c r="L3988" i="23"/>
  <c r="L3987" i="23"/>
  <c r="L3991" i="23"/>
  <c r="L3970" i="23"/>
  <c r="L3964" i="23"/>
  <c r="L3959" i="23"/>
  <c r="L3954" i="23"/>
  <c r="L3955" i="23"/>
  <c r="L3962" i="23"/>
  <c r="L3943" i="23"/>
  <c r="L3945" i="23"/>
  <c r="L3942" i="23"/>
  <c r="L3951" i="23"/>
  <c r="L3947" i="23"/>
  <c r="L3939" i="23"/>
  <c r="L3948" i="23"/>
  <c r="L3908" i="23"/>
  <c r="L3907" i="23"/>
  <c r="L3924" i="23"/>
  <c r="L3906" i="23"/>
  <c r="L3912" i="23"/>
  <c r="L3913" i="23"/>
  <c r="L3893" i="23"/>
  <c r="L3896" i="23"/>
  <c r="L3887" i="23"/>
  <c r="L3883" i="23"/>
  <c r="L3884" i="23"/>
  <c r="L3971" i="23"/>
  <c r="B35" i="26"/>
  <c r="B34" i="26"/>
  <c r="B33" i="26"/>
  <c r="B32" i="26"/>
  <c r="B31" i="26"/>
  <c r="B30" i="26"/>
  <c r="B29" i="26"/>
  <c r="B28" i="26"/>
  <c r="B27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M3902" i="23"/>
  <c r="N3902" i="23" s="1"/>
  <c r="M3901" i="23"/>
  <c r="N3901" i="23" s="1"/>
  <c r="M3882" i="23"/>
  <c r="N3882" i="23" s="1"/>
  <c r="M3871" i="23"/>
  <c r="N3871" i="23" s="1"/>
  <c r="M3862" i="23"/>
  <c r="N3862" i="23" s="1"/>
  <c r="M3861" i="23"/>
  <c r="N3861" i="23" s="1"/>
  <c r="M3815" i="23"/>
  <c r="N3815" i="23" s="1"/>
  <c r="M3790" i="23"/>
  <c r="N3790" i="23" s="1"/>
  <c r="M3761" i="23"/>
  <c r="N3761" i="23" s="1"/>
  <c r="M3736" i="23"/>
  <c r="N3736" i="23" s="1"/>
  <c r="M3698" i="23"/>
  <c r="N3698" i="23" s="1"/>
  <c r="M3686" i="23"/>
  <c r="N3686" i="23" s="1"/>
  <c r="M3671" i="23"/>
  <c r="N3671" i="23" s="1"/>
  <c r="M3859" i="23"/>
  <c r="N3859" i="23" s="1"/>
  <c r="M3798" i="23"/>
  <c r="N3798" i="23" s="1"/>
  <c r="M3760" i="23"/>
  <c r="N3760" i="23" s="1"/>
  <c r="M3627" i="23"/>
  <c r="N3627" i="23" s="1"/>
  <c r="M3504" i="23"/>
  <c r="N3504" i="23" s="1"/>
  <c r="M3394" i="23"/>
  <c r="M3880" i="23"/>
  <c r="N3880" i="23" s="1"/>
  <c r="M3814" i="23"/>
  <c r="N3814" i="23" s="1"/>
  <c r="M3779" i="23"/>
  <c r="N3779" i="23" s="1"/>
  <c r="M3899" i="23"/>
  <c r="N3899" i="23" s="1"/>
  <c r="M3870" i="23"/>
  <c r="N3870" i="23" s="1"/>
  <c r="M3857" i="23"/>
  <c r="N3857" i="23" s="1"/>
  <c r="M3835" i="23"/>
  <c r="N3835" i="23" s="1"/>
  <c r="M3813" i="23"/>
  <c r="N3813" i="23" s="1"/>
  <c r="M3778" i="23"/>
  <c r="N3778" i="23" s="1"/>
  <c r="M3735" i="23"/>
  <c r="N3735" i="23" s="1"/>
  <c r="M3716" i="23"/>
  <c r="N3716" i="23" s="1"/>
  <c r="M3656" i="23"/>
  <c r="N3656" i="23" s="1"/>
  <c r="M3594" i="23"/>
  <c r="N3594" i="23" s="1"/>
  <c r="M3856" i="23"/>
  <c r="N3856" i="23" s="1"/>
  <c r="M3855" i="23"/>
  <c r="N3855" i="23" s="1"/>
  <c r="M3788" i="23"/>
  <c r="N3788" i="23" s="1"/>
  <c r="M3733" i="23"/>
  <c r="M3758" i="23"/>
  <c r="M3715" i="23"/>
  <c r="N3715" i="23" s="1"/>
  <c r="M3696" i="23"/>
  <c r="N3696" i="23" s="1"/>
  <c r="M3669" i="23"/>
  <c r="N3669" i="23" s="1"/>
  <c r="M3609" i="23"/>
  <c r="N3609" i="23" s="1"/>
  <c r="M3581" i="23"/>
  <c r="N3581" i="23" s="1"/>
  <c r="M3854" i="23"/>
  <c r="N3854" i="23" s="1"/>
  <c r="M3833" i="23"/>
  <c r="N3833" i="23" s="1"/>
  <c r="M3832" i="23"/>
  <c r="N3832" i="23" s="1"/>
  <c r="M3787" i="23"/>
  <c r="N3787" i="23" s="1"/>
  <c r="M3757" i="23"/>
  <c r="N3757" i="23" s="1"/>
  <c r="M3732" i="23"/>
  <c r="N3732" i="23" s="1"/>
  <c r="M3684" i="23"/>
  <c r="N3684" i="23" s="1"/>
  <c r="M3651" i="23"/>
  <c r="N3651" i="23" s="1"/>
  <c r="M3608" i="23"/>
  <c r="N3608" i="23" s="1"/>
  <c r="M3607" i="23"/>
  <c r="M3580" i="23"/>
  <c r="N3580" i="23" s="1"/>
  <c r="M3500" i="23"/>
  <c r="M3570" i="23"/>
  <c r="M3515" i="23"/>
  <c r="N3515" i="23" s="1"/>
  <c r="M2959" i="23"/>
  <c r="M3879" i="23"/>
  <c r="N3879" i="23" s="1"/>
  <c r="M3853" i="23"/>
  <c r="N3853" i="23" s="1"/>
  <c r="M3830" i="23"/>
  <c r="N3830" i="23" s="1"/>
  <c r="M2843" i="23"/>
  <c r="N2843" i="23" s="1"/>
  <c r="M3756" i="23"/>
  <c r="N3756" i="23" s="1"/>
  <c r="M3731" i="23"/>
  <c r="N3731" i="23" s="1"/>
  <c r="M3695" i="23"/>
  <c r="N3695" i="23" s="1"/>
  <c r="M3667" i="23"/>
  <c r="N3667" i="23" s="1"/>
  <c r="M3623" i="23"/>
  <c r="N3623" i="23" s="1"/>
  <c r="M3578" i="23"/>
  <c r="N3578" i="23" s="1"/>
  <c r="M3569" i="23"/>
  <c r="N3569" i="23" s="1"/>
  <c r="M3315" i="23"/>
  <c r="M3898" i="23"/>
  <c r="N3898" i="23" s="1"/>
  <c r="M3829" i="23"/>
  <c r="N3829" i="23" s="1"/>
  <c r="M3786" i="23"/>
  <c r="N3786" i="23" s="1"/>
  <c r="M3776" i="23"/>
  <c r="N3776" i="23" s="1"/>
  <c r="M3755" i="23"/>
  <c r="N3755" i="23" s="1"/>
  <c r="M3665" i="23"/>
  <c r="N3665" i="23" s="1"/>
  <c r="M3650" i="23"/>
  <c r="N3650" i="23" s="1"/>
  <c r="M3605" i="23"/>
  <c r="N3605" i="23" s="1"/>
  <c r="M3499" i="23"/>
  <c r="N3499" i="23" s="1"/>
  <c r="M3828" i="23"/>
  <c r="N3828" i="23" s="1"/>
  <c r="M3784" i="23"/>
  <c r="N3784" i="23" s="1"/>
  <c r="M3775" i="23"/>
  <c r="N3775" i="23" s="1"/>
  <c r="M3712" i="23"/>
  <c r="N3712" i="23" s="1"/>
  <c r="M3647" i="23"/>
  <c r="N3647" i="23" s="1"/>
  <c r="M3603" i="23"/>
  <c r="N3603" i="23" s="1"/>
  <c r="M3565" i="23"/>
  <c r="N3565" i="23" s="1"/>
  <c r="M3497" i="23"/>
  <c r="N3497" i="23" s="1"/>
  <c r="M3445" i="23"/>
  <c r="M3427" i="23"/>
  <c r="M3403" i="23"/>
  <c r="M3426" i="23"/>
  <c r="N3426" i="23" s="1"/>
  <c r="M3868" i="23"/>
  <c r="N3868" i="23" s="1"/>
  <c r="M3827" i="23"/>
  <c r="N3827" i="23" s="1"/>
  <c r="M3744" i="23"/>
  <c r="N3744" i="23" s="1"/>
  <c r="M3851" i="23"/>
  <c r="N3851" i="23" s="1"/>
  <c r="M3809" i="23"/>
  <c r="N3809" i="23" s="1"/>
  <c r="M3754" i="23"/>
  <c r="M3693" i="23"/>
  <c r="N3693" i="23" s="1"/>
  <c r="M3621" i="23"/>
  <c r="N3621" i="23" s="1"/>
  <c r="M3543" i="23"/>
  <c r="N3543" i="23" s="1"/>
  <c r="M3826" i="23"/>
  <c r="N3826" i="23" s="1"/>
  <c r="M3796" i="23"/>
  <c r="N3796" i="23" s="1"/>
  <c r="M3753" i="23"/>
  <c r="N3753" i="23" s="1"/>
  <c r="M3728" i="23"/>
  <c r="N3728" i="23" s="1"/>
  <c r="M3877" i="23"/>
  <c r="N3877" i="23" s="1"/>
  <c r="M3743" i="23"/>
  <c r="N3743" i="23" s="1"/>
  <c r="M3661" i="23"/>
  <c r="M3876" i="23"/>
  <c r="N3876" i="23" s="1"/>
  <c r="M3850" i="23"/>
  <c r="N3850" i="23" s="1"/>
  <c r="M3808" i="23"/>
  <c r="N3808" i="23" s="1"/>
  <c r="M3752" i="23"/>
  <c r="M3709" i="23"/>
  <c r="N3709" i="23" s="1"/>
  <c r="M3682" i="23"/>
  <c r="N3682" i="23" s="1"/>
  <c r="M3577" i="23"/>
  <c r="M3495" i="23"/>
  <c r="N3495" i="23" s="1"/>
  <c r="M3620" i="23"/>
  <c r="N3620" i="23" s="1"/>
  <c r="M3897" i="23"/>
  <c r="N3897" i="23" s="1"/>
  <c r="M3867" i="23"/>
  <c r="N3867" i="23" s="1"/>
  <c r="M3849" i="23"/>
  <c r="N3849" i="23" s="1"/>
  <c r="M3727" i="23"/>
  <c r="N3727" i="23" s="1"/>
  <c r="M3708" i="23"/>
  <c r="N3708" i="23" s="1"/>
  <c r="M3645" i="23"/>
  <c r="N3645" i="23" s="1"/>
  <c r="M3494" i="23"/>
  <c r="N3494" i="23" s="1"/>
  <c r="M3848" i="23"/>
  <c r="N3848" i="23" s="1"/>
  <c r="M3847" i="23"/>
  <c r="N3847" i="23" s="1"/>
  <c r="M3806" i="23"/>
  <c r="N3806" i="23" s="1"/>
  <c r="M3751" i="23"/>
  <c r="N3751" i="23" s="1"/>
  <c r="M3707" i="23"/>
  <c r="M3618" i="23"/>
  <c r="M3542" i="23"/>
  <c r="M3493" i="23"/>
  <c r="N3493" i="23" s="1"/>
  <c r="M3825" i="23"/>
  <c r="N3825" i="23" s="1"/>
  <c r="M3782" i="23"/>
  <c r="N3782" i="23" s="1"/>
  <c r="M3774" i="23"/>
  <c r="N3774" i="23" s="1"/>
  <c r="M3706" i="23"/>
  <c r="N3706" i="23" s="1"/>
  <c r="M3680" i="23"/>
  <c r="N3680" i="23" s="1"/>
  <c r="M3644" i="23"/>
  <c r="N3644" i="23" s="1"/>
  <c r="M3629" i="23"/>
  <c r="M3562" i="23"/>
  <c r="N3562" i="23" s="1"/>
  <c r="M3601" i="23"/>
  <c r="N3601" i="23" s="1"/>
  <c r="M3560" i="23"/>
  <c r="M3541" i="23"/>
  <c r="N3541" i="23" s="1"/>
  <c r="M3910" i="23"/>
  <c r="N3910" i="23" s="1"/>
  <c r="M3846" i="23"/>
  <c r="N3846" i="23" s="1"/>
  <c r="M3845" i="23"/>
  <c r="N3845" i="23" s="1"/>
  <c r="M3824" i="23"/>
  <c r="N3824" i="23" s="1"/>
  <c r="M3823" i="23"/>
  <c r="N3823" i="23" s="1"/>
  <c r="M3805" i="23"/>
  <c r="N3805" i="23" s="1"/>
  <c r="M3804" i="23"/>
  <c r="N3804" i="23" s="1"/>
  <c r="M3773" i="23"/>
  <c r="N3773" i="23" s="1"/>
  <c r="M3772" i="23"/>
  <c r="N3772" i="23" s="1"/>
  <c r="M3741" i="23"/>
  <c r="M3740" i="23"/>
  <c r="M3717" i="23"/>
  <c r="M3718" i="23"/>
  <c r="M3659" i="23"/>
  <c r="M3643" i="23"/>
  <c r="N3643" i="23" s="1"/>
  <c r="M3617" i="23"/>
  <c r="N3617" i="23" s="1"/>
  <c r="M3616" i="23"/>
  <c r="M3559" i="23"/>
  <c r="N3559" i="23" s="1"/>
  <c r="M10" i="23"/>
  <c r="M3519" i="23"/>
  <c r="M3518" i="23"/>
  <c r="M3492" i="23"/>
  <c r="N3492" i="23" s="1"/>
  <c r="M3875" i="23"/>
  <c r="N3875" i="23" s="1"/>
  <c r="M3803" i="23"/>
  <c r="N3803" i="23" s="1"/>
  <c r="M3793" i="23"/>
  <c r="N3793" i="23" s="1"/>
  <c r="M3771" i="23"/>
  <c r="N3771" i="23" s="1"/>
  <c r="M3641" i="23"/>
  <c r="M3844" i="23"/>
  <c r="N3844" i="23" s="1"/>
  <c r="M3725" i="23"/>
  <c r="N3725" i="23" s="1"/>
  <c r="M3657" i="23"/>
  <c r="N3657" i="23" s="1"/>
  <c r="M3894" i="23"/>
  <c r="N3894" i="23" s="1"/>
  <c r="M3865" i="23"/>
  <c r="N3865" i="23" s="1"/>
  <c r="M3821" i="23"/>
  <c r="N3821" i="23" s="1"/>
  <c r="M3820" i="23"/>
  <c r="N3820" i="23" s="1"/>
  <c r="M3769" i="23"/>
  <c r="M3738" i="23"/>
  <c r="N3738" i="23" s="1"/>
  <c r="M3704" i="23"/>
  <c r="N3704" i="23" s="1"/>
  <c r="M3677" i="23"/>
  <c r="N3677" i="23" s="1"/>
  <c r="M3599" i="23"/>
  <c r="N3599" i="23" s="1"/>
  <c r="M3576" i="23"/>
  <c r="N3576" i="23" s="1"/>
  <c r="M3537" i="23"/>
  <c r="N3537" i="23" s="1"/>
  <c r="M3527" i="23"/>
  <c r="M3490" i="23"/>
  <c r="N3490" i="23" s="1"/>
  <c r="M3768" i="23"/>
  <c r="N3768" i="23" s="1"/>
  <c r="M3723" i="23"/>
  <c r="N3723" i="23" s="1"/>
  <c r="M3703" i="23"/>
  <c r="N3703" i="23" s="1"/>
  <c r="M3676" i="23"/>
  <c r="N3676" i="23" s="1"/>
  <c r="M3639" i="23"/>
  <c r="N3639" i="23" s="1"/>
  <c r="M3598" i="23"/>
  <c r="N3598" i="23" s="1"/>
  <c r="M3841" i="23"/>
  <c r="N3841" i="23" s="1"/>
  <c r="M3819" i="23"/>
  <c r="N3819" i="23" s="1"/>
  <c r="M3792" i="23"/>
  <c r="N3792" i="23" s="1"/>
  <c r="M3767" i="23"/>
  <c r="N3767" i="23" s="1"/>
  <c r="M3722" i="23"/>
  <c r="N3722" i="23" s="1"/>
  <c r="M3691" i="23"/>
  <c r="N3691" i="23" s="1"/>
  <c r="M3690" i="23"/>
  <c r="N3690" i="23" s="1"/>
  <c r="M3614" i="23"/>
  <c r="N3614" i="23" s="1"/>
  <c r="M3489" i="23"/>
  <c r="M3488" i="23"/>
  <c r="N3488" i="23" s="1"/>
  <c r="M3892" i="23"/>
  <c r="N3892" i="23" s="1"/>
  <c r="M3840" i="23"/>
  <c r="N3840" i="23" s="1"/>
  <c r="M3818" i="23"/>
  <c r="N3818" i="23" s="1"/>
  <c r="M3780" i="23"/>
  <c r="N3780" i="23" s="1"/>
  <c r="M3689" i="23"/>
  <c r="N3689" i="23" s="1"/>
  <c r="M3613" i="23"/>
  <c r="N3613" i="23" s="1"/>
  <c r="M3597" i="23"/>
  <c r="N3597" i="23" s="1"/>
  <c r="M3587" i="23"/>
  <c r="N3587" i="23" s="1"/>
  <c r="M3534" i="23"/>
  <c r="M3526" i="23"/>
  <c r="M3525" i="23"/>
  <c r="N3525" i="23" s="1"/>
  <c r="M3487" i="23"/>
  <c r="N3487" i="23" s="1"/>
  <c r="M3891" i="23"/>
  <c r="N3891" i="23" s="1"/>
  <c r="M3839" i="23"/>
  <c r="N3839" i="23" s="1"/>
  <c r="M3801" i="23"/>
  <c r="N3801" i="23" s="1"/>
  <c r="M3702" i="23"/>
  <c r="N3702" i="23" s="1"/>
  <c r="M3674" i="23"/>
  <c r="N3674" i="23" s="1"/>
  <c r="M3638" i="23"/>
  <c r="N3638" i="23" s="1"/>
  <c r="M3631" i="23"/>
  <c r="N3631" i="23" s="1"/>
  <c r="M3586" i="23"/>
  <c r="N3586" i="23" s="1"/>
  <c r="M3558" i="23"/>
  <c r="N3558" i="23" s="1"/>
  <c r="M3864" i="23"/>
  <c r="N3864" i="23" s="1"/>
  <c r="M3817" i="23"/>
  <c r="N3817" i="23" s="1"/>
  <c r="M3749" i="23"/>
  <c r="M3673" i="23"/>
  <c r="N3673" i="23" s="1"/>
  <c r="M3637" i="23"/>
  <c r="N3637" i="23" s="1"/>
  <c r="M3596" i="23"/>
  <c r="N3596" i="23" s="1"/>
  <c r="M3575" i="23"/>
  <c r="N3575" i="23" s="1"/>
  <c r="M3557" i="23"/>
  <c r="N3557" i="23" s="1"/>
  <c r="M3523" i="23"/>
  <c r="N3523" i="23" s="1"/>
  <c r="M3486" i="23"/>
  <c r="N3486" i="23" s="1"/>
  <c r="M3460" i="23"/>
  <c r="M3573" i="23"/>
  <c r="M3574" i="23"/>
  <c r="M3584" i="23"/>
  <c r="N3584" i="23" s="1"/>
  <c r="L3584" i="23"/>
  <c r="M3890" i="23"/>
  <c r="N3890" i="23" s="1"/>
  <c r="M3889" i="23"/>
  <c r="N3889" i="23" s="1"/>
  <c r="M3872" i="23"/>
  <c r="N3872" i="23" s="1"/>
  <c r="M3863" i="23"/>
  <c r="N3863" i="23" s="1"/>
  <c r="M3838" i="23"/>
  <c r="N3838" i="23" s="1"/>
  <c r="M3837" i="23"/>
  <c r="N3837" i="23" s="1"/>
  <c r="M3816" i="23"/>
  <c r="N3816" i="23" s="1"/>
  <c r="M3800" i="23"/>
  <c r="N3800" i="23" s="1"/>
  <c r="M3799" i="23"/>
  <c r="N3799" i="23" s="1"/>
  <c r="M3765" i="23"/>
  <c r="M3764" i="23"/>
  <c r="M3748" i="23"/>
  <c r="N3748" i="23" s="1"/>
  <c r="M3720" i="23"/>
  <c r="M3701" i="23"/>
  <c r="N3701" i="23" s="1"/>
  <c r="M3700" i="23"/>
  <c r="N3700" i="23" s="1"/>
  <c r="M3699" i="23"/>
  <c r="M3688" i="23"/>
  <c r="N3688" i="23" s="1"/>
  <c r="M3060" i="23"/>
  <c r="M3636" i="23"/>
  <c r="N3636" i="23" s="1"/>
  <c r="M3595" i="23"/>
  <c r="M3585" i="23"/>
  <c r="N3585" i="23" s="1"/>
  <c r="M3533" i="23"/>
  <c r="M3522" i="23"/>
  <c r="N3522" i="23" s="1"/>
  <c r="M3521" i="23"/>
  <c r="N3521" i="23" s="1"/>
  <c r="M3511" i="23"/>
  <c r="N3511" i="23" s="1"/>
  <c r="M3485" i="23"/>
  <c r="N3485" i="23" s="1"/>
  <c r="M3449" i="23"/>
  <c r="M3888" i="23"/>
  <c r="N3888" i="23" s="1"/>
  <c r="M3836" i="23"/>
  <c r="N3836" i="23" s="1"/>
  <c r="M3794" i="23"/>
  <c r="N3794" i="23" s="1"/>
  <c r="M3791" i="23"/>
  <c r="N3791" i="23" s="1"/>
  <c r="M3737" i="23"/>
  <c r="N3737" i="23" s="1"/>
  <c r="M3687" i="23"/>
  <c r="N3687" i="23" s="1"/>
  <c r="M3612" i="23"/>
  <c r="N3612" i="23" s="1"/>
  <c r="M3554" i="23"/>
  <c r="N3554" i="23" s="1"/>
  <c r="M3510" i="23"/>
  <c r="N3510" i="23" s="1"/>
  <c r="L3956" i="23"/>
  <c r="L3958" i="23"/>
  <c r="L3966" i="23"/>
  <c r="L3957" i="23"/>
  <c r="L3961" i="23"/>
  <c r="L3953" i="23"/>
  <c r="L3968" i="23"/>
  <c r="L3963" i="23"/>
  <c r="L3949" i="23"/>
  <c r="L3938" i="23"/>
  <c r="L3937" i="23"/>
  <c r="L3936" i="23"/>
  <c r="L3952" i="23"/>
  <c r="L3950" i="23"/>
  <c r="L3941" i="23"/>
  <c r="L3935" i="23"/>
  <c r="L3926" i="23"/>
  <c r="L3934" i="23"/>
  <c r="L3928" i="23"/>
  <c r="L3927" i="23"/>
  <c r="L3929" i="23"/>
  <c r="L3905" i="23"/>
  <c r="L3918" i="23"/>
  <c r="L3917" i="23"/>
  <c r="L3919" i="23"/>
  <c r="L3903" i="23"/>
  <c r="L3914" i="23"/>
  <c r="L3921" i="23"/>
  <c r="L3904" i="23"/>
  <c r="L3888" i="23"/>
  <c r="L3902" i="23"/>
  <c r="L3894" i="23"/>
  <c r="L3891" i="23"/>
  <c r="L3899" i="23"/>
  <c r="L3897" i="23"/>
  <c r="L3890" i="23"/>
  <c r="L3892" i="23"/>
  <c r="L3872" i="23"/>
  <c r="L3875" i="23"/>
  <c r="L3879" i="23"/>
  <c r="L3876" i="23"/>
  <c r="L3864" i="23"/>
  <c r="L3868" i="23"/>
  <c r="L3865" i="23"/>
  <c r="L3867" i="23"/>
  <c r="L3871" i="23"/>
  <c r="L3870" i="23"/>
  <c r="L3848" i="23"/>
  <c r="L3859" i="23"/>
  <c r="L3850" i="23"/>
  <c r="L3839" i="23"/>
  <c r="L3837" i="23"/>
  <c r="L3862" i="23"/>
  <c r="L3849" i="23"/>
  <c r="L3851" i="23"/>
  <c r="L3847" i="23"/>
  <c r="L3846" i="23"/>
  <c r="L3856" i="23"/>
  <c r="L3838" i="23"/>
  <c r="L3853" i="23"/>
  <c r="L3841" i="23"/>
  <c r="L3857" i="23"/>
  <c r="L3826" i="23"/>
  <c r="L3817" i="23"/>
  <c r="L3830" i="23"/>
  <c r="L3829" i="23"/>
  <c r="L3833" i="23"/>
  <c r="L3825" i="23"/>
  <c r="L3819" i="23"/>
  <c r="L3816" i="23"/>
  <c r="L3818" i="23"/>
  <c r="L3835" i="23"/>
  <c r="L3828" i="23"/>
  <c r="L3821" i="23"/>
  <c r="L3808" i="23"/>
  <c r="L3801" i="23"/>
  <c r="L3806" i="23"/>
  <c r="L3809" i="23"/>
  <c r="L3805" i="23"/>
  <c r="L3813" i="23"/>
  <c r="L3784" i="23"/>
  <c r="L3786" i="23"/>
  <c r="L3787" i="23"/>
  <c r="L3790" i="23"/>
  <c r="K2843" i="23"/>
  <c r="L2843" i="23" s="1"/>
  <c r="L3782" i="23"/>
  <c r="L3774" i="23"/>
  <c r="L3775" i="23"/>
  <c r="L3771" i="23"/>
  <c r="L3773" i="23"/>
  <c r="L3776" i="23"/>
  <c r="L3778" i="23"/>
  <c r="L3750" i="23"/>
  <c r="L3756" i="23"/>
  <c r="L3760" i="23"/>
  <c r="L3751" i="23"/>
  <c r="L3748" i="23"/>
  <c r="L3755" i="23"/>
  <c r="L3757" i="23"/>
  <c r="L3738" i="23"/>
  <c r="L3727" i="23"/>
  <c r="L3728" i="23"/>
  <c r="L3732" i="23"/>
  <c r="L3721" i="23"/>
  <c r="L3735" i="23"/>
  <c r="L3731" i="23"/>
  <c r="L3700" i="23"/>
  <c r="L3709" i="23"/>
  <c r="L3715" i="23"/>
  <c r="L3706" i="23"/>
  <c r="L3701" i="23"/>
  <c r="L3712" i="23"/>
  <c r="L3703" i="23"/>
  <c r="L3708" i="23"/>
  <c r="L3716" i="23"/>
  <c r="L3704" i="23"/>
  <c r="L3688" i="23"/>
  <c r="L3689" i="23"/>
  <c r="L3687" i="23"/>
  <c r="L3691" i="23"/>
  <c r="L3698" i="23"/>
  <c r="L3695" i="23"/>
  <c r="L3696" i="23"/>
  <c r="L3693" i="23"/>
  <c r="L3673" i="23"/>
  <c r="L3686" i="23"/>
  <c r="L3684" i="23"/>
  <c r="L3680" i="23"/>
  <c r="L3682" i="23"/>
  <c r="L3676" i="23"/>
  <c r="L3677" i="23"/>
  <c r="L3667" i="23"/>
  <c r="L3665" i="23"/>
  <c r="L3657" i="23"/>
  <c r="L3669" i="23"/>
  <c r="L3650" i="23"/>
  <c r="L3647" i="23"/>
  <c r="L3644" i="23"/>
  <c r="L3651" i="23"/>
  <c r="L3639" i="23"/>
  <c r="L3645" i="23"/>
  <c r="L3656" i="23"/>
  <c r="L3636" i="23"/>
  <c r="L3637" i="23"/>
  <c r="L3643" i="23"/>
  <c r="L3621" i="23"/>
  <c r="L3613" i="23"/>
  <c r="L3623" i="23"/>
  <c r="L3614" i="23"/>
  <c r="L3612" i="23"/>
  <c r="L3620" i="23"/>
  <c r="L3627" i="23"/>
  <c r="L3617" i="23"/>
  <c r="L3609" i="23"/>
  <c r="L3603" i="23"/>
  <c r="L3598" i="23"/>
  <c r="L3605" i="23"/>
  <c r="L3601" i="23"/>
  <c r="L3597" i="23"/>
  <c r="L3608" i="23"/>
  <c r="L3599" i="23"/>
  <c r="L3596" i="23"/>
  <c r="L3587" i="23"/>
  <c r="L3585" i="23"/>
  <c r="L3594" i="23"/>
  <c r="L3591" i="23"/>
  <c r="M3591" i="23" a="1"/>
  <c r="M3591" i="23" s="1"/>
  <c r="N3591" i="23" s="1"/>
  <c r="L3590" i="23"/>
  <c r="L3575" i="23"/>
  <c r="L3581" i="23"/>
  <c r="L3580" i="23"/>
  <c r="L3578" i="23"/>
  <c r="L3569" i="23"/>
  <c r="L3554" i="23"/>
  <c r="L3562" i="23"/>
  <c r="L3557" i="23"/>
  <c r="L3565" i="23"/>
  <c r="L3559" i="23"/>
  <c r="L3541" i="23"/>
  <c r="L3543" i="23"/>
  <c r="L3537" i="23"/>
  <c r="L3521" i="23"/>
  <c r="L3525" i="23"/>
  <c r="L3522" i="23"/>
  <c r="L3523" i="23"/>
  <c r="L3511" i="23"/>
  <c r="L3515" i="23"/>
  <c r="L3510" i="23"/>
  <c r="K3497" i="23"/>
  <c r="L3497" i="23" s="1"/>
  <c r="K3486" i="23"/>
  <c r="L3486" i="23" s="1"/>
  <c r="K3494" i="23"/>
  <c r="L3494" i="23" s="1"/>
  <c r="K3485" i="23"/>
  <c r="L3485" i="23" s="1"/>
  <c r="K3495" i="23"/>
  <c r="L3495" i="23" s="1"/>
  <c r="K3490" i="23"/>
  <c r="L3490" i="23" s="1"/>
  <c r="K3504" i="23"/>
  <c r="L3504" i="23" s="1"/>
  <c r="K3492" i="23"/>
  <c r="L3492" i="23" s="1"/>
  <c r="K3499" i="23"/>
  <c r="L3499" i="23" s="1"/>
  <c r="K3487" i="23"/>
  <c r="L3487" i="23" s="1"/>
  <c r="K3488" i="23"/>
  <c r="L3488" i="23" s="1"/>
  <c r="K3493" i="23"/>
  <c r="L3493" i="23" s="1"/>
  <c r="L3965" i="23"/>
  <c r="L3969" i="23"/>
  <c r="L3967" i="23"/>
  <c r="L3944" i="23"/>
  <c r="L3940" i="23"/>
  <c r="L3925" i="23"/>
  <c r="L3933" i="23"/>
  <c r="L3930" i="23"/>
  <c r="L3916" i="23"/>
  <c r="L3920" i="23"/>
  <c r="L3915" i="23"/>
  <c r="L3911" i="23"/>
  <c r="L3910" i="23"/>
  <c r="L3922" i="23"/>
  <c r="M3922" i="23" a="1"/>
  <c r="M3922" i="23" s="1"/>
  <c r="N3922" i="23" s="1"/>
  <c r="L3909" i="23"/>
  <c r="L3923" i="23"/>
  <c r="L3895" i="23"/>
  <c r="M3895" i="23" a="1"/>
  <c r="M3895" i="23" s="1"/>
  <c r="N3895" i="23" s="1"/>
  <c r="L3889" i="23"/>
  <c r="L3898" i="23"/>
  <c r="L3901" i="23"/>
  <c r="L3900" i="23"/>
  <c r="L3885" i="23"/>
  <c r="M3885" i="23" a="1"/>
  <c r="M3885" i="23" s="1"/>
  <c r="N3885" i="23" s="1"/>
  <c r="L3874" i="23"/>
  <c r="L3878" i="23"/>
  <c r="M3878" i="23" a="1"/>
  <c r="M3878" i="23" s="1"/>
  <c r="N3878" i="23" s="1"/>
  <c r="L3882" i="23"/>
  <c r="L3866" i="23"/>
  <c r="M3866" i="23" a="1"/>
  <c r="M3866" i="23" s="1"/>
  <c r="N3866" i="23" s="1"/>
  <c r="L3863" i="23"/>
  <c r="L3869" i="23"/>
  <c r="M3869" i="23" a="1"/>
  <c r="M3869" i="23" s="1"/>
  <c r="N3869" i="23" s="1"/>
  <c r="L3845" i="23"/>
  <c r="L3861" i="23"/>
  <c r="L3860" i="23"/>
  <c r="L3840" i="23"/>
  <c r="L3854" i="23"/>
  <c r="L3842" i="23"/>
  <c r="L3858" i="23"/>
  <c r="L3820" i="23"/>
  <c r="L3823" i="23"/>
  <c r="L3834" i="23"/>
  <c r="M3834" i="23" a="1"/>
  <c r="M3834" i="23" s="1"/>
  <c r="N3834" i="23" s="1"/>
  <c r="L3855" i="23"/>
  <c r="L3832" i="23"/>
  <c r="L3822" i="23"/>
  <c r="M3822" i="23" a="1"/>
  <c r="M3822" i="23" s="1"/>
  <c r="N3822" i="23" s="1"/>
  <c r="L3824" i="23"/>
  <c r="L3800" i="23"/>
  <c r="L3804" i="23"/>
  <c r="L3815" i="23"/>
  <c r="L3799" i="23"/>
  <c r="L3812" i="23"/>
  <c r="M3812" i="23" a="1"/>
  <c r="M3812" i="23" s="1"/>
  <c r="N3812" i="23" s="1"/>
  <c r="L3802" i="23"/>
  <c r="L3810" i="23"/>
  <c r="M3810" i="23" a="1"/>
  <c r="M3810" i="23" s="1"/>
  <c r="N3810" i="23" s="1"/>
  <c r="L3796" i="23"/>
  <c r="L3795" i="23"/>
  <c r="M3795" i="23" a="1"/>
  <c r="M3795" i="23" s="1"/>
  <c r="N3795" i="23" s="1"/>
  <c r="L3798" i="23"/>
  <c r="L3797" i="23"/>
  <c r="L3792" i="23"/>
  <c r="L3785" i="23"/>
  <c r="M3785" i="23" a="1"/>
  <c r="M3785" i="23" s="1"/>
  <c r="N3785" i="23" s="1"/>
  <c r="L3789" i="23"/>
  <c r="M3789" i="23" a="1"/>
  <c r="M3789" i="23" s="1"/>
  <c r="N3789" i="23" s="1"/>
  <c r="L3788" i="23"/>
  <c r="L3772" i="23"/>
  <c r="L3777" i="23"/>
  <c r="M3777" i="23" a="1"/>
  <c r="M3777" i="23" s="1"/>
  <c r="N3777" i="23" s="1"/>
  <c r="L3768" i="23"/>
  <c r="L3762" i="23"/>
  <c r="L3761" i="23"/>
  <c r="L3759" i="23"/>
  <c r="M3759" i="23" a="1"/>
  <c r="M3759" i="23" s="1"/>
  <c r="N3759" i="23" s="1"/>
  <c r="L3753" i="23"/>
  <c r="L3736" i="23"/>
  <c r="L3723" i="23"/>
  <c r="L3702" i="23"/>
  <c r="L3674" i="23"/>
  <c r="L3672" i="23"/>
  <c r="L3671" i="23"/>
  <c r="L3648" i="23"/>
  <c r="M3648" i="23" a="1"/>
  <c r="M3648" i="23" s="1"/>
  <c r="N3648" i="23" s="1"/>
  <c r="L3638" i="23"/>
  <c r="L3631" i="23"/>
  <c r="L3586" i="23"/>
  <c r="L3576" i="23"/>
  <c r="L3558" i="23"/>
  <c r="K3426" i="23"/>
  <c r="L3426" i="23" s="1"/>
  <c r="K3015" i="23"/>
  <c r="L3015" i="23" s="1"/>
  <c r="M3015" i="23" a="1"/>
  <c r="M3015" i="23" s="1"/>
  <c r="N3015" i="23" s="1"/>
  <c r="L3844" i="23"/>
  <c r="L3836" i="23"/>
  <c r="L3827" i="23"/>
  <c r="L3814" i="23"/>
  <c r="L3803" i="23"/>
  <c r="L3794" i="23"/>
  <c r="L3793" i="23"/>
  <c r="L3791" i="23"/>
  <c r="L3780" i="23"/>
  <c r="L3767" i="23"/>
  <c r="L3766" i="23"/>
  <c r="L3779" i="23"/>
  <c r="L3743" i="23"/>
  <c r="L3737" i="23"/>
  <c r="L3744" i="23"/>
  <c r="L3722" i="23"/>
  <c r="L3725" i="23"/>
  <c r="L3719" i="23"/>
  <c r="L3690" i="23"/>
  <c r="L3881" i="23"/>
  <c r="L3880" i="23"/>
  <c r="L3877" i="23"/>
  <c r="M3628" i="23" l="1"/>
  <c r="M3670" i="23"/>
  <c r="M3625" i="23"/>
  <c r="N3625" i="23" s="1"/>
  <c r="M3582" i="23"/>
  <c r="M3548" i="23"/>
  <c r="M3507" i="23"/>
  <c r="M3503" i="23"/>
  <c r="M3467" i="23"/>
  <c r="M3465" i="23"/>
  <c r="M3434" i="23"/>
  <c r="M3393" i="23"/>
  <c r="M3392" i="23"/>
  <c r="N3758" i="23"/>
  <c r="N3733" i="23"/>
  <c r="M3571" i="23"/>
  <c r="M3663" i="23"/>
  <c r="M3544" i="23"/>
  <c r="N3754" i="23"/>
  <c r="M3710" i="23"/>
  <c r="M3064" i="23"/>
  <c r="N3064" i="23" s="1"/>
  <c r="M3662" i="23"/>
  <c r="N3662" i="23" s="1"/>
  <c r="M3646" i="23"/>
  <c r="N3646" i="23" s="1"/>
  <c r="M3635" i="23"/>
  <c r="N3635" i="23" s="1"/>
  <c r="M3630" i="23"/>
  <c r="N3630" i="23" s="1"/>
  <c r="M3564" i="23"/>
  <c r="M3553" i="23"/>
  <c r="M3552" i="23"/>
  <c r="M3531" i="23"/>
  <c r="M3530" i="23"/>
  <c r="N3752" i="23"/>
  <c r="N3707" i="23"/>
  <c r="N3618" i="23"/>
  <c r="M3482" i="23"/>
  <c r="N3741" i="23"/>
  <c r="N3740" i="23"/>
  <c r="N3717" i="23"/>
  <c r="N3718" i="23"/>
  <c r="N3659" i="23"/>
  <c r="N3629" i="23"/>
  <c r="N3616" i="23"/>
  <c r="M3678" i="23"/>
  <c r="N3678" i="23" s="1"/>
  <c r="N3641" i="23"/>
  <c r="M3633" i="23"/>
  <c r="N3633" i="23" s="1"/>
  <c r="M3588" i="23"/>
  <c r="M3529" i="23"/>
  <c r="M3517" i="23"/>
  <c r="M3513" i="23"/>
  <c r="M3509" i="23"/>
  <c r="M3491" i="23"/>
  <c r="M3615" i="23"/>
  <c r="N3615" i="23" s="1"/>
  <c r="M3538" i="23"/>
  <c r="M3512" i="23"/>
  <c r="M3524" i="23"/>
  <c r="M3508" i="23"/>
  <c r="N3749" i="23"/>
  <c r="M3401" i="23"/>
  <c r="M3382" i="23"/>
  <c r="M3348" i="23"/>
  <c r="M3336" i="23"/>
  <c r="N3764" i="23"/>
  <c r="N3720" i="23"/>
  <c r="N3699" i="23"/>
  <c r="N3060" i="23"/>
  <c r="N3573" i="23"/>
  <c r="L3573" i="23"/>
  <c r="N3765" i="23"/>
  <c r="L3770" i="23"/>
  <c r="L3765" i="23"/>
  <c r="L3764" i="23"/>
  <c r="L3769" i="23"/>
  <c r="N3769" i="23"/>
  <c r="L3749" i="23"/>
  <c r="L3752" i="23"/>
  <c r="L3758" i="23"/>
  <c r="L3754" i="23"/>
  <c r="L3746" i="23"/>
  <c r="L3739" i="23"/>
  <c r="M3739" i="23" a="1"/>
  <c r="M3739" i="23" s="1"/>
  <c r="N3739" i="23" s="1"/>
  <c r="L3747" i="23"/>
  <c r="L3741" i="23"/>
  <c r="L3740" i="23"/>
  <c r="L3726" i="23"/>
  <c r="M3726" i="23" a="1"/>
  <c r="M3726" i="23" s="1"/>
  <c r="N3726" i="23" s="1"/>
  <c r="L3734" i="23"/>
  <c r="M3734" i="23" a="1"/>
  <c r="M3734" i="23" s="1"/>
  <c r="N3734" i="23" s="1"/>
  <c r="L3733" i="23"/>
  <c r="L3720" i="23"/>
  <c r="L3729" i="23"/>
  <c r="M3729" i="23" a="1"/>
  <c r="M3729" i="23" s="1"/>
  <c r="N3729" i="23" s="1"/>
  <c r="L3730" i="23"/>
  <c r="L3724" i="23"/>
  <c r="M3724" i="23" a="1"/>
  <c r="M3724" i="23" s="1"/>
  <c r="N3724" i="23" s="1"/>
  <c r="L3717" i="23"/>
  <c r="L3718" i="23"/>
  <c r="L3705" i="23"/>
  <c r="M3705" i="23" a="1"/>
  <c r="M3705" i="23" s="1"/>
  <c r="N3705" i="23" s="1"/>
  <c r="L3707" i="23"/>
  <c r="L3699" i="23"/>
  <c r="L3711" i="23"/>
  <c r="L3713" i="23"/>
  <c r="M3713" i="23" a="1"/>
  <c r="M3713" i="23" s="1"/>
  <c r="N3713" i="23" s="1"/>
  <c r="L3692" i="23"/>
  <c r="M3692" i="23" a="1"/>
  <c r="M3692" i="23" s="1"/>
  <c r="N3692" i="23" s="1"/>
  <c r="L3694" i="23"/>
  <c r="M3694" i="23" a="1"/>
  <c r="M3694" i="23" s="1"/>
  <c r="N3694" i="23" s="1"/>
  <c r="L3678" i="23"/>
  <c r="K3064" i="23"/>
  <c r="L3064" i="23" s="1"/>
  <c r="L3681" i="23"/>
  <c r="M3681" i="23" a="1"/>
  <c r="M3681" i="23" s="1"/>
  <c r="N3681" i="23" s="1"/>
  <c r="K3060" i="23"/>
  <c r="L3060" i="23" s="1"/>
  <c r="L3675" i="23"/>
  <c r="L3679" i="23"/>
  <c r="M3679" i="23" a="1"/>
  <c r="M3679" i="23" s="1"/>
  <c r="N3679" i="23" s="1"/>
  <c r="L3685" i="23"/>
  <c r="M3685" i="23" a="1"/>
  <c r="M3685" i="23" s="1"/>
  <c r="N3685" i="23" s="1"/>
  <c r="L3683" i="23"/>
  <c r="M3683" i="23" a="1"/>
  <c r="M3683" i="23" s="1"/>
  <c r="N3683" i="23" s="1"/>
  <c r="L3660" i="23"/>
  <c r="L3662" i="23"/>
  <c r="L3658" i="23"/>
  <c r="M3658" i="23" a="1"/>
  <c r="M3658" i="23" s="1"/>
  <c r="N3658" i="23" s="1"/>
  <c r="L3664" i="23"/>
  <c r="L3659" i="23"/>
  <c r="L3642" i="23"/>
  <c r="M3642" i="23" a="1"/>
  <c r="M3642" i="23" s="1"/>
  <c r="N3642" i="23" s="1"/>
  <c r="L3655" i="23"/>
  <c r="M3655" i="23" a="1"/>
  <c r="M3655" i="23" s="1"/>
  <c r="N3655" i="23" s="1"/>
  <c r="L3646" i="23"/>
  <c r="L3641" i="23"/>
  <c r="L3649" i="23"/>
  <c r="M3649" i="23" a="1"/>
  <c r="M3649" i="23" s="1"/>
  <c r="N3649" i="23" s="1"/>
  <c r="L3640" i="23"/>
  <c r="M3640" i="23" a="1"/>
  <c r="M3640" i="23" s="1"/>
  <c r="N3640" i="23" s="1"/>
  <c r="L3652" i="23"/>
  <c r="M3652" i="23" a="1"/>
  <c r="M3652" i="23" s="1"/>
  <c r="N3652" i="23" s="1"/>
  <c r="L3634" i="23"/>
  <c r="M3634" i="23" a="1"/>
  <c r="M3634" i="23" s="1"/>
  <c r="N3634" i="23" s="1"/>
  <c r="L3635" i="23"/>
  <c r="L3633" i="23"/>
  <c r="L3632" i="23"/>
  <c r="L3630" i="23"/>
  <c r="L3629" i="23"/>
  <c r="L3619" i="23"/>
  <c r="L3618" i="23"/>
  <c r="L3625" i="23"/>
  <c r="L3615" i="23"/>
  <c r="L3622" i="23"/>
  <c r="M3622" i="23" a="1"/>
  <c r="M3622" i="23" s="1"/>
  <c r="N3622" i="23" s="1"/>
  <c r="L3626" i="23"/>
  <c r="L3616" i="23"/>
  <c r="L3602" i="23" l="1"/>
  <c r="N3602" i="23"/>
  <c r="L3595" i="23"/>
  <c r="N3595" i="23"/>
  <c r="L3607" i="23"/>
  <c r="N3607" i="23"/>
  <c r="L3600" i="23"/>
  <c r="M3600" i="23" a="1"/>
  <c r="M3600" i="23" s="1"/>
  <c r="N3600" i="23" s="1"/>
  <c r="L3611" i="23"/>
  <c r="L3610" i="23"/>
  <c r="M3610" i="23" a="1"/>
  <c r="M3610" i="23" s="1"/>
  <c r="N3610" i="23" s="1"/>
  <c r="L3604" i="23"/>
  <c r="M3604" i="23" a="1"/>
  <c r="M3604" i="23" s="1"/>
  <c r="N3604" i="23" s="1"/>
  <c r="L3589" i="23"/>
  <c r="M3589" i="23" a="1"/>
  <c r="M3589" i="23" s="1"/>
  <c r="N3589" i="23" s="1"/>
  <c r="L3583" i="23"/>
  <c r="L3582" i="23"/>
  <c r="N3582" i="23"/>
  <c r="L3577" i="23"/>
  <c r="N3577" i="23"/>
  <c r="L3579" i="23"/>
  <c r="L3570" i="23"/>
  <c r="N3570" i="23"/>
  <c r="L3561" i="23"/>
  <c r="L3560" i="23"/>
  <c r="N3560" i="23"/>
  <c r="L3549" i="23"/>
  <c r="L3524" i="23"/>
  <c r="N3524" i="23"/>
  <c r="K3508" i="23"/>
  <c r="L3508" i="23" s="1"/>
  <c r="N3508" i="23"/>
  <c r="L3710" i="23"/>
  <c r="N3710" i="23"/>
  <c r="L3663" i="23"/>
  <c r="N3663" i="23"/>
  <c r="L3661" i="23"/>
  <c r="N3661" i="23"/>
  <c r="K3392" i="23"/>
  <c r="L3392" i="23" s="1"/>
  <c r="N3392" i="23"/>
  <c r="L3670" i="23"/>
  <c r="N3670" i="23"/>
  <c r="L3628" i="23"/>
  <c r="N3628" i="23"/>
  <c r="L3592" i="23"/>
  <c r="M3592" i="23" a="1"/>
  <c r="M3592" i="23" s="1"/>
  <c r="N3592" i="23" s="1"/>
  <c r="L3593" i="23"/>
  <c r="L3588" i="23"/>
  <c r="N3588" i="23"/>
  <c r="L3574" i="23"/>
  <c r="N3574" i="23"/>
  <c r="L3572" i="23"/>
  <c r="M3572" i="23" a="1"/>
  <c r="M3572" i="23" s="1"/>
  <c r="N3572" i="23" s="1"/>
  <c r="L3566" i="23"/>
  <c r="M3566" i="23" a="1"/>
  <c r="M3566" i="23" s="1"/>
  <c r="N3566" i="23" s="1"/>
  <c r="L3556" i="23"/>
  <c r="N3556" i="23"/>
  <c r="L3568" i="23"/>
  <c r="L3571" i="23"/>
  <c r="N3571" i="23"/>
  <c r="L3564" i="23"/>
  <c r="N3564" i="23"/>
  <c r="L3553" i="23"/>
  <c r="N3553" i="23"/>
  <c r="L3552" i="23"/>
  <c r="N3552" i="23"/>
  <c r="L3550" i="23"/>
  <c r="M3550" i="23" a="1"/>
  <c r="M3550" i="23" s="1"/>
  <c r="N3550" i="23" s="1"/>
  <c r="L3544" i="23"/>
  <c r="N3544" i="23"/>
  <c r="L3548" i="23"/>
  <c r="N3548" i="23"/>
  <c r="L3539" i="23"/>
  <c r="L3538" i="23"/>
  <c r="N3538" i="23"/>
  <c r="L3533" i="23"/>
  <c r="N3533" i="23"/>
  <c r="L3536" i="23"/>
  <c r="M3536" i="23" a="1"/>
  <c r="M3536" i="23" s="1"/>
  <c r="N3536" i="23" s="1"/>
  <c r="L3540" i="23"/>
  <c r="M3540" i="23" a="1"/>
  <c r="M3540" i="23" s="1"/>
  <c r="N3540" i="23" s="1"/>
  <c r="L3534" i="23"/>
  <c r="N3534" i="23"/>
  <c r="L3547" i="23"/>
  <c r="M3547" i="23" a="1"/>
  <c r="M3547" i="23" s="1"/>
  <c r="N3547" i="23" s="1"/>
  <c r="L3545" i="23"/>
  <c r="L3546" i="23"/>
  <c r="M3546" i="23" a="1"/>
  <c r="M3546" i="23" s="1"/>
  <c r="N3546" i="23" s="1"/>
  <c r="L3542" i="23"/>
  <c r="N3542" i="23"/>
  <c r="L3526" i="23"/>
  <c r="N3526" i="23"/>
  <c r="L3529" i="23"/>
  <c r="N3529" i="23"/>
  <c r="L3528" i="23"/>
  <c r="L3527" i="23"/>
  <c r="N3527" i="23"/>
  <c r="L3532" i="23"/>
  <c r="K10" i="23"/>
  <c r="L10" i="23" s="1"/>
  <c r="N10" i="23"/>
  <c r="L3531" i="23"/>
  <c r="N3531" i="23"/>
  <c r="L3530" i="23"/>
  <c r="N3530" i="23"/>
  <c r="L3520" i="23"/>
  <c r="M3520" i="23" a="1"/>
  <c r="M3520" i="23" s="1"/>
  <c r="N3520" i="23" s="1"/>
  <c r="L3517" i="23"/>
  <c r="N3517" i="23"/>
  <c r="L3519" i="23"/>
  <c r="N3519" i="23"/>
  <c r="L3518" i="23"/>
  <c r="N3518" i="23"/>
  <c r="L3512" i="23"/>
  <c r="N3512" i="23"/>
  <c r="L3513" i="23"/>
  <c r="N3513" i="23"/>
  <c r="L3516" i="23"/>
  <c r="M3516" i="23" a="1"/>
  <c r="M3516" i="23" s="1"/>
  <c r="N3516" i="23" s="1"/>
  <c r="L3509" i="23"/>
  <c r="N3509" i="23"/>
  <c r="K3466" i="23"/>
  <c r="L3466" i="23" s="1"/>
  <c r="K3465" i="23"/>
  <c r="L3465" i="23" s="1"/>
  <c r="N3465" i="23"/>
  <c r="K3507" i="23"/>
  <c r="L3507" i="23" s="1"/>
  <c r="N3507" i="23"/>
  <c r="K3491" i="23"/>
  <c r="L3491" i="23" s="1"/>
  <c r="N3491" i="23"/>
  <c r="K3411" i="23"/>
  <c r="L3411" i="23" s="1"/>
  <c r="M3411" i="23" a="1"/>
  <c r="M3411" i="23" s="1"/>
  <c r="N3411" i="23" s="1"/>
  <c r="N3503" i="23"/>
  <c r="N3467" i="23"/>
  <c r="N3434" i="23"/>
  <c r="N3393" i="23"/>
  <c r="K3467" i="23"/>
  <c r="L3467" i="23" s="1"/>
  <c r="K3393" i="23"/>
  <c r="L3393" i="23" s="1"/>
  <c r="M3502" i="23"/>
  <c r="N3502" i="23" s="1"/>
  <c r="M3459" i="23"/>
  <c r="N3459" i="23" s="1"/>
  <c r="M3448" i="23"/>
  <c r="N3448" i="23" s="1"/>
  <c r="M3419" i="23"/>
  <c r="N3419" i="23" s="1"/>
  <c r="M3464" i="23"/>
  <c r="N3464" i="23" s="1"/>
  <c r="M3446" i="23"/>
  <c r="N3446" i="23" s="1"/>
  <c r="K3446" i="23"/>
  <c r="L3446" i="23" s="1"/>
  <c r="M3432" i="23"/>
  <c r="N3432" i="23" s="1"/>
  <c r="M3390" i="23"/>
  <c r="N3390" i="23" s="1"/>
  <c r="K3390" i="23"/>
  <c r="L3390" i="23" s="1"/>
  <c r="N3500" i="23"/>
  <c r="M3417" i="23"/>
  <c r="N3417" i="23" s="1"/>
  <c r="M3481" i="23"/>
  <c r="N3481" i="23" s="1"/>
  <c r="M3458" i="23"/>
  <c r="N3458" i="23" s="1"/>
  <c r="M3463" i="23"/>
  <c r="N3463" i="23" s="1"/>
  <c r="M3457" i="23"/>
  <c r="N3457" i="23" s="1"/>
  <c r="M3430" i="23"/>
  <c r="N3430" i="23" s="1"/>
  <c r="N3427" i="23"/>
  <c r="N3403" i="23"/>
  <c r="K3403" i="23"/>
  <c r="L3403" i="23" s="1"/>
  <c r="N3445" i="23"/>
  <c r="M3387" i="23"/>
  <c r="M3377" i="23"/>
  <c r="N3377" i="23" s="1"/>
  <c r="M3354" i="23"/>
  <c r="M3343" i="23"/>
  <c r="N3343" i="23" s="1"/>
  <c r="M3484" i="23"/>
  <c r="N3484" i="23" s="1"/>
  <c r="M3416" i="23"/>
  <c r="N3416" i="23" s="1"/>
  <c r="M3275" i="23"/>
  <c r="M3226" i="23"/>
  <c r="N3226" i="23" s="1"/>
  <c r="K3226" i="23"/>
  <c r="L3226" i="23" s="1"/>
  <c r="M3462" i="23"/>
  <c r="N3462" i="23" s="1"/>
  <c r="M3415" i="23"/>
  <c r="N3415" i="23" s="1"/>
  <c r="M3483" i="23"/>
  <c r="N3483" i="23" s="1"/>
  <c r="M3386" i="23"/>
  <c r="N3386" i="23" s="1"/>
  <c r="K3386" i="23"/>
  <c r="L3386" i="23" s="1"/>
  <c r="M3456" i="23"/>
  <c r="N3456" i="23" s="1"/>
  <c r="M3414" i="23"/>
  <c r="N3414" i="23" s="1"/>
  <c r="M3425" i="23"/>
  <c r="N3425" i="23" s="1"/>
  <c r="M3443" i="23"/>
  <c r="N3443" i="23" s="1"/>
  <c r="M3413" i="23"/>
  <c r="N3413" i="23" s="1"/>
  <c r="M3399" i="23"/>
  <c r="N3399" i="23" s="1"/>
  <c r="M3352" i="23"/>
  <c r="N3352" i="23" s="1"/>
  <c r="M3323" i="23"/>
  <c r="N3323" i="23" s="1"/>
  <c r="M3272" i="23"/>
  <c r="N3272" i="23" s="1"/>
  <c r="M3238" i="23"/>
  <c r="N3238" i="23" s="1"/>
  <c r="M3198" i="23"/>
  <c r="N3198" i="23" s="1"/>
  <c r="N3482" i="23"/>
  <c r="M3442" i="23"/>
  <c r="N3442" i="23" s="1"/>
  <c r="M3412" i="23"/>
  <c r="N3412" i="23" s="1"/>
  <c r="M3441" i="23"/>
  <c r="N3441" i="23" s="1"/>
  <c r="M3440" i="23"/>
  <c r="N3440" i="23" s="1"/>
  <c r="M3476" i="23"/>
  <c r="N3476" i="23" s="1"/>
  <c r="M3368" i="23"/>
  <c r="M3321" i="23"/>
  <c r="N3321" i="23" s="1"/>
  <c r="M3299" i="23"/>
  <c r="M3230" i="23"/>
  <c r="N3230" i="23" s="1"/>
  <c r="M3454" i="23"/>
  <c r="N3454" i="23" s="1"/>
  <c r="M3367" i="23"/>
  <c r="N3367" i="23" s="1"/>
  <c r="M2" i="23"/>
  <c r="N2" i="23" s="1"/>
  <c r="M3453" i="23"/>
  <c r="N3453" i="23" s="1"/>
  <c r="M3424" i="23"/>
  <c r="N3424" i="23" s="1"/>
  <c r="M3452" i="23"/>
  <c r="N3452" i="23" s="1"/>
  <c r="M3423" i="23"/>
  <c r="N3423" i="23" s="1"/>
  <c r="M3410" i="23"/>
  <c r="N3410" i="23" s="1"/>
  <c r="N3489" i="23"/>
  <c r="M3475" i="23"/>
  <c r="N3475" i="23" s="1"/>
  <c r="M3472" i="23"/>
  <c r="N3472" i="23" s="1"/>
  <c r="M3470" i="23"/>
  <c r="N3470" i="23" s="1"/>
  <c r="M3451" i="23"/>
  <c r="N3451" i="23" s="1"/>
  <c r="M3422" i="23"/>
  <c r="N3422" i="23" s="1"/>
  <c r="N3407" i="23"/>
  <c r="M3408" i="23"/>
  <c r="N3408" i="23" s="1"/>
  <c r="M3402" i="23"/>
  <c r="N3402" i="23" s="1"/>
  <c r="M3396" i="23"/>
  <c r="N3396" i="23" s="1"/>
  <c r="M3421" i="23"/>
  <c r="N3421" i="23" s="1"/>
  <c r="M3406" i="23"/>
  <c r="N3406" i="23" s="1"/>
  <c r="M3471" i="23"/>
  <c r="N3471" i="23" s="1"/>
  <c r="M3468" i="23"/>
  <c r="N3468" i="23" s="1"/>
  <c r="K3468" i="23"/>
  <c r="L3468" i="23" s="1"/>
  <c r="M3437" i="23"/>
  <c r="N3437" i="23" s="1"/>
  <c r="M3362" i="23"/>
  <c r="N3362" i="23" s="1"/>
  <c r="M3337" i="23"/>
  <c r="N3337" i="23" s="1"/>
  <c r="M3313" i="23"/>
  <c r="N3313" i="23" s="1"/>
  <c r="M3436" i="23"/>
  <c r="N3436" i="23" s="1"/>
  <c r="N3401" i="23"/>
  <c r="K3401" i="23"/>
  <c r="L3401" i="23" s="1"/>
  <c r="M3450" i="23"/>
  <c r="N3450" i="23" s="1"/>
  <c r="N3460" i="23"/>
  <c r="N3449" i="23"/>
  <c r="M3420" i="23"/>
  <c r="N3420" i="23" s="1"/>
  <c r="M3405" i="23"/>
  <c r="N3405" i="23" s="1"/>
  <c r="M3404" i="23"/>
  <c r="N3404" i="23" s="1"/>
  <c r="M3435" i="23"/>
  <c r="N3435" i="23" s="1"/>
  <c r="K3482" i="23"/>
  <c r="L3482" i="23" s="1"/>
  <c r="K3502" i="23"/>
  <c r="L3502" i="23" s="1"/>
  <c r="K3505" i="23"/>
  <c r="L3505" i="23" s="1"/>
  <c r="N3505" i="23"/>
  <c r="K3500" i="23"/>
  <c r="L3500" i="23" s="1"/>
  <c r="K3481" i="23"/>
  <c r="L3481" i="23" s="1"/>
  <c r="K3476" i="23"/>
  <c r="L3476" i="23" s="1"/>
  <c r="K3464" i="23"/>
  <c r="L3464" i="23" s="1"/>
  <c r="K3460" i="23"/>
  <c r="L3460" i="23" s="1"/>
  <c r="K3453" i="23"/>
  <c r="L3453" i="23" s="1"/>
  <c r="K3451" i="23"/>
  <c r="L3451" i="23" s="1"/>
  <c r="K3457" i="23"/>
  <c r="L3457" i="23" s="1"/>
  <c r="K3456" i="23"/>
  <c r="L3456" i="23" s="1"/>
  <c r="K3452" i="23"/>
  <c r="L3452" i="23" s="1"/>
  <c r="K3459" i="23"/>
  <c r="L3459" i="23" s="1"/>
  <c r="K3436" i="23"/>
  <c r="L3436" i="23" s="1"/>
  <c r="K3448" i="23"/>
  <c r="L3448" i="23" s="1"/>
  <c r="K3442" i="23"/>
  <c r="L3442" i="23" s="1"/>
  <c r="K3435" i="23"/>
  <c r="L3435" i="23" s="1"/>
  <c r="K3424" i="23"/>
  <c r="L3424" i="23" s="1"/>
  <c r="K3432" i="23"/>
  <c r="L3432" i="23" s="1"/>
  <c r="K3430" i="23"/>
  <c r="L3430" i="23" s="1"/>
  <c r="K3421" i="23"/>
  <c r="L3421" i="23" s="1"/>
  <c r="K3423" i="23"/>
  <c r="L3423" i="23" s="1"/>
  <c r="K3427" i="23"/>
  <c r="L3427" i="23" s="1"/>
  <c r="K3425" i="23"/>
  <c r="L3425" i="23" s="1"/>
  <c r="K3417" i="23"/>
  <c r="L3417" i="23" s="1"/>
  <c r="K3415" i="23"/>
  <c r="L3415" i="23" s="1"/>
  <c r="K3412" i="23"/>
  <c r="L3412" i="23" s="1"/>
  <c r="K3410" i="23"/>
  <c r="L3410" i="23" s="1"/>
  <c r="K3414" i="23"/>
  <c r="L3414" i="23" s="1"/>
  <c r="K3404" i="23"/>
  <c r="L3404" i="23" s="1"/>
  <c r="K3419" i="23"/>
  <c r="L3419" i="23" s="1"/>
  <c r="K3506" i="23"/>
  <c r="L3506" i="23" s="1"/>
  <c r="M3506" i="23" a="1"/>
  <c r="M3506" i="23" s="1"/>
  <c r="N3506" i="23" s="1"/>
  <c r="K3498" i="23"/>
  <c r="L3498" i="23" s="1"/>
  <c r="M3498" i="23" a="1"/>
  <c r="M3498" i="23" s="1"/>
  <c r="N3498" i="23" s="1"/>
  <c r="K3489" i="23"/>
  <c r="L3489" i="23" s="1"/>
  <c r="K3501" i="23"/>
  <c r="L3501" i="23" s="1"/>
  <c r="M3501" i="23" a="1"/>
  <c r="M3501" i="23" s="1"/>
  <c r="N3501" i="23" s="1"/>
  <c r="K3503" i="23"/>
  <c r="L3503" i="23" s="1"/>
  <c r="K3484" i="23"/>
  <c r="L3484" i="23" s="1"/>
  <c r="K3483" i="23"/>
  <c r="L3483" i="23" s="1"/>
  <c r="K3480" i="23"/>
  <c r="L3480" i="23" s="1"/>
  <c r="M3480" i="23" a="1"/>
  <c r="M3480" i="23" s="1"/>
  <c r="N3480" i="23" s="1"/>
  <c r="K3477" i="23"/>
  <c r="L3477" i="23" s="1"/>
  <c r="K3475" i="23"/>
  <c r="L3475" i="23" s="1"/>
  <c r="K3474" i="23"/>
  <c r="L3474" i="23" s="1"/>
  <c r="K3472" i="23"/>
  <c r="L3472" i="23" s="1"/>
  <c r="K3471" i="23"/>
  <c r="L3471" i="23" s="1"/>
  <c r="K3470" i="23"/>
  <c r="L3470" i="23" s="1"/>
  <c r="K3469" i="23"/>
  <c r="L3469" i="23" s="1"/>
  <c r="K3462" i="23"/>
  <c r="L3462" i="23" s="1"/>
  <c r="K3463" i="23"/>
  <c r="L3463" i="23" s="1"/>
  <c r="K3461" i="23"/>
  <c r="L3461" i="23" s="1"/>
  <c r="M3461" i="23" a="1"/>
  <c r="M3461" i="23" s="1"/>
  <c r="N3461" i="23" s="1"/>
  <c r="K3450" i="23"/>
  <c r="L3450" i="23" s="1"/>
  <c r="K3449" i="23"/>
  <c r="L3449" i="23" s="1"/>
  <c r="K3458" i="23"/>
  <c r="L3458" i="23" s="1"/>
  <c r="K3454" i="23"/>
  <c r="L3454" i="23" s="1"/>
  <c r="K3455" i="23"/>
  <c r="L3455" i="23" s="1"/>
  <c r="M3455" i="23" a="1"/>
  <c r="M3455" i="23" s="1"/>
  <c r="N3455" i="23" s="1"/>
  <c r="K3440" i="23"/>
  <c r="L3440" i="23" s="1"/>
  <c r="K3441" i="23"/>
  <c r="L3441" i="23" s="1"/>
  <c r="K3447" i="23"/>
  <c r="L3447" i="23" s="1"/>
  <c r="M3447" i="23" a="1"/>
  <c r="M3447" i="23" s="1"/>
  <c r="N3447" i="23" s="1"/>
  <c r="K3445" i="23"/>
  <c r="L3445" i="23" s="1"/>
  <c r="K3439" i="23"/>
  <c r="L3439" i="23" s="1"/>
  <c r="M3439" i="23" a="1"/>
  <c r="M3439" i="23" s="1"/>
  <c r="N3439" i="23" s="1"/>
  <c r="K3438" i="23"/>
  <c r="L3438" i="23" s="1"/>
  <c r="M3438" i="23" a="1"/>
  <c r="M3438" i="23" s="1"/>
  <c r="N3438" i="23" s="1"/>
  <c r="K3437" i="23"/>
  <c r="L3437" i="23" s="1"/>
  <c r="K3443" i="23"/>
  <c r="L3443" i="23" s="1"/>
  <c r="K3429" i="23"/>
  <c r="L3429" i="23" s="1"/>
  <c r="M3429" i="23" a="1"/>
  <c r="M3429" i="23" s="1"/>
  <c r="N3429" i="23" s="1"/>
  <c r="K3431" i="23"/>
  <c r="L3431" i="23" s="1"/>
  <c r="K3428" i="23"/>
  <c r="L3428" i="23" s="1"/>
  <c r="M3428" i="23" a="1"/>
  <c r="M3428" i="23" s="1"/>
  <c r="N3428" i="23" s="1"/>
  <c r="K3420" i="23"/>
  <c r="L3420" i="23" s="1"/>
  <c r="K3422" i="23"/>
  <c r="L3422" i="23" s="1"/>
  <c r="K3433" i="23"/>
  <c r="L3433" i="23" s="1"/>
  <c r="M3433" i="23" a="1"/>
  <c r="M3433" i="23" s="1"/>
  <c r="N3433" i="23" s="1"/>
  <c r="K3434" i="23"/>
  <c r="L3434" i="23" s="1"/>
  <c r="K3406" i="23"/>
  <c r="L3406" i="23" s="1"/>
  <c r="K3405" i="23"/>
  <c r="L3405" i="23" s="1"/>
  <c r="K3416" i="23"/>
  <c r="L3416" i="23" s="1"/>
  <c r="K3407" i="23"/>
  <c r="L3407" i="23" s="1"/>
  <c r="K3409" i="23"/>
  <c r="L3409" i="23" s="1"/>
  <c r="K3408" i="23"/>
  <c r="L3408" i="23" s="1"/>
  <c r="K3413" i="23"/>
  <c r="L3413" i="23" s="1"/>
  <c r="K3402" i="23"/>
  <c r="L3402" i="23" s="1"/>
  <c r="K3398" i="23"/>
  <c r="L3398" i="23" s="1"/>
  <c r="M3398" i="23" a="1"/>
  <c r="M3398" i="23" s="1"/>
  <c r="N3398" i="23" s="1"/>
  <c r="K3397" i="23"/>
  <c r="L3397" i="23" s="1"/>
  <c r="K3396" i="23"/>
  <c r="L3396" i="23" s="1"/>
  <c r="K3399" i="23"/>
  <c r="L3399" i="23" s="1"/>
  <c r="K3384" i="23"/>
  <c r="L3384" i="23" s="1"/>
  <c r="M3384" i="23" a="1"/>
  <c r="M3384" i="23" s="1"/>
  <c r="N3384" i="23" s="1"/>
  <c r="K3383" i="23"/>
  <c r="L3383" i="23" s="1"/>
  <c r="M3383" i="23" a="1"/>
  <c r="M3383" i="23" s="1"/>
  <c r="N3383" i="23" s="1"/>
  <c r="K3367" i="23"/>
  <c r="L3367" i="23" s="1"/>
  <c r="K3377" i="23"/>
  <c r="L3377" i="23" s="1"/>
  <c r="K3376" i="23"/>
  <c r="L3376" i="23" s="1"/>
  <c r="K3362" i="23"/>
  <c r="L3362" i="23" s="1"/>
  <c r="K3352" i="23"/>
  <c r="L3352" i="23" s="1"/>
  <c r="K3339" i="23"/>
  <c r="L3339" i="23" s="1"/>
  <c r="K2" i="23"/>
  <c r="L2" i="23" s="1"/>
  <c r="K3343" i="23"/>
  <c r="L3343" i="23" s="1"/>
  <c r="K3337" i="23"/>
  <c r="L3337" i="23" s="1"/>
  <c r="K3321" i="23"/>
  <c r="L3321" i="23" s="1"/>
  <c r="K3323" i="23"/>
  <c r="L3323" i="23" s="1"/>
  <c r="K3313" i="23"/>
  <c r="L3313" i="23" s="1"/>
  <c r="K3272" i="23"/>
  <c r="L3272" i="23" s="1"/>
  <c r="K3238" i="23"/>
  <c r="L3238" i="23" s="1"/>
  <c r="K3230" i="23"/>
  <c r="L3230" i="23" s="1"/>
  <c r="K3229" i="23"/>
  <c r="L3229" i="23" s="1"/>
  <c r="K3198" i="23"/>
  <c r="L3198" i="23" s="1"/>
  <c r="M3514" i="23"/>
  <c r="M3496" i="23"/>
  <c r="M3478" i="23"/>
  <c r="M3473" i="23"/>
  <c r="M3444" i="23"/>
  <c r="L3514" i="23" l="1"/>
  <c r="N3514" i="23"/>
  <c r="K3496" i="23"/>
  <c r="L3496" i="23" s="1"/>
  <c r="N3496" i="23"/>
  <c r="K3478" i="23"/>
  <c r="L3478" i="23" s="1"/>
  <c r="N3478" i="23"/>
  <c r="K3479" i="23"/>
  <c r="L3479" i="23" s="1"/>
  <c r="N3479" i="23"/>
  <c r="K3473" i="23"/>
  <c r="L3473" i="23" s="1"/>
  <c r="N3473" i="23"/>
  <c r="K3444" i="23"/>
  <c r="L3444" i="23" s="1"/>
  <c r="N3444" i="23"/>
  <c r="N3394" i="23"/>
  <c r="M3309" i="23"/>
  <c r="M3359" i="23"/>
  <c r="M3307" i="23"/>
  <c r="M3222" i="23"/>
  <c r="M3191" i="23"/>
  <c r="M3391" i="23"/>
  <c r="N3391" i="23" s="1"/>
  <c r="M3379" i="23"/>
  <c r="M3334" i="23"/>
  <c r="N3334" i="23" s="1"/>
  <c r="M3293" i="23"/>
  <c r="M3279" i="23"/>
  <c r="M3347" i="23"/>
  <c r="M3418" i="23"/>
  <c r="M3378" i="23"/>
  <c r="N3378" i="23" s="1"/>
  <c r="M3358" i="23"/>
  <c r="N3358" i="23" s="1"/>
  <c r="M3333" i="23"/>
  <c r="N3333" i="23" s="1"/>
  <c r="M3292" i="23"/>
  <c r="M3332" i="23"/>
  <c r="M3356" i="23"/>
  <c r="N3356" i="23" s="1"/>
  <c r="M3346" i="23"/>
  <c r="M3306" i="23"/>
  <c r="M3291" i="23"/>
  <c r="M3278" i="23"/>
  <c r="M3331" i="23"/>
  <c r="N3331" i="23" s="1"/>
  <c r="M3290" i="23"/>
  <c r="M3260" i="23"/>
  <c r="M3389" i="23"/>
  <c r="N3389" i="23" s="1"/>
  <c r="M3355" i="23"/>
  <c r="N3355" i="23" s="1"/>
  <c r="M3330" i="23"/>
  <c r="N3330" i="23" s="1"/>
  <c r="M3289" i="23"/>
  <c r="M3259" i="23"/>
  <c r="M3329" i="23"/>
  <c r="M3388" i="23"/>
  <c r="N3388" i="23" s="1"/>
  <c r="M3345" i="23"/>
  <c r="N3345" i="23" s="1"/>
  <c r="M3288" i="23"/>
  <c r="M3400" i="23"/>
  <c r="M3344" i="23"/>
  <c r="M3328" i="23"/>
  <c r="M3287" i="23"/>
  <c r="N3387" i="23"/>
  <c r="N3354" i="23"/>
  <c r="M3327" i="23"/>
  <c r="N3327" i="23" s="1"/>
  <c r="M3286" i="23"/>
  <c r="M3276" i="23"/>
  <c r="M3256" i="23"/>
  <c r="M3241" i="23"/>
  <c r="M3216" i="23"/>
  <c r="M3200" i="23"/>
  <c r="M3184" i="23"/>
  <c r="M3168" i="23"/>
  <c r="M3325" i="23"/>
  <c r="M3227" i="23"/>
  <c r="M3131" i="23"/>
  <c r="M3375" i="23"/>
  <c r="M3374" i="23"/>
  <c r="N3374" i="23" s="1"/>
  <c r="K3374" i="23"/>
  <c r="L3374" i="23" s="1"/>
  <c r="M3314" i="23"/>
  <c r="M3311" i="23"/>
  <c r="M3285" i="23"/>
  <c r="M3305" i="23"/>
  <c r="M3214" i="23"/>
  <c r="M3373" i="23"/>
  <c r="M3372" i="23"/>
  <c r="N3372" i="23" s="1"/>
  <c r="M3342" i="23"/>
  <c r="N3342" i="23" s="1"/>
  <c r="M3304" i="23"/>
  <c r="M3274" i="23"/>
  <c r="M3385" i="23"/>
  <c r="N3385" i="23" s="1"/>
  <c r="M3371" i="23"/>
  <c r="N3371" i="23" s="1"/>
  <c r="M3341" i="23"/>
  <c r="N3341" i="23" s="1"/>
  <c r="M3324" i="23"/>
  <c r="N3324" i="23" s="1"/>
  <c r="M3273" i="23"/>
  <c r="M3370" i="23"/>
  <c r="N3370" i="23" s="1"/>
  <c r="M3340" i="23"/>
  <c r="N3340" i="23" s="1"/>
  <c r="M3303" i="23"/>
  <c r="M3271" i="23"/>
  <c r="M3369" i="23"/>
  <c r="N3369" i="23" s="1"/>
  <c r="M3351" i="23"/>
  <c r="N3351" i="23" s="1"/>
  <c r="M3302" i="23"/>
  <c r="M3301" i="23"/>
  <c r="M3283" i="23"/>
  <c r="M3270" i="23"/>
  <c r="M3350" i="23"/>
  <c r="M3322" i="23"/>
  <c r="M3300" i="23"/>
  <c r="M3269" i="23"/>
  <c r="N3368" i="23"/>
  <c r="M3268" i="23"/>
  <c r="M3366" i="23"/>
  <c r="N3366" i="23" s="1"/>
  <c r="M3320" i="23"/>
  <c r="N3320" i="23" s="1"/>
  <c r="M3267" i="23"/>
  <c r="M3365" i="23"/>
  <c r="M3123" i="23"/>
  <c r="M3364" i="23"/>
  <c r="N3364" i="23" s="1"/>
  <c r="M3338" i="23"/>
  <c r="N3338" i="23" s="1"/>
  <c r="M3298" i="23"/>
  <c r="M3252" i="23"/>
  <c r="M3234" i="23"/>
  <c r="M3349" i="23"/>
  <c r="N3349" i="23" s="1"/>
  <c r="M3319" i="23"/>
  <c r="N3319" i="23" s="1"/>
  <c r="M3297" i="23"/>
  <c r="M3282" i="23"/>
  <c r="M3233" i="23"/>
  <c r="M3228" i="23"/>
  <c r="M3223" i="23"/>
  <c r="M3363" i="23"/>
  <c r="N3363" i="23" s="1"/>
  <c r="M3266" i="23"/>
  <c r="M3265" i="23"/>
  <c r="M3232" i="23"/>
  <c r="N3348" i="23"/>
  <c r="N3382" i="23"/>
  <c r="M3295" i="23"/>
  <c r="M3264" i="23"/>
  <c r="M3381" i="23"/>
  <c r="M3361" i="23"/>
  <c r="N3361" i="23" s="1"/>
  <c r="M3335" i="23"/>
  <c r="N3335" i="23" s="1"/>
  <c r="M3281" i="23"/>
  <c r="M3263" i="23"/>
  <c r="M3360" i="23"/>
  <c r="N3360" i="23" s="1"/>
  <c r="M3280" i="23"/>
  <c r="K3382" i="23"/>
  <c r="L3382" i="23" s="1"/>
  <c r="K3388" i="23"/>
  <c r="L3388" i="23" s="1"/>
  <c r="K3389" i="23"/>
  <c r="L3389" i="23" s="1"/>
  <c r="K3394" i="23"/>
  <c r="L3394" i="23" s="1"/>
  <c r="K3391" i="23"/>
  <c r="L3391" i="23" s="1"/>
  <c r="K3385" i="23"/>
  <c r="L3385" i="23" s="1"/>
  <c r="K3387" i="23"/>
  <c r="L3387" i="23" s="1"/>
  <c r="K3360" i="23"/>
  <c r="L3360" i="23" s="1"/>
  <c r="K3366" i="23"/>
  <c r="L3366" i="23" s="1"/>
  <c r="K3364" i="23"/>
  <c r="L3364" i="23" s="1"/>
  <c r="K3363" i="23"/>
  <c r="L3363" i="23" s="1"/>
  <c r="K3372" i="23"/>
  <c r="L3372" i="23" s="1"/>
  <c r="K3370" i="23"/>
  <c r="L3370" i="23" s="1"/>
  <c r="K3368" i="23"/>
  <c r="L3368" i="23" s="1"/>
  <c r="K3361" i="23"/>
  <c r="L3361" i="23" s="1"/>
  <c r="K3369" i="23"/>
  <c r="L3369" i="23" s="1"/>
  <c r="K3371" i="23"/>
  <c r="L3371" i="23" s="1"/>
  <c r="K3378" i="23"/>
  <c r="L3378" i="23" s="1"/>
  <c r="K3351" i="23"/>
  <c r="L3351" i="23" s="1"/>
  <c r="K3355" i="23"/>
  <c r="L3355" i="23" s="1"/>
  <c r="K3356" i="23"/>
  <c r="L3356" i="23" s="1"/>
  <c r="K3358" i="23"/>
  <c r="L3358" i="23" s="1"/>
  <c r="K3348" i="23"/>
  <c r="L3348" i="23" s="1"/>
  <c r="K3349" i="23"/>
  <c r="L3349" i="23" s="1"/>
  <c r="K3354" i="23"/>
  <c r="L3354" i="23" s="1"/>
  <c r="K3340" i="23"/>
  <c r="L3340" i="23" s="1"/>
  <c r="K3345" i="23"/>
  <c r="L3345" i="23" s="1"/>
  <c r="K3335" i="23"/>
  <c r="L3335" i="23" s="1"/>
  <c r="K3338" i="23"/>
  <c r="L3338" i="23" s="1"/>
  <c r="K3341" i="23"/>
  <c r="L3341" i="23" s="1"/>
  <c r="K3342" i="23"/>
  <c r="L3342" i="23" s="1"/>
  <c r="K3330" i="23"/>
  <c r="L3330" i="23" s="1"/>
  <c r="K3320" i="23"/>
  <c r="L3320" i="23" s="1"/>
  <c r="K3319" i="23"/>
  <c r="L3319" i="23" s="1"/>
  <c r="K3331" i="23"/>
  <c r="L3331" i="23" s="1"/>
  <c r="K3324" i="23"/>
  <c r="L3324" i="23" s="1"/>
  <c r="K3327" i="23"/>
  <c r="L3327" i="23" s="1"/>
  <c r="K3334" i="23"/>
  <c r="L3334" i="23" s="1"/>
  <c r="K3333" i="23"/>
  <c r="L3333" i="23" s="1"/>
  <c r="K3304" i="23" l="1"/>
  <c r="L3304" i="23" s="1"/>
  <c r="N3304" i="23"/>
  <c r="K3298" i="23"/>
  <c r="L3298" i="23" s="1"/>
  <c r="N3298" i="23"/>
  <c r="K3301" i="23"/>
  <c r="L3301" i="23" s="1"/>
  <c r="N3301" i="23"/>
  <c r="K3299" i="23"/>
  <c r="L3299" i="23" s="1"/>
  <c r="N3299" i="23"/>
  <c r="K3303" i="23"/>
  <c r="L3303" i="23" s="1"/>
  <c r="N3303" i="23"/>
  <c r="K3295" i="23"/>
  <c r="L3295" i="23" s="1"/>
  <c r="N3295" i="23"/>
  <c r="K3309" i="23"/>
  <c r="L3309" i="23" s="1"/>
  <c r="N3309" i="23"/>
  <c r="K3290" i="23"/>
  <c r="L3290" i="23" s="1"/>
  <c r="N3290" i="23"/>
  <c r="K3286" i="23"/>
  <c r="L3286" i="23" s="1"/>
  <c r="N3286" i="23"/>
  <c r="K3285" i="23"/>
  <c r="L3285" i="23" s="1"/>
  <c r="N3285" i="23"/>
  <c r="K3292" i="23"/>
  <c r="L3292" i="23" s="1"/>
  <c r="N3292" i="23"/>
  <c r="K3288" i="23"/>
  <c r="L3288" i="23" s="1"/>
  <c r="N3288" i="23"/>
  <c r="K3280" i="23"/>
  <c r="L3280" i="23" s="1"/>
  <c r="N3280" i="23"/>
  <c r="K3281" i="23"/>
  <c r="L3281" i="23" s="1"/>
  <c r="N3281" i="23"/>
  <c r="K3293" i="23"/>
  <c r="L3293" i="23" s="1"/>
  <c r="N3293" i="23"/>
  <c r="K3291" i="23"/>
  <c r="L3291" i="23" s="1"/>
  <c r="N3291" i="23"/>
  <c r="K3289" i="23"/>
  <c r="L3289" i="23" s="1"/>
  <c r="N3289" i="23"/>
  <c r="K3273" i="23"/>
  <c r="L3273" i="23" s="1"/>
  <c r="N3273" i="23"/>
  <c r="K3264" i="23"/>
  <c r="L3264" i="23" s="1"/>
  <c r="N3264" i="23"/>
  <c r="K3271" i="23"/>
  <c r="L3271" i="23" s="1"/>
  <c r="N3271" i="23"/>
  <c r="K3267" i="23"/>
  <c r="L3267" i="23" s="1"/>
  <c r="N3267" i="23"/>
  <c r="K3263" i="23"/>
  <c r="L3263" i="23" s="1"/>
  <c r="N3263" i="23"/>
  <c r="K3266" i="23"/>
  <c r="L3266" i="23" s="1"/>
  <c r="N3266" i="23"/>
  <c r="K3279" i="23"/>
  <c r="L3279" i="23" s="1"/>
  <c r="N3279" i="23"/>
  <c r="K3275" i="23"/>
  <c r="L3275" i="23" s="1"/>
  <c r="N3275" i="23"/>
  <c r="K3278" i="23"/>
  <c r="L3278" i="23" s="1"/>
  <c r="N3278" i="23"/>
  <c r="K3274" i="23"/>
  <c r="L3274" i="23" s="1"/>
  <c r="N3274" i="23"/>
  <c r="K3259" i="23"/>
  <c r="L3259" i="23" s="1"/>
  <c r="N3259" i="23"/>
  <c r="K3256" i="23"/>
  <c r="L3256" i="23" s="1"/>
  <c r="N3256" i="23"/>
  <c r="K3260" i="23"/>
  <c r="L3260" i="23" s="1"/>
  <c r="N3260" i="23"/>
  <c r="N3381" i="23"/>
  <c r="M3318" i="23"/>
  <c r="N3318" i="23" s="1"/>
  <c r="M3317" i="23"/>
  <c r="N3317" i="23" s="1"/>
  <c r="K3317" i="23"/>
  <c r="L3317" i="23" s="1"/>
  <c r="M3316" i="23"/>
  <c r="N3316" i="23" s="1"/>
  <c r="M3294" i="23"/>
  <c r="N3294" i="23" s="1"/>
  <c r="M3250" i="23"/>
  <c r="N3250" i="23" s="1"/>
  <c r="K3418" i="23"/>
  <c r="L3418" i="23" s="1"/>
  <c r="N3418" i="23"/>
  <c r="K3400" i="23"/>
  <c r="L3400" i="23" s="1"/>
  <c r="N3400" i="23"/>
  <c r="K3395" i="23"/>
  <c r="L3395" i="23" s="1"/>
  <c r="K3381" i="23"/>
  <c r="L3381" i="23" s="1"/>
  <c r="K3365" i="23"/>
  <c r="L3365" i="23" s="1"/>
  <c r="N3365" i="23"/>
  <c r="K3373" i="23"/>
  <c r="L3373" i="23" s="1"/>
  <c r="N3373" i="23"/>
  <c r="K3375" i="23"/>
  <c r="L3375" i="23" s="1"/>
  <c r="N3375" i="23"/>
  <c r="K3380" i="23"/>
  <c r="L3380" i="23" s="1"/>
  <c r="K3379" i="23"/>
  <c r="L3379" i="23" s="1"/>
  <c r="N3379" i="23"/>
  <c r="K3350" i="23"/>
  <c r="L3350" i="23" s="1"/>
  <c r="N3350" i="23"/>
  <c r="K3357" i="23"/>
  <c r="L3357" i="23" s="1"/>
  <c r="K3359" i="23"/>
  <c r="L3359" i="23" s="1"/>
  <c r="N3359" i="23"/>
  <c r="K3347" i="23"/>
  <c r="L3347" i="23" s="1"/>
  <c r="N3347" i="23"/>
  <c r="K3346" i="23"/>
  <c r="L3346" i="23" s="1"/>
  <c r="N3346" i="23"/>
  <c r="K3344" i="23"/>
  <c r="L3344" i="23" s="1"/>
  <c r="N3344" i="23"/>
  <c r="K3336" i="23"/>
  <c r="L3336" i="23" s="1"/>
  <c r="N3336" i="23"/>
  <c r="K3328" i="23"/>
  <c r="L3328" i="23" s="1"/>
  <c r="N3328" i="23"/>
  <c r="K3322" i="23"/>
  <c r="L3322" i="23" s="1"/>
  <c r="N3322" i="23"/>
  <c r="K3326" i="23"/>
  <c r="L3326" i="23" s="1"/>
  <c r="K3325" i="23"/>
  <c r="L3325" i="23" s="1"/>
  <c r="N3325" i="23"/>
  <c r="K3329" i="23"/>
  <c r="L3329" i="23" s="1"/>
  <c r="N3329" i="23"/>
  <c r="K3318" i="23"/>
  <c r="L3318" i="23" s="1"/>
  <c r="K3316" i="23"/>
  <c r="L3316" i="23" s="1"/>
  <c r="K3332" i="23"/>
  <c r="L3332" i="23" s="1"/>
  <c r="N3332" i="23"/>
  <c r="K3315" i="23"/>
  <c r="L3315" i="23" s="1"/>
  <c r="N3315" i="23"/>
  <c r="K3314" i="23"/>
  <c r="L3314" i="23" s="1"/>
  <c r="N3314" i="23"/>
  <c r="K3312" i="23"/>
  <c r="L3312" i="23" s="1"/>
  <c r="M3312" i="23" a="1"/>
  <c r="M3312" i="23" s="1"/>
  <c r="N3312" i="23" s="1"/>
  <c r="K3311" i="23"/>
  <c r="L3311" i="23" s="1"/>
  <c r="N3311" i="23"/>
  <c r="K3306" i="23"/>
  <c r="L3306" i="23" s="1"/>
  <c r="N3306" i="23"/>
  <c r="K3294" i="23"/>
  <c r="L3294" i="23" s="1"/>
  <c r="K3310" i="23"/>
  <c r="L3310" i="23" s="1"/>
  <c r="K3297" i="23"/>
  <c r="L3297" i="23" s="1"/>
  <c r="N3297" i="23"/>
  <c r="K3302" i="23"/>
  <c r="L3302" i="23" s="1"/>
  <c r="N3302" i="23"/>
  <c r="K3296" i="23"/>
  <c r="L3296" i="23" s="1"/>
  <c r="K3305" i="23"/>
  <c r="L3305" i="23" s="1"/>
  <c r="N3305" i="23"/>
  <c r="K3300" i="23"/>
  <c r="L3300" i="23" s="1"/>
  <c r="N3300" i="23"/>
  <c r="K3308" i="23"/>
  <c r="L3308" i="23" s="1"/>
  <c r="K3307" i="23"/>
  <c r="L3307" i="23" s="1"/>
  <c r="N3307" i="23"/>
  <c r="K3287" i="23"/>
  <c r="L3287" i="23" s="1"/>
  <c r="N3287" i="23"/>
  <c r="K3282" i="23"/>
  <c r="L3282" i="23" s="1"/>
  <c r="N3282" i="23"/>
  <c r="K3283" i="23"/>
  <c r="L3283" i="23" s="1"/>
  <c r="N3283" i="23"/>
  <c r="K3270" i="23"/>
  <c r="L3270" i="23" s="1"/>
  <c r="N3270" i="23"/>
  <c r="K3269" i="23"/>
  <c r="L3269" i="23" s="1"/>
  <c r="N3269" i="23"/>
  <c r="K3268" i="23"/>
  <c r="L3268" i="23" s="1"/>
  <c r="N3268" i="23"/>
  <c r="K3276" i="23"/>
  <c r="L3276" i="23" s="1"/>
  <c r="N3276" i="23"/>
  <c r="K3277" i="23"/>
  <c r="L3277" i="23" s="1"/>
  <c r="K3265" i="23"/>
  <c r="L3265" i="23" s="1"/>
  <c r="N3265" i="23"/>
  <c r="K3252" i="23"/>
  <c r="L3252" i="23" s="1"/>
  <c r="N3252" i="23"/>
  <c r="K3242" i="23"/>
  <c r="L3242" i="23" s="1"/>
  <c r="K3240" i="23"/>
  <c r="L3240" i="23" s="1"/>
  <c r="K3234" i="23"/>
  <c r="L3234" i="23" s="1"/>
  <c r="N3234" i="23"/>
  <c r="K3241" i="23"/>
  <c r="L3241" i="23" s="1"/>
  <c r="N3241" i="23"/>
  <c r="K3233" i="23"/>
  <c r="L3233" i="23" s="1"/>
  <c r="N3233" i="23"/>
  <c r="K3232" i="23"/>
  <c r="L3232" i="23" s="1"/>
  <c r="N3232" i="23"/>
  <c r="K3228" i="23"/>
  <c r="L3228" i="23" s="1"/>
  <c r="N3228" i="23"/>
  <c r="K3223" i="23"/>
  <c r="L3223" i="23" s="1"/>
  <c r="N3223" i="23"/>
  <c r="K3214" i="23"/>
  <c r="L3214" i="23" s="1"/>
  <c r="N3214" i="23"/>
  <c r="K3222" i="23"/>
  <c r="L3222" i="23" s="1"/>
  <c r="N3222" i="23"/>
  <c r="K3200" i="23"/>
  <c r="L3200" i="23" s="1"/>
  <c r="N3200" i="23"/>
  <c r="K3168" i="23"/>
  <c r="L3168" i="23" s="1"/>
  <c r="N3168" i="23"/>
  <c r="M3261" i="23"/>
  <c r="N3261" i="23" s="1"/>
  <c r="M3221" i="23"/>
  <c r="N3221" i="23" s="1"/>
  <c r="M3171" i="23"/>
  <c r="N3171" i="23" s="1"/>
  <c r="M3170" i="23"/>
  <c r="N3170" i="23" s="1"/>
  <c r="M3159" i="23"/>
  <c r="N3159" i="23" s="1"/>
  <c r="M3137" i="23"/>
  <c r="M3202" i="23"/>
  <c r="N3202" i="23" s="1"/>
  <c r="M2879" i="23"/>
  <c r="M3258" i="23"/>
  <c r="N3258" i="23" s="1"/>
  <c r="M3257" i="23"/>
  <c r="N3257" i="23" s="1"/>
  <c r="M3217" i="23"/>
  <c r="N3217" i="23" s="1"/>
  <c r="M3254" i="23"/>
  <c r="N3254" i="23" s="1"/>
  <c r="M3253" i="23"/>
  <c r="N3253" i="23" s="1"/>
  <c r="M3235" i="23"/>
  <c r="N3235" i="23" s="1"/>
  <c r="M3225" i="23"/>
  <c r="N3225" i="23" s="1"/>
  <c r="M3224" i="23"/>
  <c r="N3224" i="23" s="1"/>
  <c r="M3210" i="23"/>
  <c r="N3210" i="23" s="1"/>
  <c r="M3197" i="23"/>
  <c r="N3197" i="23" s="1"/>
  <c r="M3164" i="23"/>
  <c r="N3164" i="23" s="1"/>
  <c r="M3149" i="23"/>
  <c r="N3149" i="23" s="1"/>
  <c r="M3109" i="23"/>
  <c r="N3109" i="23" s="1"/>
  <c r="M3262" i="23"/>
  <c r="N3262" i="23" s="1"/>
  <c r="M3248" i="23"/>
  <c r="M3203" i="23"/>
  <c r="N3203" i="23" s="1"/>
  <c r="M3190" i="23"/>
  <c r="N3190" i="23" s="1"/>
  <c r="M3172" i="23"/>
  <c r="N3172" i="23" s="1"/>
  <c r="M3245" i="23"/>
  <c r="M3244" i="23"/>
  <c r="N3244" i="23" s="1"/>
  <c r="M3186" i="23"/>
  <c r="N3186" i="23" s="1"/>
  <c r="M3187" i="23"/>
  <c r="M3243" i="23"/>
  <c r="M3218" i="23"/>
  <c r="N3218" i="23" s="1"/>
  <c r="N3227" i="23"/>
  <c r="N3131" i="23"/>
  <c r="M3183" i="23"/>
  <c r="N3183" i="23" s="1"/>
  <c r="M3213" i="23"/>
  <c r="M3167" i="23"/>
  <c r="N3167" i="23" s="1"/>
  <c r="M3153" i="23"/>
  <c r="M3255" i="23"/>
  <c r="N3255" i="23" s="1"/>
  <c r="M3236" i="23"/>
  <c r="N3236" i="23" s="1"/>
  <c r="M3211" i="23"/>
  <c r="N3211" i="23" s="1"/>
  <c r="M3181" i="23"/>
  <c r="N3181" i="23" s="1"/>
  <c r="M3165" i="23"/>
  <c r="M3150" i="23"/>
  <c r="N3150" i="23" s="1"/>
  <c r="M3021" i="23"/>
  <c r="N3021" i="23" s="1"/>
  <c r="M3145" i="23"/>
  <c r="M3139" i="23"/>
  <c r="N3139" i="23" s="1"/>
  <c r="M3089" i="23"/>
  <c r="N3089" i="23" s="1"/>
  <c r="M3038" i="23"/>
  <c r="N3038" i="23" s="1"/>
  <c r="K3038" i="23"/>
  <c r="L3038" i="23" s="1"/>
  <c r="M3178" i="23"/>
  <c r="N3178" i="23" s="1"/>
  <c r="K3089" i="23"/>
  <c r="L3089" i="23" s="1"/>
  <c r="M3207" i="23"/>
  <c r="N3207" i="23" s="1"/>
  <c r="M3161" i="23"/>
  <c r="N3161" i="23" s="1"/>
  <c r="M3144" i="23"/>
  <c r="N3144" i="23" s="1"/>
  <c r="M3251" i="23"/>
  <c r="N3251" i="23" s="1"/>
  <c r="M3206" i="23"/>
  <c r="M3249" i="23"/>
  <c r="N3249" i="23" s="1"/>
  <c r="M3192" i="23"/>
  <c r="N3192" i="23" s="1"/>
  <c r="M3177" i="23"/>
  <c r="N3177" i="23" s="1"/>
  <c r="K3249" i="23"/>
  <c r="L3249" i="23" s="1"/>
  <c r="K3250" i="23"/>
  <c r="L3250" i="23" s="1"/>
  <c r="K3254" i="23"/>
  <c r="L3254" i="23" s="1"/>
  <c r="K3253" i="23"/>
  <c r="L3253" i="23" s="1"/>
  <c r="K3251" i="23"/>
  <c r="L3251" i="23" s="1"/>
  <c r="K3262" i="23"/>
  <c r="L3262" i="23" s="1"/>
  <c r="K3258" i="23"/>
  <c r="L3258" i="23" s="1"/>
  <c r="K3261" i="23"/>
  <c r="L3261" i="23" s="1"/>
  <c r="K3257" i="23"/>
  <c r="L3257" i="23" s="1"/>
  <c r="K3255" i="23"/>
  <c r="L3255" i="23" s="1"/>
  <c r="K3235" i="23"/>
  <c r="L3235" i="23" s="1"/>
  <c r="K3244" i="23"/>
  <c r="L3244" i="23" s="1"/>
  <c r="K3247" i="23"/>
  <c r="L3247" i="23" s="1"/>
  <c r="K3236" i="23"/>
  <c r="L3236" i="23" s="1"/>
  <c r="K3225" i="23"/>
  <c r="L3225" i="23" s="1"/>
  <c r="K3224" i="23"/>
  <c r="L3224" i="23" s="1"/>
  <c r="K3227" i="23"/>
  <c r="L3227" i="23" s="1"/>
  <c r="K3220" i="23"/>
  <c r="L3220" i="23" s="1"/>
  <c r="K3210" i="23"/>
  <c r="L3210" i="23" s="1"/>
  <c r="K3207" i="23"/>
  <c r="L3207" i="23" s="1"/>
  <c r="K3217" i="23"/>
  <c r="L3217" i="23" s="1"/>
  <c r="K3218" i="23"/>
  <c r="L3218" i="23" s="1"/>
  <c r="K3211" i="23"/>
  <c r="L3211" i="23" s="1"/>
  <c r="K3221" i="23"/>
  <c r="L3221" i="23" s="1"/>
  <c r="K3197" i="23"/>
  <c r="L3197" i="23" s="1"/>
  <c r="K3202" i="23"/>
  <c r="L3202" i="23" s="1"/>
  <c r="K3204" i="23"/>
  <c r="L3204" i="23" s="1"/>
  <c r="K3203" i="23"/>
  <c r="L3203" i="23" s="1"/>
  <c r="K3192" i="23"/>
  <c r="L3192" i="23" s="1"/>
  <c r="K3186" i="23"/>
  <c r="L3186" i="23" s="1"/>
  <c r="K3181" i="23"/>
  <c r="L3181" i="23" s="1"/>
  <c r="K3183" i="23"/>
  <c r="L3183" i="23" s="1"/>
  <c r="K3177" i="23"/>
  <c r="L3177" i="23" s="1"/>
  <c r="K3178" i="23"/>
  <c r="L3178" i="23" s="1"/>
  <c r="K3175" i="23"/>
  <c r="L3175" i="23" s="1"/>
  <c r="K3173" i="23"/>
  <c r="L3173" i="23" s="1"/>
  <c r="K3172" i="23"/>
  <c r="L3172" i="23" s="1"/>
  <c r="K3170" i="23"/>
  <c r="L3170" i="23" s="1"/>
  <c r="K3171" i="23"/>
  <c r="L3171" i="23" s="1"/>
  <c r="K3164" i="23"/>
  <c r="L3164" i="23" s="1"/>
  <c r="K3167" i="23"/>
  <c r="L3167" i="23" s="1"/>
  <c r="K3161" i="23"/>
  <c r="L3161" i="23" s="1"/>
  <c r="K3152" i="23"/>
  <c r="L3152" i="23" s="1"/>
  <c r="K3149" i="23"/>
  <c r="L3149" i="23" s="1"/>
  <c r="K3150" i="23"/>
  <c r="L3150" i="23" s="1"/>
  <c r="K3144" i="23"/>
  <c r="L3144" i="23" s="1"/>
  <c r="K3159" i="23"/>
  <c r="L3159" i="23" s="1"/>
  <c r="K3140" i="23"/>
  <c r="L3140" i="23" s="1"/>
  <c r="K3139" i="23"/>
  <c r="L3139" i="23" s="1"/>
  <c r="K3190" i="23"/>
  <c r="L3190" i="23" s="1"/>
  <c r="K3122" i="23"/>
  <c r="L3122" i="23" s="1"/>
  <c r="K3131" i="23"/>
  <c r="L3131" i="23" s="1"/>
  <c r="K3109" i="23"/>
  <c r="L3109" i="23" s="1"/>
  <c r="K3021" i="23"/>
  <c r="L3021" i="23" s="1"/>
  <c r="M2938" i="23"/>
  <c r="M2910" i="23"/>
  <c r="M2828" i="23"/>
  <c r="M3001" i="23" l="1"/>
  <c r="M2601" i="23"/>
  <c r="M2599" i="23"/>
  <c r="M2270" i="23"/>
  <c r="M2245" i="23"/>
  <c r="M2229" i="23"/>
  <c r="M2207" i="23"/>
  <c r="M1394" i="23"/>
  <c r="M1393" i="23"/>
  <c r="M1392" i="23"/>
  <c r="M1287" i="23"/>
  <c r="M1264" i="23"/>
  <c r="M2648" i="23"/>
  <c r="M2596" i="23"/>
  <c r="M2610" i="23"/>
  <c r="M2260" i="23"/>
  <c r="M2365" i="23"/>
  <c r="M3205" i="23"/>
  <c r="N3205" i="23" s="1"/>
  <c r="M3087" i="23"/>
  <c r="N3087" i="23" s="1"/>
  <c r="M3018" i="23"/>
  <c r="N3018" i="23" s="1"/>
  <c r="N3191" i="23"/>
  <c r="M3138" i="23"/>
  <c r="M3031" i="23"/>
  <c r="N3031" i="23" s="1"/>
  <c r="N3248" i="23"/>
  <c r="M3118" i="23"/>
  <c r="M3086" i="23"/>
  <c r="N3086" i="23" s="1"/>
  <c r="M3057" i="23"/>
  <c r="N3057" i="23" s="1"/>
  <c r="M3029" i="23"/>
  <c r="N3029" i="23" s="1"/>
  <c r="M3017" i="23"/>
  <c r="M2996" i="23"/>
  <c r="M2889" i="23"/>
  <c r="M2946" i="23"/>
  <c r="N2946" i="23" s="1"/>
  <c r="M2937" i="23"/>
  <c r="N2937" i="23" s="1"/>
  <c r="M3246" i="23"/>
  <c r="N3246" i="23" s="1"/>
  <c r="M3189" i="23"/>
  <c r="N3189" i="23" s="1"/>
  <c r="M3136" i="23"/>
  <c r="N3136" i="23" s="1"/>
  <c r="M3117" i="23"/>
  <c r="N3117" i="23" s="1"/>
  <c r="M3056" i="23"/>
  <c r="N3056" i="23" s="1"/>
  <c r="M2977" i="23"/>
  <c r="N2977" i="23" s="1"/>
  <c r="N3245" i="23"/>
  <c r="M3201" i="23"/>
  <c r="N3201" i="23" s="1"/>
  <c r="M3188" i="23"/>
  <c r="N3188" i="23" s="1"/>
  <c r="M3158" i="23"/>
  <c r="M3116" i="23"/>
  <c r="N3116" i="23" s="1"/>
  <c r="M3102" i="23"/>
  <c r="M3101" i="23"/>
  <c r="M3085" i="23"/>
  <c r="M3055" i="23"/>
  <c r="N3055" i="23" s="1"/>
  <c r="M3016" i="23"/>
  <c r="N3016" i="23" s="1"/>
  <c r="M2995" i="23"/>
  <c r="N2995" i="23" s="1"/>
  <c r="M3135" i="23"/>
  <c r="M3114" i="23"/>
  <c r="M3219" i="23"/>
  <c r="N3219" i="23" s="1"/>
  <c r="N3187" i="23"/>
  <c r="M3157" i="23"/>
  <c r="N3157" i="23" s="1"/>
  <c r="M3113" i="23"/>
  <c r="N3113" i="23" s="1"/>
  <c r="K3113" i="23"/>
  <c r="L3113" i="23" s="1"/>
  <c r="M3084" i="23"/>
  <c r="M3066" i="23"/>
  <c r="N3066" i="23" s="1"/>
  <c r="M3028" i="23"/>
  <c r="N3028" i="23" s="1"/>
  <c r="M2994" i="23"/>
  <c r="N2994" i="23" s="1"/>
  <c r="M2976" i="23"/>
  <c r="N2976" i="23" s="1"/>
  <c r="M3100" i="23"/>
  <c r="N3100" i="23" s="1"/>
  <c r="K3100" i="23"/>
  <c r="L3100" i="23" s="1"/>
  <c r="M3156" i="23"/>
  <c r="N3156" i="23" s="1"/>
  <c r="M3112" i="23"/>
  <c r="N3112" i="23" s="1"/>
  <c r="M3083" i="23"/>
  <c r="N3083" i="23" s="1"/>
  <c r="M3054" i="23"/>
  <c r="N3054" i="23" s="1"/>
  <c r="M3027" i="23"/>
  <c r="N3027" i="23" s="1"/>
  <c r="M2993" i="23"/>
  <c r="N2993" i="23" s="1"/>
  <c r="M2958" i="23"/>
  <c r="N2958" i="23" s="1"/>
  <c r="M2935" i="23"/>
  <c r="N2935" i="23" s="1"/>
  <c r="N3243" i="23"/>
  <c r="M3185" i="23"/>
  <c r="N3185" i="23" s="1"/>
  <c r="M3169" i="23"/>
  <c r="N3169" i="23" s="1"/>
  <c r="M3134" i="23"/>
  <c r="N3134" i="23" s="1"/>
  <c r="M3099" i="23"/>
  <c r="N3099" i="23" s="1"/>
  <c r="M3065" i="23"/>
  <c r="N3065" i="23" s="1"/>
  <c r="M3026" i="23"/>
  <c r="N3026" i="23" s="1"/>
  <c r="M3004" i="23"/>
  <c r="N3004" i="23" s="1"/>
  <c r="M2957" i="23"/>
  <c r="N2957" i="23" s="1"/>
  <c r="M2944" i="23"/>
  <c r="N2944" i="23" s="1"/>
  <c r="M2917" i="23"/>
  <c r="M2903" i="23"/>
  <c r="M2902" i="23"/>
  <c r="N2902" i="23" s="1"/>
  <c r="K2902" i="23"/>
  <c r="L2902" i="23" s="1"/>
  <c r="N3216" i="23"/>
  <c r="N3184" i="23"/>
  <c r="M3155" i="23"/>
  <c r="N3155" i="23" s="1"/>
  <c r="M3132" i="23"/>
  <c r="M3098" i="23"/>
  <c r="N3098" i="23" s="1"/>
  <c r="M3082" i="23"/>
  <c r="M3081" i="23"/>
  <c r="N3081" i="23" s="1"/>
  <c r="M3053" i="23"/>
  <c r="M3037" i="23"/>
  <c r="N3037" i="23" s="1"/>
  <c r="M3012" i="23"/>
  <c r="M2992" i="23"/>
  <c r="N2992" i="23" s="1"/>
  <c r="M2973" i="23"/>
  <c r="M2956" i="23"/>
  <c r="N2956" i="23" s="1"/>
  <c r="M2932" i="23"/>
  <c r="M3080" i="23"/>
  <c r="N3080" i="23" s="1"/>
  <c r="M3154" i="23"/>
  <c r="M3215" i="23"/>
  <c r="N3215" i="23" s="1"/>
  <c r="M3129" i="23"/>
  <c r="M3052" i="23"/>
  <c r="M2943" i="23"/>
  <c r="N3213" i="23"/>
  <c r="N3153" i="23"/>
  <c r="M3111" i="23"/>
  <c r="N3111" i="23" s="1"/>
  <c r="M3051" i="23"/>
  <c r="N3051" i="23" s="1"/>
  <c r="M2990" i="23"/>
  <c r="N2990" i="23" s="1"/>
  <c r="M3199" i="23"/>
  <c r="N3199" i="23" s="1"/>
  <c r="M3166" i="23"/>
  <c r="N3166" i="23" s="1"/>
  <c r="M3128" i="23"/>
  <c r="N3128" i="23" s="1"/>
  <c r="M3095" i="23"/>
  <c r="N3095" i="23" s="1"/>
  <c r="M3062" i="23"/>
  <c r="N3062" i="23" s="1"/>
  <c r="M3025" i="23"/>
  <c r="N3025" i="23" s="1"/>
  <c r="M2989" i="23"/>
  <c r="N2989" i="23" s="1"/>
  <c r="M2931" i="23"/>
  <c r="N2931" i="23" s="1"/>
  <c r="M3127" i="23"/>
  <c r="M3094" i="23"/>
  <c r="M3078" i="23"/>
  <c r="M2988" i="23"/>
  <c r="M2955" i="23"/>
  <c r="M2930" i="23"/>
  <c r="M3126" i="23"/>
  <c r="N3126" i="23" s="1"/>
  <c r="M3077" i="23"/>
  <c r="N3077" i="23" s="1"/>
  <c r="M3049" i="23"/>
  <c r="N3049" i="23" s="1"/>
  <c r="M2929" i="23"/>
  <c r="N2929" i="23" s="1"/>
  <c r="M3237" i="23"/>
  <c r="N3237" i="23" s="1"/>
  <c r="M3182" i="23"/>
  <c r="N3182" i="23" s="1"/>
  <c r="M3151" i="23"/>
  <c r="N3151" i="23" s="1"/>
  <c r="M3125" i="23"/>
  <c r="N3125" i="23" s="1"/>
  <c r="M3093" i="23"/>
  <c r="N3093" i="23" s="1"/>
  <c r="M3048" i="23"/>
  <c r="N3048" i="23" s="1"/>
  <c r="M3010" i="23"/>
  <c r="N3010" i="23" s="1"/>
  <c r="M2969" i="23"/>
  <c r="N2969" i="23" s="1"/>
  <c r="M2942" i="23"/>
  <c r="N2942" i="23" s="1"/>
  <c r="N3165" i="23"/>
  <c r="M3110" i="23"/>
  <c r="M3092" i="23"/>
  <c r="N3092" i="23" s="1"/>
  <c r="M3047" i="23"/>
  <c r="N3047" i="23" s="1"/>
  <c r="M3024" i="23"/>
  <c r="M3023" i="23"/>
  <c r="M2987" i="23"/>
  <c r="N2987" i="23" s="1"/>
  <c r="M2968" i="23"/>
  <c r="N2968" i="23" s="1"/>
  <c r="M2999" i="23"/>
  <c r="M3009" i="23"/>
  <c r="N3009" i="23" s="1"/>
  <c r="M3196" i="23"/>
  <c r="N3196" i="23" s="1"/>
  <c r="M3163" i="23"/>
  <c r="N3163" i="23" s="1"/>
  <c r="M3147" i="23"/>
  <c r="M3107" i="23"/>
  <c r="N3107" i="23" s="1"/>
  <c r="M3076" i="23"/>
  <c r="N3076" i="23" s="1"/>
  <c r="M3043" i="23"/>
  <c r="M2967" i="23"/>
  <c r="M3209" i="23"/>
  <c r="N3209" i="23" s="1"/>
  <c r="M3146" i="23"/>
  <c r="M3124" i="23"/>
  <c r="N3124" i="23" s="1"/>
  <c r="M3075" i="23"/>
  <c r="N3075" i="23" s="1"/>
  <c r="M3020" i="23"/>
  <c r="N3020" i="23" s="1"/>
  <c r="M2985" i="23"/>
  <c r="N2985" i="23" s="1"/>
  <c r="M2953" i="23"/>
  <c r="N2953" i="23" s="1"/>
  <c r="M3195" i="23"/>
  <c r="N3195" i="23" s="1"/>
  <c r="N3145" i="23"/>
  <c r="M3106" i="23"/>
  <c r="N3106" i="23" s="1"/>
  <c r="M3074" i="23"/>
  <c r="N3074" i="23" s="1"/>
  <c r="M3042" i="23"/>
  <c r="N3042" i="23" s="1"/>
  <c r="M3008" i="23"/>
  <c r="N3008" i="23" s="1"/>
  <c r="M2984" i="23"/>
  <c r="N2984" i="23" s="1"/>
  <c r="M3067" i="23"/>
  <c r="M3068" i="23"/>
  <c r="N3068" i="23" s="1"/>
  <c r="M3121" i="23"/>
  <c r="N3121" i="23" s="1"/>
  <c r="M3105" i="23"/>
  <c r="M3090" i="23"/>
  <c r="M2866" i="23"/>
  <c r="M2912" i="23"/>
  <c r="M2924" i="23"/>
  <c r="N2924" i="23" s="1"/>
  <c r="M3088" i="23"/>
  <c r="M2668" i="23"/>
  <c r="M3194" i="23"/>
  <c r="N3194" i="23" s="1"/>
  <c r="M3193" i="23"/>
  <c r="N3193" i="23" s="1"/>
  <c r="M3160" i="23"/>
  <c r="N3160" i="23" s="1"/>
  <c r="M3061" i="23"/>
  <c r="N3061" i="23" s="1"/>
  <c r="M2965" i="23"/>
  <c r="N2965" i="23" s="1"/>
  <c r="M2883" i="23"/>
  <c r="M2849" i="23"/>
  <c r="M2848" i="23"/>
  <c r="N2848" i="23" s="1"/>
  <c r="K2848" i="23"/>
  <c r="L2848" i="23" s="1"/>
  <c r="M2890" i="23"/>
  <c r="M2891" i="23"/>
  <c r="N2891" i="23" s="1"/>
  <c r="K2891" i="23"/>
  <c r="L2891" i="23" s="1"/>
  <c r="N3206" i="23"/>
  <c r="M3119" i="23"/>
  <c r="N3119" i="23" s="1"/>
  <c r="M3120" i="23"/>
  <c r="N3120" i="23" s="1"/>
  <c r="K3120" i="23"/>
  <c r="L3120" i="23" s="1"/>
  <c r="M3104" i="23"/>
  <c r="N3104" i="23" s="1"/>
  <c r="M3073" i="23"/>
  <c r="M3059" i="23"/>
  <c r="N3059" i="23" s="1"/>
  <c r="M3005" i="23"/>
  <c r="M2980" i="23"/>
  <c r="M2979" i="23"/>
  <c r="M2923" i="23"/>
  <c r="M2911" i="23"/>
  <c r="M2964" i="23"/>
  <c r="N2964" i="23" s="1"/>
  <c r="M2963" i="23"/>
  <c r="M2948" i="23"/>
  <c r="N2948" i="23" s="1"/>
  <c r="M3058" i="23"/>
  <c r="N3058" i="23" s="1"/>
  <c r="M3032" i="23"/>
  <c r="N3032" i="23" s="1"/>
  <c r="K3032" i="23"/>
  <c r="L3032" i="23" s="1"/>
  <c r="M3231" i="23"/>
  <c r="N3231" i="23" s="1"/>
  <c r="M3176" i="23"/>
  <c r="N3176" i="23" s="1"/>
  <c r="M3103" i="23"/>
  <c r="N3103" i="23" s="1"/>
  <c r="M2978" i="23"/>
  <c r="N2978" i="23" s="1"/>
  <c r="M2939" i="23"/>
  <c r="N2939" i="23" s="1"/>
  <c r="K3231" i="23"/>
  <c r="L3231" i="23" s="1"/>
  <c r="K3237" i="23"/>
  <c r="L3237" i="23" s="1"/>
  <c r="K3246" i="23"/>
  <c r="L3246" i="23" s="1"/>
  <c r="K3248" i="23"/>
  <c r="L3248" i="23" s="1"/>
  <c r="K3243" i="23"/>
  <c r="L3243" i="23" s="1"/>
  <c r="K3245" i="23"/>
  <c r="L3245" i="23" s="1"/>
  <c r="K3213" i="23"/>
  <c r="L3213" i="23" s="1"/>
  <c r="K3206" i="23"/>
  <c r="L3206" i="23" s="1"/>
  <c r="K3216" i="23"/>
  <c r="L3216" i="23" s="1"/>
  <c r="K3219" i="23"/>
  <c r="L3219" i="23" s="1"/>
  <c r="K3215" i="23"/>
  <c r="L3215" i="23" s="1"/>
  <c r="K3209" i="23"/>
  <c r="L3209" i="23" s="1"/>
  <c r="K3193" i="23"/>
  <c r="L3193" i="23" s="1"/>
  <c r="K3199" i="23"/>
  <c r="L3199" i="23" s="1"/>
  <c r="K3205" i="23"/>
  <c r="L3205" i="23" s="1"/>
  <c r="K3195" i="23"/>
  <c r="L3195" i="23" s="1"/>
  <c r="K3201" i="23"/>
  <c r="L3201" i="23" s="1"/>
  <c r="K3196" i="23"/>
  <c r="L3196" i="23" s="1"/>
  <c r="K3194" i="23"/>
  <c r="L3194" i="23" s="1"/>
  <c r="K3188" i="23"/>
  <c r="L3188" i="23" s="1"/>
  <c r="K3184" i="23"/>
  <c r="L3184" i="23" s="1"/>
  <c r="K3185" i="23"/>
  <c r="L3185" i="23" s="1"/>
  <c r="K3176" i="23"/>
  <c r="L3176" i="23" s="1"/>
  <c r="K3191" i="23"/>
  <c r="L3191" i="23" s="1"/>
  <c r="K3182" i="23"/>
  <c r="L3182" i="23" s="1"/>
  <c r="K3187" i="23"/>
  <c r="L3187" i="23" s="1"/>
  <c r="K3189" i="23"/>
  <c r="L3189" i="23" s="1"/>
  <c r="K3169" i="23"/>
  <c r="L3169" i="23" s="1"/>
  <c r="K3163" i="23"/>
  <c r="L3163" i="23" s="1"/>
  <c r="K3166" i="23"/>
  <c r="L3166" i="23" s="1"/>
  <c r="K3165" i="23"/>
  <c r="L3165" i="23" s="1"/>
  <c r="K3160" i="23"/>
  <c r="L3160" i="23" s="1"/>
  <c r="K3155" i="23"/>
  <c r="L3155" i="23" s="1"/>
  <c r="K3157" i="23"/>
  <c r="L3157" i="23" s="1"/>
  <c r="K3153" i="23"/>
  <c r="L3153" i="23" s="1"/>
  <c r="K3156" i="23"/>
  <c r="L3156" i="23" s="1"/>
  <c r="K3145" i="23"/>
  <c r="L3145" i="23" s="1"/>
  <c r="K3151" i="23"/>
  <c r="L3151" i="23" s="1"/>
  <c r="K3124" i="23"/>
  <c r="L3124" i="23" s="1"/>
  <c r="K3134" i="23"/>
  <c r="L3134" i="23" s="1"/>
  <c r="K3125" i="23"/>
  <c r="L3125" i="23" s="1"/>
  <c r="K3126" i="23"/>
  <c r="L3126" i="23" s="1"/>
  <c r="K3128" i="23"/>
  <c r="L3128" i="23" s="1"/>
  <c r="K3136" i="23"/>
  <c r="L3136" i="23" s="1"/>
  <c r="K3119" i="23"/>
  <c r="L3119" i="23" s="1"/>
  <c r="K3116" i="23"/>
  <c r="L3116" i="23" s="1"/>
  <c r="K3103" i="23"/>
  <c r="L3103" i="23" s="1"/>
  <c r="K3104" i="23"/>
  <c r="L3104" i="23" s="1"/>
  <c r="K3107" i="23"/>
  <c r="L3107" i="23" s="1"/>
  <c r="K3117" i="23"/>
  <c r="L3117" i="23" s="1"/>
  <c r="K3112" i="23"/>
  <c r="L3112" i="23" s="1"/>
  <c r="K3106" i="23"/>
  <c r="L3106" i="23" s="1"/>
  <c r="K3111" i="23"/>
  <c r="L3111" i="23" s="1"/>
  <c r="K3092" i="23"/>
  <c r="L3092" i="23" s="1"/>
  <c r="K3093" i="23"/>
  <c r="L3093" i="23" s="1"/>
  <c r="K3095" i="23"/>
  <c r="L3095" i="23" s="1"/>
  <c r="K3098" i="23"/>
  <c r="L3098" i="23" s="1"/>
  <c r="K3099" i="23"/>
  <c r="L3099" i="23" s="1"/>
  <c r="K3086" i="23"/>
  <c r="L3086" i="23" s="1"/>
  <c r="K3083" i="23"/>
  <c r="L3083" i="23" s="1"/>
  <c r="K3075" i="23"/>
  <c r="L3075" i="23" s="1"/>
  <c r="K3087" i="23"/>
  <c r="L3087" i="23" s="1"/>
  <c r="K3077" i="23"/>
  <c r="L3077" i="23" s="1"/>
  <c r="K3080" i="23"/>
  <c r="L3080" i="23" s="1"/>
  <c r="K3076" i="23"/>
  <c r="L3076" i="23" s="1"/>
  <c r="K3081" i="23"/>
  <c r="L3081" i="23" s="1"/>
  <c r="K3074" i="23"/>
  <c r="L3074" i="23" s="1"/>
  <c r="K3062" i="23"/>
  <c r="L3062" i="23" s="1"/>
  <c r="K3066" i="23"/>
  <c r="L3066" i="23" s="1"/>
  <c r="K3059" i="23"/>
  <c r="L3059" i="23" s="1"/>
  <c r="K3065" i="23"/>
  <c r="L3065" i="23" s="1"/>
  <c r="K3061" i="23"/>
  <c r="L3061" i="23" s="1"/>
  <c r="K3058" i="23"/>
  <c r="L3058" i="23" s="1"/>
  <c r="K3054" i="23"/>
  <c r="L3054" i="23" s="1"/>
  <c r="K3051" i="23"/>
  <c r="L3051" i="23" s="1"/>
  <c r="K3056" i="23"/>
  <c r="L3056" i="23" s="1"/>
  <c r="K3049" i="23"/>
  <c r="L3049" i="23" s="1"/>
  <c r="K3042" i="23"/>
  <c r="L3042" i="23" s="1"/>
  <c r="K3048" i="23"/>
  <c r="L3048" i="23" s="1"/>
  <c r="K3057" i="23"/>
  <c r="L3057" i="23" s="1"/>
  <c r="K3055" i="23"/>
  <c r="L3055" i="23" s="1"/>
  <c r="K3047" i="23"/>
  <c r="L3047" i="23" s="1"/>
  <c r="K3037" i="23"/>
  <c r="L3037" i="23" s="1"/>
  <c r="K3026" i="23"/>
  <c r="L3026" i="23" s="1"/>
  <c r="K3025" i="23"/>
  <c r="L3025" i="23" s="1"/>
  <c r="K3028" i="23"/>
  <c r="L3028" i="23" s="1"/>
  <c r="K3029" i="23"/>
  <c r="L3029" i="23" s="1"/>
  <c r="K3027" i="23"/>
  <c r="L3027" i="23" s="1"/>
  <c r="K3031" i="23"/>
  <c r="L3031" i="23" s="1"/>
  <c r="K3020" i="23"/>
  <c r="L3020" i="23" s="1"/>
  <c r="K3009" i="23"/>
  <c r="L3009" i="23" s="1"/>
  <c r="K3010" i="23"/>
  <c r="L3010" i="23" s="1"/>
  <c r="K3018" i="23"/>
  <c r="L3018" i="23" s="1"/>
  <c r="K3008" i="23"/>
  <c r="L3008" i="23" s="1"/>
  <c r="K3016" i="23"/>
  <c r="L3016" i="23" s="1"/>
  <c r="K3004" i="23"/>
  <c r="L3004" i="23" s="1"/>
  <c r="K2978" i="23"/>
  <c r="L2978" i="23" s="1"/>
  <c r="K2995" i="23"/>
  <c r="L2995" i="23" s="1"/>
  <c r="K2994" i="23"/>
  <c r="L2994" i="23" s="1"/>
  <c r="K2990" i="23"/>
  <c r="L2990" i="23" s="1"/>
  <c r="K2987" i="23"/>
  <c r="L2987" i="23" s="1"/>
  <c r="K2984" i="23"/>
  <c r="L2984" i="23" s="1"/>
  <c r="K2993" i="23"/>
  <c r="L2993" i="23" s="1"/>
  <c r="K2985" i="23"/>
  <c r="L2985" i="23" s="1"/>
  <c r="K2989" i="23"/>
  <c r="L2989" i="23" s="1"/>
  <c r="K2992" i="23"/>
  <c r="L2992" i="23" s="1"/>
  <c r="K2967" i="23"/>
  <c r="L2967" i="23" s="1"/>
  <c r="K2976" i="23"/>
  <c r="L2976" i="23" s="1"/>
  <c r="K2969" i="23"/>
  <c r="L2969" i="23" s="1"/>
  <c r="K2964" i="23"/>
  <c r="L2964" i="23" s="1"/>
  <c r="K2968" i="23"/>
  <c r="L2968" i="23" s="1"/>
  <c r="K2965" i="23"/>
  <c r="L2965" i="23" s="1"/>
  <c r="K2977" i="23"/>
  <c r="L2977" i="23" s="1"/>
  <c r="K2956" i="23"/>
  <c r="L2956" i="23" s="1"/>
  <c r="K2953" i="23"/>
  <c r="L2953" i="23" s="1"/>
  <c r="K2958" i="23"/>
  <c r="L2958" i="23" s="1"/>
  <c r="K2948" i="23"/>
  <c r="L2948" i="23" s="1"/>
  <c r="K2957" i="23"/>
  <c r="L2957" i="23" s="1"/>
  <c r="K2939" i="23"/>
  <c r="L2939" i="23" s="1"/>
  <c r="K2944" i="23"/>
  <c r="L2944" i="23" s="1"/>
  <c r="K2938" i="23"/>
  <c r="L2938" i="23" s="1"/>
  <c r="N2938" i="23"/>
  <c r="K2942" i="23"/>
  <c r="L2942" i="23" s="1"/>
  <c r="K2946" i="23"/>
  <c r="L2946" i="23" s="1"/>
  <c r="K2935" i="23"/>
  <c r="L2935" i="23" s="1"/>
  <c r="K2924" i="23"/>
  <c r="L2924" i="23" s="1"/>
  <c r="K2931" i="23"/>
  <c r="L2931" i="23" s="1"/>
  <c r="K2929" i="23"/>
  <c r="L2929" i="23" s="1"/>
  <c r="K2937" i="23"/>
  <c r="L2937" i="23" s="1"/>
  <c r="M2803" i="23"/>
  <c r="M2913" i="23"/>
  <c r="M3208" i="23"/>
  <c r="N3208" i="23" s="1"/>
  <c r="M3179" i="23"/>
  <c r="N3179" i="23" s="1"/>
  <c r="M3162" i="23"/>
  <c r="N3162" i="23" s="1"/>
  <c r="M3142" i="23"/>
  <c r="N3142" i="23" s="1"/>
  <c r="M3072" i="23"/>
  <c r="N3072" i="23" s="1"/>
  <c r="M3070" i="23"/>
  <c r="N3070" i="23" s="1"/>
  <c r="M3040" i="23"/>
  <c r="M3039" i="23"/>
  <c r="K3208" i="23"/>
  <c r="L3208" i="23" s="1"/>
  <c r="K3180" i="23"/>
  <c r="L3180" i="23" s="1"/>
  <c r="K3179" i="23"/>
  <c r="L3179" i="23" s="1"/>
  <c r="K3162" i="23"/>
  <c r="L3162" i="23" s="1"/>
  <c r="K3143" i="23"/>
  <c r="L3143" i="23" s="1"/>
  <c r="K3142" i="23"/>
  <c r="L3142" i="23" s="1"/>
  <c r="K3121" i="23"/>
  <c r="L3121" i="23" s="1"/>
  <c r="K3071" i="23"/>
  <c r="L3071" i="23" s="1"/>
  <c r="K3070" i="23"/>
  <c r="L3070" i="23" s="1"/>
  <c r="K3072" i="23"/>
  <c r="L3072" i="23" s="1"/>
  <c r="K3068" i="23"/>
  <c r="L3068" i="23" s="1"/>
  <c r="K3039" i="23" l="1"/>
  <c r="L3039" i="23" s="1"/>
  <c r="N3039" i="23"/>
  <c r="M2897" i="23"/>
  <c r="M2869" i="23"/>
  <c r="M2836" i="23"/>
  <c r="M2800" i="23"/>
  <c r="M2771" i="23"/>
  <c r="M3034" i="23"/>
  <c r="M3019" i="23"/>
  <c r="M3069" i="23"/>
  <c r="M3033" i="23"/>
  <c r="M3002" i="23"/>
  <c r="M2949" i="23"/>
  <c r="N3146" i="23" l="1"/>
  <c r="N3158" i="23"/>
  <c r="N3114" i="23"/>
  <c r="N3118" i="23"/>
  <c r="N3132" i="23"/>
  <c r="N3127" i="23"/>
  <c r="N3129" i="23"/>
  <c r="N3137" i="23"/>
  <c r="N3138" i="23"/>
  <c r="N3123" i="23"/>
  <c r="N3135" i="23"/>
  <c r="N3082" i="23"/>
  <c r="N3085" i="23"/>
  <c r="N3101" i="23"/>
  <c r="N3102" i="23"/>
  <c r="N3088" i="23"/>
  <c r="K2777" i="23"/>
  <c r="K2776" i="23"/>
  <c r="K3174" i="23"/>
  <c r="L3174" i="23" s="1"/>
  <c r="K3158" i="23"/>
  <c r="L3158" i="23" s="1"/>
  <c r="K3148" i="23"/>
  <c r="L3148" i="23" s="1"/>
  <c r="K3147" i="23"/>
  <c r="L3147" i="23" s="1"/>
  <c r="N3147" i="23"/>
  <c r="K3146" i="23"/>
  <c r="L3146" i="23" s="1"/>
  <c r="K3135" i="23"/>
  <c r="L3135" i="23" s="1"/>
  <c r="K3123" i="23"/>
  <c r="L3123" i="23" s="1"/>
  <c r="K3138" i="23"/>
  <c r="L3138" i="23" s="1"/>
  <c r="K3137" i="23"/>
  <c r="L3137" i="23" s="1"/>
  <c r="K3129" i="23"/>
  <c r="L3129" i="23" s="1"/>
  <c r="K3127" i="23"/>
  <c r="L3127" i="23" s="1"/>
  <c r="K3133" i="23"/>
  <c r="L3133" i="23" s="1"/>
  <c r="K3132" i="23"/>
  <c r="L3132" i="23" s="1"/>
  <c r="K3110" i="23"/>
  <c r="L3110" i="23" s="1"/>
  <c r="N3110" i="23"/>
  <c r="K3118" i="23"/>
  <c r="L3118" i="23" s="1"/>
  <c r="K3115" i="23"/>
  <c r="L3115" i="23" s="1"/>
  <c r="K3114" i="23"/>
  <c r="L3114" i="23" s="1"/>
  <c r="K3094" i="23"/>
  <c r="L3094" i="23" s="1"/>
  <c r="N3094" i="23"/>
  <c r="K3102" i="23"/>
  <c r="L3102" i="23" s="1"/>
  <c r="K3088" i="23"/>
  <c r="L3088" i="23" s="1"/>
  <c r="K3101" i="23"/>
  <c r="L3101" i="23" s="1"/>
  <c r="K3085" i="23"/>
  <c r="L3085" i="23" s="1"/>
  <c r="K3082" i="23"/>
  <c r="L3082" i="23" s="1"/>
  <c r="K3084" i="23"/>
  <c r="L3084" i="23" s="1"/>
  <c r="N3084" i="23"/>
  <c r="K3073" i="23"/>
  <c r="L3073" i="23" s="1"/>
  <c r="N3073" i="23"/>
  <c r="K3078" i="23"/>
  <c r="L3078" i="23" s="1"/>
  <c r="N3078" i="23"/>
  <c r="K3069" i="23"/>
  <c r="L3069" i="23" s="1"/>
  <c r="N3069" i="23"/>
  <c r="K3052" i="23"/>
  <c r="L3052" i="23" s="1"/>
  <c r="N3052" i="23"/>
  <c r="K3033" i="23"/>
  <c r="L3033" i="23" s="1"/>
  <c r="N3033" i="23"/>
  <c r="K3002" i="23"/>
  <c r="L3002" i="23" s="1"/>
  <c r="N3002" i="23"/>
  <c r="K2988" i="23"/>
  <c r="L2988" i="23" s="1"/>
  <c r="N2988" i="23"/>
  <c r="K2955" i="23"/>
  <c r="L2955" i="23" s="1"/>
  <c r="N2955" i="23"/>
  <c r="K2949" i="23"/>
  <c r="L2949" i="23" s="1"/>
  <c r="N2949" i="23"/>
  <c r="K2943" i="23"/>
  <c r="L2943" i="23" s="1"/>
  <c r="N2943" i="23"/>
  <c r="K2866" i="23"/>
  <c r="L2866" i="23" s="1"/>
  <c r="N2866" i="23"/>
  <c r="K2800" i="23"/>
  <c r="L2800" i="23" s="1"/>
  <c r="N2800" i="23"/>
  <c r="M3108" i="23"/>
  <c r="N3108" i="23" s="1"/>
  <c r="K3108" i="23"/>
  <c r="L3108" i="23" s="1"/>
  <c r="M3045" i="23"/>
  <c r="N3045" i="23" s="1"/>
  <c r="N2999" i="23"/>
  <c r="M2884" i="23"/>
  <c r="N2884" i="23" s="1"/>
  <c r="M2832" i="23"/>
  <c r="N2832" i="23" s="1"/>
  <c r="M2814" i="23"/>
  <c r="N2814" i="23" s="1"/>
  <c r="M2783" i="23"/>
  <c r="N2783" i="23" s="1"/>
  <c r="M2752" i="23"/>
  <c r="N2752" i="23" s="1"/>
  <c r="K3046" i="23"/>
  <c r="L3046" i="23" s="1"/>
  <c r="K3045" i="23"/>
  <c r="L3045" i="23" s="1"/>
  <c r="K2999" i="23"/>
  <c r="L2999" i="23" s="1"/>
  <c r="K2884" i="23"/>
  <c r="L2884" i="23" s="1"/>
  <c r="K2832" i="23"/>
  <c r="L2832" i="23" s="1"/>
  <c r="K2814" i="23"/>
  <c r="L2814" i="23" s="1"/>
  <c r="K2813" i="23"/>
  <c r="L2813" i="23" s="1"/>
  <c r="K2783" i="23"/>
  <c r="L2783" i="23" s="1"/>
  <c r="K2752" i="23"/>
  <c r="L2752" i="23" s="1"/>
  <c r="K2035" i="23"/>
  <c r="L2035" i="23" s="1"/>
  <c r="N3040" i="23" l="1"/>
  <c r="K3040" i="23"/>
  <c r="L3040" i="23" s="1"/>
  <c r="K3105" i="23" l="1"/>
  <c r="L3105" i="23" s="1"/>
  <c r="N3105" i="23"/>
  <c r="K3091" i="23"/>
  <c r="L3091" i="23" s="1"/>
  <c r="K3090" i="23"/>
  <c r="L3090" i="23" s="1"/>
  <c r="N3090" i="23"/>
  <c r="K3067" i="23"/>
  <c r="L3067" i="23" s="1"/>
  <c r="N3067" i="23"/>
  <c r="K3041" i="23"/>
  <c r="L3041" i="23" s="1"/>
  <c r="K3034" i="23"/>
  <c r="L3034" i="23" s="1"/>
  <c r="N3034" i="23"/>
  <c r="M2991" i="23"/>
  <c r="N2991" i="23" s="1"/>
  <c r="N3154" i="23"/>
  <c r="K3154" i="23"/>
  <c r="L3154" i="23" s="1"/>
  <c r="M3079" i="23"/>
  <c r="N3079" i="23" s="1"/>
  <c r="K3079" i="23"/>
  <c r="L3079" i="23" s="1"/>
  <c r="M3141" i="23"/>
  <c r="N3141" i="23" s="1"/>
  <c r="M3130" i="23"/>
  <c r="N3130" i="23" s="1"/>
  <c r="M3097" i="23"/>
  <c r="N3097" i="23" s="1"/>
  <c r="M3096" i="23"/>
  <c r="N3096" i="23" s="1"/>
  <c r="K3141" i="23"/>
  <c r="L3141" i="23" s="1"/>
  <c r="K3130" i="23"/>
  <c r="L3130" i="23" s="1"/>
  <c r="K3097" i="23"/>
  <c r="L3097" i="23" s="1"/>
  <c r="K3096" i="23"/>
  <c r="L3096" i="23" s="1"/>
  <c r="M2794" i="23"/>
  <c r="M2793" i="23"/>
  <c r="M2936" i="23"/>
  <c r="M2920" i="23"/>
  <c r="M2960" i="23"/>
  <c r="N2596" i="23"/>
  <c r="N2610" i="23"/>
  <c r="K2610" i="23"/>
  <c r="L2610" i="23" s="1"/>
  <c r="K2596" i="23"/>
  <c r="L2596" i="23" s="1"/>
  <c r="M3014" i="23"/>
  <c r="M3013" i="23"/>
  <c r="M2933" i="23"/>
  <c r="M3050" i="23"/>
  <c r="M2735" i="23"/>
  <c r="M3035" i="23"/>
  <c r="M3022" i="23"/>
  <c r="M2986" i="23"/>
  <c r="M2927" i="23"/>
  <c r="M2908" i="23"/>
  <c r="M2885" i="23"/>
  <c r="M2865" i="23"/>
  <c r="M2815" i="23"/>
  <c r="M2570" i="23"/>
  <c r="M2952" i="23"/>
  <c r="M2907" i="23"/>
  <c r="M2827" i="23"/>
  <c r="M2961" i="23"/>
  <c r="M2947" i="23"/>
  <c r="M2807" i="23"/>
  <c r="M2775" i="23"/>
  <c r="M2770" i="23"/>
  <c r="M2747" i="23"/>
  <c r="M2921" i="23"/>
  <c r="M2846" i="23"/>
  <c r="M2863" i="23"/>
  <c r="M2824" i="23"/>
  <c r="M2806" i="23"/>
  <c r="M2774" i="23"/>
  <c r="M2745" i="23"/>
  <c r="M2683" i="23"/>
  <c r="M2744" i="23"/>
  <c r="M2714" i="23"/>
  <c r="M2701" i="23"/>
  <c r="M2919" i="23"/>
  <c r="M2880" i="23"/>
  <c r="M2845" i="23"/>
  <c r="M2822" i="23"/>
  <c r="M2766" i="23"/>
  <c r="M2728" i="23"/>
  <c r="M2905" i="23"/>
  <c r="M2904" i="23"/>
  <c r="M2878" i="23"/>
  <c r="M2821" i="23"/>
  <c r="M2743" i="23"/>
  <c r="M2712" i="23"/>
  <c r="M2727" i="23"/>
  <c r="M2699" i="23"/>
  <c r="N2699" i="23" s="1"/>
  <c r="M2726" i="23"/>
  <c r="N2726" i="23" s="1"/>
  <c r="K2726" i="23"/>
  <c r="L2726" i="23" s="1"/>
  <c r="M2918" i="23"/>
  <c r="M2888" i="23"/>
  <c r="M2844" i="23"/>
  <c r="M2820" i="23"/>
  <c r="M2805" i="23"/>
  <c r="M2764" i="23"/>
  <c r="M2204" i="23"/>
  <c r="M2876" i="23"/>
  <c r="M2860" i="23"/>
  <c r="M2842" i="23"/>
  <c r="M2778" i="23"/>
  <c r="M2741" i="23"/>
  <c r="M2698" i="23"/>
  <c r="M2763" i="23"/>
  <c r="N2763" i="23" s="1"/>
  <c r="M2725" i="23"/>
  <c r="N2725" i="23" s="1"/>
  <c r="K2725" i="23"/>
  <c r="L2725" i="23" s="1"/>
  <c r="M2791" i="23"/>
  <c r="M2697" i="23"/>
  <c r="K2763" i="23"/>
  <c r="L2763" i="23" s="1"/>
  <c r="M2680" i="23"/>
  <c r="M2679" i="23"/>
  <c r="N2679" i="23" s="1"/>
  <c r="K2679" i="23"/>
  <c r="L2679" i="23" s="1"/>
  <c r="M2875" i="23"/>
  <c r="M2841" i="23"/>
  <c r="M2916" i="23"/>
  <c r="M2901" i="23"/>
  <c r="M2858" i="23"/>
  <c r="M2804" i="23"/>
  <c r="M2762" i="23"/>
  <c r="M2899" i="23"/>
  <c r="M2873" i="23"/>
  <c r="M2839" i="23"/>
  <c r="M2819" i="23"/>
  <c r="N2819" i="23" s="1"/>
  <c r="M2737" i="23"/>
  <c r="M2708" i="23"/>
  <c r="M2887" i="23"/>
  <c r="M2856" i="23"/>
  <c r="M2817" i="23"/>
  <c r="M2785" i="23"/>
  <c r="M2758" i="23"/>
  <c r="M2736" i="23"/>
  <c r="M2707" i="23"/>
  <c r="M2870" i="23"/>
  <c r="M2837" i="23"/>
  <c r="M2801" i="23"/>
  <c r="M2757" i="23"/>
  <c r="M2722" i="23"/>
  <c r="M2694" i="23"/>
  <c r="M2677" i="23"/>
  <c r="M2835" i="23"/>
  <c r="M2915" i="23"/>
  <c r="M2896" i="23"/>
  <c r="M2834" i="23"/>
  <c r="M2798" i="23"/>
  <c r="M2754" i="23"/>
  <c r="M2734" i="23"/>
  <c r="N3023" i="23"/>
  <c r="K3023" i="23"/>
  <c r="L3023" i="23" s="1"/>
  <c r="M2954" i="23"/>
  <c r="M2914" i="23"/>
  <c r="M2895" i="23"/>
  <c r="M2886" i="23"/>
  <c r="M2868" i="23"/>
  <c r="M2864" i="23"/>
  <c r="M2855" i="23"/>
  <c r="M2854" i="23"/>
  <c r="M2833" i="23"/>
  <c r="M2816" i="23"/>
  <c r="M2797" i="23"/>
  <c r="M2784" i="23"/>
  <c r="M2706" i="23"/>
  <c r="N2706" i="23" s="1"/>
  <c r="M2691" i="23"/>
  <c r="N2691" i="23" s="1"/>
  <c r="K2691" i="23"/>
  <c r="L2691" i="23" s="1"/>
  <c r="K2706" i="23"/>
  <c r="L2706" i="23" s="1"/>
  <c r="M2657" i="23"/>
  <c r="M2376" i="23"/>
  <c r="M2831" i="23"/>
  <c r="M2751" i="23"/>
  <c r="M2720" i="23"/>
  <c r="M2639" i="23"/>
  <c r="M2894" i="23"/>
  <c r="M2853" i="23"/>
  <c r="M2795" i="23"/>
  <c r="M2719" i="23"/>
  <c r="M2675" i="23"/>
  <c r="M2926" i="23"/>
  <c r="M2893" i="23"/>
  <c r="M2852" i="23"/>
  <c r="M2812" i="23"/>
  <c r="M2781" i="23"/>
  <c r="M2733" i="23"/>
  <c r="M2705" i="23"/>
  <c r="M2850" i="23"/>
  <c r="M2779" i="23"/>
  <c r="M2689" i="23"/>
  <c r="K2991" i="23"/>
  <c r="L2991" i="23" s="1"/>
  <c r="M3063" i="23"/>
  <c r="N3063" i="23" s="1"/>
  <c r="K3063" i="23"/>
  <c r="L3063" i="23" s="1"/>
  <c r="M2981" i="23" l="1"/>
  <c r="N2981" i="23" s="1"/>
  <c r="M2802" i="23"/>
  <c r="N2802" i="23" s="1"/>
  <c r="K2819" i="23"/>
  <c r="L2819" i="23" s="1"/>
  <c r="K2802" i="23"/>
  <c r="L2802" i="23" s="1"/>
  <c r="N2980" i="23"/>
  <c r="N2911" i="23"/>
  <c r="N2849" i="23"/>
  <c r="M2749" i="23"/>
  <c r="N2749" i="23" s="1"/>
  <c r="M2704" i="23"/>
  <c r="N2704" i="23" s="1"/>
  <c r="M2703" i="23"/>
  <c r="N2703" i="23" s="1"/>
  <c r="K2703" i="23"/>
  <c r="L2703" i="23" s="1"/>
  <c r="M2687" i="23"/>
  <c r="N2687" i="23" s="1"/>
  <c r="M2671" i="23"/>
  <c r="N2671" i="23" s="1"/>
  <c r="M2653" i="23"/>
  <c r="N2653" i="23" s="1"/>
  <c r="M2881" i="23"/>
  <c r="N2881" i="23" s="1"/>
  <c r="M2847" i="23"/>
  <c r="N2847" i="23" s="1"/>
  <c r="M2748" i="23"/>
  <c r="N2748" i="23" s="1"/>
  <c r="M2715" i="23"/>
  <c r="M2702" i="23"/>
  <c r="N2702" i="23" s="1"/>
  <c r="K2911" i="23"/>
  <c r="L2911" i="23" s="1"/>
  <c r="K2910" i="23"/>
  <c r="L2910" i="23" s="1"/>
  <c r="N2910" i="23"/>
  <c r="K2918" i="23"/>
  <c r="L2918" i="23" s="1"/>
  <c r="N2918" i="23"/>
  <c r="K2915" i="23"/>
  <c r="L2915" i="23" s="1"/>
  <c r="N2915" i="23"/>
  <c r="K2916" i="23"/>
  <c r="L2916" i="23" s="1"/>
  <c r="N2916" i="23"/>
  <c r="K2917" i="23"/>
  <c r="L2917" i="23" s="1"/>
  <c r="N2917" i="23"/>
  <c r="K2914" i="23"/>
  <c r="L2914" i="23" s="1"/>
  <c r="N2914" i="23"/>
  <c r="K2894" i="23"/>
  <c r="L2894" i="23" s="1"/>
  <c r="N2894" i="23"/>
  <c r="K2904" i="23"/>
  <c r="L2904" i="23" s="1"/>
  <c r="N2904" i="23"/>
  <c r="K2901" i="23"/>
  <c r="L2901" i="23" s="1"/>
  <c r="N2901" i="23"/>
  <c r="K2899" i="23"/>
  <c r="L2899" i="23" s="1"/>
  <c r="N2899" i="23"/>
  <c r="K2893" i="23"/>
  <c r="L2893" i="23" s="1"/>
  <c r="N2893" i="23"/>
  <c r="K2896" i="23"/>
  <c r="L2896" i="23" s="1"/>
  <c r="N2896" i="23"/>
  <c r="K2895" i="23"/>
  <c r="L2895" i="23" s="1"/>
  <c r="N2895" i="23"/>
  <c r="K2907" i="23"/>
  <c r="L2907" i="23" s="1"/>
  <c r="N2907" i="23"/>
  <c r="K2905" i="23"/>
  <c r="L2905" i="23" s="1"/>
  <c r="N2905" i="23"/>
  <c r="K2903" i="23"/>
  <c r="L2903" i="23" s="1"/>
  <c r="N2903" i="23"/>
  <c r="K2883" i="23"/>
  <c r="L2883" i="23" s="1"/>
  <c r="N2883" i="23"/>
  <c r="K2887" i="23"/>
  <c r="L2887" i="23" s="1"/>
  <c r="N2887" i="23"/>
  <c r="K2886" i="23"/>
  <c r="L2886" i="23" s="1"/>
  <c r="N2886" i="23"/>
  <c r="K2888" i="23"/>
  <c r="L2888" i="23" s="1"/>
  <c r="N2888" i="23"/>
  <c r="K2875" i="23"/>
  <c r="L2875" i="23" s="1"/>
  <c r="N2875" i="23"/>
  <c r="K2870" i="23"/>
  <c r="L2870" i="23" s="1"/>
  <c r="N2870" i="23"/>
  <c r="K2880" i="23"/>
  <c r="L2880" i="23" s="1"/>
  <c r="N2880" i="23"/>
  <c r="K2868" i="23"/>
  <c r="L2868" i="23" s="1"/>
  <c r="N2868" i="23"/>
  <c r="K2873" i="23"/>
  <c r="L2873" i="23" s="1"/>
  <c r="N2873" i="23"/>
  <c r="K2878" i="23"/>
  <c r="L2878" i="23" s="1"/>
  <c r="N2878" i="23"/>
  <c r="K2853" i="23"/>
  <c r="L2853" i="23" s="1"/>
  <c r="N2853" i="23"/>
  <c r="K2863" i="23"/>
  <c r="L2863" i="23" s="1"/>
  <c r="N2863" i="23"/>
  <c r="K2858" i="23"/>
  <c r="L2858" i="23" s="1"/>
  <c r="N2858" i="23"/>
  <c r="K2852" i="23"/>
  <c r="L2852" i="23" s="1"/>
  <c r="N2852" i="23"/>
  <c r="K2856" i="23"/>
  <c r="L2856" i="23" s="1"/>
  <c r="N2856" i="23"/>
  <c r="K2860" i="23"/>
  <c r="L2860" i="23" s="1"/>
  <c r="N2860" i="23"/>
  <c r="K2828" i="23"/>
  <c r="L2828" i="23" s="1"/>
  <c r="N2828" i="23"/>
  <c r="K2839" i="23"/>
  <c r="L2839" i="23" s="1"/>
  <c r="N2839" i="23"/>
  <c r="K2842" i="23"/>
  <c r="L2842" i="23" s="1"/>
  <c r="N2842" i="23"/>
  <c r="K2845" i="23"/>
  <c r="L2845" i="23" s="1"/>
  <c r="N2845" i="23"/>
  <c r="K2833" i="23"/>
  <c r="L2833" i="23" s="1"/>
  <c r="N2833" i="23"/>
  <c r="K2841" i="23"/>
  <c r="L2841" i="23" s="1"/>
  <c r="N2841" i="23"/>
  <c r="K2834" i="23"/>
  <c r="L2834" i="23" s="1"/>
  <c r="N2834" i="23"/>
  <c r="K2837" i="23"/>
  <c r="L2837" i="23" s="1"/>
  <c r="N2837" i="23"/>
  <c r="K2835" i="23"/>
  <c r="L2835" i="23" s="1"/>
  <c r="N2835" i="23"/>
  <c r="K2844" i="23"/>
  <c r="L2844" i="23" s="1"/>
  <c r="N2844" i="23"/>
  <c r="K2831" i="23"/>
  <c r="L2831" i="23" s="1"/>
  <c r="N2831" i="23"/>
  <c r="K2816" i="23"/>
  <c r="L2816" i="23" s="1"/>
  <c r="N2816" i="23"/>
  <c r="K2808" i="23"/>
  <c r="L2808" i="23" s="1"/>
  <c r="K2812" i="23"/>
  <c r="L2812" i="23" s="1"/>
  <c r="N2812" i="23"/>
  <c r="K2824" i="23"/>
  <c r="L2824" i="23" s="1"/>
  <c r="N2824" i="23"/>
  <c r="K2827" i="23"/>
  <c r="L2827" i="23" s="1"/>
  <c r="N2827" i="23"/>
  <c r="K2821" i="23"/>
  <c r="L2821" i="23" s="1"/>
  <c r="N2821" i="23"/>
  <c r="K2817" i="23"/>
  <c r="L2817" i="23" s="1"/>
  <c r="N2817" i="23"/>
  <c r="K2795" i="23"/>
  <c r="L2795" i="23" s="1"/>
  <c r="N2795" i="23"/>
  <c r="K2798" i="23"/>
  <c r="L2798" i="23" s="1"/>
  <c r="N2798" i="23"/>
  <c r="K2807" i="23"/>
  <c r="L2807" i="23" s="1"/>
  <c r="N2807" i="23"/>
  <c r="K2801" i="23"/>
  <c r="L2801" i="23" s="1"/>
  <c r="N2801" i="23"/>
  <c r="K2805" i="23"/>
  <c r="L2805" i="23" s="1"/>
  <c r="N2805" i="23"/>
  <c r="K2804" i="23"/>
  <c r="L2804" i="23" s="1"/>
  <c r="N2804" i="23"/>
  <c r="K2785" i="23"/>
  <c r="L2785" i="23" s="1"/>
  <c r="N2785" i="23"/>
  <c r="K2784" i="23"/>
  <c r="L2784" i="23" s="1"/>
  <c r="N2784" i="23"/>
  <c r="K2791" i="23"/>
  <c r="L2791" i="23" s="1"/>
  <c r="N2791" i="23"/>
  <c r="K2781" i="23"/>
  <c r="L2781" i="23" s="1"/>
  <c r="N2781" i="23"/>
  <c r="K2779" i="23"/>
  <c r="L2779" i="23" s="1"/>
  <c r="N2779" i="23"/>
  <c r="K2751" i="23"/>
  <c r="L2751" i="23" s="1"/>
  <c r="N2751" i="23"/>
  <c r="K2748" i="23"/>
  <c r="L2748" i="23" s="1"/>
  <c r="K2749" i="23"/>
  <c r="L2749" i="23" s="1"/>
  <c r="K2762" i="23"/>
  <c r="L2762" i="23" s="1"/>
  <c r="N2762" i="23"/>
  <c r="K2757" i="23"/>
  <c r="L2757" i="23" s="1"/>
  <c r="N2757" i="23"/>
  <c r="K2764" i="23"/>
  <c r="L2764" i="23" s="1"/>
  <c r="N2764" i="23"/>
  <c r="K2766" i="23"/>
  <c r="L2766" i="23" s="1"/>
  <c r="N2766" i="23"/>
  <c r="K2754" i="23"/>
  <c r="L2754" i="23" s="1"/>
  <c r="N2754" i="23"/>
  <c r="K2758" i="23"/>
  <c r="L2758" i="23" s="1"/>
  <c r="N2758" i="23"/>
  <c r="K2734" i="23"/>
  <c r="L2734" i="23" s="1"/>
  <c r="N2734" i="23"/>
  <c r="K2733" i="23"/>
  <c r="L2733" i="23" s="1"/>
  <c r="N2733" i="23"/>
  <c r="K2744" i="23"/>
  <c r="L2744" i="23" s="1"/>
  <c r="N2744" i="23"/>
  <c r="K2736" i="23"/>
  <c r="L2736" i="23" s="1"/>
  <c r="N2736" i="23"/>
  <c r="K2747" i="23"/>
  <c r="L2747" i="23" s="1"/>
  <c r="N2747" i="23"/>
  <c r="K2737" i="23"/>
  <c r="L2737" i="23" s="1"/>
  <c r="N2737" i="23"/>
  <c r="K2743" i="23"/>
  <c r="L2743" i="23" s="1"/>
  <c r="N2743" i="23"/>
  <c r="K2741" i="23"/>
  <c r="L2741" i="23" s="1"/>
  <c r="N2741" i="23"/>
  <c r="K2720" i="23"/>
  <c r="L2720" i="23" s="1"/>
  <c r="N2720" i="23"/>
  <c r="K2730" i="23"/>
  <c r="L2730" i="23" s="1"/>
  <c r="K2722" i="23"/>
  <c r="L2722" i="23" s="1"/>
  <c r="N2722" i="23"/>
  <c r="K2728" i="23"/>
  <c r="L2728" i="23" s="1"/>
  <c r="N2728" i="23"/>
  <c r="K2727" i="23"/>
  <c r="L2727" i="23" s="1"/>
  <c r="N2727" i="23"/>
  <c r="K2719" i="23"/>
  <c r="L2719" i="23" s="1"/>
  <c r="N2719" i="23"/>
  <c r="K2705" i="23"/>
  <c r="L2705" i="23" s="1"/>
  <c r="N2705" i="23"/>
  <c r="K2702" i="23"/>
  <c r="L2702" i="23" s="1"/>
  <c r="K2714" i="23"/>
  <c r="L2714" i="23" s="1"/>
  <c r="N2714" i="23"/>
  <c r="K2704" i="23"/>
  <c r="L2704" i="23" s="1"/>
  <c r="K2707" i="23"/>
  <c r="L2707" i="23" s="1"/>
  <c r="N2707" i="23"/>
  <c r="K2712" i="23"/>
  <c r="L2712" i="23" s="1"/>
  <c r="N2712" i="23"/>
  <c r="K2708" i="23"/>
  <c r="L2708" i="23" s="1"/>
  <c r="N2708" i="23"/>
  <c r="K2698" i="23"/>
  <c r="L2698" i="23" s="1"/>
  <c r="N2698" i="23"/>
  <c r="K2699" i="23"/>
  <c r="L2699" i="23" s="1"/>
  <c r="K2689" i="23"/>
  <c r="L2689" i="23" s="1"/>
  <c r="N2689" i="23"/>
  <c r="K2687" i="23"/>
  <c r="L2687" i="23" s="1"/>
  <c r="K2701" i="23"/>
  <c r="L2701" i="23" s="1"/>
  <c r="N2701" i="23"/>
  <c r="K2694" i="23"/>
  <c r="L2694" i="23" s="1"/>
  <c r="N2694" i="23"/>
  <c r="K2675" i="23"/>
  <c r="L2675" i="23" s="1"/>
  <c r="N2675" i="23"/>
  <c r="K2671" i="23"/>
  <c r="L2671" i="23" s="1"/>
  <c r="K2677" i="23"/>
  <c r="L2677" i="23" s="1"/>
  <c r="N2677" i="23"/>
  <c r="K2680" i="23"/>
  <c r="L2680" i="23" s="1"/>
  <c r="N2680" i="23"/>
  <c r="N2961" i="23"/>
  <c r="N2947" i="23"/>
  <c r="M2684" i="23"/>
  <c r="M2666" i="23"/>
  <c r="N2666" i="23" s="1"/>
  <c r="M2602" i="23"/>
  <c r="N2602" i="23" s="1"/>
  <c r="N3017" i="23"/>
  <c r="N2996" i="23"/>
  <c r="N2919" i="23"/>
  <c r="N2959" i="23"/>
  <c r="N2876" i="23"/>
  <c r="N3053" i="23"/>
  <c r="N3012" i="23"/>
  <c r="N2973" i="23"/>
  <c r="M2900" i="23"/>
  <c r="N2900" i="23" s="1"/>
  <c r="M2972" i="23"/>
  <c r="N2972" i="23" s="1"/>
  <c r="N2932" i="23"/>
  <c r="M3000" i="23"/>
  <c r="N3000" i="23" s="1"/>
  <c r="M2871" i="23"/>
  <c r="N2871" i="23" s="1"/>
  <c r="M2759" i="23"/>
  <c r="N2759" i="23" s="1"/>
  <c r="M2695" i="23"/>
  <c r="N2695" i="23" s="1"/>
  <c r="M2594" i="23"/>
  <c r="N2594" i="23" s="1"/>
  <c r="M2498" i="23"/>
  <c r="N2498" i="23" s="1"/>
  <c r="M2294" i="23"/>
  <c r="N2294" i="23" s="1"/>
  <c r="N2930" i="23"/>
  <c r="N2897" i="23"/>
  <c r="N2869" i="23"/>
  <c r="N2836" i="23"/>
  <c r="M2756" i="23"/>
  <c r="N2756" i="23" s="1"/>
  <c r="M2721" i="23"/>
  <c r="N2721" i="23" s="1"/>
  <c r="M2693" i="23"/>
  <c r="M2658" i="23"/>
  <c r="M2617" i="23"/>
  <c r="N2617" i="23" s="1"/>
  <c r="M2575" i="23"/>
  <c r="N2575" i="23" s="1"/>
  <c r="M2630" i="23"/>
  <c r="N2630" i="23" s="1"/>
  <c r="M2593" i="23"/>
  <c r="N2593" i="23" s="1"/>
  <c r="M2574" i="23"/>
  <c r="N2574" i="23" s="1"/>
  <c r="M2537" i="23"/>
  <c r="N3024" i="23"/>
  <c r="N2954" i="23"/>
  <c r="N2864" i="23"/>
  <c r="N2855" i="23"/>
  <c r="N2854" i="23"/>
  <c r="N3043" i="23"/>
  <c r="N2926" i="23"/>
  <c r="M2966" i="23"/>
  <c r="N2966" i="23" s="1"/>
  <c r="M2950" i="23"/>
  <c r="N2950" i="23" s="1"/>
  <c r="M2892" i="23"/>
  <c r="N2892" i="23" s="1"/>
  <c r="N2912" i="23"/>
  <c r="N3005" i="23"/>
  <c r="N2979" i="23"/>
  <c r="N2963" i="23"/>
  <c r="M2922" i="23"/>
  <c r="N2922" i="23" s="1"/>
  <c r="N2923" i="23"/>
  <c r="N2890" i="23"/>
  <c r="K3044" i="23"/>
  <c r="L3044" i="23" s="1"/>
  <c r="K3043" i="23"/>
  <c r="L3043" i="23" s="1"/>
  <c r="K3035" i="23"/>
  <c r="L3035" i="23" s="1"/>
  <c r="N3035" i="23"/>
  <c r="K3030" i="23"/>
  <c r="L3030" i="23" s="1"/>
  <c r="K3024" i="23"/>
  <c r="L3024" i="23" s="1"/>
  <c r="K3022" i="23"/>
  <c r="L3022" i="23" s="1"/>
  <c r="N3022" i="23"/>
  <c r="K3014" i="23"/>
  <c r="L3014" i="23" s="1"/>
  <c r="N3014" i="23"/>
  <c r="K3013" i="23"/>
  <c r="L3013" i="23" s="1"/>
  <c r="N3013" i="23"/>
  <c r="K3005" i="23"/>
  <c r="L3005" i="23" s="1"/>
  <c r="K3017" i="23"/>
  <c r="L3017" i="23" s="1"/>
  <c r="K3001" i="23"/>
  <c r="L3001" i="23" s="1"/>
  <c r="N3001" i="23"/>
  <c r="K2980" i="23"/>
  <c r="L2980" i="23" s="1"/>
  <c r="K2996" i="23"/>
  <c r="L2996" i="23" s="1"/>
  <c r="K2979" i="23"/>
  <c r="L2979" i="23" s="1"/>
  <c r="K2986" i="23"/>
  <c r="L2986" i="23" s="1"/>
  <c r="N2986" i="23"/>
  <c r="K2971" i="23"/>
  <c r="L2971" i="23" s="1"/>
  <c r="K2972" i="23"/>
  <c r="L2972" i="23" s="1"/>
  <c r="K2963" i="23"/>
  <c r="L2963" i="23" s="1"/>
  <c r="K2966" i="23"/>
  <c r="L2966" i="23" s="1"/>
  <c r="K2975" i="23"/>
  <c r="L2975" i="23" s="1"/>
  <c r="K2960" i="23"/>
  <c r="L2960" i="23" s="1"/>
  <c r="N2960" i="23"/>
  <c r="K2959" i="23"/>
  <c r="L2959" i="23" s="1"/>
  <c r="K2962" i="23"/>
  <c r="L2962" i="23" s="1"/>
  <c r="K2961" i="23"/>
  <c r="L2961" i="23" s="1"/>
  <c r="K2974" i="23"/>
  <c r="L2974" i="23" s="1"/>
  <c r="K2973" i="23"/>
  <c r="L2973" i="23" s="1"/>
  <c r="K3053" i="23"/>
  <c r="L3053" i="23" s="1"/>
  <c r="K3012" i="23"/>
  <c r="L3012" i="23" s="1"/>
  <c r="K3050" i="23"/>
  <c r="L3050" i="23" s="1"/>
  <c r="N3050" i="23"/>
  <c r="K2954" i="23"/>
  <c r="L2954" i="23" s="1"/>
  <c r="K2950" i="23"/>
  <c r="L2950" i="23" s="1"/>
  <c r="K2952" i="23"/>
  <c r="L2952" i="23" s="1"/>
  <c r="N2952" i="23"/>
  <c r="K2947" i="23"/>
  <c r="L2947" i="23" s="1"/>
  <c r="K2945" i="23"/>
  <c r="L2945" i="23" s="1"/>
  <c r="K2933" i="23"/>
  <c r="L2933" i="23" s="1"/>
  <c r="N2933" i="23"/>
  <c r="K2936" i="23"/>
  <c r="L2936" i="23" s="1"/>
  <c r="N2936" i="23"/>
  <c r="K2934" i="23"/>
  <c r="L2934" i="23" s="1"/>
  <c r="K2932" i="23"/>
  <c r="L2932" i="23" s="1"/>
  <c r="K2922" i="23"/>
  <c r="L2922" i="23" s="1"/>
  <c r="K2923" i="23"/>
  <c r="L2923" i="23" s="1"/>
  <c r="K2927" i="23"/>
  <c r="L2927" i="23" s="1"/>
  <c r="N2927" i="23"/>
  <c r="K2930" i="23"/>
  <c r="L2930" i="23" s="1"/>
  <c r="K2928" i="23"/>
  <c r="L2928" i="23" s="1"/>
  <c r="K2926" i="23"/>
  <c r="L2926" i="23" s="1"/>
  <c r="K2920" i="23"/>
  <c r="L2920" i="23" s="1"/>
  <c r="N2920" i="23"/>
  <c r="K2919" i="23"/>
  <c r="L2919" i="23" s="1"/>
  <c r="K2912" i="23"/>
  <c r="L2912" i="23" s="1"/>
  <c r="K2908" i="23"/>
  <c r="L2908" i="23" s="1"/>
  <c r="N2908" i="23"/>
  <c r="K2909" i="23"/>
  <c r="L2909" i="23" s="1"/>
  <c r="K2890" i="23"/>
  <c r="L2890" i="23" s="1"/>
  <c r="K2892" i="23"/>
  <c r="L2892" i="23" s="1"/>
  <c r="K2897" i="23"/>
  <c r="L2897" i="23" s="1"/>
  <c r="K2900" i="23"/>
  <c r="L2900" i="23" s="1"/>
  <c r="K2885" i="23"/>
  <c r="L2885" i="23" s="1"/>
  <c r="N2885" i="23"/>
  <c r="K2881" i="23"/>
  <c r="L2881" i="23" s="1"/>
  <c r="K2877" i="23"/>
  <c r="L2877" i="23" s="1"/>
  <c r="K2869" i="23"/>
  <c r="L2869" i="23" s="1"/>
  <c r="K2876" i="23"/>
  <c r="L2876" i="23" s="1"/>
  <c r="K2871" i="23"/>
  <c r="L2871" i="23" s="1"/>
  <c r="K2865" i="23"/>
  <c r="L2865" i="23" s="1"/>
  <c r="N2865" i="23"/>
  <c r="K2864" i="23"/>
  <c r="L2864" i="23" s="1"/>
  <c r="K2854" i="23"/>
  <c r="L2854" i="23" s="1"/>
  <c r="K2855" i="23"/>
  <c r="L2855" i="23" s="1"/>
  <c r="K2847" i="23"/>
  <c r="L2847" i="23" s="1"/>
  <c r="K2859" i="23"/>
  <c r="L2859" i="23" s="1"/>
  <c r="K2836" i="23"/>
  <c r="L2836" i="23" s="1"/>
  <c r="K2818" i="23"/>
  <c r="L2818" i="23" s="1"/>
  <c r="K2793" i="23"/>
  <c r="L2793" i="23" s="1"/>
  <c r="N2793" i="23"/>
  <c r="K2756" i="23"/>
  <c r="L2756" i="23" s="1"/>
  <c r="K2759" i="23"/>
  <c r="L2759" i="23" s="1"/>
  <c r="K2695" i="23"/>
  <c r="L2695" i="23" s="1"/>
  <c r="K2721" i="23"/>
  <c r="L2721" i="23" s="1"/>
  <c r="K2630" i="23"/>
  <c r="L2630" i="23" s="1"/>
  <c r="K2599" i="23"/>
  <c r="L2599" i="23" s="1"/>
  <c r="N2599" i="23"/>
  <c r="K2593" i="23"/>
  <c r="L2593" i="23" s="1"/>
  <c r="K2594" i="23"/>
  <c r="L2594" i="23" s="1"/>
  <c r="K2570" i="23"/>
  <c r="L2570" i="23" s="1"/>
  <c r="N2570" i="23"/>
  <c r="K2574" i="23"/>
  <c r="L2574" i="23" s="1"/>
  <c r="K2498" i="23"/>
  <c r="L2498" i="23" s="1"/>
  <c r="K2483" i="23"/>
  <c r="L2483" i="23" s="1"/>
  <c r="K2294" i="23"/>
  <c r="L2294" i="23" s="1"/>
  <c r="K2270" i="23"/>
  <c r="L2270" i="23" s="1"/>
  <c r="N2270" i="23"/>
  <c r="K2260" i="23"/>
  <c r="L2260" i="23" s="1"/>
  <c r="N2260" i="23"/>
  <c r="K2245" i="23"/>
  <c r="L2245" i="23" s="1"/>
  <c r="N2245" i="23"/>
  <c r="M2760" i="23"/>
  <c r="N2760" i="23" s="1"/>
  <c r="M3036" i="23"/>
  <c r="N3036" i="23" s="1"/>
  <c r="M3011" i="23"/>
  <c r="N3011" i="23" s="1"/>
  <c r="M3003" i="23"/>
  <c r="N3003" i="23" s="1"/>
  <c r="M2970" i="23"/>
  <c r="N2970" i="23" s="1"/>
  <c r="M2898" i="23"/>
  <c r="N2898" i="23" s="1"/>
  <c r="K2898" i="23"/>
  <c r="L2898" i="23" s="1"/>
  <c r="K3036" i="23"/>
  <c r="L3036" i="23" s="1"/>
  <c r="K3011" i="23"/>
  <c r="L3011" i="23" s="1"/>
  <c r="K3000" i="23"/>
  <c r="L3000" i="23" s="1"/>
  <c r="K3003" i="23"/>
  <c r="L3003" i="23" s="1"/>
  <c r="K2970" i="23"/>
  <c r="L2970" i="23" s="1"/>
  <c r="K2760" i="23"/>
  <c r="L2760" i="23" s="1"/>
  <c r="H15" i="25"/>
  <c r="N3019" i="23"/>
  <c r="M3006" i="23"/>
  <c r="N3006" i="23" s="1"/>
  <c r="M2998" i="23"/>
  <c r="N2998" i="23" s="1"/>
  <c r="M2997" i="23"/>
  <c r="N2997" i="23" s="1"/>
  <c r="M2982" i="23"/>
  <c r="N2982" i="23" s="1"/>
  <c r="M2951" i="23"/>
  <c r="N2951" i="23" s="1"/>
  <c r="M2940" i="23"/>
  <c r="N2940" i="23" s="1"/>
  <c r="M2925" i="23"/>
  <c r="N2925" i="23" s="1"/>
  <c r="K2982" i="23"/>
  <c r="L2982" i="23" s="1"/>
  <c r="K2997" i="23"/>
  <c r="L2997" i="23" s="1"/>
  <c r="K2940" i="23"/>
  <c r="L2940" i="23" s="1"/>
  <c r="K2941" i="23"/>
  <c r="L2941" i="23" s="1"/>
  <c r="K2951" i="23"/>
  <c r="L2951" i="23" s="1"/>
  <c r="K2981" i="23"/>
  <c r="L2981" i="23" s="1"/>
  <c r="K2983" i="23"/>
  <c r="L2983" i="23" s="1"/>
  <c r="K2998" i="23"/>
  <c r="L2998" i="23" s="1"/>
  <c r="K3006" i="23"/>
  <c r="L3006" i="23" s="1"/>
  <c r="K3007" i="23"/>
  <c r="L3007" i="23" s="1"/>
  <c r="K3019" i="23"/>
  <c r="L3019" i="23" s="1"/>
  <c r="K2925" i="23"/>
  <c r="L2925" i="23" s="1"/>
  <c r="M2906" i="23"/>
  <c r="N2906" i="23" s="1"/>
  <c r="M2861" i="23"/>
  <c r="N2861" i="23" s="1"/>
  <c r="M2823" i="23"/>
  <c r="M2768" i="23"/>
  <c r="M2767" i="23"/>
  <c r="M2729" i="23"/>
  <c r="M2713" i="23"/>
  <c r="M2682" i="23"/>
  <c r="M2681" i="23"/>
  <c r="M2664" i="23"/>
  <c r="M2613" i="23"/>
  <c r="M2600" i="23"/>
  <c r="M2563" i="23"/>
  <c r="M2421" i="23"/>
  <c r="N2879" i="23"/>
  <c r="M2765" i="23"/>
  <c r="M2612" i="23"/>
  <c r="M2524" i="23"/>
  <c r="M2404" i="23"/>
  <c r="M2874" i="23"/>
  <c r="N2874" i="23" s="1"/>
  <c r="M2790" i="23"/>
  <c r="M2580" i="23"/>
  <c r="M2561" i="23"/>
  <c r="M2522" i="23"/>
  <c r="M2476" i="23"/>
  <c r="M2441" i="23"/>
  <c r="M2425" i="23"/>
  <c r="M2416" i="23"/>
  <c r="M2401" i="23"/>
  <c r="M2435" i="23"/>
  <c r="M2796" i="23"/>
  <c r="M2676" i="23"/>
  <c r="M2571" i="23"/>
  <c r="M2555" i="23"/>
  <c r="M2515" i="23"/>
  <c r="M2472" i="23"/>
  <c r="M2455" i="23"/>
  <c r="M2394" i="23"/>
  <c r="M2782" i="23"/>
  <c r="M2607" i="23"/>
  <c r="M2451" i="23"/>
  <c r="M2566" i="23"/>
  <c r="N2889" i="23"/>
  <c r="N2846" i="23"/>
  <c r="K2846" i="23"/>
  <c r="L2846" i="23" s="1"/>
  <c r="N2774" i="23"/>
  <c r="N2745" i="23"/>
  <c r="K2745" i="23"/>
  <c r="L2745" i="23" s="1"/>
  <c r="N2683" i="23"/>
  <c r="K2683" i="23"/>
  <c r="L2683" i="23" s="1"/>
  <c r="K2774" i="23"/>
  <c r="L2774" i="23" s="1"/>
  <c r="M2271" i="23"/>
  <c r="N2271" i="23" s="1"/>
  <c r="M2279" i="23"/>
  <c r="K2271" i="23"/>
  <c r="L2271" i="23" s="1"/>
  <c r="M2368" i="23"/>
  <c r="N2368" i="23" s="1"/>
  <c r="M2383" i="23"/>
  <c r="K2368" i="23"/>
  <c r="L2368" i="23" s="1"/>
  <c r="M2419" i="23"/>
  <c r="N2419" i="23" s="1"/>
  <c r="M2427" i="23"/>
  <c r="K2419" i="23"/>
  <c r="L2419" i="23" s="1"/>
  <c r="M2634" i="23"/>
  <c r="N2634" i="23" s="1"/>
  <c r="M2507" i="23"/>
  <c r="N2507" i="23" s="1"/>
  <c r="K2507" i="23"/>
  <c r="L2507" i="23" s="1"/>
  <c r="M2446" i="23"/>
  <c r="N2446" i="23" s="1"/>
  <c r="M2478" i="23"/>
  <c r="K2446" i="23"/>
  <c r="L2446" i="23" s="1"/>
  <c r="M2333" i="23"/>
  <c r="N2333" i="23" s="1"/>
  <c r="M2347" i="23"/>
  <c r="K2333" i="23"/>
  <c r="L2333" i="23" s="1"/>
  <c r="M2239" i="23"/>
  <c r="N2239" i="23" s="1"/>
  <c r="M2316" i="23"/>
  <c r="K2239" i="23"/>
  <c r="L2239" i="23" s="1"/>
  <c r="M2661" i="23"/>
  <c r="M2649" i="23"/>
  <c r="N2649" i="23" s="1"/>
  <c r="K2649" i="23"/>
  <c r="L2649" i="23" s="1"/>
  <c r="M2372" i="23"/>
  <c r="N2372" i="23" s="1"/>
  <c r="M2366" i="23"/>
  <c r="M2402" i="23"/>
  <c r="K2372" i="23"/>
  <c r="L2372" i="23" s="1"/>
  <c r="M2544" i="23"/>
  <c r="N2544" i="23" s="1"/>
  <c r="M2526" i="23"/>
  <c r="N2526" i="23" s="1"/>
  <c r="K2526" i="23"/>
  <c r="L2526" i="23" s="1"/>
  <c r="M2502" i="23"/>
  <c r="N2502" i="23" s="1"/>
  <c r="M2520" i="23"/>
  <c r="K2502" i="23"/>
  <c r="L2502" i="23" s="1"/>
  <c r="M2202" i="23"/>
  <c r="N2202" i="23" s="1"/>
  <c r="M2227" i="23"/>
  <c r="K2202" i="23"/>
  <c r="L2202" i="23" s="1"/>
  <c r="M2645" i="23"/>
  <c r="M2529" i="23"/>
  <c r="N2529" i="23" s="1"/>
  <c r="K2529" i="23"/>
  <c r="L2529" i="23" s="1"/>
  <c r="M2788" i="23"/>
  <c r="M2761" i="23"/>
  <c r="N2761" i="23" s="1"/>
  <c r="K2761" i="23"/>
  <c r="L2761" i="23" s="1"/>
  <c r="M2773" i="23"/>
  <c r="N2773" i="23" s="1"/>
  <c r="M2738" i="23"/>
  <c r="N2738" i="23" s="1"/>
  <c r="K2738" i="23"/>
  <c r="L2738" i="23" s="1"/>
  <c r="M2786" i="23"/>
  <c r="K2773" i="23"/>
  <c r="L2773" i="23" s="1"/>
  <c r="M2615" i="23"/>
  <c r="N2615" i="23" s="1"/>
  <c r="M2678" i="23"/>
  <c r="K2615" i="23"/>
  <c r="L2615" i="23" s="1"/>
  <c r="M2283" i="23"/>
  <c r="N2283" i="23" s="1"/>
  <c r="M2256" i="23"/>
  <c r="N2256" i="23" s="1"/>
  <c r="M2312" i="23"/>
  <c r="K2283" i="23"/>
  <c r="L2283" i="23" s="1"/>
  <c r="K2256" i="23"/>
  <c r="L2256" i="23" s="1"/>
  <c r="M2428" i="23"/>
  <c r="N2428" i="23" s="1"/>
  <c r="M2434" i="23"/>
  <c r="K2428" i="23"/>
  <c r="L2428" i="23" s="1"/>
  <c r="K2575" i="23"/>
  <c r="L2575" i="23" s="1"/>
  <c r="K2617" i="23"/>
  <c r="L2617" i="23" s="1"/>
  <c r="M2410" i="23"/>
  <c r="M2360" i="23"/>
  <c r="N2360" i="23" s="1"/>
  <c r="K2360" i="23"/>
  <c r="L2360" i="23" s="1"/>
  <c r="M2222" i="23"/>
  <c r="M2214" i="23"/>
  <c r="N2214" i="23" s="1"/>
  <c r="K2214" i="23"/>
  <c r="L2214" i="23" s="1"/>
  <c r="M2213" i="23"/>
  <c r="N2213" i="23" s="1"/>
  <c r="M2558" i="23"/>
  <c r="M2527" i="23"/>
  <c r="N2527" i="23" s="1"/>
  <c r="M2518" i="23"/>
  <c r="K2527" i="23"/>
  <c r="L2527" i="23" s="1"/>
  <c r="M2592" i="23"/>
  <c r="N2592" i="23" s="1"/>
  <c r="M2628" i="23"/>
  <c r="N2628" i="23" s="1"/>
  <c r="K2592" i="23"/>
  <c r="L2592" i="23" s="1"/>
  <c r="M2458" i="23"/>
  <c r="N2458" i="23" s="1"/>
  <c r="M2517" i="23"/>
  <c r="K2458" i="23"/>
  <c r="L2458" i="23" s="1"/>
  <c r="M2692" i="23"/>
  <c r="M2424" i="23"/>
  <c r="M2397" i="23"/>
  <c r="M2359" i="23"/>
  <c r="M2329" i="23"/>
  <c r="M2309" i="23"/>
  <c r="M2640" i="23"/>
  <c r="N2640" i="23" s="1"/>
  <c r="M2627" i="23"/>
  <c r="N2627" i="23" s="1"/>
  <c r="K2627" i="23"/>
  <c r="L2627" i="23" s="1"/>
  <c r="M2556" i="23"/>
  <c r="N2556" i="23" s="1"/>
  <c r="M2572" i="23"/>
  <c r="K2556" i="23"/>
  <c r="L2556" i="23" s="1"/>
  <c r="M2535" i="23"/>
  <c r="M2516" i="23"/>
  <c r="M2486" i="23"/>
  <c r="N2486" i="23" s="1"/>
  <c r="K2486" i="23"/>
  <c r="L2486" i="23" s="1"/>
  <c r="M2473" i="23"/>
  <c r="M2457" i="23"/>
  <c r="N2457" i="23" s="1"/>
  <c r="K2457" i="23"/>
  <c r="L2457" i="23" s="1"/>
  <c r="M2253" i="23"/>
  <c r="M2212" i="23"/>
  <c r="N2212" i="23" s="1"/>
  <c r="M2194" i="23"/>
  <c r="N2194" i="23" s="1"/>
  <c r="M2091" i="23"/>
  <c r="M2072" i="23"/>
  <c r="M2159" i="23"/>
  <c r="N2159" i="23" s="1"/>
  <c r="K2159" i="23"/>
  <c r="L2159" i="23" s="1"/>
  <c r="M2221" i="23"/>
  <c r="K2212" i="23"/>
  <c r="L2212" i="23" s="1"/>
  <c r="K2194" i="23"/>
  <c r="L2194" i="23" s="1"/>
  <c r="M2471" i="23"/>
  <c r="M2672" i="23"/>
  <c r="N2672" i="23" s="1"/>
  <c r="M2731" i="23"/>
  <c r="K2672" i="23"/>
  <c r="L2672" i="23" s="1"/>
  <c r="M2320" i="23"/>
  <c r="M2375" i="23"/>
  <c r="N2375" i="23" s="1"/>
  <c r="K2375" i="23"/>
  <c r="L2375" i="23" s="1"/>
  <c r="M2565" i="23"/>
  <c r="N2565" i="23" s="1"/>
  <c r="N2921" i="23"/>
  <c r="M2700" i="23"/>
  <c r="M2663" i="23"/>
  <c r="N2663" i="23" s="1"/>
  <c r="M2618" i="23"/>
  <c r="N2618" i="23" s="1"/>
  <c r="M2598" i="23"/>
  <c r="N2598" i="23" s="1"/>
  <c r="M2670" i="23"/>
  <c r="M2662" i="23"/>
  <c r="N2662" i="23" s="1"/>
  <c r="M2651" i="23"/>
  <c r="M2650" i="23"/>
  <c r="N2650" i="23" s="1"/>
  <c r="M2611" i="23"/>
  <c r="N2611" i="23" s="1"/>
  <c r="M2545" i="23"/>
  <c r="N2545" i="23" s="1"/>
  <c r="M2597" i="23"/>
  <c r="M2581" i="23"/>
  <c r="N2581" i="23" s="1"/>
  <c r="M2724" i="23"/>
  <c r="M2710" i="23"/>
  <c r="M2659" i="23"/>
  <c r="N2659" i="23" s="1"/>
  <c r="M2647" i="23"/>
  <c r="M2631" i="23"/>
  <c r="N2631" i="23" s="1"/>
  <c r="M2595" i="23"/>
  <c r="N2595" i="23" s="1"/>
  <c r="M2579" i="23"/>
  <c r="M2560" i="23"/>
  <c r="N2560" i="23" s="1"/>
  <c r="M2542" i="23"/>
  <c r="M2840" i="23"/>
  <c r="N2840" i="23" s="1"/>
  <c r="M2739" i="23"/>
  <c r="M2787" i="23"/>
  <c r="M2857" i="23"/>
  <c r="N2857" i="23" s="1"/>
  <c r="M2838" i="23"/>
  <c r="N2838" i="23" s="1"/>
  <c r="M2723" i="23"/>
  <c r="M2709" i="23"/>
  <c r="M2685" i="23"/>
  <c r="M2669" i="23"/>
  <c r="M2644" i="23"/>
  <c r="M2161" i="23"/>
  <c r="M2559" i="23"/>
  <c r="N2559" i="23" s="1"/>
  <c r="M2643" i="23"/>
  <c r="N2643" i="23" s="1"/>
  <c r="M2577" i="23"/>
  <c r="N2577" i="23" s="1"/>
  <c r="M2642" i="23"/>
  <c r="N2642" i="23" s="1"/>
  <c r="M2609" i="23"/>
  <c r="N2609" i="23" s="1"/>
  <c r="M2576" i="23"/>
  <c r="N2576" i="23" s="1"/>
  <c r="M2236" i="23"/>
  <c r="M2198" i="23"/>
  <c r="M2496" i="23"/>
  <c r="M2755" i="23"/>
  <c r="M2629" i="23"/>
  <c r="N2629" i="23" s="1"/>
  <c r="N2657" i="23"/>
  <c r="M2641" i="23"/>
  <c r="M2626" i="23"/>
  <c r="N2626" i="23" s="1"/>
  <c r="M2608" i="23"/>
  <c r="M2604" i="23"/>
  <c r="M2586" i="23"/>
  <c r="N2586" i="23" s="1"/>
  <c r="M2656" i="23"/>
  <c r="N2656" i="23" s="1"/>
  <c r="M2158" i="23"/>
  <c r="M2090" i="23"/>
  <c r="M2625" i="23"/>
  <c r="N2625" i="23" s="1"/>
  <c r="M2591" i="23"/>
  <c r="N2591" i="23" s="1"/>
  <c r="M2553" i="23"/>
  <c r="N2553" i="23" s="1"/>
  <c r="M2624" i="23"/>
  <c r="N2624" i="23" s="1"/>
  <c r="M2569" i="23"/>
  <c r="N2569" i="23" s="1"/>
  <c r="M2674" i="23"/>
  <c r="M2623" i="23"/>
  <c r="N2623" i="23" s="1"/>
  <c r="M2590" i="23"/>
  <c r="M2552" i="23"/>
  <c r="N2552" i="23" s="1"/>
  <c r="N2913" i="23"/>
  <c r="M2589" i="23"/>
  <c r="M2654" i="23"/>
  <c r="M2606" i="23"/>
  <c r="N2606" i="23" s="1"/>
  <c r="M2551" i="23"/>
  <c r="N2551" i="23" s="1"/>
  <c r="M2882" i="23"/>
  <c r="N2882" i="23" s="1"/>
  <c r="M2717" i="23"/>
  <c r="M2716" i="23"/>
  <c r="M2637" i="23"/>
  <c r="N2637" i="23" s="1"/>
  <c r="M2605" i="23"/>
  <c r="N2605" i="23" s="1"/>
  <c r="M2616" i="23"/>
  <c r="M2603" i="23"/>
  <c r="N2603" i="23" s="1"/>
  <c r="M2550" i="23"/>
  <c r="N2550" i="23" s="1"/>
  <c r="K2663" i="23"/>
  <c r="L2663" i="23" s="1"/>
  <c r="K2656" i="23"/>
  <c r="L2656" i="23" s="1"/>
  <c r="K2662" i="23"/>
  <c r="L2662" i="23" s="1"/>
  <c r="K2657" i="23"/>
  <c r="L2657" i="23" s="1"/>
  <c r="K2659" i="23"/>
  <c r="L2659" i="23" s="1"/>
  <c r="K2653" i="23"/>
  <c r="L2653" i="23" s="1"/>
  <c r="K2666" i="23"/>
  <c r="L2666" i="23" s="1"/>
  <c r="K2643" i="23"/>
  <c r="L2643" i="23" s="1"/>
  <c r="K2650" i="23"/>
  <c r="L2650" i="23" s="1"/>
  <c r="K2642" i="23"/>
  <c r="L2642" i="23" s="1"/>
  <c r="K2637" i="23"/>
  <c r="L2637" i="23" s="1"/>
  <c r="K2640" i="23"/>
  <c r="L2640" i="23" s="1"/>
  <c r="K2629" i="23"/>
  <c r="L2629" i="23" s="1"/>
  <c r="K2626" i="23"/>
  <c r="L2626" i="23" s="1"/>
  <c r="K2624" i="23"/>
  <c r="L2624" i="23" s="1"/>
  <c r="K2634" i="23"/>
  <c r="L2634" i="23" s="1"/>
  <c r="K2623" i="23"/>
  <c r="L2623" i="23" s="1"/>
  <c r="K2631" i="23"/>
  <c r="L2631" i="23" s="1"/>
  <c r="K2625" i="23"/>
  <c r="L2625" i="23" s="1"/>
  <c r="K2628" i="23"/>
  <c r="L2628" i="23" s="1"/>
  <c r="K2618" i="23"/>
  <c r="L2618" i="23" s="1"/>
  <c r="K2606" i="23"/>
  <c r="L2606" i="23" s="1"/>
  <c r="K2603" i="23"/>
  <c r="L2603" i="23" s="1"/>
  <c r="K2605" i="23"/>
  <c r="L2605" i="23" s="1"/>
  <c r="K2611" i="23"/>
  <c r="L2611" i="23" s="1"/>
  <c r="K2609" i="23"/>
  <c r="L2609" i="23" s="1"/>
  <c r="K2598" i="23"/>
  <c r="L2598" i="23" s="1"/>
  <c r="K2595" i="23"/>
  <c r="L2595" i="23" s="1"/>
  <c r="K2591" i="23"/>
  <c r="L2591" i="23" s="1"/>
  <c r="K2586" i="23"/>
  <c r="L2586" i="23" s="1"/>
  <c r="K2602" i="23"/>
  <c r="L2602" i="23" s="1"/>
  <c r="K2569" i="23"/>
  <c r="L2569" i="23" s="1"/>
  <c r="K2581" i="23"/>
  <c r="L2581" i="23" s="1"/>
  <c r="K2585" i="23"/>
  <c r="L2585" i="23" s="1"/>
  <c r="M2585" i="23" a="1"/>
  <c r="M2585" i="23" s="1"/>
  <c r="N2585" i="23" s="1"/>
  <c r="K2577" i="23"/>
  <c r="L2577" i="23" s="1"/>
  <c r="K2576" i="23"/>
  <c r="L2576" i="23" s="1"/>
  <c r="K2559" i="23"/>
  <c r="L2559" i="23" s="1"/>
  <c r="K2565" i="23"/>
  <c r="L2565" i="23" s="1"/>
  <c r="K2552" i="23"/>
  <c r="L2552" i="23" s="1"/>
  <c r="K2550" i="23"/>
  <c r="L2550" i="23" s="1"/>
  <c r="K2551" i="23"/>
  <c r="L2551" i="23" s="1"/>
  <c r="K2560" i="23"/>
  <c r="L2560" i="23" s="1"/>
  <c r="K2553" i="23"/>
  <c r="L2553" i="23" s="1"/>
  <c r="K2544" i="23"/>
  <c r="L2544" i="23" s="1"/>
  <c r="K2545" i="23"/>
  <c r="L2545" i="23" s="1"/>
  <c r="M2867" i="23"/>
  <c r="M2690" i="23"/>
  <c r="N2850" i="23"/>
  <c r="M2638" i="23"/>
  <c r="M2688" i="23"/>
  <c r="M2718" i="23"/>
  <c r="K2921" i="23"/>
  <c r="L2921" i="23" s="1"/>
  <c r="K2913" i="23"/>
  <c r="L2913" i="23" s="1"/>
  <c r="K2906" i="23"/>
  <c r="L2906" i="23" s="1"/>
  <c r="K2882" i="23"/>
  <c r="L2882" i="23" s="1"/>
  <c r="K2889" i="23"/>
  <c r="L2889" i="23" s="1"/>
  <c r="K2879" i="23"/>
  <c r="L2879" i="23" s="1"/>
  <c r="K2874" i="23"/>
  <c r="L2874" i="23" s="1"/>
  <c r="K2872" i="23"/>
  <c r="L2872" i="23" s="1"/>
  <c r="K2862" i="23"/>
  <c r="L2862" i="23" s="1"/>
  <c r="K2849" i="23"/>
  <c r="L2849" i="23" s="1"/>
  <c r="K2857" i="23"/>
  <c r="L2857" i="23" s="1"/>
  <c r="K2850" i="23"/>
  <c r="L2850" i="23" s="1"/>
  <c r="K2861" i="23"/>
  <c r="L2861" i="23" s="1"/>
  <c r="K2838" i="23"/>
  <c r="L2838" i="23" s="1"/>
  <c r="K2840" i="23"/>
  <c r="L2840" i="23" s="1"/>
  <c r="V37" i="18"/>
  <c r="T38" i="18"/>
  <c r="V38" i="18" s="1"/>
  <c r="T39" i="18"/>
  <c r="V39" i="18" s="1"/>
  <c r="K2815" i="23" l="1"/>
  <c r="L2815" i="23" s="1"/>
  <c r="N2815" i="23"/>
  <c r="K2826" i="23"/>
  <c r="L2826" i="23" s="1"/>
  <c r="K2823" i="23"/>
  <c r="L2823" i="23" s="1"/>
  <c r="N2823" i="23"/>
  <c r="K2825" i="23"/>
  <c r="L2825" i="23" s="1"/>
  <c r="K2820" i="23"/>
  <c r="L2820" i="23" s="1"/>
  <c r="N2820" i="23"/>
  <c r="K2822" i="23"/>
  <c r="L2822" i="23" s="1"/>
  <c r="N2822" i="23"/>
  <c r="K2809" i="23"/>
  <c r="L2809" i="23" s="1"/>
  <c r="K2806" i="23"/>
  <c r="L2806" i="23" s="1"/>
  <c r="N2806" i="23"/>
  <c r="K2796" i="23"/>
  <c r="L2796" i="23" s="1"/>
  <c r="N2796" i="23"/>
  <c r="K2799" i="23"/>
  <c r="L2799" i="23" s="1"/>
  <c r="K2803" i="23"/>
  <c r="L2803" i="23" s="1"/>
  <c r="N2803" i="23"/>
  <c r="K2797" i="23"/>
  <c r="L2797" i="23" s="1"/>
  <c r="N2797" i="23"/>
  <c r="K2782" i="23"/>
  <c r="L2782" i="23" s="1"/>
  <c r="N2782" i="23"/>
  <c r="K2789" i="23"/>
  <c r="L2789" i="23" s="1"/>
  <c r="K2788" i="23"/>
  <c r="L2788" i="23" s="1"/>
  <c r="N2788" i="23"/>
  <c r="K2790" i="23"/>
  <c r="L2790" i="23" s="1"/>
  <c r="N2790" i="23"/>
  <c r="K2787" i="23"/>
  <c r="L2787" i="23" s="1"/>
  <c r="N2787" i="23"/>
  <c r="K2786" i="23"/>
  <c r="L2786" i="23" s="1"/>
  <c r="N2786" i="23"/>
  <c r="K2794" i="23"/>
  <c r="L2794" i="23" s="1"/>
  <c r="N2794" i="23"/>
  <c r="K2792" i="23"/>
  <c r="L2792" i="23" s="1"/>
  <c r="K2778" i="23"/>
  <c r="L2778" i="23" s="1"/>
  <c r="N2778" i="23"/>
  <c r="K2775" i="23"/>
  <c r="L2775" i="23" s="1"/>
  <c r="N2775" i="23"/>
  <c r="K2772" i="23"/>
  <c r="L2772" i="23" s="1"/>
  <c r="K2771" i="23"/>
  <c r="L2771" i="23" s="1"/>
  <c r="N2771" i="23"/>
  <c r="K2755" i="23"/>
  <c r="L2755" i="23" s="1"/>
  <c r="N2755" i="23"/>
  <c r="K2765" i="23"/>
  <c r="L2765" i="23" s="1"/>
  <c r="N2765" i="23"/>
  <c r="K2768" i="23"/>
  <c r="L2768" i="23" s="1"/>
  <c r="N2768" i="23"/>
  <c r="K2767" i="23"/>
  <c r="L2767" i="23" s="1"/>
  <c r="N2767" i="23"/>
  <c r="K2770" i="23"/>
  <c r="L2770" i="23" s="1"/>
  <c r="N2770" i="23"/>
  <c r="K2753" i="23"/>
  <c r="L2753" i="23" s="1"/>
  <c r="K2731" i="23"/>
  <c r="L2731" i="23" s="1"/>
  <c r="N2731" i="23"/>
  <c r="K2739" i="23"/>
  <c r="L2739" i="23" s="1"/>
  <c r="N2739" i="23"/>
  <c r="K2740" i="23"/>
  <c r="L2740" i="23" s="1"/>
  <c r="K2769" i="23"/>
  <c r="L2769" i="23" s="1"/>
  <c r="K2746" i="23"/>
  <c r="L2746" i="23" s="1"/>
  <c r="K2742" i="23"/>
  <c r="L2742" i="23" s="1"/>
  <c r="K2735" i="23"/>
  <c r="L2735" i="23" s="1"/>
  <c r="N2735" i="23"/>
  <c r="K2723" i="23"/>
  <c r="L2723" i="23" s="1"/>
  <c r="N2723" i="23"/>
  <c r="K2718" i="23"/>
  <c r="L2718" i="23" s="1"/>
  <c r="N2718" i="23"/>
  <c r="K2715" i="23"/>
  <c r="L2715" i="23" s="1"/>
  <c r="N2715" i="23"/>
  <c r="K2711" i="23"/>
  <c r="L2711" i="23" s="1"/>
  <c r="K2724" i="23"/>
  <c r="L2724" i="23" s="1"/>
  <c r="N2724" i="23"/>
  <c r="K2710" i="23"/>
  <c r="L2710" i="23" s="1"/>
  <c r="N2710" i="23"/>
  <c r="K2709" i="23"/>
  <c r="L2709" i="23" s="1"/>
  <c r="N2709" i="23"/>
  <c r="K2688" i="23"/>
  <c r="L2688" i="23" s="1"/>
  <c r="N2688" i="23"/>
  <c r="K2692" i="23"/>
  <c r="L2692" i="23" s="1"/>
  <c r="N2692" i="23"/>
  <c r="K2693" i="23"/>
  <c r="L2693" i="23" s="1"/>
  <c r="N2693" i="23"/>
  <c r="K2697" i="23"/>
  <c r="L2697" i="23" s="1"/>
  <c r="N2697" i="23"/>
  <c r="K2685" i="23"/>
  <c r="L2685" i="23" s="1"/>
  <c r="N2685" i="23"/>
  <c r="K2676" i="23"/>
  <c r="L2676" i="23" s="1"/>
  <c r="N2676" i="23"/>
  <c r="K2668" i="23"/>
  <c r="L2668" i="23" s="1"/>
  <c r="N2668" i="23"/>
  <c r="K2669" i="23"/>
  <c r="L2669" i="23" s="1"/>
  <c r="N2669" i="23"/>
  <c r="K2658" i="23"/>
  <c r="L2658" i="23" s="1"/>
  <c r="N2658" i="23"/>
  <c r="K2647" i="23"/>
  <c r="L2647" i="23" s="1"/>
  <c r="N2647" i="23"/>
  <c r="K2644" i="23"/>
  <c r="L2644" i="23" s="1"/>
  <c r="N2644" i="23"/>
  <c r="K2612" i="23"/>
  <c r="L2612" i="23" s="1"/>
  <c r="N2612" i="23"/>
  <c r="K2578" i="23"/>
  <c r="L2578" i="23" s="1"/>
  <c r="K2579" i="23"/>
  <c r="L2579" i="23" s="1"/>
  <c r="N2579" i="23"/>
  <c r="K2542" i="23"/>
  <c r="L2542" i="23" s="1"/>
  <c r="N2542" i="23"/>
  <c r="K2543" i="23"/>
  <c r="L2543" i="23" s="1"/>
  <c r="M577" i="23"/>
  <c r="M509" i="23"/>
  <c r="M707" i="23"/>
  <c r="M507" i="23"/>
  <c r="M547" i="23"/>
  <c r="N547" i="23" s="1"/>
  <c r="K547" i="23"/>
  <c r="L547" i="23" s="1"/>
  <c r="M397" i="23"/>
  <c r="M493" i="23"/>
  <c r="M546" i="23"/>
  <c r="M494" i="23"/>
  <c r="M492" i="23"/>
  <c r="M503" i="23"/>
  <c r="M527" i="23"/>
  <c r="M665" i="23"/>
  <c r="M526" i="23"/>
  <c r="M490" i="23"/>
  <c r="N2867" i="23" l="1"/>
  <c r="K2867" i="23"/>
  <c r="L2867" i="23" s="1"/>
  <c r="M2810" i="23"/>
  <c r="N2810" i="23" s="1"/>
  <c r="M2811" i="23"/>
  <c r="N2811" i="23" s="1"/>
  <c r="M2830" i="23"/>
  <c r="N2830" i="23" s="1"/>
  <c r="M2776" i="23"/>
  <c r="N2776" i="23" s="1"/>
  <c r="M2750" i="23"/>
  <c r="N2750" i="23" s="1"/>
  <c r="M2732" i="23"/>
  <c r="N2732" i="23" s="1"/>
  <c r="K2750" i="23"/>
  <c r="L2750" i="23" s="1"/>
  <c r="K2732" i="23"/>
  <c r="L2732" i="23" s="1"/>
  <c r="K2690" i="23"/>
  <c r="L2690" i="23" s="1"/>
  <c r="N2690" i="23"/>
  <c r="M2851" i="23"/>
  <c r="N2851" i="23" s="1"/>
  <c r="M2780" i="23"/>
  <c r="N2780" i="23" s="1"/>
  <c r="M2584" i="23"/>
  <c r="N2584" i="23" s="1"/>
  <c r="N2566" i="23"/>
  <c r="M2525" i="23"/>
  <c r="N2525" i="23" s="1"/>
  <c r="M2665" i="23"/>
  <c r="N2665" i="23" s="1"/>
  <c r="M2635" i="23"/>
  <c r="N2635" i="23" s="1"/>
  <c r="M2614" i="23"/>
  <c r="N2614" i="23" s="1"/>
  <c r="M2583" i="23"/>
  <c r="N2583" i="23" s="1"/>
  <c r="M2564" i="23"/>
  <c r="N2564" i="23" s="1"/>
  <c r="M2549" i="23"/>
  <c r="N2549" i="23" s="1"/>
  <c r="M2547" i="23"/>
  <c r="N2547" i="23" s="1"/>
  <c r="M2491" i="23"/>
  <c r="N2491" i="23" s="1"/>
  <c r="M2480" i="23"/>
  <c r="N2480" i="23" s="1"/>
  <c r="M2467" i="23"/>
  <c r="N2467" i="23" s="1"/>
  <c r="M2444" i="23"/>
  <c r="N2444" i="23" s="1"/>
  <c r="M2490" i="23"/>
  <c r="N2490" i="23" s="1"/>
  <c r="N2700" i="23"/>
  <c r="M2562" i="23"/>
  <c r="N2562" i="23" s="1"/>
  <c r="M2508" i="23"/>
  <c r="N2508" i="23" s="1"/>
  <c r="M2447" i="23"/>
  <c r="N2447" i="23" s="1"/>
  <c r="N2670" i="23"/>
  <c r="N2651" i="23"/>
  <c r="M2466" i="23"/>
  <c r="N2466" i="23" s="1"/>
  <c r="N2427" i="23"/>
  <c r="M2418" i="23"/>
  <c r="N2418" i="23" s="1"/>
  <c r="M2505" i="23"/>
  <c r="N2505" i="23" s="1"/>
  <c r="N2478" i="23"/>
  <c r="M2477" i="23"/>
  <c r="N2477" i="23" s="1"/>
  <c r="K2477" i="23"/>
  <c r="L2477" i="23" s="1"/>
  <c r="M2633" i="23"/>
  <c r="N2633" i="23" s="1"/>
  <c r="M2546" i="23"/>
  <c r="N2546" i="23" s="1"/>
  <c r="M2506" i="23"/>
  <c r="N2506" i="23" s="1"/>
  <c r="M2443" i="23"/>
  <c r="N2443" i="23" s="1"/>
  <c r="M2523" i="23"/>
  <c r="N2523" i="23" s="1"/>
  <c r="M2504" i="23"/>
  <c r="N2504" i="23" s="1"/>
  <c r="M2465" i="23"/>
  <c r="N2465" i="23" s="1"/>
  <c r="M2426" i="23"/>
  <c r="N2426" i="23" s="1"/>
  <c r="M2403" i="23"/>
  <c r="N2403" i="23" s="1"/>
  <c r="M2346" i="23"/>
  <c r="N2346" i="23" s="1"/>
  <c r="M2298" i="23"/>
  <c r="N2298" i="23" s="1"/>
  <c r="M2241" i="23"/>
  <c r="N2241" i="23" s="1"/>
  <c r="M2082" i="23"/>
  <c r="M2503" i="23"/>
  <c r="N2503" i="23" s="1"/>
  <c r="N2204" i="23"/>
  <c r="N2661" i="23"/>
  <c r="M2632" i="23"/>
  <c r="N2632" i="23" s="1"/>
  <c r="N2597" i="23"/>
  <c r="M2489" i="23"/>
  <c r="N2489" i="23" s="1"/>
  <c r="M2464" i="23"/>
  <c r="N2464" i="23" s="1"/>
  <c r="N2402" i="23"/>
  <c r="N2520" i="23"/>
  <c r="K2520" i="23"/>
  <c r="L2520" i="23" s="1"/>
  <c r="M2521" i="23"/>
  <c r="N2521" i="23" s="1"/>
  <c r="M2501" i="23"/>
  <c r="N2501" i="23" s="1"/>
  <c r="M2462" i="23"/>
  <c r="N2462" i="23" s="1"/>
  <c r="M2461" i="23"/>
  <c r="N2461" i="23" s="1"/>
  <c r="M2440" i="23"/>
  <c r="N2440" i="23" s="1"/>
  <c r="M2415" i="23"/>
  <c r="N2415" i="23" s="1"/>
  <c r="M2343" i="23"/>
  <c r="N2343" i="23" s="1"/>
  <c r="M2315" i="23"/>
  <c r="N2315" i="23" s="1"/>
  <c r="M2646" i="23"/>
  <c r="N2646" i="23" s="1"/>
  <c r="M2541" i="23"/>
  <c r="N2541" i="23" s="1"/>
  <c r="M2439" i="23"/>
  <c r="N2439" i="23" s="1"/>
  <c r="M2686" i="23"/>
  <c r="N2686" i="23" s="1"/>
  <c r="N2645" i="23"/>
  <c r="M2475" i="23"/>
  <c r="N2475" i="23" s="1"/>
  <c r="M2399" i="23"/>
  <c r="N2399" i="23" s="1"/>
  <c r="M2342" i="23"/>
  <c r="N2342" i="23" s="1"/>
  <c r="M2332" i="23"/>
  <c r="N2332" i="23" s="1"/>
  <c r="M2540" i="23"/>
  <c r="N2540" i="23" s="1"/>
  <c r="M2499" i="23"/>
  <c r="N2499" i="23" s="1"/>
  <c r="M2413" i="23"/>
  <c r="N2413" i="23" s="1"/>
  <c r="M2379" i="23"/>
  <c r="N2379" i="23" s="1"/>
  <c r="M2201" i="23"/>
  <c r="N2201" i="23" s="1"/>
  <c r="M2200" i="23"/>
  <c r="M2016" i="23"/>
  <c r="N2016" i="23" s="1"/>
  <c r="M2438" i="23"/>
  <c r="N2438" i="23" s="1"/>
  <c r="M2341" i="23"/>
  <c r="N2341" i="23" s="1"/>
  <c r="M2258" i="23"/>
  <c r="N2258" i="23" s="1"/>
  <c r="N2678" i="23"/>
  <c r="M2488" i="23"/>
  <c r="N2488" i="23" s="1"/>
  <c r="M2437" i="23"/>
  <c r="N2437" i="23" s="1"/>
  <c r="M2539" i="23"/>
  <c r="N2539" i="23" s="1"/>
  <c r="M2497" i="23"/>
  <c r="N2497" i="23" s="1"/>
  <c r="M2436" i="23"/>
  <c r="N2436" i="23" s="1"/>
  <c r="M2538" i="23"/>
  <c r="N2538" i="23" s="1"/>
  <c r="M2519" i="23"/>
  <c r="N2519" i="23" s="1"/>
  <c r="M2487" i="23"/>
  <c r="N2487" i="23" s="1"/>
  <c r="M2460" i="23"/>
  <c r="N2460" i="23" s="1"/>
  <c r="M2459" i="23"/>
  <c r="N2459" i="23" s="1"/>
  <c r="N2537" i="23"/>
  <c r="N2496" i="23"/>
  <c r="N2434" i="23"/>
  <c r="N2410" i="23"/>
  <c r="M2311" i="23"/>
  <c r="N2311" i="23" s="1"/>
  <c r="M2275" i="23"/>
  <c r="N2275" i="23" s="1"/>
  <c r="M2528" i="23"/>
  <c r="N2528" i="23" s="1"/>
  <c r="M2474" i="23"/>
  <c r="N2474" i="23" s="1"/>
  <c r="N2558" i="23"/>
  <c r="N2518" i="23"/>
  <c r="N2517" i="23"/>
  <c r="N2608" i="23"/>
  <c r="N2572" i="23"/>
  <c r="N2516" i="23"/>
  <c r="N2473" i="23"/>
  <c r="M2456" i="23"/>
  <c r="N2456" i="23" s="1"/>
  <c r="M2433" i="23"/>
  <c r="N2433" i="23" s="1"/>
  <c r="M2423" i="23"/>
  <c r="N2423" i="23" s="1"/>
  <c r="N2639" i="23"/>
  <c r="M2534" i="23"/>
  <c r="N2534" i="23" s="1"/>
  <c r="M2514" i="23"/>
  <c r="N2514" i="23" s="1"/>
  <c r="M2495" i="23"/>
  <c r="N2495" i="23" s="1"/>
  <c r="M2454" i="23"/>
  <c r="N2454" i="23" s="1"/>
  <c r="M2453" i="23"/>
  <c r="N2453" i="23" s="1"/>
  <c r="M2422" i="23"/>
  <c r="N2422" i="23" s="1"/>
  <c r="M2392" i="23"/>
  <c r="N2392" i="23" s="1"/>
  <c r="N2376" i="23"/>
  <c r="M2513" i="23"/>
  <c r="N2513" i="23" s="1"/>
  <c r="M2452" i="23"/>
  <c r="N2452" i="23" s="1"/>
  <c r="N2674" i="23"/>
  <c r="N2590" i="23"/>
  <c r="M2494" i="23"/>
  <c r="N2494" i="23" s="1"/>
  <c r="M2470" i="23"/>
  <c r="N2470" i="23" s="1"/>
  <c r="M2432" i="23"/>
  <c r="N2432" i="23" s="1"/>
  <c r="N2654" i="23"/>
  <c r="N2589" i="23"/>
  <c r="M2511" i="23"/>
  <c r="N2511" i="23" s="1"/>
  <c r="M2450" i="23"/>
  <c r="N2450" i="23" s="1"/>
  <c r="M2210" i="23"/>
  <c r="M2153" i="23"/>
  <c r="M2533" i="23"/>
  <c r="N2533" i="23" s="1"/>
  <c r="M2407" i="23"/>
  <c r="N2407" i="23" s="1"/>
  <c r="N2638" i="23"/>
  <c r="M2622" i="23"/>
  <c r="N2622" i="23" s="1"/>
  <c r="M2588" i="23"/>
  <c r="N2588" i="23" s="1"/>
  <c r="M2568" i="23"/>
  <c r="N2568" i="23" s="1"/>
  <c r="M2532" i="23"/>
  <c r="N2532" i="23" s="1"/>
  <c r="M2493" i="23"/>
  <c r="N2493" i="23" s="1"/>
  <c r="M2469" i="23"/>
  <c r="N2469" i="23" s="1"/>
  <c r="M2406" i="23"/>
  <c r="N2406" i="23" s="1"/>
  <c r="M2374" i="23"/>
  <c r="N2374" i="23" s="1"/>
  <c r="M2022" i="23"/>
  <c r="N2716" i="23"/>
  <c r="N2604" i="23"/>
  <c r="M2587" i="23"/>
  <c r="N2587" i="23" s="1"/>
  <c r="M2531" i="23"/>
  <c r="N2531" i="23" s="1"/>
  <c r="M2530" i="23"/>
  <c r="N2530" i="23" s="1"/>
  <c r="M2492" i="23"/>
  <c r="N2492" i="23" s="1"/>
  <c r="M2448" i="23"/>
  <c r="N2448" i="23" s="1"/>
  <c r="M2449" i="23"/>
  <c r="N2449" i="23" s="1"/>
  <c r="M2430" i="23"/>
  <c r="N2430" i="23" s="1"/>
  <c r="N2717" i="23"/>
  <c r="M2621" i="23"/>
  <c r="N2621" i="23" s="1"/>
  <c r="M2468" i="23"/>
  <c r="N2468" i="23" s="1"/>
  <c r="M2431" i="23"/>
  <c r="N2431" i="23" s="1"/>
  <c r="M2405" i="23"/>
  <c r="N2405" i="23" s="1"/>
  <c r="M2388" i="23"/>
  <c r="N2388" i="23" s="1"/>
  <c r="N2641" i="23"/>
  <c r="M2536" i="23"/>
  <c r="N2536" i="23" s="1"/>
  <c r="N2535" i="23"/>
  <c r="N2397" i="23"/>
  <c r="M1851" i="23"/>
  <c r="M524" i="23"/>
  <c r="N524" i="23" s="1"/>
  <c r="M236" i="23"/>
  <c r="N236" i="23" s="1"/>
  <c r="K2607" i="23"/>
  <c r="L2607" i="23" s="1"/>
  <c r="N2607" i="23"/>
  <c r="K2601" i="23"/>
  <c r="L2601" i="23" s="1"/>
  <c r="N2601" i="23"/>
  <c r="K2589" i="23"/>
  <c r="L2589" i="23" s="1"/>
  <c r="K2597" i="23"/>
  <c r="L2597" i="23" s="1"/>
  <c r="K2571" i="23"/>
  <c r="L2571" i="23" s="1"/>
  <c r="N2571" i="23"/>
  <c r="K2573" i="23"/>
  <c r="L2573" i="23" s="1"/>
  <c r="K2572" i="23"/>
  <c r="L2572" i="23" s="1"/>
  <c r="K2584" i="23"/>
  <c r="L2584" i="23" s="1"/>
  <c r="K2582" i="23"/>
  <c r="L2582" i="23" s="1"/>
  <c r="K2583" i="23"/>
  <c r="L2583" i="23" s="1"/>
  <c r="K2561" i="23"/>
  <c r="L2561" i="23" s="1"/>
  <c r="N2561" i="23"/>
  <c r="K2567" i="23"/>
  <c r="L2567" i="23" s="1"/>
  <c r="K2566" i="23"/>
  <c r="L2566" i="23" s="1"/>
  <c r="K2563" i="23"/>
  <c r="L2563" i="23" s="1"/>
  <c r="N2563" i="23"/>
  <c r="K2564" i="23"/>
  <c r="L2564" i="23" s="1"/>
  <c r="K2554" i="23"/>
  <c r="L2554" i="23" s="1"/>
  <c r="K2555" i="23"/>
  <c r="L2555" i="23" s="1"/>
  <c r="N2555" i="23"/>
  <c r="K2558" i="23"/>
  <c r="L2558" i="23" s="1"/>
  <c r="K2557" i="23"/>
  <c r="L2557" i="23" s="1"/>
  <c r="K2562" i="23"/>
  <c r="L2562" i="23" s="1"/>
  <c r="K2548" i="23"/>
  <c r="L2548" i="23" s="1"/>
  <c r="K2547" i="23"/>
  <c r="L2547" i="23" s="1"/>
  <c r="K2534" i="23"/>
  <c r="L2534" i="23" s="1"/>
  <c r="K2530" i="23"/>
  <c r="K2540" i="23"/>
  <c r="L2540" i="23" s="1"/>
  <c r="K2531" i="23"/>
  <c r="L2531" i="23" s="1"/>
  <c r="K2536" i="23"/>
  <c r="L2536" i="23" s="1"/>
  <c r="K2535" i="23"/>
  <c r="L2535" i="23" s="1"/>
  <c r="K2537" i="23"/>
  <c r="L2537" i="23" s="1"/>
  <c r="K2528" i="23"/>
  <c r="L2528" i="23" s="1"/>
  <c r="K2512" i="23"/>
  <c r="L2512" i="23" s="1"/>
  <c r="K2515" i="23"/>
  <c r="L2515" i="23" s="1"/>
  <c r="N2515" i="23"/>
  <c r="K2522" i="23"/>
  <c r="L2522" i="23" s="1"/>
  <c r="N2522" i="23"/>
  <c r="K2514" i="23"/>
  <c r="L2514" i="23" s="1"/>
  <c r="K2517" i="23"/>
  <c r="L2517" i="23" s="1"/>
  <c r="K2523" i="23"/>
  <c r="L2523" i="23" s="1"/>
  <c r="K2524" i="23"/>
  <c r="L2524" i="23" s="1"/>
  <c r="N2524" i="23"/>
  <c r="K2500" i="23"/>
  <c r="L2500" i="23" s="1"/>
  <c r="K2504" i="23"/>
  <c r="L2504" i="23" s="1"/>
  <c r="K2509" i="23"/>
  <c r="L2509" i="23" s="1"/>
  <c r="K2508" i="23"/>
  <c r="L2508" i="23" s="1"/>
  <c r="K2506" i="23"/>
  <c r="L2506" i="23" s="1"/>
  <c r="K2496" i="23"/>
  <c r="L2496" i="23" s="1"/>
  <c r="K2487" i="23"/>
  <c r="L2487" i="23" s="1"/>
  <c r="K2489" i="23"/>
  <c r="L2489" i="23" s="1"/>
  <c r="K2482" i="23"/>
  <c r="L2482" i="23" s="1"/>
  <c r="K2484" i="23"/>
  <c r="L2484" i="23" s="1"/>
  <c r="K2485" i="23"/>
  <c r="L2485" i="23" s="1"/>
  <c r="K2472" i="23"/>
  <c r="L2472" i="23" s="1"/>
  <c r="N2472" i="23"/>
  <c r="K2478" i="23"/>
  <c r="L2478" i="23" s="1"/>
  <c r="K2465" i="23"/>
  <c r="L2465" i="23" s="1"/>
  <c r="K2463" i="23"/>
  <c r="L2463" i="23" s="1"/>
  <c r="K2462" i="23"/>
  <c r="L2462" i="23" s="1"/>
  <c r="K2426" i="23"/>
  <c r="L2426" i="23" s="1"/>
  <c r="K2406" i="23"/>
  <c r="L2406" i="23" s="1"/>
  <c r="K2415" i="23"/>
  <c r="L2415" i="23" s="1"/>
  <c r="K2404" i="23"/>
  <c r="L2404" i="23" s="1"/>
  <c r="N2404" i="23"/>
  <c r="K2403" i="23"/>
  <c r="L2403" i="23" s="1"/>
  <c r="K2392" i="23"/>
  <c r="L2392" i="23" s="1"/>
  <c r="K2374" i="23"/>
  <c r="L2374" i="23" s="1"/>
  <c r="K2346" i="23"/>
  <c r="L2346" i="23" s="1"/>
  <c r="K2315" i="23"/>
  <c r="L2315" i="23" s="1"/>
  <c r="K2241" i="23"/>
  <c r="L2241" i="23" s="1"/>
  <c r="K2717" i="23"/>
  <c r="L2717" i="23" s="1"/>
  <c r="K2716" i="23"/>
  <c r="L2716" i="23" s="1"/>
  <c r="K2729" i="23"/>
  <c r="L2729" i="23" s="1"/>
  <c r="N2729" i="23"/>
  <c r="K2713" i="23"/>
  <c r="L2713" i="23" s="1"/>
  <c r="N2713" i="23"/>
  <c r="K2696" i="23"/>
  <c r="L2696" i="23" s="1"/>
  <c r="K2700" i="23"/>
  <c r="L2700" i="23" s="1"/>
  <c r="K2686" i="23"/>
  <c r="L2686" i="23" s="1"/>
  <c r="K2674" i="23"/>
  <c r="L2674" i="23" s="1"/>
  <c r="K2673" i="23"/>
  <c r="L2673" i="23" s="1"/>
  <c r="K2682" i="23"/>
  <c r="L2682" i="23" s="1"/>
  <c r="N2682" i="23"/>
  <c r="K2681" i="23"/>
  <c r="L2681" i="23" s="1"/>
  <c r="N2681" i="23"/>
  <c r="K2678" i="23"/>
  <c r="L2678" i="23" s="1"/>
  <c r="K2684" i="23"/>
  <c r="L2684" i="23" s="1"/>
  <c r="N2684" i="23"/>
  <c r="K2670" i="23"/>
  <c r="L2670" i="23" s="1"/>
  <c r="K2664" i="23"/>
  <c r="L2664" i="23" s="1"/>
  <c r="N2664" i="23"/>
  <c r="K2661" i="23"/>
  <c r="L2661" i="23" s="1"/>
  <c r="K2660" i="23"/>
  <c r="L2660" i="23" s="1"/>
  <c r="K2655" i="23"/>
  <c r="L2655" i="23" s="1"/>
  <c r="K2654" i="23"/>
  <c r="L2654" i="23" s="1"/>
  <c r="K2665" i="23"/>
  <c r="L2665" i="23" s="1"/>
  <c r="K2651" i="23"/>
  <c r="L2651" i="23" s="1"/>
  <c r="K2648" i="23"/>
  <c r="L2648" i="23" s="1"/>
  <c r="N2648" i="23"/>
  <c r="K2641" i="23"/>
  <c r="L2641" i="23" s="1"/>
  <c r="K2638" i="23"/>
  <c r="L2638" i="23" s="1"/>
  <c r="K2639" i="23"/>
  <c r="L2639" i="23" s="1"/>
  <c r="K2645" i="23"/>
  <c r="L2645" i="23" s="1"/>
  <c r="K2646" i="23"/>
  <c r="L2646" i="23" s="1"/>
  <c r="K2635" i="23"/>
  <c r="L2635" i="23" s="1"/>
  <c r="K2633" i="23"/>
  <c r="L2633" i="23" s="1"/>
  <c r="K2621" i="23"/>
  <c r="L2621" i="23" s="1"/>
  <c r="K2622" i="23"/>
  <c r="L2622" i="23" s="1"/>
  <c r="K2632" i="23"/>
  <c r="L2632" i="23" s="1"/>
  <c r="K2608" i="23"/>
  <c r="L2608" i="23" s="1"/>
  <c r="K2613" i="23"/>
  <c r="L2613" i="23" s="1"/>
  <c r="N2613" i="23"/>
  <c r="K2614" i="23"/>
  <c r="L2614" i="23" s="1"/>
  <c r="K2604" i="23"/>
  <c r="L2604" i="23" s="1"/>
  <c r="K2590" i="23"/>
  <c r="L2590" i="23" s="1"/>
  <c r="K2600" i="23"/>
  <c r="L2600" i="23" s="1"/>
  <c r="N2600" i="23"/>
  <c r="K2587" i="23"/>
  <c r="L2587" i="23" s="1"/>
  <c r="K2588" i="23"/>
  <c r="L2588" i="23" s="1"/>
  <c r="K2580" i="23"/>
  <c r="L2580" i="23" s="1"/>
  <c r="N2580" i="23"/>
  <c r="K2568" i="23"/>
  <c r="L2568" i="23" s="1"/>
  <c r="K2533" i="23"/>
  <c r="L2533" i="23" s="1"/>
  <c r="K2541" i="23"/>
  <c r="L2541" i="23" s="1"/>
  <c r="K2532" i="23"/>
  <c r="L2532" i="23" s="1"/>
  <c r="K2493" i="23"/>
  <c r="L2493" i="23" s="1"/>
  <c r="K2469" i="23"/>
  <c r="L2469" i="23" s="1"/>
  <c r="M2481" i="23"/>
  <c r="N2481" i="23" s="1"/>
  <c r="M2429" i="23"/>
  <c r="N2429" i="23" s="1"/>
  <c r="M2510" i="23"/>
  <c r="N2510" i="23" s="1"/>
  <c r="M2667" i="23"/>
  <c r="N2667" i="23" s="1"/>
  <c r="M2652" i="23"/>
  <c r="N2652" i="23" s="1"/>
  <c r="M2636" i="23"/>
  <c r="N2636" i="23" s="1"/>
  <c r="M2620" i="23"/>
  <c r="N2620" i="23" s="1"/>
  <c r="M2619" i="23"/>
  <c r="N2619" i="23" s="1"/>
  <c r="N2616" i="23"/>
  <c r="K2667" i="23"/>
  <c r="L2667" i="23" s="1"/>
  <c r="K2652" i="23"/>
  <c r="L2652" i="23" s="1"/>
  <c r="K2636" i="23"/>
  <c r="L2636" i="23" s="1"/>
  <c r="K2620" i="23"/>
  <c r="L2620" i="23" s="1"/>
  <c r="K2619" i="23"/>
  <c r="L2619" i="23" s="1"/>
  <c r="K2616" i="23"/>
  <c r="L2616" i="23" s="1"/>
  <c r="N2471" i="23"/>
  <c r="N2476" i="23"/>
  <c r="N2451" i="23"/>
  <c r="N2455" i="23"/>
  <c r="N2441" i="23"/>
  <c r="N2435" i="23"/>
  <c r="N2424" i="23"/>
  <c r="N2425" i="23"/>
  <c r="K2510" i="23"/>
  <c r="L2510" i="23" s="1"/>
  <c r="K2521" i="23"/>
  <c r="L2521" i="23" s="1"/>
  <c r="K2518" i="23"/>
  <c r="L2518" i="23" s="1"/>
  <c r="K2525" i="23"/>
  <c r="L2525" i="23" s="1"/>
  <c r="K2546" i="23"/>
  <c r="L2546" i="23" s="1"/>
  <c r="K2538" i="23"/>
  <c r="L2538" i="23" s="1"/>
  <c r="K2549" i="23"/>
  <c r="L2549" i="23" s="1"/>
  <c r="K2539" i="23"/>
  <c r="L2539" i="23" s="1"/>
  <c r="K2470" i="23"/>
  <c r="L2470" i="23" s="1"/>
  <c r="K2473" i="23"/>
  <c r="L2473" i="23" s="1"/>
  <c r="K2480" i="23"/>
  <c r="L2480" i="23" s="1"/>
  <c r="K2471" i="23"/>
  <c r="L2471" i="23" s="1"/>
  <c r="K2475" i="23"/>
  <c r="L2475" i="23" s="1"/>
  <c r="K2481" i="23"/>
  <c r="L2481" i="23" s="1"/>
  <c r="K2490" i="23"/>
  <c r="L2490" i="23" s="1"/>
  <c r="K2488" i="23"/>
  <c r="L2488" i="23" s="1"/>
  <c r="K2491" i="23"/>
  <c r="L2491" i="23" s="1"/>
  <c r="K2501" i="23"/>
  <c r="L2501" i="23" s="1"/>
  <c r="K2494" i="23"/>
  <c r="L2494" i="23" s="1"/>
  <c r="K2505" i="23"/>
  <c r="L2505" i="23" s="1"/>
  <c r="K2497" i="23"/>
  <c r="L2497" i="23" s="1"/>
  <c r="K2492" i="23"/>
  <c r="L2492" i="23" s="1"/>
  <c r="K2495" i="23"/>
  <c r="L2495" i="23" s="1"/>
  <c r="K2503" i="23"/>
  <c r="L2503" i="23" s="1"/>
  <c r="K2499" i="23"/>
  <c r="L2499" i="23" s="1"/>
  <c r="K2513" i="23"/>
  <c r="L2513" i="23" s="1"/>
  <c r="K2516" i="23"/>
  <c r="L2516" i="23" s="1"/>
  <c r="K2519" i="23"/>
  <c r="L2519" i="23" s="1"/>
  <c r="K2511" i="23"/>
  <c r="L2511" i="23" s="1"/>
  <c r="K2474" i="23"/>
  <c r="L2474" i="23" s="1"/>
  <c r="K2452" i="23"/>
  <c r="L2452" i="23" s="1"/>
  <c r="K2448" i="23"/>
  <c r="L2448" i="23" s="1"/>
  <c r="K2461" i="23"/>
  <c r="L2461" i="23" s="1"/>
  <c r="K2450" i="23"/>
  <c r="L2450" i="23" s="1"/>
  <c r="K2459" i="23"/>
  <c r="L2459" i="23" s="1"/>
  <c r="K2466" i="23"/>
  <c r="L2466" i="23" s="1"/>
  <c r="K2467" i="23"/>
  <c r="L2467" i="23" s="1"/>
  <c r="K2454" i="23"/>
  <c r="L2454" i="23" s="1"/>
  <c r="K2430" i="23"/>
  <c r="L2430" i="23" s="1"/>
  <c r="K2443" i="23"/>
  <c r="L2443" i="23" s="1"/>
  <c r="K2444" i="23"/>
  <c r="L2444" i="23" s="1"/>
  <c r="K2440" i="23"/>
  <c r="L2440" i="23" s="1"/>
  <c r="K2436" i="23"/>
  <c r="L2436" i="23" s="1"/>
  <c r="K2433" i="23"/>
  <c r="L2433" i="23" s="1"/>
  <c r="K2432" i="23"/>
  <c r="L2432" i="23" s="1"/>
  <c r="K2437" i="23"/>
  <c r="L2437" i="23" s="1"/>
  <c r="K2424" i="23"/>
  <c r="L2424" i="23" s="1"/>
  <c r="K2427" i="23"/>
  <c r="L2427" i="23" s="1"/>
  <c r="K2423" i="23"/>
  <c r="L2423" i="23" s="1"/>
  <c r="M31" i="23"/>
  <c r="M23" i="23"/>
  <c r="N23" i="23" s="1"/>
  <c r="M28" i="23"/>
  <c r="K2434" i="23"/>
  <c r="L2434" i="23" s="1"/>
  <c r="K2442" i="23"/>
  <c r="L2442" i="23" s="1"/>
  <c r="K2435" i="23"/>
  <c r="L2435" i="23" s="1"/>
  <c r="K2445" i="23"/>
  <c r="L2445" i="23" s="1"/>
  <c r="K2431" i="23"/>
  <c r="L2431" i="23" s="1"/>
  <c r="K2438" i="23"/>
  <c r="L2438" i="23" s="1"/>
  <c r="K2441" i="23"/>
  <c r="L2441" i="23" s="1"/>
  <c r="K2439" i="23"/>
  <c r="L2439" i="23" s="1"/>
  <c r="K2447" i="23"/>
  <c r="L2447" i="23" s="1"/>
  <c r="K2460" i="23"/>
  <c r="L2460" i="23" s="1"/>
  <c r="K2464" i="23"/>
  <c r="L2464" i="23" s="1"/>
  <c r="K2455" i="23"/>
  <c r="L2455" i="23" s="1"/>
  <c r="K2449" i="23"/>
  <c r="L2449" i="23" s="1"/>
  <c r="K2429" i="23"/>
  <c r="L2429" i="23" s="1"/>
  <c r="K2451" i="23"/>
  <c r="L2451" i="23" s="1"/>
  <c r="K2453" i="23"/>
  <c r="K2456" i="23"/>
  <c r="L2456" i="23" s="1"/>
  <c r="K2476" i="23"/>
  <c r="L2476" i="23" s="1"/>
  <c r="K2479" i="23"/>
  <c r="L2479" i="23" s="1"/>
  <c r="K2413" i="23"/>
  <c r="L2413" i="23" s="1"/>
  <c r="K2468" i="23"/>
  <c r="L2468" i="23" s="1"/>
  <c r="K2425" i="23"/>
  <c r="L2425" i="23" s="1"/>
  <c r="K2416" i="23"/>
  <c r="L2416" i="23" s="1"/>
  <c r="N2416" i="23"/>
  <c r="K2410" i="23"/>
  <c r="L2410" i="23" s="1"/>
  <c r="K2405" i="23"/>
  <c r="L2405" i="23" s="1"/>
  <c r="K2418" i="23"/>
  <c r="L2418" i="23" s="1"/>
  <c r="K2408" i="23"/>
  <c r="L2408" i="23" s="1"/>
  <c r="K2407" i="23"/>
  <c r="L2407" i="23" s="1"/>
  <c r="K2421" i="23"/>
  <c r="L2421" i="23" s="1"/>
  <c r="N2421" i="23"/>
  <c r="K2394" i="23"/>
  <c r="L2394" i="23" s="1"/>
  <c r="K2396" i="23"/>
  <c r="L2396" i="23" s="1"/>
  <c r="N2394" i="23"/>
  <c r="K2397" i="23"/>
  <c r="L2397" i="23" s="1"/>
  <c r="K2401" i="23"/>
  <c r="L2401" i="23" s="1"/>
  <c r="N2401" i="23"/>
  <c r="K2402" i="23"/>
  <c r="L2402" i="23" s="1"/>
  <c r="K2388" i="23"/>
  <c r="L2388" i="23" s="1"/>
  <c r="K2378" i="23"/>
  <c r="L2378" i="23" s="1"/>
  <c r="N2378" i="23"/>
  <c r="K2371" i="23"/>
  <c r="L2371" i="23" s="1"/>
  <c r="N2371" i="23"/>
  <c r="K2365" i="23"/>
  <c r="L2365" i="23" s="1"/>
  <c r="N2365" i="23"/>
  <c r="K2363" i="23"/>
  <c r="L2363" i="23" s="1"/>
  <c r="K2341" i="23"/>
  <c r="L2341" i="23" s="1"/>
  <c r="K2332" i="23"/>
  <c r="L2332" i="23" s="1"/>
  <c r="K2258" i="23"/>
  <c r="L2258" i="23" s="1"/>
  <c r="M2177" i="23"/>
  <c r="N2177" i="23" s="1"/>
  <c r="M2190" i="23"/>
  <c r="N2190" i="23" s="1"/>
  <c r="K2177" i="23"/>
  <c r="L2177" i="23" s="1"/>
  <c r="M248" i="23"/>
  <c r="M1899" i="23"/>
  <c r="N1899" i="23" s="1"/>
  <c r="M1914" i="23"/>
  <c r="K1899" i="23"/>
  <c r="L1899" i="23" s="1"/>
  <c r="M1383" i="23"/>
  <c r="M1373" i="23"/>
  <c r="N1373" i="23" s="1"/>
  <c r="K1373" i="23"/>
  <c r="L1373" i="23" s="1"/>
  <c r="M612" i="23"/>
  <c r="M539" i="23"/>
  <c r="M523" i="23"/>
  <c r="M2328" i="23"/>
  <c r="N2328" i="23" s="1"/>
  <c r="M1183" i="23"/>
  <c r="M1171" i="23"/>
  <c r="M1136" i="23"/>
  <c r="M1111" i="23"/>
  <c r="M1063" i="23"/>
  <c r="M1041" i="23"/>
  <c r="M1013" i="23"/>
  <c r="M986" i="23"/>
  <c r="M985" i="23"/>
  <c r="M970" i="23"/>
  <c r="M945" i="23"/>
  <c r="M944" i="23"/>
  <c r="M916" i="23"/>
  <c r="M899" i="23"/>
  <c r="M898" i="23"/>
  <c r="M825" i="23"/>
  <c r="M808" i="23"/>
  <c r="M1364" i="23"/>
  <c r="M1353" i="23"/>
  <c r="M1337" i="23"/>
  <c r="M1327" i="23"/>
  <c r="M1316" i="23"/>
  <c r="M1298" i="23"/>
  <c r="M1281" i="23"/>
  <c r="M1269" i="23"/>
  <c r="M1253" i="23"/>
  <c r="M1223" i="23"/>
  <c r="M1518" i="23"/>
  <c r="M1505" i="23"/>
  <c r="M1500" i="23"/>
  <c r="M1492" i="23"/>
  <c r="M1477" i="23"/>
  <c r="M1463" i="23"/>
  <c r="M1451" i="23"/>
  <c r="M1450" i="23"/>
  <c r="M1421" i="23"/>
  <c r="M1397" i="23"/>
  <c r="M1385" i="23"/>
  <c r="M1597" i="23"/>
  <c r="M415" i="23"/>
  <c r="M403" i="23"/>
  <c r="M177" i="23"/>
  <c r="M160" i="23"/>
  <c r="M46" i="23"/>
  <c r="M39" i="23"/>
  <c r="M37" i="23"/>
  <c r="N2207" i="23"/>
  <c r="M2191" i="23"/>
  <c r="N2191" i="23" s="1"/>
  <c r="N2229" i="23"/>
  <c r="M2147" i="23"/>
  <c r="N2147" i="23" s="1"/>
  <c r="M2085" i="23"/>
  <c r="N2085" i="23" s="1"/>
  <c r="K2191" i="23"/>
  <c r="L2191" i="23" s="1"/>
  <c r="M1543" i="23"/>
  <c r="N1543" i="23" s="1"/>
  <c r="M1579" i="23"/>
  <c r="N1579" i="23" s="1"/>
  <c r="M1588" i="23"/>
  <c r="N1588" i="23" s="1"/>
  <c r="M1622" i="23"/>
  <c r="N1622" i="23" s="1"/>
  <c r="M1659" i="23"/>
  <c r="N1659" i="23" s="1"/>
  <c r="M1676" i="23"/>
  <c r="N1676" i="23" s="1"/>
  <c r="M1704" i="23"/>
  <c r="N1704" i="23" s="1"/>
  <c r="M1723" i="23"/>
  <c r="N1723" i="23" s="1"/>
  <c r="M1807" i="23"/>
  <c r="N1807" i="23" s="1"/>
  <c r="M1841" i="23"/>
  <c r="N1841" i="23" s="1"/>
  <c r="M1907" i="23"/>
  <c r="N1907" i="23" s="1"/>
  <c r="M1972" i="23"/>
  <c r="N1972" i="23" s="1"/>
  <c r="M1504" i="23"/>
  <c r="N1504" i="23" s="1"/>
  <c r="M1496" i="23"/>
  <c r="N1496" i="23" s="1"/>
  <c r="K1496" i="23"/>
  <c r="L1496" i="23" s="1"/>
  <c r="K1504" i="23"/>
  <c r="L1504" i="23" s="1"/>
  <c r="K1543" i="23"/>
  <c r="L1543" i="23" s="1"/>
  <c r="K1579" i="23"/>
  <c r="L1579" i="23" s="1"/>
  <c r="K1588" i="23"/>
  <c r="L1588" i="23" s="1"/>
  <c r="K1622" i="23"/>
  <c r="L1622" i="23" s="1"/>
  <c r="K1659" i="23"/>
  <c r="L1659" i="23" s="1"/>
  <c r="K1676" i="23"/>
  <c r="L1676" i="23" s="1"/>
  <c r="K1704" i="23"/>
  <c r="L1704" i="23" s="1"/>
  <c r="K1723" i="23"/>
  <c r="L1723" i="23" s="1"/>
  <c r="K1807" i="23"/>
  <c r="L1807" i="23" s="1"/>
  <c r="K1907" i="23"/>
  <c r="L1907" i="23" s="1"/>
  <c r="K1841" i="23"/>
  <c r="L1841" i="23" s="1"/>
  <c r="K1972" i="23"/>
  <c r="L1972" i="23" s="1"/>
  <c r="M1481" i="23"/>
  <c r="N1481" i="23" s="1"/>
  <c r="M1527" i="23"/>
  <c r="N1527" i="23" s="1"/>
  <c r="K1527" i="23"/>
  <c r="L1527" i="23" s="1"/>
  <c r="N1394" i="23"/>
  <c r="N1392" i="23"/>
  <c r="N1393" i="23"/>
  <c r="N1287" i="23"/>
  <c r="N1264" i="23"/>
  <c r="M1294" i="23"/>
  <c r="N1294" i="23" s="1"/>
  <c r="M1334" i="23"/>
  <c r="N1334" i="23" s="1"/>
  <c r="M1043" i="23"/>
  <c r="N1043" i="23" s="1"/>
  <c r="M1079" i="23"/>
  <c r="N1079" i="23" s="1"/>
  <c r="K1043" i="23"/>
  <c r="L1043" i="23" s="1"/>
  <c r="M1036" i="23"/>
  <c r="N1036" i="23" s="1"/>
  <c r="M1033" i="23"/>
  <c r="N1033" i="23" s="1"/>
  <c r="K1033" i="23"/>
  <c r="L1033" i="23" s="1"/>
  <c r="M953" i="23"/>
  <c r="N953" i="23" s="1"/>
  <c r="M937" i="23"/>
  <c r="N937" i="23" s="1"/>
  <c r="K937" i="23"/>
  <c r="L937" i="23" s="1"/>
  <c r="M995" i="23"/>
  <c r="N995" i="23" s="1"/>
  <c r="K953" i="23"/>
  <c r="L953" i="23" s="1"/>
  <c r="M499" i="23"/>
  <c r="N499" i="23" s="1"/>
  <c r="M779" i="23"/>
  <c r="N779" i="23" s="1"/>
  <c r="M778" i="23"/>
  <c r="N778" i="23" s="1"/>
  <c r="K778" i="23"/>
  <c r="L778" i="23" s="1"/>
  <c r="M451" i="23"/>
  <c r="N451" i="23" s="1"/>
  <c r="M768" i="23"/>
  <c r="N768" i="23" s="1"/>
  <c r="M766" i="23"/>
  <c r="N766" i="23" s="1"/>
  <c r="M747" i="23"/>
  <c r="N747" i="23" s="1"/>
  <c r="M710" i="23"/>
  <c r="N710" i="23" s="1"/>
  <c r="M689" i="23"/>
  <c r="N689" i="23" s="1"/>
  <c r="M683" i="23"/>
  <c r="N683" i="23" s="1"/>
  <c r="M670" i="23"/>
  <c r="N670" i="23" s="1"/>
  <c r="M646" i="23"/>
  <c r="N646" i="23" s="1"/>
  <c r="M628" i="23"/>
  <c r="N628" i="23" s="1"/>
  <c r="M621" i="23"/>
  <c r="N621" i="23" s="1"/>
  <c r="M591" i="23"/>
  <c r="N591" i="23" s="1"/>
  <c r="M578" i="23"/>
  <c r="N578" i="23" s="1"/>
  <c r="M562" i="23"/>
  <c r="N562" i="23" s="1"/>
  <c r="M558" i="23"/>
  <c r="N558" i="23" s="1"/>
  <c r="M551" i="23"/>
  <c r="N551" i="23" s="1"/>
  <c r="M517" i="23"/>
  <c r="N517" i="23" s="1"/>
  <c r="K451" i="23"/>
  <c r="L451" i="23" s="1"/>
  <c r="K499" i="23"/>
  <c r="L499" i="23" s="1"/>
  <c r="K517" i="23"/>
  <c r="L517" i="23" s="1"/>
  <c r="K551" i="23"/>
  <c r="L551" i="23" s="1"/>
  <c r="K558" i="23"/>
  <c r="L558" i="23" s="1"/>
  <c r="K562" i="23"/>
  <c r="L562" i="23" s="1"/>
  <c r="K578" i="23"/>
  <c r="L578" i="23" s="1"/>
  <c r="K591" i="23"/>
  <c r="L591" i="23" s="1"/>
  <c r="K621" i="23"/>
  <c r="L621" i="23" s="1"/>
  <c r="K628" i="23"/>
  <c r="L628" i="23" s="1"/>
  <c r="K646" i="23"/>
  <c r="L646" i="23" s="1"/>
  <c r="K670" i="23"/>
  <c r="L670" i="23" s="1"/>
  <c r="K683" i="23"/>
  <c r="L683" i="23" s="1"/>
  <c r="K689" i="23"/>
  <c r="L689" i="23" s="1"/>
  <c r="K710" i="23"/>
  <c r="L710" i="23" s="1"/>
  <c r="K747" i="23"/>
  <c r="L747" i="23" s="1"/>
  <c r="K766" i="23"/>
  <c r="L766" i="23" s="1"/>
  <c r="K768" i="23"/>
  <c r="L768" i="23" s="1"/>
  <c r="M428" i="23"/>
  <c r="N428" i="23" s="1"/>
  <c r="M183" i="23"/>
  <c r="N183" i="23" s="1"/>
  <c r="M175" i="23"/>
  <c r="N175" i="23" s="1"/>
  <c r="M383" i="23"/>
  <c r="N383" i="23" s="1"/>
  <c r="M333" i="23"/>
  <c r="N333" i="23" s="1"/>
  <c r="M311" i="23"/>
  <c r="N311" i="23" s="1"/>
  <c r="M295" i="23"/>
  <c r="N295" i="23" s="1"/>
  <c r="M275" i="23"/>
  <c r="N275" i="23" s="1"/>
  <c r="M245" i="23"/>
  <c r="N245" i="23" s="1"/>
  <c r="M215" i="23"/>
  <c r="N215" i="23" s="1"/>
  <c r="K215" i="23"/>
  <c r="L215" i="23" s="1"/>
  <c r="K175" i="23"/>
  <c r="L175" i="23" s="1"/>
  <c r="K183" i="23"/>
  <c r="L183" i="23" s="1"/>
  <c r="K245" i="23"/>
  <c r="L245" i="23" s="1"/>
  <c r="K275" i="23"/>
  <c r="L275" i="23" s="1"/>
  <c r="K295" i="23"/>
  <c r="L295" i="23" s="1"/>
  <c r="K311" i="23"/>
  <c r="L311" i="23" s="1"/>
  <c r="K333" i="23"/>
  <c r="L333" i="23" s="1"/>
  <c r="K383" i="23"/>
  <c r="L383" i="23" s="1"/>
  <c r="M149" i="23"/>
  <c r="N149" i="23" s="1"/>
  <c r="M158" i="23"/>
  <c r="N158" i="23" s="1"/>
  <c r="K149" i="23"/>
  <c r="L149" i="23" s="1"/>
  <c r="M66" i="23"/>
  <c r="N66" i="23" s="1"/>
  <c r="M73" i="23"/>
  <c r="N73" i="23" s="1"/>
  <c r="K66" i="23"/>
  <c r="L66" i="23" s="1"/>
  <c r="M42" i="23"/>
  <c r="N42" i="23" s="1"/>
  <c r="M29" i="23"/>
  <c r="N29" i="23" s="1"/>
  <c r="K29" i="23"/>
  <c r="L29" i="23" s="1"/>
  <c r="M1992" i="23"/>
  <c r="N1992" i="23" s="1"/>
  <c r="M1983" i="23"/>
  <c r="N1983" i="23" s="1"/>
  <c r="K1983" i="23"/>
  <c r="L1983" i="23" s="1"/>
  <c r="M1964" i="23"/>
  <c r="N1964" i="23" s="1"/>
  <c r="K1964" i="23"/>
  <c r="L1964" i="23" s="1"/>
  <c r="M1913" i="23"/>
  <c r="N1913" i="23" s="1"/>
  <c r="M1938" i="23"/>
  <c r="N1938" i="23" s="1"/>
  <c r="K1913" i="23"/>
  <c r="L1913" i="23" s="1"/>
  <c r="M1866" i="23"/>
  <c r="N1866" i="23" s="1"/>
  <c r="M1785" i="23"/>
  <c r="N1785" i="23" s="1"/>
  <c r="M1719" i="23"/>
  <c r="N1719" i="23" s="1"/>
  <c r="M1691" i="23"/>
  <c r="N1691" i="23" s="1"/>
  <c r="M1667" i="23"/>
  <c r="N1667" i="23" s="1"/>
  <c r="M1647" i="23"/>
  <c r="N1647" i="23" s="1"/>
  <c r="M1627" i="23"/>
  <c r="N1627" i="23" s="1"/>
  <c r="M1596" i="23"/>
  <c r="N1596" i="23" s="1"/>
  <c r="M1573" i="23"/>
  <c r="N1573" i="23" s="1"/>
  <c r="M1533" i="23"/>
  <c r="N1533" i="23" s="1"/>
  <c r="K1573" i="23"/>
  <c r="L1573" i="23" s="1"/>
  <c r="K1596" i="23"/>
  <c r="L1596" i="23" s="1"/>
  <c r="K1533" i="23"/>
  <c r="L1533" i="23" s="1"/>
  <c r="K1627" i="23"/>
  <c r="L1627" i="23" s="1"/>
  <c r="K1647" i="23"/>
  <c r="L1647" i="23" s="1"/>
  <c r="K1667" i="23"/>
  <c r="L1667" i="23" s="1"/>
  <c r="K1691" i="23"/>
  <c r="L1691" i="23" s="1"/>
  <c r="K1719" i="23"/>
  <c r="L1719" i="23" s="1"/>
  <c r="K1785" i="23"/>
  <c r="L1785" i="23" s="1"/>
  <c r="M1420" i="23"/>
  <c r="M1413" i="23"/>
  <c r="N1413" i="23" s="1"/>
  <c r="M1412" i="23"/>
  <c r="M1375" i="23"/>
  <c r="N1375" i="23" s="1"/>
  <c r="M1361" i="23"/>
  <c r="M1274" i="23"/>
  <c r="N1274" i="23" s="1"/>
  <c r="K1413" i="23"/>
  <c r="L1413" i="23" s="1"/>
  <c r="K1375" i="23"/>
  <c r="L1375" i="23" s="1"/>
  <c r="K1274" i="23"/>
  <c r="L1274" i="23" s="1"/>
  <c r="M1071" i="23"/>
  <c r="N1071" i="23" s="1"/>
  <c r="M1083" i="23"/>
  <c r="N1083" i="23" s="1"/>
  <c r="M1012" i="23"/>
  <c r="N1012" i="23" s="1"/>
  <c r="M1037" i="23"/>
  <c r="N1037" i="23" s="1"/>
  <c r="M1040" i="23"/>
  <c r="K1012" i="23"/>
  <c r="L1012" i="23" s="1"/>
  <c r="K1037" i="23"/>
  <c r="L1037" i="23" s="1"/>
  <c r="M859" i="23"/>
  <c r="M848" i="23"/>
  <c r="N848" i="23" s="1"/>
  <c r="K848" i="23"/>
  <c r="L848" i="23" s="1"/>
  <c r="M868" i="23"/>
  <c r="M836" i="23"/>
  <c r="M686" i="23"/>
  <c r="M656" i="23"/>
  <c r="M655" i="23"/>
  <c r="N655" i="23" s="1"/>
  <c r="K655" i="23"/>
  <c r="L655" i="23" s="1"/>
  <c r="M631" i="23"/>
  <c r="N631" i="23" s="1"/>
  <c r="M630" i="23"/>
  <c r="K631" i="23"/>
  <c r="L631" i="23" s="1"/>
  <c r="M627" i="23"/>
  <c r="N627" i="23" s="1"/>
  <c r="M611" i="23"/>
  <c r="N611" i="23" s="1"/>
  <c r="K611" i="23"/>
  <c r="L611" i="23" s="1"/>
  <c r="K627" i="23"/>
  <c r="L627" i="23" s="1"/>
  <c r="M582" i="23"/>
  <c r="M574" i="23"/>
  <c r="N574" i="23" s="1"/>
  <c r="M567" i="23"/>
  <c r="K574" i="23"/>
  <c r="L574" i="23" s="1"/>
  <c r="M553" i="23"/>
  <c r="N553" i="23" s="1"/>
  <c r="K553" i="23"/>
  <c r="L553" i="23" s="1"/>
  <c r="M521" i="23"/>
  <c r="M501" i="23"/>
  <c r="N501" i="23" s="1"/>
  <c r="K501" i="23"/>
  <c r="L501" i="23" s="1"/>
  <c r="M489" i="23"/>
  <c r="M470" i="23"/>
  <c r="N470" i="23" s="1"/>
  <c r="K470" i="23"/>
  <c r="L470" i="23" s="1"/>
  <c r="M300" i="23"/>
  <c r="M290" i="23"/>
  <c r="N290" i="23" s="1"/>
  <c r="K290" i="23"/>
  <c r="L290" i="23" s="1"/>
  <c r="M2276" i="23"/>
  <c r="N2276" i="23" s="1"/>
  <c r="M2284" i="23"/>
  <c r="N2284" i="23" s="1"/>
  <c r="K2276" i="23"/>
  <c r="L2276" i="23" s="1"/>
  <c r="M2314" i="23"/>
  <c r="N2314" i="23" s="1"/>
  <c r="K2284" i="23"/>
  <c r="L2284" i="23" s="1"/>
  <c r="M2331" i="23"/>
  <c r="N2331" i="23" s="1"/>
  <c r="K2016" i="23"/>
  <c r="L2016" i="23" s="1"/>
  <c r="M2268" i="23"/>
  <c r="N2268" i="23" s="1"/>
  <c r="K2268" i="23"/>
  <c r="L2268" i="23" s="1"/>
  <c r="M2139" i="23"/>
  <c r="N2139" i="23" s="1"/>
  <c r="K2139" i="23"/>
  <c r="L2139" i="23" s="1"/>
  <c r="M1957" i="23"/>
  <c r="M387" i="23"/>
  <c r="M696" i="23"/>
  <c r="M2384" i="23"/>
  <c r="N2384" i="23" s="1"/>
  <c r="M2369" i="23"/>
  <c r="N2369" i="23" s="1"/>
  <c r="M2349" i="23"/>
  <c r="N2349" i="23" s="1"/>
  <c r="M2335" i="23"/>
  <c r="N2335" i="23" s="1"/>
  <c r="M2269" i="23"/>
  <c r="N2269" i="23" s="1"/>
  <c r="M2244" i="23"/>
  <c r="N2244" i="23" s="1"/>
  <c r="M1482" i="23"/>
  <c r="N1482" i="23" s="1"/>
  <c r="M1212" i="23"/>
  <c r="N1212" i="23" s="1"/>
  <c r="M1211" i="23"/>
  <c r="N1211" i="23" s="1"/>
  <c r="M1179" i="23"/>
  <c r="N1179" i="23" s="1"/>
  <c r="M1147" i="23"/>
  <c r="N1147" i="23" s="1"/>
  <c r="M1018" i="23"/>
  <c r="N1018" i="23" s="1"/>
  <c r="M913" i="23"/>
  <c r="N913" i="23" s="1"/>
  <c r="M891" i="23"/>
  <c r="N891" i="23" s="1"/>
  <c r="M871" i="23"/>
  <c r="N871" i="23" s="1"/>
  <c r="M874" i="23"/>
  <c r="N874" i="23" s="1"/>
  <c r="M870" i="23"/>
  <c r="N870" i="23" s="1"/>
  <c r="M865" i="23"/>
  <c r="N865" i="23" s="1"/>
  <c r="M790" i="23"/>
  <c r="N790" i="23" s="1"/>
  <c r="M148" i="23"/>
  <c r="N148" i="23" s="1"/>
  <c r="M95" i="23"/>
  <c r="N95" i="23" s="1"/>
  <c r="M2106" i="23"/>
  <c r="N2106" i="23" s="1"/>
  <c r="M1656" i="23"/>
  <c r="N1656" i="23" s="1"/>
  <c r="M1584" i="23"/>
  <c r="N1584" i="23" s="1"/>
  <c r="M1806" i="23"/>
  <c r="N1806" i="23" s="1"/>
  <c r="M1738" i="23"/>
  <c r="N1738" i="23" s="1"/>
  <c r="M1703" i="23"/>
  <c r="N1703" i="23" s="1"/>
  <c r="M1675" i="23"/>
  <c r="N1675" i="23" s="1"/>
  <c r="K1656" i="23"/>
  <c r="L1656" i="23" s="1"/>
  <c r="K1703" i="23"/>
  <c r="L1703" i="23" s="1"/>
  <c r="K1675" i="23"/>
  <c r="L1675" i="23" s="1"/>
  <c r="K1738" i="23"/>
  <c r="L1738" i="23" s="1"/>
  <c r="K1806" i="23"/>
  <c r="L1806" i="23" s="1"/>
  <c r="K1584" i="23"/>
  <c r="L1584" i="23" s="1"/>
  <c r="M1564" i="23"/>
  <c r="M1442" i="23"/>
  <c r="N1442" i="23" s="1"/>
  <c r="K1442" i="23"/>
  <c r="L1442" i="23" s="1"/>
  <c r="M2243" i="23"/>
  <c r="N2243" i="23" s="1"/>
  <c r="M1401" i="23"/>
  <c r="M1330" i="23"/>
  <c r="M1293" i="23"/>
  <c r="M1261" i="23"/>
  <c r="M1196" i="23"/>
  <c r="K2095" i="23"/>
  <c r="L2095" i="23" s="1"/>
  <c r="K2017" i="23"/>
  <c r="L2017" i="23" s="1"/>
  <c r="K2002" i="23"/>
  <c r="L2002" i="23" s="1"/>
  <c r="K1984" i="23"/>
  <c r="L1984" i="23" s="1"/>
  <c r="K1977" i="23"/>
  <c r="L1977" i="23" s="1"/>
  <c r="K1970" i="23"/>
  <c r="L1970" i="23" s="1"/>
  <c r="K1856" i="23"/>
  <c r="L1856" i="23" s="1"/>
  <c r="M1970" i="23"/>
  <c r="N1970" i="23" s="1"/>
  <c r="M1856" i="23"/>
  <c r="N1856" i="23" s="1"/>
  <c r="M2017" i="23"/>
  <c r="N2017" i="23" s="1"/>
  <c r="M2095" i="23"/>
  <c r="N2095" i="23" s="1"/>
  <c r="M2002" i="23"/>
  <c r="N2002" i="23" s="1"/>
  <c r="M1984" i="23"/>
  <c r="N1984" i="23" s="1"/>
  <c r="M1977" i="23"/>
  <c r="N1977" i="23" s="1"/>
  <c r="M267" i="23"/>
  <c r="N267" i="23" s="1"/>
  <c r="M256" i="23"/>
  <c r="N256" i="23" s="1"/>
  <c r="K256" i="23"/>
  <c r="L256" i="23" s="1"/>
  <c r="M304" i="23"/>
  <c r="M244" i="23"/>
  <c r="N244" i="23" s="1"/>
  <c r="K244" i="23"/>
  <c r="L244" i="23" s="1"/>
  <c r="K267" i="23"/>
  <c r="L267" i="23" s="1"/>
  <c r="M2118" i="23"/>
  <c r="N2118" i="23" s="1"/>
  <c r="M2105" i="23"/>
  <c r="N2105" i="23" s="1"/>
  <c r="M798" i="23"/>
  <c r="M396" i="23"/>
  <c r="M395" i="23"/>
  <c r="M356" i="23"/>
  <c r="M343" i="23"/>
  <c r="M239" i="23"/>
  <c r="M173" i="23"/>
  <c r="N173" i="23" s="1"/>
  <c r="K173" i="23"/>
  <c r="L173" i="23" s="1"/>
  <c r="M145" i="23"/>
  <c r="M105" i="23"/>
  <c r="N105" i="23" s="1"/>
  <c r="K105" i="23"/>
  <c r="L105" i="23" s="1"/>
  <c r="M72" i="23"/>
  <c r="N72" i="23" s="1"/>
  <c r="K72" i="23"/>
  <c r="L72" i="23" s="1"/>
  <c r="M2175" i="23"/>
  <c r="N2175" i="23" s="1"/>
  <c r="M156" i="23"/>
  <c r="M146" i="23"/>
  <c r="M1226" i="23"/>
  <c r="M1027" i="23"/>
  <c r="M838" i="23"/>
  <c r="M741" i="23"/>
  <c r="M2357" i="23"/>
  <c r="N2357" i="23" s="1"/>
  <c r="M2280" i="23"/>
  <c r="N2280" i="23" s="1"/>
  <c r="M2112" i="23"/>
  <c r="N2112" i="23" s="1"/>
  <c r="M2073" i="23"/>
  <c r="N2073" i="23" s="1"/>
  <c r="M1898" i="23"/>
  <c r="N1898" i="23" s="1"/>
  <c r="M1517" i="23"/>
  <c r="N1517" i="23" s="1"/>
  <c r="M1516" i="23"/>
  <c r="M1462" i="23"/>
  <c r="M1222" i="23"/>
  <c r="M1189" i="23"/>
  <c r="M1093" i="23"/>
  <c r="N1093" i="23" s="1"/>
  <c r="M1062" i="23"/>
  <c r="M1044" i="23"/>
  <c r="M984" i="23"/>
  <c r="M983" i="23"/>
  <c r="M955" i="23"/>
  <c r="M943" i="23"/>
  <c r="M915" i="23"/>
  <c r="M897" i="23"/>
  <c r="M896" i="23"/>
  <c r="M895" i="23"/>
  <c r="M877" i="23"/>
  <c r="M873" i="23"/>
  <c r="M815" i="23"/>
  <c r="M807" i="23"/>
  <c r="M785" i="23"/>
  <c r="M770" i="23"/>
  <c r="M762" i="23"/>
  <c r="M739" i="23"/>
  <c r="M715" i="23"/>
  <c r="M700" i="23"/>
  <c r="M498" i="23"/>
  <c r="M446" i="23"/>
  <c r="M78" i="23"/>
  <c r="M77" i="23"/>
  <c r="M25" i="23"/>
  <c r="M2133" i="23"/>
  <c r="N2133" i="23" s="1"/>
  <c r="M2011" i="23"/>
  <c r="N2011" i="23" s="1"/>
  <c r="K2011" i="23"/>
  <c r="L2011" i="23" s="1"/>
  <c r="M1952" i="23"/>
  <c r="N1952" i="23" s="1"/>
  <c r="M1878" i="23"/>
  <c r="N1878" i="23" s="1"/>
  <c r="K1878" i="23"/>
  <c r="L1878" i="23" s="1"/>
  <c r="M1613" i="23"/>
  <c r="N1613" i="23" s="1"/>
  <c r="M1580" i="23"/>
  <c r="N1580" i="23" s="1"/>
  <c r="M1491" i="23"/>
  <c r="N1491" i="23" s="1"/>
  <c r="K1491" i="23"/>
  <c r="L1491" i="23" s="1"/>
  <c r="K1580" i="23"/>
  <c r="L1580" i="23" s="1"/>
  <c r="M1832" i="23"/>
  <c r="N1832" i="23" s="1"/>
  <c r="K1613" i="23"/>
  <c r="L1613" i="23" s="1"/>
  <c r="K1832" i="23"/>
  <c r="L1832" i="23" s="1"/>
  <c r="M1169" i="23"/>
  <c r="M1155" i="23"/>
  <c r="N1155" i="23" s="1"/>
  <c r="K1155" i="23"/>
  <c r="L1155" i="23" s="1"/>
  <c r="M1120" i="23"/>
  <c r="M1039" i="23"/>
  <c r="N1039" i="23" s="1"/>
  <c r="K1039" i="23"/>
  <c r="L1039" i="23" s="1"/>
  <c r="M969" i="23"/>
  <c r="M894" i="23"/>
  <c r="N894" i="23" s="1"/>
  <c r="K894" i="23"/>
  <c r="L894" i="23" s="1"/>
  <c r="M823" i="23"/>
  <c r="N823" i="23" s="1"/>
  <c r="M858" i="23"/>
  <c r="K823" i="23"/>
  <c r="L823" i="23" s="1"/>
  <c r="M469" i="23"/>
  <c r="M407" i="23"/>
  <c r="N407" i="23" s="1"/>
  <c r="K407" i="23"/>
  <c r="L407" i="23" s="1"/>
  <c r="M360" i="23"/>
  <c r="M204" i="23"/>
  <c r="N204" i="23" s="1"/>
  <c r="K204" i="23"/>
  <c r="L204" i="23" s="1"/>
  <c r="M128" i="23"/>
  <c r="M70" i="23"/>
  <c r="N70" i="23" s="1"/>
  <c r="K70" i="23"/>
  <c r="L70" i="23" s="1"/>
  <c r="M2289" i="23"/>
  <c r="N2289" i="23" s="1"/>
  <c r="M1460" i="23"/>
  <c r="M1347" i="23"/>
  <c r="M1268" i="23"/>
  <c r="M806" i="23"/>
  <c r="M759" i="23"/>
  <c r="M758" i="23"/>
  <c r="M673" i="23"/>
  <c r="M606" i="23"/>
  <c r="M497" i="23"/>
  <c r="M2385" i="23"/>
  <c r="N2385" i="23" s="1"/>
  <c r="M2351" i="23"/>
  <c r="N2351" i="23" s="1"/>
  <c r="M2304" i="23"/>
  <c r="N2304" i="23" s="1"/>
  <c r="N2279" i="23"/>
  <c r="M2263" i="23"/>
  <c r="N2263" i="23" s="1"/>
  <c r="M2247" i="23"/>
  <c r="N2247" i="23" s="1"/>
  <c r="M2209" i="23"/>
  <c r="N2209" i="23" s="1"/>
  <c r="M2420" i="23"/>
  <c r="N2420" i="23" s="1"/>
  <c r="N2383" i="23"/>
  <c r="M2334" i="23"/>
  <c r="N2334" i="23" s="1"/>
  <c r="M2303" i="23"/>
  <c r="N2303" i="23" s="1"/>
  <c r="M2262" i="23"/>
  <c r="N2262" i="23" s="1"/>
  <c r="M2206" i="23"/>
  <c r="N2206" i="23" s="1"/>
  <c r="M2381" i="23"/>
  <c r="N2381" i="23" s="1"/>
  <c r="M2367" i="23"/>
  <c r="N2367" i="23" s="1"/>
  <c r="M2348" i="23"/>
  <c r="N2348" i="23" s="1"/>
  <c r="M2317" i="23"/>
  <c r="N2317" i="23" s="1"/>
  <c r="M2302" i="23"/>
  <c r="N2302" i="23" s="1"/>
  <c r="M2301" i="23"/>
  <c r="N2301" i="23" s="1"/>
  <c r="M2261" i="23"/>
  <c r="N2261" i="23" s="1"/>
  <c r="M2205" i="23"/>
  <c r="N2205" i="23" s="1"/>
  <c r="M2189" i="23"/>
  <c r="N2189" i="23" s="1"/>
  <c r="M2417" i="23"/>
  <c r="N2417" i="23" s="1"/>
  <c r="M2380" i="23"/>
  <c r="N2380" i="23" s="1"/>
  <c r="N2347" i="23"/>
  <c r="M2299" i="23"/>
  <c r="N2299" i="23" s="1"/>
  <c r="M2242" i="23"/>
  <c r="N2242" i="23" s="1"/>
  <c r="M2240" i="23"/>
  <c r="N2240" i="23" s="1"/>
  <c r="N2366" i="23"/>
  <c r="M2345" i="23"/>
  <c r="N2345" i="23" s="1"/>
  <c r="N2316" i="23"/>
  <c r="M2203" i="23"/>
  <c r="N2203" i="23" s="1"/>
  <c r="M2187" i="23"/>
  <c r="N2187" i="23" s="1"/>
  <c r="M2414" i="23"/>
  <c r="N2414" i="23" s="1"/>
  <c r="M2400" i="23"/>
  <c r="N2400" i="23" s="1"/>
  <c r="M2297" i="23"/>
  <c r="N2297" i="23" s="1"/>
  <c r="M2278" i="23"/>
  <c r="N2278" i="23" s="1"/>
  <c r="M2277" i="23"/>
  <c r="N2277" i="23" s="1"/>
  <c r="M2259" i="23"/>
  <c r="N2259" i="23" s="1"/>
  <c r="M2238" i="23"/>
  <c r="N2238" i="23" s="1"/>
  <c r="M2228" i="23"/>
  <c r="N2228" i="23" s="1"/>
  <c r="M2186" i="23"/>
  <c r="N2186" i="23" s="1"/>
  <c r="M2364" i="23"/>
  <c r="N2364" i="23" s="1"/>
  <c r="M2296" i="23"/>
  <c r="N2296" i="23" s="1"/>
  <c r="M2412" i="23"/>
  <c r="N2412" i="23" s="1"/>
  <c r="M2362" i="23"/>
  <c r="N2362" i="23" s="1"/>
  <c r="M2330" i="23"/>
  <c r="N2330" i="23" s="1"/>
  <c r="M2313" i="23"/>
  <c r="N2313" i="23" s="1"/>
  <c r="M2295" i="23"/>
  <c r="N2295" i="23" s="1"/>
  <c r="M2257" i="23"/>
  <c r="N2257" i="23" s="1"/>
  <c r="M2225" i="23"/>
  <c r="N2225" i="23" s="1"/>
  <c r="M2411" i="23"/>
  <c r="N2411" i="23" s="1"/>
  <c r="M2361" i="23"/>
  <c r="N2361" i="23" s="1"/>
  <c r="N2312" i="23"/>
  <c r="M2224" i="23"/>
  <c r="N2224" i="23" s="1"/>
  <c r="M2183" i="23"/>
  <c r="N2183" i="23" s="1"/>
  <c r="M2293" i="23"/>
  <c r="N2293" i="23" s="1"/>
  <c r="M2398" i="23"/>
  <c r="N2398" i="23" s="1"/>
  <c r="M2340" i="23"/>
  <c r="N2340" i="23" s="1"/>
  <c r="M2310" i="23"/>
  <c r="N2310" i="23" s="1"/>
  <c r="N2329" i="23"/>
  <c r="N2359" i="23"/>
  <c r="M2395" i="23"/>
  <c r="N2395" i="23" s="1"/>
  <c r="M2307" i="23"/>
  <c r="N2307" i="23" s="1"/>
  <c r="M2292" i="23"/>
  <c r="N2292" i="23" s="1"/>
  <c r="M2274" i="23"/>
  <c r="N2274" i="23" s="1"/>
  <c r="M2235" i="23"/>
  <c r="N2235" i="23" s="1"/>
  <c r="M2393" i="23"/>
  <c r="N2393" i="23" s="1"/>
  <c r="M2327" i="23"/>
  <c r="N2327" i="23" s="1"/>
  <c r="M2326" i="23"/>
  <c r="N2326" i="23" s="1"/>
  <c r="M2324" i="23"/>
  <c r="N2324" i="23" s="1"/>
  <c r="M2264" i="23"/>
  <c r="N2264" i="23" s="1"/>
  <c r="M2391" i="23"/>
  <c r="N2391" i="23" s="1"/>
  <c r="M2339" i="23"/>
  <c r="N2339" i="23" s="1"/>
  <c r="M2290" i="23"/>
  <c r="N2290" i="23" s="1"/>
  <c r="M2409" i="23"/>
  <c r="N2409" i="23" s="1"/>
  <c r="M2390" i="23"/>
  <c r="N2390" i="23" s="1"/>
  <c r="M2356" i="23"/>
  <c r="N2356" i="23" s="1"/>
  <c r="M2338" i="23"/>
  <c r="N2338" i="23" s="1"/>
  <c r="M2306" i="23"/>
  <c r="N2306" i="23" s="1"/>
  <c r="M2288" i="23"/>
  <c r="N2288" i="23" s="1"/>
  <c r="M2389" i="23"/>
  <c r="N2389" i="23" s="1"/>
  <c r="M2370" i="23"/>
  <c r="N2370" i="23" s="1"/>
  <c r="M2322" i="23"/>
  <c r="N2322" i="23" s="1"/>
  <c r="M2287" i="23"/>
  <c r="N2287" i="23" s="1"/>
  <c r="M2387" i="23"/>
  <c r="N2387" i="23" s="1"/>
  <c r="M2373" i="23"/>
  <c r="N2373" i="23" s="1"/>
  <c r="M2355" i="23"/>
  <c r="N2355" i="23" s="1"/>
  <c r="M2354" i="23"/>
  <c r="N2354" i="23" s="1"/>
  <c r="M2336" i="23"/>
  <c r="N2336" i="23" s="1"/>
  <c r="M2319" i="23"/>
  <c r="N2319" i="23" s="1"/>
  <c r="M2286" i="23"/>
  <c r="N2286" i="23" s="1"/>
  <c r="M2285" i="23"/>
  <c r="N2285" i="23" s="1"/>
  <c r="M2386" i="23"/>
  <c r="N2386" i="23" s="1"/>
  <c r="M2353" i="23"/>
  <c r="N2353" i="23" s="1"/>
  <c r="M2318" i="23"/>
  <c r="N2318" i="23" s="1"/>
  <c r="K2395" i="23"/>
  <c r="L2395" i="23" s="1"/>
  <c r="K2391" i="23"/>
  <c r="L2391" i="23" s="1"/>
  <c r="K2400" i="23"/>
  <c r="L2400" i="23" s="1"/>
  <c r="K2387" i="23"/>
  <c r="L2387" i="23" s="1"/>
  <c r="K2390" i="23"/>
  <c r="L2390" i="23" s="1"/>
  <c r="K2386" i="23"/>
  <c r="L2386" i="23" s="1"/>
  <c r="K2389" i="23"/>
  <c r="L2389" i="23" s="1"/>
  <c r="K2398" i="23"/>
  <c r="L2398" i="23" s="1"/>
  <c r="K2399" i="23"/>
  <c r="L2399" i="23" s="1"/>
  <c r="K2393" i="23"/>
  <c r="L2393" i="23" s="1"/>
  <c r="K2414" i="23"/>
  <c r="L2414" i="23" s="1"/>
  <c r="K2411" i="23"/>
  <c r="L2411" i="23" s="1"/>
  <c r="K2412" i="23"/>
  <c r="L2412" i="23" s="1"/>
  <c r="K2417" i="23"/>
  <c r="L2417" i="23" s="1"/>
  <c r="K2420" i="23"/>
  <c r="L2420" i="23" s="1"/>
  <c r="K2422" i="23"/>
  <c r="L2422" i="23" s="1"/>
  <c r="K2409" i="23"/>
  <c r="L2409" i="23" s="1"/>
  <c r="K2380" i="23"/>
  <c r="L2380" i="23" s="1"/>
  <c r="K2383" i="23"/>
  <c r="L2383" i="23" s="1"/>
  <c r="K2381" i="23"/>
  <c r="L2381" i="23" s="1"/>
  <c r="K2376" i="23"/>
  <c r="L2376" i="23" s="1"/>
  <c r="K2385" i="23"/>
  <c r="L2385" i="23" s="1"/>
  <c r="K2370" i="23"/>
  <c r="L2370" i="23" s="1"/>
  <c r="K2367" i="23"/>
  <c r="L2367" i="23" s="1"/>
  <c r="K2362" i="23"/>
  <c r="L2362" i="23" s="1"/>
  <c r="K2353" i="23"/>
  <c r="L2353" i="23" s="1"/>
  <c r="K2364" i="23"/>
  <c r="L2364" i="23" s="1"/>
  <c r="K2359" i="23"/>
  <c r="L2359" i="23" s="1"/>
  <c r="K2366" i="23"/>
  <c r="L2366" i="23" s="1"/>
  <c r="K2354" i="23"/>
  <c r="L2354" i="23" s="1"/>
  <c r="K2361" i="23"/>
  <c r="L2361" i="23" s="1"/>
  <c r="K2356" i="23"/>
  <c r="L2356" i="23" s="1"/>
  <c r="K2339" i="23"/>
  <c r="L2339" i="23" s="1"/>
  <c r="K2351" i="23"/>
  <c r="L2351" i="23" s="1"/>
  <c r="K2348" i="23"/>
  <c r="L2348" i="23" s="1"/>
  <c r="K2336" i="23"/>
  <c r="L2336" i="23" s="1"/>
  <c r="K2338" i="23"/>
  <c r="L2338" i="23" s="1"/>
  <c r="K2343" i="23"/>
  <c r="L2343" i="23" s="1"/>
  <c r="K2342" i="23"/>
  <c r="L2342" i="23" s="1"/>
  <c r="K2340" i="23"/>
  <c r="L2340" i="23" s="1"/>
  <c r="K2352" i="23"/>
  <c r="L2352" i="23" s="1"/>
  <c r="N2352" i="23"/>
  <c r="K2347" i="23"/>
  <c r="L2347" i="23" s="1"/>
  <c r="K2318" i="23"/>
  <c r="L2318" i="23" s="1"/>
  <c r="K2319" i="23"/>
  <c r="L2319" i="23" s="1"/>
  <c r="K2334" i="23"/>
  <c r="L2334" i="23" s="1"/>
  <c r="K2326" i="23"/>
  <c r="L2326" i="23" s="1"/>
  <c r="K2322" i="23"/>
  <c r="L2322" i="23" s="1"/>
  <c r="K2330" i="23"/>
  <c r="L2330" i="23" s="1"/>
  <c r="K2331" i="23"/>
  <c r="L2331" i="23" s="1"/>
  <c r="K2328" i="23"/>
  <c r="L2328" i="23" s="1"/>
  <c r="K2329" i="23"/>
  <c r="L2329" i="23" s="1"/>
  <c r="K2310" i="23"/>
  <c r="L2310" i="23" s="1"/>
  <c r="K2312" i="23"/>
  <c r="L2312" i="23" s="1"/>
  <c r="K2313" i="23"/>
  <c r="L2313" i="23" s="1"/>
  <c r="K2316" i="23"/>
  <c r="L2316" i="23" s="1"/>
  <c r="K2317" i="23"/>
  <c r="L2317" i="23" s="1"/>
  <c r="K2306" i="23"/>
  <c r="L2306" i="23" s="1"/>
  <c r="K2302" i="23"/>
  <c r="L2302" i="23" s="1"/>
  <c r="K2301" i="23"/>
  <c r="L2301" i="23" s="1"/>
  <c r="K2293" i="23"/>
  <c r="L2293" i="23" s="1"/>
  <c r="K2297" i="23"/>
  <c r="L2297" i="23" s="1"/>
  <c r="K2288" i="23"/>
  <c r="L2288" i="23" s="1"/>
  <c r="K2304" i="23"/>
  <c r="L2304" i="23" s="1"/>
  <c r="K2295" i="23"/>
  <c r="L2295" i="23" s="1"/>
  <c r="K2290" i="23"/>
  <c r="L2290" i="23" s="1"/>
  <c r="K2287" i="23"/>
  <c r="L2287" i="23" s="1"/>
  <c r="K2286" i="23"/>
  <c r="L2286" i="23" s="1"/>
  <c r="K2303" i="23"/>
  <c r="L2303" i="23" s="1"/>
  <c r="K2292" i="23"/>
  <c r="L2292" i="23" s="1"/>
  <c r="M2267" i="23"/>
  <c r="N2267" i="23" s="1"/>
  <c r="M2237" i="23"/>
  <c r="N2237" i="23" s="1"/>
  <c r="M2199" i="23"/>
  <c r="N2199" i="23" s="1"/>
  <c r="M2255" i="23"/>
  <c r="N2255" i="23" s="1"/>
  <c r="M2197" i="23"/>
  <c r="N2197" i="23" s="1"/>
  <c r="M2282" i="23"/>
  <c r="N2282" i="23" s="1"/>
  <c r="M2254" i="23"/>
  <c r="N2254" i="23" s="1"/>
  <c r="M2234" i="23"/>
  <c r="N2234" i="23" s="1"/>
  <c r="M2195" i="23"/>
  <c r="M2182" i="23"/>
  <c r="N2182" i="23" s="1"/>
  <c r="N2253" i="23"/>
  <c r="N2221" i="23"/>
  <c r="M2291" i="23"/>
  <c r="N2291" i="23" s="1"/>
  <c r="M2220" i="23"/>
  <c r="N2220" i="23" s="1"/>
  <c r="M2155" i="23"/>
  <c r="M2252" i="23"/>
  <c r="N2252" i="23" s="1"/>
  <c r="M2219" i="23"/>
  <c r="N2219" i="23" s="1"/>
  <c r="M2181" i="23"/>
  <c r="N2181" i="23" s="1"/>
  <c r="M2233" i="23"/>
  <c r="N2233" i="23" s="1"/>
  <c r="M2273" i="23"/>
  <c r="N2273" i="23" s="1"/>
  <c r="M2231" i="23"/>
  <c r="N2231" i="23" s="1"/>
  <c r="M2230" i="23"/>
  <c r="N2230" i="23" s="1"/>
  <c r="K2230" i="23"/>
  <c r="L2230" i="23" s="1"/>
  <c r="M2272" i="23"/>
  <c r="N2272" i="23" s="1"/>
  <c r="M2249" i="23"/>
  <c r="N2249" i="23" s="1"/>
  <c r="M2218" i="23"/>
  <c r="N2218" i="23" s="1"/>
  <c r="M2217" i="23"/>
  <c r="N2217" i="23" s="1"/>
  <c r="M2165" i="23"/>
  <c r="N2165" i="23" s="1"/>
  <c r="M2248" i="23"/>
  <c r="N2248" i="23" s="1"/>
  <c r="M2216" i="23"/>
  <c r="N2216" i="23" s="1"/>
  <c r="K2291" i="23"/>
  <c r="L2291" i="23" s="1"/>
  <c r="K2273" i="23"/>
  <c r="L2273" i="23" s="1"/>
  <c r="K2274" i="23"/>
  <c r="L2274" i="23" s="1"/>
  <c r="K2272" i="23"/>
  <c r="L2272" i="23" s="1"/>
  <c r="K2255" i="23"/>
  <c r="L2255" i="23" s="1"/>
  <c r="K2254" i="23"/>
  <c r="L2254" i="23" s="1"/>
  <c r="K2261" i="23"/>
  <c r="L2261" i="23" s="1"/>
  <c r="K2259" i="23"/>
  <c r="L2259" i="23" s="1"/>
  <c r="K2252" i="23"/>
  <c r="L2252" i="23" s="1"/>
  <c r="K2257" i="23"/>
  <c r="L2257" i="23" s="1"/>
  <c r="K2248" i="23"/>
  <c r="L2248" i="23" s="1"/>
  <c r="K2249" i="23"/>
  <c r="L2249" i="23" s="1"/>
  <c r="K2262" i="23"/>
  <c r="L2262" i="23" s="1"/>
  <c r="K2233" i="23"/>
  <c r="L2233" i="23" s="1"/>
  <c r="K2247" i="23"/>
  <c r="L2247" i="23" s="1"/>
  <c r="K2242" i="23"/>
  <c r="L2242" i="23" s="1"/>
  <c r="K2240" i="23"/>
  <c r="L2240" i="23" s="1"/>
  <c r="K2237" i="23"/>
  <c r="L2237" i="23" s="1"/>
  <c r="K2220" i="23"/>
  <c r="L2220" i="23" s="1"/>
  <c r="K2216" i="23"/>
  <c r="L2216" i="23" s="1"/>
  <c r="K2217" i="23"/>
  <c r="L2217" i="23" s="1"/>
  <c r="K2228" i="23"/>
  <c r="L2228" i="23" s="1"/>
  <c r="K2221" i="23"/>
  <c r="L2221" i="23" s="1"/>
  <c r="K2225" i="23"/>
  <c r="L2225" i="23" s="1"/>
  <c r="K2224" i="23"/>
  <c r="L2224" i="23" s="1"/>
  <c r="K2219" i="23"/>
  <c r="L2219" i="23" s="1"/>
  <c r="K2218" i="23"/>
  <c r="L2218" i="23" s="1"/>
  <c r="K2204" i="23"/>
  <c r="L2204" i="23" s="1"/>
  <c r="K2201" i="23"/>
  <c r="L2201" i="23" s="1"/>
  <c r="K2206" i="23"/>
  <c r="L2206" i="23" s="1"/>
  <c r="K2197" i="23"/>
  <c r="L2197" i="23" s="1"/>
  <c r="K2209" i="23"/>
  <c r="L2209" i="23" s="1"/>
  <c r="K2199" i="23"/>
  <c r="L2199" i="23" s="1"/>
  <c r="K2205" i="23"/>
  <c r="L2205" i="23" s="1"/>
  <c r="K2183" i="23"/>
  <c r="L2183" i="23" s="1"/>
  <c r="K2190" i="23"/>
  <c r="L2190" i="23" s="1"/>
  <c r="K2187" i="23"/>
  <c r="L2187" i="23" s="1"/>
  <c r="K2189" i="23"/>
  <c r="L2189" i="23" s="1"/>
  <c r="K2186" i="23"/>
  <c r="L2186" i="23" s="1"/>
  <c r="K2182" i="23"/>
  <c r="L2182" i="23" s="1"/>
  <c r="K2181" i="23"/>
  <c r="L2181" i="23" s="1"/>
  <c r="K2165" i="23"/>
  <c r="L2165" i="23" s="1"/>
  <c r="M1289" i="23"/>
  <c r="N1289" i="23" s="1"/>
  <c r="M338" i="23"/>
  <c r="N338" i="23" s="1"/>
  <c r="K338" i="23"/>
  <c r="L338" i="23" s="1"/>
  <c r="M1332" i="23"/>
  <c r="M981" i="23"/>
  <c r="M1485" i="23"/>
  <c r="M1445" i="23"/>
  <c r="M1405" i="23"/>
  <c r="M1406" i="23"/>
  <c r="M1404" i="23"/>
  <c r="M1377" i="23"/>
  <c r="M1429" i="23"/>
  <c r="M1418" i="23"/>
  <c r="M999" i="23"/>
  <c r="M468" i="23"/>
  <c r="N468" i="23" s="1"/>
  <c r="M445" i="23"/>
  <c r="N445" i="23" s="1"/>
  <c r="K445" i="23"/>
  <c r="L445" i="23" s="1"/>
  <c r="M534" i="23"/>
  <c r="K468" i="23"/>
  <c r="L468" i="23" s="1"/>
  <c r="M2066" i="23"/>
  <c r="M2192" i="23"/>
  <c r="M2164" i="23"/>
  <c r="M2149" i="23"/>
  <c r="M2148" i="23"/>
  <c r="M2127" i="23"/>
  <c r="M2107" i="23"/>
  <c r="M2086" i="23"/>
  <c r="M2050" i="23"/>
  <c r="M2006" i="23"/>
  <c r="M1963" i="23"/>
  <c r="M1928" i="23"/>
  <c r="M1908" i="23"/>
  <c r="M1885" i="23"/>
  <c r="M1842" i="23"/>
  <c r="M1830" i="23"/>
  <c r="M1819" i="23"/>
  <c r="M1797" i="23"/>
  <c r="M1775" i="23"/>
  <c r="M1762" i="23"/>
  <c r="M1739" i="23"/>
  <c r="M1718" i="23"/>
  <c r="M1708" i="23"/>
  <c r="M1686" i="23"/>
  <c r="M1652" i="23"/>
  <c r="M1644" i="23"/>
  <c r="M1623" i="23"/>
  <c r="M1566" i="23"/>
  <c r="M1558" i="23"/>
  <c r="M1502" i="23"/>
  <c r="M1497" i="23"/>
  <c r="M1483" i="23"/>
  <c r="M1441" i="23"/>
  <c r="M1395" i="23"/>
  <c r="M1372" i="23"/>
  <c r="M1360" i="23"/>
  <c r="M1295" i="23"/>
  <c r="M1276" i="23"/>
  <c r="M1265" i="23"/>
  <c r="M1234" i="23"/>
  <c r="M1218" i="23"/>
  <c r="M1197" i="23"/>
  <c r="M1186" i="23"/>
  <c r="M1166" i="23"/>
  <c r="M1148" i="23"/>
  <c r="M1132" i="23"/>
  <c r="M1115" i="23"/>
  <c r="M1089" i="23"/>
  <c r="M1080" i="23"/>
  <c r="M1052" i="23"/>
  <c r="M1019" i="23"/>
  <c r="M996" i="23"/>
  <c r="M960" i="23"/>
  <c r="M914" i="23"/>
  <c r="M875" i="23"/>
  <c r="M866" i="23"/>
  <c r="M818" i="23"/>
  <c r="M814" i="23"/>
  <c r="M791" i="23"/>
  <c r="M734" i="23"/>
  <c r="M688" i="23"/>
  <c r="M684" i="23"/>
  <c r="M647" i="23"/>
  <c r="M629" i="23"/>
  <c r="M592" i="23"/>
  <c r="M579" i="23"/>
  <c r="M559" i="23"/>
  <c r="M518" i="23"/>
  <c r="M496" i="23"/>
  <c r="M444" i="23"/>
  <c r="M409" i="23"/>
  <c r="M184" i="23"/>
  <c r="M167" i="23"/>
  <c r="M2163" i="23"/>
  <c r="M2121" i="23"/>
  <c r="M2097" i="23"/>
  <c r="M2049" i="23"/>
  <c r="M2005" i="23"/>
  <c r="M1971" i="23"/>
  <c r="M1962" i="23"/>
  <c r="M1948" i="23"/>
  <c r="M1893" i="23"/>
  <c r="M1858" i="23"/>
  <c r="M1840" i="23"/>
  <c r="M1796" i="23"/>
  <c r="M1774" i="23"/>
  <c r="M1761" i="23"/>
  <c r="M1717" i="23"/>
  <c r="M1685" i="23"/>
  <c r="M1635" i="23"/>
  <c r="M1609" i="23"/>
  <c r="M1565" i="23"/>
  <c r="M1503" i="23"/>
  <c r="M1473" i="23"/>
  <c r="M1454" i="23"/>
  <c r="M1428" i="23"/>
  <c r="M1402" i="23"/>
  <c r="M1371" i="23"/>
  <c r="M1323" i="23"/>
  <c r="M1286" i="23"/>
  <c r="M1262" i="23"/>
  <c r="M1145" i="23"/>
  <c r="M1131" i="23"/>
  <c r="M1078" i="23"/>
  <c r="M1032" i="23"/>
  <c r="M994" i="23"/>
  <c r="M975" i="23"/>
  <c r="M879" i="23"/>
  <c r="M856" i="23"/>
  <c r="M832" i="23"/>
  <c r="M802" i="23"/>
  <c r="M660" i="23"/>
  <c r="M645" i="23"/>
  <c r="M561" i="23"/>
  <c r="M550" i="23"/>
  <c r="M495" i="23"/>
  <c r="M471" i="23"/>
  <c r="M450" i="23"/>
  <c r="M442" i="23"/>
  <c r="M426" i="23"/>
  <c r="M2176" i="23"/>
  <c r="M2146" i="23"/>
  <c r="M2084" i="23"/>
  <c r="M2048" i="23"/>
  <c r="M2019" i="23"/>
  <c r="M2004" i="23"/>
  <c r="M1981" i="23"/>
  <c r="M1961" i="23"/>
  <c r="M1947" i="23"/>
  <c r="M1916" i="23"/>
  <c r="M1906" i="23"/>
  <c r="M1873" i="23"/>
  <c r="M1839" i="23"/>
  <c r="M1805" i="23"/>
  <c r="M1748" i="23"/>
  <c r="N1748" i="23" s="1"/>
  <c r="M1773" i="23"/>
  <c r="M1760" i="23"/>
  <c r="M1737" i="23"/>
  <c r="M1722" i="23"/>
  <c r="N1722" i="23" s="1"/>
  <c r="M1702" i="23"/>
  <c r="M1684" i="23"/>
  <c r="M1655" i="23"/>
  <c r="N1655" i="23" s="1"/>
  <c r="M1634" i="23"/>
  <c r="M1608" i="23"/>
  <c r="M1557" i="23"/>
  <c r="M1495" i="23"/>
  <c r="M1472" i="23"/>
  <c r="M1425" i="23"/>
  <c r="M1391" i="23"/>
  <c r="M1370" i="23"/>
  <c r="M1359" i="23"/>
  <c r="M1322" i="23"/>
  <c r="M1306" i="23"/>
  <c r="M1272" i="23"/>
  <c r="M1260" i="23"/>
  <c r="M1247" i="23"/>
  <c r="M1233" i="23"/>
  <c r="M1195" i="23"/>
  <c r="M1165" i="23"/>
  <c r="M1129" i="23"/>
  <c r="M1102" i="23"/>
  <c r="M1077" i="23"/>
  <c r="M1068" i="23"/>
  <c r="M1050" i="23"/>
  <c r="M1030" i="23"/>
  <c r="M1009" i="23"/>
  <c r="M992" i="23"/>
  <c r="M959" i="23"/>
  <c r="M936" i="23"/>
  <c r="M911" i="23"/>
  <c r="M910" i="23"/>
  <c r="M864" i="23"/>
  <c r="M843" i="23"/>
  <c r="M789" i="23"/>
  <c r="M777" i="23"/>
  <c r="M589" i="23"/>
  <c r="M531" i="23"/>
  <c r="N531" i="23" s="1"/>
  <c r="M441" i="23"/>
  <c r="N441" i="23" s="1"/>
  <c r="M439" i="23"/>
  <c r="N439" i="23" s="1"/>
  <c r="M424" i="23"/>
  <c r="M2188" i="23"/>
  <c r="M2119" i="23"/>
  <c r="M2083" i="23"/>
  <c r="M2033" i="23"/>
  <c r="M1987" i="23"/>
  <c r="M1980" i="23"/>
  <c r="M1960" i="23"/>
  <c r="M1946" i="23"/>
  <c r="M1927" i="23"/>
  <c r="M1892" i="23"/>
  <c r="M1872" i="23"/>
  <c r="M1838" i="23"/>
  <c r="M1829" i="23"/>
  <c r="M1818" i="23"/>
  <c r="M1784" i="23"/>
  <c r="M1759" i="23"/>
  <c r="M1701" i="23"/>
  <c r="M1633" i="23"/>
  <c r="M1607" i="23"/>
  <c r="M1555" i="23"/>
  <c r="M1542" i="23"/>
  <c r="M1501" i="23"/>
  <c r="M1453" i="23"/>
  <c r="M1400" i="23"/>
  <c r="M1390" i="23"/>
  <c r="M1305" i="23"/>
  <c r="M1271" i="23"/>
  <c r="M1185" i="23"/>
  <c r="M1144" i="23"/>
  <c r="M1101" i="23"/>
  <c r="M1076" i="23"/>
  <c r="M1049" i="23"/>
  <c r="M904" i="23"/>
  <c r="M548" i="23"/>
  <c r="N548" i="23" s="1"/>
  <c r="M516" i="23"/>
  <c r="M508" i="23"/>
  <c r="M408" i="23"/>
  <c r="N408" i="23" s="1"/>
  <c r="M406" i="23"/>
  <c r="N406" i="23" s="1"/>
  <c r="M399" i="23"/>
  <c r="N399" i="23" s="1"/>
  <c r="M1945" i="23"/>
  <c r="M1857" i="23"/>
  <c r="M1700" i="23"/>
  <c r="M1632" i="23"/>
  <c r="M1583" i="23"/>
  <c r="M1554" i="23"/>
  <c r="M1259" i="23"/>
  <c r="M1231" i="23"/>
  <c r="M1193" i="23"/>
  <c r="M1164" i="23"/>
  <c r="M1142" i="23"/>
  <c r="M1100" i="23"/>
  <c r="M1035" i="23"/>
  <c r="M1008" i="23"/>
  <c r="M962" i="23"/>
  <c r="M951" i="23"/>
  <c r="M854" i="23"/>
  <c r="M817" i="23"/>
  <c r="M813" i="23"/>
  <c r="M767" i="23"/>
  <c r="M617" i="23"/>
  <c r="M423" i="23"/>
  <c r="M2081" i="23"/>
  <c r="M2143" i="23"/>
  <c r="M2047" i="23"/>
  <c r="M2032" i="23"/>
  <c r="M1979" i="23"/>
  <c r="M1926" i="23"/>
  <c r="M1891" i="23"/>
  <c r="M1845" i="23"/>
  <c r="M1837" i="23"/>
  <c r="M1828" i="23"/>
  <c r="M1783" i="23"/>
  <c r="M1747" i="23"/>
  <c r="M1699" i="23"/>
  <c r="M1631" i="23"/>
  <c r="M1587" i="23"/>
  <c r="M1480" i="23"/>
  <c r="M1444" i="23"/>
  <c r="M1424" i="23"/>
  <c r="M1369" i="23"/>
  <c r="M1304" i="23"/>
  <c r="M1285" i="23"/>
  <c r="M1230" i="23"/>
  <c r="M1229" i="23"/>
  <c r="M1162" i="23"/>
  <c r="M1090" i="23"/>
  <c r="M931" i="23"/>
  <c r="M930" i="23"/>
  <c r="M929" i="23"/>
  <c r="M120" i="23"/>
  <c r="M64" i="23"/>
  <c r="M2142" i="23"/>
  <c r="M2064" i="23"/>
  <c r="M2018" i="23"/>
  <c r="M1905" i="23"/>
  <c r="M1804" i="23"/>
  <c r="M1746" i="23"/>
  <c r="M1674" i="23"/>
  <c r="M1582" i="23"/>
  <c r="M1541" i="23"/>
  <c r="M1275" i="23"/>
  <c r="M1217" i="23"/>
  <c r="M1184" i="23"/>
  <c r="M1154" i="23"/>
  <c r="M1048" i="23"/>
  <c r="M1038" i="23"/>
  <c r="M961" i="23"/>
  <c r="M878" i="23"/>
  <c r="M853" i="23"/>
  <c r="M816" i="23"/>
  <c r="M812" i="23"/>
  <c r="M706" i="23"/>
  <c r="M571" i="23"/>
  <c r="M422" i="23"/>
  <c r="M2080" i="23"/>
  <c r="M2031" i="23"/>
  <c r="M2003" i="23"/>
  <c r="N2003" i="23" s="1"/>
  <c r="M1978" i="23"/>
  <c r="M1944" i="23"/>
  <c r="M1904" i="23"/>
  <c r="M1871" i="23"/>
  <c r="M1836" i="23"/>
  <c r="M1817" i="23"/>
  <c r="M1782" i="23"/>
  <c r="M1772" i="23"/>
  <c r="M1736" i="23"/>
  <c r="M1716" i="23"/>
  <c r="M1683" i="23"/>
  <c r="M1654" i="23"/>
  <c r="M1621" i="23"/>
  <c r="M1563" i="23"/>
  <c r="M1506" i="23"/>
  <c r="M1471" i="23"/>
  <c r="M1440" i="23"/>
  <c r="M1417" i="23"/>
  <c r="M1389" i="23"/>
  <c r="M1358" i="23"/>
  <c r="M1348" i="23"/>
  <c r="M1321" i="23"/>
  <c r="M1303" i="23"/>
  <c r="M1301" i="23"/>
  <c r="M1216" i="23"/>
  <c r="M1208" i="23"/>
  <c r="M1151" i="23"/>
  <c r="M1086" i="23"/>
  <c r="M1067" i="23"/>
  <c r="M1007" i="23"/>
  <c r="M890" i="23"/>
  <c r="M863" i="23"/>
  <c r="M862" i="23"/>
  <c r="M830" i="23"/>
  <c r="M801" i="23"/>
  <c r="M799" i="23"/>
  <c r="M641" i="23"/>
  <c r="M505" i="23"/>
  <c r="M506" i="23"/>
  <c r="M421" i="23"/>
  <c r="M405" i="23"/>
  <c r="M220" i="23"/>
  <c r="M174" i="23"/>
  <c r="M2162" i="23"/>
  <c r="M2141" i="23"/>
  <c r="M2117" i="23"/>
  <c r="M2104" i="23"/>
  <c r="M2094" i="23"/>
  <c r="M2079" i="23"/>
  <c r="M2063" i="23"/>
  <c r="M2037" i="23"/>
  <c r="M2030" i="23"/>
  <c r="M2001" i="23"/>
  <c r="N2001" i="23" s="1"/>
  <c r="M2000" i="23"/>
  <c r="M1969" i="23"/>
  <c r="M1958" i="23"/>
  <c r="M1903" i="23"/>
  <c r="M1883" i="23"/>
  <c r="M1854" i="23"/>
  <c r="M1835" i="23"/>
  <c r="M1827" i="23"/>
  <c r="M1815" i="23"/>
  <c r="M1781" i="23"/>
  <c r="M1771" i="23"/>
  <c r="M1758" i="23"/>
  <c r="M1735" i="23"/>
  <c r="M1734" i="23"/>
  <c r="M1715" i="23"/>
  <c r="M1682" i="23"/>
  <c r="M1658" i="23"/>
  <c r="M1620" i="23"/>
  <c r="M1605" i="23"/>
  <c r="M1562" i="23"/>
  <c r="M1526" i="23"/>
  <c r="M1525" i="23"/>
  <c r="M1479" i="23"/>
  <c r="M1470" i="23"/>
  <c r="M1439" i="23"/>
  <c r="M1416" i="23"/>
  <c r="M1398" i="23"/>
  <c r="M1387" i="23"/>
  <c r="M1388" i="23"/>
  <c r="M1339" i="23"/>
  <c r="M1292" i="23"/>
  <c r="M1283" i="23"/>
  <c r="M1258" i="23"/>
  <c r="M1245" i="23"/>
  <c r="M1215" i="23"/>
  <c r="M1160" i="23"/>
  <c r="M1113" i="23"/>
  <c r="M1085" i="23"/>
  <c r="M1066" i="23"/>
  <c r="M1017" i="23"/>
  <c r="M991" i="23"/>
  <c r="M974" i="23"/>
  <c r="M950" i="23"/>
  <c r="M927" i="23"/>
  <c r="M888" i="23"/>
  <c r="M861" i="23"/>
  <c r="M842" i="23"/>
  <c r="M829" i="23"/>
  <c r="M811" i="23"/>
  <c r="M776" i="23"/>
  <c r="M658" i="23"/>
  <c r="M640" i="23"/>
  <c r="M600" i="23"/>
  <c r="M588" i="23"/>
  <c r="M557" i="23"/>
  <c r="M530" i="23"/>
  <c r="M529" i="23"/>
  <c r="M438" i="23"/>
  <c r="M420" i="23"/>
  <c r="M180" i="23"/>
  <c r="M164" i="23"/>
  <c r="M163" i="23"/>
  <c r="N2227" i="23"/>
  <c r="M2185" i="23"/>
  <c r="M2173" i="23"/>
  <c r="M2140" i="23"/>
  <c r="M2078" i="23"/>
  <c r="M1999" i="23"/>
  <c r="M1902" i="23"/>
  <c r="M1780" i="23"/>
  <c r="M1757" i="23"/>
  <c r="M1733" i="23"/>
  <c r="M1672" i="23"/>
  <c r="M1577" i="23"/>
  <c r="M1524" i="23"/>
  <c r="M1469" i="23"/>
  <c r="M1437" i="23"/>
  <c r="M1368" i="23"/>
  <c r="M1319" i="23"/>
  <c r="M1257" i="23"/>
  <c r="M1192" i="23"/>
  <c r="M1126" i="23"/>
  <c r="M1047" i="23"/>
  <c r="M990" i="23"/>
  <c r="M887" i="23"/>
  <c r="M841" i="23"/>
  <c r="M637" i="23"/>
  <c r="M570" i="23"/>
  <c r="M569" i="23"/>
  <c r="M437" i="23"/>
  <c r="M2226" i="23"/>
  <c r="N2226" i="23" s="1"/>
  <c r="M2184" i="23"/>
  <c r="N2184" i="23" s="1"/>
  <c r="M2123" i="23"/>
  <c r="M2103" i="23"/>
  <c r="M2062" i="23"/>
  <c r="M2061" i="23"/>
  <c r="M1998" i="23"/>
  <c r="M1925" i="23"/>
  <c r="M1853" i="23"/>
  <c r="M1814" i="23"/>
  <c r="M1756" i="23"/>
  <c r="M1671" i="23"/>
  <c r="M1575" i="23"/>
  <c r="M1523" i="23"/>
  <c r="M1423" i="23"/>
  <c r="M1374" i="23"/>
  <c r="M1318" i="23"/>
  <c r="M1256" i="23"/>
  <c r="M1099" i="23"/>
  <c r="M1065" i="23"/>
  <c r="M1029" i="23"/>
  <c r="M958" i="23"/>
  <c r="M926" i="23"/>
  <c r="M797" i="23"/>
  <c r="M587" i="23"/>
  <c r="M514" i="23"/>
  <c r="M448" i="23"/>
  <c r="N448" i="23" s="1"/>
  <c r="M417" i="23"/>
  <c r="M254" i="23"/>
  <c r="M253" i="23"/>
  <c r="M162" i="23"/>
  <c r="M103" i="23"/>
  <c r="M102" i="23"/>
  <c r="M40" i="23"/>
  <c r="M1915" i="23"/>
  <c r="M1870" i="23"/>
  <c r="M1803" i="23"/>
  <c r="M2015" i="23"/>
  <c r="M1943" i="23"/>
  <c r="M1882" i="23"/>
  <c r="M1770" i="23"/>
  <c r="M1721" i="23"/>
  <c r="M1629" i="23"/>
  <c r="M1539" i="23"/>
  <c r="M1468" i="23"/>
  <c r="M1356" i="23"/>
  <c r="M1317" i="23"/>
  <c r="M1255" i="23"/>
  <c r="M1228" i="23"/>
  <c r="M1191" i="23"/>
  <c r="M1140" i="23"/>
  <c r="M1028" i="23"/>
  <c r="M948" i="23"/>
  <c r="M852" i="23"/>
  <c r="M787" i="23"/>
  <c r="M586" i="23"/>
  <c r="M504" i="23"/>
  <c r="M2138" i="23"/>
  <c r="M2102" i="23"/>
  <c r="M2046" i="23"/>
  <c r="M1997" i="23"/>
  <c r="M1956" i="23"/>
  <c r="M1924" i="23"/>
  <c r="M1901" i="23"/>
  <c r="M1881" i="23"/>
  <c r="M1843" i="23"/>
  <c r="M1813" i="23"/>
  <c r="M1769" i="23"/>
  <c r="M1745" i="23"/>
  <c r="M1670" i="23"/>
  <c r="M1436" i="23"/>
  <c r="M1386" i="23"/>
  <c r="M1355" i="23"/>
  <c r="M1338" i="23"/>
  <c r="M1291" i="23"/>
  <c r="M1254" i="23"/>
  <c r="M1207" i="23"/>
  <c r="M1177" i="23"/>
  <c r="M1139" i="23"/>
  <c r="M1125" i="23"/>
  <c r="M1075" i="23"/>
  <c r="M1042" i="23"/>
  <c r="M989" i="23"/>
  <c r="M947" i="23"/>
  <c r="M774" i="23"/>
  <c r="M773" i="23"/>
  <c r="M585" i="23"/>
  <c r="M543" i="23"/>
  <c r="M404" i="23"/>
  <c r="M2137" i="23"/>
  <c r="M2093" i="23"/>
  <c r="M2029" i="23"/>
  <c r="M1996" i="23"/>
  <c r="M1955" i="23"/>
  <c r="M1923" i="23"/>
  <c r="M1911" i="23"/>
  <c r="M1880" i="23"/>
  <c r="M1852" i="23"/>
  <c r="M1826" i="23"/>
  <c r="M1768" i="23"/>
  <c r="M1754" i="23"/>
  <c r="M1732" i="23"/>
  <c r="M1697" i="23"/>
  <c r="M1619" i="23"/>
  <c r="M1561" i="23"/>
  <c r="M1538" i="23"/>
  <c r="M1467" i="23"/>
  <c r="M1466" i="23"/>
  <c r="M1329" i="23"/>
  <c r="M1282" i="23"/>
  <c r="M1227" i="23"/>
  <c r="M1190" i="23"/>
  <c r="M1138" i="23"/>
  <c r="M1084" i="23"/>
  <c r="M1046" i="23"/>
  <c r="M1006" i="23"/>
  <c r="M925" i="23"/>
  <c r="M860" i="23"/>
  <c r="M839" i="23"/>
  <c r="M772" i="23"/>
  <c r="M666" i="23"/>
  <c r="M634" i="23"/>
  <c r="M568" i="23"/>
  <c r="M435" i="23"/>
  <c r="M80" i="23"/>
  <c r="M50" i="23"/>
  <c r="M2115" i="23"/>
  <c r="M2077" i="23"/>
  <c r="M2014" i="23"/>
  <c r="M1942" i="23"/>
  <c r="M1890" i="23"/>
  <c r="M1869" i="23"/>
  <c r="M1834" i="23"/>
  <c r="M1802" i="23"/>
  <c r="M1779" i="23"/>
  <c r="M1753" i="23"/>
  <c r="M1731" i="23"/>
  <c r="M1696" i="23"/>
  <c r="M1628" i="23"/>
  <c r="M1604" i="23"/>
  <c r="M1560" i="23"/>
  <c r="M1537" i="23"/>
  <c r="M1522" i="23"/>
  <c r="M1494" i="23"/>
  <c r="M1435" i="23"/>
  <c r="M1415" i="23"/>
  <c r="M1335" i="23"/>
  <c r="M1270" i="23"/>
  <c r="M1244" i="23"/>
  <c r="M1206" i="23"/>
  <c r="M1176" i="23"/>
  <c r="M1159" i="23"/>
  <c r="M1124" i="23"/>
  <c r="M1074" i="23"/>
  <c r="M1072" i="23"/>
  <c r="M1016" i="23"/>
  <c r="M988" i="23"/>
  <c r="M946" i="23"/>
  <c r="M924" i="23"/>
  <c r="M851" i="23"/>
  <c r="M837" i="23"/>
  <c r="M786" i="23"/>
  <c r="M556" i="23"/>
  <c r="M555" i="23"/>
  <c r="M491" i="23"/>
  <c r="M416" i="23"/>
  <c r="M192" i="23"/>
  <c r="M178" i="23"/>
  <c r="M101" i="23"/>
  <c r="M63" i="23"/>
  <c r="N2198" i="23"/>
  <c r="N2236" i="23"/>
  <c r="M2172" i="23"/>
  <c r="M2136" i="23"/>
  <c r="M2076" i="23"/>
  <c r="M2036" i="23"/>
  <c r="M2013" i="23"/>
  <c r="M1995" i="23"/>
  <c r="M1968" i="23"/>
  <c r="M1941" i="23"/>
  <c r="M1900" i="23"/>
  <c r="M1868" i="23"/>
  <c r="M1825" i="23"/>
  <c r="M1801" i="23"/>
  <c r="M1778" i="23"/>
  <c r="M1744" i="23"/>
  <c r="M1720" i="23"/>
  <c r="N1720" i="23" s="1"/>
  <c r="M1695" i="23"/>
  <c r="M1642" i="23"/>
  <c r="M1603" i="23"/>
  <c r="M1574" i="23"/>
  <c r="M1553" i="23"/>
  <c r="M1521" i="23"/>
  <c r="M1493" i="23"/>
  <c r="M1452" i="23"/>
  <c r="M973" i="23"/>
  <c r="M901" i="23"/>
  <c r="M869" i="23"/>
  <c r="M827" i="23"/>
  <c r="M771" i="23"/>
  <c r="M664" i="23"/>
  <c r="M633" i="23"/>
  <c r="M575" i="23"/>
  <c r="M554" i="23"/>
  <c r="M2171" i="23"/>
  <c r="M2075" i="23"/>
  <c r="M2028" i="23"/>
  <c r="M1967" i="23"/>
  <c r="M1879" i="23"/>
  <c r="M1812" i="23"/>
  <c r="M1752" i="23"/>
  <c r="M1694" i="23"/>
  <c r="M1618" i="23"/>
  <c r="M1536" i="23"/>
  <c r="M1465" i="23"/>
  <c r="M1414" i="23"/>
  <c r="M1354" i="23"/>
  <c r="M1300" i="23"/>
  <c r="M1123" i="23"/>
  <c r="M1005" i="23"/>
  <c r="M849" i="23"/>
  <c r="M795" i="23"/>
  <c r="M678" i="23"/>
  <c r="M584" i="23"/>
  <c r="M525" i="23"/>
  <c r="M434" i="23"/>
  <c r="M191" i="23"/>
  <c r="M133" i="23"/>
  <c r="M100" i="23"/>
  <c r="M47" i="23"/>
  <c r="N2309" i="23"/>
  <c r="N2222" i="23"/>
  <c r="M2170" i="23"/>
  <c r="M2134" i="23"/>
  <c r="M2126" i="23"/>
  <c r="M2114" i="23"/>
  <c r="M2092" i="23"/>
  <c r="M2060" i="23"/>
  <c r="M2056" i="23"/>
  <c r="M2045" i="23"/>
  <c r="M2027" i="23"/>
  <c r="M1994" i="23"/>
  <c r="M1966" i="23"/>
  <c r="M1940" i="23"/>
  <c r="M1889" i="23"/>
  <c r="M1793" i="23"/>
  <c r="M1743" i="23"/>
  <c r="M1714" i="23"/>
  <c r="M1693" i="23"/>
  <c r="M1669" i="23"/>
  <c r="M1617" i="23"/>
  <c r="M1581" i="23"/>
  <c r="M1552" i="23"/>
  <c r="M1534" i="23"/>
  <c r="M1520" i="23"/>
  <c r="M1422" i="23"/>
  <c r="M1333" i="23"/>
  <c r="M1328" i="23"/>
  <c r="M1299" i="23"/>
  <c r="M1224" i="23"/>
  <c r="M1015" i="23"/>
  <c r="M987" i="23"/>
  <c r="M972" i="23"/>
  <c r="M971" i="23"/>
  <c r="M957" i="23"/>
  <c r="M923" i="23"/>
  <c r="M900" i="23"/>
  <c r="M632" i="23"/>
  <c r="M583" i="23"/>
  <c r="M540" i="23"/>
  <c r="M2160" i="23"/>
  <c r="M2058" i="23"/>
  <c r="M2044" i="23"/>
  <c r="M2043" i="23"/>
  <c r="M2025" i="23"/>
  <c r="M1993" i="23"/>
  <c r="M1954" i="23"/>
  <c r="M1921" i="23"/>
  <c r="M1888" i="23"/>
  <c r="M1867" i="23"/>
  <c r="M1850" i="23"/>
  <c r="M1833" i="23"/>
  <c r="M1811" i="23"/>
  <c r="M1810" i="23"/>
  <c r="M1800" i="23"/>
  <c r="M1730" i="23"/>
  <c r="M1729" i="23"/>
  <c r="M1707" i="23"/>
  <c r="M1692" i="23"/>
  <c r="M1681" i="23"/>
  <c r="M1680" i="23"/>
  <c r="M1668" i="23"/>
  <c r="M1657" i="23"/>
  <c r="M1616" i="23"/>
  <c r="M1602" i="23"/>
  <c r="M2265" i="23"/>
  <c r="N2265" i="23" s="1"/>
  <c r="N2091" i="23"/>
  <c r="M1986" i="23"/>
  <c r="M1937" i="23"/>
  <c r="M1919" i="23"/>
  <c r="M1865" i="23"/>
  <c r="M1849" i="23"/>
  <c r="M1767" i="23"/>
  <c r="M1751" i="23"/>
  <c r="M1690" i="23"/>
  <c r="M1666" i="23"/>
  <c r="M1615" i="23"/>
  <c r="M1532" i="23"/>
  <c r="M1476" i="23"/>
  <c r="M1434" i="23"/>
  <c r="M1382" i="23"/>
  <c r="M1290" i="23"/>
  <c r="M1243" i="23"/>
  <c r="M1170" i="23"/>
  <c r="M1110" i="23"/>
  <c r="M964" i="23"/>
  <c r="M942" i="23"/>
  <c r="M941" i="23"/>
  <c r="M835" i="23"/>
  <c r="M488" i="23"/>
  <c r="M608" i="23"/>
  <c r="M487" i="23"/>
  <c r="M132" i="23"/>
  <c r="M76" i="23"/>
  <c r="M2042" i="23"/>
  <c r="M2024" i="23"/>
  <c r="M2012" i="23"/>
  <c r="M1991" i="23"/>
  <c r="M1990" i="23"/>
  <c r="M1936" i="23"/>
  <c r="M1897" i="23"/>
  <c r="M1864" i="23"/>
  <c r="M1777" i="23"/>
  <c r="M1750" i="23"/>
  <c r="M1664" i="23"/>
  <c r="M1640" i="23"/>
  <c r="M1626" i="23"/>
  <c r="M1614" i="23"/>
  <c r="M1595" i="23"/>
  <c r="M1551" i="23"/>
  <c r="M1550" i="23"/>
  <c r="M1515" i="23"/>
  <c r="M1499" i="23"/>
  <c r="M1461" i="23"/>
  <c r="M1433" i="23"/>
  <c r="M1411" i="23"/>
  <c r="M1363" i="23"/>
  <c r="M1280" i="23"/>
  <c r="M1252" i="23"/>
  <c r="M1251" i="23"/>
  <c r="M1250" i="23"/>
  <c r="M1204" i="23"/>
  <c r="M1188" i="23"/>
  <c r="M1135" i="23"/>
  <c r="M1109" i="23"/>
  <c r="M1034" i="23"/>
  <c r="M1004" i="23"/>
  <c r="M1003" i="23"/>
  <c r="M824" i="23"/>
  <c r="M738" i="23"/>
  <c r="M685" i="23"/>
  <c r="M607" i="23"/>
  <c r="M566" i="23"/>
  <c r="M500" i="23"/>
  <c r="N500" i="23" s="1"/>
  <c r="M414" i="23"/>
  <c r="M340" i="23"/>
  <c r="M279" i="23"/>
  <c r="M232" i="23"/>
  <c r="M2156" i="23"/>
  <c r="M2111" i="23"/>
  <c r="M2101" i="23"/>
  <c r="M2041" i="23"/>
  <c r="M1989" i="23"/>
  <c r="M1935" i="23"/>
  <c r="M1896" i="23"/>
  <c r="M1863" i="23"/>
  <c r="M1809" i="23"/>
  <c r="M1766" i="23"/>
  <c r="M1713" i="23"/>
  <c r="M1663" i="23"/>
  <c r="M1594" i="23"/>
  <c r="M1593" i="23"/>
  <c r="M1514" i="23"/>
  <c r="M1513" i="23"/>
  <c r="M1449" i="23"/>
  <c r="M1380" i="23"/>
  <c r="M1326" i="23"/>
  <c r="M1279" i="23"/>
  <c r="M1241" i="23"/>
  <c r="M1203" i="23"/>
  <c r="M1121" i="23"/>
  <c r="M1061" i="23"/>
  <c r="M1011" i="23"/>
  <c r="M954" i="23"/>
  <c r="M886" i="23"/>
  <c r="M833" i="23"/>
  <c r="M793" i="23"/>
  <c r="M713" i="23"/>
  <c r="M552" i="23"/>
  <c r="M401" i="23"/>
  <c r="M52" i="23"/>
  <c r="M2124" i="23"/>
  <c r="M2110" i="23"/>
  <c r="M2071" i="23"/>
  <c r="M2023" i="23"/>
  <c r="M2010" i="23"/>
  <c r="M1985" i="23"/>
  <c r="M1951" i="23"/>
  <c r="M1933" i="23"/>
  <c r="M1895" i="23"/>
  <c r="M1877" i="23"/>
  <c r="M1848" i="23"/>
  <c r="M1823" i="23"/>
  <c r="M1776" i="23"/>
  <c r="M1742" i="23"/>
  <c r="M1712" i="23"/>
  <c r="M1679" i="23"/>
  <c r="M1653" i="23"/>
  <c r="M1625" i="23"/>
  <c r="M1572" i="23"/>
  <c r="M1512" i="23"/>
  <c r="M1448" i="23"/>
  <c r="M1432" i="23"/>
  <c r="M1379" i="23"/>
  <c r="M1346" i="23"/>
  <c r="M1315" i="23"/>
  <c r="M1240" i="23"/>
  <c r="M1182" i="23"/>
  <c r="M1119" i="23"/>
  <c r="M1082" i="23"/>
  <c r="M1060" i="23"/>
  <c r="M1025" i="23"/>
  <c r="M1026" i="23"/>
  <c r="M982" i="23"/>
  <c r="M940" i="23"/>
  <c r="M822" i="23"/>
  <c r="M885" i="23"/>
  <c r="M605" i="23"/>
  <c r="M537" i="23"/>
  <c r="M432" i="23"/>
  <c r="M217" i="23"/>
  <c r="M172" i="23"/>
  <c r="M75" i="23"/>
  <c r="M62" i="23"/>
  <c r="M2251" i="23"/>
  <c r="N2251" i="23" s="1"/>
  <c r="M2169" i="23"/>
  <c r="M2109" i="23"/>
  <c r="M2055" i="23"/>
  <c r="M2040" i="23"/>
  <c r="M2009" i="23"/>
  <c r="M1974" i="23"/>
  <c r="M1932" i="23"/>
  <c r="M1887" i="23"/>
  <c r="M1847" i="23"/>
  <c r="M1799" i="23"/>
  <c r="M1765" i="23"/>
  <c r="M1728" i="23"/>
  <c r="M1689" i="23"/>
  <c r="M1646" i="23"/>
  <c r="M1571" i="23"/>
  <c r="M1549" i="23"/>
  <c r="M1510" i="23"/>
  <c r="M1490" i="23"/>
  <c r="M1459" i="23"/>
  <c r="M1431" i="23"/>
  <c r="M1409" i="23"/>
  <c r="M1378" i="23"/>
  <c r="M1336" i="23"/>
  <c r="M1314" i="23"/>
  <c r="M1273" i="23"/>
  <c r="M1238" i="23"/>
  <c r="M1187" i="23"/>
  <c r="M1149" i="23"/>
  <c r="M1108" i="23"/>
  <c r="M1024" i="23"/>
  <c r="M1002" i="23"/>
  <c r="M968" i="23"/>
  <c r="M884" i="23"/>
  <c r="M847" i="23"/>
  <c r="M805" i="23"/>
  <c r="M756" i="23"/>
  <c r="M755" i="23"/>
  <c r="N2320" i="23"/>
  <c r="M2193" i="23"/>
  <c r="M2100" i="23"/>
  <c r="M2034" i="23"/>
  <c r="M1931" i="23"/>
  <c r="M1912" i="23"/>
  <c r="M1876" i="23"/>
  <c r="M1822" i="23"/>
  <c r="M1764" i="23"/>
  <c r="M1727" i="23"/>
  <c r="M1662" i="23"/>
  <c r="M1592" i="23"/>
  <c r="M1530" i="23"/>
  <c r="M1489" i="23"/>
  <c r="M1475" i="23"/>
  <c r="M1447" i="23"/>
  <c r="M1352" i="23"/>
  <c r="M1237" i="23"/>
  <c r="M1118" i="23"/>
  <c r="M1057" i="23"/>
  <c r="M1001" i="23"/>
  <c r="M857" i="23"/>
  <c r="M939" i="23"/>
  <c r="M883" i="23"/>
  <c r="M821" i="23"/>
  <c r="M820" i="23"/>
  <c r="M2337" i="23"/>
  <c r="N2337" i="23" s="1"/>
  <c r="M2305" i="23"/>
  <c r="N2305" i="23" s="1"/>
  <c r="M2281" i="23"/>
  <c r="N2281" i="23" s="1"/>
  <c r="M2232" i="23"/>
  <c r="N2232" i="23" s="1"/>
  <c r="M2211" i="23"/>
  <c r="N2211" i="23" s="1"/>
  <c r="M2167" i="23"/>
  <c r="N2167" i="23" s="1"/>
  <c r="M2130" i="23"/>
  <c r="N2130" i="23" s="1"/>
  <c r="M2099" i="23"/>
  <c r="M2070" i="23"/>
  <c r="M2054" i="23"/>
  <c r="M1875" i="23"/>
  <c r="M1711" i="23"/>
  <c r="M1688" i="23"/>
  <c r="M1661" i="23"/>
  <c r="M1624" i="23"/>
  <c r="M1585" i="23"/>
  <c r="M1548" i="23"/>
  <c r="M1509" i="23"/>
  <c r="M1488" i="23"/>
  <c r="M1458" i="23"/>
  <c r="M1430" i="23"/>
  <c r="M1407" i="23"/>
  <c r="M1396" i="23"/>
  <c r="M1351" i="23"/>
  <c r="M1344" i="23"/>
  <c r="M1297" i="23"/>
  <c r="M1278" i="23"/>
  <c r="M1236" i="23"/>
  <c r="M1181" i="23"/>
  <c r="M1157" i="23"/>
  <c r="M1106" i="23"/>
  <c r="M1081" i="23"/>
  <c r="M1056" i="23"/>
  <c r="M1023" i="23"/>
  <c r="M1000" i="23"/>
  <c r="M966" i="23"/>
  <c r="M893" i="23"/>
  <c r="M783" i="23"/>
  <c r="M581" i="23"/>
  <c r="M560" i="23"/>
  <c r="M520" i="23"/>
  <c r="M511" i="23"/>
  <c r="M188" i="23"/>
  <c r="M171" i="23"/>
  <c r="M34" i="23"/>
  <c r="M1862" i="23"/>
  <c r="M1846" i="23"/>
  <c r="M1726" i="23"/>
  <c r="M1570" i="23"/>
  <c r="M1419" i="23"/>
  <c r="M1362" i="23"/>
  <c r="M1310" i="23"/>
  <c r="M1309" i="23"/>
  <c r="M1296" i="23"/>
  <c r="M187" i="23"/>
  <c r="M170" i="23"/>
  <c r="M2180" i="23"/>
  <c r="M2179" i="23"/>
  <c r="M2166" i="23"/>
  <c r="M2152" i="23"/>
  <c r="M2129" i="23"/>
  <c r="M2128" i="23"/>
  <c r="M2069" i="23"/>
  <c r="M2068" i="23"/>
  <c r="M2057" i="23"/>
  <c r="M2039" i="23"/>
  <c r="M2038" i="23"/>
  <c r="M2021" i="23"/>
  <c r="M2008" i="23"/>
  <c r="M1988" i="23"/>
  <c r="M1982" i="23"/>
  <c r="M1950" i="23"/>
  <c r="M1930" i="23"/>
  <c r="M1918" i="23"/>
  <c r="M1917" i="23"/>
  <c r="M1894" i="23"/>
  <c r="M1886" i="23"/>
  <c r="M1874" i="23"/>
  <c r="M1861" i="23"/>
  <c r="M1831" i="23"/>
  <c r="M1821" i="23"/>
  <c r="M1808" i="23"/>
  <c r="M1798" i="23"/>
  <c r="M1791" i="23"/>
  <c r="M1790" i="23"/>
  <c r="M1789" i="23"/>
  <c r="M1763" i="23"/>
  <c r="M1749" i="23"/>
  <c r="M1741" i="23"/>
  <c r="M1725" i="23"/>
  <c r="M1724" i="23"/>
  <c r="M1705" i="23"/>
  <c r="M1660" i="23"/>
  <c r="M1645" i="23"/>
  <c r="M1637" i="23"/>
  <c r="M1589" i="23"/>
  <c r="M1568" i="23"/>
  <c r="M1547" i="23"/>
  <c r="M1546" i="23"/>
  <c r="M1545" i="23"/>
  <c r="M1528" i="23"/>
  <c r="M1507" i="23"/>
  <c r="M1474" i="23"/>
  <c r="M1457" i="23"/>
  <c r="M1456" i="23"/>
  <c r="M1446" i="23"/>
  <c r="M1325" i="23"/>
  <c r="M1324" i="23"/>
  <c r="M1308" i="23"/>
  <c r="M1277" i="23"/>
  <c r="M1249" i="23"/>
  <c r="M1235" i="23"/>
  <c r="M1221" i="23"/>
  <c r="M1220" i="23"/>
  <c r="M1214" i="23"/>
  <c r="M1200" i="23"/>
  <c r="M1201" i="23"/>
  <c r="M1104" i="23"/>
  <c r="M1091" i="23"/>
  <c r="M1069" i="23"/>
  <c r="M1054" i="23"/>
  <c r="M1020" i="23"/>
  <c r="M997" i="23"/>
  <c r="M998" i="23"/>
  <c r="M977" i="23"/>
  <c r="M965" i="23"/>
  <c r="M892" i="23"/>
  <c r="M882" i="23"/>
  <c r="M867" i="23"/>
  <c r="M769" i="23"/>
  <c r="M593" i="23"/>
  <c r="M430" i="23"/>
  <c r="M412" i="23"/>
  <c r="M159" i="23"/>
  <c r="M60" i="23"/>
  <c r="M30" i="23"/>
  <c r="M2178" i="23"/>
  <c r="M2151" i="23"/>
  <c r="M2098" i="23"/>
  <c r="M2067" i="23"/>
  <c r="M2053" i="23"/>
  <c r="M2052" i="23"/>
  <c r="M2020" i="23"/>
  <c r="M2007" i="23"/>
  <c r="M1973" i="23"/>
  <c r="M1949" i="23"/>
  <c r="M1860" i="23"/>
  <c r="M1820" i="23"/>
  <c r="M1788" i="23"/>
  <c r="M1740" i="23"/>
  <c r="M1709" i="23"/>
  <c r="M1687" i="23"/>
  <c r="M1678" i="23"/>
  <c r="M1636" i="23"/>
  <c r="M1610" i="23"/>
  <c r="M1567" i="23"/>
  <c r="M1544" i="23"/>
  <c r="M1498" i="23"/>
  <c r="M1455" i="23"/>
  <c r="M1403" i="23"/>
  <c r="M1376" i="23"/>
  <c r="M1341" i="23"/>
  <c r="M1307" i="23"/>
  <c r="M1288" i="23"/>
  <c r="M1266" i="23"/>
  <c r="M1116" i="23"/>
  <c r="M1219" i="23"/>
  <c r="M1198" i="23"/>
  <c r="M1167" i="23"/>
  <c r="M1053" i="23"/>
  <c r="M1010" i="23"/>
  <c r="M976" i="23"/>
  <c r="M938" i="23"/>
  <c r="M881" i="23"/>
  <c r="M845" i="23"/>
  <c r="M819" i="23"/>
  <c r="M780" i="23"/>
  <c r="M735" i="23"/>
  <c r="M711" i="23"/>
  <c r="M690" i="23"/>
  <c r="M662" i="23"/>
  <c r="M648" i="23"/>
  <c r="M602" i="23"/>
  <c r="M601" i="23"/>
  <c r="M580" i="23"/>
  <c r="M533" i="23"/>
  <c r="M519" i="23"/>
  <c r="M485" i="23"/>
  <c r="M429" i="23"/>
  <c r="N429" i="23" s="1"/>
  <c r="M411" i="23"/>
  <c r="M410" i="23"/>
  <c r="M322" i="23"/>
  <c r="M297" i="23"/>
  <c r="M259" i="23"/>
  <c r="M243" i="23"/>
  <c r="M201" i="23"/>
  <c r="M176" i="23"/>
  <c r="M150" i="23"/>
  <c r="N150" i="23" s="1"/>
  <c r="M123" i="23"/>
  <c r="M45" i="23"/>
  <c r="K2234" i="23"/>
  <c r="L2234" i="23" s="1"/>
  <c r="K2246" i="23"/>
  <c r="L2246" i="23" s="1"/>
  <c r="K2269" i="23"/>
  <c r="L2269" i="23" s="1"/>
  <c r="K2051" i="23"/>
  <c r="L2051" i="23" s="1"/>
  <c r="K2065" i="23"/>
  <c r="L2065" i="23" s="1"/>
  <c r="K2250" i="23"/>
  <c r="L2250" i="23" s="1"/>
  <c r="K2251" i="23"/>
  <c r="L2251" i="23" s="1"/>
  <c r="K2279" i="23"/>
  <c r="L2279" i="23" s="1"/>
  <c r="K2227" i="23"/>
  <c r="L2227" i="23" s="1"/>
  <c r="K2231" i="23"/>
  <c r="L2231" i="23" s="1"/>
  <c r="K1992" i="23"/>
  <c r="L1992" i="23" s="1"/>
  <c r="K2003" i="23"/>
  <c r="L2003" i="23" s="1"/>
  <c r="K1898" i="23"/>
  <c r="L1898" i="23" s="1"/>
  <c r="K1866" i="23"/>
  <c r="L1866" i="23" s="1"/>
  <c r="K1844" i="23"/>
  <c r="L1844" i="23" s="1"/>
  <c r="K1934" i="23"/>
  <c r="L1934" i="23" s="1"/>
  <c r="K1938" i="23"/>
  <c r="L1938" i="23" s="1"/>
  <c r="K1929" i="23"/>
  <c r="L1929" i="23" s="1"/>
  <c r="K1909" i="23"/>
  <c r="L1909" i="23" s="1"/>
  <c r="K1922" i="23"/>
  <c r="L1922" i="23" s="1"/>
  <c r="K1952" i="23"/>
  <c r="L1952" i="23" s="1"/>
  <c r="K2253" i="23"/>
  <c r="L2253" i="23" s="1"/>
  <c r="K2091" i="23"/>
  <c r="L2091" i="23" s="1"/>
  <c r="K2238" i="23"/>
  <c r="L2238" i="23" s="1"/>
  <c r="K2267" i="23"/>
  <c r="L2267" i="23" s="1"/>
  <c r="K2215" i="23"/>
  <c r="L2215" i="23" s="1"/>
  <c r="K2184" i="23"/>
  <c r="L2184" i="23" s="1"/>
  <c r="K2001" i="23"/>
  <c r="L2001" i="23" s="1"/>
  <c r="K2285" i="23"/>
  <c r="L2285" i="23" s="1"/>
  <c r="K2277" i="23"/>
  <c r="L2277" i="23" s="1"/>
  <c r="K2278" i="23"/>
  <c r="L2278" i="23" s="1"/>
  <c r="K2280" i="23"/>
  <c r="L2280" i="23" s="1"/>
  <c r="K2265" i="23"/>
  <c r="L2265" i="23" s="1"/>
  <c r="K2289" i="23"/>
  <c r="L2289" i="23" s="1"/>
  <c r="K2298" i="23"/>
  <c r="L2298" i="23" s="1"/>
  <c r="K2203" i="23"/>
  <c r="L2203" i="23" s="1"/>
  <c r="K2299" i="23"/>
  <c r="L2299" i="23" s="1"/>
  <c r="K2300" i="23"/>
  <c r="L2300" i="23" s="1"/>
  <c r="K2307" i="23"/>
  <c r="L2307" i="23" s="1"/>
  <c r="K2296" i="23"/>
  <c r="L2296" i="23" s="1"/>
  <c r="K2198" i="23"/>
  <c r="L2198" i="23" s="1"/>
  <c r="K2311" i="23"/>
  <c r="L2311" i="23" s="1"/>
  <c r="K2275" i="23"/>
  <c r="L2275" i="23" s="1"/>
  <c r="K2236" i="23"/>
  <c r="L2236" i="23" s="1"/>
  <c r="K2264" i="23"/>
  <c r="L2264" i="23" s="1"/>
  <c r="K2226" i="23"/>
  <c r="L2226" i="23" s="1"/>
  <c r="K2314" i="23"/>
  <c r="L2314" i="23" s="1"/>
  <c r="K2344" i="23"/>
  <c r="L2344" i="23" s="1"/>
  <c r="K2235" i="23"/>
  <c r="L2235" i="23" s="1"/>
  <c r="K2323" i="23"/>
  <c r="L2323" i="23" s="1"/>
  <c r="K2357" i="23"/>
  <c r="L2357" i="23" s="1"/>
  <c r="K2350" i="23"/>
  <c r="L2350" i="23" s="1"/>
  <c r="K2321" i="23"/>
  <c r="L2321" i="23" s="1"/>
  <c r="K2345" i="23"/>
  <c r="L2345" i="23" s="1"/>
  <c r="K2358" i="23"/>
  <c r="L2358" i="23" s="1"/>
  <c r="K2327" i="23"/>
  <c r="L2327" i="23" s="1"/>
  <c r="K2335" i="23"/>
  <c r="L2335" i="23" s="1"/>
  <c r="K2369" i="23"/>
  <c r="L2369" i="23" s="1"/>
  <c r="K2355" i="23"/>
  <c r="L2355" i="23" s="1"/>
  <c r="K2096" i="23"/>
  <c r="L2096" i="23" s="1"/>
  <c r="K2349" i="23"/>
  <c r="L2349" i="23" s="1"/>
  <c r="K2373" i="23"/>
  <c r="L2373" i="23" s="1"/>
  <c r="K2324" i="23"/>
  <c r="L2324" i="23" s="1"/>
  <c r="K2325" i="23"/>
  <c r="L2325" i="23" s="1"/>
  <c r="K2384" i="23"/>
  <c r="L2384" i="23" s="1"/>
  <c r="K2281" i="23"/>
  <c r="L2281" i="23" s="1"/>
  <c r="K2167" i="23"/>
  <c r="L2167" i="23" s="1"/>
  <c r="K2130" i="23"/>
  <c r="L2130" i="23" s="1"/>
  <c r="K2211" i="23"/>
  <c r="L2211" i="23" s="1"/>
  <c r="K2232" i="23"/>
  <c r="L2232" i="23" s="1"/>
  <c r="K2320" i="23"/>
  <c r="L2320" i="23" s="1"/>
  <c r="K2305" i="23"/>
  <c r="L2305" i="23" s="1"/>
  <c r="K2337" i="23"/>
  <c r="L2337" i="23" s="1"/>
  <c r="K2382" i="23"/>
  <c r="L2382" i="23" s="1"/>
  <c r="K2377" i="23"/>
  <c r="L2377" i="23" s="1"/>
  <c r="K2379" i="23"/>
  <c r="L2379" i="23" s="1"/>
  <c r="K2243" i="23"/>
  <c r="L2243" i="23" s="1"/>
  <c r="K2308" i="23"/>
  <c r="L2308" i="23" s="1"/>
  <c r="K2309" i="23"/>
  <c r="L2309" i="23" s="1"/>
  <c r="K2222" i="23"/>
  <c r="L2222" i="23" s="1"/>
  <c r="K2223" i="23"/>
  <c r="L2223" i="23" s="1"/>
  <c r="K2213" i="23"/>
  <c r="L2213" i="23" s="1"/>
  <c r="K2266" i="23"/>
  <c r="L2266" i="23" s="1"/>
  <c r="K2263" i="23"/>
  <c r="L2263" i="23" s="1"/>
  <c r="K2282" i="23"/>
  <c r="L2282" i="23" s="1"/>
  <c r="K1748" i="23"/>
  <c r="L1748" i="23" s="1"/>
  <c r="K1722" i="23"/>
  <c r="L1722" i="23" s="1"/>
  <c r="K1655" i="23"/>
  <c r="L1655" i="23" s="1"/>
  <c r="M440" i="23"/>
  <c r="N440" i="23" s="1"/>
  <c r="K440" i="23"/>
  <c r="L440" i="23" s="1"/>
  <c r="K439" i="23"/>
  <c r="L439" i="23" s="1"/>
  <c r="K441" i="23"/>
  <c r="L441" i="23" s="1"/>
  <c r="K548" i="23"/>
  <c r="L548" i="23" s="1"/>
  <c r="K406" i="23"/>
  <c r="L406" i="23" s="1"/>
  <c r="K399" i="23"/>
  <c r="L399" i="23" s="1"/>
  <c r="K408" i="23"/>
  <c r="L408" i="23" s="1"/>
  <c r="K448" i="23"/>
  <c r="L448" i="23" s="1"/>
  <c r="K1720" i="23"/>
  <c r="L1720" i="23" s="1"/>
  <c r="K500" i="23"/>
  <c r="L500" i="23" s="1"/>
  <c r="K429" i="23"/>
  <c r="L429" i="23" s="1"/>
  <c r="K23" i="23"/>
  <c r="L23" i="23" s="1"/>
  <c r="K150" i="23"/>
  <c r="L150" i="23" s="1"/>
  <c r="L2453" i="23" l="1"/>
  <c r="L2530" i="23"/>
  <c r="N1796" i="23"/>
  <c r="N1858" i="23"/>
  <c r="M1859" i="23"/>
  <c r="N1859" i="23" s="1"/>
  <c r="K1858" i="23"/>
  <c r="L1858" i="23" s="1"/>
  <c r="N1893" i="23"/>
  <c r="K1859" i="23"/>
  <c r="L1859" i="23" s="1"/>
  <c r="N1840" i="23"/>
  <c r="N1774" i="23"/>
  <c r="K1774" i="23"/>
  <c r="L1774" i="23" s="1"/>
  <c r="K1840" i="23"/>
  <c r="L1840" i="23" s="1"/>
  <c r="N1761" i="23"/>
  <c r="N1717" i="23"/>
  <c r="N1685" i="23"/>
  <c r="M1651" i="23"/>
  <c r="N1651" i="23" s="1"/>
  <c r="N2031" i="23"/>
  <c r="N1978" i="23"/>
  <c r="K1978" i="23"/>
  <c r="L1978" i="23" s="1"/>
  <c r="N1658" i="23"/>
  <c r="N1771" i="23"/>
  <c r="N1758" i="23"/>
  <c r="K1758" i="23"/>
  <c r="L1758" i="23" s="1"/>
  <c r="N1827" i="23"/>
  <c r="N1958" i="23"/>
  <c r="N2162" i="23"/>
  <c r="N2030" i="23"/>
  <c r="N2000" i="23"/>
  <c r="K2000" i="23"/>
  <c r="L2000" i="23" s="1"/>
  <c r="N1915" i="23"/>
  <c r="N1957" i="23"/>
  <c r="K1915" i="23"/>
  <c r="L1915" i="23" s="1"/>
  <c r="N1870" i="23"/>
  <c r="N1803" i="23"/>
  <c r="K1803" i="23"/>
  <c r="L1803" i="23" s="1"/>
  <c r="N2171" i="23"/>
  <c r="N1921" i="23"/>
  <c r="M1920" i="23"/>
  <c r="N1920" i="23" s="1"/>
  <c r="N1914" i="23"/>
  <c r="M1910" i="23"/>
  <c r="N1910" i="23" s="1"/>
  <c r="N1888" i="23"/>
  <c r="N1867" i="23"/>
  <c r="K1920" i="23"/>
  <c r="L1920" i="23" s="1"/>
  <c r="K1910" i="23"/>
  <c r="L1910" i="23" s="1"/>
  <c r="K1867" i="23"/>
  <c r="L1867" i="23" s="1"/>
  <c r="M1965" i="23"/>
  <c r="N1965" i="23" s="1"/>
  <c r="N1954" i="23"/>
  <c r="M1953" i="23"/>
  <c r="N1953" i="23" s="1"/>
  <c r="K1953" i="23"/>
  <c r="L1953" i="23" s="1"/>
  <c r="N1986" i="23"/>
  <c r="N2072" i="23"/>
  <c r="K1986" i="23"/>
  <c r="L1986" i="23" s="1"/>
  <c r="N1937" i="23"/>
  <c r="K2072" i="23"/>
  <c r="L2072" i="23" s="1"/>
  <c r="K1937" i="23"/>
  <c r="L1937" i="23" s="1"/>
  <c r="N2024" i="23"/>
  <c r="N2012" i="23"/>
  <c r="N2042" i="23"/>
  <c r="K2012" i="23"/>
  <c r="L2012" i="23" s="1"/>
  <c r="K2024" i="23"/>
  <c r="L2024" i="23" s="1"/>
  <c r="N1626" i="23"/>
  <c r="N1614" i="23"/>
  <c r="K1614" i="23"/>
  <c r="L1614" i="23" s="1"/>
  <c r="N2109" i="23"/>
  <c r="N2169" i="23"/>
  <c r="N2055" i="23"/>
  <c r="K2055" i="23"/>
  <c r="L2055" i="23" s="1"/>
  <c r="K1862" i="23"/>
  <c r="L1862" i="23" s="1"/>
  <c r="K1846" i="23"/>
  <c r="L1846" i="23" s="1"/>
  <c r="K1726" i="23"/>
  <c r="L1726" i="23" s="1"/>
  <c r="K1570" i="23"/>
  <c r="K1419" i="23"/>
  <c r="K1362" i="23"/>
  <c r="K1332" i="23"/>
  <c r="K1310" i="23"/>
  <c r="K1309" i="23"/>
  <c r="K1296" i="23"/>
  <c r="K1289" i="23"/>
  <c r="K323" i="23"/>
  <c r="K248" i="23"/>
  <c r="K227" i="23"/>
  <c r="K187" i="23"/>
  <c r="K170" i="23"/>
  <c r="N2178" i="23"/>
  <c r="N2151" i="23"/>
  <c r="N2098" i="23"/>
  <c r="N2067" i="23"/>
  <c r="N2053" i="23"/>
  <c r="N2052" i="23"/>
  <c r="N2020" i="23"/>
  <c r="N2007" i="23"/>
  <c r="N1973" i="23"/>
  <c r="N1949" i="23"/>
  <c r="N1860" i="23"/>
  <c r="N1820" i="23"/>
  <c r="N1788" i="23"/>
  <c r="N1740" i="23"/>
  <c r="N1709" i="23"/>
  <c r="N1687" i="23"/>
  <c r="N1678" i="23"/>
  <c r="N1636" i="23"/>
  <c r="N1610" i="23"/>
  <c r="K2178" i="23"/>
  <c r="L2178" i="23" s="1"/>
  <c r="K2151" i="23"/>
  <c r="L2151" i="23" s="1"/>
  <c r="K2098" i="23"/>
  <c r="L2098" i="23" s="1"/>
  <c r="K2067" i="23"/>
  <c r="L2067" i="23" s="1"/>
  <c r="K2053" i="23"/>
  <c r="L2053" i="23" s="1"/>
  <c r="K2052" i="23"/>
  <c r="L2052" i="23" s="1"/>
  <c r="K2020" i="23"/>
  <c r="L2020" i="23" s="1"/>
  <c r="K2007" i="23"/>
  <c r="L2007" i="23" s="1"/>
  <c r="K1973" i="23"/>
  <c r="L1973" i="23" s="1"/>
  <c r="K1949" i="23"/>
  <c r="L1949" i="23" s="1"/>
  <c r="K1860" i="23"/>
  <c r="L1860" i="23" s="1"/>
  <c r="K1820" i="23"/>
  <c r="L1820" i="23" s="1"/>
  <c r="K1788" i="23"/>
  <c r="L1788" i="23" s="1"/>
  <c r="K1740" i="23"/>
  <c r="L1740" i="23" s="1"/>
  <c r="K1709" i="23"/>
  <c r="L1709" i="23" s="1"/>
  <c r="K1687" i="23"/>
  <c r="L1687" i="23" s="1"/>
  <c r="K1678" i="23"/>
  <c r="L1678" i="23" s="1"/>
  <c r="K1636" i="23"/>
  <c r="L1636" i="23" s="1"/>
  <c r="K1610" i="23"/>
  <c r="L1610" i="23" s="1"/>
  <c r="N518" i="23"/>
  <c r="N559" i="23"/>
  <c r="K518" i="23"/>
  <c r="L518" i="23" s="1"/>
  <c r="N496" i="23"/>
  <c r="N444" i="23"/>
  <c r="K496" i="23"/>
  <c r="L496" i="23" s="1"/>
  <c r="K559" i="23"/>
  <c r="L559" i="23" s="1"/>
  <c r="K444" i="23"/>
  <c r="L444" i="23" s="1"/>
  <c r="N2148" i="23"/>
  <c r="N2127" i="23"/>
  <c r="K2127" i="23"/>
  <c r="L2127" i="23" s="1"/>
  <c r="N1842" i="23"/>
  <c r="N1885" i="23"/>
  <c r="K1842" i="23"/>
  <c r="L1842" i="23" s="1"/>
  <c r="N1830" i="23"/>
  <c r="K1830" i="23"/>
  <c r="L1830" i="23" s="1"/>
  <c r="N1797" i="23"/>
  <c r="N1819" i="23"/>
  <c r="K1797" i="23"/>
  <c r="L1797" i="23" s="1"/>
  <c r="N1775" i="23"/>
  <c r="K1775" i="23"/>
  <c r="L1775" i="23" s="1"/>
  <c r="N1686" i="23"/>
  <c r="N1652" i="23"/>
  <c r="N1644" i="23"/>
  <c r="K1644" i="23"/>
  <c r="L1644" i="23" s="1"/>
  <c r="N1623" i="23"/>
  <c r="N1566" i="23"/>
  <c r="K1566" i="23"/>
  <c r="L1566" i="23" s="1"/>
  <c r="N2050" i="23"/>
  <c r="N2006" i="23"/>
  <c r="N1963" i="23"/>
  <c r="N1928" i="23"/>
  <c r="N1908" i="23"/>
  <c r="N1762" i="23"/>
  <c r="N1739" i="23"/>
  <c r="N2192" i="23"/>
  <c r="N2164" i="23"/>
  <c r="N2149" i="23"/>
  <c r="M2122" i="23"/>
  <c r="N2122" i="23" s="1"/>
  <c r="M2108" i="23"/>
  <c r="N2108" i="23" s="1"/>
  <c r="N2107" i="23"/>
  <c r="N2086" i="23"/>
  <c r="N2066" i="23"/>
  <c r="N1718" i="23"/>
  <c r="N1708" i="23"/>
  <c r="K2208" i="23"/>
  <c r="L2208" i="23" s="1"/>
  <c r="K2192" i="23"/>
  <c r="L2192" i="23" s="1"/>
  <c r="K2164" i="23"/>
  <c r="L2164" i="23" s="1"/>
  <c r="K2149" i="23"/>
  <c r="L2149" i="23" s="1"/>
  <c r="K2148" i="23"/>
  <c r="L2148" i="23" s="1"/>
  <c r="K2122" i="23"/>
  <c r="L2122" i="23" s="1"/>
  <c r="K2108" i="23"/>
  <c r="L2108" i="23" s="1"/>
  <c r="K2107" i="23"/>
  <c r="L2107" i="23" s="1"/>
  <c r="K2086" i="23"/>
  <c r="L2086" i="23" s="1"/>
  <c r="K2066" i="23"/>
  <c r="L2066" i="23" s="1"/>
  <c r="K2050" i="23"/>
  <c r="L2050" i="23" s="1"/>
  <c r="K2006" i="23"/>
  <c r="L2006" i="23" s="1"/>
  <c r="K1963" i="23"/>
  <c r="L1963" i="23" s="1"/>
  <c r="K1928" i="23"/>
  <c r="L1928" i="23" s="1"/>
  <c r="K1908" i="23"/>
  <c r="L1908" i="23" s="1"/>
  <c r="K1885" i="23"/>
  <c r="L1885" i="23" s="1"/>
  <c r="K1819" i="23"/>
  <c r="L1819" i="23" s="1"/>
  <c r="K1762" i="23"/>
  <c r="L1762" i="23" s="1"/>
  <c r="K1739" i="23"/>
  <c r="L1739" i="23" s="1"/>
  <c r="K1718" i="23"/>
  <c r="L1718" i="23" s="1"/>
  <c r="K1708" i="23"/>
  <c r="L1708" i="23" s="1"/>
  <c r="K1686" i="23"/>
  <c r="L1686" i="23" s="1"/>
  <c r="K1652" i="23"/>
  <c r="L1652" i="23" s="1"/>
  <c r="K1623" i="23"/>
  <c r="L1623" i="23" s="1"/>
  <c r="K1558" i="23"/>
  <c r="K1502" i="23"/>
  <c r="K1497" i="23"/>
  <c r="K1483" i="23"/>
  <c r="N2163" i="23"/>
  <c r="N2121" i="23"/>
  <c r="N2097" i="23"/>
  <c r="N2049" i="23"/>
  <c r="N2005" i="23"/>
  <c r="N1971" i="23"/>
  <c r="N1962" i="23"/>
  <c r="N1948" i="23"/>
  <c r="N1635" i="23"/>
  <c r="N1609" i="23"/>
  <c r="N1565" i="23"/>
  <c r="K2163" i="23"/>
  <c r="K2121" i="23"/>
  <c r="L2121" i="23" s="1"/>
  <c r="K2097" i="23"/>
  <c r="L2097" i="23" s="1"/>
  <c r="K2049" i="23"/>
  <c r="L2049" i="23" s="1"/>
  <c r="K2005" i="23"/>
  <c r="L2005" i="23" s="1"/>
  <c r="K1971" i="23"/>
  <c r="L1971" i="23" s="1"/>
  <c r="K1962" i="23"/>
  <c r="L1962" i="23" s="1"/>
  <c r="K1948" i="23"/>
  <c r="L1948" i="23" s="1"/>
  <c r="K1893" i="23"/>
  <c r="L1893" i="23" s="1"/>
  <c r="K1796" i="23"/>
  <c r="L1796" i="23" s="1"/>
  <c r="K1761" i="23"/>
  <c r="L1761" i="23" s="1"/>
  <c r="K1717" i="23"/>
  <c r="L1717" i="23" s="1"/>
  <c r="K1685" i="23"/>
  <c r="L1685" i="23" s="1"/>
  <c r="K1651" i="23"/>
  <c r="L1651" i="23" s="1"/>
  <c r="K1635" i="23"/>
  <c r="L1635" i="23" s="1"/>
  <c r="K1609" i="23"/>
  <c r="L1609" i="23" s="1"/>
  <c r="K1565" i="23"/>
  <c r="L1565" i="23" s="1"/>
  <c r="N1947" i="23"/>
  <c r="N1916" i="23"/>
  <c r="K1916" i="23"/>
  <c r="L1916" i="23" s="1"/>
  <c r="N1961" i="23"/>
  <c r="K2048" i="23"/>
  <c r="L2048" i="23" s="1"/>
  <c r="K2019" i="23"/>
  <c r="L2019" i="23" s="1"/>
  <c r="K2004" i="23"/>
  <c r="L2004" i="23" s="1"/>
  <c r="K1981" i="23"/>
  <c r="L1981" i="23" s="1"/>
  <c r="K1961" i="23"/>
  <c r="L1961" i="23" s="1"/>
  <c r="K1947" i="23"/>
  <c r="L1947" i="23" s="1"/>
  <c r="K1906" i="23"/>
  <c r="L1906" i="23" s="1"/>
  <c r="K1873" i="23"/>
  <c r="L1873" i="23" s="1"/>
  <c r="K1839" i="23"/>
  <c r="L1839" i="23" s="1"/>
  <c r="K1805" i="23"/>
  <c r="L1805" i="23" s="1"/>
  <c r="K1773" i="23"/>
  <c r="L1773" i="23" s="1"/>
  <c r="K1760" i="23"/>
  <c r="L1760" i="23" s="1"/>
  <c r="K1737" i="23"/>
  <c r="L1737" i="23" s="1"/>
  <c r="K1702" i="23"/>
  <c r="L1702" i="23" s="1"/>
  <c r="K1684" i="23"/>
  <c r="L1684" i="23" s="1"/>
  <c r="K1634" i="23"/>
  <c r="L1634" i="23" s="1"/>
  <c r="K1608" i="23"/>
  <c r="L1608" i="23" s="1"/>
  <c r="K1557" i="23"/>
  <c r="L1557" i="23" s="1"/>
  <c r="K1495" i="23"/>
  <c r="K1472" i="23"/>
  <c r="K1427" i="23"/>
  <c r="K1426" i="23"/>
  <c r="K1425" i="23"/>
  <c r="K1391" i="23"/>
  <c r="K1370" i="23"/>
  <c r="K1359" i="23"/>
  <c r="K1322" i="23"/>
  <c r="N2176" i="23"/>
  <c r="N2146" i="23"/>
  <c r="M2120" i="23"/>
  <c r="N2120" i="23" s="1"/>
  <c r="N2084" i="23"/>
  <c r="N2048" i="23"/>
  <c r="N2019" i="23"/>
  <c r="N2004" i="23"/>
  <c r="N1981" i="23"/>
  <c r="N1906" i="23"/>
  <c r="N1873" i="23"/>
  <c r="N1839" i="23"/>
  <c r="N1805" i="23"/>
  <c r="N1773" i="23"/>
  <c r="N1760" i="23"/>
  <c r="N1737" i="23"/>
  <c r="N1702" i="23"/>
  <c r="N1684" i="23"/>
  <c r="N1634" i="23"/>
  <c r="N1608" i="23"/>
  <c r="K2176" i="23"/>
  <c r="L2176" i="23" s="1"/>
  <c r="K2146" i="23"/>
  <c r="L2146" i="23" s="1"/>
  <c r="K2120" i="23"/>
  <c r="L2120" i="23" s="1"/>
  <c r="K2084" i="23"/>
  <c r="L2084" i="23" s="1"/>
  <c r="N1838" i="23"/>
  <c r="N1829" i="23"/>
  <c r="K1829" i="23"/>
  <c r="L1829" i="23" s="1"/>
  <c r="N1960" i="23"/>
  <c r="N1946" i="23"/>
  <c r="K1946" i="23"/>
  <c r="L1946" i="23" s="1"/>
  <c r="N2188" i="23"/>
  <c r="K2144" i="23"/>
  <c r="L2144" i="23" s="1"/>
  <c r="M2145" i="23"/>
  <c r="N2145" i="23" s="1"/>
  <c r="N2119" i="23"/>
  <c r="N2083" i="23"/>
  <c r="N2033" i="23"/>
  <c r="N1987" i="23"/>
  <c r="N1980" i="23"/>
  <c r="N1927" i="23"/>
  <c r="N1892" i="23"/>
  <c r="N1872" i="23"/>
  <c r="N1818" i="23"/>
  <c r="M1787" i="23"/>
  <c r="N1787" i="23" s="1"/>
  <c r="N1784" i="23"/>
  <c r="N1759" i="23"/>
  <c r="N1701" i="23"/>
  <c r="M1650" i="23"/>
  <c r="N1650" i="23" s="1"/>
  <c r="N1633" i="23"/>
  <c r="N1607" i="23"/>
  <c r="K2188" i="23"/>
  <c r="L2188" i="23" s="1"/>
  <c r="K2145" i="23"/>
  <c r="L2145" i="23" s="1"/>
  <c r="K2119" i="23"/>
  <c r="L2119" i="23" s="1"/>
  <c r="K2083" i="23"/>
  <c r="L2083" i="23" s="1"/>
  <c r="K2033" i="23"/>
  <c r="L2033" i="23" s="1"/>
  <c r="K1987" i="23"/>
  <c r="L1987" i="23" s="1"/>
  <c r="K1980" i="23"/>
  <c r="L1980" i="23" s="1"/>
  <c r="K1960" i="23"/>
  <c r="L1960" i="23" s="1"/>
  <c r="K1927" i="23"/>
  <c r="L1927" i="23" s="1"/>
  <c r="K1892" i="23"/>
  <c r="L1892" i="23" s="1"/>
  <c r="K1872" i="23"/>
  <c r="L1872" i="23" s="1"/>
  <c r="K1838" i="23"/>
  <c r="L1838" i="23" s="1"/>
  <c r="K1818" i="23"/>
  <c r="L1818" i="23" s="1"/>
  <c r="K1787" i="23"/>
  <c r="L1787" i="23" s="1"/>
  <c r="K1784" i="23"/>
  <c r="L1784" i="23" s="1"/>
  <c r="K1759" i="23"/>
  <c r="L1759" i="23" s="1"/>
  <c r="K1701" i="23"/>
  <c r="L1701" i="23" s="1"/>
  <c r="K1650" i="23"/>
  <c r="L1650" i="23" s="1"/>
  <c r="K1633" i="23"/>
  <c r="L1633" i="23" s="1"/>
  <c r="K1607" i="23"/>
  <c r="L1607" i="23" s="1"/>
  <c r="K1555" i="23"/>
  <c r="L1555" i="23" s="1"/>
  <c r="N2082" i="23"/>
  <c r="N1945" i="23"/>
  <c r="N1857" i="23"/>
  <c r="N1700" i="23"/>
  <c r="N1632" i="23"/>
  <c r="N1583" i="23"/>
  <c r="K2082" i="23"/>
  <c r="L2082" i="23" s="1"/>
  <c r="K1945" i="23"/>
  <c r="L1945" i="23" s="1"/>
  <c r="K1857" i="23"/>
  <c r="L1857" i="23" s="1"/>
  <c r="K1700" i="23"/>
  <c r="L1700" i="23" s="1"/>
  <c r="K1632" i="23"/>
  <c r="L1632" i="23" s="1"/>
  <c r="K1583" i="23"/>
  <c r="L1583" i="23" s="1"/>
  <c r="K1554" i="23"/>
  <c r="M1643" i="23"/>
  <c r="N1643" i="23" s="1"/>
  <c r="N1747" i="23"/>
  <c r="N1699" i="23"/>
  <c r="N1631" i="23"/>
  <c r="K1631" i="23"/>
  <c r="L1631" i="23" s="1"/>
  <c r="K1699" i="23"/>
  <c r="L1699" i="23" s="1"/>
  <c r="N1845" i="23"/>
  <c r="N1837" i="23"/>
  <c r="N1828" i="23"/>
  <c r="N1891" i="23"/>
  <c r="K1837" i="23"/>
  <c r="L1837" i="23" s="1"/>
  <c r="K1845" i="23"/>
  <c r="L1845" i="23" s="1"/>
  <c r="N2143" i="23"/>
  <c r="N2081" i="23"/>
  <c r="N2032" i="23"/>
  <c r="N1979" i="23"/>
  <c r="M1959" i="23"/>
  <c r="N1959" i="23" s="1"/>
  <c r="N1926" i="23"/>
  <c r="N1783" i="23"/>
  <c r="N1587" i="23"/>
  <c r="N1480" i="23"/>
  <c r="K2143" i="23"/>
  <c r="L2143" i="23" s="1"/>
  <c r="K2081" i="23"/>
  <c r="L2081" i="23" s="1"/>
  <c r="K2047" i="23"/>
  <c r="L2047" i="23" s="1"/>
  <c r="K2032" i="23"/>
  <c r="L2032" i="23" s="1"/>
  <c r="K1979" i="23"/>
  <c r="L1979" i="23" s="1"/>
  <c r="K1959" i="23"/>
  <c r="L1959" i="23" s="1"/>
  <c r="K1926" i="23"/>
  <c r="L1926" i="23" s="1"/>
  <c r="K1891" i="23"/>
  <c r="L1891" i="23" s="1"/>
  <c r="K1828" i="23"/>
  <c r="L1828" i="23" s="1"/>
  <c r="K1783" i="23"/>
  <c r="L1783" i="23" s="1"/>
  <c r="K1747" i="23"/>
  <c r="L1747" i="23" s="1"/>
  <c r="K1643" i="23"/>
  <c r="L1643" i="23" s="1"/>
  <c r="K1587" i="23"/>
  <c r="L1587" i="23" s="1"/>
  <c r="K1480" i="23"/>
  <c r="L1480" i="23" s="1"/>
  <c r="N2047" i="23"/>
  <c r="N2142" i="23"/>
  <c r="N2064" i="23"/>
  <c r="N2018" i="23"/>
  <c r="N1905" i="23"/>
  <c r="N1804" i="23"/>
  <c r="N1746" i="23"/>
  <c r="N1674" i="23"/>
  <c r="M1606" i="23"/>
  <c r="N1606" i="23" s="1"/>
  <c r="N1582" i="23"/>
  <c r="N1541" i="23"/>
  <c r="K2142" i="23"/>
  <c r="L2142" i="23" s="1"/>
  <c r="K2064" i="23"/>
  <c r="L2064" i="23" s="1"/>
  <c r="K2018" i="23"/>
  <c r="L2018" i="23" s="1"/>
  <c r="K1905" i="23"/>
  <c r="L1905" i="23" s="1"/>
  <c r="K1804" i="23"/>
  <c r="L1804" i="23" s="1"/>
  <c r="K1746" i="23"/>
  <c r="L1746" i="23" s="1"/>
  <c r="K1674" i="23"/>
  <c r="L1674" i="23" s="1"/>
  <c r="K1606" i="23"/>
  <c r="L1606" i="23" s="1"/>
  <c r="K1582" i="23"/>
  <c r="L1582" i="23" s="1"/>
  <c r="K1541" i="23"/>
  <c r="L1541" i="23" s="1"/>
  <c r="N1772" i="23"/>
  <c r="N1736" i="23"/>
  <c r="K1736" i="23"/>
  <c r="L1736" i="23" s="1"/>
  <c r="N1683" i="23"/>
  <c r="N1654" i="23"/>
  <c r="K1654" i="23"/>
  <c r="L1654" i="23" s="1"/>
  <c r="N2080" i="23"/>
  <c r="N1944" i="23"/>
  <c r="N1904" i="23"/>
  <c r="N1871" i="23"/>
  <c r="N1836" i="23"/>
  <c r="N1817" i="23"/>
  <c r="N1782" i="23"/>
  <c r="N1716" i="23"/>
  <c r="N1621" i="23"/>
  <c r="N1563" i="23"/>
  <c r="K2080" i="23"/>
  <c r="L2080" i="23" s="1"/>
  <c r="K2031" i="23"/>
  <c r="L2031" i="23" s="1"/>
  <c r="K1944" i="23"/>
  <c r="L1944" i="23" s="1"/>
  <c r="K1904" i="23"/>
  <c r="L1904" i="23" s="1"/>
  <c r="K1871" i="23"/>
  <c r="L1871" i="23" s="1"/>
  <c r="K1836" i="23"/>
  <c r="L1836" i="23" s="1"/>
  <c r="K1817" i="23"/>
  <c r="L1817" i="23" s="1"/>
  <c r="K1782" i="23"/>
  <c r="L1782" i="23" s="1"/>
  <c r="K1772" i="23"/>
  <c r="L1772" i="23" s="1"/>
  <c r="K1716" i="23"/>
  <c r="L1716" i="23" s="1"/>
  <c r="K1683" i="23"/>
  <c r="L1683" i="23" s="1"/>
  <c r="K1621" i="23"/>
  <c r="L1621" i="23" s="1"/>
  <c r="K1563" i="23"/>
  <c r="L1563" i="23" s="1"/>
  <c r="N1682" i="23"/>
  <c r="K1673" i="23"/>
  <c r="L1673" i="23" s="1"/>
  <c r="N1734" i="23"/>
  <c r="N1735" i="23"/>
  <c r="K1734" i="23"/>
  <c r="L1734" i="23" s="1"/>
  <c r="M1794" i="23"/>
  <c r="N1794" i="23" s="1"/>
  <c r="M1795" i="23"/>
  <c r="N1795" i="23" s="1"/>
  <c r="N1815" i="23"/>
  <c r="K1794" i="23"/>
  <c r="L1794" i="23" s="1"/>
  <c r="N1883" i="23"/>
  <c r="M1855" i="23"/>
  <c r="N1855" i="23" s="1"/>
  <c r="N1854" i="23"/>
  <c r="K1854" i="23"/>
  <c r="L1854" i="23" s="1"/>
  <c r="M1816" i="23"/>
  <c r="N1816" i="23" s="1"/>
  <c r="K1815" i="23"/>
  <c r="L1815" i="23" s="1"/>
  <c r="N2117" i="23"/>
  <c r="N2141" i="23"/>
  <c r="M2174" i="23"/>
  <c r="N2174" i="23" s="1"/>
  <c r="N2104" i="23"/>
  <c r="N2094" i="23"/>
  <c r="N2079" i="23"/>
  <c r="N2063" i="23"/>
  <c r="N2037" i="23"/>
  <c r="M1976" i="23"/>
  <c r="N1976" i="23" s="1"/>
  <c r="N1969" i="23"/>
  <c r="N1903" i="23"/>
  <c r="M1884" i="23"/>
  <c r="N1884" i="23" s="1"/>
  <c r="N1835" i="23"/>
  <c r="N1781" i="23"/>
  <c r="N1715" i="23"/>
  <c r="M1698" i="23"/>
  <c r="N1698" i="23" s="1"/>
  <c r="M1630" i="23"/>
  <c r="N1630" i="23" s="1"/>
  <c r="N1620" i="23"/>
  <c r="N1605" i="23"/>
  <c r="M1578" i="23"/>
  <c r="K2174" i="23"/>
  <c r="L2174" i="23" s="1"/>
  <c r="K2162" i="23"/>
  <c r="L2162" i="23" s="1"/>
  <c r="K2141" i="23"/>
  <c r="L2141" i="23" s="1"/>
  <c r="K2116" i="23"/>
  <c r="L2116" i="23" s="1"/>
  <c r="K2117" i="23"/>
  <c r="L2117" i="23" s="1"/>
  <c r="K2104" i="23"/>
  <c r="L2104" i="23" s="1"/>
  <c r="K2094" i="23"/>
  <c r="L2094" i="23" s="1"/>
  <c r="K2079" i="23"/>
  <c r="L2079" i="23" s="1"/>
  <c r="K2063" i="23"/>
  <c r="L2063" i="23" s="1"/>
  <c r="K2037" i="23"/>
  <c r="L2037" i="23" s="1"/>
  <c r="K2030" i="23"/>
  <c r="L2030" i="23" s="1"/>
  <c r="K1976" i="23"/>
  <c r="L1976" i="23" s="1"/>
  <c r="K1969" i="23"/>
  <c r="L1969" i="23" s="1"/>
  <c r="K1958" i="23"/>
  <c r="L1958" i="23" s="1"/>
  <c r="K1903" i="23"/>
  <c r="L1903" i="23" s="1"/>
  <c r="K1884" i="23"/>
  <c r="L1884" i="23" s="1"/>
  <c r="K1883" i="23"/>
  <c r="L1883" i="23" s="1"/>
  <c r="K1855" i="23"/>
  <c r="L1855" i="23" s="1"/>
  <c r="K1835" i="23"/>
  <c r="L1835" i="23" s="1"/>
  <c r="K1827" i="23"/>
  <c r="L1827" i="23" s="1"/>
  <c r="K1816" i="23"/>
  <c r="L1816" i="23" s="1"/>
  <c r="K1795" i="23"/>
  <c r="L1795" i="23" s="1"/>
  <c r="K1781" i="23"/>
  <c r="L1781" i="23" s="1"/>
  <c r="K1771" i="23"/>
  <c r="L1771" i="23" s="1"/>
  <c r="K1735" i="23"/>
  <c r="L1735" i="23" s="1"/>
  <c r="K1715" i="23"/>
  <c r="L1715" i="23" s="1"/>
  <c r="K1698" i="23"/>
  <c r="L1698" i="23" s="1"/>
  <c r="K1682" i="23"/>
  <c r="L1682" i="23" s="1"/>
  <c r="K1658" i="23"/>
  <c r="L1658" i="23" s="1"/>
  <c r="K1630" i="23"/>
  <c r="L1630" i="23" s="1"/>
  <c r="K1620" i="23"/>
  <c r="L1620" i="23" s="1"/>
  <c r="K1605" i="23"/>
  <c r="L1605" i="23" s="1"/>
  <c r="K1578" i="23"/>
  <c r="L1578" i="23" s="1"/>
  <c r="K1562" i="23"/>
  <c r="N1902" i="23"/>
  <c r="N2140" i="23"/>
  <c r="K2140" i="23"/>
  <c r="L2140" i="23" s="1"/>
  <c r="K2185" i="23"/>
  <c r="L2185" i="23" s="1"/>
  <c r="K2173" i="23"/>
  <c r="L2173" i="23" s="1"/>
  <c r="K2078" i="23"/>
  <c r="L2078" i="23" s="1"/>
  <c r="K1999" i="23"/>
  <c r="L1999" i="23" s="1"/>
  <c r="K1902" i="23"/>
  <c r="L1902" i="23" s="1"/>
  <c r="K1780" i="23"/>
  <c r="L1780" i="23" s="1"/>
  <c r="K1757" i="23"/>
  <c r="L1757" i="23" s="1"/>
  <c r="K1733" i="23"/>
  <c r="L1733" i="23" s="1"/>
  <c r="K1672" i="23"/>
  <c r="L1672" i="23" s="1"/>
  <c r="K1577" i="23"/>
  <c r="L1577" i="23" s="1"/>
  <c r="K1524" i="23"/>
  <c r="K1469" i="23"/>
  <c r="K1437" i="23"/>
  <c r="N2185" i="23"/>
  <c r="N2173" i="23"/>
  <c r="N2078" i="23"/>
  <c r="N1999" i="23"/>
  <c r="N1780" i="23"/>
  <c r="N1757" i="23"/>
  <c r="N1733" i="23"/>
  <c r="N1672" i="23"/>
  <c r="N1577" i="23"/>
  <c r="N1998" i="23"/>
  <c r="N1925" i="23"/>
  <c r="N2123" i="23"/>
  <c r="N2103" i="23"/>
  <c r="N2062" i="23"/>
  <c r="N2061" i="23"/>
  <c r="N1853" i="23"/>
  <c r="N1814" i="23"/>
  <c r="N1756" i="23"/>
  <c r="N1671" i="23"/>
  <c r="K2123" i="23"/>
  <c r="L2123" i="23" s="1"/>
  <c r="K2103" i="23"/>
  <c r="L2103" i="23" s="1"/>
  <c r="K2062" i="23"/>
  <c r="L2062" i="23" s="1"/>
  <c r="K2061" i="23"/>
  <c r="L2061" i="23" s="1"/>
  <c r="K1998" i="23"/>
  <c r="L1998" i="23" s="1"/>
  <c r="K1925" i="23"/>
  <c r="L1925" i="23" s="1"/>
  <c r="K1853" i="23"/>
  <c r="L1853" i="23" s="1"/>
  <c r="K1814" i="23"/>
  <c r="L1814" i="23" s="1"/>
  <c r="K1756" i="23"/>
  <c r="L1756" i="23" s="1"/>
  <c r="K1671" i="23"/>
  <c r="L1671" i="23" s="1"/>
  <c r="K1575" i="23"/>
  <c r="K1523" i="23"/>
  <c r="N2200" i="23"/>
  <c r="N2161" i="23"/>
  <c r="N2015" i="23"/>
  <c r="N1943" i="23"/>
  <c r="N1882" i="23"/>
  <c r="N1770" i="23"/>
  <c r="N1721" i="23"/>
  <c r="N1629" i="23"/>
  <c r="K2200" i="23"/>
  <c r="L2200" i="23" s="1"/>
  <c r="K2161" i="23"/>
  <c r="L2161" i="23" s="1"/>
  <c r="K2015" i="23"/>
  <c r="L2015" i="23" s="1"/>
  <c r="K1957" i="23"/>
  <c r="L1957" i="23" s="1"/>
  <c r="K1943" i="23"/>
  <c r="L1943" i="23" s="1"/>
  <c r="K1882" i="23"/>
  <c r="L1882" i="23" s="1"/>
  <c r="K1770" i="23"/>
  <c r="L1770" i="23" s="1"/>
  <c r="K1721" i="23"/>
  <c r="L1721" i="23" s="1"/>
  <c r="K1870" i="23"/>
  <c r="L1870" i="23" s="1"/>
  <c r="K1755" i="23"/>
  <c r="L1755" i="23" s="1"/>
  <c r="K1629" i="23"/>
  <c r="L1629" i="23" s="1"/>
  <c r="K1539" i="23"/>
  <c r="L1539" i="23" s="1"/>
  <c r="N1228" i="23"/>
  <c r="K1228" i="23"/>
  <c r="L1228" i="23" s="1"/>
  <c r="N1881" i="23"/>
  <c r="N1843" i="23"/>
  <c r="K1843" i="23"/>
  <c r="L1843" i="23" s="1"/>
  <c r="N1670" i="23"/>
  <c r="N1769" i="23"/>
  <c r="K1769" i="23"/>
  <c r="L1769" i="23" s="1"/>
  <c r="N2138" i="23"/>
  <c r="N2102" i="23"/>
  <c r="N2046" i="23"/>
  <c r="N1997" i="23"/>
  <c r="N1956" i="23"/>
  <c r="N1924" i="23"/>
  <c r="N1901" i="23"/>
  <c r="N1813" i="23"/>
  <c r="N1745" i="23"/>
  <c r="K2138" i="23"/>
  <c r="L2138" i="23" s="1"/>
  <c r="K2102" i="23"/>
  <c r="L2102" i="23" s="1"/>
  <c r="K2046" i="23"/>
  <c r="L2046" i="23" s="1"/>
  <c r="K1997" i="23"/>
  <c r="L1997" i="23" s="1"/>
  <c r="K1956" i="23"/>
  <c r="L1956" i="23" s="1"/>
  <c r="K1924" i="23"/>
  <c r="L1924" i="23" s="1"/>
  <c r="K1901" i="23"/>
  <c r="L1901" i="23" s="1"/>
  <c r="K1881" i="23"/>
  <c r="L1881" i="23" s="1"/>
  <c r="K1813" i="23"/>
  <c r="L1813" i="23" s="1"/>
  <c r="K1745" i="23"/>
  <c r="L1745" i="23" s="1"/>
  <c r="K1670" i="23"/>
  <c r="L1670" i="23" s="1"/>
  <c r="K1436" i="23"/>
  <c r="L1436" i="23" s="1"/>
  <c r="N1466" i="23"/>
  <c r="K1466" i="23"/>
  <c r="L1466" i="23" s="1"/>
  <c r="N1768" i="23"/>
  <c r="N1754" i="23"/>
  <c r="K1754" i="23"/>
  <c r="L1754" i="23" s="1"/>
  <c r="N1911" i="23"/>
  <c r="N1923" i="23"/>
  <c r="K1911" i="23"/>
  <c r="L1911" i="23" s="1"/>
  <c r="N2137" i="23"/>
  <c r="N2093" i="23"/>
  <c r="N2029" i="23"/>
  <c r="N1996" i="23"/>
  <c r="N1955" i="23"/>
  <c r="N1880" i="23"/>
  <c r="N1852" i="23"/>
  <c r="N1826" i="23"/>
  <c r="N1732" i="23"/>
  <c r="N1697" i="23"/>
  <c r="M1649" i="23"/>
  <c r="N1649" i="23" s="1"/>
  <c r="N1619" i="23"/>
  <c r="N1561" i="23"/>
  <c r="K2137" i="23"/>
  <c r="L2137" i="23" s="1"/>
  <c r="K2093" i="23"/>
  <c r="L2093" i="23" s="1"/>
  <c r="K2029" i="23"/>
  <c r="L2029" i="23" s="1"/>
  <c r="K1996" i="23"/>
  <c r="L1996" i="23" s="1"/>
  <c r="K1955" i="23"/>
  <c r="L1955" i="23" s="1"/>
  <c r="K1923" i="23"/>
  <c r="L1923" i="23" s="1"/>
  <c r="K1880" i="23"/>
  <c r="L1880" i="23" s="1"/>
  <c r="K1852" i="23"/>
  <c r="L1852" i="23" s="1"/>
  <c r="K1826" i="23"/>
  <c r="L1826" i="23" s="1"/>
  <c r="K1768" i="23"/>
  <c r="L1768" i="23" s="1"/>
  <c r="K1732" i="23"/>
  <c r="L1732" i="23" s="1"/>
  <c r="K1697" i="23"/>
  <c r="L1697" i="23" s="1"/>
  <c r="K1649" i="23"/>
  <c r="L1649" i="23" s="1"/>
  <c r="K1619" i="23"/>
  <c r="L1619" i="23" s="1"/>
  <c r="K1561" i="23"/>
  <c r="L1561" i="23" s="1"/>
  <c r="N2014" i="23"/>
  <c r="N2115" i="23"/>
  <c r="N2077" i="23"/>
  <c r="N1942" i="23"/>
  <c r="N1890" i="23"/>
  <c r="N1869" i="23"/>
  <c r="N1834" i="23"/>
  <c r="N1802" i="23"/>
  <c r="N1779" i="23"/>
  <c r="N1753" i="23"/>
  <c r="N1731" i="23"/>
  <c r="N1696" i="23"/>
  <c r="N1628" i="23"/>
  <c r="N1604" i="23"/>
  <c r="N1560" i="23"/>
  <c r="K2115" i="23"/>
  <c r="L2115" i="23" s="1"/>
  <c r="K2077" i="23"/>
  <c r="L2077" i="23" s="1"/>
  <c r="K2014" i="23"/>
  <c r="L2014" i="23" s="1"/>
  <c r="K1942" i="23"/>
  <c r="L1942" i="23" s="1"/>
  <c r="K1890" i="23"/>
  <c r="L1890" i="23" s="1"/>
  <c r="K1869" i="23"/>
  <c r="L1869" i="23" s="1"/>
  <c r="K1834" i="23"/>
  <c r="L1834" i="23" s="1"/>
  <c r="K1802" i="23"/>
  <c r="L1802" i="23" s="1"/>
  <c r="K1779" i="23"/>
  <c r="L1779" i="23" s="1"/>
  <c r="K1753" i="23"/>
  <c r="L1753" i="23" s="1"/>
  <c r="K1731" i="23"/>
  <c r="L1731" i="23" s="1"/>
  <c r="K1696" i="23"/>
  <c r="L1696" i="23" s="1"/>
  <c r="K1628" i="23"/>
  <c r="L1628" i="23" s="1"/>
  <c r="K1604" i="23"/>
  <c r="L1604" i="23" s="1"/>
  <c r="N2172" i="23"/>
  <c r="N2136" i="23"/>
  <c r="N2076" i="23"/>
  <c r="N2036" i="23"/>
  <c r="N2013" i="23"/>
  <c r="N1995" i="23"/>
  <c r="N1968" i="23"/>
  <c r="N1941" i="23"/>
  <c r="N1900" i="23"/>
  <c r="N1868" i="23"/>
  <c r="N1825" i="23"/>
  <c r="N1801" i="23"/>
  <c r="N1778" i="23"/>
  <c r="N1744" i="23"/>
  <c r="N1695" i="23"/>
  <c r="N1642" i="23"/>
  <c r="N1603" i="23"/>
  <c r="K2172" i="23"/>
  <c r="L2172" i="23" s="1"/>
  <c r="K2136" i="23"/>
  <c r="L2136" i="23" s="1"/>
  <c r="K2076" i="23"/>
  <c r="L2076" i="23" s="1"/>
  <c r="K2036" i="23"/>
  <c r="L2036" i="23" s="1"/>
  <c r="K2013" i="23"/>
  <c r="L2013" i="23" s="1"/>
  <c r="K1995" i="23"/>
  <c r="L1995" i="23" s="1"/>
  <c r="K1968" i="23"/>
  <c r="L1968" i="23" s="1"/>
  <c r="K1941" i="23"/>
  <c r="L1941" i="23" s="1"/>
  <c r="K1900" i="23"/>
  <c r="L1900" i="23" s="1"/>
  <c r="K1868" i="23"/>
  <c r="L1868" i="23" s="1"/>
  <c r="K1825" i="23"/>
  <c r="L1825" i="23" s="1"/>
  <c r="K1801" i="23"/>
  <c r="L1801" i="23" s="1"/>
  <c r="K1778" i="23"/>
  <c r="L1778" i="23" s="1"/>
  <c r="K1744" i="23"/>
  <c r="L1744" i="23" s="1"/>
  <c r="K1695" i="23"/>
  <c r="L1695" i="23" s="1"/>
  <c r="K1642" i="23"/>
  <c r="L1642" i="23" s="1"/>
  <c r="K1603" i="23"/>
  <c r="L1603" i="23" s="1"/>
  <c r="N2075" i="23"/>
  <c r="N2028" i="23"/>
  <c r="N1967" i="23"/>
  <c r="N1879" i="23"/>
  <c r="N1812" i="23"/>
  <c r="N1752" i="23"/>
  <c r="N1694" i="23"/>
  <c r="N1618" i="23"/>
  <c r="N1536" i="23"/>
  <c r="N1465" i="23"/>
  <c r="K2171" i="23"/>
  <c r="L2171" i="23" s="1"/>
  <c r="K2135" i="23"/>
  <c r="L2135" i="23" s="1"/>
  <c r="K2075" i="23"/>
  <c r="L2075" i="23" s="1"/>
  <c r="K2028" i="23"/>
  <c r="L2028" i="23" s="1"/>
  <c r="K1967" i="23"/>
  <c r="L1967" i="23" s="1"/>
  <c r="K1879" i="23"/>
  <c r="L1879" i="23" s="1"/>
  <c r="K1812" i="23"/>
  <c r="L1812" i="23" s="1"/>
  <c r="K1752" i="23"/>
  <c r="L1752" i="23" s="1"/>
  <c r="K1694" i="23"/>
  <c r="L1694" i="23" s="1"/>
  <c r="K1618" i="23"/>
  <c r="L1618" i="23" s="1"/>
  <c r="K1536" i="23"/>
  <c r="L1536" i="23" s="1"/>
  <c r="K1465" i="23"/>
  <c r="L1465" i="23" s="1"/>
  <c r="K1414" i="23"/>
  <c r="L1414" i="23" s="1"/>
  <c r="N2170" i="23"/>
  <c r="N2126" i="23"/>
  <c r="N2114" i="23"/>
  <c r="N2092" i="23"/>
  <c r="N2060" i="23"/>
  <c r="N2056" i="23"/>
  <c r="N2045" i="23"/>
  <c r="N2027" i="23"/>
  <c r="N1994" i="23"/>
  <c r="M1975" i="23"/>
  <c r="N1975" i="23" s="1"/>
  <c r="N1966" i="23"/>
  <c r="N1940" i="23"/>
  <c r="N1889" i="23"/>
  <c r="N1851" i="23"/>
  <c r="N1793" i="23"/>
  <c r="N1743" i="23"/>
  <c r="N1714" i="23"/>
  <c r="N1693" i="23"/>
  <c r="N1669" i="23"/>
  <c r="N1617" i="23"/>
  <c r="M1586" i="23"/>
  <c r="N1586" i="23" s="1"/>
  <c r="N1581" i="23"/>
  <c r="K2196" i="23"/>
  <c r="L2196" i="23" s="1"/>
  <c r="K2170" i="23"/>
  <c r="L2170" i="23" s="1"/>
  <c r="K2134" i="23"/>
  <c r="L2134" i="23" s="1"/>
  <c r="K2126" i="23"/>
  <c r="L2126" i="23" s="1"/>
  <c r="K2125" i="23"/>
  <c r="L2125" i="23" s="1"/>
  <c r="K2113" i="23"/>
  <c r="L2113" i="23" s="1"/>
  <c r="K2114" i="23"/>
  <c r="L2114" i="23" s="1"/>
  <c r="K2092" i="23"/>
  <c r="L2092" i="23" s="1"/>
  <c r="K2060" i="23"/>
  <c r="L2060" i="23" s="1"/>
  <c r="K2059" i="23"/>
  <c r="L2059" i="23" s="1"/>
  <c r="K2056" i="23"/>
  <c r="L2056" i="23" s="1"/>
  <c r="K2045" i="23"/>
  <c r="L2045" i="23" s="1"/>
  <c r="K2027" i="23"/>
  <c r="L2027" i="23" s="1"/>
  <c r="K1994" i="23"/>
  <c r="L1994" i="23" s="1"/>
  <c r="K1975" i="23"/>
  <c r="L1975" i="23" s="1"/>
  <c r="K1966" i="23"/>
  <c r="L1966" i="23" s="1"/>
  <c r="K1940" i="23"/>
  <c r="L1940" i="23" s="1"/>
  <c r="K1889" i="23"/>
  <c r="L1889" i="23" s="1"/>
  <c r="K1851" i="23"/>
  <c r="L1851" i="23" s="1"/>
  <c r="K1793" i="23"/>
  <c r="L1793" i="23" s="1"/>
  <c r="K1743" i="23"/>
  <c r="L1743" i="23" s="1"/>
  <c r="K1714" i="23"/>
  <c r="L1714" i="23" s="1"/>
  <c r="K1693" i="23"/>
  <c r="L1693" i="23" s="1"/>
  <c r="K1669" i="23"/>
  <c r="L1669" i="23" s="1"/>
  <c r="K1617" i="23"/>
  <c r="L1617" i="23" s="1"/>
  <c r="K1586" i="23"/>
  <c r="L1586" i="23" s="1"/>
  <c r="K1581" i="23"/>
  <c r="L1581" i="23" s="1"/>
  <c r="K1552" i="23"/>
  <c r="N2134" i="23"/>
  <c r="N1668" i="23"/>
  <c r="N1657" i="23"/>
  <c r="K1657" i="23"/>
  <c r="L1657" i="23" s="1"/>
  <c r="M1601" i="23"/>
  <c r="N1601" i="23" s="1"/>
  <c r="M1600" i="23"/>
  <c r="N1600" i="23" s="1"/>
  <c r="K1600" i="23"/>
  <c r="L1600" i="23" s="1"/>
  <c r="N1602" i="23"/>
  <c r="K1601" i="23"/>
  <c r="L1601" i="23" s="1"/>
  <c r="M1599" i="23"/>
  <c r="N1599" i="23" s="1"/>
  <c r="M1598" i="23"/>
  <c r="N1598" i="23" s="1"/>
  <c r="K1598" i="23"/>
  <c r="L1598" i="23" s="1"/>
  <c r="N2195" i="23"/>
  <c r="N2160" i="23"/>
  <c r="M2074" i="23"/>
  <c r="N2074" i="23" s="1"/>
  <c r="N2058" i="23"/>
  <c r="N2044" i="23"/>
  <c r="N2043" i="23"/>
  <c r="M2026" i="23"/>
  <c r="N2026" i="23" s="1"/>
  <c r="N2025" i="23"/>
  <c r="N1993" i="23"/>
  <c r="M1939" i="23"/>
  <c r="N1939" i="23" s="1"/>
  <c r="N1850" i="23"/>
  <c r="N1833" i="23"/>
  <c r="M1824" i="23"/>
  <c r="N1824" i="23" s="1"/>
  <c r="N1811" i="23"/>
  <c r="N1810" i="23"/>
  <c r="N1800" i="23"/>
  <c r="N1730" i="23"/>
  <c r="N1729" i="23"/>
  <c r="N1707" i="23"/>
  <c r="N1692" i="23"/>
  <c r="N1681" i="23"/>
  <c r="N1680" i="23"/>
  <c r="M1648" i="23"/>
  <c r="N1648" i="23" s="1"/>
  <c r="M1641" i="23"/>
  <c r="N1641" i="23" s="1"/>
  <c r="N1616" i="23"/>
  <c r="N1597" i="23"/>
  <c r="K2195" i="23"/>
  <c r="L2195" i="23" s="1"/>
  <c r="K2160" i="23"/>
  <c r="L2160" i="23" s="1"/>
  <c r="K2074" i="23"/>
  <c r="L2074" i="23" s="1"/>
  <c r="K2058" i="23"/>
  <c r="L2058" i="23" s="1"/>
  <c r="K2044" i="23"/>
  <c r="L2044" i="23" s="1"/>
  <c r="K2043" i="23"/>
  <c r="L2043" i="23" s="1"/>
  <c r="K2026" i="23"/>
  <c r="L2026" i="23" s="1"/>
  <c r="K2025" i="23"/>
  <c r="L2025" i="23" s="1"/>
  <c r="K1993" i="23"/>
  <c r="L1993" i="23" s="1"/>
  <c r="K1965" i="23"/>
  <c r="L1965" i="23" s="1"/>
  <c r="K1954" i="23"/>
  <c r="L1954" i="23" s="1"/>
  <c r="K1939" i="23"/>
  <c r="L1939" i="23" s="1"/>
  <c r="K1921" i="23"/>
  <c r="L1921" i="23" s="1"/>
  <c r="K1914" i="23"/>
  <c r="L1914" i="23" s="1"/>
  <c r="K1888" i="23"/>
  <c r="L1888" i="23" s="1"/>
  <c r="K1850" i="23"/>
  <c r="L1850" i="23" s="1"/>
  <c r="K1833" i="23"/>
  <c r="L1833" i="23" s="1"/>
  <c r="K1824" i="23"/>
  <c r="L1824" i="23" s="1"/>
  <c r="K1811" i="23"/>
  <c r="L1811" i="23" s="1"/>
  <c r="K1810" i="23"/>
  <c r="L1810" i="23" s="1"/>
  <c r="K1800" i="23"/>
  <c r="L1800" i="23" s="1"/>
  <c r="K1730" i="23"/>
  <c r="L1730" i="23" s="1"/>
  <c r="K1729" i="23"/>
  <c r="L1729" i="23" s="1"/>
  <c r="K1707" i="23"/>
  <c r="L1707" i="23" s="1"/>
  <c r="K1692" i="23"/>
  <c r="L1692" i="23" s="1"/>
  <c r="K1681" i="23"/>
  <c r="L1681" i="23" s="1"/>
  <c r="K1680" i="23"/>
  <c r="L1680" i="23" s="1"/>
  <c r="K1668" i="23"/>
  <c r="L1668" i="23" s="1"/>
  <c r="K1648" i="23"/>
  <c r="L1648" i="23" s="1"/>
  <c r="K1641" i="23"/>
  <c r="L1641" i="23" s="1"/>
  <c r="K1616" i="23"/>
  <c r="L1616" i="23" s="1"/>
  <c r="K1602" i="23"/>
  <c r="L1602" i="23" s="1"/>
  <c r="K1599" i="23"/>
  <c r="L1599" i="23" s="1"/>
  <c r="K1597" i="23"/>
  <c r="L1597" i="23" s="1"/>
  <c r="K1518" i="23"/>
  <c r="L1518" i="23" s="1"/>
  <c r="K1505" i="23"/>
  <c r="K2112" i="23"/>
  <c r="L2112" i="23" s="1"/>
  <c r="K2073" i="23"/>
  <c r="L2073" i="23" s="1"/>
  <c r="N1919" i="23"/>
  <c r="N1865" i="23"/>
  <c r="N1849" i="23"/>
  <c r="M1792" i="23"/>
  <c r="N1792" i="23" s="1"/>
  <c r="M1786" i="23"/>
  <c r="N1786" i="23" s="1"/>
  <c r="N1767" i="23"/>
  <c r="N1751" i="23"/>
  <c r="N1690" i="23"/>
  <c r="N1666" i="23"/>
  <c r="N1615" i="23"/>
  <c r="K1919" i="23"/>
  <c r="L1919" i="23" s="1"/>
  <c r="K1865" i="23"/>
  <c r="L1865" i="23" s="1"/>
  <c r="K1849" i="23"/>
  <c r="L1849" i="23" s="1"/>
  <c r="K1792" i="23"/>
  <c r="L1792" i="23" s="1"/>
  <c r="K1786" i="23"/>
  <c r="L1786" i="23" s="1"/>
  <c r="K1767" i="23"/>
  <c r="L1767" i="23" s="1"/>
  <c r="K1751" i="23"/>
  <c r="L1751" i="23" s="1"/>
  <c r="K1690" i="23"/>
  <c r="L1690" i="23" s="1"/>
  <c r="K1666" i="23"/>
  <c r="L1666" i="23" s="1"/>
  <c r="K1615" i="23"/>
  <c r="L1615" i="23" s="1"/>
  <c r="N2090" i="23"/>
  <c r="N2158" i="23"/>
  <c r="N1991" i="23"/>
  <c r="N1990" i="23"/>
  <c r="N1936" i="23"/>
  <c r="N1897" i="23"/>
  <c r="N1864" i="23"/>
  <c r="N1777" i="23"/>
  <c r="N1750" i="23"/>
  <c r="M1665" i="23"/>
  <c r="N1665" i="23" s="1"/>
  <c r="N1664" i="23"/>
  <c r="N1640" i="23"/>
  <c r="N1595" i="23"/>
  <c r="N2101" i="23"/>
  <c r="N2041" i="23"/>
  <c r="K2041" i="23"/>
  <c r="L2041" i="23" s="1"/>
  <c r="N2156" i="23"/>
  <c r="N2111" i="23"/>
  <c r="N1989" i="23"/>
  <c r="N1935" i="23"/>
  <c r="N1896" i="23"/>
  <c r="N1863" i="23"/>
  <c r="N1809" i="23"/>
  <c r="N1766" i="23"/>
  <c r="N1713" i="23"/>
  <c r="N1663" i="23"/>
  <c r="N1594" i="23"/>
  <c r="N1593" i="23"/>
  <c r="N2124" i="23"/>
  <c r="K2124" i="23"/>
  <c r="L2124" i="23" s="1"/>
  <c r="N2010" i="23"/>
  <c r="N1985" i="23"/>
  <c r="N1951" i="23"/>
  <c r="K1951" i="23"/>
  <c r="L1951" i="23" s="1"/>
  <c r="K1985" i="23"/>
  <c r="L1985" i="23" s="1"/>
  <c r="N1679" i="23"/>
  <c r="M1677" i="23"/>
  <c r="N1677" i="23" s="1"/>
  <c r="K1677" i="23"/>
  <c r="L1677" i="23" s="1"/>
  <c r="N1653" i="23"/>
  <c r="K1653" i="23"/>
  <c r="L1653" i="23" s="1"/>
  <c r="N2155" i="23"/>
  <c r="N2110" i="23"/>
  <c r="N2071" i="23"/>
  <c r="N2023" i="23"/>
  <c r="N1933" i="23"/>
  <c r="N1895" i="23"/>
  <c r="N1877" i="23"/>
  <c r="N1848" i="23"/>
  <c r="N1823" i="23"/>
  <c r="N1776" i="23"/>
  <c r="N1742" i="23"/>
  <c r="N1712" i="23"/>
  <c r="N1625" i="23"/>
  <c r="N2153" i="23"/>
  <c r="N2210" i="23"/>
  <c r="N2040" i="23"/>
  <c r="N2009" i="23"/>
  <c r="N1974" i="23"/>
  <c r="N1932" i="23"/>
  <c r="N1887" i="23"/>
  <c r="N1847" i="23"/>
  <c r="N1799" i="23"/>
  <c r="N1765" i="23"/>
  <c r="N1728" i="23"/>
  <c r="N1689" i="23"/>
  <c r="N1646" i="23"/>
  <c r="M2131" i="23"/>
  <c r="N2131" i="23" s="1"/>
  <c r="M2150" i="23"/>
  <c r="N2150" i="23" s="1"/>
  <c r="K2150" i="23"/>
  <c r="L2150" i="23" s="1"/>
  <c r="N1931" i="23"/>
  <c r="N1912" i="23"/>
  <c r="N1876" i="23"/>
  <c r="K1912" i="23"/>
  <c r="L1912" i="23" s="1"/>
  <c r="N2193" i="23"/>
  <c r="M2132" i="23"/>
  <c r="N2132" i="23" s="1"/>
  <c r="N2100" i="23"/>
  <c r="N2034" i="23"/>
  <c r="N1822" i="23"/>
  <c r="N1764" i="23"/>
  <c r="N1727" i="23"/>
  <c r="N1662" i="23"/>
  <c r="N1592" i="23"/>
  <c r="N2099" i="23"/>
  <c r="N2070" i="23"/>
  <c r="N2054" i="23"/>
  <c r="N2022" i="23"/>
  <c r="N1875" i="23"/>
  <c r="N1711" i="23"/>
  <c r="N1688" i="23"/>
  <c r="N1661" i="23"/>
  <c r="M1639" i="23"/>
  <c r="N1639" i="23" s="1"/>
  <c r="N1624" i="23"/>
  <c r="N1585" i="23"/>
  <c r="N1862" i="23"/>
  <c r="N1846" i="23"/>
  <c r="N1726" i="23"/>
  <c r="N2179" i="23"/>
  <c r="N2166" i="23"/>
  <c r="K2166" i="23"/>
  <c r="L2166" i="23" s="1"/>
  <c r="N2069" i="23"/>
  <c r="N2068" i="23"/>
  <c r="K2068" i="23"/>
  <c r="L2068" i="23" s="1"/>
  <c r="N1988" i="23"/>
  <c r="N1982" i="23"/>
  <c r="K1982" i="23"/>
  <c r="L1982" i="23" s="1"/>
  <c r="N1930" i="23"/>
  <c r="M979" i="23"/>
  <c r="M978" i="23"/>
  <c r="N978" i="23" s="1"/>
  <c r="K978" i="23"/>
  <c r="L978" i="23" s="1"/>
  <c r="M750" i="23"/>
  <c r="N750" i="23" s="1"/>
  <c r="M751" i="23"/>
  <c r="K750" i="23"/>
  <c r="L750" i="23" s="1"/>
  <c r="N1950" i="23"/>
  <c r="K1930" i="23"/>
  <c r="L1930" i="23" s="1"/>
  <c r="N1821" i="23"/>
  <c r="N1831" i="23"/>
  <c r="K1821" i="23"/>
  <c r="N1791" i="23"/>
  <c r="N1798" i="23"/>
  <c r="K1791" i="23"/>
  <c r="L1791" i="23" s="1"/>
  <c r="N2180" i="23"/>
  <c r="N2152" i="23"/>
  <c r="N2129" i="23"/>
  <c r="N2128" i="23"/>
  <c r="M2088" i="23"/>
  <c r="N2088" i="23" s="1"/>
  <c r="N2057" i="23"/>
  <c r="N2039" i="23"/>
  <c r="N2038" i="23"/>
  <c r="N2021" i="23"/>
  <c r="N2008" i="23"/>
  <c r="N1918" i="23"/>
  <c r="N1917" i="23"/>
  <c r="N1894" i="23"/>
  <c r="N1886" i="23"/>
  <c r="N1874" i="23"/>
  <c r="N1861" i="23"/>
  <c r="N1808" i="23"/>
  <c r="N1790" i="23"/>
  <c r="N1789" i="23"/>
  <c r="N1763" i="23"/>
  <c r="N1749" i="23"/>
  <c r="N1741" i="23"/>
  <c r="N1725" i="23"/>
  <c r="N1724" i="23"/>
  <c r="M1710" i="23"/>
  <c r="N1710" i="23" s="1"/>
  <c r="M1706" i="23"/>
  <c r="N1706" i="23" s="1"/>
  <c r="N1705" i="23"/>
  <c r="N1660" i="23"/>
  <c r="N1645" i="23"/>
  <c r="M1638" i="23"/>
  <c r="N1638" i="23" s="1"/>
  <c r="N1637" i="23"/>
  <c r="M1612" i="23"/>
  <c r="N1612" i="23" s="1"/>
  <c r="M1611" i="23"/>
  <c r="N1611" i="23" s="1"/>
  <c r="M1591" i="23"/>
  <c r="N1591" i="23" s="1"/>
  <c r="M1590" i="23"/>
  <c r="N1590" i="23" s="1"/>
  <c r="N1589" i="23"/>
  <c r="M1569" i="23"/>
  <c r="N1569" i="23" s="1"/>
  <c r="N1568" i="23"/>
  <c r="M1559" i="23"/>
  <c r="N1559" i="23" s="1"/>
  <c r="N1547" i="23"/>
  <c r="N1546" i="23"/>
  <c r="K1724" i="23"/>
  <c r="L1724" i="23" s="1"/>
  <c r="K1574" i="23"/>
  <c r="K1572" i="23"/>
  <c r="K1567" i="23"/>
  <c r="K1482" i="23"/>
  <c r="K1585" i="23"/>
  <c r="K1589" i="23"/>
  <c r="K1590" i="23"/>
  <c r="K1591" i="23"/>
  <c r="K1593" i="23"/>
  <c r="K1592" i="23"/>
  <c r="K1594" i="23"/>
  <c r="K1595" i="23"/>
  <c r="K1611" i="23"/>
  <c r="K1612" i="23"/>
  <c r="K1626" i="23"/>
  <c r="K1624" i="23"/>
  <c r="K1625" i="23"/>
  <c r="K1637" i="23"/>
  <c r="K1638" i="23"/>
  <c r="K1639" i="23"/>
  <c r="K1640" i="23"/>
  <c r="K1645" i="23"/>
  <c r="K1646" i="23"/>
  <c r="K1664" i="23"/>
  <c r="K1665" i="23"/>
  <c r="K1660" i="23"/>
  <c r="K1663" i="23"/>
  <c r="K1662" i="23"/>
  <c r="K1661" i="23"/>
  <c r="K1679" i="23"/>
  <c r="K1689" i="23"/>
  <c r="K1688" i="23"/>
  <c r="K1705" i="23"/>
  <c r="K1706" i="23"/>
  <c r="K1711" i="23"/>
  <c r="K1713" i="23"/>
  <c r="K1710" i="23"/>
  <c r="K1712" i="23"/>
  <c r="K1728" i="23"/>
  <c r="K1725" i="23"/>
  <c r="K1727" i="23"/>
  <c r="K1742" i="23"/>
  <c r="K1741" i="23"/>
  <c r="K1750" i="23"/>
  <c r="K1749" i="23"/>
  <c r="K1764" i="23"/>
  <c r="K1766" i="23"/>
  <c r="K1765" i="23"/>
  <c r="K1763" i="23"/>
  <c r="K1777" i="23"/>
  <c r="K1776" i="23"/>
  <c r="K1789" i="23"/>
  <c r="K1790" i="23"/>
  <c r="K1799" i="23"/>
  <c r="K1798" i="23"/>
  <c r="K1809" i="23"/>
  <c r="K1808" i="23"/>
  <c r="K1823" i="23"/>
  <c r="K1822" i="23"/>
  <c r="K1831" i="23"/>
  <c r="K1847" i="23"/>
  <c r="K1848" i="23"/>
  <c r="K1863" i="23"/>
  <c r="K1864" i="23"/>
  <c r="K1861" i="23"/>
  <c r="K1876" i="23"/>
  <c r="K1877" i="23"/>
  <c r="K1875" i="23"/>
  <c r="K1874" i="23"/>
  <c r="K1886" i="23"/>
  <c r="K1887" i="23"/>
  <c r="K1896" i="23"/>
  <c r="K1897" i="23"/>
  <c r="K1895" i="23"/>
  <c r="K1894" i="23"/>
  <c r="K1917" i="23"/>
  <c r="K1918" i="23"/>
  <c r="K1931" i="23"/>
  <c r="K1932" i="23"/>
  <c r="K1933" i="23"/>
  <c r="K1935" i="23"/>
  <c r="K1936" i="23"/>
  <c r="K1950" i="23"/>
  <c r="K1974" i="23"/>
  <c r="K1990" i="23"/>
  <c r="K1989" i="23"/>
  <c r="K1988" i="23"/>
  <c r="K1991" i="23"/>
  <c r="K2008" i="23"/>
  <c r="K2009" i="23"/>
  <c r="K2010" i="23"/>
  <c r="K2021" i="23"/>
  <c r="K2023" i="23"/>
  <c r="K2022" i="23"/>
  <c r="K2034" i="23"/>
  <c r="K2038" i="23"/>
  <c r="K2039" i="23"/>
  <c r="K2040" i="23"/>
  <c r="K2042" i="23"/>
  <c r="K2054" i="23"/>
  <c r="K2057" i="23"/>
  <c r="K2087" i="23"/>
  <c r="K2085" i="23"/>
  <c r="K2071" i="23"/>
  <c r="K2069" i="23"/>
  <c r="K2070" i="23"/>
  <c r="K2090" i="23"/>
  <c r="K2088" i="23"/>
  <c r="K2089" i="23"/>
  <c r="K2101" i="23"/>
  <c r="K2105" i="23"/>
  <c r="K2100" i="23"/>
  <c r="K2106" i="23"/>
  <c r="K2099" i="23"/>
  <c r="K2110" i="23"/>
  <c r="K2109" i="23"/>
  <c r="K2111" i="23"/>
  <c r="K2118" i="23"/>
  <c r="K2131" i="23"/>
  <c r="K2128" i="23"/>
  <c r="K2132" i="23"/>
  <c r="K2147" i="23"/>
  <c r="K2133" i="23"/>
  <c r="L2133" i="23" s="1"/>
  <c r="K2129" i="23"/>
  <c r="K2154" i="23"/>
  <c r="K2153" i="23"/>
  <c r="K2152" i="23"/>
  <c r="K2157" i="23"/>
  <c r="L2157" i="23" s="1"/>
  <c r="K2156" i="23"/>
  <c r="K2158" i="23"/>
  <c r="K2155" i="23"/>
  <c r="K2175" i="23"/>
  <c r="K2168" i="23"/>
  <c r="K2169" i="23"/>
  <c r="K2179" i="23"/>
  <c r="K2180" i="23"/>
  <c r="K2207" i="23"/>
  <c r="K2193" i="23"/>
  <c r="K2210" i="23"/>
  <c r="K2229" i="23"/>
  <c r="K2244" i="23"/>
  <c r="K1571" i="23"/>
  <c r="K629" i="23" l="1"/>
  <c r="L629" i="23" s="1"/>
  <c r="K684" i="23"/>
  <c r="L684" i="23" s="1"/>
  <c r="K875" i="23"/>
  <c r="L875" i="23" s="1"/>
  <c r="K866" i="23"/>
  <c r="L866" i="23" s="1"/>
  <c r="K960" i="23"/>
  <c r="L960" i="23" s="1"/>
  <c r="K818" i="23"/>
  <c r="L818" i="23" s="1"/>
  <c r="K914" i="23"/>
  <c r="L914" i="23" s="1"/>
  <c r="K1080" i="23"/>
  <c r="L1080" i="23" s="1"/>
  <c r="K1132" i="23"/>
  <c r="L1132" i="23" s="1"/>
  <c r="N1265" i="23"/>
  <c r="K1234" i="23"/>
  <c r="L1234" i="23" s="1"/>
  <c r="K1276" i="23"/>
  <c r="L1276" i="23" s="1"/>
  <c r="K1395" i="23"/>
  <c r="L1395" i="23" s="1"/>
  <c r="M1263" i="23"/>
  <c r="N1263" i="23" s="1"/>
  <c r="K1262" i="23"/>
  <c r="L1262" i="23" s="1"/>
  <c r="M1146" i="23"/>
  <c r="N1146" i="23" s="1"/>
  <c r="K1145" i="23"/>
  <c r="L1145" i="23" s="1"/>
  <c r="M880" i="23"/>
  <c r="K879" i="23"/>
  <c r="L879" i="23" s="1"/>
  <c r="M573" i="23"/>
  <c r="K561" i="23"/>
  <c r="L561" i="23" s="1"/>
  <c r="K471" i="23"/>
  <c r="L471" i="23" s="1"/>
  <c r="K442" i="23"/>
  <c r="L442" i="23" s="1"/>
  <c r="M427" i="23"/>
  <c r="K426" i="23"/>
  <c r="L426" i="23" s="1"/>
  <c r="M240" i="23"/>
  <c r="M223" i="23"/>
  <c r="K223" i="23"/>
  <c r="L223" i="23" s="1"/>
  <c r="M214" i="23"/>
  <c r="M213" i="23"/>
  <c r="M199" i="23"/>
  <c r="K213" i="23"/>
  <c r="L213" i="23" s="1"/>
  <c r="M241" i="23"/>
  <c r="M221" i="23"/>
  <c r="K240" i="23"/>
  <c r="L240" i="23" s="1"/>
  <c r="M198" i="23"/>
  <c r="M197" i="23"/>
  <c r="M196" i="23"/>
  <c r="K196" i="23"/>
  <c r="L196" i="23" s="1"/>
  <c r="K197" i="23"/>
  <c r="L197" i="23" s="1"/>
  <c r="K198" i="23"/>
  <c r="L198" i="23" s="1"/>
  <c r="M94" i="23"/>
  <c r="M93" i="23"/>
  <c r="K93" i="23"/>
  <c r="L93" i="23" s="1"/>
  <c r="K214" i="23"/>
  <c r="L214" i="23" s="1"/>
  <c r="M139" i="23"/>
  <c r="M138" i="23"/>
  <c r="K138" i="23"/>
  <c r="L138" i="23" s="1"/>
  <c r="M273" i="23"/>
  <c r="M272" i="23"/>
  <c r="M271" i="23"/>
  <c r="K271" i="23"/>
  <c r="L271" i="23" s="1"/>
  <c r="K272" i="23"/>
  <c r="L272" i="23" s="1"/>
  <c r="M349" i="23"/>
  <c r="M348" i="23"/>
  <c r="M347" i="23"/>
  <c r="M346" i="23"/>
  <c r="M345" i="23"/>
  <c r="K346" i="23"/>
  <c r="L346" i="23" s="1"/>
  <c r="K345" i="23"/>
  <c r="L345" i="23" s="1"/>
  <c r="K347" i="23"/>
  <c r="L347" i="23" s="1"/>
  <c r="K348" i="23"/>
  <c r="L348" i="23" s="1"/>
  <c r="M425" i="23"/>
  <c r="K424" i="23"/>
  <c r="L424" i="23" s="1"/>
  <c r="K487" i="23"/>
  <c r="L487" i="23" s="1"/>
  <c r="K488" i="23"/>
  <c r="L488" i="23" s="1"/>
  <c r="K502" i="23"/>
  <c r="L502" i="23" s="1"/>
  <c r="M532" i="23"/>
  <c r="K531" i="23"/>
  <c r="L531" i="23" s="1"/>
  <c r="M590" i="23"/>
  <c r="K589" i="23"/>
  <c r="L589" i="23" s="1"/>
  <c r="M620" i="23"/>
  <c r="M619" i="23"/>
  <c r="K619" i="23"/>
  <c r="L619" i="23" s="1"/>
  <c r="M682" i="23"/>
  <c r="M681" i="23"/>
  <c r="K681" i="23"/>
  <c r="L681" i="23" s="1"/>
  <c r="M746" i="23"/>
  <c r="M745" i="23"/>
  <c r="M719" i="23"/>
  <c r="K745" i="23"/>
  <c r="L745" i="23" s="1"/>
  <c r="M844" i="23"/>
  <c r="K843" i="23"/>
  <c r="L843" i="23" s="1"/>
  <c r="K910" i="23"/>
  <c r="L910" i="23" s="1"/>
  <c r="N1233" i="23"/>
  <c r="M1194" i="23"/>
  <c r="K1195" i="23"/>
  <c r="L1195" i="23" s="1"/>
  <c r="M1426" i="23"/>
  <c r="L1425" i="23"/>
  <c r="M1427" i="23"/>
  <c r="N1427" i="23" s="1"/>
  <c r="L1426" i="23"/>
  <c r="N1557" i="23"/>
  <c r="N1495" i="23"/>
  <c r="N1322" i="23"/>
  <c r="N1306" i="23"/>
  <c r="M1248" i="23"/>
  <c r="N1248" i="23" s="1"/>
  <c r="N1102" i="23"/>
  <c r="N1077" i="23"/>
  <c r="N1030" i="23"/>
  <c r="K1247" i="23"/>
  <c r="L1247" i="23" s="1"/>
  <c r="M475" i="23"/>
  <c r="M474" i="23"/>
  <c r="K474" i="23"/>
  <c r="L474" i="23" s="1"/>
  <c r="M476" i="23"/>
  <c r="K475" i="23"/>
  <c r="L475" i="23" s="1"/>
  <c r="M909" i="23"/>
  <c r="M908" i="23"/>
  <c r="M907" i="23"/>
  <c r="M906" i="23"/>
  <c r="M905" i="23"/>
  <c r="K905" i="23"/>
  <c r="L905" i="23" s="1"/>
  <c r="K906" i="23"/>
  <c r="L906" i="23" s="1"/>
  <c r="K904" i="23"/>
  <c r="L904" i="23" s="1"/>
  <c r="K907" i="23"/>
  <c r="L907" i="23" s="1"/>
  <c r="K908" i="23"/>
  <c r="L908" i="23" s="1"/>
  <c r="N1400" i="23"/>
  <c r="K1390" i="23"/>
  <c r="L1390" i="23" s="1"/>
  <c r="M618" i="23"/>
  <c r="K617" i="23"/>
  <c r="L617" i="23" s="1"/>
  <c r="M731" i="23"/>
  <c r="N731" i="23" s="1"/>
  <c r="M730" i="23"/>
  <c r="K730" i="23"/>
  <c r="L730" i="23" s="1"/>
  <c r="M732" i="23"/>
  <c r="K731" i="23"/>
  <c r="L731" i="23" s="1"/>
  <c r="N1035" i="23"/>
  <c r="K1008" i="23"/>
  <c r="L1008" i="23" s="1"/>
  <c r="K854" i="23"/>
  <c r="L854" i="23" s="1"/>
  <c r="K951" i="23"/>
  <c r="L951" i="23" s="1"/>
  <c r="K817" i="23"/>
  <c r="L817" i="23" s="1"/>
  <c r="K962" i="23"/>
  <c r="L962" i="23" s="1"/>
  <c r="K1035" i="23"/>
  <c r="L1035" i="23" s="1"/>
  <c r="K767" i="23"/>
  <c r="L767" i="23" s="1"/>
  <c r="K813" i="23"/>
  <c r="L813" i="23" s="1"/>
  <c r="M1232" i="23"/>
  <c r="K1231" i="23"/>
  <c r="L1231" i="23" s="1"/>
  <c r="M293" i="23"/>
  <c r="M292" i="23"/>
  <c r="K292" i="23"/>
  <c r="L292" i="23" s="1"/>
  <c r="K929" i="23"/>
  <c r="L929" i="23" s="1"/>
  <c r="M934" i="23"/>
  <c r="M933" i="23"/>
  <c r="K933" i="23"/>
  <c r="L933" i="23" s="1"/>
  <c r="M935" i="23"/>
  <c r="K934" i="23"/>
  <c r="L934" i="23" s="1"/>
  <c r="M932" i="23"/>
  <c r="K930" i="23"/>
  <c r="L930" i="23" s="1"/>
  <c r="K931" i="23"/>
  <c r="L931" i="23" s="1"/>
  <c r="K932" i="23"/>
  <c r="L932" i="23" s="1"/>
  <c r="M1088" i="23"/>
  <c r="M1087" i="23"/>
  <c r="K1087" i="23"/>
  <c r="L1087" i="23" s="1"/>
  <c r="M1163" i="23"/>
  <c r="N1163" i="23" s="1"/>
  <c r="K1162" i="23"/>
  <c r="L1162" i="23" s="1"/>
  <c r="N1162" i="23"/>
  <c r="N1230" i="23"/>
  <c r="K1229" i="23"/>
  <c r="L1229" i="23" s="1"/>
  <c r="K1217" i="23"/>
  <c r="L1217" i="23" s="1"/>
  <c r="K1275" i="23"/>
  <c r="L1275" i="23" s="1"/>
  <c r="K853" i="23"/>
  <c r="L853" i="23" s="1"/>
  <c r="K878" i="23"/>
  <c r="L878" i="23" s="1"/>
  <c r="K961" i="23"/>
  <c r="L961" i="23" s="1"/>
  <c r="K1038" i="23"/>
  <c r="L1038" i="23" s="1"/>
  <c r="K816" i="23"/>
  <c r="L816" i="23" s="1"/>
  <c r="K1506" i="23"/>
  <c r="L1506" i="23" s="1"/>
  <c r="M89" i="23"/>
  <c r="M87" i="23"/>
  <c r="M86" i="23"/>
  <c r="M88" i="23"/>
  <c r="K86" i="23"/>
  <c r="L86" i="23" s="1"/>
  <c r="K87" i="23"/>
  <c r="L87" i="23" s="1"/>
  <c r="K88" i="23"/>
  <c r="L88" i="23" s="1"/>
  <c r="M269" i="23"/>
  <c r="M268" i="23"/>
  <c r="K268" i="23"/>
  <c r="L268" i="23" s="1"/>
  <c r="M379" i="23"/>
  <c r="M368" i="23"/>
  <c r="K368" i="23"/>
  <c r="L368" i="23" s="1"/>
  <c r="M380" i="23"/>
  <c r="M330" i="23"/>
  <c r="K379" i="23"/>
  <c r="L379" i="23" s="1"/>
  <c r="M465" i="23"/>
  <c r="M464" i="23"/>
  <c r="K464" i="23"/>
  <c r="L464" i="23" s="1"/>
  <c r="M644" i="23"/>
  <c r="M643" i="23"/>
  <c r="K643" i="23"/>
  <c r="L643" i="23" s="1"/>
  <c r="M642" i="23"/>
  <c r="K641" i="23"/>
  <c r="L641" i="23" s="1"/>
  <c r="K642" i="23"/>
  <c r="L642" i="23" s="1"/>
  <c r="M800" i="23"/>
  <c r="K799" i="23"/>
  <c r="L799" i="23" s="1"/>
  <c r="K800" i="23"/>
  <c r="L800" i="23" s="1"/>
  <c r="N863" i="23"/>
  <c r="K862" i="23"/>
  <c r="L862" i="23" s="1"/>
  <c r="M1153" i="23"/>
  <c r="M1152" i="23"/>
  <c r="K1151" i="23"/>
  <c r="L1151" i="23" s="1"/>
  <c r="K1152" i="23"/>
  <c r="L1152" i="23" s="1"/>
  <c r="N1216" i="23"/>
  <c r="K1208" i="23"/>
  <c r="L1208" i="23" s="1"/>
  <c r="M1302" i="23"/>
  <c r="K1302" i="23"/>
  <c r="L1302" i="23" s="1"/>
  <c r="K1301" i="23"/>
  <c r="L1301" i="23" s="1"/>
  <c r="N1389" i="23"/>
  <c r="K1358" i="23"/>
  <c r="L1358" i="23" s="1"/>
  <c r="K1389" i="23"/>
  <c r="L1389" i="23" s="1"/>
  <c r="M15" i="23"/>
  <c r="M14" i="23"/>
  <c r="K14" i="23"/>
  <c r="L14" i="23" s="1"/>
  <c r="M85" i="23"/>
  <c r="M84" i="23"/>
  <c r="K84" i="23"/>
  <c r="L84" i="23" s="1"/>
  <c r="M83" i="23"/>
  <c r="M82" i="23"/>
  <c r="M81" i="23"/>
  <c r="K81" i="23"/>
  <c r="L81" i="23" s="1"/>
  <c r="K82" i="23"/>
  <c r="L82" i="23" s="1"/>
  <c r="K83" i="23"/>
  <c r="L83" i="23" s="1"/>
  <c r="M165" i="23"/>
  <c r="N164" i="23"/>
  <c r="K163" i="23"/>
  <c r="L163" i="23" s="1"/>
  <c r="K164" i="23"/>
  <c r="L164" i="23" s="1"/>
  <c r="M181" i="23"/>
  <c r="K180" i="23"/>
  <c r="L180" i="23" s="1"/>
  <c r="M285" i="23"/>
  <c r="M266" i="23"/>
  <c r="K266" i="23"/>
  <c r="L266" i="23" s="1"/>
  <c r="M377" i="23"/>
  <c r="M378" i="23"/>
  <c r="K377" i="23"/>
  <c r="L377" i="23" s="1"/>
  <c r="M394" i="23"/>
  <c r="M393" i="23"/>
  <c r="K393" i="23"/>
  <c r="L393" i="23" s="1"/>
  <c r="K588" i="23"/>
  <c r="L588" i="23" s="1"/>
  <c r="M626" i="23"/>
  <c r="M625" i="23"/>
  <c r="K625" i="23"/>
  <c r="L625" i="23" s="1"/>
  <c r="K626" i="23"/>
  <c r="L626" i="23" s="1"/>
  <c r="M692" i="23"/>
  <c r="M691" i="23"/>
  <c r="K691" i="23"/>
  <c r="L691" i="23" s="1"/>
  <c r="M889" i="23"/>
  <c r="N889" i="23" s="1"/>
  <c r="K888" i="23"/>
  <c r="L888" i="23" s="1"/>
  <c r="M1128" i="23"/>
  <c r="N1128" i="23" s="1"/>
  <c r="M1127" i="23"/>
  <c r="K1127" i="23"/>
  <c r="L1127" i="23" s="1"/>
  <c r="M1246" i="23"/>
  <c r="K1245" i="23"/>
  <c r="L1245" i="23" s="1"/>
  <c r="M1340" i="23"/>
  <c r="M1320" i="23"/>
  <c r="N1320" i="23" s="1"/>
  <c r="K1339" i="23"/>
  <c r="L1339" i="23" s="1"/>
  <c r="K941" i="23"/>
  <c r="L941" i="23" s="1"/>
  <c r="M1529" i="23"/>
  <c r="K1568" i="23"/>
  <c r="L1568" i="23" s="1"/>
  <c r="K5" i="23"/>
  <c r="K3" i="23"/>
  <c r="V63" i="18"/>
  <c r="M638" i="23"/>
  <c r="K637" i="23"/>
  <c r="M639" i="23"/>
  <c r="K638" i="23"/>
  <c r="K569" i="23"/>
  <c r="M636" i="23"/>
  <c r="M635" i="23"/>
  <c r="K635" i="23"/>
  <c r="K1423" i="23"/>
  <c r="L1423" i="23" s="1"/>
  <c r="K1374" i="23"/>
  <c r="L1374" i="23" s="1"/>
  <c r="K958" i="23"/>
  <c r="L958" i="23" s="1"/>
  <c r="K1029" i="23"/>
  <c r="L1029" i="23" s="1"/>
  <c r="K1065" i="23"/>
  <c r="L1065" i="23" s="1"/>
  <c r="M342" i="23"/>
  <c r="M418" i="23"/>
  <c r="K417" i="23"/>
  <c r="M436" i="23"/>
  <c r="K253" i="23"/>
  <c r="M104" i="23"/>
  <c r="K103" i="23"/>
  <c r="K102" i="23"/>
  <c r="M472" i="23"/>
  <c r="M467" i="23"/>
  <c r="M466" i="23"/>
  <c r="K467" i="23"/>
  <c r="K466" i="23"/>
  <c r="M265" i="23"/>
  <c r="M264" i="23"/>
  <c r="M263" i="23"/>
  <c r="M262" i="23"/>
  <c r="K263" i="23"/>
  <c r="K262" i="23"/>
  <c r="K264" i="23"/>
  <c r="K773" i="23"/>
  <c r="M544" i="23"/>
  <c r="K543" i="23"/>
  <c r="M366" i="23"/>
  <c r="M365" i="23"/>
  <c r="M364" i="23"/>
  <c r="M363" i="23"/>
  <c r="M362" i="23"/>
  <c r="K364" i="23"/>
  <c r="K363" i="23"/>
  <c r="K362" i="23"/>
  <c r="K365" i="23"/>
  <c r="M211" i="23"/>
  <c r="M210" i="23"/>
  <c r="K210" i="23"/>
  <c r="M209" i="23"/>
  <c r="K209" i="23"/>
  <c r="M195" i="23"/>
  <c r="M194" i="23"/>
  <c r="K194" i="23"/>
  <c r="M92" i="23"/>
  <c r="M91" i="23"/>
  <c r="K91" i="23"/>
  <c r="M284" i="23"/>
  <c r="M283" i="23"/>
  <c r="K283" i="23"/>
  <c r="M375" i="23"/>
  <c r="M374" i="23"/>
  <c r="K374" i="23"/>
  <c r="K924" i="23"/>
  <c r="L924" i="23" s="1"/>
  <c r="M1073" i="23"/>
  <c r="K1072" i="23"/>
  <c r="L1072" i="23" s="1"/>
  <c r="K1073" i="23"/>
  <c r="L1073" i="23" s="1"/>
  <c r="M1213" i="23"/>
  <c r="K1213" i="23"/>
  <c r="L1213" i="23" s="1"/>
  <c r="K1206" i="23"/>
  <c r="L1206" i="23" s="1"/>
  <c r="K1176" i="23"/>
  <c r="L1176" i="23" s="1"/>
  <c r="K1270" i="23"/>
  <c r="L1270" i="23" s="1"/>
  <c r="K1244" i="23"/>
  <c r="L1244" i="23" s="1"/>
  <c r="K1159" i="23"/>
  <c r="L1159" i="23" s="1"/>
  <c r="K1335" i="23"/>
  <c r="L1335" i="23" s="1"/>
  <c r="M576" i="23"/>
  <c r="K575" i="23"/>
  <c r="M717" i="23"/>
  <c r="M716" i="23"/>
  <c r="K716" i="23"/>
  <c r="M903" i="23"/>
  <c r="M902" i="23"/>
  <c r="K901" i="23"/>
  <c r="L901" i="23" s="1"/>
  <c r="K902" i="23"/>
  <c r="L902" i="23" s="1"/>
  <c r="M235" i="23"/>
  <c r="M234" i="23"/>
  <c r="K235" i="23"/>
  <c r="K234" i="23"/>
  <c r="M542" i="23"/>
  <c r="M541" i="23"/>
  <c r="K540" i="23"/>
  <c r="K541" i="23"/>
  <c r="K971" i="23"/>
  <c r="L971" i="23" s="1"/>
  <c r="M1225" i="23"/>
  <c r="K1224" i="23"/>
  <c r="L1224" i="23" s="1"/>
  <c r="K1422" i="23"/>
  <c r="L1422" i="23" s="1"/>
  <c r="L1552" i="23"/>
  <c r="M38" i="23"/>
  <c r="K37" i="23"/>
  <c r="L37" i="23" s="1"/>
  <c r="K38" i="23"/>
  <c r="L38" i="23" s="1"/>
  <c r="M55" i="23"/>
  <c r="M54" i="23"/>
  <c r="K46" i="23"/>
  <c r="L46" i="23" s="1"/>
  <c r="K54" i="23"/>
  <c r="L54" i="23" s="1"/>
  <c r="M99" i="23"/>
  <c r="M98" i="23"/>
  <c r="K98" i="23"/>
  <c r="M155" i="23"/>
  <c r="M154" i="23"/>
  <c r="M153" i="23"/>
  <c r="K153" i="23"/>
  <c r="K154" i="23"/>
  <c r="M179" i="23"/>
  <c r="K177" i="23"/>
  <c r="M329" i="23"/>
  <c r="M327" i="23"/>
  <c r="M326" i="23"/>
  <c r="M325" i="23"/>
  <c r="K325" i="23"/>
  <c r="K326" i="23"/>
  <c r="M328" i="23"/>
  <c r="K327" i="23"/>
  <c r="K328" i="23"/>
  <c r="M390" i="23"/>
  <c r="M389" i="23"/>
  <c r="K389" i="23"/>
  <c r="M478" i="23"/>
  <c r="M477" i="23"/>
  <c r="M510" i="23"/>
  <c r="M479" i="23"/>
  <c r="K477" i="23"/>
  <c r="K479" i="23"/>
  <c r="K510" i="23"/>
  <c r="M538" i="23"/>
  <c r="K523" i="23"/>
  <c r="M614" i="23"/>
  <c r="M613" i="23"/>
  <c r="K612" i="23"/>
  <c r="K613" i="23"/>
  <c r="M676" i="23"/>
  <c r="M675" i="23"/>
  <c r="K675" i="23"/>
  <c r="M677" i="23"/>
  <c r="M674" i="23"/>
  <c r="K674" i="23"/>
  <c r="K676" i="23"/>
  <c r="M723" i="23"/>
  <c r="M724" i="23"/>
  <c r="K723" i="23"/>
  <c r="M725" i="23"/>
  <c r="M722" i="23"/>
  <c r="K722" i="23"/>
  <c r="K724" i="23"/>
  <c r="M810" i="23"/>
  <c r="M809" i="23"/>
  <c r="K808" i="23"/>
  <c r="L808" i="23" s="1"/>
  <c r="K809" i="23"/>
  <c r="L809" i="23" s="1"/>
  <c r="M826" i="23"/>
  <c r="K825" i="23"/>
  <c r="L825" i="23" s="1"/>
  <c r="M921" i="23"/>
  <c r="M917" i="23"/>
  <c r="K899" i="23"/>
  <c r="L899" i="23" s="1"/>
  <c r="K898" i="23"/>
  <c r="L898" i="23" s="1"/>
  <c r="K916" i="23"/>
  <c r="L916" i="23" s="1"/>
  <c r="K917" i="23"/>
  <c r="L917" i="23" s="1"/>
  <c r="M920" i="23"/>
  <c r="M919" i="23"/>
  <c r="M918" i="23"/>
  <c r="K919" i="23"/>
  <c r="L919" i="23" s="1"/>
  <c r="K918" i="23"/>
  <c r="L918" i="23" s="1"/>
  <c r="K944" i="23"/>
  <c r="L944" i="23" s="1"/>
  <c r="K921" i="23"/>
  <c r="L921" i="23" s="1"/>
  <c r="M1045" i="23"/>
  <c r="K1041" i="23"/>
  <c r="L1041" i="23" s="1"/>
  <c r="M1096" i="23"/>
  <c r="M1095" i="23"/>
  <c r="M1094" i="23"/>
  <c r="K1094" i="23"/>
  <c r="L1094" i="23" s="1"/>
  <c r="K1095" i="23"/>
  <c r="L1095" i="23" s="1"/>
  <c r="M1366" i="23"/>
  <c r="M1365" i="23"/>
  <c r="K1364" i="23"/>
  <c r="L1364" i="23" s="1"/>
  <c r="K1365" i="23"/>
  <c r="L1365" i="23" s="1"/>
  <c r="M1384" i="23"/>
  <c r="K1397" i="23"/>
  <c r="L1397" i="23" s="1"/>
  <c r="K1353" i="23"/>
  <c r="L1353" i="23" s="1"/>
  <c r="K1421" i="23"/>
  <c r="L1421" i="23" s="1"/>
  <c r="M1464" i="23"/>
  <c r="K1463" i="23"/>
  <c r="L1463" i="23" s="1"/>
  <c r="L1505" i="23"/>
  <c r="M1172" i="23"/>
  <c r="M1173" i="23"/>
  <c r="K1172" i="23"/>
  <c r="L1172" i="23" s="1"/>
  <c r="K1171" i="23"/>
  <c r="L1171" i="23" s="1"/>
  <c r="M610" i="23"/>
  <c r="M609" i="23"/>
  <c r="K608" i="23"/>
  <c r="K609" i="23"/>
  <c r="M372" i="23"/>
  <c r="M371" i="23"/>
  <c r="K371" i="23"/>
  <c r="K1499" i="23"/>
  <c r="L1499" i="23" s="1"/>
  <c r="K1250" i="23"/>
  <c r="L1250" i="23" s="1"/>
  <c r="K1251" i="23"/>
  <c r="L1251" i="23" s="1"/>
  <c r="K1034" i="23"/>
  <c r="L1034" i="23" s="1"/>
  <c r="K1003" i="23"/>
  <c r="L1003" i="23" s="1"/>
  <c r="M1122" i="23"/>
  <c r="K1121" i="23"/>
  <c r="L1121" i="23" s="1"/>
  <c r="M714" i="23"/>
  <c r="K713" i="23"/>
  <c r="M299" i="23"/>
  <c r="M298" i="23"/>
  <c r="K298" i="23"/>
  <c r="M231" i="23"/>
  <c r="M230" i="23"/>
  <c r="M229" i="23"/>
  <c r="M228" i="23"/>
  <c r="K229" i="23"/>
  <c r="K228" i="23"/>
  <c r="K230" i="23"/>
  <c r="K755" i="23"/>
  <c r="K820" i="23"/>
  <c r="L820" i="23" s="1"/>
  <c r="M1312" i="23"/>
  <c r="M1311" i="23"/>
  <c r="K1311" i="23"/>
  <c r="L1311" i="23" s="1"/>
  <c r="M1345" i="23"/>
  <c r="K1344" i="23"/>
  <c r="L1344" i="23" s="1"/>
  <c r="M44" i="23"/>
  <c r="M43" i="23"/>
  <c r="K43" i="23"/>
  <c r="L43" i="23" s="1"/>
  <c r="K44" i="23"/>
  <c r="L44" i="23" s="1"/>
  <c r="M143" i="23"/>
  <c r="M115" i="23"/>
  <c r="M114" i="23"/>
  <c r="M113" i="23"/>
  <c r="M112" i="23"/>
  <c r="K114" i="23"/>
  <c r="K113" i="23"/>
  <c r="K112" i="23"/>
  <c r="M17" i="23"/>
  <c r="M323" i="23"/>
  <c r="K1569" i="23"/>
  <c r="L1569" i="23" s="1"/>
  <c r="K1559" i="23"/>
  <c r="L1559" i="23" s="1"/>
  <c r="K1545" i="23"/>
  <c r="L1545" i="23" s="1"/>
  <c r="K1546" i="23"/>
  <c r="L1546" i="23" s="1"/>
  <c r="K1528" i="23"/>
  <c r="L1528" i="23" s="1"/>
  <c r="M1508" i="23"/>
  <c r="M1487" i="23"/>
  <c r="K1507" i="23"/>
  <c r="L1507" i="23" s="1"/>
  <c r="M1486" i="23"/>
  <c r="K1485" i="23"/>
  <c r="L1485" i="23" s="1"/>
  <c r="M1484" i="23"/>
  <c r="K1484" i="23"/>
  <c r="L1484" i="23" s="1"/>
  <c r="K1457" i="23"/>
  <c r="L1457" i="23" s="1"/>
  <c r="K1404" i="23"/>
  <c r="L1404" i="23" s="1"/>
  <c r="M1343" i="23"/>
  <c r="M1342" i="23"/>
  <c r="K1342" i="23"/>
  <c r="L1342" i="23" s="1"/>
  <c r="K1214" i="23"/>
  <c r="L1214" i="23" s="1"/>
  <c r="M1070" i="23"/>
  <c r="K1069" i="23"/>
  <c r="L1069" i="23" s="1"/>
  <c r="K1070" i="23"/>
  <c r="L1070" i="23" s="1"/>
  <c r="M1055" i="23"/>
  <c r="K1054" i="23"/>
  <c r="L1054" i="23" s="1"/>
  <c r="K999" i="23"/>
  <c r="L999" i="23" s="1"/>
  <c r="K997" i="23"/>
  <c r="L997" i="23" s="1"/>
  <c r="K979" i="23"/>
  <c r="L979" i="23" s="1"/>
  <c r="K977" i="23"/>
  <c r="L977" i="23" s="1"/>
  <c r="M980" i="23"/>
  <c r="M872" i="23"/>
  <c r="K867" i="23"/>
  <c r="L867" i="23" s="1"/>
  <c r="M752" i="23"/>
  <c r="M749" i="23"/>
  <c r="K749" i="23"/>
  <c r="K751" i="23"/>
  <c r="M737" i="23"/>
  <c r="M736" i="23"/>
  <c r="K736" i="23"/>
  <c r="M695" i="23"/>
  <c r="M694" i="23"/>
  <c r="K694" i="23"/>
  <c r="M596" i="23"/>
  <c r="M595" i="23"/>
  <c r="M594" i="23"/>
  <c r="K595" i="23"/>
  <c r="K594" i="23"/>
  <c r="K593" i="23"/>
  <c r="M565" i="23"/>
  <c r="M564" i="23"/>
  <c r="M563" i="23"/>
  <c r="K564" i="23"/>
  <c r="K563" i="23"/>
  <c r="M535" i="23"/>
  <c r="K534" i="23"/>
  <c r="M431" i="23"/>
  <c r="K430" i="23"/>
  <c r="M413" i="23"/>
  <c r="K412" i="23"/>
  <c r="M352" i="23"/>
  <c r="M337" i="23"/>
  <c r="K337" i="23"/>
  <c r="M336" i="23"/>
  <c r="M335" i="23"/>
  <c r="M289" i="23"/>
  <c r="K335" i="23"/>
  <c r="K336" i="23"/>
  <c r="M226" i="23"/>
  <c r="M225" i="23"/>
  <c r="K225" i="23"/>
  <c r="M186" i="23"/>
  <c r="M185" i="23"/>
  <c r="K185" i="23"/>
  <c r="M169" i="23"/>
  <c r="M168" i="23"/>
  <c r="K168" i="23"/>
  <c r="K159" i="23"/>
  <c r="M142" i="23"/>
  <c r="M141" i="23"/>
  <c r="K141" i="23"/>
  <c r="M126" i="23"/>
  <c r="M125" i="23"/>
  <c r="K125" i="23"/>
  <c r="M124" i="23"/>
  <c r="K124" i="23"/>
  <c r="M111" i="23"/>
  <c r="M110" i="23"/>
  <c r="K110" i="23"/>
  <c r="K111" i="23"/>
  <c r="M61" i="23"/>
  <c r="K60" i="23"/>
  <c r="L60" i="23" s="1"/>
  <c r="M459" i="23"/>
  <c r="M359" i="23"/>
  <c r="K410" i="23"/>
  <c r="K601" i="23"/>
  <c r="K497" i="23"/>
  <c r="M1331" i="23"/>
  <c r="M1180" i="23"/>
  <c r="N1148" i="23"/>
  <c r="M748" i="23"/>
  <c r="M661" i="23"/>
  <c r="M622" i="23"/>
  <c r="M458" i="23"/>
  <c r="M443" i="23"/>
  <c r="M385" i="23"/>
  <c r="M384" i="23"/>
  <c r="M351" i="23"/>
  <c r="M334" i="23"/>
  <c r="M321" i="23"/>
  <c r="M315" i="23"/>
  <c r="M296" i="23"/>
  <c r="M276" i="23"/>
  <c r="M258" i="23"/>
  <c r="M224" i="23"/>
  <c r="M200" i="23"/>
  <c r="M130" i="23"/>
  <c r="M129" i="23"/>
  <c r="M122" i="23"/>
  <c r="M1350" i="23"/>
  <c r="M1103" i="23"/>
  <c r="M1051" i="23"/>
  <c r="M912" i="23"/>
  <c r="M765" i="23"/>
  <c r="M733" i="23"/>
  <c r="M709" i="23"/>
  <c r="M669" i="23"/>
  <c r="M358" i="23"/>
  <c r="M332" i="23"/>
  <c r="M314" i="23"/>
  <c r="M307" i="23"/>
  <c r="M294" i="23"/>
  <c r="M274" i="23"/>
  <c r="M222" i="23"/>
  <c r="M157" i="23"/>
  <c r="M140" i="23"/>
  <c r="M108" i="23"/>
  <c r="M65" i="23"/>
  <c r="M59" i="23"/>
  <c r="M22" i="23"/>
  <c r="M763" i="23"/>
  <c r="M659" i="23"/>
  <c r="M572" i="23"/>
  <c r="M549" i="23"/>
  <c r="M350" i="23"/>
  <c r="M287" i="23"/>
  <c r="M107" i="23"/>
  <c r="M69" i="23"/>
  <c r="M1210" i="23"/>
  <c r="M482" i="23"/>
  <c r="M381" i="23"/>
  <c r="M306" i="23"/>
  <c r="M286" i="23"/>
  <c r="M270" i="23"/>
  <c r="M463" i="23"/>
  <c r="M461" i="23"/>
  <c r="M331" i="23"/>
  <c r="M137" i="23"/>
  <c r="M357" i="23"/>
  <c r="M257" i="23"/>
  <c r="M136" i="23"/>
  <c r="M58" i="23"/>
  <c r="M928" i="23"/>
  <c r="M744" i="23"/>
  <c r="M687" i="23"/>
  <c r="M667" i="23"/>
  <c r="M313" i="23"/>
  <c r="M147" i="23"/>
  <c r="M106" i="23"/>
  <c r="M1357" i="23"/>
  <c r="M1178" i="23"/>
  <c r="M1150" i="23"/>
  <c r="M1141" i="23"/>
  <c r="M788" i="23"/>
  <c r="M742" i="23"/>
  <c r="M705" i="23"/>
  <c r="M680" i="23"/>
  <c r="M481" i="23"/>
  <c r="M460" i="23"/>
  <c r="M319" i="23"/>
  <c r="M303" i="23"/>
  <c r="M238" i="23"/>
  <c r="M219" i="23"/>
  <c r="M166" i="23"/>
  <c r="M775" i="23"/>
  <c r="M703" i="23"/>
  <c r="M484" i="23"/>
  <c r="M308" i="23"/>
  <c r="M302" i="23"/>
  <c r="M729" i="23"/>
  <c r="M679" i="23"/>
  <c r="M1098" i="23"/>
  <c r="M657" i="23"/>
  <c r="M119" i="23"/>
  <c r="M71" i="23"/>
  <c r="M718" i="23"/>
  <c r="M392" i="23"/>
  <c r="M341" i="23"/>
  <c r="M318" i="23"/>
  <c r="M193" i="23"/>
  <c r="M144" i="23"/>
  <c r="M118" i="23"/>
  <c r="M728" i="23"/>
  <c r="M701" i="23"/>
  <c r="M462" i="23"/>
  <c r="M282" i="23"/>
  <c r="M237" i="23"/>
  <c r="M208" i="23"/>
  <c r="M135" i="23"/>
  <c r="M134" i="23"/>
  <c r="M49" i="23"/>
  <c r="N1574" i="23"/>
  <c r="M850" i="23"/>
  <c r="M796" i="23"/>
  <c r="M740" i="23"/>
  <c r="M598" i="23"/>
  <c r="M1175" i="23"/>
  <c r="M727" i="23"/>
  <c r="M457" i="23"/>
  <c r="M373" i="23"/>
  <c r="M317" i="23"/>
  <c r="M261" i="23"/>
  <c r="M1478" i="23"/>
  <c r="M1205" i="23"/>
  <c r="M1174" i="23"/>
  <c r="M1097" i="23"/>
  <c r="M1064" i="23"/>
  <c r="M1014" i="23"/>
  <c r="M726" i="23"/>
  <c r="M388" i="23"/>
  <c r="M355" i="23"/>
  <c r="M310" i="23"/>
  <c r="M301" i="23"/>
  <c r="M291" i="23"/>
  <c r="M252" i="23"/>
  <c r="M251" i="23"/>
  <c r="M233" i="23"/>
  <c r="M207" i="23"/>
  <c r="M190" i="23"/>
  <c r="M117" i="23"/>
  <c r="M90" i="23"/>
  <c r="M761" i="23"/>
  <c r="M699" i="23"/>
  <c r="M624" i="23"/>
  <c r="M456" i="23"/>
  <c r="M280" i="23"/>
  <c r="M260" i="23"/>
  <c r="M206" i="23"/>
  <c r="M1158" i="23"/>
  <c r="N793" i="23"/>
  <c r="M760" i="23"/>
  <c r="M455" i="23"/>
  <c r="M480" i="23"/>
  <c r="M721" i="23"/>
  <c r="M697" i="23"/>
  <c r="M654" i="23"/>
  <c r="M653" i="23"/>
  <c r="M623" i="23"/>
  <c r="M512" i="23"/>
  <c r="M1168" i="23"/>
  <c r="M1202" i="23"/>
  <c r="M1133" i="23"/>
  <c r="M753" i="23"/>
  <c r="M720" i="23"/>
  <c r="M651" i="23"/>
  <c r="M603" i="23"/>
  <c r="M483" i="23"/>
  <c r="M354" i="23"/>
  <c r="M324" i="23"/>
  <c r="M309" i="23"/>
  <c r="M277" i="23"/>
  <c r="M249" i="23"/>
  <c r="M216" i="23"/>
  <c r="M152" i="23"/>
  <c r="M131" i="23"/>
  <c r="M116" i="23"/>
  <c r="M74" i="23"/>
  <c r="M67" i="23"/>
  <c r="M51" i="23"/>
  <c r="M227" i="23"/>
  <c r="M1267" i="23"/>
  <c r="M1156" i="23"/>
  <c r="M1117" i="23"/>
  <c r="M1105" i="23"/>
  <c r="M1092" i="23"/>
  <c r="M1022" i="23"/>
  <c r="M1021" i="23"/>
  <c r="M876" i="23"/>
  <c r="M804" i="23"/>
  <c r="M803" i="23"/>
  <c r="M792" i="23"/>
  <c r="M782" i="23"/>
  <c r="M781" i="23"/>
  <c r="M712" i="23"/>
  <c r="M693" i="23"/>
  <c r="M672" i="23"/>
  <c r="M671" i="23"/>
  <c r="M650" i="23"/>
  <c r="M597" i="23"/>
  <c r="M386" i="23"/>
  <c r="M369" i="23"/>
  <c r="M367" i="23"/>
  <c r="M353" i="23"/>
  <c r="M247" i="23"/>
  <c r="M246" i="23"/>
  <c r="M203" i="23"/>
  <c r="M202" i="23"/>
  <c r="M151" i="23"/>
  <c r="M127" i="23"/>
  <c r="K1455" i="23"/>
  <c r="L1455" i="23" s="1"/>
  <c r="N1022" i="23" l="1"/>
  <c r="N1023" i="23"/>
  <c r="N1407" i="23"/>
  <c r="N1489" i="23"/>
  <c r="N1273" i="23"/>
  <c r="N1011" i="23"/>
  <c r="N1243" i="23"/>
  <c r="N1111" i="23"/>
  <c r="N1522" i="23"/>
  <c r="N1468" i="23"/>
  <c r="N991" i="23"/>
  <c r="N1160" i="23"/>
  <c r="N1439" i="23"/>
  <c r="N1526" i="23"/>
  <c r="N1007" i="23"/>
  <c r="N1101" i="23"/>
  <c r="N912" i="23"/>
  <c r="N1371" i="23"/>
  <c r="N1052" i="23"/>
  <c r="N1554" i="23"/>
  <c r="N45" i="23"/>
  <c r="N997" i="23"/>
  <c r="N1377" i="23"/>
  <c r="N1446" i="23"/>
  <c r="N1419" i="23"/>
  <c r="N1332" i="23"/>
  <c r="N1344" i="23"/>
  <c r="N1312" i="23"/>
  <c r="N1251" i="23"/>
  <c r="N1173" i="23"/>
  <c r="N1421" i="23"/>
  <c r="N1365" i="23"/>
  <c r="N1045" i="23"/>
  <c r="N921" i="23"/>
  <c r="N55" i="23"/>
  <c r="N1224" i="23"/>
  <c r="N1523" i="23"/>
  <c r="N1528" i="23"/>
  <c r="N14" i="23"/>
  <c r="N1417" i="23"/>
  <c r="N801" i="23"/>
  <c r="N368" i="23"/>
  <c r="N853" i="23"/>
  <c r="N1038" i="23"/>
  <c r="N934" i="23"/>
  <c r="N1231" i="23"/>
  <c r="N854" i="23"/>
  <c r="N1100" i="23"/>
  <c r="N904" i="23"/>
  <c r="N908" i="23"/>
  <c r="N474" i="23"/>
  <c r="N1129" i="23"/>
  <c r="N1260" i="23"/>
  <c r="N1359" i="23"/>
  <c r="N1391" i="23"/>
  <c r="N910" i="23"/>
  <c r="N589" i="23"/>
  <c r="N213" i="23"/>
  <c r="N240" i="23"/>
  <c r="N471" i="23"/>
  <c r="N1262" i="23"/>
  <c r="N1441" i="23"/>
  <c r="N1132" i="23"/>
  <c r="N1089" i="23"/>
  <c r="N1307" i="23"/>
  <c r="N1455" i="23"/>
  <c r="N30" i="23"/>
  <c r="N803" i="23"/>
  <c r="N892" i="23"/>
  <c r="N1091" i="23"/>
  <c r="N1117" i="23"/>
  <c r="N1235" i="23"/>
  <c r="N1308" i="23"/>
  <c r="N1429" i="23"/>
  <c r="N51" i="23"/>
  <c r="N893" i="23"/>
  <c r="N1056" i="23"/>
  <c r="N1157" i="23"/>
  <c r="N1278" i="23"/>
  <c r="N1430" i="23"/>
  <c r="N1548" i="23"/>
  <c r="N1057" i="23"/>
  <c r="N1352" i="23"/>
  <c r="N1530" i="23"/>
  <c r="N968" i="23"/>
  <c r="N1149" i="23"/>
  <c r="N1314" i="23"/>
  <c r="N1431" i="23"/>
  <c r="N1549" i="23"/>
  <c r="N982" i="23"/>
  <c r="N1082" i="23"/>
  <c r="N1315" i="23"/>
  <c r="N1448" i="23"/>
  <c r="N31" i="23"/>
  <c r="N833" i="23"/>
  <c r="N1061" i="23"/>
  <c r="N1279" i="23"/>
  <c r="N1513" i="23"/>
  <c r="N1135" i="23"/>
  <c r="N1363" i="23"/>
  <c r="N1550" i="23"/>
  <c r="N964" i="23"/>
  <c r="N1290" i="23"/>
  <c r="N1532" i="23"/>
  <c r="N970" i="23"/>
  <c r="N1063" i="23"/>
  <c r="N1136" i="23"/>
  <c r="N1223" i="23"/>
  <c r="N1298" i="23"/>
  <c r="N1385" i="23"/>
  <c r="N1492" i="23"/>
  <c r="N987" i="23"/>
  <c r="N1333" i="23"/>
  <c r="N1005" i="23"/>
  <c r="N1354" i="23"/>
  <c r="N869" i="23"/>
  <c r="N1553" i="23"/>
  <c r="N837" i="23"/>
  <c r="N1124" i="23"/>
  <c r="N1537" i="23"/>
  <c r="N925" i="23"/>
  <c r="N1138" i="23"/>
  <c r="N1329" i="23"/>
  <c r="N989" i="23"/>
  <c r="N1125" i="23"/>
  <c r="N1254" i="23"/>
  <c r="N1386" i="23"/>
  <c r="N948" i="23"/>
  <c r="N1255" i="23"/>
  <c r="N1539" i="23"/>
  <c r="N1318" i="23"/>
  <c r="N841" i="23"/>
  <c r="N1126" i="23"/>
  <c r="N1368" i="23"/>
  <c r="N811" i="23"/>
  <c r="N1017" i="23"/>
  <c r="N1178" i="23"/>
  <c r="N1292" i="23"/>
  <c r="N1387" i="23"/>
  <c r="N1470" i="23"/>
  <c r="N1562" i="23"/>
  <c r="N1067" i="23"/>
  <c r="N1348" i="23"/>
  <c r="N58" i="23"/>
  <c r="N1154" i="23"/>
  <c r="N1304" i="23"/>
  <c r="N1142" i="23"/>
  <c r="N1144" i="23"/>
  <c r="N1305" i="23"/>
  <c r="N1542" i="23"/>
  <c r="N789" i="23"/>
  <c r="N992" i="23"/>
  <c r="N22" i="23"/>
  <c r="N802" i="23"/>
  <c r="N975" i="23"/>
  <c r="N1078" i="23"/>
  <c r="N1402" i="23"/>
  <c r="N1503" i="23"/>
  <c r="N1115" i="23"/>
  <c r="N1186" i="23"/>
  <c r="N1331" i="23"/>
  <c r="N1497" i="23"/>
  <c r="N1414" i="23"/>
  <c r="N60" i="23"/>
  <c r="N867" i="23"/>
  <c r="N977" i="23"/>
  <c r="N999" i="23"/>
  <c r="N1055" i="23"/>
  <c r="N1069" i="23"/>
  <c r="N1220" i="23"/>
  <c r="N1343" i="23"/>
  <c r="N1405" i="23"/>
  <c r="N1445" i="23"/>
  <c r="N1487" i="23"/>
  <c r="N1570" i="23"/>
  <c r="N43" i="23"/>
  <c r="N1345" i="23"/>
  <c r="N820" i="23"/>
  <c r="N1121" i="23"/>
  <c r="N1004" i="23"/>
  <c r="N1252" i="23"/>
  <c r="N1172" i="23"/>
  <c r="N1353" i="23"/>
  <c r="N1366" i="23"/>
  <c r="N1095" i="23"/>
  <c r="N1041" i="23"/>
  <c r="N944" i="23"/>
  <c r="N918" i="23"/>
  <c r="N899" i="23"/>
  <c r="N39" i="23"/>
  <c r="N1422" i="23"/>
  <c r="N1225" i="23"/>
  <c r="N1452" i="23"/>
  <c r="N902" i="23"/>
  <c r="N1176" i="23"/>
  <c r="N1270" i="23"/>
  <c r="N1029" i="23"/>
  <c r="N1529" i="23"/>
  <c r="N942" i="23"/>
  <c r="N1340" i="23"/>
  <c r="N888" i="23"/>
  <c r="N691" i="23"/>
  <c r="N393" i="23"/>
  <c r="N377" i="23"/>
  <c r="N81" i="23"/>
  <c r="N84" i="23"/>
  <c r="N15" i="23"/>
  <c r="N1301" i="23"/>
  <c r="N464" i="23"/>
  <c r="N379" i="23"/>
  <c r="N86" i="23"/>
  <c r="N1506" i="23"/>
  <c r="N816" i="23"/>
  <c r="N1048" i="23"/>
  <c r="N1184" i="23"/>
  <c r="N1285" i="23"/>
  <c r="N1229" i="23"/>
  <c r="N1087" i="23"/>
  <c r="N935" i="23"/>
  <c r="N292" i="23"/>
  <c r="N1232" i="23"/>
  <c r="N767" i="23"/>
  <c r="N951" i="23"/>
  <c r="N1390" i="23"/>
  <c r="N905" i="23"/>
  <c r="N909" i="23"/>
  <c r="N475" i="23"/>
  <c r="N1068" i="23"/>
  <c r="N1165" i="23"/>
  <c r="N1272" i="23"/>
  <c r="N1370" i="23"/>
  <c r="N1472" i="23"/>
  <c r="N1425" i="23"/>
  <c r="N1195" i="23"/>
  <c r="N911" i="23"/>
  <c r="N619" i="23"/>
  <c r="N346" i="23"/>
  <c r="N197" i="23"/>
  <c r="N214" i="23"/>
  <c r="N442" i="23"/>
  <c r="N1145" i="23"/>
  <c r="N1234" i="23"/>
  <c r="N818" i="23"/>
  <c r="N684" i="23"/>
  <c r="N1288" i="23"/>
  <c r="N1567" i="23"/>
  <c r="N792" i="23"/>
  <c r="N1105" i="23"/>
  <c r="N1277" i="23"/>
  <c r="N1310" i="23"/>
  <c r="N1236" i="23"/>
  <c r="N1001" i="23"/>
  <c r="N884" i="23"/>
  <c r="N1409" i="23"/>
  <c r="N1510" i="23"/>
  <c r="N940" i="23"/>
  <c r="N1240" i="23"/>
  <c r="N1241" i="23"/>
  <c r="N1449" i="23"/>
  <c r="N824" i="23"/>
  <c r="N835" i="23"/>
  <c r="N1476" i="23"/>
  <c r="N1014" i="23"/>
  <c r="N1281" i="23"/>
  <c r="N1478" i="23"/>
  <c r="N957" i="23"/>
  <c r="N849" i="23"/>
  <c r="N1300" i="23"/>
  <c r="N850" i="23"/>
  <c r="N63" i="23"/>
  <c r="N1016" i="23"/>
  <c r="N860" i="23"/>
  <c r="N947" i="23"/>
  <c r="N1207" i="23"/>
  <c r="N852" i="23"/>
  <c r="N1256" i="23"/>
  <c r="N1319" i="23"/>
  <c r="N788" i="23"/>
  <c r="N1113" i="23"/>
  <c r="N1388" i="23"/>
  <c r="N830" i="23"/>
  <c r="N1321" i="23"/>
  <c r="N812" i="23"/>
  <c r="N1271" i="23"/>
  <c r="N69" i="23"/>
  <c r="N959" i="23"/>
  <c r="N1473" i="23"/>
  <c r="N1180" i="23"/>
  <c r="N1483" i="23"/>
  <c r="N1070" i="23"/>
  <c r="N1406" i="23"/>
  <c r="N1109" i="23"/>
  <c r="N1159" i="23"/>
  <c r="N941" i="23"/>
  <c r="N1246" i="23"/>
  <c r="N1341" i="23"/>
  <c r="N1498" i="23"/>
  <c r="N804" i="23"/>
  <c r="N965" i="23"/>
  <c r="N1092" i="23"/>
  <c r="N1156" i="23"/>
  <c r="N1249" i="23"/>
  <c r="N1324" i="23"/>
  <c r="N1474" i="23"/>
  <c r="N1296" i="23"/>
  <c r="N966" i="23"/>
  <c r="N1081" i="23"/>
  <c r="N1181" i="23"/>
  <c r="N1351" i="23"/>
  <c r="N1458" i="23"/>
  <c r="N883" i="23"/>
  <c r="N1118" i="23"/>
  <c r="N1447" i="23"/>
  <c r="N805" i="23"/>
  <c r="N1002" i="23"/>
  <c r="N1187" i="23"/>
  <c r="N1336" i="23"/>
  <c r="N1459" i="23"/>
  <c r="N1571" i="23"/>
  <c r="N1026" i="23"/>
  <c r="N1119" i="23"/>
  <c r="N1346" i="23"/>
  <c r="N1512" i="23"/>
  <c r="N52" i="23"/>
  <c r="N886" i="23"/>
  <c r="N1158" i="23"/>
  <c r="N1326" i="23"/>
  <c r="N1514" i="23"/>
  <c r="N1188" i="23"/>
  <c r="N1411" i="23"/>
  <c r="N1551" i="23"/>
  <c r="N1110" i="23"/>
  <c r="N1382" i="23"/>
  <c r="N986" i="23"/>
  <c r="N1064" i="23"/>
  <c r="N1174" i="23"/>
  <c r="N1253" i="23"/>
  <c r="N1316" i="23"/>
  <c r="N1451" i="23"/>
  <c r="N1500" i="23"/>
  <c r="N900" i="23"/>
  <c r="N1015" i="23"/>
  <c r="N1534" i="23"/>
  <c r="N1123" i="23"/>
  <c r="N796" i="23"/>
  <c r="N973" i="23"/>
  <c r="N851" i="23"/>
  <c r="N1435" i="23"/>
  <c r="N1006" i="23"/>
  <c r="N1190" i="23"/>
  <c r="N1467" i="23"/>
  <c r="N1042" i="23"/>
  <c r="N1139" i="23"/>
  <c r="N1291" i="23"/>
  <c r="N1436" i="23"/>
  <c r="N1028" i="23"/>
  <c r="N1317" i="23"/>
  <c r="N40" i="23"/>
  <c r="N797" i="23"/>
  <c r="N1575" i="23"/>
  <c r="N887" i="23"/>
  <c r="N1192" i="23"/>
  <c r="N1437" i="23"/>
  <c r="N829" i="23"/>
  <c r="N950" i="23"/>
  <c r="N1066" i="23"/>
  <c r="N1141" i="23"/>
  <c r="N1215" i="23"/>
  <c r="N1398" i="23"/>
  <c r="N1479" i="23"/>
  <c r="N1578" i="23"/>
  <c r="N890" i="23"/>
  <c r="N1086" i="23"/>
  <c r="N1440" i="23"/>
  <c r="N1090" i="23"/>
  <c r="N1369" i="23"/>
  <c r="N1164" i="23"/>
  <c r="N1049" i="23"/>
  <c r="N1185" i="23"/>
  <c r="N1555" i="23"/>
  <c r="N864" i="23"/>
  <c r="N1009" i="23"/>
  <c r="N59" i="23"/>
  <c r="N832" i="23"/>
  <c r="N994" i="23"/>
  <c r="N1103" i="23"/>
  <c r="N1286" i="23"/>
  <c r="N1428" i="23"/>
  <c r="N814" i="23"/>
  <c r="N1197" i="23"/>
  <c r="N1360" i="23"/>
  <c r="N1502" i="23"/>
  <c r="N61" i="23"/>
  <c r="N872" i="23"/>
  <c r="N1020" i="23"/>
  <c r="N1201" i="23"/>
  <c r="N1457" i="23"/>
  <c r="N1456" i="23"/>
  <c r="N1485" i="23"/>
  <c r="N1507" i="23"/>
  <c r="N17" i="23"/>
  <c r="N44" i="23"/>
  <c r="N857" i="23"/>
  <c r="N821" i="23"/>
  <c r="N822" i="23"/>
  <c r="N1122" i="23"/>
  <c r="N1171" i="23"/>
  <c r="N1463" i="23"/>
  <c r="N1450" i="23"/>
  <c r="N1096" i="23"/>
  <c r="N945" i="23"/>
  <c r="N919" i="23"/>
  <c r="N916" i="23"/>
  <c r="N825" i="23"/>
  <c r="N809" i="23"/>
  <c r="N46" i="23"/>
  <c r="N1520" i="23"/>
  <c r="N903" i="23"/>
  <c r="N1206" i="23"/>
  <c r="N1335" i="23"/>
  <c r="N1072" i="23"/>
  <c r="N924" i="23"/>
  <c r="N1065" i="23"/>
  <c r="N1374" i="23"/>
  <c r="N1545" i="23"/>
  <c r="N1127" i="23"/>
  <c r="N927" i="23"/>
  <c r="N625" i="23"/>
  <c r="N588" i="23"/>
  <c r="N180" i="23"/>
  <c r="N82" i="23"/>
  <c r="N1358" i="23"/>
  <c r="N1208" i="23"/>
  <c r="N1151" i="23"/>
  <c r="N862" i="23"/>
  <c r="N799" i="23"/>
  <c r="N643" i="23"/>
  <c r="N87" i="23"/>
  <c r="N878" i="23"/>
  <c r="N1217" i="23"/>
  <c r="N1088" i="23"/>
  <c r="N931" i="23"/>
  <c r="N930" i="23"/>
  <c r="N813" i="23"/>
  <c r="N962" i="23"/>
  <c r="N1008" i="23"/>
  <c r="N906" i="23"/>
  <c r="N1247" i="23"/>
  <c r="N1426" i="23"/>
  <c r="N681" i="23"/>
  <c r="N487" i="23"/>
  <c r="N424" i="23"/>
  <c r="N347" i="23"/>
  <c r="N198" i="23"/>
  <c r="N426" i="23"/>
  <c r="N879" i="23"/>
  <c r="N1276" i="23"/>
  <c r="N866" i="23"/>
  <c r="N875" i="23"/>
  <c r="N1403" i="23"/>
  <c r="N882" i="23"/>
  <c r="N1221" i="23"/>
  <c r="N1418" i="23"/>
  <c r="N1133" i="23"/>
  <c r="N1509" i="23"/>
  <c r="N1237" i="23"/>
  <c r="N1108" i="23"/>
  <c r="N1060" i="23"/>
  <c r="N1432" i="23"/>
  <c r="N1280" i="23"/>
  <c r="N1461" i="23"/>
  <c r="N1205" i="23"/>
  <c r="N1337" i="23"/>
  <c r="N1328" i="23"/>
  <c r="N1521" i="23"/>
  <c r="N1084" i="23"/>
  <c r="N1282" i="23"/>
  <c r="N1098" i="23"/>
  <c r="N1355" i="23"/>
  <c r="N1191" i="23"/>
  <c r="N1047" i="23"/>
  <c r="N1524" i="23"/>
  <c r="N861" i="23"/>
  <c r="N1283" i="23"/>
  <c r="N1444" i="23"/>
  <c r="N1501" i="23"/>
  <c r="N1051" i="23"/>
  <c r="N981" i="23"/>
  <c r="N1054" i="23"/>
  <c r="N1214" i="23"/>
  <c r="N1484" i="23"/>
  <c r="N1003" i="23"/>
  <c r="N1515" i="23"/>
  <c r="N1518" i="23"/>
  <c r="N1383" i="23"/>
  <c r="N1094" i="23"/>
  <c r="N898" i="23"/>
  <c r="N808" i="23"/>
  <c r="N38" i="23"/>
  <c r="N972" i="23"/>
  <c r="N901" i="23"/>
  <c r="N1244" i="23"/>
  <c r="N1074" i="23"/>
  <c r="N958" i="23"/>
  <c r="N1339" i="23"/>
  <c r="N1303" i="23"/>
  <c r="N1153" i="23"/>
  <c r="N642" i="23"/>
  <c r="N88" i="23"/>
  <c r="N730" i="23"/>
  <c r="N1050" i="23"/>
  <c r="N1194" i="23"/>
  <c r="N844" i="23"/>
  <c r="N345" i="23"/>
  <c r="N272" i="23"/>
  <c r="N196" i="23"/>
  <c r="N996" i="23"/>
  <c r="N629" i="23"/>
  <c r="N1266" i="23"/>
  <c r="N1376" i="23"/>
  <c r="N1544" i="23"/>
  <c r="N876" i="23"/>
  <c r="N1021" i="23"/>
  <c r="N1104" i="23"/>
  <c r="N1200" i="23"/>
  <c r="N1267" i="23"/>
  <c r="N1325" i="23"/>
  <c r="N1309" i="23"/>
  <c r="N1000" i="23"/>
  <c r="N1106" i="23"/>
  <c r="N1202" i="23"/>
  <c r="N1396" i="23"/>
  <c r="N1488" i="23"/>
  <c r="N939" i="23"/>
  <c r="N1168" i="23"/>
  <c r="N1475" i="23"/>
  <c r="N847" i="23"/>
  <c r="N1024" i="23"/>
  <c r="N1238" i="23"/>
  <c r="N1378" i="23"/>
  <c r="N1490" i="23"/>
  <c r="N885" i="23"/>
  <c r="N1025" i="23"/>
  <c r="N1182" i="23"/>
  <c r="N1379" i="23"/>
  <c r="N1572" i="23"/>
  <c r="N954" i="23"/>
  <c r="N1203" i="23"/>
  <c r="N1380" i="23"/>
  <c r="N1204" i="23"/>
  <c r="N1433" i="23"/>
  <c r="N1170" i="23"/>
  <c r="N1434" i="23"/>
  <c r="N1013" i="23"/>
  <c r="N1097" i="23"/>
  <c r="N1183" i="23"/>
  <c r="N1269" i="23"/>
  <c r="N1327" i="23"/>
  <c r="N1477" i="23"/>
  <c r="N923" i="23"/>
  <c r="N1299" i="23"/>
  <c r="N47" i="23"/>
  <c r="N795" i="23"/>
  <c r="N1175" i="23"/>
  <c r="N827" i="23"/>
  <c r="N1493" i="23"/>
  <c r="N49" i="23"/>
  <c r="N988" i="23"/>
  <c r="N1494" i="23"/>
  <c r="N50" i="23"/>
  <c r="N839" i="23"/>
  <c r="N1046" i="23"/>
  <c r="N1227" i="23"/>
  <c r="N1538" i="23"/>
  <c r="N1075" i="23"/>
  <c r="N1177" i="23"/>
  <c r="N1338" i="23"/>
  <c r="N1140" i="23"/>
  <c r="N1356" i="23"/>
  <c r="N926" i="23"/>
  <c r="N990" i="23"/>
  <c r="N1257" i="23"/>
  <c r="N1469" i="23"/>
  <c r="N842" i="23"/>
  <c r="N1085" i="23"/>
  <c r="N1150" i="23"/>
  <c r="N1258" i="23"/>
  <c r="N1357" i="23"/>
  <c r="N1416" i="23"/>
  <c r="N1525" i="23"/>
  <c r="N928" i="23"/>
  <c r="N1471" i="23"/>
  <c r="N64" i="23"/>
  <c r="N1424" i="23"/>
  <c r="N1193" i="23"/>
  <c r="N1076" i="23"/>
  <c r="N1210" i="23"/>
  <c r="N1453" i="23"/>
  <c r="N28" i="23"/>
  <c r="N936" i="23"/>
  <c r="N65" i="23"/>
  <c r="N856" i="23"/>
  <c r="N1032" i="23"/>
  <c r="N1131" i="23"/>
  <c r="N1350" i="23"/>
  <c r="N1454" i="23"/>
  <c r="N1019" i="23"/>
  <c r="N1166" i="23"/>
  <c r="N1218" i="23"/>
  <c r="N1372" i="23"/>
  <c r="N1558" i="23"/>
  <c r="N1259" i="23"/>
  <c r="N980" i="23"/>
  <c r="N979" i="23"/>
  <c r="N998" i="23"/>
  <c r="N1342" i="23"/>
  <c r="N1404" i="23"/>
  <c r="N1486" i="23"/>
  <c r="N1508" i="23"/>
  <c r="N1362" i="23"/>
  <c r="N34" i="23"/>
  <c r="N1297" i="23"/>
  <c r="N1311" i="23"/>
  <c r="N1034" i="23"/>
  <c r="N1250" i="23"/>
  <c r="N1499" i="23"/>
  <c r="N1505" i="23"/>
  <c r="N1464" i="23"/>
  <c r="N1397" i="23"/>
  <c r="N1384" i="23"/>
  <c r="N1364" i="23"/>
  <c r="N985" i="23"/>
  <c r="N920" i="23"/>
  <c r="N917" i="23"/>
  <c r="N826" i="23"/>
  <c r="N810" i="23"/>
  <c r="N54" i="23"/>
  <c r="N37" i="23"/>
  <c r="N1552" i="23"/>
  <c r="N971" i="23"/>
  <c r="N1213" i="23"/>
  <c r="N1415" i="23"/>
  <c r="N1073" i="23"/>
  <c r="N946" i="23"/>
  <c r="N1099" i="23"/>
  <c r="N1423" i="23"/>
  <c r="N1245" i="23"/>
  <c r="N626" i="23"/>
  <c r="N266" i="23"/>
  <c r="N163" i="23"/>
  <c r="N83" i="23"/>
  <c r="N1302" i="23"/>
  <c r="N1152" i="23"/>
  <c r="N800" i="23"/>
  <c r="N641" i="23"/>
  <c r="N268" i="23"/>
  <c r="N961" i="23"/>
  <c r="N1275" i="23"/>
  <c r="N932" i="23"/>
  <c r="N933" i="23"/>
  <c r="N929" i="23"/>
  <c r="N817" i="23"/>
  <c r="N617" i="23"/>
  <c r="N907" i="23"/>
  <c r="N843" i="23"/>
  <c r="N745" i="23"/>
  <c r="N488" i="23"/>
  <c r="N348" i="23"/>
  <c r="N271" i="23"/>
  <c r="N138" i="23"/>
  <c r="N93" i="23"/>
  <c r="N223" i="23"/>
  <c r="N561" i="23"/>
  <c r="N880" i="23"/>
  <c r="N1395" i="23"/>
  <c r="N1295" i="23"/>
  <c r="N1080" i="23"/>
  <c r="N960" i="23"/>
  <c r="N914" i="23"/>
  <c r="N92" i="23"/>
  <c r="L209" i="23"/>
  <c r="N211" i="23"/>
  <c r="L364" i="23"/>
  <c r="N365" i="23"/>
  <c r="N544" i="23"/>
  <c r="L264" i="23"/>
  <c r="N263" i="23"/>
  <c r="L467" i="23"/>
  <c r="N102" i="23"/>
  <c r="N253" i="23"/>
  <c r="N417" i="23"/>
  <c r="N635" i="23"/>
  <c r="L638" i="23"/>
  <c r="N637" i="23"/>
  <c r="N703" i="23"/>
  <c r="N460" i="23"/>
  <c r="N644" i="23"/>
  <c r="N706" i="23"/>
  <c r="N546" i="23"/>
  <c r="N307" i="23"/>
  <c r="N709" i="23"/>
  <c r="N184" i="23"/>
  <c r="N409" i="23"/>
  <c r="N661" i="23"/>
  <c r="L497" i="23"/>
  <c r="N111" i="23"/>
  <c r="N168" i="23"/>
  <c r="L412" i="23"/>
  <c r="N513" i="23"/>
  <c r="N565" i="23"/>
  <c r="N694" i="23"/>
  <c r="N203" i="23"/>
  <c r="N367" i="23"/>
  <c r="N650" i="23"/>
  <c r="N712" i="23"/>
  <c r="N227" i="23"/>
  <c r="N131" i="23"/>
  <c r="N216" i="23"/>
  <c r="N324" i="23"/>
  <c r="N520" i="23"/>
  <c r="N651" i="23"/>
  <c r="N537" i="23"/>
  <c r="N654" i="23"/>
  <c r="N480" i="23"/>
  <c r="N455" i="23"/>
  <c r="N279" i="23"/>
  <c r="N566" i="23"/>
  <c r="N132" i="23"/>
  <c r="N456" i="23"/>
  <c r="N160" i="23"/>
  <c r="N251" i="23"/>
  <c r="N310" i="23"/>
  <c r="N726" i="23"/>
  <c r="N632" i="23"/>
  <c r="N261" i="23"/>
  <c r="N457" i="23"/>
  <c r="N526" i="23"/>
  <c r="N664" i="23"/>
  <c r="N178" i="23"/>
  <c r="N282" i="23"/>
  <c r="N556" i="23"/>
  <c r="N786" i="23"/>
  <c r="N118" i="23"/>
  <c r="N341" i="23"/>
  <c r="N505" i="23"/>
  <c r="N718" i="23"/>
  <c r="N71" i="23"/>
  <c r="N514" i="23"/>
  <c r="N679" i="23"/>
  <c r="N484" i="23"/>
  <c r="N166" i="23"/>
  <c r="N285" i="23"/>
  <c r="N394" i="23"/>
  <c r="N481" i="23"/>
  <c r="N530" i="23"/>
  <c r="N658" i="23"/>
  <c r="N742" i="23"/>
  <c r="N147" i="23"/>
  <c r="N313" i="23"/>
  <c r="N405" i="23"/>
  <c r="N667" i="23"/>
  <c r="N357" i="23"/>
  <c r="N331" i="23"/>
  <c r="N270" i="23"/>
  <c r="N476" i="23"/>
  <c r="N287" i="23"/>
  <c r="N490" i="23"/>
  <c r="N572" i="23"/>
  <c r="N682" i="23"/>
  <c r="N777" i="23"/>
  <c r="N108" i="23"/>
  <c r="N241" i="23"/>
  <c r="N314" i="23"/>
  <c r="N450" i="23"/>
  <c r="N645" i="23"/>
  <c r="N733" i="23"/>
  <c r="N129" i="23"/>
  <c r="N200" i="23"/>
  <c r="N296" i="23"/>
  <c r="N351" i="23"/>
  <c r="N443" i="23"/>
  <c r="N592" i="23"/>
  <c r="N688" i="23"/>
  <c r="N618" i="23"/>
  <c r="N497" i="23"/>
  <c r="N123" i="23"/>
  <c r="L111" i="23"/>
  <c r="L124" i="23"/>
  <c r="N126" i="23"/>
  <c r="L159" i="23"/>
  <c r="N169" i="23"/>
  <c r="L225" i="23"/>
  <c r="L335" i="23"/>
  <c r="L337" i="23"/>
  <c r="N412" i="23"/>
  <c r="N431" i="23"/>
  <c r="L534" i="23"/>
  <c r="L564" i="23"/>
  <c r="L593" i="23"/>
  <c r="N595" i="23"/>
  <c r="N695" i="23"/>
  <c r="L751" i="23"/>
  <c r="N752" i="23"/>
  <c r="N170" i="23"/>
  <c r="L114" i="23"/>
  <c r="N115" i="23"/>
  <c r="N755" i="23"/>
  <c r="L230" i="23"/>
  <c r="N229" i="23"/>
  <c r="N298" i="23"/>
  <c r="N714" i="23"/>
  <c r="L371" i="23"/>
  <c r="L608" i="23"/>
  <c r="N722" i="23"/>
  <c r="N723" i="23"/>
  <c r="N677" i="23"/>
  <c r="L613" i="23"/>
  <c r="N614" i="23"/>
  <c r="L510" i="23"/>
  <c r="L479" i="23"/>
  <c r="N477" i="23"/>
  <c r="N390" i="23"/>
  <c r="L326" i="23"/>
  <c r="N327" i="23"/>
  <c r="N179" i="23"/>
  <c r="N154" i="23"/>
  <c r="N99" i="23"/>
  <c r="N540" i="23"/>
  <c r="L234" i="23"/>
  <c r="L716" i="23"/>
  <c r="N575" i="23"/>
  <c r="L283" i="23"/>
  <c r="L194" i="23"/>
  <c r="N209" i="23"/>
  <c r="L365" i="23"/>
  <c r="N362" i="23"/>
  <c r="N366" i="23"/>
  <c r="L773" i="23"/>
  <c r="L262" i="23"/>
  <c r="N264" i="23"/>
  <c r="N466" i="23"/>
  <c r="N103" i="23"/>
  <c r="N418" i="23"/>
  <c r="N636" i="23"/>
  <c r="L569" i="23"/>
  <c r="N639" i="23"/>
  <c r="N202" i="23"/>
  <c r="N597" i="23"/>
  <c r="N187" i="23"/>
  <c r="N188" i="23"/>
  <c r="N504" i="23"/>
  <c r="N783" i="23"/>
  <c r="N653" i="23"/>
  <c r="N485" i="23"/>
  <c r="N76" i="23"/>
  <c r="N117" i="23"/>
  <c r="N301" i="23"/>
  <c r="N539" i="23"/>
  <c r="N583" i="23"/>
  <c r="N633" i="23"/>
  <c r="N237" i="23"/>
  <c r="N728" i="23"/>
  <c r="N80" i="23"/>
  <c r="N494" i="23"/>
  <c r="N238" i="23"/>
  <c r="N529" i="23"/>
  <c r="N269" i="23"/>
  <c r="N381" i="23"/>
  <c r="N707" i="23"/>
  <c r="N425" i="23"/>
  <c r="N659" i="23"/>
  <c r="N763" i="23"/>
  <c r="N222" i="23"/>
  <c r="N573" i="23"/>
  <c r="N276" i="23"/>
  <c r="N579" i="23"/>
  <c r="N791" i="23"/>
  <c r="L410" i="23"/>
  <c r="N411" i="23"/>
  <c r="N142" i="23"/>
  <c r="L336" i="23"/>
  <c r="N749" i="23"/>
  <c r="L113" i="23"/>
  <c r="N228" i="23"/>
  <c r="N713" i="23"/>
  <c r="L609" i="23"/>
  <c r="N610" i="23"/>
  <c r="N724" i="23"/>
  <c r="N676" i="23"/>
  <c r="N613" i="23"/>
  <c r="N522" i="23"/>
  <c r="N389" i="23"/>
  <c r="N326" i="23"/>
  <c r="N153" i="23"/>
  <c r="L540" i="23"/>
  <c r="L575" i="23"/>
  <c r="N127" i="23"/>
  <c r="N246" i="23"/>
  <c r="N369" i="23"/>
  <c r="N671" i="23"/>
  <c r="N781" i="23"/>
  <c r="N67" i="23"/>
  <c r="N152" i="23"/>
  <c r="N249" i="23"/>
  <c r="N354" i="23"/>
  <c r="N560" i="23"/>
  <c r="N720" i="23"/>
  <c r="N605" i="23"/>
  <c r="N697" i="23"/>
  <c r="N507" i="23"/>
  <c r="N340" i="23"/>
  <c r="N607" i="23"/>
  <c r="N206" i="23"/>
  <c r="N624" i="23"/>
  <c r="N190" i="23"/>
  <c r="N252" i="23"/>
  <c r="N355" i="23"/>
  <c r="N100" i="23"/>
  <c r="N317" i="23"/>
  <c r="N525" i="23"/>
  <c r="N554" i="23"/>
  <c r="N740" i="23"/>
  <c r="N101" i="23"/>
  <c r="N192" i="23"/>
  <c r="N416" i="23"/>
  <c r="N665" i="23"/>
  <c r="N144" i="23"/>
  <c r="N392" i="23"/>
  <c r="N568" i="23"/>
  <c r="N772" i="23"/>
  <c r="N119" i="23"/>
  <c r="N585" i="23"/>
  <c r="N729" i="23"/>
  <c r="N162" i="23"/>
  <c r="N511" i="23"/>
  <c r="N437" i="23"/>
  <c r="N181" i="23"/>
  <c r="N303" i="23"/>
  <c r="N420" i="23"/>
  <c r="N491" i="23"/>
  <c r="N557" i="23"/>
  <c r="N680" i="23"/>
  <c r="N776" i="23"/>
  <c r="N174" i="23"/>
  <c r="N330" i="23"/>
  <c r="N421" i="23"/>
  <c r="N687" i="23"/>
  <c r="N422" i="23"/>
  <c r="N120" i="23"/>
  <c r="N397" i="23"/>
  <c r="N423" i="23"/>
  <c r="N286" i="23"/>
  <c r="N482" i="23"/>
  <c r="N107" i="23"/>
  <c r="N349" i="23"/>
  <c r="N508" i="23"/>
  <c r="N590" i="23"/>
  <c r="N719" i="23"/>
  <c r="N140" i="23"/>
  <c r="N274" i="23"/>
  <c r="N332" i="23"/>
  <c r="N495" i="23"/>
  <c r="N660" i="23"/>
  <c r="N765" i="23"/>
  <c r="N130" i="23"/>
  <c r="N224" i="23"/>
  <c r="N315" i="23"/>
  <c r="N384" i="23"/>
  <c r="N458" i="23"/>
  <c r="N622" i="23"/>
  <c r="N734" i="23"/>
  <c r="N732" i="23"/>
  <c r="N503" i="23"/>
  <c r="N297" i="23"/>
  <c r="N601" i="23"/>
  <c r="L110" i="23"/>
  <c r="N124" i="23"/>
  <c r="L141" i="23"/>
  <c r="L168" i="23"/>
  <c r="L185" i="23"/>
  <c r="N225" i="23"/>
  <c r="N289" i="23"/>
  <c r="N337" i="23"/>
  <c r="N413" i="23"/>
  <c r="N534" i="23"/>
  <c r="N563" i="23"/>
  <c r="L594" i="23"/>
  <c r="N593" i="23"/>
  <c r="N649" i="23"/>
  <c r="L736" i="23"/>
  <c r="L749" i="23"/>
  <c r="N248" i="23"/>
  <c r="N112" i="23"/>
  <c r="N143" i="23"/>
  <c r="N696" i="23"/>
  <c r="N756" i="23"/>
  <c r="L228" i="23"/>
  <c r="N230" i="23"/>
  <c r="N299" i="23"/>
  <c r="N371" i="23"/>
  <c r="N608" i="23"/>
  <c r="N725" i="23"/>
  <c r="L676" i="23"/>
  <c r="L675" i="23"/>
  <c r="L612" i="23"/>
  <c r="L523" i="23"/>
  <c r="N403" i="23"/>
  <c r="L477" i="23"/>
  <c r="N478" i="23"/>
  <c r="L328" i="23"/>
  <c r="L325" i="23"/>
  <c r="N329" i="23"/>
  <c r="L154" i="23"/>
  <c r="N155" i="23"/>
  <c r="N541" i="23"/>
  <c r="L235" i="23"/>
  <c r="N716" i="23"/>
  <c r="N576" i="23"/>
  <c r="L374" i="23"/>
  <c r="N283" i="23"/>
  <c r="L91" i="23"/>
  <c r="N194" i="23"/>
  <c r="L210" i="23"/>
  <c r="L362" i="23"/>
  <c r="N363" i="23"/>
  <c r="L543" i="23"/>
  <c r="N773" i="23"/>
  <c r="L263" i="23"/>
  <c r="N265" i="23"/>
  <c r="N467" i="23"/>
  <c r="L102" i="23"/>
  <c r="N104" i="23"/>
  <c r="N436" i="23"/>
  <c r="N342" i="23"/>
  <c r="N570" i="23"/>
  <c r="L637" i="23"/>
  <c r="N353" i="23"/>
  <c r="N693" i="23"/>
  <c r="N116" i="23"/>
  <c r="N309" i="23"/>
  <c r="N603" i="23"/>
  <c r="N512" i="23"/>
  <c r="N401" i="23"/>
  <c r="N760" i="23"/>
  <c r="N232" i="23"/>
  <c r="N738" i="23"/>
  <c r="N280" i="23"/>
  <c r="N761" i="23"/>
  <c r="N233" i="23"/>
  <c r="N434" i="23"/>
  <c r="N727" i="23"/>
  <c r="N506" i="23"/>
  <c r="N135" i="23"/>
  <c r="N555" i="23"/>
  <c r="N318" i="23"/>
  <c r="N666" i="23"/>
  <c r="N586" i="23"/>
  <c r="N308" i="23"/>
  <c r="N165" i="23"/>
  <c r="N378" i="23"/>
  <c r="N640" i="23"/>
  <c r="N705" i="23"/>
  <c r="N106" i="23"/>
  <c r="N257" i="23"/>
  <c r="N293" i="23"/>
  <c r="N509" i="23"/>
  <c r="N273" i="23"/>
  <c r="N549" i="23"/>
  <c r="N199" i="23"/>
  <c r="N427" i="23"/>
  <c r="N122" i="23"/>
  <c r="N334" i="23"/>
  <c r="N125" i="23"/>
  <c r="N186" i="23"/>
  <c r="N336" i="23"/>
  <c r="N430" i="23"/>
  <c r="L563" i="23"/>
  <c r="N594" i="23"/>
  <c r="N492" i="23"/>
  <c r="N114" i="23"/>
  <c r="L755" i="23"/>
  <c r="L298" i="23"/>
  <c r="L722" i="23"/>
  <c r="N674" i="23"/>
  <c r="N538" i="23"/>
  <c r="N510" i="23"/>
  <c r="N328" i="23"/>
  <c r="N177" i="23"/>
  <c r="N98" i="23"/>
  <c r="N235" i="23"/>
  <c r="N375" i="23"/>
  <c r="N151" i="23"/>
  <c r="N247" i="23"/>
  <c r="N386" i="23"/>
  <c r="N672" i="23"/>
  <c r="N782" i="23"/>
  <c r="N74" i="23"/>
  <c r="N171" i="23"/>
  <c r="N277" i="23"/>
  <c r="N483" i="23"/>
  <c r="N581" i="23"/>
  <c r="N753" i="23"/>
  <c r="N623" i="23"/>
  <c r="N721" i="23"/>
  <c r="N552" i="23"/>
  <c r="N414" i="23"/>
  <c r="N685" i="23"/>
  <c r="N260" i="23"/>
  <c r="N699" i="23"/>
  <c r="N90" i="23"/>
  <c r="N207" i="23"/>
  <c r="N291" i="23"/>
  <c r="N388" i="23"/>
  <c r="N133" i="23"/>
  <c r="N373" i="23"/>
  <c r="N678" i="23"/>
  <c r="N598" i="23"/>
  <c r="N771" i="23"/>
  <c r="N134" i="23"/>
  <c r="N208" i="23"/>
  <c r="N462" i="23"/>
  <c r="N701" i="23"/>
  <c r="N193" i="23"/>
  <c r="N435" i="23"/>
  <c r="N634" i="23"/>
  <c r="N404" i="23"/>
  <c r="N657" i="23"/>
  <c r="N527" i="23"/>
  <c r="N787" i="23"/>
  <c r="N302" i="23"/>
  <c r="N587" i="23"/>
  <c r="N775" i="23"/>
  <c r="N85" i="23"/>
  <c r="N219" i="23"/>
  <c r="N319" i="23"/>
  <c r="N438" i="23"/>
  <c r="N600" i="23"/>
  <c r="N692" i="23"/>
  <c r="N89" i="23"/>
  <c r="N220" i="23"/>
  <c r="N380" i="23"/>
  <c r="N465" i="23"/>
  <c r="N744" i="23"/>
  <c r="N136" i="23"/>
  <c r="N571" i="23"/>
  <c r="N137" i="23"/>
  <c r="N461" i="23"/>
  <c r="N463" i="23"/>
  <c r="N306" i="23"/>
  <c r="N139" i="23"/>
  <c r="N350" i="23"/>
  <c r="N532" i="23"/>
  <c r="N620" i="23"/>
  <c r="N746" i="23"/>
  <c r="N157" i="23"/>
  <c r="N221" i="23"/>
  <c r="N294" i="23"/>
  <c r="N358" i="23"/>
  <c r="N550" i="23"/>
  <c r="N669" i="23"/>
  <c r="N167" i="23"/>
  <c r="N258" i="23"/>
  <c r="N321" i="23"/>
  <c r="N385" i="23"/>
  <c r="N516" i="23"/>
  <c r="N647" i="23"/>
  <c r="N748" i="23"/>
  <c r="L601" i="23"/>
  <c r="N410" i="23"/>
  <c r="N602" i="23"/>
  <c r="N110" i="23"/>
  <c r="L125" i="23"/>
  <c r="N141" i="23"/>
  <c r="N159" i="23"/>
  <c r="N185" i="23"/>
  <c r="N226" i="23"/>
  <c r="N335" i="23"/>
  <c r="N352" i="23"/>
  <c r="L430" i="23"/>
  <c r="N535" i="23"/>
  <c r="N564" i="23"/>
  <c r="L595" i="23"/>
  <c r="N596" i="23"/>
  <c r="L694" i="23"/>
  <c r="N736" i="23"/>
  <c r="N751" i="23"/>
  <c r="N323" i="23"/>
  <c r="L112" i="23"/>
  <c r="N113" i="23"/>
  <c r="N387" i="23"/>
  <c r="L229" i="23"/>
  <c r="N231" i="23"/>
  <c r="L713" i="23"/>
  <c r="N372" i="23"/>
  <c r="N609" i="23"/>
  <c r="L724" i="23"/>
  <c r="L723" i="23"/>
  <c r="L674" i="23"/>
  <c r="N675" i="23"/>
  <c r="N612" i="23"/>
  <c r="N523" i="23"/>
  <c r="N415" i="23"/>
  <c r="N479" i="23"/>
  <c r="L389" i="23"/>
  <c r="L327" i="23"/>
  <c r="N325" i="23"/>
  <c r="L177" i="23"/>
  <c r="L153" i="23"/>
  <c r="L98" i="23"/>
  <c r="L541" i="23"/>
  <c r="N542" i="23"/>
  <c r="N234" i="23"/>
  <c r="N717" i="23"/>
  <c r="N374" i="23"/>
  <c r="N284" i="23"/>
  <c r="N91" i="23"/>
  <c r="N195" i="23"/>
  <c r="N210" i="23"/>
  <c r="L363" i="23"/>
  <c r="N364" i="23"/>
  <c r="N543" i="23"/>
  <c r="N774" i="23"/>
  <c r="N262" i="23"/>
  <c r="L466" i="23"/>
  <c r="N472" i="23"/>
  <c r="L103" i="23"/>
  <c r="L253" i="23"/>
  <c r="L417" i="23"/>
  <c r="L635" i="23"/>
  <c r="N569" i="23"/>
  <c r="N638" i="23"/>
  <c r="K128" i="23"/>
  <c r="M398" i="23"/>
  <c r="M344" i="23"/>
  <c r="M320" i="23"/>
  <c r="M370" i="23"/>
  <c r="M339" i="23"/>
  <c r="M316" i="23"/>
  <c r="M278" i="23"/>
  <c r="M250" i="23"/>
  <c r="M97" i="23"/>
  <c r="N737" i="23"/>
  <c r="N662" i="23"/>
  <c r="N648" i="23"/>
  <c r="N533" i="23"/>
  <c r="N519" i="23"/>
  <c r="N498" i="23"/>
  <c r="N459" i="23"/>
  <c r="N359" i="23"/>
  <c r="N322" i="23"/>
  <c r="K1218" i="23"/>
  <c r="L1218" i="23" s="1"/>
  <c r="K1212" i="23"/>
  <c r="L1212" i="23" s="1"/>
  <c r="K1538" i="23"/>
  <c r="L1538" i="23" s="1"/>
  <c r="K1411" i="23"/>
  <c r="L1411" i="23" s="1"/>
  <c r="K1410" i="23"/>
  <c r="L1410" i="23" s="1"/>
  <c r="K1481" i="23"/>
  <c r="L1481" i="23" s="1"/>
  <c r="K1200" i="23"/>
  <c r="L1200" i="23" s="1"/>
  <c r="K4" i="23"/>
  <c r="L1483" i="23"/>
  <c r="L1558" i="23"/>
  <c r="M1130" i="23"/>
  <c r="M1031" i="23"/>
  <c r="M952" i="23"/>
  <c r="M855" i="23"/>
  <c r="M764" i="23"/>
  <c r="M668" i="23"/>
  <c r="M382" i="23"/>
  <c r="M288" i="23"/>
  <c r="M182" i="23"/>
  <c r="M121" i="23"/>
  <c r="K620" i="23"/>
  <c r="K590" i="23"/>
  <c r="L1472" i="23"/>
  <c r="K465" i="23"/>
  <c r="K12" i="23"/>
  <c r="K403" i="23"/>
  <c r="K1478" i="23"/>
  <c r="L1478" i="23" s="1"/>
  <c r="K1451" i="23"/>
  <c r="L1451" i="23" s="1"/>
  <c r="K1450" i="23"/>
  <c r="L1450" i="23" s="1"/>
  <c r="K1059" i="23"/>
  <c r="L1059" i="23" s="1"/>
  <c r="V62" i="18"/>
  <c r="K1201" i="23"/>
  <c r="L1201" i="23" s="1"/>
  <c r="K1547" i="23"/>
  <c r="L1547" i="23" s="1"/>
  <c r="K1418" i="23"/>
  <c r="L1418" i="23" s="1"/>
  <c r="K1487" i="23"/>
  <c r="L1487" i="23" s="1"/>
  <c r="N580" i="23"/>
  <c r="K1376" i="23"/>
  <c r="L1376" i="23" s="1"/>
  <c r="N938" i="23" l="1"/>
  <c r="N1116" i="23"/>
  <c r="N969" i="23"/>
  <c r="N1268" i="23"/>
  <c r="N881" i="23"/>
  <c r="N858" i="23"/>
  <c r="N819" i="23"/>
  <c r="N976" i="23"/>
  <c r="N1167" i="23"/>
  <c r="N1323" i="23"/>
  <c r="N1347" i="23"/>
  <c r="N1053" i="23"/>
  <c r="N1219" i="23"/>
  <c r="N1169" i="23"/>
  <c r="N845" i="23"/>
  <c r="N1010" i="23"/>
  <c r="N806" i="23"/>
  <c r="N1120" i="23"/>
  <c r="N1460" i="23"/>
  <c r="N259" i="23"/>
  <c r="N780" i="23"/>
  <c r="N432" i="23"/>
  <c r="N62" i="23"/>
  <c r="N217" i="23"/>
  <c r="N339" i="23"/>
  <c r="N344" i="23"/>
  <c r="L128" i="23"/>
  <c r="N606" i="23"/>
  <c r="L465" i="23"/>
  <c r="N97" i="23"/>
  <c r="L590" i="23"/>
  <c r="N711" i="23"/>
  <c r="N176" i="23"/>
  <c r="L12" i="23"/>
  <c r="L620" i="23"/>
  <c r="N243" i="23"/>
  <c r="N735" i="23"/>
  <c r="N75" i="23"/>
  <c r="N250" i="23"/>
  <c r="N370" i="23"/>
  <c r="N398" i="23"/>
  <c r="N128" i="23"/>
  <c r="N673" i="23"/>
  <c r="N201" i="23"/>
  <c r="N278" i="23"/>
  <c r="N94" i="23"/>
  <c r="N360" i="23"/>
  <c r="N758" i="23"/>
  <c r="L403" i="23"/>
  <c r="N690" i="23"/>
  <c r="N769" i="23"/>
  <c r="N172" i="23"/>
  <c r="N316" i="23"/>
  <c r="N584" i="23"/>
  <c r="N320" i="23"/>
  <c r="N469" i="23"/>
  <c r="N759" i="23"/>
  <c r="K1509" i="23"/>
  <c r="L1509" i="23" s="1"/>
  <c r="K1548" i="23"/>
  <c r="L1548" i="23" s="1"/>
  <c r="M486" i="23"/>
  <c r="N1564" i="23"/>
  <c r="N1401" i="23"/>
  <c r="N1330" i="23"/>
  <c r="N1293" i="23"/>
  <c r="N1261" i="23"/>
  <c r="N1196" i="23"/>
  <c r="N1130" i="23"/>
  <c r="N1031" i="23"/>
  <c r="N952" i="23"/>
  <c r="N855" i="23"/>
  <c r="N764" i="23"/>
  <c r="N668" i="23"/>
  <c r="N577" i="23"/>
  <c r="N493" i="23"/>
  <c r="N382" i="23"/>
  <c r="N288" i="23"/>
  <c r="N182" i="23"/>
  <c r="N121" i="23"/>
  <c r="M794" i="23"/>
  <c r="M402" i="23"/>
  <c r="M361" i="23"/>
  <c r="M312" i="23"/>
  <c r="M281" i="23"/>
  <c r="M218" i="23"/>
  <c r="M189" i="23"/>
  <c r="F3" i="21"/>
  <c r="L1523" i="23"/>
  <c r="L1575" i="23"/>
  <c r="K1540" i="23"/>
  <c r="L1540" i="23" s="1"/>
  <c r="K1398" i="23"/>
  <c r="L1398" i="23" s="1"/>
  <c r="L1574" i="23"/>
  <c r="K1394" i="23"/>
  <c r="L1394" i="23" s="1"/>
  <c r="K1526" i="23"/>
  <c r="L1526" i="23" s="1"/>
  <c r="L1370" i="23"/>
  <c r="K1454" i="23"/>
  <c r="L1454" i="23" s="1"/>
  <c r="K1477" i="23"/>
  <c r="L1477" i="23" s="1"/>
  <c r="K1474" i="23"/>
  <c r="L1474" i="23" s="1"/>
  <c r="K1537" i="23"/>
  <c r="L1537" i="23" s="1"/>
  <c r="K1500" i="23"/>
  <c r="L1500" i="23" s="1"/>
  <c r="K1405" i="23"/>
  <c r="L1405" i="23" s="1"/>
  <c r="K1508" i="23"/>
  <c r="L1508" i="23" s="1"/>
  <c r="K1461" i="23"/>
  <c r="L1461" i="23" s="1"/>
  <c r="K1443" i="23"/>
  <c r="L1443" i="23" s="1"/>
  <c r="K1444" i="23"/>
  <c r="L1444" i="23" s="1"/>
  <c r="K1520" i="23"/>
  <c r="L1520" i="23" s="1"/>
  <c r="K1519" i="23"/>
  <c r="L1519" i="23" s="1"/>
  <c r="K1476" i="23"/>
  <c r="L1476" i="23" s="1"/>
  <c r="K1381" i="23"/>
  <c r="L1381" i="23" s="1"/>
  <c r="K1382" i="23"/>
  <c r="L1382" i="23" s="1"/>
  <c r="K1434" i="23"/>
  <c r="L1434" i="23" s="1"/>
  <c r="K1372" i="23"/>
  <c r="L1372" i="23" s="1"/>
  <c r="K1361" i="23"/>
  <c r="L1361" i="23" s="1"/>
  <c r="K1416" i="23"/>
  <c r="L1416" i="23" s="1"/>
  <c r="L1567" i="23"/>
  <c r="K1551" i="23"/>
  <c r="L1551" i="23" s="1"/>
  <c r="K1449" i="23"/>
  <c r="L1449" i="23" s="1"/>
  <c r="K1380" i="23"/>
  <c r="L1380" i="23" s="1"/>
  <c r="K1514" i="23"/>
  <c r="L1514" i="23" s="1"/>
  <c r="K1530" i="23"/>
  <c r="L1530" i="23" s="1"/>
  <c r="K1441" i="23"/>
  <c r="L1441" i="23" s="1"/>
  <c r="K1016" i="23"/>
  <c r="L1016" i="23" s="1"/>
  <c r="L1502" i="23"/>
  <c r="K1471" i="23"/>
  <c r="L1471" i="23" s="1"/>
  <c r="K1288" i="23"/>
  <c r="L1288" i="23" s="1"/>
  <c r="K1560" i="23"/>
  <c r="L1560" i="23" s="1"/>
  <c r="K1433" i="23"/>
  <c r="L1433" i="23" s="1"/>
  <c r="K1350" i="23"/>
  <c r="L1350" i="23" s="1"/>
  <c r="L1419" i="23"/>
  <c r="K1417" i="23"/>
  <c r="L1417" i="23" s="1"/>
  <c r="K1445" i="23"/>
  <c r="L1445" i="23" s="1"/>
  <c r="K1341" i="23"/>
  <c r="L1341" i="23" s="1"/>
  <c r="K1513" i="23"/>
  <c r="L1513" i="23" s="1"/>
  <c r="K1392" i="23"/>
  <c r="L1392" i="23" s="1"/>
  <c r="L1572" i="23"/>
  <c r="K1522" i="23"/>
  <c r="L1522" i="23" s="1"/>
  <c r="K1386" i="23"/>
  <c r="L1386" i="23" s="1"/>
  <c r="K1355" i="23"/>
  <c r="L1355" i="23" s="1"/>
  <c r="K1550" i="23"/>
  <c r="L1550" i="23" s="1"/>
  <c r="K1252" i="23"/>
  <c r="L1252" i="23" s="1"/>
  <c r="K1515" i="23"/>
  <c r="L1515" i="23" s="1"/>
  <c r="K1287" i="23"/>
  <c r="L1287" i="23" s="1"/>
  <c r="K1467" i="23"/>
  <c r="L1467" i="23" s="1"/>
  <c r="K1387" i="23"/>
  <c r="L1387" i="23" s="1"/>
  <c r="K1338" i="23"/>
  <c r="L1338" i="23" s="1"/>
  <c r="K1452" i="23"/>
  <c r="L1452" i="23" s="1"/>
  <c r="L1495" i="23"/>
  <c r="K1435" i="23"/>
  <c r="L1435" i="23" s="1"/>
  <c r="L1391" i="23"/>
  <c r="K1393" i="23"/>
  <c r="L1393" i="23" s="1"/>
  <c r="K1360" i="23"/>
  <c r="L1360" i="23" s="1"/>
  <c r="K1377" i="23"/>
  <c r="L1377" i="23" s="1"/>
  <c r="K1383" i="23"/>
  <c r="L1383" i="23" s="1"/>
  <c r="K1503" i="23"/>
  <c r="L1503" i="23" s="1"/>
  <c r="K1348" i="23"/>
  <c r="L1348" i="23" s="1"/>
  <c r="K1460" i="23"/>
  <c r="L1460" i="23" s="1"/>
  <c r="K1429" i="23"/>
  <c r="L1429" i="23" s="1"/>
  <c r="K1347" i="23"/>
  <c r="L1347" i="23" s="1"/>
  <c r="K1464" i="23"/>
  <c r="L1464" i="23" s="1"/>
  <c r="K1456" i="23"/>
  <c r="L1456" i="23" s="1"/>
  <c r="K1462" i="23"/>
  <c r="L1462" i="23" s="1"/>
  <c r="K1517" i="23"/>
  <c r="L1517" i="23" s="1"/>
  <c r="K1516" i="23"/>
  <c r="L1516" i="23" s="1"/>
  <c r="K1498" i="23"/>
  <c r="L1498" i="23" s="1"/>
  <c r="K1453" i="23"/>
  <c r="L1453" i="23" s="1"/>
  <c r="K1363" i="23"/>
  <c r="L1363" i="23" s="1"/>
  <c r="K1440" i="23"/>
  <c r="L1440" i="23" s="1"/>
  <c r="K1486" i="23"/>
  <c r="L1486" i="23" s="1"/>
  <c r="K1385" i="23"/>
  <c r="L1385" i="23" s="1"/>
  <c r="L1497" i="23"/>
  <c r="K1412" i="23"/>
  <c r="L1412" i="23" s="1"/>
  <c r="K1327" i="23"/>
  <c r="L1327" i="23" s="1"/>
  <c r="K1366" i="23"/>
  <c r="L1366" i="23" s="1"/>
  <c r="K1331" i="23"/>
  <c r="L1331" i="23" s="1"/>
  <c r="K1544" i="23"/>
  <c r="L1544" i="23" s="1"/>
  <c r="K1337" i="23"/>
  <c r="L1337" i="23" s="1"/>
  <c r="K1340" i="23"/>
  <c r="L1340" i="23" s="1"/>
  <c r="K1407" i="23"/>
  <c r="L1407" i="23" s="1"/>
  <c r="L1427" i="23"/>
  <c r="K1459" i="23"/>
  <c r="L1459" i="23" s="1"/>
  <c r="K1438" i="23"/>
  <c r="L1438" i="23" s="1"/>
  <c r="K1439" i="23"/>
  <c r="L1439" i="23" s="1"/>
  <c r="K1532" i="23"/>
  <c r="L1532" i="23" s="1"/>
  <c r="K1535" i="23"/>
  <c r="L1535" i="23" s="1"/>
  <c r="K1531" i="23"/>
  <c r="L1531" i="23" s="1"/>
  <c r="K1448" i="23"/>
  <c r="L1448" i="23" s="1"/>
  <c r="K1492" i="23"/>
  <c r="L1492" i="23" s="1"/>
  <c r="K1479" i="23"/>
  <c r="L1479" i="23" s="1"/>
  <c r="K1357" i="23"/>
  <c r="L1357" i="23" s="1"/>
  <c r="K1431" i="23"/>
  <c r="L1431" i="23" s="1"/>
  <c r="K1396" i="23"/>
  <c r="L1396" i="23" s="1"/>
  <c r="K1369" i="23"/>
  <c r="L1369" i="23" s="1"/>
  <c r="K1378" i="23"/>
  <c r="L1378" i="23" s="1"/>
  <c r="K1409" i="23"/>
  <c r="L1409" i="23" s="1"/>
  <c r="K1408" i="23"/>
  <c r="L1408" i="23" s="1"/>
  <c r="K1549" i="23"/>
  <c r="L1549" i="23" s="1"/>
  <c r="K1351" i="23"/>
  <c r="L1351" i="23" s="1"/>
  <c r="K1345" i="23"/>
  <c r="L1345" i="23" s="1"/>
  <c r="K1432" i="23"/>
  <c r="L1432" i="23" s="1"/>
  <c r="K1490" i="23"/>
  <c r="L1490" i="23" s="1"/>
  <c r="K1379" i="23"/>
  <c r="L1379" i="23" s="1"/>
  <c r="K1406" i="23"/>
  <c r="L1406" i="23" s="1"/>
  <c r="K1529" i="23"/>
  <c r="L1529" i="23" s="1"/>
  <c r="K1488" i="23"/>
  <c r="L1488" i="23" s="1"/>
  <c r="K1458" i="23"/>
  <c r="L1458" i="23" s="1"/>
  <c r="K1510" i="23"/>
  <c r="L1510" i="23" s="1"/>
  <c r="K1424" i="23"/>
  <c r="L1424" i="23" s="1"/>
  <c r="K1446" i="23"/>
  <c r="L1446" i="23" s="1"/>
  <c r="L1571" i="23"/>
  <c r="K1553" i="23"/>
  <c r="L1553" i="23" s="1"/>
  <c r="K1354" i="23"/>
  <c r="L1354" i="23" s="1"/>
  <c r="K1403" i="23"/>
  <c r="L1403" i="23" s="1"/>
  <c r="K1521" i="23"/>
  <c r="L1521" i="23" s="1"/>
  <c r="K1384" i="23"/>
  <c r="L1384" i="23" s="1"/>
  <c r="K1493" i="23"/>
  <c r="L1493" i="23" s="1"/>
  <c r="K1494" i="23"/>
  <c r="L1494" i="23" s="1"/>
  <c r="K1307" i="23"/>
  <c r="L1307" i="23" s="1"/>
  <c r="K1388" i="23"/>
  <c r="L1388" i="23" s="1"/>
  <c r="K1420" i="23"/>
  <c r="L1420" i="23" s="1"/>
  <c r="K1542" i="23"/>
  <c r="L1542" i="23" s="1"/>
  <c r="K1534" i="23"/>
  <c r="L1534" i="23" s="1"/>
  <c r="K1525" i="23"/>
  <c r="L1525" i="23" s="1"/>
  <c r="K1470" i="23"/>
  <c r="L1470" i="23" s="1"/>
  <c r="L1562" i="23"/>
  <c r="K1401" i="23"/>
  <c r="L1401" i="23" s="1"/>
  <c r="K1564" i="23"/>
  <c r="L1564" i="23" s="1"/>
  <c r="K1330" i="23"/>
  <c r="L1330" i="23" s="1"/>
  <c r="L1554" i="23"/>
  <c r="K1334" i="23"/>
  <c r="L1334" i="23" s="1"/>
  <c r="K1356" i="23"/>
  <c r="L1356" i="23" s="1"/>
  <c r="K1319" i="23"/>
  <c r="L1319" i="23" s="1"/>
  <c r="L1359" i="23"/>
  <c r="K1305" i="23"/>
  <c r="L1305" i="23" s="1"/>
  <c r="L1362" i="23"/>
  <c r="K1511" i="23"/>
  <c r="L1511" i="23" s="1"/>
  <c r="K1512" i="23"/>
  <c r="L1512" i="23" s="1"/>
  <c r="L1524" i="23"/>
  <c r="K1428" i="23"/>
  <c r="L1428" i="23" s="1"/>
  <c r="K1501" i="23"/>
  <c r="L1501" i="23" s="1"/>
  <c r="K1576" i="23"/>
  <c r="L1576" i="23" s="1"/>
  <c r="K1447" i="23"/>
  <c r="L1447" i="23" s="1"/>
  <c r="K1468" i="23"/>
  <c r="L1468" i="23" s="1"/>
  <c r="K1475" i="23"/>
  <c r="L1475" i="23" s="1"/>
  <c r="K1556" i="23"/>
  <c r="L1556" i="23" s="1"/>
  <c r="K1371" i="23"/>
  <c r="L1371" i="23" s="1"/>
  <c r="K1367" i="23"/>
  <c r="L1367" i="23" s="1"/>
  <c r="K1368" i="23"/>
  <c r="L1368" i="23" s="1"/>
  <c r="K1415" i="23"/>
  <c r="L1415" i="23" s="1"/>
  <c r="K1399" i="23"/>
  <c r="L1399" i="23" s="1"/>
  <c r="K1400" i="23"/>
  <c r="L1400" i="23" s="1"/>
  <c r="K1402" i="23"/>
  <c r="L1402" i="23" s="1"/>
  <c r="K1317" i="23"/>
  <c r="L1317" i="23" s="1"/>
  <c r="L1469" i="23"/>
  <c r="K1489" i="23"/>
  <c r="L1489" i="23" s="1"/>
  <c r="K1430" i="23"/>
  <c r="L1430" i="23" s="1"/>
  <c r="L1437" i="23"/>
  <c r="K1343" i="23"/>
  <c r="L1343" i="23" s="1"/>
  <c r="L1570" i="23"/>
  <c r="K1473" i="23"/>
  <c r="L1473" i="23" s="1"/>
  <c r="K1352" i="23"/>
  <c r="L1352" i="23" s="1"/>
  <c r="K1346" i="23"/>
  <c r="L1346" i="23" s="1"/>
  <c r="K1349" i="23"/>
  <c r="L1349" i="23" s="1"/>
  <c r="K1312" i="23"/>
  <c r="L1312" i="23" s="1"/>
  <c r="K1297" i="23"/>
  <c r="L1297" i="23" s="1"/>
  <c r="K1236" i="23"/>
  <c r="L1236" i="23" s="1"/>
  <c r="K1216" i="23"/>
  <c r="L1216" i="23" s="1"/>
  <c r="K1278" i="23"/>
  <c r="L1278" i="23" s="1"/>
  <c r="K1273" i="23"/>
  <c r="L1273" i="23" s="1"/>
  <c r="K1232" i="23"/>
  <c r="L1232" i="23" s="1"/>
  <c r="K1193" i="23"/>
  <c r="L1193" i="23" s="1"/>
  <c r="K1259" i="23"/>
  <c r="L1259" i="23" s="1"/>
  <c r="K1237" i="23"/>
  <c r="L1237" i="23" s="1"/>
  <c r="K1257" i="23"/>
  <c r="L1257" i="23" s="1"/>
  <c r="K1255" i="23"/>
  <c r="L1255" i="23" s="1"/>
  <c r="K1191" i="23"/>
  <c r="L1191" i="23" s="1"/>
  <c r="K1300" i="23"/>
  <c r="L1300" i="23" s="1"/>
  <c r="K1269" i="23"/>
  <c r="L1269" i="23" s="1"/>
  <c r="K826" i="23"/>
  <c r="L826" i="23" s="1"/>
  <c r="K1281" i="23"/>
  <c r="L1281" i="23" s="1"/>
  <c r="K1086" i="23"/>
  <c r="L1086" i="23" s="1"/>
  <c r="K1279" i="23"/>
  <c r="L1279" i="23" s="1"/>
  <c r="K1286" i="23"/>
  <c r="L1286" i="23" s="1"/>
  <c r="K1263" i="23"/>
  <c r="L1263" i="23" s="1"/>
  <c r="K1291" i="23"/>
  <c r="L1291" i="23" s="1"/>
  <c r="K1298" i="23"/>
  <c r="L1298" i="23" s="1"/>
  <c r="K1083" i="23"/>
  <c r="L1083" i="23" s="1"/>
  <c r="K1260" i="23"/>
  <c r="L1260" i="23" s="1"/>
  <c r="K1321" i="23"/>
  <c r="L1321" i="23" s="1"/>
  <c r="K1303" i="23"/>
  <c r="L1303" i="23" s="1"/>
  <c r="K1256" i="23"/>
  <c r="L1256" i="23" s="1"/>
  <c r="K1271" i="23"/>
  <c r="L1271" i="23" s="1"/>
  <c r="K1308" i="23"/>
  <c r="L1308" i="23" s="1"/>
  <c r="K1323" i="23"/>
  <c r="L1323" i="23" s="1"/>
  <c r="K1318" i="23"/>
  <c r="L1318" i="23" s="1"/>
  <c r="K1313" i="23"/>
  <c r="L1313" i="23" s="1"/>
  <c r="K1314" i="23"/>
  <c r="L1314" i="23" s="1"/>
  <c r="K1284" i="23"/>
  <c r="L1284" i="23" s="1"/>
  <c r="K1230" i="23"/>
  <c r="L1230" i="23" s="1"/>
  <c r="K1285" i="23"/>
  <c r="L1285" i="23" s="1"/>
  <c r="K1294" i="23"/>
  <c r="L1294" i="23" s="1"/>
  <c r="K1293" i="23"/>
  <c r="L1293" i="23" s="1"/>
  <c r="L1310" i="23"/>
  <c r="K1261" i="23"/>
  <c r="L1261" i="23" s="1"/>
  <c r="L1309" i="23"/>
  <c r="L1296" i="23"/>
  <c r="L1289" i="23"/>
  <c r="K1272" i="23"/>
  <c r="L1272" i="23" s="1"/>
  <c r="K1326" i="23"/>
  <c r="L1326" i="23" s="1"/>
  <c r="K1325" i="23"/>
  <c r="L1325" i="23" s="1"/>
  <c r="K1324" i="23"/>
  <c r="L1324" i="23" s="1"/>
  <c r="K1277" i="23"/>
  <c r="L1277" i="23" s="1"/>
  <c r="K1190" i="23"/>
  <c r="L1190" i="23" s="1"/>
  <c r="K1227" i="23"/>
  <c r="L1227" i="23" s="1"/>
  <c r="K1282" i="23"/>
  <c r="L1282" i="23" s="1"/>
  <c r="K1329" i="23"/>
  <c r="L1329" i="23" s="1"/>
  <c r="L1332" i="23"/>
  <c r="K1328" i="23"/>
  <c r="L1328" i="23" s="1"/>
  <c r="K1267" i="23"/>
  <c r="L1267" i="23" s="1"/>
  <c r="K1225" i="23"/>
  <c r="L1225" i="23" s="1"/>
  <c r="K1295" i="23"/>
  <c r="L1295" i="23" s="1"/>
  <c r="K1333" i="23"/>
  <c r="L1333" i="23" s="1"/>
  <c r="K922" i="23"/>
  <c r="L922" i="23" s="1"/>
  <c r="K923" i="23"/>
  <c r="L923" i="23" s="1"/>
  <c r="K1280" i="23"/>
  <c r="L1280" i="23" s="1"/>
  <c r="K1299" i="23"/>
  <c r="L1299" i="23" s="1"/>
  <c r="K1320" i="23"/>
  <c r="L1320" i="23" s="1"/>
  <c r="K1292" i="23"/>
  <c r="L1292" i="23" s="1"/>
  <c r="K1215" i="23"/>
  <c r="L1215" i="23" s="1"/>
  <c r="K1283" i="23"/>
  <c r="L1283" i="23" s="1"/>
  <c r="K798" i="23"/>
  <c r="L798" i="23" s="1"/>
  <c r="K1264" i="23"/>
  <c r="L1264" i="23" s="1"/>
  <c r="K779" i="23"/>
  <c r="K1306" i="23"/>
  <c r="L1306" i="23" s="1"/>
  <c r="L1322" i="23"/>
  <c r="K1290" i="23"/>
  <c r="L1290" i="23" s="1"/>
  <c r="K1304" i="23"/>
  <c r="L1304" i="23" s="1"/>
  <c r="K1315" i="23"/>
  <c r="L1315" i="23" s="1"/>
  <c r="K1018" i="23"/>
  <c r="L1018" i="23" s="1"/>
  <c r="K1336" i="23"/>
  <c r="L1336" i="23" s="1"/>
  <c r="K1316" i="23"/>
  <c r="L1316" i="23" s="1"/>
  <c r="K1239" i="23"/>
  <c r="L1239" i="23" s="1"/>
  <c r="K1240" i="23"/>
  <c r="L1240" i="23" s="1"/>
  <c r="K1079" i="23"/>
  <c r="L1079" i="23" s="1"/>
  <c r="K1266" i="23"/>
  <c r="L1266" i="23" s="1"/>
  <c r="K1219" i="23"/>
  <c r="L1219" i="23" s="1"/>
  <c r="K1238" i="23"/>
  <c r="L1238" i="23" s="1"/>
  <c r="K1233" i="23"/>
  <c r="L1233" i="23" s="1"/>
  <c r="K1106" i="23"/>
  <c r="L1106" i="23" s="1"/>
  <c r="K1056" i="23"/>
  <c r="L1056" i="23" s="1"/>
  <c r="K1081" i="23"/>
  <c r="L1081" i="23" s="1"/>
  <c r="K1133" i="23"/>
  <c r="L1133" i="23" s="1"/>
  <c r="K1157" i="23"/>
  <c r="L1157" i="23" s="1"/>
  <c r="K1181" i="23"/>
  <c r="L1181" i="23" s="1"/>
  <c r="K1202" i="23"/>
  <c r="L1202" i="23" s="1"/>
  <c r="K1197" i="23"/>
  <c r="L1197" i="23" s="1"/>
  <c r="K1253" i="23"/>
  <c r="L1253" i="23" s="1"/>
  <c r="K1207" i="23"/>
  <c r="L1207" i="23" s="1"/>
  <c r="K1192" i="23"/>
  <c r="L1192" i="23" s="1"/>
  <c r="K1221" i="23"/>
  <c r="L1221" i="23" s="1"/>
  <c r="K1265" i="23"/>
  <c r="L1265" i="23" s="1"/>
  <c r="K1168" i="23"/>
  <c r="L1168" i="23" s="1"/>
  <c r="K1204" i="23"/>
  <c r="L1204" i="23" s="1"/>
  <c r="K1175" i="23"/>
  <c r="L1175" i="23" s="1"/>
  <c r="K1220" i="23"/>
  <c r="L1220" i="23" s="1"/>
  <c r="K1222" i="23"/>
  <c r="L1222" i="23" s="1"/>
  <c r="K1001" i="23"/>
  <c r="L1001" i="23" s="1"/>
  <c r="K1254" i="23"/>
  <c r="L1254" i="23" s="1"/>
  <c r="K1177" i="23"/>
  <c r="L1177" i="23" s="1"/>
  <c r="K1246" i="23"/>
  <c r="L1246" i="23" s="1"/>
  <c r="K1258" i="23"/>
  <c r="L1258" i="23" s="1"/>
  <c r="K1196" i="23"/>
  <c r="L1196" i="23" s="1"/>
  <c r="K1188" i="23"/>
  <c r="L1188" i="23" s="1"/>
  <c r="K1130" i="23"/>
  <c r="L1130" i="23" s="1"/>
  <c r="K1226" i="23"/>
  <c r="L1226" i="23" s="1"/>
  <c r="K1223" i="23"/>
  <c r="L1223" i="23" s="1"/>
  <c r="K1146" i="23"/>
  <c r="L1146" i="23" s="1"/>
  <c r="K1248" i="23"/>
  <c r="L1248" i="23" s="1"/>
  <c r="K1174" i="23"/>
  <c r="L1174" i="23" s="1"/>
  <c r="K1241" i="23"/>
  <c r="L1241" i="23" s="1"/>
  <c r="K1235" i="23"/>
  <c r="L1235" i="23" s="1"/>
  <c r="K1249" i="23"/>
  <c r="L1249" i="23" s="1"/>
  <c r="K1156" i="23"/>
  <c r="L1156" i="23" s="1"/>
  <c r="K1209" i="23"/>
  <c r="L1209" i="23" s="1"/>
  <c r="K1210" i="23"/>
  <c r="L1210" i="23" s="1"/>
  <c r="K1203" i="23"/>
  <c r="L1203" i="23" s="1"/>
  <c r="K1140" i="23"/>
  <c r="L1140" i="23" s="1"/>
  <c r="K1268" i="23"/>
  <c r="L1268" i="23" s="1"/>
  <c r="K1118" i="23"/>
  <c r="L1118" i="23" s="1"/>
  <c r="K1187" i="23"/>
  <c r="L1187" i="23" s="1"/>
  <c r="K1242" i="23"/>
  <c r="L1242" i="23" s="1"/>
  <c r="K1243" i="23"/>
  <c r="L1243" i="23" s="1"/>
  <c r="K1074" i="23"/>
  <c r="L1074" i="23" s="1"/>
  <c r="K1185" i="23"/>
  <c r="L1185" i="23" s="1"/>
  <c r="K1101" i="23"/>
  <c r="L1101" i="23" s="1"/>
  <c r="K1211" i="23"/>
  <c r="L1211" i="23" s="1"/>
  <c r="K1194" i="23"/>
  <c r="L1194" i="23" s="1"/>
  <c r="K1199" i="23"/>
  <c r="L1199" i="23" s="1"/>
  <c r="K1173" i="23"/>
  <c r="L1173" i="23" s="1"/>
  <c r="G17167" i="17"/>
  <c r="G17169" i="17"/>
  <c r="G17171" i="17"/>
  <c r="G17174" i="17"/>
  <c r="G17176" i="17"/>
  <c r="G17177" i="17"/>
  <c r="G17178" i="17"/>
  <c r="G17179" i="17"/>
  <c r="G17180" i="17"/>
  <c r="G17181" i="17"/>
  <c r="G17182" i="17"/>
  <c r="G17183" i="17"/>
  <c r="G17184" i="17"/>
  <c r="G17185" i="17"/>
  <c r="G17186" i="17"/>
  <c r="G17187" i="17"/>
  <c r="G17188" i="17"/>
  <c r="G17189" i="17"/>
  <c r="G17190" i="17"/>
  <c r="G17191" i="17"/>
  <c r="G17192" i="17"/>
  <c r="G17193" i="17"/>
  <c r="G17194" i="17"/>
  <c r="G17195" i="17"/>
  <c r="G17196" i="17"/>
  <c r="G17197" i="17"/>
  <c r="G17198" i="17"/>
  <c r="G17199" i="17"/>
  <c r="G17200" i="17"/>
  <c r="G17201" i="17"/>
  <c r="G17202" i="17"/>
  <c r="G17203" i="17"/>
  <c r="G17204" i="17"/>
  <c r="G17205" i="17"/>
  <c r="G17206" i="17"/>
  <c r="G17207" i="17"/>
  <c r="G17208" i="17"/>
  <c r="G17209" i="17"/>
  <c r="G17210" i="17"/>
  <c r="G17211" i="17"/>
  <c r="G17212" i="17"/>
  <c r="G17213" i="17"/>
  <c r="G17214" i="17"/>
  <c r="G17215" i="17"/>
  <c r="G17216" i="17"/>
  <c r="G17217" i="17"/>
  <c r="G17218" i="17"/>
  <c r="G17219" i="17"/>
  <c r="G17220" i="17"/>
  <c r="G17221" i="17"/>
  <c r="G17222" i="17"/>
  <c r="G17223" i="17"/>
  <c r="G17224" i="17"/>
  <c r="G17225" i="17"/>
  <c r="G17226" i="17"/>
  <c r="G17227" i="17"/>
  <c r="G17228" i="17"/>
  <c r="G17229" i="17"/>
  <c r="G17230" i="17"/>
  <c r="G17231" i="17"/>
  <c r="G17232" i="17"/>
  <c r="G17233" i="17"/>
  <c r="G17234" i="17"/>
  <c r="G17235" i="17"/>
  <c r="G17236" i="17"/>
  <c r="G17237" i="17"/>
  <c r="G17238" i="17"/>
  <c r="G17239" i="17"/>
  <c r="G17240" i="17"/>
  <c r="G17241" i="17"/>
  <c r="G17242" i="17"/>
  <c r="G17243" i="17"/>
  <c r="G17244" i="17"/>
  <c r="G17245" i="17"/>
  <c r="G17246" i="17"/>
  <c r="G17247" i="17"/>
  <c r="G17248" i="17"/>
  <c r="G17249" i="17"/>
  <c r="G17250" i="17"/>
  <c r="G17251" i="17"/>
  <c r="G17252" i="17"/>
  <c r="G17253" i="17"/>
  <c r="G17254" i="17"/>
  <c r="G17255" i="17"/>
  <c r="G17256" i="17"/>
  <c r="G17257" i="17"/>
  <c r="G17258" i="17"/>
  <c r="G17259" i="17"/>
  <c r="G17260" i="17"/>
  <c r="G17261" i="17"/>
  <c r="G17262" i="17"/>
  <c r="G17263" i="17"/>
  <c r="G17264" i="17"/>
  <c r="G17265" i="17"/>
  <c r="G17266" i="17"/>
  <c r="G17267" i="17"/>
  <c r="G17268" i="17"/>
  <c r="G17269" i="17"/>
  <c r="G17270" i="17"/>
  <c r="G17271" i="17"/>
  <c r="G17272" i="17"/>
  <c r="G17273" i="17"/>
  <c r="G17274" i="17"/>
  <c r="G17275" i="17"/>
  <c r="G17276" i="17"/>
  <c r="G17277" i="17"/>
  <c r="G17278" i="17"/>
  <c r="G17279" i="17"/>
  <c r="G17280" i="17"/>
  <c r="G17281" i="17"/>
  <c r="G17282" i="17"/>
  <c r="G17283" i="17"/>
  <c r="G17284" i="17"/>
  <c r="G17285" i="17"/>
  <c r="G17286" i="17"/>
  <c r="G17287" i="17"/>
  <c r="G17288" i="17"/>
  <c r="G17289" i="17"/>
  <c r="G17290" i="17"/>
  <c r="G17291" i="17"/>
  <c r="G17292" i="17"/>
  <c r="G17293" i="17"/>
  <c r="G17294" i="17"/>
  <c r="G17295" i="17"/>
  <c r="G17296" i="17"/>
  <c r="G17297" i="17"/>
  <c r="G17298" i="17"/>
  <c r="G17299" i="17"/>
  <c r="G17300" i="17"/>
  <c r="G17301" i="17"/>
  <c r="G17302" i="17"/>
  <c r="G17303" i="17"/>
  <c r="G17304" i="17"/>
  <c r="G17305" i="17"/>
  <c r="G17306" i="17"/>
  <c r="G17307" i="17"/>
  <c r="G17308" i="17"/>
  <c r="G17309" i="17"/>
  <c r="G17310" i="17"/>
  <c r="G17311" i="17"/>
  <c r="G17312" i="17"/>
  <c r="G17313" i="17"/>
  <c r="G17314" i="17"/>
  <c r="G17315" i="17"/>
  <c r="G17316" i="17"/>
  <c r="G17317" i="17"/>
  <c r="G17318" i="17"/>
  <c r="G17319" i="17"/>
  <c r="G17320" i="17"/>
  <c r="G17321" i="17"/>
  <c r="G17322" i="17"/>
  <c r="G17323" i="17"/>
  <c r="G17324" i="17"/>
  <c r="G17325" i="17"/>
  <c r="G17326" i="17"/>
  <c r="G17327" i="17"/>
  <c r="G17328" i="17"/>
  <c r="G17329" i="17"/>
  <c r="G17330" i="17"/>
  <c r="G17331" i="17"/>
  <c r="G17332" i="17"/>
  <c r="G17333" i="17"/>
  <c r="G17334" i="17"/>
  <c r="G17335" i="17"/>
  <c r="G17336" i="17"/>
  <c r="G17337" i="17"/>
  <c r="G17338" i="17"/>
  <c r="G17339" i="17"/>
  <c r="G17340" i="17"/>
  <c r="G17341" i="17"/>
  <c r="G17342" i="17"/>
  <c r="G17343" i="17"/>
  <c r="G17344" i="17"/>
  <c r="G17345" i="17"/>
  <c r="G17346" i="17"/>
  <c r="G17347" i="17"/>
  <c r="G17348" i="17"/>
  <c r="G17349" i="17"/>
  <c r="G17350" i="17"/>
  <c r="G17351" i="17"/>
  <c r="G17352" i="17"/>
  <c r="G17353" i="17"/>
  <c r="G17354" i="17"/>
  <c r="G17355" i="17"/>
  <c r="G17356" i="17"/>
  <c r="G17357" i="17"/>
  <c r="G17358" i="17"/>
  <c r="G17359" i="17"/>
  <c r="G17360" i="17"/>
  <c r="G17361" i="17"/>
  <c r="G17362" i="17"/>
  <c r="G17363" i="17"/>
  <c r="G17364" i="17"/>
  <c r="G17365" i="17"/>
  <c r="G17366" i="17"/>
  <c r="G17367" i="17"/>
  <c r="G17368" i="17"/>
  <c r="G17369" i="17"/>
  <c r="G17370" i="17"/>
  <c r="G17371" i="17"/>
  <c r="G17372" i="17"/>
  <c r="G17373" i="17"/>
  <c r="G17374" i="17"/>
  <c r="G17375" i="17"/>
  <c r="G17376" i="17"/>
  <c r="G17377" i="17"/>
  <c r="G17378" i="17"/>
  <c r="G17379" i="17"/>
  <c r="G17380" i="17"/>
  <c r="G17381" i="17"/>
  <c r="G17382" i="17"/>
  <c r="G17383" i="17"/>
  <c r="G17384" i="17"/>
  <c r="G17385" i="17"/>
  <c r="G17386" i="17"/>
  <c r="G17387" i="17"/>
  <c r="G17388" i="17"/>
  <c r="G17389" i="17"/>
  <c r="G17390" i="17"/>
  <c r="G17391" i="17"/>
  <c r="G17392" i="17"/>
  <c r="G17393" i="17"/>
  <c r="G17394" i="17"/>
  <c r="G17395" i="17"/>
  <c r="G17396" i="17"/>
  <c r="G17397" i="17"/>
  <c r="G17398" i="17"/>
  <c r="G17399" i="17"/>
  <c r="G17400" i="17"/>
  <c r="G17401" i="17"/>
  <c r="G17402" i="17"/>
  <c r="G17403" i="17"/>
  <c r="G17404" i="17"/>
  <c r="G17405" i="17"/>
  <c r="G17406" i="17"/>
  <c r="G17407" i="17"/>
  <c r="G17408" i="17"/>
  <c r="G17409" i="17"/>
  <c r="G17410" i="17"/>
  <c r="G17411" i="17"/>
  <c r="G17412" i="17"/>
  <c r="G17413" i="17"/>
  <c r="G17414" i="17"/>
  <c r="G17415" i="17"/>
  <c r="G17416" i="17"/>
  <c r="G17417" i="17"/>
  <c r="G17418" i="17"/>
  <c r="G17419" i="17"/>
  <c r="G17420" i="17"/>
  <c r="G17421" i="17"/>
  <c r="G17422" i="17"/>
  <c r="G17423" i="17"/>
  <c r="G17424" i="17"/>
  <c r="G17425" i="17"/>
  <c r="G17426" i="17"/>
  <c r="G17427" i="17"/>
  <c r="G17428" i="17"/>
  <c r="G17429" i="17"/>
  <c r="G17430" i="17"/>
  <c r="G17431" i="17"/>
  <c r="G17432" i="17"/>
  <c r="G17433" i="17"/>
  <c r="G17434" i="17"/>
  <c r="G17435" i="17"/>
  <c r="G17436" i="17"/>
  <c r="G17437" i="17"/>
  <c r="G17438" i="17"/>
  <c r="G17439" i="17"/>
  <c r="G17440" i="17"/>
  <c r="G17441" i="17"/>
  <c r="G17442" i="17"/>
  <c r="G17443" i="17"/>
  <c r="G17444" i="17"/>
  <c r="G17445" i="17"/>
  <c r="G17446" i="17"/>
  <c r="G17447" i="17"/>
  <c r="G17448" i="17"/>
  <c r="G17449" i="17"/>
  <c r="G17450" i="17"/>
  <c r="G17451" i="17"/>
  <c r="G17452" i="17"/>
  <c r="G17453" i="17"/>
  <c r="G17454" i="17"/>
  <c r="G17455" i="17"/>
  <c r="G17456" i="17"/>
  <c r="G17457" i="17"/>
  <c r="G17458" i="17"/>
  <c r="G17459" i="17"/>
  <c r="G17460" i="17"/>
  <c r="G17461" i="17"/>
  <c r="G17462" i="17"/>
  <c r="G17463" i="17"/>
  <c r="G17464" i="17"/>
  <c r="G17465" i="17"/>
  <c r="G17466" i="17"/>
  <c r="G17467" i="17"/>
  <c r="G17468" i="17"/>
  <c r="G17469" i="17"/>
  <c r="G17470" i="17"/>
  <c r="G17471" i="17"/>
  <c r="G17472" i="17"/>
  <c r="G17473" i="17"/>
  <c r="G17474" i="17"/>
  <c r="G17475" i="17"/>
  <c r="G17476" i="17"/>
  <c r="G17477" i="17"/>
  <c r="G17478" i="17"/>
  <c r="G17479" i="17"/>
  <c r="G17480" i="17"/>
  <c r="G17481" i="17"/>
  <c r="G17482" i="17"/>
  <c r="G17483" i="17"/>
  <c r="G17484" i="17"/>
  <c r="G17485" i="17"/>
  <c r="G17486" i="17"/>
  <c r="G17487" i="17"/>
  <c r="G17488" i="17"/>
  <c r="G17489" i="17"/>
  <c r="G17490" i="17"/>
  <c r="G17491" i="17"/>
  <c r="G17492" i="17"/>
  <c r="G17493" i="17"/>
  <c r="G17494" i="17"/>
  <c r="G17495" i="17"/>
  <c r="G17496" i="17"/>
  <c r="G17497" i="17"/>
  <c r="G17498" i="17"/>
  <c r="G17499" i="17"/>
  <c r="G17500" i="17"/>
  <c r="G17501" i="17"/>
  <c r="G17502" i="17"/>
  <c r="G17503" i="17"/>
  <c r="G17504" i="17"/>
  <c r="G17505" i="17"/>
  <c r="G17506" i="17"/>
  <c r="G17507" i="17"/>
  <c r="G17508" i="17"/>
  <c r="G17509" i="17"/>
  <c r="G17510" i="17"/>
  <c r="G17511" i="17"/>
  <c r="G17512" i="17"/>
  <c r="G17513" i="17"/>
  <c r="G17514" i="17"/>
  <c r="G17515" i="17"/>
  <c r="G17516" i="17"/>
  <c r="G17517" i="17"/>
  <c r="G17518" i="17"/>
  <c r="G17519" i="17"/>
  <c r="G17520" i="17"/>
  <c r="G17521" i="17"/>
  <c r="G17522" i="17"/>
  <c r="G17523" i="17"/>
  <c r="G17524" i="17"/>
  <c r="G17525" i="17"/>
  <c r="G17526" i="17"/>
  <c r="G17527" i="17"/>
  <c r="G17528" i="17"/>
  <c r="G17529" i="17"/>
  <c r="G17530" i="17"/>
  <c r="G17531" i="17"/>
  <c r="G17532" i="17"/>
  <c r="G17533" i="17"/>
  <c r="G17534" i="17"/>
  <c r="G17535" i="17"/>
  <c r="G17536" i="17"/>
  <c r="G17537" i="17"/>
  <c r="G17538" i="17"/>
  <c r="G17539" i="17"/>
  <c r="G17540" i="17"/>
  <c r="G17541" i="17"/>
  <c r="G17542" i="17"/>
  <c r="G17543" i="17"/>
  <c r="G17544" i="17"/>
  <c r="G17545" i="17"/>
  <c r="G17546" i="17"/>
  <c r="G17547" i="17"/>
  <c r="G17548" i="17"/>
  <c r="G17549" i="17"/>
  <c r="G17550" i="17"/>
  <c r="G17551" i="17"/>
  <c r="G17552" i="17"/>
  <c r="G17553" i="17"/>
  <c r="G17554" i="17"/>
  <c r="G17555" i="17"/>
  <c r="G17556" i="17"/>
  <c r="G17557" i="17"/>
  <c r="G17558" i="17"/>
  <c r="G17559" i="17"/>
  <c r="G17560" i="17"/>
  <c r="G17561" i="17"/>
  <c r="G17562" i="17"/>
  <c r="G17563" i="17"/>
  <c r="G17564" i="17"/>
  <c r="G17565" i="17"/>
  <c r="G17566" i="17"/>
  <c r="G17567" i="17"/>
  <c r="G17568" i="17"/>
  <c r="G17569" i="17"/>
  <c r="G17570" i="17"/>
  <c r="G17571" i="17"/>
  <c r="G17572" i="17"/>
  <c r="G17573" i="17"/>
  <c r="G17574" i="17"/>
  <c r="G17575" i="17"/>
  <c r="G17576" i="17"/>
  <c r="G17577" i="17"/>
  <c r="G17578" i="17"/>
  <c r="G17579" i="17"/>
  <c r="G17580" i="17"/>
  <c r="G17581" i="17"/>
  <c r="G17582" i="17"/>
  <c r="G17583" i="17"/>
  <c r="G17584" i="17"/>
  <c r="G17585" i="17"/>
  <c r="G17586" i="17"/>
  <c r="G17587" i="17"/>
  <c r="G17588" i="17"/>
  <c r="G17589" i="17"/>
  <c r="G17590" i="17"/>
  <c r="G17591" i="17"/>
  <c r="G17592" i="17"/>
  <c r="G17593" i="17"/>
  <c r="G17594" i="17"/>
  <c r="G17595" i="17"/>
  <c r="G17596" i="17"/>
  <c r="G17597" i="17"/>
  <c r="G17598" i="17"/>
  <c r="G17599" i="17"/>
  <c r="G17600" i="17"/>
  <c r="F17624" i="17"/>
  <c r="G17633" i="17"/>
  <c r="G17634" i="17"/>
  <c r="G17635" i="17"/>
  <c r="G17636" i="17"/>
  <c r="G17637" i="17"/>
  <c r="G17638" i="17"/>
  <c r="G17639" i="17"/>
  <c r="G17640" i="17"/>
  <c r="G17641" i="17"/>
  <c r="G17642" i="17"/>
  <c r="G17643" i="17"/>
  <c r="G17644" i="17"/>
  <c r="G17645" i="17"/>
  <c r="G17646" i="17"/>
  <c r="G17647" i="17"/>
  <c r="G17648" i="17"/>
  <c r="G17649" i="17"/>
  <c r="G17650" i="17"/>
  <c r="G17651" i="17"/>
  <c r="G17652" i="17"/>
  <c r="G17653" i="17"/>
  <c r="G17654" i="17"/>
  <c r="G17655" i="17"/>
  <c r="G17656" i="17"/>
  <c r="G17657" i="17"/>
  <c r="G17658" i="17"/>
  <c r="G17659" i="17"/>
  <c r="G17660" i="17"/>
  <c r="G17661" i="17"/>
  <c r="G17662" i="17"/>
  <c r="G17663" i="17"/>
  <c r="G17664" i="17"/>
  <c r="G17665" i="17"/>
  <c r="G17666" i="17"/>
  <c r="G17667" i="17"/>
  <c r="G17668" i="17"/>
  <c r="G17669" i="17"/>
  <c r="G17670" i="17"/>
  <c r="G17671" i="17"/>
  <c r="G17672" i="17"/>
  <c r="G17673" i="17"/>
  <c r="G17674" i="17"/>
  <c r="G17675" i="17"/>
  <c r="G17676" i="17"/>
  <c r="G17677" i="17"/>
  <c r="G17678" i="17"/>
  <c r="G17679" i="17"/>
  <c r="G17680" i="17"/>
  <c r="G17681" i="17"/>
  <c r="G17682" i="17"/>
  <c r="G17683" i="17"/>
  <c r="G17684" i="17"/>
  <c r="G17685" i="17"/>
  <c r="G17686" i="17"/>
  <c r="G17687" i="17"/>
  <c r="G17688" i="17"/>
  <c r="G17689" i="17"/>
  <c r="G17690" i="17"/>
  <c r="G17691" i="17"/>
  <c r="G17692" i="17"/>
  <c r="G17693" i="17"/>
  <c r="G17694" i="17"/>
  <c r="G17695" i="17"/>
  <c r="G17696" i="17"/>
  <c r="G17697" i="17"/>
  <c r="G17698" i="17"/>
  <c r="G17699" i="17"/>
  <c r="G17700" i="17"/>
  <c r="G17701" i="17"/>
  <c r="G17702" i="17"/>
  <c r="G17703" i="17"/>
  <c r="G17704" i="17"/>
  <c r="G17705" i="17"/>
  <c r="G17706" i="17"/>
  <c r="G17707" i="17"/>
  <c r="G17708" i="17"/>
  <c r="G17709" i="17"/>
  <c r="G17710" i="17"/>
  <c r="G17711" i="17"/>
  <c r="G17712" i="17"/>
  <c r="G17713" i="17"/>
  <c r="G17714" i="17"/>
  <c r="G17715" i="17"/>
  <c r="G17716" i="17"/>
  <c r="G17717" i="17"/>
  <c r="G17718" i="17"/>
  <c r="G17719" i="17"/>
  <c r="G17720" i="17"/>
  <c r="G17721" i="17"/>
  <c r="G17722" i="17"/>
  <c r="G17723" i="17"/>
  <c r="G17724" i="17"/>
  <c r="G17725" i="17"/>
  <c r="G17726" i="17"/>
  <c r="G17727" i="17"/>
  <c r="G17728" i="17"/>
  <c r="G17729" i="17"/>
  <c r="G17730" i="17"/>
  <c r="G17731" i="17"/>
  <c r="G17732" i="17"/>
  <c r="G17733" i="17"/>
  <c r="G17734" i="17"/>
  <c r="G17735" i="17"/>
  <c r="G17736" i="17"/>
  <c r="G17737" i="17"/>
  <c r="G17738" i="17"/>
  <c r="G17739" i="17"/>
  <c r="G17740" i="17"/>
  <c r="G17741" i="17"/>
  <c r="G17742" i="17"/>
  <c r="G17743" i="17"/>
  <c r="G17744" i="17"/>
  <c r="G17745" i="17"/>
  <c r="G17746" i="17"/>
  <c r="G17747" i="17"/>
  <c r="G17748" i="17"/>
  <c r="G17749" i="17"/>
  <c r="G17750" i="17"/>
  <c r="G17751" i="17"/>
  <c r="G17752" i="17"/>
  <c r="G17753" i="17"/>
  <c r="G17754" i="17"/>
  <c r="G17755" i="17"/>
  <c r="G17756" i="17"/>
  <c r="G17757" i="17"/>
  <c r="G17758" i="17"/>
  <c r="G17759" i="17"/>
  <c r="G17760" i="17"/>
  <c r="G17761" i="17"/>
  <c r="G17762" i="17"/>
  <c r="G17763" i="17"/>
  <c r="G17764" i="17"/>
  <c r="G17765" i="17"/>
  <c r="G17766" i="17"/>
  <c r="G17767" i="17"/>
  <c r="G17768" i="17"/>
  <c r="G17769" i="17"/>
  <c r="G17770" i="17"/>
  <c r="G17771" i="17"/>
  <c r="G17772" i="17"/>
  <c r="G17773" i="17"/>
  <c r="G17774" i="17"/>
  <c r="G17775" i="17"/>
  <c r="G17776" i="17"/>
  <c r="G17777" i="17"/>
  <c r="G17778" i="17"/>
  <c r="G17779" i="17"/>
  <c r="G17780" i="17"/>
  <c r="G17781" i="17"/>
  <c r="G17782" i="17"/>
  <c r="G17783" i="17"/>
  <c r="G17784" i="17"/>
  <c r="G17785" i="17"/>
  <c r="G17786" i="17"/>
  <c r="G17787" i="17"/>
  <c r="G17788" i="17"/>
  <c r="G17789" i="17"/>
  <c r="G17790" i="17"/>
  <c r="G17791" i="17"/>
  <c r="G17792" i="17"/>
  <c r="G17793" i="17"/>
  <c r="G17794" i="17"/>
  <c r="G17795" i="17"/>
  <c r="G17796" i="17"/>
  <c r="G17797" i="17"/>
  <c r="G17798" i="17"/>
  <c r="G17799" i="17"/>
  <c r="G17800" i="17"/>
  <c r="G17801" i="17"/>
  <c r="G17802" i="17"/>
  <c r="G17803" i="17"/>
  <c r="G17804" i="17"/>
  <c r="G17805" i="17"/>
  <c r="G17806" i="17"/>
  <c r="G17807" i="17"/>
  <c r="G17808" i="17"/>
  <c r="G17809" i="17"/>
  <c r="G17810" i="17"/>
  <c r="G17811" i="17"/>
  <c r="G17812" i="17"/>
  <c r="G17813" i="17"/>
  <c r="G17814" i="17"/>
  <c r="G17815" i="17"/>
  <c r="G17816" i="17"/>
  <c r="G17817" i="17"/>
  <c r="G17818" i="17"/>
  <c r="G17819" i="17"/>
  <c r="G17820" i="17"/>
  <c r="G17821" i="17"/>
  <c r="G17822" i="17"/>
  <c r="G17823" i="17"/>
  <c r="G17824" i="17"/>
  <c r="G17825" i="17"/>
  <c r="G17826" i="17"/>
  <c r="G17827" i="17"/>
  <c r="G17828" i="17"/>
  <c r="G17829" i="17"/>
  <c r="G17830" i="17"/>
  <c r="G17831" i="17"/>
  <c r="G17832" i="17"/>
  <c r="G17833" i="17"/>
  <c r="G17834" i="17"/>
  <c r="G17835" i="17"/>
  <c r="G17836" i="17"/>
  <c r="G17837" i="17"/>
  <c r="G17838" i="17"/>
  <c r="G17839" i="17"/>
  <c r="G17840" i="17"/>
  <c r="G17841" i="17"/>
  <c r="G17842" i="17"/>
  <c r="G17843" i="17"/>
  <c r="G17844" i="17"/>
  <c r="G17845" i="17"/>
  <c r="G17846" i="17"/>
  <c r="G17847" i="17"/>
  <c r="G17848" i="17"/>
  <c r="G17849" i="17"/>
  <c r="G17850" i="17"/>
  <c r="G17851" i="17"/>
  <c r="G17852" i="17"/>
  <c r="G17853" i="17"/>
  <c r="G17854" i="17"/>
  <c r="G17855" i="17"/>
  <c r="G17856" i="17"/>
  <c r="G17857" i="17"/>
  <c r="G17858" i="17"/>
  <c r="G17859" i="17"/>
  <c r="G17860" i="17"/>
  <c r="G17861" i="17"/>
  <c r="G17862" i="17"/>
  <c r="G17863" i="17"/>
  <c r="G17864" i="17"/>
  <c r="G17865" i="17"/>
  <c r="G17866" i="17"/>
  <c r="G17867" i="17"/>
  <c r="G17868" i="17"/>
  <c r="G17869" i="17"/>
  <c r="G17870" i="17"/>
  <c r="G17871" i="17"/>
  <c r="G17872" i="17"/>
  <c r="G17873" i="17"/>
  <c r="G17874" i="17"/>
  <c r="G17875" i="17"/>
  <c r="G17876" i="17"/>
  <c r="G17877" i="17"/>
  <c r="G17878" i="17"/>
  <c r="G17879" i="17"/>
  <c r="G17880" i="17"/>
  <c r="G17881" i="17"/>
  <c r="G17882" i="17"/>
  <c r="G17883" i="17"/>
  <c r="G17884" i="17"/>
  <c r="G17885" i="17"/>
  <c r="G17886" i="17"/>
  <c r="G17887" i="17"/>
  <c r="G17888" i="17"/>
  <c r="G17889" i="17"/>
  <c r="G17890" i="17"/>
  <c r="G17891" i="17"/>
  <c r="G17892" i="17"/>
  <c r="G17893" i="17"/>
  <c r="G17894" i="17"/>
  <c r="G17895" i="17"/>
  <c r="G17896" i="17"/>
  <c r="G17897" i="17"/>
  <c r="G17898" i="17"/>
  <c r="G17899" i="17"/>
  <c r="G17900" i="17"/>
  <c r="G17901" i="17"/>
  <c r="G17902" i="17"/>
  <c r="G17903" i="17"/>
  <c r="G17904" i="17"/>
  <c r="G17905" i="17"/>
  <c r="G17906" i="17"/>
  <c r="G17907" i="17"/>
  <c r="G17908" i="17"/>
  <c r="G17909" i="17"/>
  <c r="G17910" i="17"/>
  <c r="G17911" i="17"/>
  <c r="G17912" i="17"/>
  <c r="G17913" i="17"/>
  <c r="G17914" i="17"/>
  <c r="G17915" i="17"/>
  <c r="G17916" i="17"/>
  <c r="G17917" i="17"/>
  <c r="G17918" i="17"/>
  <c r="G17919" i="17"/>
  <c r="G17920" i="17"/>
  <c r="G17921" i="17"/>
  <c r="G17922" i="17"/>
  <c r="G17923" i="17"/>
  <c r="G17924" i="17"/>
  <c r="G17925" i="17"/>
  <c r="G17926" i="17"/>
  <c r="G17927" i="17"/>
  <c r="G17928" i="17"/>
  <c r="G17929" i="17"/>
  <c r="G17930" i="17"/>
  <c r="G17931" i="17"/>
  <c r="G17932" i="17"/>
  <c r="G17933" i="17"/>
  <c r="G17934" i="17"/>
  <c r="G17935" i="17"/>
  <c r="G17936" i="17"/>
  <c r="G17937" i="17"/>
  <c r="G17938" i="17"/>
  <c r="G17939" i="17"/>
  <c r="G17940" i="17"/>
  <c r="G17941" i="17"/>
  <c r="G17942" i="17"/>
  <c r="G17943" i="17"/>
  <c r="G17944" i="17"/>
  <c r="G17945" i="17"/>
  <c r="G17946" i="17"/>
  <c r="G17947" i="17"/>
  <c r="G17948" i="17"/>
  <c r="G17949" i="17"/>
  <c r="G17950" i="17"/>
  <c r="G17951" i="17"/>
  <c r="G17952" i="17"/>
  <c r="G17953" i="17"/>
  <c r="G17954" i="17"/>
  <c r="G17955" i="17"/>
  <c r="G17956" i="17"/>
  <c r="G17957" i="17"/>
  <c r="G17958" i="17"/>
  <c r="G17959" i="17"/>
  <c r="G17960" i="17"/>
  <c r="G17961" i="17"/>
  <c r="G17962" i="17"/>
  <c r="G17963" i="17"/>
  <c r="G17964" i="17"/>
  <c r="G17965" i="17"/>
  <c r="G17966" i="17"/>
  <c r="G17967" i="17"/>
  <c r="G17968" i="17"/>
  <c r="G17969" i="17"/>
  <c r="G17970" i="17"/>
  <c r="G17971" i="17"/>
  <c r="G17972" i="17"/>
  <c r="G18015" i="17"/>
  <c r="G18016" i="17"/>
  <c r="G18017" i="17"/>
  <c r="G18018" i="17"/>
  <c r="G18019" i="17"/>
  <c r="G18020" i="17"/>
  <c r="G18021" i="17"/>
  <c r="G18022" i="17"/>
  <c r="G18023" i="17"/>
  <c r="G18024" i="17"/>
  <c r="G18025" i="17"/>
  <c r="G18026" i="17"/>
  <c r="G18036" i="17"/>
  <c r="G18037" i="17"/>
  <c r="G18038" i="17"/>
  <c r="G18039" i="17"/>
  <c r="G18040" i="17"/>
  <c r="G18041" i="17"/>
  <c r="G18042" i="17"/>
  <c r="G18043" i="17"/>
  <c r="G18044" i="17"/>
  <c r="G18045" i="17"/>
  <c r="G18046" i="17"/>
  <c r="G18047" i="17"/>
  <c r="G18048" i="17"/>
  <c r="G18049" i="17"/>
  <c r="G18050" i="17"/>
  <c r="G18051" i="17"/>
  <c r="G18052" i="17"/>
  <c r="G18053" i="17"/>
  <c r="G18054" i="17"/>
  <c r="G18055" i="17"/>
  <c r="G18056" i="17"/>
  <c r="G18057" i="17"/>
  <c r="G18058" i="17"/>
  <c r="G18059" i="17"/>
  <c r="G18060" i="17"/>
  <c r="G18061" i="17"/>
  <c r="G18062" i="17"/>
  <c r="G18063" i="17"/>
  <c r="G18064" i="17"/>
  <c r="G18065" i="17"/>
  <c r="G18066" i="17"/>
  <c r="G18067" i="17"/>
  <c r="G18068" i="17"/>
  <c r="G18069" i="17"/>
  <c r="G18070" i="17"/>
  <c r="G18071" i="17"/>
  <c r="G18072" i="17"/>
  <c r="G18073" i="17"/>
  <c r="G18074" i="17"/>
  <c r="G18075" i="17"/>
  <c r="G18076" i="17"/>
  <c r="G18077" i="17"/>
  <c r="G18078" i="17"/>
  <c r="G18079" i="17"/>
  <c r="G18080" i="17"/>
  <c r="G18081" i="17"/>
  <c r="G18082" i="17"/>
  <c r="G18083" i="17"/>
  <c r="G18084" i="17"/>
  <c r="G18085" i="17"/>
  <c r="G18086" i="17"/>
  <c r="G18087" i="17"/>
  <c r="G18088" i="17"/>
  <c r="G18089" i="17"/>
  <c r="G18090" i="17"/>
  <c r="G18091" i="17"/>
  <c r="G18092" i="17"/>
  <c r="G18093" i="17"/>
  <c r="G18094" i="17"/>
  <c r="G18095" i="17"/>
  <c r="G18096" i="17"/>
  <c r="G18097" i="17"/>
  <c r="G18098" i="17"/>
  <c r="G18099" i="17"/>
  <c r="G18100" i="17"/>
  <c r="G18101" i="17"/>
  <c r="G18102" i="17"/>
  <c r="G18103" i="17"/>
  <c r="G18104" i="17"/>
  <c r="G18105" i="17"/>
  <c r="G18106" i="17"/>
  <c r="G18107" i="17"/>
  <c r="G18108" i="17"/>
  <c r="G18109" i="17"/>
  <c r="G18110" i="17"/>
  <c r="G18111" i="17"/>
  <c r="G18112" i="17"/>
  <c r="G18113" i="17"/>
  <c r="G18114" i="17"/>
  <c r="G18115" i="17"/>
  <c r="G18116" i="17"/>
  <c r="G18117" i="17"/>
  <c r="G18118" i="17"/>
  <c r="G18119" i="17"/>
  <c r="G18120" i="17"/>
  <c r="G18121" i="17"/>
  <c r="G18122" i="17"/>
  <c r="G18123" i="17"/>
  <c r="G18124" i="17"/>
  <c r="G18125" i="17"/>
  <c r="G18126" i="17"/>
  <c r="G18127" i="17"/>
  <c r="G18128" i="17"/>
  <c r="G18129" i="17"/>
  <c r="G18130" i="17"/>
  <c r="G18131" i="17"/>
  <c r="G18132" i="17"/>
  <c r="G18133" i="17"/>
  <c r="G18134" i="17"/>
  <c r="G18135" i="17"/>
  <c r="G18136" i="17"/>
  <c r="G18137" i="17"/>
  <c r="G18138" i="17"/>
  <c r="G18139" i="17"/>
  <c r="G18140" i="17"/>
  <c r="G18141" i="17"/>
  <c r="G18142" i="17"/>
  <c r="G18143" i="17"/>
  <c r="G18144" i="17"/>
  <c r="G18145" i="17"/>
  <c r="G18146" i="17"/>
  <c r="G18147" i="17"/>
  <c r="G18148" i="17"/>
  <c r="G18149" i="17"/>
  <c r="G18150" i="17"/>
  <c r="G18151" i="17"/>
  <c r="G18152" i="17"/>
  <c r="G18153" i="17"/>
  <c r="G18154" i="17"/>
  <c r="G18155" i="17"/>
  <c r="G18156" i="17"/>
  <c r="G18157" i="17"/>
  <c r="G18158" i="17"/>
  <c r="G18159" i="17"/>
  <c r="G18160" i="17"/>
  <c r="G18161" i="17"/>
  <c r="G18162" i="17"/>
  <c r="G18163" i="17"/>
  <c r="G18164" i="17"/>
  <c r="G18165" i="17"/>
  <c r="G18166" i="17"/>
  <c r="G18167" i="17"/>
  <c r="G18168" i="17"/>
  <c r="G18169" i="17"/>
  <c r="G18170" i="17"/>
  <c r="G18171" i="17"/>
  <c r="G18172" i="17"/>
  <c r="G18173" i="17"/>
  <c r="G18174" i="17"/>
  <c r="G18175" i="17"/>
  <c r="G18176" i="17"/>
  <c r="G18177" i="17"/>
  <c r="G18178" i="17"/>
  <c r="G18179" i="17"/>
  <c r="G18180" i="17"/>
  <c r="G18181" i="17"/>
  <c r="G18182" i="17"/>
  <c r="G18183" i="17"/>
  <c r="G18184" i="17"/>
  <c r="G18185" i="17"/>
  <c r="G18186" i="17"/>
  <c r="G18187" i="17"/>
  <c r="G18188" i="17"/>
  <c r="G18189" i="17"/>
  <c r="G18190" i="17"/>
  <c r="G18191" i="17"/>
  <c r="G18192" i="17"/>
  <c r="G18193" i="17"/>
  <c r="G18194" i="17"/>
  <c r="G18195" i="17"/>
  <c r="G18196" i="17"/>
  <c r="G18197" i="17"/>
  <c r="G18198" i="17"/>
  <c r="G18199" i="17"/>
  <c r="G18200" i="17"/>
  <c r="G18201" i="17"/>
  <c r="G18202" i="17"/>
  <c r="G18203" i="17"/>
  <c r="G18204" i="17"/>
  <c r="G18205" i="17"/>
  <c r="G18206" i="17"/>
  <c r="G18207" i="17"/>
  <c r="G18208" i="17"/>
  <c r="G18209" i="17"/>
  <c r="G18210" i="17"/>
  <c r="G18211" i="17"/>
  <c r="G18212" i="17"/>
  <c r="G18213" i="17"/>
  <c r="G18214" i="17"/>
  <c r="G18215" i="17"/>
  <c r="G18216" i="17"/>
  <c r="G18217" i="17"/>
  <c r="G18218" i="17"/>
  <c r="G18219" i="17"/>
  <c r="G18220" i="17"/>
  <c r="G18221" i="17"/>
  <c r="G18222" i="17"/>
  <c r="G18223" i="17"/>
  <c r="G18224" i="17"/>
  <c r="G18225" i="17"/>
  <c r="G18226" i="17"/>
  <c r="G18227" i="17"/>
  <c r="G18228" i="17"/>
  <c r="G18229" i="17"/>
  <c r="G18230" i="17"/>
  <c r="G18231" i="17"/>
  <c r="G18232" i="17"/>
  <c r="G18233" i="17"/>
  <c r="G18234" i="17"/>
  <c r="G18235" i="17"/>
  <c r="G18236" i="17"/>
  <c r="G18237" i="17"/>
  <c r="G18238" i="17"/>
  <c r="G18239" i="17"/>
  <c r="G18240" i="17"/>
  <c r="G18241" i="17"/>
  <c r="G18242" i="17"/>
  <c r="G18243" i="17"/>
  <c r="G18244" i="17"/>
  <c r="G18245" i="17"/>
  <c r="G18246" i="17"/>
  <c r="G18247" i="17"/>
  <c r="G18248" i="17"/>
  <c r="G18249" i="17"/>
  <c r="G18250" i="17"/>
  <c r="G18251" i="17"/>
  <c r="G18252" i="17"/>
  <c r="G18253" i="17"/>
  <c r="G18254" i="17"/>
  <c r="G18255" i="17"/>
  <c r="G18256" i="17"/>
  <c r="G18257" i="17"/>
  <c r="G18258" i="17"/>
  <c r="G18259" i="17"/>
  <c r="G18260" i="17"/>
  <c r="G18261" i="17"/>
  <c r="G18262" i="17"/>
  <c r="G18263" i="17"/>
  <c r="G18264" i="17"/>
  <c r="G18265" i="17"/>
  <c r="G18266" i="17"/>
  <c r="G18267" i="17"/>
  <c r="G18268" i="17"/>
  <c r="G18269" i="17"/>
  <c r="G18270" i="17"/>
  <c r="G18271" i="17"/>
  <c r="G18272" i="17"/>
  <c r="G18273" i="17"/>
  <c r="G18274" i="17"/>
  <c r="G18275" i="17"/>
  <c r="G18276" i="17"/>
  <c r="G18277" i="17"/>
  <c r="G18278" i="17"/>
  <c r="G18279" i="17"/>
  <c r="G18280" i="17"/>
  <c r="G18281" i="17"/>
  <c r="G18282" i="17"/>
  <c r="G18283" i="17"/>
  <c r="G18284" i="17"/>
  <c r="G18285" i="17"/>
  <c r="G18286" i="17"/>
  <c r="G18287" i="17"/>
  <c r="G18288" i="17"/>
  <c r="G18289" i="17"/>
  <c r="G18290" i="17"/>
  <c r="G18291" i="17"/>
  <c r="G18292" i="17"/>
  <c r="G18293" i="17"/>
  <c r="G18294" i="17"/>
  <c r="G18295" i="17"/>
  <c r="G18296" i="17"/>
  <c r="G18297" i="17"/>
  <c r="G18298" i="17"/>
  <c r="G18299" i="17"/>
  <c r="G18300" i="17"/>
  <c r="G18301" i="17"/>
  <c r="G18302" i="17"/>
  <c r="G18303" i="17"/>
  <c r="G18304" i="17"/>
  <c r="G18305" i="17"/>
  <c r="G18306" i="17"/>
  <c r="G18307" i="17"/>
  <c r="G18308" i="17"/>
  <c r="G18309" i="17"/>
  <c r="G18310" i="17"/>
  <c r="G18311" i="17"/>
  <c r="G18312" i="17"/>
  <c r="G18313" i="17"/>
  <c r="G18314" i="17"/>
  <c r="G18315" i="17"/>
  <c r="G18316" i="17"/>
  <c r="G18317" i="17"/>
  <c r="G18318" i="17"/>
  <c r="G18319" i="17"/>
  <c r="G18320" i="17"/>
  <c r="G18321" i="17"/>
  <c r="G18322" i="17"/>
  <c r="G18323" i="17"/>
  <c r="G18324" i="17"/>
  <c r="G18325" i="17"/>
  <c r="G18326" i="17"/>
  <c r="G18327" i="17"/>
  <c r="G18328" i="17"/>
  <c r="G18329" i="17"/>
  <c r="G18330" i="17"/>
  <c r="G18331" i="17"/>
  <c r="G18332" i="17"/>
  <c r="G18333" i="17"/>
  <c r="G18334" i="17"/>
  <c r="G18335" i="17"/>
  <c r="G18336" i="17"/>
  <c r="G18337" i="17"/>
  <c r="G18338" i="17"/>
  <c r="G18339" i="17"/>
  <c r="G18340" i="17"/>
  <c r="G18341" i="17"/>
  <c r="G18342" i="17"/>
  <c r="G18343" i="17"/>
  <c r="G18344" i="17"/>
  <c r="G18345" i="17"/>
  <c r="G18346" i="17"/>
  <c r="G18347" i="17"/>
  <c r="G18348" i="17"/>
  <c r="G18349" i="17"/>
  <c r="G18350" i="17"/>
  <c r="G18351" i="17"/>
  <c r="G18352" i="17"/>
  <c r="G18353" i="17"/>
  <c r="G18354" i="17"/>
  <c r="G18355" i="17"/>
  <c r="G18357" i="17"/>
  <c r="G18358" i="17"/>
  <c r="G18359" i="17"/>
  <c r="G18360" i="17"/>
  <c r="G18361" i="17"/>
  <c r="G18362" i="17"/>
  <c r="G18363" i="17"/>
  <c r="G18364" i="17"/>
  <c r="G18365" i="17"/>
  <c r="G18366" i="17"/>
  <c r="G18367" i="17"/>
  <c r="G18368" i="17"/>
  <c r="G18369" i="17"/>
  <c r="G18370" i="17"/>
  <c r="G18371" i="17"/>
  <c r="G18372" i="17"/>
  <c r="G18373" i="17"/>
  <c r="G18374" i="17"/>
  <c r="G18375" i="17"/>
  <c r="G18376" i="17"/>
  <c r="G18377" i="17"/>
  <c r="G18378" i="17"/>
  <c r="G18379" i="17"/>
  <c r="G18380" i="17"/>
  <c r="G18381" i="17"/>
  <c r="G18382" i="17"/>
  <c r="G18383" i="17"/>
  <c r="G18384" i="17"/>
  <c r="G18385" i="17"/>
  <c r="G18386" i="17"/>
  <c r="G18387" i="17"/>
  <c r="G18388" i="17"/>
  <c r="G18389" i="17"/>
  <c r="G18390" i="17"/>
  <c r="G18391" i="17"/>
  <c r="G18392" i="17"/>
  <c r="G18393" i="17"/>
  <c r="G18394" i="17"/>
  <c r="G18395" i="17"/>
  <c r="G18396" i="17"/>
  <c r="G18397" i="17"/>
  <c r="G18398" i="17"/>
  <c r="G18399" i="17"/>
  <c r="G18400" i="17"/>
  <c r="G18401" i="17"/>
  <c r="G18402" i="17"/>
  <c r="G18403" i="17"/>
  <c r="G18404" i="17"/>
  <c r="G18405" i="17"/>
  <c r="G18406" i="17"/>
  <c r="G18407" i="17"/>
  <c r="G18408" i="17"/>
  <c r="G18409" i="17"/>
  <c r="G18410" i="17"/>
  <c r="G18411" i="17"/>
  <c r="G18412" i="17"/>
  <c r="G18413" i="17"/>
  <c r="G18414" i="17"/>
  <c r="N794" i="23" l="1"/>
  <c r="N859" i="23"/>
  <c r="N895" i="23"/>
  <c r="N943" i="23"/>
  <c r="N1040" i="23"/>
  <c r="N1412" i="23"/>
  <c r="N1226" i="23"/>
  <c r="N877" i="23"/>
  <c r="N984" i="23"/>
  <c r="N1361" i="23"/>
  <c r="N1516" i="23"/>
  <c r="N807" i="23"/>
  <c r="N868" i="23"/>
  <c r="N896" i="23"/>
  <c r="N955" i="23"/>
  <c r="N1044" i="23"/>
  <c r="N1189" i="23"/>
  <c r="N1420" i="23"/>
  <c r="N836" i="23"/>
  <c r="N915" i="23"/>
  <c r="N1027" i="23"/>
  <c r="N798" i="23"/>
  <c r="N815" i="23"/>
  <c r="N873" i="23"/>
  <c r="N897" i="23"/>
  <c r="N983" i="23"/>
  <c r="N1062" i="23"/>
  <c r="N1222" i="23"/>
  <c r="N1462" i="23"/>
  <c r="N838" i="23"/>
  <c r="N25" i="23"/>
  <c r="N218" i="23"/>
  <c r="N361" i="23"/>
  <c r="N567" i="23"/>
  <c r="N739" i="23"/>
  <c r="N145" i="23"/>
  <c r="N304" i="23"/>
  <c r="N396" i="23"/>
  <c r="L779" i="23"/>
  <c r="N77" i="23"/>
  <c r="N281" i="23"/>
  <c r="N402" i="23"/>
  <c r="N582" i="23"/>
  <c r="N686" i="23"/>
  <c r="N762" i="23"/>
  <c r="N146" i="23"/>
  <c r="N343" i="23"/>
  <c r="N521" i="23"/>
  <c r="N78" i="23"/>
  <c r="N300" i="23"/>
  <c r="N446" i="23"/>
  <c r="N630" i="23"/>
  <c r="N700" i="23"/>
  <c r="N770" i="23"/>
  <c r="N156" i="23"/>
  <c r="N356" i="23"/>
  <c r="N189" i="23"/>
  <c r="N312" i="23"/>
  <c r="N489" i="23"/>
  <c r="N656" i="23"/>
  <c r="N715" i="23"/>
  <c r="N785" i="23"/>
  <c r="N741" i="23"/>
  <c r="N239" i="23"/>
  <c r="N395" i="23"/>
  <c r="N486" i="23"/>
  <c r="H1198" i="23"/>
  <c r="N1198" i="23" s="1"/>
  <c r="K1161" i="23"/>
  <c r="L1161" i="23" s="1"/>
  <c r="K1182" i="23"/>
  <c r="L1182" i="23" s="1"/>
  <c r="K1178" i="23"/>
  <c r="L1178" i="23" s="1"/>
  <c r="K1163" i="23"/>
  <c r="L1163" i="23" s="1"/>
  <c r="K1160" i="23"/>
  <c r="L1160" i="23" s="1"/>
  <c r="K1183" i="23"/>
  <c r="L1183" i="23" s="1"/>
  <c r="K1205" i="23"/>
  <c r="L1205" i="23" s="1"/>
  <c r="K1198" i="23" l="1"/>
  <c r="L1198" i="23" s="1"/>
  <c r="K1120" i="23"/>
  <c r="L1120" i="23" s="1"/>
  <c r="K1131" i="23"/>
  <c r="L1131" i="23" s="1"/>
  <c r="K1153" i="23"/>
  <c r="L1153" i="23" s="1"/>
  <c r="K1189" i="23"/>
  <c r="L1189" i="23" s="1"/>
  <c r="K1186" i="23"/>
  <c r="L1186" i="23" s="1"/>
  <c r="K1144" i="23"/>
  <c r="L1144" i="23" s="1"/>
  <c r="K1139" i="23"/>
  <c r="L1139" i="23" s="1"/>
  <c r="K1124" i="23"/>
  <c r="L1124" i="23" s="1"/>
  <c r="K1125" i="23"/>
  <c r="L1125" i="23" s="1"/>
  <c r="K1109" i="23"/>
  <c r="L1109" i="23" s="1"/>
  <c r="K1137" i="23"/>
  <c r="L1137" i="23" s="1"/>
  <c r="K1166" i="23"/>
  <c r="L1166" i="23" s="1"/>
  <c r="K1180" i="23"/>
  <c r="L1180" i="23" s="1"/>
  <c r="K1046" i="23"/>
  <c r="L1046" i="23" s="1"/>
  <c r="K1138" i="23"/>
  <c r="L1138" i="23" s="1"/>
  <c r="K1100" i="23"/>
  <c r="L1100" i="23" s="1"/>
  <c r="K1164" i="23"/>
  <c r="L1164" i="23" s="1"/>
  <c r="K1184" i="23"/>
  <c r="L1184" i="23" s="1"/>
  <c r="G17161" i="17"/>
  <c r="G17165" i="17"/>
  <c r="G17149" i="17"/>
  <c r="G17148" i="17"/>
  <c r="G18776" i="17" l="1"/>
  <c r="G18775" i="17"/>
  <c r="G18774" i="17"/>
  <c r="G18773" i="17"/>
  <c r="G18772" i="17"/>
  <c r="G18771" i="17"/>
  <c r="G18770" i="17"/>
  <c r="G18769" i="17"/>
  <c r="G18768" i="17"/>
  <c r="G18767" i="17"/>
  <c r="G18766" i="17"/>
  <c r="G18765" i="17"/>
  <c r="G18764" i="17"/>
  <c r="G18763" i="17"/>
  <c r="G18762" i="17"/>
  <c r="G18761" i="17"/>
  <c r="G18760" i="17"/>
  <c r="G18759" i="17"/>
  <c r="G18758" i="17"/>
  <c r="G18757" i="17"/>
  <c r="G18756" i="17"/>
  <c r="G18755" i="17"/>
  <c r="G18754" i="17"/>
  <c r="G18753" i="17"/>
  <c r="G18752" i="17"/>
  <c r="G18751" i="17"/>
  <c r="G18750" i="17"/>
  <c r="G18749" i="17"/>
  <c r="G18748" i="17"/>
  <c r="G18747" i="17"/>
  <c r="G18746" i="17"/>
  <c r="G18745" i="17"/>
  <c r="G18744" i="17"/>
  <c r="G18742" i="17"/>
  <c r="G18741" i="17"/>
  <c r="G18740" i="17"/>
  <c r="G18739" i="17"/>
  <c r="G18738" i="17"/>
  <c r="G18737" i="17"/>
  <c r="G18736" i="17"/>
  <c r="G18735" i="17"/>
  <c r="G18734" i="17"/>
  <c r="G18733" i="17"/>
  <c r="G18732" i="17"/>
  <c r="G18731" i="17"/>
  <c r="G18730" i="17"/>
  <c r="G18729" i="17"/>
  <c r="G18728" i="17"/>
  <c r="G18727" i="17"/>
  <c r="G18726" i="17"/>
  <c r="G18725" i="17"/>
  <c r="G18724" i="17"/>
  <c r="G18723" i="17"/>
  <c r="G18722" i="17"/>
  <c r="G18721" i="17"/>
  <c r="G18720" i="17"/>
  <c r="G18719" i="17"/>
  <c r="G18718" i="17"/>
  <c r="G18717" i="17"/>
  <c r="G18716" i="17"/>
  <c r="G18715" i="17"/>
  <c r="G18714" i="17"/>
  <c r="G18713" i="17"/>
  <c r="G18712" i="17"/>
  <c r="G18711" i="17"/>
  <c r="G18710" i="17"/>
  <c r="G18709" i="17"/>
  <c r="G18708" i="17"/>
  <c r="G18707" i="17"/>
  <c r="G18706" i="17"/>
  <c r="G18705" i="17"/>
  <c r="G18704" i="17"/>
  <c r="G18703" i="17"/>
  <c r="G18702" i="17"/>
  <c r="G18701" i="17"/>
  <c r="G18700" i="17"/>
  <c r="G18699" i="17"/>
  <c r="G18698" i="17"/>
  <c r="G18697" i="17"/>
  <c r="G18696" i="17"/>
  <c r="G18695" i="17"/>
  <c r="G18694" i="17"/>
  <c r="G18693" i="17"/>
  <c r="G18692" i="17"/>
  <c r="G18691" i="17"/>
  <c r="G18690" i="17"/>
  <c r="G18689" i="17"/>
  <c r="G18688" i="17"/>
  <c r="G18687" i="17"/>
  <c r="G18686" i="17"/>
  <c r="G18685" i="17"/>
  <c r="G18684" i="17"/>
  <c r="G18683" i="17"/>
  <c r="G18682" i="17"/>
  <c r="G18681" i="17"/>
  <c r="G18680" i="17"/>
  <c r="G18679" i="17"/>
  <c r="G18678" i="17"/>
  <c r="G18677" i="17"/>
  <c r="G18676" i="17"/>
  <c r="G18675" i="17"/>
  <c r="G18674" i="17"/>
  <c r="G18673" i="17"/>
  <c r="G18672" i="17"/>
  <c r="G18671" i="17"/>
  <c r="G18670" i="17"/>
  <c r="G18669" i="17"/>
  <c r="G18668" i="17"/>
  <c r="G18667" i="17"/>
  <c r="G18666" i="17"/>
  <c r="G18665" i="17"/>
  <c r="G18664" i="17"/>
  <c r="G18663" i="17"/>
  <c r="G18662" i="17"/>
  <c r="G18661" i="17"/>
  <c r="G18660" i="17"/>
  <c r="G18659" i="17"/>
  <c r="G18658" i="17"/>
  <c r="G18657" i="17"/>
  <c r="G18656" i="17"/>
  <c r="G18655" i="17"/>
  <c r="G18654" i="17"/>
  <c r="G18653" i="17"/>
  <c r="G18652" i="17"/>
  <c r="G18651" i="17"/>
  <c r="G18650" i="17"/>
  <c r="G18649" i="17"/>
  <c r="G18648" i="17"/>
  <c r="G18647" i="17"/>
  <c r="G18646" i="17"/>
  <c r="G18645" i="17"/>
  <c r="G18644" i="17"/>
  <c r="G18643" i="17"/>
  <c r="G18642" i="17"/>
  <c r="G18641" i="17"/>
  <c r="G18640" i="17"/>
  <c r="G18639" i="17"/>
  <c r="G18638" i="17"/>
  <c r="G18637" i="17"/>
  <c r="G18636" i="17"/>
  <c r="G18635" i="17"/>
  <c r="G18634" i="17"/>
  <c r="G18633" i="17"/>
  <c r="G18632" i="17"/>
  <c r="G18631" i="17"/>
  <c r="G18630" i="17"/>
  <c r="G18629" i="17"/>
  <c r="G18628" i="17"/>
  <c r="G18627" i="17"/>
  <c r="G18626" i="17"/>
  <c r="G18625" i="17"/>
  <c r="G18624" i="17"/>
  <c r="G18623" i="17"/>
  <c r="G18622" i="17"/>
  <c r="G18621" i="17"/>
  <c r="G18620" i="17"/>
  <c r="G18619" i="17"/>
  <c r="G18618" i="17"/>
  <c r="G18617" i="17"/>
  <c r="G18616" i="17"/>
  <c r="G18615" i="17"/>
  <c r="G18614" i="17"/>
  <c r="G18613" i="17"/>
  <c r="G18612" i="17"/>
  <c r="G18611" i="17"/>
  <c r="G18610" i="17"/>
  <c r="G18609" i="17"/>
  <c r="G18608" i="17"/>
  <c r="G18607" i="17"/>
  <c r="G18606" i="17"/>
  <c r="G18605" i="17"/>
  <c r="G18604" i="17"/>
  <c r="G18603" i="17"/>
  <c r="G18602" i="17"/>
  <c r="G18601" i="17"/>
  <c r="G18600" i="17"/>
  <c r="G18599" i="17"/>
  <c r="G18598" i="17"/>
  <c r="G18597" i="17"/>
  <c r="G18596" i="17"/>
  <c r="G18595" i="17"/>
  <c r="G18594" i="17"/>
  <c r="G18593" i="17"/>
  <c r="G18592" i="17"/>
  <c r="G18591" i="17"/>
  <c r="G18590" i="17"/>
  <c r="G18589" i="17"/>
  <c r="G18588" i="17"/>
  <c r="G18587" i="17"/>
  <c r="G18586" i="17"/>
  <c r="G18585" i="17"/>
  <c r="G18584" i="17"/>
  <c r="G18583" i="17"/>
  <c r="G18582" i="17"/>
  <c r="G18581" i="17"/>
  <c r="G18580" i="17"/>
  <c r="G18579" i="17"/>
  <c r="G18578" i="17"/>
  <c r="G18577" i="17"/>
  <c r="G18576" i="17"/>
  <c r="G18575" i="17"/>
  <c r="G18574" i="17"/>
  <c r="G18573" i="17"/>
  <c r="G18572" i="17"/>
  <c r="G18571" i="17"/>
  <c r="G18570" i="17"/>
  <c r="G18569" i="17"/>
  <c r="G18568" i="17"/>
  <c r="G18567" i="17"/>
  <c r="G18566" i="17"/>
  <c r="G18565" i="17"/>
  <c r="G18564" i="17"/>
  <c r="G18563" i="17"/>
  <c r="G18562" i="17"/>
  <c r="G18561" i="17"/>
  <c r="G18560" i="17"/>
  <c r="G18559" i="17"/>
  <c r="G18558" i="17"/>
  <c r="G18557" i="17"/>
  <c r="G18556" i="17"/>
  <c r="G18555" i="17"/>
  <c r="G18554" i="17"/>
  <c r="G18553" i="17"/>
  <c r="G18552" i="17"/>
  <c r="G18551" i="17"/>
  <c r="G18550" i="17"/>
  <c r="G18549" i="17"/>
  <c r="G18548" i="17"/>
  <c r="G18547" i="17"/>
  <c r="G18546" i="17"/>
  <c r="G18545" i="17"/>
  <c r="G18544" i="17"/>
  <c r="G18543" i="17"/>
  <c r="G18542" i="17"/>
  <c r="G18541" i="17"/>
  <c r="G18540" i="17"/>
  <c r="G18539" i="17"/>
  <c r="G18538" i="17"/>
  <c r="G18537" i="17"/>
  <c r="G18536" i="17"/>
  <c r="G18535" i="17"/>
  <c r="G18534" i="17"/>
  <c r="G18533" i="17"/>
  <c r="G18532" i="17"/>
  <c r="G18531" i="17"/>
  <c r="G18530" i="17"/>
  <c r="G18529" i="17"/>
  <c r="G18528" i="17"/>
  <c r="G18527" i="17"/>
  <c r="G18526" i="17"/>
  <c r="G18525" i="17"/>
  <c r="G18524" i="17"/>
  <c r="G18523" i="17"/>
  <c r="G18522" i="17"/>
  <c r="G18521" i="17"/>
  <c r="G18520" i="17"/>
  <c r="G18519" i="17"/>
  <c r="G18518" i="17"/>
  <c r="G18517" i="17"/>
  <c r="G18516" i="17"/>
  <c r="G18515" i="17"/>
  <c r="G18514" i="17"/>
  <c r="G18513" i="17"/>
  <c r="G18512" i="17"/>
  <c r="G18511" i="17"/>
  <c r="G18510" i="17"/>
  <c r="G18509" i="17"/>
  <c r="G18508" i="17"/>
  <c r="G18507" i="17"/>
  <c r="G18506" i="17"/>
  <c r="G18505" i="17"/>
  <c r="G18504" i="17"/>
  <c r="G18503" i="17"/>
  <c r="G18502" i="17"/>
  <c r="G18501" i="17"/>
  <c r="G18500" i="17"/>
  <c r="G18499" i="17"/>
  <c r="G18498" i="17"/>
  <c r="G18497" i="17"/>
  <c r="G18496" i="17"/>
  <c r="G18495" i="17"/>
  <c r="G18494" i="17"/>
  <c r="G18493" i="17"/>
  <c r="G18492" i="17"/>
  <c r="G18491" i="17"/>
  <c r="G18490" i="17"/>
  <c r="G18489" i="17"/>
  <c r="G18488" i="17"/>
  <c r="G18487" i="17"/>
  <c r="G18486" i="17"/>
  <c r="G18485" i="17"/>
  <c r="G18484" i="17"/>
  <c r="G18483" i="17"/>
  <c r="G18482" i="17"/>
  <c r="G18481" i="17"/>
  <c r="G18480" i="17"/>
  <c r="G18479" i="17"/>
  <c r="G18478" i="17" l="1"/>
  <c r="G18477" i="17"/>
  <c r="G18476" i="17"/>
  <c r="G18475" i="17"/>
  <c r="G18474" i="17"/>
  <c r="G18473" i="17"/>
  <c r="G18472" i="17"/>
  <c r="G18471" i="17"/>
  <c r="G18470" i="17"/>
  <c r="G18469" i="17"/>
  <c r="G18468" i="17"/>
  <c r="G18467" i="17"/>
  <c r="G18466" i="17"/>
  <c r="G18465" i="17"/>
  <c r="G18464" i="17"/>
  <c r="G18463" i="17"/>
  <c r="G18462" i="17"/>
  <c r="G18461" i="17"/>
  <c r="G18460" i="17"/>
  <c r="G18459" i="17"/>
  <c r="G18458" i="17"/>
  <c r="G18457" i="17"/>
  <c r="G18456" i="17"/>
  <c r="G18455" i="17"/>
  <c r="G18454" i="17"/>
  <c r="G18453" i="17"/>
  <c r="G18452" i="17"/>
  <c r="G18451" i="17"/>
  <c r="G18450" i="17"/>
  <c r="G18449" i="17"/>
  <c r="G18448" i="17"/>
  <c r="G18447" i="17"/>
  <c r="G18446" i="17"/>
  <c r="K1158" i="23"/>
  <c r="L1158" i="23" s="1"/>
  <c r="K1122" i="23"/>
  <c r="L1122" i="23" s="1"/>
  <c r="K1142" i="23"/>
  <c r="L1142" i="23" s="1"/>
  <c r="K1123" i="23"/>
  <c r="L1123" i="23" s="1"/>
  <c r="K1128" i="23"/>
  <c r="L1128" i="23" s="1"/>
  <c r="K1179" i="23"/>
  <c r="L1179" i="23" s="1"/>
  <c r="K1141" i="23"/>
  <c r="L1141" i="23" s="1"/>
  <c r="K1150" i="23"/>
  <c r="L1150" i="23" s="1"/>
  <c r="K1113" i="23"/>
  <c r="L1113" i="23" s="1"/>
  <c r="K1112" i="23"/>
  <c r="L1112" i="23" s="1"/>
  <c r="K1149" i="23"/>
  <c r="L1149" i="23" s="1"/>
  <c r="K1116" i="23"/>
  <c r="L1116" i="23" s="1"/>
  <c r="K1099" i="23"/>
  <c r="L1099" i="23" s="1"/>
  <c r="K1147" i="23"/>
  <c r="L1147" i="23" s="1"/>
  <c r="K1031" i="23"/>
  <c r="L1031" i="23" s="1"/>
  <c r="K1170" i="23"/>
  <c r="L1170" i="23" s="1"/>
  <c r="K1126" i="23"/>
  <c r="L1126" i="23" s="1"/>
  <c r="K1169" i="23"/>
  <c r="L1169" i="23" s="1"/>
  <c r="K1154" i="23"/>
  <c r="L1154" i="23" s="1"/>
  <c r="K1048" i="23"/>
  <c r="L1048" i="23" s="1"/>
  <c r="K1108" i="23"/>
  <c r="L1108" i="23" s="1"/>
  <c r="K1107" i="23"/>
  <c r="L1107" i="23" s="1"/>
  <c r="K1110" i="23"/>
  <c r="L1110" i="23" s="1"/>
  <c r="K1119" i="23"/>
  <c r="L1119" i="23" s="1"/>
  <c r="K1092" i="23"/>
  <c r="L1092" i="23" s="1"/>
  <c r="K1105" i="23"/>
  <c r="L1105" i="23" s="1"/>
  <c r="K1117" i="23"/>
  <c r="L1117" i="23" s="1"/>
  <c r="K1129" i="23"/>
  <c r="L1129" i="23" s="1"/>
  <c r="K1167" i="23"/>
  <c r="L1167" i="23" s="1"/>
  <c r="K1104" i="23"/>
  <c r="L1104" i="23" s="1"/>
  <c r="K1115" i="23"/>
  <c r="L1115" i="23" s="1"/>
  <c r="K726" i="23"/>
  <c r="K1136" i="23"/>
  <c r="L1136" i="23" s="1"/>
  <c r="K415" i="23"/>
  <c r="K1134" i="23"/>
  <c r="L1134" i="23" s="1"/>
  <c r="K1135" i="23"/>
  <c r="L1135" i="23" s="1"/>
  <c r="K1148" i="23"/>
  <c r="L1148" i="23" s="1"/>
  <c r="K1143" i="23"/>
  <c r="L1143" i="23" s="1"/>
  <c r="K1165" i="23"/>
  <c r="L1165" i="23" s="1"/>
  <c r="K1091" i="23"/>
  <c r="L1091" i="23" s="1"/>
  <c r="K733" i="23"/>
  <c r="V61" i="18"/>
  <c r="V36" i="18"/>
  <c r="V60" i="18"/>
  <c r="V59" i="18"/>
  <c r="V50" i="18"/>
  <c r="V58" i="18"/>
  <c r="V57" i="18"/>
  <c r="V40" i="18"/>
  <c r="V35" i="18"/>
  <c r="V34" i="18"/>
  <c r="V33" i="18"/>
  <c r="V32" i="18"/>
  <c r="V31" i="18"/>
  <c r="V30" i="18"/>
  <c r="V29" i="18"/>
  <c r="V28" i="18"/>
  <c r="V27" i="18"/>
  <c r="V26" i="18"/>
  <c r="V25" i="18"/>
  <c r="V24" i="18"/>
  <c r="V23" i="18"/>
  <c r="V22" i="18"/>
  <c r="V21" i="18"/>
  <c r="V20" i="18"/>
  <c r="V19" i="18"/>
  <c r="V18" i="18"/>
  <c r="V17" i="18"/>
  <c r="V16" i="18"/>
  <c r="V15" i="18"/>
  <c r="V14" i="18"/>
  <c r="V13" i="18"/>
  <c r="V12" i="18"/>
  <c r="V11" i="18"/>
  <c r="V10" i="18"/>
  <c r="V9" i="18"/>
  <c r="V8" i="18"/>
  <c r="V7" i="18"/>
  <c r="V6" i="18"/>
  <c r="V5" i="18"/>
  <c r="V4" i="18"/>
  <c r="V3" i="18"/>
  <c r="K1111" i="23"/>
  <c r="L1111" i="23" s="1"/>
  <c r="K1114" i="23"/>
  <c r="L1114" i="23" s="1"/>
  <c r="K1098" i="23"/>
  <c r="L1098" i="23" s="1"/>
  <c r="K1102" i="23"/>
  <c r="L1102" i="23" s="1"/>
  <c r="K1097" i="23"/>
  <c r="L1097" i="23" s="1"/>
  <c r="K1096" i="23"/>
  <c r="L1096" i="23" s="1"/>
  <c r="K1103" i="23"/>
  <c r="L1103" i="23" s="1"/>
  <c r="K1093" i="23"/>
  <c r="L1093" i="23" s="1"/>
  <c r="K1090" i="23"/>
  <c r="L1090" i="23" s="1"/>
  <c r="K1084" i="23"/>
  <c r="L1084" i="23" s="1"/>
  <c r="K1085" i="23"/>
  <c r="L1085" i="23" s="1"/>
  <c r="K1088" i="23"/>
  <c r="L1088" i="23" s="1"/>
  <c r="K1082" i="23"/>
  <c r="L1082" i="23" s="1"/>
  <c r="K1075" i="23"/>
  <c r="L1075" i="23" s="1"/>
  <c r="K1076" i="23"/>
  <c r="L1076" i="23" s="1"/>
  <c r="K1071" i="23"/>
  <c r="L1071" i="23" s="1"/>
  <c r="K1077" i="23"/>
  <c r="L1077" i="23" s="1"/>
  <c r="K1078" i="23"/>
  <c r="L1078" i="23" s="1"/>
  <c r="K1068" i="23"/>
  <c r="L1068" i="23" s="1"/>
  <c r="K1057" i="23"/>
  <c r="L1057" i="23" s="1"/>
  <c r="K1066" i="23"/>
  <c r="L1066" i="23" s="1"/>
  <c r="K1058" i="23"/>
  <c r="L1058" i="23" s="1"/>
  <c r="K1060" i="23"/>
  <c r="L1060" i="23" s="1"/>
  <c r="K1053" i="23"/>
  <c r="L1053" i="23" s="1"/>
  <c r="K1062" i="23"/>
  <c r="L1062" i="23" s="1"/>
  <c r="K1055" i="23"/>
  <c r="L1055" i="23" s="1"/>
  <c r="K1061" i="23"/>
  <c r="L1061" i="23" s="1"/>
  <c r="K1064" i="23"/>
  <c r="L1064" i="23" s="1"/>
  <c r="K1063" i="23"/>
  <c r="L1063" i="23" s="1"/>
  <c r="K1067" i="23"/>
  <c r="L1067" i="23" s="1"/>
  <c r="K1047" i="23"/>
  <c r="L1047" i="23" s="1"/>
  <c r="K1051" i="23"/>
  <c r="L1051" i="23" s="1"/>
  <c r="K1089" i="23"/>
  <c r="L1089" i="23" s="1"/>
  <c r="K1052" i="23"/>
  <c r="L1052" i="23" s="1"/>
  <c r="K1044" i="23"/>
  <c r="L1044" i="23" s="1"/>
  <c r="K1049" i="23"/>
  <c r="L1049" i="23" s="1"/>
  <c r="K1050" i="23"/>
  <c r="L1050" i="23" s="1"/>
  <c r="K1045" i="23"/>
  <c r="L1045" i="23" s="1"/>
  <c r="K1042" i="23"/>
  <c r="L1042" i="23" s="1"/>
  <c r="K1040" i="23"/>
  <c r="L1040" i="23" s="1"/>
  <c r="K1036" i="23"/>
  <c r="L1036" i="23" s="1"/>
  <c r="K1027" i="23"/>
  <c r="L1027" i="23" s="1"/>
  <c r="K1024" i="23"/>
  <c r="L1024" i="23" s="1"/>
  <c r="K1032" i="23"/>
  <c r="L1032" i="23" s="1"/>
  <c r="K1025" i="23"/>
  <c r="L1025" i="23" s="1"/>
  <c r="K1026" i="23"/>
  <c r="L1026" i="23" s="1"/>
  <c r="K1022" i="23"/>
  <c r="L1022" i="23" s="1"/>
  <c r="K1021" i="23"/>
  <c r="L1021" i="23" s="1"/>
  <c r="K1020" i="23"/>
  <c r="L1020" i="23" s="1"/>
  <c r="K1023" i="23"/>
  <c r="L1023" i="23" s="1"/>
  <c r="K1030" i="23"/>
  <c r="L1030" i="23" s="1"/>
  <c r="K1028" i="23"/>
  <c r="L1028" i="23" s="1"/>
  <c r="K1017" i="23"/>
  <c r="L1017" i="23" s="1"/>
  <c r="K1010" i="23"/>
  <c r="L1010" i="23" s="1"/>
  <c r="K707" i="23"/>
  <c r="K1019" i="23"/>
  <c r="L1019" i="23" s="1"/>
  <c r="K1015" i="23"/>
  <c r="L1015" i="23" s="1"/>
  <c r="K1011" i="23"/>
  <c r="L1011" i="23" s="1"/>
  <c r="K1014" i="23"/>
  <c r="L1014" i="23" s="1"/>
  <c r="K1013" i="23"/>
  <c r="L1013" i="23" s="1"/>
  <c r="K1004" i="23"/>
  <c r="L1004" i="23" s="1"/>
  <c r="K1009" i="23"/>
  <c r="L1009" i="23" s="1"/>
  <c r="K1005" i="23"/>
  <c r="L1005" i="23" s="1"/>
  <c r="K1002" i="23"/>
  <c r="L1002" i="23" s="1"/>
  <c r="K1007" i="23"/>
  <c r="L1007" i="23" s="1"/>
  <c r="K1000" i="23"/>
  <c r="L1000" i="23" s="1"/>
  <c r="K998" i="23"/>
  <c r="L998" i="23" s="1"/>
  <c r="K1006" i="23"/>
  <c r="L1006" i="23" s="1"/>
  <c r="K989" i="23"/>
  <c r="L989" i="23" s="1"/>
  <c r="K987" i="23"/>
  <c r="L987" i="23" s="1"/>
  <c r="K993" i="23"/>
  <c r="L993" i="23" s="1"/>
  <c r="K994" i="23"/>
  <c r="L994" i="23" s="1"/>
  <c r="K991" i="23"/>
  <c r="L991" i="23" s="1"/>
  <c r="K996" i="23"/>
  <c r="L996" i="23" s="1"/>
  <c r="K980" i="23"/>
  <c r="L980" i="23" s="1"/>
  <c r="K981" i="23"/>
  <c r="L981" i="23" s="1"/>
  <c r="K982" i="23"/>
  <c r="L982" i="23" s="1"/>
  <c r="K995" i="23"/>
  <c r="L995" i="23" s="1"/>
  <c r="K992" i="23"/>
  <c r="L992" i="23" s="1"/>
  <c r="K984" i="23"/>
  <c r="L984" i="23" s="1"/>
  <c r="K983" i="23"/>
  <c r="L983" i="23" s="1"/>
  <c r="K988" i="23"/>
  <c r="L988" i="23" s="1"/>
  <c r="K986" i="23"/>
  <c r="L986" i="23" s="1"/>
  <c r="K976" i="23"/>
  <c r="L976" i="23" s="1"/>
  <c r="K985" i="23"/>
  <c r="L985" i="23" s="1"/>
  <c r="K990" i="23"/>
  <c r="L990" i="23" s="1"/>
  <c r="K969" i="23"/>
  <c r="L969" i="23" s="1"/>
  <c r="H974" i="23"/>
  <c r="N974" i="23" s="1"/>
  <c r="K965" i="23"/>
  <c r="L965" i="23" s="1"/>
  <c r="K967" i="23"/>
  <c r="L967" i="23" s="1"/>
  <c r="K968" i="23"/>
  <c r="L968" i="23" s="1"/>
  <c r="K972" i="23"/>
  <c r="L972" i="23" s="1"/>
  <c r="K966" i="23"/>
  <c r="L966" i="23" s="1"/>
  <c r="K973" i="23"/>
  <c r="L973" i="23" s="1"/>
  <c r="K970" i="23"/>
  <c r="L970" i="23" s="1"/>
  <c r="K975" i="23"/>
  <c r="L975" i="23" s="1"/>
  <c r="K963" i="23"/>
  <c r="L963" i="23" s="1"/>
  <c r="K964" i="23"/>
  <c r="L964" i="23" s="1"/>
  <c r="K954" i="23"/>
  <c r="L954" i="23" s="1"/>
  <c r="K956" i="23"/>
  <c r="L956" i="23" s="1"/>
  <c r="K957" i="23"/>
  <c r="L957" i="23" s="1"/>
  <c r="K955" i="23"/>
  <c r="L955" i="23" s="1"/>
  <c r="K959" i="23"/>
  <c r="L959" i="23" s="1"/>
  <c r="K947" i="23"/>
  <c r="L947" i="23" s="1"/>
  <c r="K940" i="23"/>
  <c r="L940" i="23" s="1"/>
  <c r="K945" i="23"/>
  <c r="L945" i="23" s="1"/>
  <c r="K952" i="23"/>
  <c r="L952" i="23" s="1"/>
  <c r="K942" i="23"/>
  <c r="L942" i="23" s="1"/>
  <c r="K949" i="23"/>
  <c r="L949" i="23" s="1"/>
  <c r="K950" i="23"/>
  <c r="L950" i="23" s="1"/>
  <c r="K943" i="23"/>
  <c r="L943" i="23" s="1"/>
  <c r="K939" i="23"/>
  <c r="L939" i="23" s="1"/>
  <c r="K948" i="23"/>
  <c r="L948" i="23" s="1"/>
  <c r="K938" i="23"/>
  <c r="L938" i="23" s="1"/>
  <c r="K946" i="23"/>
  <c r="L946" i="23" s="1"/>
  <c r="K935" i="23"/>
  <c r="L935" i="23" s="1"/>
  <c r="K926" i="23"/>
  <c r="L926" i="23" s="1"/>
  <c r="K928" i="23"/>
  <c r="L928" i="23" s="1"/>
  <c r="K927" i="23"/>
  <c r="L927" i="23" s="1"/>
  <c r="K915" i="23"/>
  <c r="L915" i="23" s="1"/>
  <c r="K925" i="23"/>
  <c r="L925" i="23" s="1"/>
  <c r="K920" i="23"/>
  <c r="L920" i="23" s="1"/>
  <c r="K936" i="23"/>
  <c r="L936" i="23" s="1"/>
  <c r="K900" i="23"/>
  <c r="L900" i="23" s="1"/>
  <c r="K909" i="23"/>
  <c r="L909" i="23" s="1"/>
  <c r="K892" i="23"/>
  <c r="L892" i="23" s="1"/>
  <c r="K913" i="23"/>
  <c r="L913" i="23" s="1"/>
  <c r="K897" i="23"/>
  <c r="L897" i="23" s="1"/>
  <c r="K893" i="23"/>
  <c r="L893" i="23" s="1"/>
  <c r="K903" i="23"/>
  <c r="L903" i="23" s="1"/>
  <c r="K911" i="23"/>
  <c r="L911" i="23" s="1"/>
  <c r="K896" i="23"/>
  <c r="L896" i="23" s="1"/>
  <c r="K895" i="23"/>
  <c r="L895" i="23" s="1"/>
  <c r="K912" i="23"/>
  <c r="L912" i="23" s="1"/>
  <c r="K884" i="23"/>
  <c r="L884" i="23" s="1"/>
  <c r="K890" i="23"/>
  <c r="L890" i="23" s="1"/>
  <c r="K889" i="23"/>
  <c r="L889" i="23" s="1"/>
  <c r="K891" i="23"/>
  <c r="L891" i="23" s="1"/>
  <c r="K887" i="23"/>
  <c r="L887" i="23" s="1"/>
  <c r="K885" i="23"/>
  <c r="L885" i="23" s="1"/>
  <c r="K886" i="23"/>
  <c r="L886" i="23" s="1"/>
  <c r="K881" i="23"/>
  <c r="L881" i="23" s="1"/>
  <c r="K883" i="23"/>
  <c r="L883" i="23" s="1"/>
  <c r="K882" i="23"/>
  <c r="L882" i="23" s="1"/>
  <c r="K877" i="23"/>
  <c r="L877" i="23" s="1"/>
  <c r="K880" i="23"/>
  <c r="L880" i="23" s="1"/>
  <c r="K876" i="23"/>
  <c r="L876" i="23" s="1"/>
  <c r="K874" i="23"/>
  <c r="L874" i="23" s="1"/>
  <c r="K873" i="23"/>
  <c r="L873" i="23" s="1"/>
  <c r="K872" i="23"/>
  <c r="L872" i="23" s="1"/>
  <c r="K871" i="23"/>
  <c r="L871" i="23" s="1"/>
  <c r="K869" i="23"/>
  <c r="L869" i="23" s="1"/>
  <c r="K870" i="23"/>
  <c r="L870" i="23" s="1"/>
  <c r="K868" i="23"/>
  <c r="L868" i="23" s="1"/>
  <c r="K863" i="23"/>
  <c r="L863" i="23" s="1"/>
  <c r="K861" i="23"/>
  <c r="L861" i="23" s="1"/>
  <c r="K864" i="23"/>
  <c r="L864" i="23" s="1"/>
  <c r="K857" i="23"/>
  <c r="L857" i="23" s="1"/>
  <c r="K865" i="23"/>
  <c r="L865" i="23" s="1"/>
  <c r="K860" i="23"/>
  <c r="L860" i="23" s="1"/>
  <c r="K859" i="23"/>
  <c r="L859" i="23" s="1"/>
  <c r="K858" i="23"/>
  <c r="L858" i="23" s="1"/>
  <c r="K855" i="23"/>
  <c r="L855" i="23" s="1"/>
  <c r="K846" i="23"/>
  <c r="L846" i="23" s="1"/>
  <c r="K847" i="23"/>
  <c r="L847" i="23" s="1"/>
  <c r="K851" i="23"/>
  <c r="L851" i="23" s="1"/>
  <c r="K856" i="23"/>
  <c r="L856" i="23" s="1"/>
  <c r="K849" i="23"/>
  <c r="L849" i="23" s="1"/>
  <c r="K850" i="23"/>
  <c r="L850" i="23" s="1"/>
  <c r="K852" i="23"/>
  <c r="L852" i="23" s="1"/>
  <c r="K845" i="23"/>
  <c r="L845" i="23" s="1"/>
  <c r="K844" i="23"/>
  <c r="L844" i="23" s="1"/>
  <c r="K837" i="23"/>
  <c r="L837" i="23" s="1"/>
  <c r="K838" i="23"/>
  <c r="L838" i="23" s="1"/>
  <c r="K841" i="23"/>
  <c r="L841" i="23" s="1"/>
  <c r="K840" i="23"/>
  <c r="L840" i="23" s="1"/>
  <c r="K833" i="23"/>
  <c r="L833" i="23" s="1"/>
  <c r="K834" i="23"/>
  <c r="L834" i="23" s="1"/>
  <c r="K835" i="23"/>
  <c r="L835" i="23" s="1"/>
  <c r="K839" i="23"/>
  <c r="L839" i="23" s="1"/>
  <c r="K836" i="23"/>
  <c r="L836" i="23" s="1"/>
  <c r="K842" i="23"/>
  <c r="L842" i="23" s="1"/>
  <c r="K822" i="23"/>
  <c r="L822" i="23" s="1"/>
  <c r="K830" i="23"/>
  <c r="L830" i="23" s="1"/>
  <c r="K827" i="23"/>
  <c r="L827" i="23" s="1"/>
  <c r="K824" i="23"/>
  <c r="L824" i="23" s="1"/>
  <c r="K819" i="23"/>
  <c r="L819" i="23" s="1"/>
  <c r="K821" i="23"/>
  <c r="L821" i="23" s="1"/>
  <c r="K831" i="23"/>
  <c r="L831" i="23" s="1"/>
  <c r="K832" i="23"/>
  <c r="L832" i="23" s="1"/>
  <c r="K828" i="23"/>
  <c r="L828" i="23" s="1"/>
  <c r="K829" i="23"/>
  <c r="L829" i="23" s="1"/>
  <c r="K815" i="23"/>
  <c r="L815" i="23" s="1"/>
  <c r="K812" i="23"/>
  <c r="L812" i="23" s="1"/>
  <c r="K805" i="23"/>
  <c r="L805" i="23" s="1"/>
  <c r="K807" i="23"/>
  <c r="L807" i="23" s="1"/>
  <c r="K814" i="23"/>
  <c r="L814" i="23" s="1"/>
  <c r="K804" i="23"/>
  <c r="L804" i="23" s="1"/>
  <c r="K806" i="23"/>
  <c r="L806" i="23" s="1"/>
  <c r="K810" i="23"/>
  <c r="L810" i="23" s="1"/>
  <c r="K803" i="23"/>
  <c r="L803" i="23" s="1"/>
  <c r="K811" i="23"/>
  <c r="L811" i="23" s="1"/>
  <c r="K792" i="23"/>
  <c r="L792" i="23" s="1"/>
  <c r="K795" i="23"/>
  <c r="L795" i="23" s="1"/>
  <c r="K801" i="23"/>
  <c r="L801" i="23" s="1"/>
  <c r="K796" i="23"/>
  <c r="L796" i="23" s="1"/>
  <c r="K802" i="23"/>
  <c r="L802" i="23" s="1"/>
  <c r="K793" i="23"/>
  <c r="L793" i="23" s="1"/>
  <c r="K797" i="23"/>
  <c r="L797" i="23" s="1"/>
  <c r="K794" i="23"/>
  <c r="L794" i="23" s="1"/>
  <c r="K788" i="23"/>
  <c r="L788" i="23" s="1"/>
  <c r="K783" i="23"/>
  <c r="K791" i="23"/>
  <c r="K782" i="23"/>
  <c r="K784" i="23"/>
  <c r="K787" i="23"/>
  <c r="K780" i="23"/>
  <c r="K781" i="23"/>
  <c r="K786" i="23"/>
  <c r="K790" i="23"/>
  <c r="K789" i="23"/>
  <c r="L789" i="23" s="1"/>
  <c r="K785" i="23"/>
  <c r="K777" i="23"/>
  <c r="K775" i="23"/>
  <c r="K771" i="23"/>
  <c r="K769" i="23"/>
  <c r="K774" i="23"/>
  <c r="K770" i="23"/>
  <c r="K772" i="23"/>
  <c r="K776" i="23"/>
  <c r="K764" i="23"/>
  <c r="K759" i="23"/>
  <c r="K763" i="23"/>
  <c r="K754" i="23"/>
  <c r="K756" i="23"/>
  <c r="K765" i="23"/>
  <c r="K753" i="23"/>
  <c r="K752" i="23"/>
  <c r="K758" i="23"/>
  <c r="K757" i="23"/>
  <c r="K760" i="23"/>
  <c r="K762" i="23"/>
  <c r="K761" i="23"/>
  <c r="K746" i="23"/>
  <c r="K742" i="23"/>
  <c r="K735" i="23"/>
  <c r="K740" i="23"/>
  <c r="K738" i="23"/>
  <c r="K737" i="23"/>
  <c r="K743" i="23"/>
  <c r="K744" i="23"/>
  <c r="K741" i="23"/>
  <c r="K739" i="23"/>
  <c r="K748" i="23"/>
  <c r="K732" i="23"/>
  <c r="K721" i="23"/>
  <c r="K720" i="23"/>
  <c r="K728" i="23"/>
  <c r="K727" i="23"/>
  <c r="K725" i="23"/>
  <c r="K729" i="23"/>
  <c r="K734" i="23"/>
  <c r="K692" i="23"/>
  <c r="K712" i="23"/>
  <c r="K711" i="23"/>
  <c r="K718" i="23"/>
  <c r="K717" i="23"/>
  <c r="K719" i="23"/>
  <c r="K714" i="23"/>
  <c r="K715" i="23"/>
  <c r="K706" i="23"/>
  <c r="K703" i="23"/>
  <c r="K702" i="23"/>
  <c r="K696" i="23"/>
  <c r="K695" i="23"/>
  <c r="K704" i="23"/>
  <c r="K705" i="23"/>
  <c r="K697" i="23"/>
  <c r="K708" i="23"/>
  <c r="K709" i="23"/>
  <c r="K701" i="23"/>
  <c r="K698" i="23"/>
  <c r="K699" i="23"/>
  <c r="K700" i="23"/>
  <c r="K693" i="23"/>
  <c r="K690" i="23"/>
  <c r="K686" i="23"/>
  <c r="K688" i="23"/>
  <c r="K685" i="23"/>
  <c r="K687" i="23"/>
  <c r="K672" i="23"/>
  <c r="K671" i="23"/>
  <c r="K678" i="23"/>
  <c r="K677" i="23"/>
  <c r="K680" i="23"/>
  <c r="K679" i="23"/>
  <c r="K673" i="23"/>
  <c r="K682" i="23"/>
  <c r="K668" i="23"/>
  <c r="K667" i="23"/>
  <c r="K662" i="23"/>
  <c r="K665" i="23"/>
  <c r="K666" i="23"/>
  <c r="K664" i="23"/>
  <c r="K669" i="23"/>
  <c r="K663" i="23"/>
  <c r="K654" i="23"/>
  <c r="K658" i="23"/>
  <c r="K657" i="23"/>
  <c r="K651" i="23"/>
  <c r="K648" i="23"/>
  <c r="K652" i="23"/>
  <c r="K661" i="23"/>
  <c r="K659" i="23"/>
  <c r="K650" i="23"/>
  <c r="K656" i="23"/>
  <c r="K653" i="23"/>
  <c r="K649" i="23"/>
  <c r="K660" i="23"/>
  <c r="K636" i="23"/>
  <c r="K644" i="23"/>
  <c r="K647" i="23"/>
  <c r="K632" i="23"/>
  <c r="K639" i="23"/>
  <c r="K633" i="23"/>
  <c r="K630" i="23"/>
  <c r="K634" i="23"/>
  <c r="K645" i="23"/>
  <c r="K640" i="23"/>
  <c r="K624" i="23"/>
  <c r="K618" i="23"/>
  <c r="K603" i="23"/>
  <c r="K602" i="23"/>
  <c r="K615" i="23"/>
  <c r="K614" i="23"/>
  <c r="K610" i="23"/>
  <c r="K607" i="23"/>
  <c r="K605" i="23"/>
  <c r="K622" i="23"/>
  <c r="K604" i="23"/>
  <c r="K623" i="23"/>
  <c r="K606" i="23"/>
  <c r="K597" i="23"/>
  <c r="K596" i="23"/>
  <c r="K598" i="23"/>
  <c r="K600" i="23"/>
  <c r="K599" i="23"/>
  <c r="K585" i="23"/>
  <c r="K580" i="23"/>
  <c r="K581" i="23"/>
  <c r="K584" i="23"/>
  <c r="K583" i="23"/>
  <c r="K587" i="23"/>
  <c r="K592" i="23"/>
  <c r="K586" i="23"/>
  <c r="K582" i="23"/>
  <c r="K577" i="23"/>
  <c r="K576" i="23"/>
  <c r="K579" i="23"/>
  <c r="K571" i="23"/>
  <c r="K565" i="23"/>
  <c r="K572" i="23"/>
  <c r="K570" i="23"/>
  <c r="K566" i="23"/>
  <c r="K537" i="23"/>
  <c r="K568" i="23"/>
  <c r="K567" i="23"/>
  <c r="K573" i="23"/>
  <c r="K560" i="23"/>
  <c r="K556" i="23"/>
  <c r="K557" i="23"/>
  <c r="K554" i="23"/>
  <c r="K552" i="23"/>
  <c r="K555" i="23"/>
  <c r="K550" i="23"/>
  <c r="K545" i="23"/>
  <c r="K546" i="23"/>
  <c r="K542" i="23"/>
  <c r="K539" i="23"/>
  <c r="K533" i="23"/>
  <c r="K544" i="23"/>
  <c r="K549" i="23"/>
  <c r="K535" i="23"/>
  <c r="K536" i="23"/>
  <c r="K538" i="23"/>
  <c r="K520" i="23"/>
  <c r="K532" i="23"/>
  <c r="K530" i="23"/>
  <c r="K525" i="23"/>
  <c r="K522" i="23"/>
  <c r="K526" i="23"/>
  <c r="K527" i="23"/>
  <c r="K528" i="23"/>
  <c r="K529" i="23"/>
  <c r="K521" i="23"/>
  <c r="K519" i="23"/>
  <c r="K514" i="23"/>
  <c r="K511" i="23"/>
  <c r="K515" i="23"/>
  <c r="K516" i="23"/>
  <c r="K512" i="23"/>
  <c r="K513" i="23"/>
  <c r="K509" i="23"/>
  <c r="K508" i="23"/>
  <c r="K504" i="23"/>
  <c r="K503" i="23"/>
  <c r="K506" i="23"/>
  <c r="K505" i="23"/>
  <c r="K507" i="23"/>
  <c r="K498" i="23"/>
  <c r="K493" i="23"/>
  <c r="K491" i="23"/>
  <c r="K492" i="23"/>
  <c r="K485" i="23"/>
  <c r="K490" i="23"/>
  <c r="K486" i="23"/>
  <c r="K494" i="23"/>
  <c r="K495" i="23"/>
  <c r="K489" i="23"/>
  <c r="K484" i="23"/>
  <c r="K483" i="23"/>
  <c r="K482" i="23"/>
  <c r="K481" i="23"/>
  <c r="K480" i="23"/>
  <c r="K478" i="23"/>
  <c r="K476" i="23"/>
  <c r="K473" i="23"/>
  <c r="K472" i="23"/>
  <c r="K469" i="23"/>
  <c r="K463" i="23"/>
  <c r="K446" i="23"/>
  <c r="K462" i="23"/>
  <c r="K461" i="23"/>
  <c r="K460" i="23"/>
  <c r="K459" i="23"/>
  <c r="K458" i="23"/>
  <c r="K457" i="23"/>
  <c r="K454" i="23"/>
  <c r="K456" i="23"/>
  <c r="K453" i="23"/>
  <c r="K455" i="23"/>
  <c r="K452" i="23"/>
  <c r="K450" i="23"/>
  <c r="K449" i="23"/>
  <c r="K447" i="23"/>
  <c r="K438" i="23"/>
  <c r="K431" i="23"/>
  <c r="K436" i="23"/>
  <c r="K433" i="23"/>
  <c r="K434" i="23"/>
  <c r="K432" i="23"/>
  <c r="K435" i="23"/>
  <c r="K437" i="23"/>
  <c r="K443" i="23"/>
  <c r="K423" i="23"/>
  <c r="K422" i="23"/>
  <c r="K418" i="23"/>
  <c r="K421" i="23"/>
  <c r="K427" i="23"/>
  <c r="K414" i="23"/>
  <c r="K416" i="23"/>
  <c r="K413" i="23"/>
  <c r="K425" i="23"/>
  <c r="K419" i="23"/>
  <c r="K420" i="23"/>
  <c r="K411" i="23"/>
  <c r="K428" i="23"/>
  <c r="K409" i="23"/>
  <c r="K402" i="23"/>
  <c r="K405" i="23"/>
  <c r="K401" i="23"/>
  <c r="K404" i="23"/>
  <c r="K398" i="23"/>
  <c r="K390" i="23"/>
  <c r="K386" i="23"/>
  <c r="K387" i="23"/>
  <c r="K394" i="23"/>
  <c r="K396" i="23"/>
  <c r="K397" i="23"/>
  <c r="K395" i="23"/>
  <c r="K388" i="23"/>
  <c r="K391" i="23"/>
  <c r="K400" i="23"/>
  <c r="K392" i="23"/>
  <c r="K382" i="23"/>
  <c r="K381" i="23"/>
  <c r="K370" i="23"/>
  <c r="K385" i="23"/>
  <c r="K369" i="23"/>
  <c r="K372" i="23"/>
  <c r="K373" i="23"/>
  <c r="K376" i="23"/>
  <c r="K378" i="23"/>
  <c r="K375" i="23"/>
  <c r="K384" i="23"/>
  <c r="K380" i="23"/>
  <c r="K367" i="23"/>
  <c r="K361" i="23"/>
  <c r="K360" i="23"/>
  <c r="K366" i="23"/>
  <c r="K359" i="23"/>
  <c r="K357" i="23"/>
  <c r="K358" i="23"/>
  <c r="K355" i="23"/>
  <c r="K353" i="23"/>
  <c r="K354" i="23"/>
  <c r="K356" i="23"/>
  <c r="K352" i="23"/>
  <c r="K344" i="23"/>
  <c r="K343" i="23"/>
  <c r="K350" i="23"/>
  <c r="K339" i="23"/>
  <c r="K342" i="23"/>
  <c r="K340" i="23"/>
  <c r="K349" i="23"/>
  <c r="K341" i="23"/>
  <c r="K351" i="23"/>
  <c r="K334" i="23"/>
  <c r="K322" i="23"/>
  <c r="K331" i="23"/>
  <c r="K332" i="23"/>
  <c r="K329" i="23"/>
  <c r="K324" i="23"/>
  <c r="K330" i="23"/>
  <c r="K320" i="23"/>
  <c r="K319" i="23"/>
  <c r="K317" i="23"/>
  <c r="K321" i="23"/>
  <c r="K318" i="23"/>
  <c r="K316" i="23"/>
  <c r="K312" i="23"/>
  <c r="K315" i="23"/>
  <c r="K314" i="23"/>
  <c r="K313" i="23"/>
  <c r="K310" i="23"/>
  <c r="K309" i="23"/>
  <c r="K308" i="23"/>
  <c r="K305" i="23"/>
  <c r="K306" i="23"/>
  <c r="K302" i="23"/>
  <c r="K303" i="23"/>
  <c r="K300" i="23"/>
  <c r="K297" i="23"/>
  <c r="K299" i="23"/>
  <c r="K307" i="23"/>
  <c r="K301" i="23"/>
  <c r="K304" i="23"/>
  <c r="K294" i="23"/>
  <c r="K293" i="23"/>
  <c r="K291" i="23"/>
  <c r="K289" i="23"/>
  <c r="K296" i="23"/>
  <c r="K288" i="23"/>
  <c r="K277" i="23"/>
  <c r="K287" i="23"/>
  <c r="K278" i="23"/>
  <c r="K524" i="23"/>
  <c r="L524" i="23" s="1"/>
  <c r="K286" i="23"/>
  <c r="K282" i="23"/>
  <c r="K279" i="23"/>
  <c r="K280" i="23"/>
  <c r="K284" i="23"/>
  <c r="K281" i="23"/>
  <c r="K285" i="23"/>
  <c r="K270" i="23"/>
  <c r="K274" i="23"/>
  <c r="K276" i="23"/>
  <c r="K261" i="23"/>
  <c r="K259" i="23"/>
  <c r="K265" i="23"/>
  <c r="K269" i="23"/>
  <c r="K273" i="23"/>
  <c r="K260" i="23"/>
  <c r="K257" i="23"/>
  <c r="K249" i="23"/>
  <c r="K250" i="23"/>
  <c r="K247" i="23"/>
  <c r="K246" i="23"/>
  <c r="K252" i="23"/>
  <c r="K255" i="23"/>
  <c r="I254" i="23"/>
  <c r="H254" i="23"/>
  <c r="K251" i="23"/>
  <c r="K258" i="23"/>
  <c r="K243" i="23"/>
  <c r="K238" i="23"/>
  <c r="K237" i="23"/>
  <c r="K232" i="23"/>
  <c r="K236" i="23"/>
  <c r="L236" i="23" s="1"/>
  <c r="K239" i="23"/>
  <c r="K226" i="23"/>
  <c r="K231" i="23"/>
  <c r="K233" i="23"/>
  <c r="K242" i="23"/>
  <c r="K241" i="23"/>
  <c r="K216" i="23"/>
  <c r="K224" i="23"/>
  <c r="K220" i="23"/>
  <c r="K222" i="23"/>
  <c r="K217" i="23"/>
  <c r="K221" i="23"/>
  <c r="K218" i="23"/>
  <c r="K219" i="23"/>
  <c r="K203" i="23"/>
  <c r="K207" i="23"/>
  <c r="K206" i="23"/>
  <c r="K201" i="23"/>
  <c r="K211" i="23"/>
  <c r="K208" i="23"/>
  <c r="K205" i="23"/>
  <c r="K212" i="23"/>
  <c r="K202" i="23"/>
  <c r="K188" i="23"/>
  <c r="K200" i="23"/>
  <c r="H191" i="23"/>
  <c r="K193" i="23"/>
  <c r="K195" i="23"/>
  <c r="K192" i="23"/>
  <c r="K199" i="23"/>
  <c r="K190" i="23"/>
  <c r="K189" i="23"/>
  <c r="K186" i="23"/>
  <c r="K182" i="23"/>
  <c r="K181" i="23"/>
  <c r="K184" i="23"/>
  <c r="K179" i="23"/>
  <c r="K176" i="23"/>
  <c r="K178" i="23"/>
  <c r="K171" i="23"/>
  <c r="K174" i="23"/>
  <c r="K172" i="23"/>
  <c r="K169" i="23"/>
  <c r="K166" i="23"/>
  <c r="K161" i="23"/>
  <c r="K162" i="23"/>
  <c r="K167" i="23"/>
  <c r="K160" i="23"/>
  <c r="K165" i="23"/>
  <c r="K152" i="23"/>
  <c r="K156" i="23"/>
  <c r="K157" i="23"/>
  <c r="K151" i="23"/>
  <c r="K155" i="23"/>
  <c r="K158" i="23"/>
  <c r="K146" i="23"/>
  <c r="K145" i="23"/>
  <c r="K142" i="23"/>
  <c r="K143" i="23"/>
  <c r="K144" i="23"/>
  <c r="K147" i="23"/>
  <c r="K148" i="23"/>
  <c r="K136" i="23"/>
  <c r="K131" i="23"/>
  <c r="K135" i="23"/>
  <c r="K132" i="23"/>
  <c r="K133" i="23"/>
  <c r="K137" i="23"/>
  <c r="K139" i="23"/>
  <c r="K140" i="23"/>
  <c r="K134" i="23"/>
  <c r="K123" i="23"/>
  <c r="K130" i="23"/>
  <c r="K129" i="23"/>
  <c r="K127" i="23"/>
  <c r="K126" i="23"/>
  <c r="K121" i="23"/>
  <c r="K109" i="23"/>
  <c r="K116" i="23"/>
  <c r="K122" i="23"/>
  <c r="K119" i="23"/>
  <c r="K120" i="23"/>
  <c r="K115" i="23"/>
  <c r="K118" i="23"/>
  <c r="K117" i="23"/>
  <c r="K104" i="23"/>
  <c r="K100" i="23"/>
  <c r="K108" i="23"/>
  <c r="K97" i="23"/>
  <c r="K99" i="23"/>
  <c r="K107" i="23"/>
  <c r="K106" i="23"/>
  <c r="K101" i="23"/>
  <c r="K96" i="23"/>
  <c r="K94" i="23"/>
  <c r="K90" i="23"/>
  <c r="K95" i="23"/>
  <c r="K92" i="23"/>
  <c r="K74" i="23"/>
  <c r="K78" i="23"/>
  <c r="K76" i="23"/>
  <c r="K77" i="23"/>
  <c r="K75" i="23"/>
  <c r="K89" i="23"/>
  <c r="K79" i="23"/>
  <c r="K85" i="23"/>
  <c r="K80" i="23"/>
  <c r="K71" i="23"/>
  <c r="K73" i="23"/>
  <c r="K67" i="23"/>
  <c r="K69" i="23"/>
  <c r="K68" i="23"/>
  <c r="K61" i="23"/>
  <c r="K64" i="23"/>
  <c r="K62" i="23"/>
  <c r="K65" i="23"/>
  <c r="K63" i="23"/>
  <c r="K58" i="23"/>
  <c r="K51" i="23"/>
  <c r="K59" i="23"/>
  <c r="K56" i="23"/>
  <c r="K53" i="23"/>
  <c r="K57" i="23"/>
  <c r="K52" i="23"/>
  <c r="K55" i="23"/>
  <c r="K45" i="23"/>
  <c r="K49" i="23"/>
  <c r="K47" i="23"/>
  <c r="K50" i="23"/>
  <c r="K48" i="23"/>
  <c r="K41" i="23"/>
  <c r="K34" i="23"/>
  <c r="K40" i="23"/>
  <c r="K36" i="23"/>
  <c r="K39" i="23"/>
  <c r="K35" i="23"/>
  <c r="K42" i="23"/>
  <c r="K32" i="23"/>
  <c r="K30" i="23"/>
  <c r="K33" i="23"/>
  <c r="K31" i="23"/>
  <c r="K27" i="23"/>
  <c r="K26" i="23"/>
  <c r="K25" i="23"/>
  <c r="K24" i="23"/>
  <c r="K28" i="23"/>
  <c r="K22" i="23"/>
  <c r="K17" i="23"/>
  <c r="K19" i="23"/>
  <c r="K21" i="23"/>
  <c r="K18" i="23"/>
  <c r="K20" i="23"/>
  <c r="K15" i="23"/>
  <c r="K16" i="23"/>
  <c r="K11" i="23"/>
  <c r="K9" i="23"/>
  <c r="K13" i="23"/>
  <c r="K6" i="23"/>
  <c r="L5" i="23"/>
  <c r="K8" i="23"/>
  <c r="L4" i="23"/>
  <c r="K7" i="23"/>
  <c r="L3" i="23"/>
  <c r="N191" i="23" l="1"/>
  <c r="N254" i="23"/>
  <c r="L16" i="23"/>
  <c r="L21" i="23"/>
  <c r="L27" i="23"/>
  <c r="L48" i="23"/>
  <c r="L53" i="23"/>
  <c r="L64" i="23"/>
  <c r="L77" i="23"/>
  <c r="L99" i="23"/>
  <c r="L120" i="23"/>
  <c r="L140" i="23"/>
  <c r="L148" i="23"/>
  <c r="L152" i="23"/>
  <c r="L178" i="23"/>
  <c r="L195" i="23"/>
  <c r="L208" i="23"/>
  <c r="L222" i="23"/>
  <c r="L232" i="23"/>
  <c r="L250" i="23"/>
  <c r="L270" i="23"/>
  <c r="L288" i="23"/>
  <c r="L303" i="23"/>
  <c r="L318" i="23"/>
  <c r="L332" i="23"/>
  <c r="L354" i="23"/>
  <c r="L373" i="23"/>
  <c r="L401" i="23"/>
  <c r="L427" i="23"/>
  <c r="L432" i="23"/>
  <c r="L446" i="23"/>
  <c r="L481" i="23"/>
  <c r="L490" i="23"/>
  <c r="L525" i="23"/>
  <c r="L544" i="23"/>
  <c r="L570" i="23"/>
  <c r="L579" i="23"/>
  <c r="L597" i="23"/>
  <c r="L618" i="23"/>
  <c r="L660" i="23"/>
  <c r="L664" i="23"/>
  <c r="L671" i="23"/>
  <c r="L709" i="23"/>
  <c r="L704" i="23"/>
  <c r="L712" i="23"/>
  <c r="L746" i="23"/>
  <c r="L770" i="23"/>
  <c r="L790" i="23"/>
  <c r="L13" i="23"/>
  <c r="L15" i="23"/>
  <c r="L19" i="23"/>
  <c r="L24" i="23"/>
  <c r="L31" i="23"/>
  <c r="L42" i="23"/>
  <c r="L40" i="23"/>
  <c r="L50" i="23"/>
  <c r="L55" i="23"/>
  <c r="L56" i="23"/>
  <c r="L63" i="23"/>
  <c r="L61" i="23"/>
  <c r="L73" i="23"/>
  <c r="L79" i="23"/>
  <c r="L76" i="23"/>
  <c r="L95" i="23"/>
  <c r="L101" i="23"/>
  <c r="L97" i="23"/>
  <c r="L117" i="23"/>
  <c r="L119" i="23"/>
  <c r="L121" i="23"/>
  <c r="L130" i="23"/>
  <c r="L139" i="23"/>
  <c r="L135" i="23"/>
  <c r="L147" i="23"/>
  <c r="L145" i="23"/>
  <c r="L151" i="23"/>
  <c r="L165" i="23"/>
  <c r="L161" i="23"/>
  <c r="L172" i="23"/>
  <c r="L176" i="23"/>
  <c r="L182" i="23"/>
  <c r="L190" i="23"/>
  <c r="L193" i="23"/>
  <c r="L202" i="23"/>
  <c r="L207" i="23"/>
  <c r="L218" i="23"/>
  <c r="L220" i="23"/>
  <c r="L242" i="23"/>
  <c r="L239" i="23"/>
  <c r="L237" i="23"/>
  <c r="L251" i="23"/>
  <c r="L252" i="23"/>
  <c r="L248" i="23"/>
  <c r="L273" i="23"/>
  <c r="L261" i="23"/>
  <c r="L285" i="23"/>
  <c r="L279" i="23"/>
  <c r="L278" i="23"/>
  <c r="L296" i="23"/>
  <c r="L294" i="23"/>
  <c r="L299" i="23"/>
  <c r="L302" i="23"/>
  <c r="L309" i="23"/>
  <c r="L315" i="23"/>
  <c r="L321" i="23"/>
  <c r="L330" i="23"/>
  <c r="L331" i="23"/>
  <c r="L351" i="23"/>
  <c r="L342" i="23"/>
  <c r="L344" i="23"/>
  <c r="L353" i="23"/>
  <c r="L359" i="23"/>
  <c r="L367" i="23"/>
  <c r="L378" i="23"/>
  <c r="L372" i="23"/>
  <c r="L381" i="23"/>
  <c r="L391" i="23"/>
  <c r="L396" i="23"/>
  <c r="L390" i="23"/>
  <c r="L405" i="23"/>
  <c r="L411" i="23"/>
  <c r="L413" i="23"/>
  <c r="L421" i="23"/>
  <c r="L443" i="23"/>
  <c r="L434" i="23"/>
  <c r="L438" i="23"/>
  <c r="L452" i="23"/>
  <c r="L454" i="23"/>
  <c r="L460" i="23"/>
  <c r="L463" i="23"/>
  <c r="L476" i="23"/>
  <c r="L482" i="23"/>
  <c r="L495" i="23"/>
  <c r="L493" i="23"/>
  <c r="L506" i="23"/>
  <c r="L508" i="23"/>
  <c r="L516" i="23"/>
  <c r="L519" i="23"/>
  <c r="L527" i="23"/>
  <c r="L530" i="23"/>
  <c r="L536" i="23"/>
  <c r="L533" i="23"/>
  <c r="L545" i="23"/>
  <c r="L555" i="23"/>
  <c r="L556" i="23"/>
  <c r="L568" i="23"/>
  <c r="L572" i="23"/>
  <c r="L576" i="23"/>
  <c r="L592" i="23"/>
  <c r="L581" i="23"/>
  <c r="L600" i="23"/>
  <c r="L606" i="23"/>
  <c r="L605" i="23"/>
  <c r="L615" i="23"/>
  <c r="L624" i="23"/>
  <c r="L630" i="23"/>
  <c r="L647" i="23"/>
  <c r="L649" i="23"/>
  <c r="L650" i="23"/>
  <c r="L648" i="23"/>
  <c r="L654" i="23"/>
  <c r="L666" i="23"/>
  <c r="L668" i="23"/>
  <c r="L680" i="23"/>
  <c r="L672" i="23"/>
  <c r="L686" i="23"/>
  <c r="L699" i="23"/>
  <c r="L708" i="23"/>
  <c r="L695" i="23"/>
  <c r="L706" i="23"/>
  <c r="L717" i="23"/>
  <c r="L692" i="23"/>
  <c r="L727" i="23"/>
  <c r="L732" i="23"/>
  <c r="L744" i="23"/>
  <c r="L740" i="23"/>
  <c r="L761" i="23"/>
  <c r="L758" i="23"/>
  <c r="L756" i="23"/>
  <c r="L764" i="23"/>
  <c r="L774" i="23"/>
  <c r="L777" i="23"/>
  <c r="L786" i="23"/>
  <c r="L784" i="23"/>
  <c r="L415" i="23"/>
  <c r="L7" i="23"/>
  <c r="L28" i="23"/>
  <c r="L36" i="23"/>
  <c r="L58" i="23"/>
  <c r="L85" i="23"/>
  <c r="L96" i="23"/>
  <c r="L129" i="23"/>
  <c r="L132" i="23"/>
  <c r="L155" i="23"/>
  <c r="L162" i="23"/>
  <c r="L181" i="23"/>
  <c r="L188" i="23"/>
  <c r="L219" i="23"/>
  <c r="L241" i="23"/>
  <c r="L255" i="23"/>
  <c r="L259" i="23"/>
  <c r="L280" i="23"/>
  <c r="L293" i="23"/>
  <c r="L314" i="23"/>
  <c r="L323" i="23"/>
  <c r="L343" i="23"/>
  <c r="L361" i="23"/>
  <c r="L370" i="23"/>
  <c r="L386" i="23"/>
  <c r="L428" i="23"/>
  <c r="L431" i="23"/>
  <c r="L459" i="23"/>
  <c r="L489" i="23"/>
  <c r="L505" i="23"/>
  <c r="L514" i="23"/>
  <c r="L538" i="23"/>
  <c r="L557" i="23"/>
  <c r="L586" i="23"/>
  <c r="L599" i="23"/>
  <c r="L614" i="23"/>
  <c r="L632" i="23"/>
  <c r="L652" i="23"/>
  <c r="L667" i="23"/>
  <c r="L688" i="23"/>
  <c r="L719" i="23"/>
  <c r="L725" i="23"/>
  <c r="L741" i="23"/>
  <c r="L757" i="23"/>
  <c r="L775" i="23"/>
  <c r="L9" i="23"/>
  <c r="L17" i="23"/>
  <c r="L33" i="23"/>
  <c r="L34" i="23"/>
  <c r="L52" i="23"/>
  <c r="L65" i="23"/>
  <c r="L89" i="23"/>
  <c r="L90" i="23"/>
  <c r="L108" i="23"/>
  <c r="L122" i="23"/>
  <c r="L137" i="23"/>
  <c r="L146" i="23"/>
  <c r="L157" i="23"/>
  <c r="L174" i="23"/>
  <c r="L186" i="23"/>
  <c r="L212" i="23"/>
  <c r="L211" i="23"/>
  <c r="L221" i="23"/>
  <c r="L224" i="23"/>
  <c r="L233" i="23"/>
  <c r="L227" i="23"/>
  <c r="L238" i="23"/>
  <c r="L246" i="23"/>
  <c r="L249" i="23"/>
  <c r="L269" i="23"/>
  <c r="L276" i="23"/>
  <c r="L281" i="23"/>
  <c r="L282" i="23"/>
  <c r="L287" i="23"/>
  <c r="L289" i="23"/>
  <c r="L304" i="23"/>
  <c r="L297" i="23"/>
  <c r="L306" i="23"/>
  <c r="L310" i="23"/>
  <c r="L312" i="23"/>
  <c r="L317" i="23"/>
  <c r="L324" i="23"/>
  <c r="L322" i="23"/>
  <c r="L341" i="23"/>
  <c r="L339" i="23"/>
  <c r="L352" i="23"/>
  <c r="L355" i="23"/>
  <c r="L366" i="23"/>
  <c r="L380" i="23"/>
  <c r="L369" i="23"/>
  <c r="L382" i="23"/>
  <c r="L388" i="23"/>
  <c r="L394" i="23"/>
  <c r="L398" i="23"/>
  <c r="L402" i="23"/>
  <c r="L420" i="23"/>
  <c r="L416" i="23"/>
  <c r="L418" i="23"/>
  <c r="L437" i="23"/>
  <c r="L433" i="23"/>
  <c r="L447" i="23"/>
  <c r="L455" i="23"/>
  <c r="L457" i="23"/>
  <c r="L461" i="23"/>
  <c r="L469" i="23"/>
  <c r="L478" i="23"/>
  <c r="L483" i="23"/>
  <c r="L494" i="23"/>
  <c r="L485" i="23"/>
  <c r="L498" i="23"/>
  <c r="L503" i="23"/>
  <c r="L509" i="23"/>
  <c r="L515" i="23"/>
  <c r="L521" i="23"/>
  <c r="L526" i="23"/>
  <c r="L532" i="23"/>
  <c r="L535" i="23"/>
  <c r="L539" i="23"/>
  <c r="L550" i="23"/>
  <c r="L552" i="23"/>
  <c r="L560" i="23"/>
  <c r="L537" i="23"/>
  <c r="L565" i="23"/>
  <c r="L577" i="23"/>
  <c r="L587" i="23"/>
  <c r="L580" i="23"/>
  <c r="L598" i="23"/>
  <c r="L623" i="23"/>
  <c r="L607" i="23"/>
  <c r="L602" i="23"/>
  <c r="L640" i="23"/>
  <c r="L633" i="23"/>
  <c r="L644" i="23"/>
  <c r="L653" i="23"/>
  <c r="L659" i="23"/>
  <c r="L651" i="23"/>
  <c r="L663" i="23"/>
  <c r="L665" i="23"/>
  <c r="L682" i="23"/>
  <c r="L677" i="23"/>
  <c r="L687" i="23"/>
  <c r="L690" i="23"/>
  <c r="L698" i="23"/>
  <c r="L697" i="23"/>
  <c r="L696" i="23"/>
  <c r="L715" i="23"/>
  <c r="L718" i="23"/>
  <c r="L734" i="23"/>
  <c r="L728" i="23"/>
  <c r="L748" i="23"/>
  <c r="L743" i="23"/>
  <c r="L735" i="23"/>
  <c r="L762" i="23"/>
  <c r="L752" i="23"/>
  <c r="L754" i="23"/>
  <c r="L776" i="23"/>
  <c r="L769" i="23"/>
  <c r="L785" i="23"/>
  <c r="L781" i="23"/>
  <c r="L782" i="23"/>
  <c r="L707" i="23"/>
  <c r="L733" i="23"/>
  <c r="L6" i="23"/>
  <c r="L32" i="23"/>
  <c r="L45" i="23"/>
  <c r="L67" i="23"/>
  <c r="L92" i="23"/>
  <c r="L104" i="23"/>
  <c r="L109" i="23"/>
  <c r="L142" i="23"/>
  <c r="L170" i="23"/>
  <c r="L187" i="23"/>
  <c r="L206" i="23"/>
  <c r="L226" i="23"/>
  <c r="L258" i="23"/>
  <c r="L260" i="23"/>
  <c r="L307" i="23"/>
  <c r="L308" i="23"/>
  <c r="L320" i="23"/>
  <c r="L340" i="23"/>
  <c r="L357" i="23"/>
  <c r="L375" i="23"/>
  <c r="L400" i="23"/>
  <c r="L397" i="23"/>
  <c r="L425" i="23"/>
  <c r="L423" i="23"/>
  <c r="L450" i="23"/>
  <c r="L456" i="23"/>
  <c r="L473" i="23"/>
  <c r="L491" i="23"/>
  <c r="L512" i="23"/>
  <c r="L528" i="23"/>
  <c r="L546" i="23"/>
  <c r="L567" i="23"/>
  <c r="L584" i="23"/>
  <c r="L622" i="23"/>
  <c r="L634" i="23"/>
  <c r="L658" i="23"/>
  <c r="L679" i="23"/>
  <c r="L700" i="23"/>
  <c r="L703" i="23"/>
  <c r="L721" i="23"/>
  <c r="L738" i="23"/>
  <c r="L765" i="23"/>
  <c r="L759" i="23"/>
  <c r="L787" i="23"/>
  <c r="L783" i="23"/>
  <c r="L8" i="23"/>
  <c r="L20" i="23"/>
  <c r="L25" i="23"/>
  <c r="L35" i="23"/>
  <c r="L47" i="23"/>
  <c r="L59" i="23"/>
  <c r="L68" i="23"/>
  <c r="L71" i="23"/>
  <c r="L78" i="23"/>
  <c r="L106" i="23"/>
  <c r="L118" i="23"/>
  <c r="L126" i="23"/>
  <c r="L123" i="23"/>
  <c r="L131" i="23"/>
  <c r="L144" i="23"/>
  <c r="L160" i="23"/>
  <c r="L166" i="23"/>
  <c r="L179" i="23"/>
  <c r="L199" i="23"/>
  <c r="L11" i="23"/>
  <c r="L18" i="23"/>
  <c r="L22" i="23"/>
  <c r="L26" i="23"/>
  <c r="L30" i="23"/>
  <c r="L39" i="23"/>
  <c r="L41" i="23"/>
  <c r="L49" i="23"/>
  <c r="L57" i="23"/>
  <c r="L51" i="23"/>
  <c r="L62" i="23"/>
  <c r="L69" i="23"/>
  <c r="L80" i="23"/>
  <c r="L75" i="23"/>
  <c r="L74" i="23"/>
  <c r="L94" i="23"/>
  <c r="L107" i="23"/>
  <c r="L100" i="23"/>
  <c r="L115" i="23"/>
  <c r="L116" i="23"/>
  <c r="L127" i="23"/>
  <c r="L134" i="23"/>
  <c r="L133" i="23"/>
  <c r="L136" i="23"/>
  <c r="L143" i="23"/>
  <c r="L158" i="23"/>
  <c r="L156" i="23"/>
  <c r="L167" i="23"/>
  <c r="L169" i="23"/>
  <c r="L171" i="23"/>
  <c r="L184" i="23"/>
  <c r="L189" i="23"/>
  <c r="L192" i="23"/>
  <c r="L200" i="23"/>
  <c r="L205" i="23"/>
  <c r="L201" i="23"/>
  <c r="L203" i="23"/>
  <c r="L217" i="23"/>
  <c r="L216" i="23"/>
  <c r="L231" i="23"/>
  <c r="L243" i="23"/>
  <c r="L247" i="23"/>
  <c r="L257" i="23"/>
  <c r="L265" i="23"/>
  <c r="L274" i="23"/>
  <c r="L284" i="23"/>
  <c r="L286" i="23"/>
  <c r="L277" i="23"/>
  <c r="L291" i="23"/>
  <c r="L301" i="23"/>
  <c r="L300" i="23"/>
  <c r="L305" i="23"/>
  <c r="L313" i="23"/>
  <c r="L316" i="23"/>
  <c r="L319" i="23"/>
  <c r="L329" i="23"/>
  <c r="L334" i="23"/>
  <c r="L349" i="23"/>
  <c r="L350" i="23"/>
  <c r="L356" i="23"/>
  <c r="L358" i="23"/>
  <c r="L360" i="23"/>
  <c r="L384" i="23"/>
  <c r="L376" i="23"/>
  <c r="L385" i="23"/>
  <c r="L392" i="23"/>
  <c r="L395" i="23"/>
  <c r="L387" i="23"/>
  <c r="L404" i="23"/>
  <c r="L409" i="23"/>
  <c r="L419" i="23"/>
  <c r="L414" i="23"/>
  <c r="L422" i="23"/>
  <c r="L435" i="23"/>
  <c r="L436" i="23"/>
  <c r="L449" i="23"/>
  <c r="L453" i="23"/>
  <c r="L458" i="23"/>
  <c r="L462" i="23"/>
  <c r="L472" i="23"/>
  <c r="L480" i="23"/>
  <c r="L484" i="23"/>
  <c r="L486" i="23"/>
  <c r="L492" i="23"/>
  <c r="L507" i="23"/>
  <c r="L504" i="23"/>
  <c r="L513" i="23"/>
  <c r="L511" i="23"/>
  <c r="L529" i="23"/>
  <c r="L522" i="23"/>
  <c r="L520" i="23"/>
  <c r="L549" i="23"/>
  <c r="L542" i="23"/>
  <c r="L554" i="23"/>
  <c r="L573" i="23"/>
  <c r="L566" i="23"/>
  <c r="L571" i="23"/>
  <c r="L582" i="23"/>
  <c r="L583" i="23"/>
  <c r="L585" i="23"/>
  <c r="L596" i="23"/>
  <c r="L604" i="23"/>
  <c r="L610" i="23"/>
  <c r="L603" i="23"/>
  <c r="L645" i="23"/>
  <c r="L639" i="23"/>
  <c r="L636" i="23"/>
  <c r="L656" i="23"/>
  <c r="L661" i="23"/>
  <c r="L657" i="23"/>
  <c r="L669" i="23"/>
  <c r="L662" i="23"/>
  <c r="L673" i="23"/>
  <c r="L678" i="23"/>
  <c r="L685" i="23"/>
  <c r="L693" i="23"/>
  <c r="L701" i="23"/>
  <c r="L705" i="23"/>
  <c r="L702" i="23"/>
  <c r="L714" i="23"/>
  <c r="L711" i="23"/>
  <c r="L729" i="23"/>
  <c r="L720" i="23"/>
  <c r="L739" i="23"/>
  <c r="L737" i="23"/>
  <c r="L742" i="23"/>
  <c r="L760" i="23"/>
  <c r="L753" i="23"/>
  <c r="L763" i="23"/>
  <c r="L772" i="23"/>
  <c r="L771" i="23"/>
  <c r="L780" i="23"/>
  <c r="L791" i="23"/>
  <c r="L726" i="23"/>
  <c r="K191" i="23"/>
  <c r="K974" i="23"/>
  <c r="L974" i="23" s="1"/>
  <c r="K254" i="23"/>
  <c r="G17054" i="17"/>
  <c r="G17053" i="17"/>
  <c r="G17052" i="17"/>
  <c r="G17051" i="17"/>
  <c r="G17050" i="17"/>
  <c r="G17049" i="17"/>
  <c r="G17048" i="17"/>
  <c r="G17047" i="17"/>
  <c r="G17046" i="17"/>
  <c r="G17045" i="17"/>
  <c r="G17044" i="17"/>
  <c r="G17043" i="17"/>
  <c r="G17042" i="17"/>
  <c r="G17041" i="17"/>
  <c r="G17040" i="17"/>
  <c r="G17039" i="17"/>
  <c r="G17038" i="17"/>
  <c r="G17037" i="17"/>
  <c r="G17036" i="17"/>
  <c r="G17035" i="17"/>
  <c r="G17034" i="17"/>
  <c r="G17033" i="17"/>
  <c r="G17032" i="17"/>
  <c r="G17031" i="17"/>
  <c r="G17030" i="17"/>
  <c r="G17029" i="17"/>
  <c r="G17028" i="17"/>
  <c r="L191" i="23" l="1"/>
  <c r="L254" i="23"/>
  <c r="G17146" i="17"/>
  <c r="G17139" i="17"/>
  <c r="G17118" i="17"/>
  <c r="G17117" i="17"/>
  <c r="G17116" i="17"/>
  <c r="G17115" i="17"/>
  <c r="G17114" i="17"/>
  <c r="G17113" i="17"/>
  <c r="G17112" i="17"/>
  <c r="G17111" i="17"/>
  <c r="G17110" i="17"/>
  <c r="G17109" i="17"/>
  <c r="G17108" i="17"/>
  <c r="G17107" i="17"/>
  <c r="G17106" i="17"/>
  <c r="G17105" i="17"/>
  <c r="G17104" i="17"/>
  <c r="G17103" i="17"/>
  <c r="G17102" i="17"/>
  <c r="G17101" i="17"/>
  <c r="G17100" i="17"/>
  <c r="G17099" i="17"/>
  <c r="G17098" i="17"/>
  <c r="G17097" i="17"/>
  <c r="G17096" i="17"/>
  <c r="G17095" i="17"/>
  <c r="G17094" i="17"/>
  <c r="G17093" i="17"/>
  <c r="G17092" i="17"/>
  <c r="G17091" i="17"/>
  <c r="G17090" i="17"/>
  <c r="G17089" i="17"/>
  <c r="G17088" i="17"/>
  <c r="G17087" i="17"/>
  <c r="G17086" i="17" l="1"/>
  <c r="G17085" i="17"/>
  <c r="G17084" i="17"/>
  <c r="G17083" i="17"/>
  <c r="G17082" i="17"/>
  <c r="G17081" i="17"/>
  <c r="G17080" i="17"/>
  <c r="G17079" i="17"/>
  <c r="G17078" i="17"/>
  <c r="G17077" i="17"/>
  <c r="G17076" i="17"/>
  <c r="G17075" i="17"/>
  <c r="G17074" i="17"/>
  <c r="G17073" i="17"/>
  <c r="G17072" i="17"/>
  <c r="G17071" i="17"/>
  <c r="G17070" i="17"/>
  <c r="G17069" i="17"/>
  <c r="G17068" i="17"/>
  <c r="G17067" i="17"/>
  <c r="G17066" i="17"/>
  <c r="G17065" i="17"/>
  <c r="G17064" i="17"/>
  <c r="G17063" i="17"/>
  <c r="G17062" i="17"/>
  <c r="G17061" i="17"/>
  <c r="G17060" i="17"/>
  <c r="G17059" i="17"/>
  <c r="G17058" i="17"/>
  <c r="G17057" i="17"/>
  <c r="G17056" i="17"/>
  <c r="G17055" i="17"/>
  <c r="G17027" i="17"/>
  <c r="G17026" i="17"/>
  <c r="G17025" i="17"/>
  <c r="G17024" i="17"/>
  <c r="G17023" i="17"/>
  <c r="G17022" i="17"/>
  <c r="G17021" i="17"/>
  <c r="G17020" i="17"/>
  <c r="G17019" i="17"/>
  <c r="G17018" i="17"/>
  <c r="G17017" i="17"/>
  <c r="G17016" i="17"/>
  <c r="G17015" i="17"/>
  <c r="G17014" i="17"/>
  <c r="G17013" i="17"/>
  <c r="G17012" i="17"/>
  <c r="G17011" i="17"/>
  <c r="G17010" i="17"/>
  <c r="G17009" i="17"/>
  <c r="G17008" i="17"/>
  <c r="G17007" i="17"/>
  <c r="G17006" i="17"/>
  <c r="G17005" i="17"/>
  <c r="G17004" i="17"/>
  <c r="G17003" i="17"/>
  <c r="G17002" i="17"/>
  <c r="G17001" i="17"/>
  <c r="G17000" i="17"/>
  <c r="G16999" i="17"/>
  <c r="G16998" i="17"/>
  <c r="G16997" i="17"/>
  <c r="G16996" i="17"/>
  <c r="G15588" i="17" l="1"/>
  <c r="G15640" i="17"/>
  <c r="G16841" i="17"/>
  <c r="G16840" i="17"/>
  <c r="G16839" i="17"/>
  <c r="G16838" i="17"/>
  <c r="G16837" i="17"/>
  <c r="G16836" i="17"/>
  <c r="G16835" i="17"/>
  <c r="G16834" i="17"/>
  <c r="G16833" i="17"/>
  <c r="G16832" i="17"/>
  <c r="G16831" i="17"/>
  <c r="G16830" i="17"/>
  <c r="G16829" i="17"/>
  <c r="G16828" i="17"/>
  <c r="G16827" i="17"/>
  <c r="G16826" i="17"/>
  <c r="G16825" i="17"/>
  <c r="G16824" i="17"/>
  <c r="G16823" i="17"/>
  <c r="G16822" i="17"/>
  <c r="G16821" i="17"/>
  <c r="G16820" i="17"/>
  <c r="G16819" i="17"/>
  <c r="G16818" i="17"/>
  <c r="G16817" i="17"/>
  <c r="G16816" i="17"/>
  <c r="G16815" i="17"/>
  <c r="G16814" i="17"/>
  <c r="G16893" i="17"/>
  <c r="G16892" i="17"/>
  <c r="G16891" i="17"/>
  <c r="G16890" i="17"/>
  <c r="G16889" i="17"/>
  <c r="G16888" i="17"/>
  <c r="G16887" i="17"/>
  <c r="G16886" i="17"/>
  <c r="G16885" i="17"/>
  <c r="G16884" i="17"/>
  <c r="G16883" i="17"/>
  <c r="G16882" i="17"/>
  <c r="G16881" i="17"/>
  <c r="G16880" i="17"/>
  <c r="G16879" i="17"/>
  <c r="G16878" i="17"/>
  <c r="G16877" i="17"/>
  <c r="G16876" i="17"/>
  <c r="G16875" i="17"/>
  <c r="G16874" i="17"/>
  <c r="G16873" i="17"/>
  <c r="G16872" i="17"/>
  <c r="G16871" i="17"/>
  <c r="G16870" i="17"/>
  <c r="G16869" i="17"/>
  <c r="G16868" i="17"/>
  <c r="G16867" i="17"/>
  <c r="G16866" i="17"/>
  <c r="G16942" i="17"/>
  <c r="G16941" i="17"/>
  <c r="G16940" i="17"/>
  <c r="G16939" i="17"/>
  <c r="G16938" i="17"/>
  <c r="G16937" i="17"/>
  <c r="G16936" i="17"/>
  <c r="G16935" i="17"/>
  <c r="G16934" i="17"/>
  <c r="G16933" i="17"/>
  <c r="G16932" i="17"/>
  <c r="G16931" i="17"/>
  <c r="G16930" i="17"/>
  <c r="G16929" i="17"/>
  <c r="G16928" i="17"/>
  <c r="G16927" i="17"/>
  <c r="G16926" i="17"/>
  <c r="G16925" i="17"/>
  <c r="G16924" i="17"/>
  <c r="G16923" i="17"/>
  <c r="G16922" i="17"/>
  <c r="G16921" i="17"/>
  <c r="G16920" i="17"/>
  <c r="G16919" i="17"/>
  <c r="G16918" i="17"/>
  <c r="G16516" i="17"/>
  <c r="G16515" i="17"/>
  <c r="G16514" i="17"/>
  <c r="G16513" i="17"/>
  <c r="G16512" i="17"/>
  <c r="G16511" i="17"/>
  <c r="G16510" i="17"/>
  <c r="G16509" i="17"/>
  <c r="G16508" i="17"/>
  <c r="G16507" i="17"/>
  <c r="G16506" i="17"/>
  <c r="G16505" i="17"/>
  <c r="G16504" i="17"/>
  <c r="G16503" i="17"/>
  <c r="G16502" i="17"/>
  <c r="G16501" i="17"/>
  <c r="G16500" i="17"/>
  <c r="G16499" i="17"/>
  <c r="G16498" i="17"/>
  <c r="G16497" i="17"/>
  <c r="G16496" i="17"/>
  <c r="G16495" i="17"/>
  <c r="G16494" i="17"/>
  <c r="G16493" i="17"/>
  <c r="G16492" i="17"/>
  <c r="G16467" i="17"/>
  <c r="G16466" i="17"/>
  <c r="G16465" i="17"/>
  <c r="G16464" i="17"/>
  <c r="G16463" i="17"/>
  <c r="G16462" i="17"/>
  <c r="G16461" i="17"/>
  <c r="G16460" i="17"/>
  <c r="G16459" i="17"/>
  <c r="G16458" i="17"/>
  <c r="G16457" i="17"/>
  <c r="G16456" i="17"/>
  <c r="G16455" i="17"/>
  <c r="G16454" i="17"/>
  <c r="G16453" i="17"/>
  <c r="G16452" i="17"/>
  <c r="G16451" i="17"/>
  <c r="G16450" i="17"/>
  <c r="G16449" i="17"/>
  <c r="G16448" i="17"/>
  <c r="G16447" i="17"/>
  <c r="G16446" i="17"/>
  <c r="G16445" i="17"/>
  <c r="G16444" i="17"/>
  <c r="G16443" i="17"/>
  <c r="G16442" i="17"/>
  <c r="G16441" i="17"/>
  <c r="G16440" i="17"/>
  <c r="G16415" i="17"/>
  <c r="G16414" i="17"/>
  <c r="G16413" i="17"/>
  <c r="G16412" i="17"/>
  <c r="G16411" i="17"/>
  <c r="G16410" i="17"/>
  <c r="G16409" i="17"/>
  <c r="G16408" i="17"/>
  <c r="G16407" i="17"/>
  <c r="G16406" i="17"/>
  <c r="G16405" i="17"/>
  <c r="G16404" i="17"/>
  <c r="G16403" i="17"/>
  <c r="G16402" i="17"/>
  <c r="G16401" i="17"/>
  <c r="G16400" i="17"/>
  <c r="G16399" i="17"/>
  <c r="G16398" i="17"/>
  <c r="G16397" i="17"/>
  <c r="G16396" i="17"/>
  <c r="G16395" i="17"/>
  <c r="G16394" i="17"/>
  <c r="G16393" i="17"/>
  <c r="G16392" i="17"/>
  <c r="G16391" i="17"/>
  <c r="G16390" i="17"/>
  <c r="G16389" i="17"/>
  <c r="G16388" i="17"/>
  <c r="G15992" i="17"/>
  <c r="G15991" i="17"/>
  <c r="G15990" i="17"/>
  <c r="G15989" i="17"/>
  <c r="G15988" i="17"/>
  <c r="G15987" i="17"/>
  <c r="G15986" i="17"/>
  <c r="G15985" i="17"/>
  <c r="G15984" i="17"/>
  <c r="G15983" i="17"/>
  <c r="G15982" i="17"/>
  <c r="G15981" i="17"/>
  <c r="G15980" i="17"/>
  <c r="G15979" i="17"/>
  <c r="G15978" i="17"/>
  <c r="G15977" i="17"/>
  <c r="G15976" i="17"/>
  <c r="G15975" i="17"/>
  <c r="G15974" i="17"/>
  <c r="G15973" i="17"/>
  <c r="G15972" i="17"/>
  <c r="G15971" i="17"/>
  <c r="G15970" i="17"/>
  <c r="G15969" i="17"/>
  <c r="G15968" i="17"/>
  <c r="G15967" i="17"/>
  <c r="G15966" i="17"/>
  <c r="G15965" i="17"/>
  <c r="G16044" i="17"/>
  <c r="G16043" i="17"/>
  <c r="G16042" i="17"/>
  <c r="G16041" i="17"/>
  <c r="G16040" i="17"/>
  <c r="G16039" i="17"/>
  <c r="G16038" i="17"/>
  <c r="G16037" i="17"/>
  <c r="G16036" i="17"/>
  <c r="G16035" i="17"/>
  <c r="G16034" i="17"/>
  <c r="G16033" i="17"/>
  <c r="G16032" i="17"/>
  <c r="G16031" i="17"/>
  <c r="G16030" i="17"/>
  <c r="G16029" i="17"/>
  <c r="G16028" i="17"/>
  <c r="G16027" i="17"/>
  <c r="G16026" i="17"/>
  <c r="G16025" i="17"/>
  <c r="G16024" i="17"/>
  <c r="G16023" i="17"/>
  <c r="G16022" i="17"/>
  <c r="G16021" i="17"/>
  <c r="G16020" i="17"/>
  <c r="G16019" i="17"/>
  <c r="G16018" i="17"/>
  <c r="G16017" i="17"/>
  <c r="G16093" i="17"/>
  <c r="G16092" i="17"/>
  <c r="G16091" i="17"/>
  <c r="G16090" i="17"/>
  <c r="G16089" i="17"/>
  <c r="G16088" i="17"/>
  <c r="G16087" i="17"/>
  <c r="G16086" i="17"/>
  <c r="G16085" i="17"/>
  <c r="G16084" i="17"/>
  <c r="G16083" i="17"/>
  <c r="G16082" i="17"/>
  <c r="G16081" i="17"/>
  <c r="G16080" i="17"/>
  <c r="G16079" i="17"/>
  <c r="G16078" i="17"/>
  <c r="G16077" i="17"/>
  <c r="G16076" i="17"/>
  <c r="G16075" i="17"/>
  <c r="G16074" i="17"/>
  <c r="G16073" i="17"/>
  <c r="G16072" i="17"/>
  <c r="G16071" i="17"/>
  <c r="G16070" i="17"/>
  <c r="G16069" i="17"/>
  <c r="G15563" i="17"/>
  <c r="G15562" i="17"/>
  <c r="G15561" i="17"/>
  <c r="G15560" i="17"/>
  <c r="G15559" i="17"/>
  <c r="G15558" i="17"/>
  <c r="G15557" i="17"/>
  <c r="G15556" i="17"/>
  <c r="G15555" i="17"/>
  <c r="G15554" i="17"/>
  <c r="G15553" i="17"/>
  <c r="G15552" i="17"/>
  <c r="G15551" i="17"/>
  <c r="G15550" i="17"/>
  <c r="G15549" i="17"/>
  <c r="G15548" i="17"/>
  <c r="G15547" i="17"/>
  <c r="G15546" i="17"/>
  <c r="G15545" i="17"/>
  <c r="G15544" i="17"/>
  <c r="G15543" i="17"/>
  <c r="G15542" i="17"/>
  <c r="G15541" i="17"/>
  <c r="G15540" i="17"/>
  <c r="G15539" i="17"/>
  <c r="G15538" i="17"/>
  <c r="G15537" i="17"/>
  <c r="G15536" i="17"/>
  <c r="G15615" i="17"/>
  <c r="G15614" i="17"/>
  <c r="G15613" i="17"/>
  <c r="G15612" i="17"/>
  <c r="G15611" i="17"/>
  <c r="G15610" i="17"/>
  <c r="G15609" i="17"/>
  <c r="G15608" i="17"/>
  <c r="G15607" i="17"/>
  <c r="G15606" i="17"/>
  <c r="G15605" i="17"/>
  <c r="G15604" i="17"/>
  <c r="G15603" i="17"/>
  <c r="G15602" i="17"/>
  <c r="G15601" i="17"/>
  <c r="G15600" i="17"/>
  <c r="G15599" i="17"/>
  <c r="G15598" i="17"/>
  <c r="G15597" i="17"/>
  <c r="G15596" i="17"/>
  <c r="G15595" i="17"/>
  <c r="G15594" i="17"/>
  <c r="G15593" i="17"/>
  <c r="G15592" i="17"/>
  <c r="G15591" i="17"/>
  <c r="G15590" i="17"/>
  <c r="G15589" i="17"/>
  <c r="G15664" i="17"/>
  <c r="G15663" i="17"/>
  <c r="G15662" i="17"/>
  <c r="G15661" i="17"/>
  <c r="G15660" i="17"/>
  <c r="G15659" i="17"/>
  <c r="G15658" i="17"/>
  <c r="G15657" i="17"/>
  <c r="G15656" i="17"/>
  <c r="G15655" i="17"/>
  <c r="G15654" i="17"/>
  <c r="G15653" i="17"/>
  <c r="G15652" i="17"/>
  <c r="G15651" i="17"/>
  <c r="G15650" i="17"/>
  <c r="G15649" i="17"/>
  <c r="G15648" i="17"/>
  <c r="G15647" i="17"/>
  <c r="G15646" i="17"/>
  <c r="G15645" i="17"/>
  <c r="G15644" i="17"/>
  <c r="G15643" i="17"/>
  <c r="G15642" i="17"/>
  <c r="G15641" i="17"/>
  <c r="G15138" i="17" l="1"/>
  <c r="G15137" i="17"/>
  <c r="G15136" i="17"/>
  <c r="G15135" i="17"/>
  <c r="G15134" i="17"/>
  <c r="G15133" i="17"/>
  <c r="G15132" i="17"/>
  <c r="G15131" i="17"/>
  <c r="G15130" i="17"/>
  <c r="G15129" i="17"/>
  <c r="G15128" i="17"/>
  <c r="G15127" i="17"/>
  <c r="G15126" i="17"/>
  <c r="G15125" i="17"/>
  <c r="G15124" i="17"/>
  <c r="G15123" i="17"/>
  <c r="G15122" i="17"/>
  <c r="G15121" i="17"/>
  <c r="G15120" i="17"/>
  <c r="G15119" i="17"/>
  <c r="G15118" i="17"/>
  <c r="G15117" i="17"/>
  <c r="G15116" i="17"/>
  <c r="G15115" i="17"/>
  <c r="G15114" i="17"/>
  <c r="G15113" i="17"/>
  <c r="G15112" i="17"/>
  <c r="G15111" i="17"/>
  <c r="G16624" i="17" l="1"/>
  <c r="G16623" i="17"/>
  <c r="G16622" i="17"/>
  <c r="G16621" i="17"/>
  <c r="G16620" i="17"/>
  <c r="G16619" i="17"/>
  <c r="G16616" i="17"/>
  <c r="G16615" i="17"/>
  <c r="G16613" i="17"/>
  <c r="G16611" i="17"/>
  <c r="G16610" i="17"/>
  <c r="G16609" i="17"/>
  <c r="G16607" i="17"/>
  <c r="G16606" i="17"/>
  <c r="G16605" i="17"/>
  <c r="G16604" i="17"/>
  <c r="G16603" i="17"/>
  <c r="G16602" i="17"/>
  <c r="G16601" i="17"/>
  <c r="G16599" i="17"/>
  <c r="G16598" i="17"/>
  <c r="G16201" i="17"/>
  <c r="G16200" i="17"/>
  <c r="G16199" i="17"/>
  <c r="G16198" i="17"/>
  <c r="G16197" i="17"/>
  <c r="G16196" i="17"/>
  <c r="G16193" i="17"/>
  <c r="G16190" i="17"/>
  <c r="G16188" i="17"/>
  <c r="G16186" i="17"/>
  <c r="G16184" i="17"/>
  <c r="G16179" i="17"/>
  <c r="G16178" i="17"/>
  <c r="G16177" i="17"/>
  <c r="G16176" i="17"/>
  <c r="G15773" i="17"/>
  <c r="G15772" i="17"/>
  <c r="G15771" i="17"/>
  <c r="G15770" i="17"/>
  <c r="G15769" i="17"/>
  <c r="G15768" i="17"/>
  <c r="G15767" i="17"/>
  <c r="G15764" i="17"/>
  <c r="G15763" i="17"/>
  <c r="G15762" i="17"/>
  <c r="G15761" i="17"/>
  <c r="G15759" i="17"/>
  <c r="G15757" i="17"/>
  <c r="G15754" i="17"/>
  <c r="G15750" i="17"/>
  <c r="G15749" i="17"/>
  <c r="G15748" i="17"/>
  <c r="G15747" i="17"/>
  <c r="G15348" i="17"/>
  <c r="G15347" i="17"/>
  <c r="G15346" i="17"/>
  <c r="G15345" i="17"/>
  <c r="G15344" i="17"/>
  <c r="G15343" i="17"/>
  <c r="G15342" i="17"/>
  <c r="G15339" i="17"/>
  <c r="G15337" i="17"/>
  <c r="G15336" i="17"/>
  <c r="G15335" i="17"/>
  <c r="G15334" i="17"/>
  <c r="G15333" i="17"/>
  <c r="G15332" i="17"/>
  <c r="G15330" i="17"/>
  <c r="G15329" i="17"/>
  <c r="G15325" i="17"/>
  <c r="G15322" i="17"/>
  <c r="G14919" i="17"/>
  <c r="G14918" i="17"/>
  <c r="G14917" i="17"/>
  <c r="G14916" i="17"/>
  <c r="G14915" i="17"/>
  <c r="G14914" i="17"/>
  <c r="G14913" i="17"/>
  <c r="G14910" i="17"/>
  <c r="G14907" i="17"/>
  <c r="G14905" i="17"/>
  <c r="G14901" i="17"/>
  <c r="G14896" i="17"/>
  <c r="G14894" i="17"/>
  <c r="G14893" i="17"/>
  <c r="G14497" i="17"/>
  <c r="G14496" i="17"/>
  <c r="G14495" i="17"/>
  <c r="G14494" i="17"/>
  <c r="G14493" i="17"/>
  <c r="G14492" i="17"/>
  <c r="G14491" i="17"/>
  <c r="G14488" i="17"/>
  <c r="G14486" i="17"/>
  <c r="G14485" i="17"/>
  <c r="G14483" i="17"/>
  <c r="G14482" i="17"/>
  <c r="G14479" i="17"/>
  <c r="G14478" i="17"/>
  <c r="G14474" i="17"/>
  <c r="G14471" i="17"/>
  <c r="G14079" i="17"/>
  <c r="G14078" i="17"/>
  <c r="G14077" i="17"/>
  <c r="G14076" i="17"/>
  <c r="G14075" i="17"/>
  <c r="G14073" i="17"/>
  <c r="G14070" i="17"/>
  <c r="G14067" i="17"/>
  <c r="G14065" i="17"/>
  <c r="G14060" i="17"/>
  <c r="G14056" i="17"/>
  <c r="G14054" i="17"/>
  <c r="G14053" i="17"/>
  <c r="G13622" i="17"/>
  <c r="G13621" i="17"/>
  <c r="G13620" i="17"/>
  <c r="G13617" i="17"/>
  <c r="G13614" i="17"/>
  <c r="G13613" i="17"/>
  <c r="G13611" i="17"/>
  <c r="G13610" i="17"/>
  <c r="G13609" i="17"/>
  <c r="G13605" i="17"/>
  <c r="G13600" i="17"/>
  <c r="G13598" i="17"/>
  <c r="G13597" i="17"/>
  <c r="G13186" i="17"/>
  <c r="G13185" i="17"/>
  <c r="G13179" i="17"/>
  <c r="G13178" i="17"/>
  <c r="G13176" i="17"/>
  <c r="G13174" i="17"/>
  <c r="G13173" i="17"/>
  <c r="G13170" i="17"/>
  <c r="G13169" i="17"/>
  <c r="G13165" i="17"/>
  <c r="G13163" i="17"/>
  <c r="G13162" i="17"/>
  <c r="G12754" i="17"/>
  <c r="G12751" i="17"/>
  <c r="G12748" i="17"/>
  <c r="G12745" i="17"/>
  <c r="G12743" i="17"/>
  <c r="G12739" i="17"/>
  <c r="G12737" i="17"/>
  <c r="G12734" i="17"/>
  <c r="G12733" i="17"/>
  <c r="G12732" i="17"/>
  <c r="G12731" i="17"/>
  <c r="G12730" i="17"/>
  <c r="G12356" i="17"/>
  <c r="G12353" i="17"/>
  <c r="G12347" i="17"/>
  <c r="G12345" i="17"/>
  <c r="G12341" i="17"/>
  <c r="G12340" i="17"/>
  <c r="G12336" i="17"/>
  <c r="G12335" i="17"/>
  <c r="G12334" i="17"/>
  <c r="G12333" i="17"/>
  <c r="G11948" i="17"/>
  <c r="G11946" i="17"/>
  <c r="G11945" i="17"/>
  <c r="G11943" i="17"/>
  <c r="G11942" i="17"/>
  <c r="G11939" i="17"/>
  <c r="G11937" i="17"/>
  <c r="G11928" i="17"/>
  <c r="G11925" i="17"/>
  <c r="G11551" i="17"/>
  <c r="G11548" i="17"/>
  <c r="G11543" i="17"/>
  <c r="G11539" i="17"/>
  <c r="G11536" i="17"/>
  <c r="G11534" i="17"/>
  <c r="G11532" i="17"/>
  <c r="G11166" i="17"/>
  <c r="G11165" i="17"/>
  <c r="G11162" i="17"/>
  <c r="G11157" i="17"/>
  <c r="G11153" i="17"/>
  <c r="G10779" i="17"/>
  <c r="G10774" i="17"/>
  <c r="G10771" i="17"/>
  <c r="G10763" i="17"/>
  <c r="G10410" i="17"/>
  <c r="G10408" i="17"/>
  <c r="G10405" i="17"/>
  <c r="G10403" i="17"/>
  <c r="G10400" i="17"/>
  <c r="G10032" i="17"/>
  <c r="G10031" i="17"/>
  <c r="G10024" i="17"/>
  <c r="G10022" i="17"/>
  <c r="G10019" i="17"/>
  <c r="G10018" i="17"/>
  <c r="G9665" i="17"/>
  <c r="G9660" i="17"/>
  <c r="G9657" i="17"/>
  <c r="G9656" i="17"/>
  <c r="G9649" i="17"/>
  <c r="G9648" i="17"/>
  <c r="G16707" i="17"/>
  <c r="G16282" i="17"/>
  <c r="G15853" i="17"/>
  <c r="G15431" i="17"/>
  <c r="G15002" i="17"/>
  <c r="G14579" i="17"/>
  <c r="G16281" i="17"/>
  <c r="G16706" i="17"/>
  <c r="G15852" i="17"/>
  <c r="G15430" i="17"/>
  <c r="G15001" i="17"/>
  <c r="G14578" i="17"/>
  <c r="G14160" i="17"/>
  <c r="G13728" i="17"/>
  <c r="T2" i="18" l="1"/>
  <c r="V2" i="18" s="1"/>
  <c r="G16813" i="17" l="1"/>
  <c r="G16812" i="17"/>
  <c r="G16811" i="17"/>
  <c r="G16810" i="17"/>
  <c r="G16809" i="17"/>
  <c r="G16808" i="17"/>
  <c r="G16807" i="17"/>
  <c r="G16806" i="17"/>
  <c r="G16805" i="17"/>
  <c r="G16804" i="17"/>
  <c r="G16803" i="17"/>
  <c r="G16802" i="17"/>
  <c r="G16801" i="17"/>
  <c r="G16800" i="17"/>
  <c r="G16799" i="17"/>
  <c r="G16798" i="17"/>
  <c r="G16797" i="17"/>
  <c r="G16796" i="17"/>
  <c r="G16795" i="17"/>
  <c r="G16794" i="17"/>
  <c r="G16793" i="17"/>
  <c r="G16792" i="17"/>
  <c r="G16791" i="17"/>
  <c r="G16790" i="17"/>
  <c r="G16865" i="17"/>
  <c r="G16864" i="17"/>
  <c r="G16863" i="17"/>
  <c r="G16862" i="17"/>
  <c r="G16861" i="17"/>
  <c r="G16860" i="17"/>
  <c r="G16859" i="17"/>
  <c r="G16858" i="17"/>
  <c r="G16857" i="17"/>
  <c r="G16856" i="17"/>
  <c r="G16855" i="17"/>
  <c r="G16854" i="17"/>
  <c r="G16853" i="17"/>
  <c r="G16852" i="17"/>
  <c r="G16851" i="17"/>
  <c r="G16850" i="17"/>
  <c r="G16849" i="17"/>
  <c r="G16848" i="17"/>
  <c r="G16847" i="17"/>
  <c r="G16846" i="17"/>
  <c r="G16845" i="17"/>
  <c r="G16844" i="17"/>
  <c r="G16843" i="17"/>
  <c r="G16842" i="17"/>
  <c r="G16917" i="17"/>
  <c r="G16916" i="17"/>
  <c r="G16915" i="17"/>
  <c r="G16914" i="17"/>
  <c r="G16913" i="17"/>
  <c r="G16912" i="17"/>
  <c r="G16911" i="17"/>
  <c r="G16910" i="17"/>
  <c r="G16909" i="17"/>
  <c r="G16908" i="17"/>
  <c r="G16907" i="17"/>
  <c r="G16906" i="17"/>
  <c r="G16905" i="17"/>
  <c r="G16904" i="17"/>
  <c r="G16903" i="17"/>
  <c r="G16902" i="17"/>
  <c r="G16901" i="17"/>
  <c r="G16900" i="17"/>
  <c r="G16899" i="17"/>
  <c r="G16898" i="17"/>
  <c r="G16897" i="17"/>
  <c r="G16896" i="17"/>
  <c r="G16895" i="17"/>
  <c r="G16894" i="17"/>
  <c r="G16387" i="17"/>
  <c r="G16386" i="17"/>
  <c r="G16385" i="17"/>
  <c r="G16384" i="17"/>
  <c r="G16383" i="17"/>
  <c r="G16382" i="17"/>
  <c r="G16381" i="17"/>
  <c r="G16380" i="17"/>
  <c r="G16379" i="17"/>
  <c r="G16378" i="17"/>
  <c r="G16377" i="17"/>
  <c r="G16376" i="17"/>
  <c r="G16375" i="17"/>
  <c r="G16374" i="17"/>
  <c r="G16373" i="17"/>
  <c r="G16372" i="17"/>
  <c r="G16371" i="17"/>
  <c r="G16370" i="17"/>
  <c r="G16369" i="17"/>
  <c r="G16368" i="17"/>
  <c r="G16367" i="17"/>
  <c r="G16366" i="17"/>
  <c r="G16365" i="17"/>
  <c r="G16364" i="17"/>
  <c r="G16439" i="17"/>
  <c r="G16438" i="17"/>
  <c r="G16437" i="17"/>
  <c r="G16436" i="17"/>
  <c r="G16435" i="17"/>
  <c r="G16434" i="17"/>
  <c r="G16433" i="17"/>
  <c r="G16432" i="17"/>
  <c r="G16431" i="17"/>
  <c r="G16430" i="17"/>
  <c r="G16429" i="17"/>
  <c r="G16428" i="17"/>
  <c r="G16427" i="17"/>
  <c r="G16426" i="17"/>
  <c r="G16425" i="17"/>
  <c r="G16424" i="17"/>
  <c r="G16423" i="17"/>
  <c r="G16422" i="17"/>
  <c r="G16421" i="17"/>
  <c r="G16420" i="17"/>
  <c r="G16419" i="17"/>
  <c r="G16418" i="17"/>
  <c r="G16417" i="17"/>
  <c r="G16416" i="17"/>
  <c r="G16491" i="17"/>
  <c r="G16490" i="17"/>
  <c r="G16489" i="17"/>
  <c r="G16488" i="17"/>
  <c r="G16487" i="17"/>
  <c r="G16486" i="17"/>
  <c r="G16485" i="17"/>
  <c r="G16484" i="17"/>
  <c r="G16483" i="17"/>
  <c r="G16482" i="17"/>
  <c r="G16481" i="17"/>
  <c r="G16480" i="17"/>
  <c r="G16479" i="17"/>
  <c r="G16478" i="17"/>
  <c r="G16477" i="17"/>
  <c r="G16476" i="17"/>
  <c r="G16475" i="17"/>
  <c r="G16474" i="17"/>
  <c r="G16473" i="17"/>
  <c r="G16472" i="17"/>
  <c r="G16471" i="17"/>
  <c r="G16470" i="17"/>
  <c r="G16469" i="17"/>
  <c r="G16468" i="17"/>
  <c r="G15964" i="17"/>
  <c r="G15963" i="17"/>
  <c r="G15962" i="17"/>
  <c r="G15961" i="17"/>
  <c r="G15960" i="17"/>
  <c r="G15959" i="17"/>
  <c r="G15958" i="17"/>
  <c r="G15957" i="17"/>
  <c r="G15956" i="17"/>
  <c r="G15955" i="17"/>
  <c r="G15954" i="17"/>
  <c r="G15953" i="17"/>
  <c r="G15952" i="17"/>
  <c r="G15951" i="17"/>
  <c r="G15950" i="17"/>
  <c r="G15949" i="17"/>
  <c r="G15948" i="17"/>
  <c r="G15947" i="17"/>
  <c r="G15946" i="17"/>
  <c r="G15945" i="17"/>
  <c r="G15944" i="17"/>
  <c r="G15943" i="17"/>
  <c r="G15942" i="17"/>
  <c r="G15941" i="17"/>
  <c r="G16016" i="17"/>
  <c r="G16015" i="17"/>
  <c r="G16014" i="17"/>
  <c r="G16013" i="17"/>
  <c r="G16012" i="17"/>
  <c r="G16011" i="17"/>
  <c r="G16010" i="17"/>
  <c r="G16009" i="17"/>
  <c r="G16008" i="17"/>
  <c r="G16007" i="17"/>
  <c r="G16006" i="17"/>
  <c r="G16005" i="17"/>
  <c r="G16004" i="17"/>
  <c r="G16003" i="17"/>
  <c r="G16002" i="17"/>
  <c r="G16001" i="17"/>
  <c r="G16000" i="17"/>
  <c r="G15999" i="17"/>
  <c r="G15998" i="17"/>
  <c r="G15997" i="17"/>
  <c r="G15996" i="17"/>
  <c r="G15995" i="17"/>
  <c r="G15994" i="17"/>
  <c r="G15993" i="17"/>
  <c r="G16068" i="17"/>
  <c r="G16067" i="17"/>
  <c r="G16066" i="17"/>
  <c r="G16065" i="17"/>
  <c r="G16064" i="17"/>
  <c r="G16063" i="17"/>
  <c r="G16062" i="17"/>
  <c r="G16061" i="17"/>
  <c r="G16060" i="17"/>
  <c r="G16059" i="17"/>
  <c r="G16058" i="17"/>
  <c r="G16057" i="17"/>
  <c r="G16056" i="17"/>
  <c r="G16055" i="17"/>
  <c r="G16054" i="17"/>
  <c r="G16053" i="17"/>
  <c r="G16052" i="17"/>
  <c r="G16051" i="17"/>
  <c r="G16050" i="17"/>
  <c r="G16049" i="17"/>
  <c r="G16048" i="17"/>
  <c r="G16047" i="17"/>
  <c r="G16046" i="17"/>
  <c r="G16045" i="17"/>
  <c r="G15535" i="17"/>
  <c r="G15534" i="17"/>
  <c r="G15533" i="17"/>
  <c r="G15532" i="17"/>
  <c r="G15531" i="17"/>
  <c r="G15530" i="17"/>
  <c r="G15529" i="17"/>
  <c r="G15528" i="17"/>
  <c r="G15527" i="17"/>
  <c r="G15526" i="17"/>
  <c r="G15525" i="17"/>
  <c r="G15524" i="17"/>
  <c r="G15523" i="17"/>
  <c r="G15522" i="17"/>
  <c r="G15521" i="17"/>
  <c r="G15520" i="17"/>
  <c r="G15519" i="17"/>
  <c r="G15518" i="17"/>
  <c r="G15517" i="17"/>
  <c r="G15516" i="17"/>
  <c r="G15515" i="17"/>
  <c r="G15514" i="17"/>
  <c r="G15513" i="17"/>
  <c r="G15512" i="17"/>
  <c r="G15587" i="17"/>
  <c r="G15586" i="17"/>
  <c r="G15585" i="17"/>
  <c r="G15584" i="17"/>
  <c r="G15583" i="17"/>
  <c r="G15582" i="17"/>
  <c r="G15581" i="17"/>
  <c r="G15580" i="17"/>
  <c r="G15579" i="17"/>
  <c r="G15578" i="17"/>
  <c r="G15577" i="17"/>
  <c r="G15576" i="17"/>
  <c r="G15575" i="17"/>
  <c r="G15574" i="17"/>
  <c r="G15573" i="17"/>
  <c r="G15572" i="17"/>
  <c r="G15571" i="17"/>
  <c r="G15570" i="17"/>
  <c r="G15569" i="17"/>
  <c r="G15568" i="17"/>
  <c r="G15567" i="17"/>
  <c r="G15566" i="17"/>
  <c r="G15565" i="17"/>
  <c r="G15564" i="17"/>
  <c r="G15639" i="17"/>
  <c r="G15638" i="17"/>
  <c r="G15637" i="17"/>
  <c r="G15636" i="17"/>
  <c r="G15635" i="17"/>
  <c r="G15634" i="17"/>
  <c r="G15633" i="17"/>
  <c r="G15632" i="17"/>
  <c r="G15631" i="17"/>
  <c r="G15630" i="17"/>
  <c r="G15629" i="17"/>
  <c r="G15628" i="17"/>
  <c r="G15627" i="17"/>
  <c r="G15626" i="17"/>
  <c r="G15625" i="17"/>
  <c r="G15624" i="17"/>
  <c r="G15623" i="17"/>
  <c r="G15622" i="17"/>
  <c r="G15621" i="17"/>
  <c r="G15620" i="17"/>
  <c r="G15619" i="17"/>
  <c r="G15618" i="17"/>
  <c r="G15617" i="17"/>
  <c r="G15616" i="17"/>
  <c r="G15190" i="17"/>
  <c r="G15189" i="17"/>
  <c r="G15188" i="17"/>
  <c r="G15187" i="17"/>
  <c r="G15186" i="17"/>
  <c r="G15185" i="17"/>
  <c r="G15184" i="17"/>
  <c r="G15183" i="17"/>
  <c r="G15182" i="17"/>
  <c r="G15181" i="17"/>
  <c r="G15180" i="17"/>
  <c r="G15179" i="17"/>
  <c r="G15178" i="17"/>
  <c r="G15177" i="17"/>
  <c r="G15176" i="17"/>
  <c r="G15175" i="17"/>
  <c r="G15174" i="17"/>
  <c r="G15173" i="17"/>
  <c r="G15172" i="17"/>
  <c r="G15171" i="17"/>
  <c r="G15170" i="17"/>
  <c r="G15169" i="17"/>
  <c r="G15168" i="17"/>
  <c r="G15167" i="17"/>
  <c r="G15166" i="17"/>
  <c r="G15165" i="17"/>
  <c r="G15164" i="17"/>
  <c r="G15163" i="17"/>
  <c r="G15239" i="17"/>
  <c r="G15238" i="17"/>
  <c r="G15237" i="17"/>
  <c r="G15236" i="17"/>
  <c r="G15235" i="17"/>
  <c r="G15234" i="17"/>
  <c r="G15233" i="17"/>
  <c r="G15232" i="17"/>
  <c r="G15231" i="17"/>
  <c r="G15230" i="17"/>
  <c r="G15229" i="17"/>
  <c r="G15228" i="17"/>
  <c r="G15227" i="17"/>
  <c r="G15226" i="17"/>
  <c r="G15225" i="17"/>
  <c r="G15224" i="17"/>
  <c r="G15223" i="17"/>
  <c r="G15222" i="17"/>
  <c r="G15221" i="17"/>
  <c r="G15220" i="17"/>
  <c r="G15219" i="17"/>
  <c r="G15218" i="17"/>
  <c r="G15217" i="17"/>
  <c r="G15216" i="17"/>
  <c r="G15215" i="17"/>
  <c r="G15110" i="17"/>
  <c r="G15109" i="17"/>
  <c r="G15108" i="17"/>
  <c r="G15107" i="17"/>
  <c r="G15106" i="17"/>
  <c r="G15105" i="17"/>
  <c r="G15104" i="17"/>
  <c r="G15103" i="17"/>
  <c r="G15102" i="17"/>
  <c r="G15101" i="17"/>
  <c r="G15100" i="17"/>
  <c r="G15099" i="17"/>
  <c r="G15098" i="17"/>
  <c r="G15097" i="17"/>
  <c r="G15096" i="17"/>
  <c r="G15095" i="17"/>
  <c r="G15094" i="17"/>
  <c r="G15093" i="17"/>
  <c r="G15092" i="17"/>
  <c r="G15091" i="17"/>
  <c r="G15090" i="17"/>
  <c r="G15089" i="17"/>
  <c r="G15088" i="17"/>
  <c r="G15087" i="17"/>
  <c r="G15162" i="17"/>
  <c r="G15161" i="17"/>
  <c r="G15160" i="17"/>
  <c r="G15159" i="17"/>
  <c r="G15158" i="17"/>
  <c r="G15157" i="17"/>
  <c r="G15156" i="17"/>
  <c r="G15155" i="17"/>
  <c r="G15154" i="17"/>
  <c r="G15153" i="17"/>
  <c r="G15152" i="17"/>
  <c r="G15151" i="17"/>
  <c r="G15150" i="17"/>
  <c r="G15149" i="17"/>
  <c r="G15148" i="17"/>
  <c r="G15147" i="17"/>
  <c r="G15146" i="17"/>
  <c r="G15145" i="17"/>
  <c r="G15144" i="17"/>
  <c r="G15143" i="17"/>
  <c r="G15142" i="17"/>
  <c r="G15141" i="17"/>
  <c r="G15140" i="17"/>
  <c r="G15139" i="17"/>
  <c r="G15214" i="17"/>
  <c r="G15213" i="17"/>
  <c r="G15212" i="17"/>
  <c r="G15211" i="17"/>
  <c r="G15210" i="17"/>
  <c r="G15209" i="17"/>
  <c r="G15208" i="17"/>
  <c r="G15207" i="17"/>
  <c r="G15206" i="17"/>
  <c r="G15205" i="17"/>
  <c r="G15204" i="17"/>
  <c r="G15203" i="17"/>
  <c r="G15202" i="17"/>
  <c r="G15201" i="17"/>
  <c r="G15200" i="17"/>
  <c r="G15199" i="17"/>
  <c r="G15198" i="17"/>
  <c r="G15197" i="17"/>
  <c r="G15196" i="17"/>
  <c r="G15195" i="17"/>
  <c r="G15194" i="17"/>
  <c r="G15193" i="17"/>
  <c r="G15192" i="17"/>
  <c r="G15191" i="17"/>
  <c r="G14706" i="17"/>
  <c r="G14705" i="17"/>
  <c r="G14704" i="17"/>
  <c r="G14703" i="17"/>
  <c r="G14702" i="17"/>
  <c r="G14701" i="17"/>
  <c r="G14700" i="17"/>
  <c r="G14699" i="17"/>
  <c r="G14698" i="17"/>
  <c r="G14697" i="17"/>
  <c r="G14696" i="17"/>
  <c r="G14695" i="17"/>
  <c r="G14694" i="17"/>
  <c r="G14693" i="17"/>
  <c r="G14692" i="17"/>
  <c r="G14691" i="17"/>
  <c r="G14690" i="17"/>
  <c r="G14689" i="17"/>
  <c r="G14688" i="17"/>
  <c r="G14687" i="17"/>
  <c r="G14686" i="17"/>
  <c r="G14685" i="17"/>
  <c r="G14684" i="17"/>
  <c r="G14683" i="17"/>
  <c r="G14682" i="17"/>
  <c r="G14681" i="17"/>
  <c r="G14680" i="17"/>
  <c r="G14679" i="17"/>
  <c r="G14758" i="17"/>
  <c r="G14757" i="17"/>
  <c r="G14756" i="17"/>
  <c r="G14755" i="17"/>
  <c r="G14754" i="17"/>
  <c r="G14753" i="17"/>
  <c r="G14752" i="17"/>
  <c r="G14751" i="17"/>
  <c r="G14750" i="17"/>
  <c r="G14749" i="17"/>
  <c r="G14748" i="17"/>
  <c r="G14747" i="17"/>
  <c r="G14746" i="17"/>
  <c r="G14745" i="17"/>
  <c r="G14744" i="17"/>
  <c r="G14743" i="17"/>
  <c r="G14742" i="17"/>
  <c r="G14741" i="17"/>
  <c r="G14740" i="17"/>
  <c r="G14739" i="17"/>
  <c r="G14738" i="17"/>
  <c r="G14737" i="17"/>
  <c r="G14736" i="17"/>
  <c r="G14735" i="17"/>
  <c r="G14734" i="17"/>
  <c r="G14733" i="17"/>
  <c r="G14732" i="17"/>
  <c r="G14731" i="17"/>
  <c r="G14810" i="17"/>
  <c r="G14809" i="17"/>
  <c r="G14808" i="17"/>
  <c r="G14807" i="17"/>
  <c r="G14806" i="17"/>
  <c r="G14805" i="17"/>
  <c r="G14804" i="17"/>
  <c r="G14803" i="17"/>
  <c r="G14802" i="17"/>
  <c r="G14801" i="17"/>
  <c r="G14800" i="17"/>
  <c r="G14799" i="17"/>
  <c r="G14798" i="17"/>
  <c r="G14797" i="17"/>
  <c r="G14796" i="17"/>
  <c r="G14795" i="17"/>
  <c r="G14794" i="17"/>
  <c r="G14793" i="17"/>
  <c r="G14792" i="17"/>
  <c r="G14791" i="17"/>
  <c r="G14790" i="17"/>
  <c r="G14789" i="17"/>
  <c r="G14788" i="17"/>
  <c r="G14787" i="17"/>
  <c r="G14786" i="17"/>
  <c r="G14785" i="17"/>
  <c r="G14784" i="17"/>
  <c r="G14783" i="17"/>
  <c r="G14678" i="17"/>
  <c r="G14677" i="17"/>
  <c r="G14676" i="17"/>
  <c r="G14675" i="17"/>
  <c r="G14674" i="17"/>
  <c r="G14673" i="17"/>
  <c r="G14672" i="17"/>
  <c r="G14671" i="17"/>
  <c r="G14670" i="17"/>
  <c r="G14669" i="17"/>
  <c r="G14668" i="17"/>
  <c r="G14667" i="17"/>
  <c r="G14666" i="17"/>
  <c r="G14665" i="17"/>
  <c r="G14664" i="17"/>
  <c r="G14663" i="17"/>
  <c r="G14662" i="17"/>
  <c r="G14661" i="17"/>
  <c r="G14660" i="17"/>
  <c r="G14659" i="17"/>
  <c r="G14658" i="17"/>
  <c r="G14657" i="17"/>
  <c r="G14656" i="17"/>
  <c r="G14655" i="17"/>
  <c r="G14730" i="17"/>
  <c r="G14729" i="17"/>
  <c r="G14728" i="17"/>
  <c r="G14727" i="17"/>
  <c r="G14726" i="17"/>
  <c r="G14725" i="17"/>
  <c r="G14724" i="17"/>
  <c r="G14723" i="17"/>
  <c r="G14722" i="17"/>
  <c r="G14721" i="17"/>
  <c r="G14720" i="17"/>
  <c r="G14719" i="17"/>
  <c r="G14718" i="17"/>
  <c r="G14717" i="17"/>
  <c r="G14716" i="17"/>
  <c r="G14715" i="17"/>
  <c r="G14714" i="17"/>
  <c r="G14713" i="17"/>
  <c r="G14712" i="17"/>
  <c r="G14711" i="17"/>
  <c r="G14710" i="17"/>
  <c r="G14709" i="17"/>
  <c r="G14708" i="17"/>
  <c r="G14707" i="17"/>
  <c r="G14782" i="17"/>
  <c r="G14781" i="17"/>
  <c r="G14780" i="17"/>
  <c r="G14779" i="17"/>
  <c r="G14778" i="17"/>
  <c r="G14777" i="17"/>
  <c r="G14776" i="17"/>
  <c r="G14775" i="17"/>
  <c r="G14774" i="17"/>
  <c r="G14773" i="17"/>
  <c r="G14772" i="17"/>
  <c r="G14771" i="17"/>
  <c r="G14770" i="17"/>
  <c r="G14769" i="17"/>
  <c r="G14768" i="17"/>
  <c r="G14767" i="17"/>
  <c r="G14766" i="17"/>
  <c r="G14765" i="17"/>
  <c r="G14764" i="17"/>
  <c r="G14763" i="17"/>
  <c r="G14762" i="17"/>
  <c r="G14761" i="17"/>
  <c r="G14760" i="17"/>
  <c r="G14759" i="17"/>
  <c r="G14284" i="17"/>
  <c r="G14283" i="17"/>
  <c r="G14282" i="17"/>
  <c r="G14281" i="17"/>
  <c r="G14280" i="17"/>
  <c r="G14279" i="17"/>
  <c r="G14278" i="17"/>
  <c r="G14277" i="17"/>
  <c r="G14276" i="17"/>
  <c r="G14275" i="17"/>
  <c r="G14274" i="17"/>
  <c r="G14273" i="17"/>
  <c r="G14272" i="17"/>
  <c r="G14271" i="17"/>
  <c r="G14270" i="17"/>
  <c r="G14269" i="17"/>
  <c r="G14268" i="17"/>
  <c r="G14267" i="17"/>
  <c r="G14266" i="17"/>
  <c r="G14265" i="17"/>
  <c r="G14264" i="17"/>
  <c r="G14263" i="17"/>
  <c r="G14262" i="17"/>
  <c r="G14261" i="17"/>
  <c r="G14260" i="17"/>
  <c r="G14259" i="17"/>
  <c r="G14258" i="17"/>
  <c r="G14257" i="17"/>
  <c r="G14336" i="17"/>
  <c r="G14335" i="17"/>
  <c r="G14334" i="17"/>
  <c r="G14333" i="17"/>
  <c r="G14332" i="17"/>
  <c r="G14331" i="17"/>
  <c r="G14330" i="17"/>
  <c r="G14329" i="17"/>
  <c r="G14328" i="17"/>
  <c r="G14327" i="17"/>
  <c r="G14326" i="17"/>
  <c r="G14325" i="17"/>
  <c r="G14324" i="17"/>
  <c r="G14323" i="17"/>
  <c r="G14322" i="17"/>
  <c r="G14321" i="17"/>
  <c r="G14320" i="17"/>
  <c r="G14319" i="17"/>
  <c r="G14318" i="17"/>
  <c r="G14317" i="17"/>
  <c r="G14316" i="17"/>
  <c r="G14315" i="17"/>
  <c r="G14314" i="17"/>
  <c r="G14313" i="17"/>
  <c r="G14312" i="17"/>
  <c r="G14311" i="17"/>
  <c r="G14310" i="17"/>
  <c r="G14309" i="17"/>
  <c r="G14388" i="17"/>
  <c r="G14387" i="17"/>
  <c r="G14386" i="17"/>
  <c r="G14385" i="17"/>
  <c r="G14384" i="17"/>
  <c r="G14383" i="17"/>
  <c r="G14382" i="17"/>
  <c r="G14381" i="17"/>
  <c r="G14380" i="17"/>
  <c r="G14379" i="17"/>
  <c r="G14378" i="17"/>
  <c r="G14377" i="17"/>
  <c r="G14376" i="17"/>
  <c r="G14375" i="17"/>
  <c r="G14374" i="17"/>
  <c r="G14373" i="17"/>
  <c r="G14372" i="17"/>
  <c r="G14371" i="17"/>
  <c r="G14370" i="17"/>
  <c r="G14369" i="17"/>
  <c r="G14368" i="17"/>
  <c r="G14367" i="17"/>
  <c r="G14366" i="17"/>
  <c r="G14365" i="17"/>
  <c r="G14364" i="17"/>
  <c r="G14363" i="17"/>
  <c r="G14362" i="17"/>
  <c r="G14361" i="17"/>
  <c r="G14256" i="17"/>
  <c r="G14255" i="17"/>
  <c r="G14254" i="17"/>
  <c r="G14253" i="17"/>
  <c r="G14252" i="17"/>
  <c r="G14251" i="17"/>
  <c r="G14250" i="17"/>
  <c r="G14249" i="17"/>
  <c r="G14248" i="17"/>
  <c r="G14247" i="17"/>
  <c r="G14246" i="17"/>
  <c r="G14245" i="17"/>
  <c r="G14244" i="17"/>
  <c r="G14243" i="17"/>
  <c r="G14242" i="17"/>
  <c r="G14241" i="17"/>
  <c r="G14240" i="17"/>
  <c r="G14239" i="17"/>
  <c r="G14238" i="17"/>
  <c r="G14237" i="17"/>
  <c r="G14236" i="17"/>
  <c r="G14235" i="17"/>
  <c r="G14234" i="17"/>
  <c r="G14233" i="17"/>
  <c r="G14308" i="17"/>
  <c r="G14307" i="17"/>
  <c r="G14306" i="17"/>
  <c r="G14305" i="17"/>
  <c r="G14304" i="17"/>
  <c r="G14303" i="17"/>
  <c r="G14302" i="17"/>
  <c r="G14301" i="17"/>
  <c r="G14300" i="17"/>
  <c r="G14299" i="17"/>
  <c r="G14298" i="17"/>
  <c r="G14297" i="17"/>
  <c r="G14296" i="17"/>
  <c r="G14295" i="17"/>
  <c r="G14294" i="17"/>
  <c r="G14293" i="17"/>
  <c r="G14292" i="17"/>
  <c r="G14291" i="17"/>
  <c r="G14290" i="17"/>
  <c r="G14289" i="17"/>
  <c r="G14288" i="17"/>
  <c r="G14287" i="17"/>
  <c r="G14286" i="17"/>
  <c r="G14285" i="17"/>
  <c r="G14360" i="17"/>
  <c r="G14359" i="17"/>
  <c r="G14358" i="17"/>
  <c r="G14357" i="17"/>
  <c r="G14356" i="17"/>
  <c r="G14355" i="17"/>
  <c r="G14354" i="17"/>
  <c r="G14353" i="17"/>
  <c r="G14352" i="17"/>
  <c r="G14351" i="17"/>
  <c r="G14350" i="17"/>
  <c r="G14349" i="17"/>
  <c r="G14348" i="17"/>
  <c r="G14347" i="17"/>
  <c r="G14346" i="17"/>
  <c r="G14345" i="17"/>
  <c r="G14344" i="17"/>
  <c r="G14343" i="17"/>
  <c r="G14342" i="17"/>
  <c r="G14341" i="17"/>
  <c r="G14340" i="17"/>
  <c r="G14339" i="17"/>
  <c r="G14338" i="17"/>
  <c r="G14337" i="17"/>
  <c r="G13866" i="17"/>
  <c r="G13865" i="17"/>
  <c r="G13864" i="17"/>
  <c r="G13863" i="17"/>
  <c r="G13862" i="17"/>
  <c r="G13861" i="17"/>
  <c r="G13860" i="17"/>
  <c r="G13859" i="17"/>
  <c r="G13858" i="17"/>
  <c r="G13857" i="17"/>
  <c r="G13856" i="17"/>
  <c r="G13855" i="17"/>
  <c r="G13854" i="17"/>
  <c r="G13853" i="17"/>
  <c r="G13852" i="17"/>
  <c r="G13851" i="17"/>
  <c r="G13850" i="17"/>
  <c r="G13849" i="17"/>
  <c r="G13848" i="17"/>
  <c r="G13847" i="17"/>
  <c r="G13846" i="17"/>
  <c r="G13845" i="17"/>
  <c r="G13844" i="17"/>
  <c r="G13843" i="17"/>
  <c r="G13842" i="17"/>
  <c r="G13841" i="17"/>
  <c r="G13840" i="17"/>
  <c r="G13839" i="17"/>
  <c r="G13918" i="17"/>
  <c r="G13917" i="17"/>
  <c r="G13916" i="17"/>
  <c r="G13915" i="17"/>
  <c r="G13914" i="17"/>
  <c r="G13913" i="17"/>
  <c r="G13912" i="17"/>
  <c r="G13911" i="17"/>
  <c r="G13910" i="17"/>
  <c r="G13909" i="17"/>
  <c r="G13908" i="17"/>
  <c r="G13907" i="17"/>
  <c r="G13906" i="17"/>
  <c r="G13905" i="17"/>
  <c r="G13904" i="17"/>
  <c r="G13903" i="17"/>
  <c r="G13902" i="17"/>
  <c r="G13901" i="17"/>
  <c r="G13900" i="17"/>
  <c r="G13899" i="17"/>
  <c r="G13898" i="17"/>
  <c r="G13897" i="17"/>
  <c r="G13896" i="17"/>
  <c r="G13895" i="17"/>
  <c r="G13894" i="17"/>
  <c r="G13893" i="17"/>
  <c r="G13892" i="17"/>
  <c r="G13891" i="17"/>
  <c r="G13970" i="17"/>
  <c r="G13969" i="17"/>
  <c r="G13968" i="17"/>
  <c r="G13967" i="17"/>
  <c r="G13966" i="17"/>
  <c r="G13965" i="17"/>
  <c r="G13964" i="17"/>
  <c r="G13963" i="17"/>
  <c r="G13962" i="17"/>
  <c r="G13961" i="17"/>
  <c r="G13960" i="17"/>
  <c r="G13959" i="17"/>
  <c r="G13958" i="17"/>
  <c r="G13957" i="17"/>
  <c r="G13956" i="17"/>
  <c r="G13955" i="17"/>
  <c r="G13954" i="17"/>
  <c r="G13953" i="17"/>
  <c r="G13952" i="17"/>
  <c r="G13951" i="17"/>
  <c r="G13950" i="17"/>
  <c r="G13949" i="17"/>
  <c r="G13948" i="17"/>
  <c r="G13947" i="17"/>
  <c r="G13946" i="17"/>
  <c r="G13945" i="17"/>
  <c r="G13944" i="17"/>
  <c r="G13943" i="17"/>
  <c r="G13838" i="17"/>
  <c r="G13837" i="17"/>
  <c r="G13836" i="17"/>
  <c r="G13835" i="17"/>
  <c r="G13834" i="17"/>
  <c r="G13833" i="17"/>
  <c r="G13832" i="17"/>
  <c r="G13831" i="17"/>
  <c r="G13830" i="17"/>
  <c r="G13829" i="17"/>
  <c r="G13828" i="17"/>
  <c r="G13827" i="17"/>
  <c r="G13826" i="17"/>
  <c r="G13825" i="17"/>
  <c r="G13824" i="17"/>
  <c r="G13823" i="17"/>
  <c r="G13822" i="17"/>
  <c r="G13821" i="17"/>
  <c r="G13820" i="17"/>
  <c r="G13819" i="17"/>
  <c r="G13818" i="17"/>
  <c r="G13817" i="17"/>
  <c r="G13816" i="17"/>
  <c r="G13815" i="17"/>
  <c r="G13890" i="17"/>
  <c r="G13889" i="17"/>
  <c r="G13888" i="17"/>
  <c r="G13887" i="17"/>
  <c r="G13886" i="17"/>
  <c r="G13885" i="17"/>
  <c r="G13884" i="17"/>
  <c r="G13883" i="17"/>
  <c r="G13882" i="17"/>
  <c r="G13881" i="17"/>
  <c r="G13880" i="17"/>
  <c r="G13879" i="17"/>
  <c r="G13878" i="17"/>
  <c r="G13877" i="17"/>
  <c r="G13876" i="17"/>
  <c r="G13875" i="17"/>
  <c r="G13874" i="17"/>
  <c r="G13873" i="17"/>
  <c r="G13872" i="17"/>
  <c r="G13871" i="17"/>
  <c r="G13870" i="17"/>
  <c r="G13869" i="17"/>
  <c r="G13868" i="17"/>
  <c r="G13867" i="17"/>
  <c r="G13942" i="17"/>
  <c r="G13941" i="17"/>
  <c r="G13940" i="17"/>
  <c r="G13939" i="17"/>
  <c r="G13938" i="17"/>
  <c r="G13937" i="17"/>
  <c r="G13936" i="17"/>
  <c r="G13935" i="17"/>
  <c r="G13934" i="17"/>
  <c r="G13933" i="17"/>
  <c r="G13932" i="17"/>
  <c r="G13931" i="17"/>
  <c r="G13930" i="17"/>
  <c r="G13929" i="17"/>
  <c r="G13928" i="17"/>
  <c r="G13927" i="17"/>
  <c r="G13926" i="17"/>
  <c r="G13925" i="17"/>
  <c r="G13924" i="17"/>
  <c r="G13923" i="17"/>
  <c r="G13922" i="17"/>
  <c r="G13921" i="17"/>
  <c r="G13920" i="17"/>
  <c r="G13919" i="17"/>
  <c r="G13410" i="17"/>
  <c r="G13409" i="17"/>
  <c r="G13408" i="17"/>
  <c r="G13407" i="17"/>
  <c r="G13406" i="17"/>
  <c r="G13405" i="17"/>
  <c r="G13404" i="17"/>
  <c r="G13403" i="17"/>
  <c r="G13402" i="17"/>
  <c r="G13401" i="17"/>
  <c r="G13400" i="17"/>
  <c r="G13399" i="17"/>
  <c r="G13398" i="17"/>
  <c r="G13397" i="17"/>
  <c r="G13396" i="17"/>
  <c r="G13395" i="17"/>
  <c r="G13394" i="17"/>
  <c r="G13393" i="17"/>
  <c r="G13392" i="17"/>
  <c r="G13391" i="17"/>
  <c r="G13390" i="17"/>
  <c r="G13389" i="17"/>
  <c r="G13388" i="17"/>
  <c r="G13387" i="17"/>
  <c r="G13386" i="17"/>
  <c r="G13385" i="17"/>
  <c r="G13384" i="17"/>
  <c r="G13383" i="17"/>
  <c r="G13462" i="17"/>
  <c r="G13461" i="17"/>
  <c r="G13460" i="17"/>
  <c r="G13459" i="17"/>
  <c r="G13458" i="17"/>
  <c r="G13457" i="17"/>
  <c r="G13456" i="17"/>
  <c r="G13455" i="17"/>
  <c r="G13454" i="17"/>
  <c r="G13453" i="17"/>
  <c r="G13452" i="17"/>
  <c r="G13451" i="17"/>
  <c r="G13450" i="17"/>
  <c r="G13449" i="17"/>
  <c r="G13448" i="17"/>
  <c r="G13447" i="17"/>
  <c r="G13446" i="17"/>
  <c r="G13445" i="17"/>
  <c r="G13444" i="17"/>
  <c r="G13443" i="17"/>
  <c r="G13442" i="17"/>
  <c r="G13441" i="17"/>
  <c r="G13440" i="17"/>
  <c r="G13439" i="17"/>
  <c r="G13438" i="17"/>
  <c r="G13437" i="17"/>
  <c r="G13436" i="17"/>
  <c r="G13435" i="17"/>
  <c r="G13514" i="17"/>
  <c r="G13513" i="17"/>
  <c r="G13512" i="17"/>
  <c r="G13511" i="17"/>
  <c r="G13510" i="17"/>
  <c r="G13509" i="17"/>
  <c r="G13508" i="17"/>
  <c r="G13507" i="17"/>
  <c r="G13506" i="17"/>
  <c r="G13505" i="17"/>
  <c r="G13504" i="17"/>
  <c r="G13503" i="17"/>
  <c r="G13502" i="17"/>
  <c r="G13501" i="17"/>
  <c r="G13500" i="17"/>
  <c r="G13499" i="17"/>
  <c r="G13498" i="17"/>
  <c r="G13497" i="17"/>
  <c r="G13496" i="17"/>
  <c r="G13495" i="17"/>
  <c r="G13494" i="17"/>
  <c r="G13493" i="17"/>
  <c r="G13492" i="17"/>
  <c r="G13491" i="17"/>
  <c r="G13490" i="17"/>
  <c r="G13489" i="17"/>
  <c r="G13488" i="17"/>
  <c r="G13487" i="17"/>
  <c r="G13382" i="17"/>
  <c r="G13381" i="17"/>
  <c r="G13380" i="17"/>
  <c r="G13379" i="17"/>
  <c r="G13378" i="17"/>
  <c r="G13377" i="17"/>
  <c r="G13376" i="17"/>
  <c r="G13375" i="17"/>
  <c r="G13374" i="17"/>
  <c r="G13373" i="17"/>
  <c r="G13372" i="17"/>
  <c r="G13371" i="17"/>
  <c r="G13370" i="17"/>
  <c r="G13369" i="17"/>
  <c r="G13368" i="17"/>
  <c r="G13367" i="17"/>
  <c r="G13366" i="17"/>
  <c r="G13365" i="17"/>
  <c r="G13364" i="17"/>
  <c r="G13363" i="17"/>
  <c r="G13362" i="17"/>
  <c r="G13361" i="17"/>
  <c r="G13360" i="17"/>
  <c r="G13359" i="17"/>
  <c r="G13434" i="17"/>
  <c r="G13433" i="17"/>
  <c r="G13432" i="17"/>
  <c r="G13431" i="17"/>
  <c r="G13430" i="17"/>
  <c r="G13429" i="17"/>
  <c r="G13428" i="17"/>
  <c r="G13427" i="17"/>
  <c r="G13426" i="17"/>
  <c r="G13425" i="17"/>
  <c r="G13424" i="17"/>
  <c r="G13423" i="17"/>
  <c r="G13422" i="17"/>
  <c r="G13421" i="17"/>
  <c r="G13420" i="17"/>
  <c r="G13419" i="17"/>
  <c r="G13418" i="17"/>
  <c r="G13417" i="17"/>
  <c r="G13416" i="17"/>
  <c r="G13415" i="17"/>
  <c r="G13414" i="17"/>
  <c r="G13413" i="17"/>
  <c r="G13412" i="17"/>
  <c r="G13411" i="17"/>
  <c r="G13486" i="17"/>
  <c r="G13485" i="17"/>
  <c r="G13484" i="17"/>
  <c r="G13483" i="17"/>
  <c r="G13482" i="17"/>
  <c r="G13481" i="17"/>
  <c r="G13480" i="17"/>
  <c r="G13479" i="17"/>
  <c r="G13478" i="17"/>
  <c r="G13477" i="17"/>
  <c r="G13476" i="17"/>
  <c r="G13475" i="17"/>
  <c r="G13474" i="17"/>
  <c r="G13473" i="17"/>
  <c r="G13472" i="17"/>
  <c r="G13471" i="17"/>
  <c r="G13470" i="17"/>
  <c r="G13469" i="17"/>
  <c r="G13468" i="17"/>
  <c r="G13467" i="17"/>
  <c r="G13466" i="17"/>
  <c r="G13465" i="17"/>
  <c r="G13464" i="17"/>
  <c r="G13463" i="17"/>
  <c r="G12984" i="17"/>
  <c r="G12983" i="17"/>
  <c r="G12982" i="17"/>
  <c r="G12981" i="17"/>
  <c r="G12980" i="17"/>
  <c r="G12979" i="17"/>
  <c r="G12978" i="17"/>
  <c r="G12977" i="17"/>
  <c r="G12976" i="17"/>
  <c r="G12975" i="17"/>
  <c r="G12974" i="17"/>
  <c r="G12973" i="17"/>
  <c r="G12972" i="17"/>
  <c r="G12971" i="17"/>
  <c r="G12970" i="17"/>
  <c r="G12969" i="17"/>
  <c r="G12968" i="17"/>
  <c r="G12967" i="17"/>
  <c r="G12966" i="17"/>
  <c r="G12965" i="17"/>
  <c r="G12964" i="17"/>
  <c r="G12963" i="17"/>
  <c r="G12962" i="17"/>
  <c r="G12961" i="17"/>
  <c r="G12960" i="17"/>
  <c r="G13033" i="17"/>
  <c r="G13032" i="17"/>
  <c r="G13031" i="17"/>
  <c r="G13030" i="17"/>
  <c r="G13029" i="17"/>
  <c r="G13028" i="17"/>
  <c r="G13027" i="17"/>
  <c r="G13026" i="17"/>
  <c r="G13025" i="17"/>
  <c r="G13024" i="17"/>
  <c r="G13023" i="17"/>
  <c r="G13022" i="17"/>
  <c r="G13021" i="17"/>
  <c r="G13020" i="17"/>
  <c r="G13019" i="17"/>
  <c r="G13018" i="17"/>
  <c r="G13017" i="17"/>
  <c r="G13016" i="17"/>
  <c r="G13015" i="17"/>
  <c r="G13014" i="17"/>
  <c r="G13013" i="17"/>
  <c r="G13012" i="17"/>
  <c r="G13011" i="17"/>
  <c r="G13010" i="17"/>
  <c r="G13009" i="17"/>
  <c r="G13082" i="17"/>
  <c r="G13081" i="17"/>
  <c r="G13080" i="17"/>
  <c r="G13079" i="17"/>
  <c r="G13078" i="17"/>
  <c r="G13077" i="17"/>
  <c r="G13076" i="17"/>
  <c r="G13075" i="17"/>
  <c r="G13074" i="17"/>
  <c r="G13073" i="17"/>
  <c r="G13072" i="17"/>
  <c r="G13071" i="17"/>
  <c r="G13070" i="17"/>
  <c r="G13069" i="17"/>
  <c r="G13068" i="17"/>
  <c r="G13067" i="17"/>
  <c r="G13066" i="17"/>
  <c r="G13065" i="17"/>
  <c r="G13064" i="17"/>
  <c r="G13063" i="17"/>
  <c r="G13062" i="17"/>
  <c r="G13061" i="17"/>
  <c r="G13060" i="17"/>
  <c r="G13059" i="17"/>
  <c r="G13058" i="17"/>
  <c r="G12959" i="17"/>
  <c r="G12958" i="17"/>
  <c r="G12957" i="17"/>
  <c r="G12956" i="17"/>
  <c r="G12955" i="17"/>
  <c r="G12954" i="17"/>
  <c r="G12953" i="17"/>
  <c r="G12952" i="17"/>
  <c r="G12951" i="17"/>
  <c r="G12950" i="17"/>
  <c r="G12949" i="17"/>
  <c r="G12948" i="17"/>
  <c r="G12947" i="17"/>
  <c r="G12946" i="17"/>
  <c r="G12945" i="17"/>
  <c r="G12944" i="17"/>
  <c r="G12943" i="17"/>
  <c r="G12942" i="17"/>
  <c r="G12941" i="17"/>
  <c r="G12940" i="17"/>
  <c r="G12939" i="17"/>
  <c r="G12938" i="17"/>
  <c r="G12937" i="17"/>
  <c r="G12936" i="17"/>
  <c r="G13008" i="17"/>
  <c r="G13007" i="17"/>
  <c r="G13006" i="17"/>
  <c r="G13005" i="17"/>
  <c r="G13004" i="17"/>
  <c r="G13003" i="17"/>
  <c r="G13002" i="17"/>
  <c r="G13001" i="17"/>
  <c r="G13000" i="17"/>
  <c r="G12999" i="17"/>
  <c r="G12998" i="17"/>
  <c r="G12997" i="17"/>
  <c r="G12996" i="17"/>
  <c r="G12995" i="17"/>
  <c r="G12994" i="17"/>
  <c r="G12993" i="17"/>
  <c r="G12992" i="17"/>
  <c r="G12991" i="17"/>
  <c r="G12990" i="17"/>
  <c r="G12989" i="17"/>
  <c r="G12988" i="17"/>
  <c r="G12987" i="17"/>
  <c r="G12986" i="17"/>
  <c r="G12985" i="17"/>
  <c r="G13057" i="17"/>
  <c r="G13056" i="17"/>
  <c r="G13055" i="17"/>
  <c r="G13054" i="17"/>
  <c r="G13053" i="17"/>
  <c r="G13052" i="17"/>
  <c r="G13051" i="17"/>
  <c r="G13050" i="17"/>
  <c r="G13049" i="17"/>
  <c r="G13048" i="17"/>
  <c r="G13047" i="17"/>
  <c r="G13046" i="17"/>
  <c r="G13045" i="17"/>
  <c r="G13044" i="17"/>
  <c r="G13043" i="17"/>
  <c r="G13042" i="17"/>
  <c r="G13041" i="17"/>
  <c r="G13040" i="17"/>
  <c r="G13039" i="17"/>
  <c r="G13038" i="17"/>
  <c r="G13037" i="17"/>
  <c r="G13036" i="17"/>
  <c r="G13035" i="17"/>
  <c r="G13034" i="17"/>
  <c r="G12556" i="17"/>
  <c r="G12555" i="17"/>
  <c r="G12554" i="17"/>
  <c r="G12553" i="17"/>
  <c r="G12552" i="17"/>
  <c r="G12551" i="17"/>
  <c r="G12550" i="17"/>
  <c r="G12549" i="17"/>
  <c r="G12548" i="17"/>
  <c r="G12547" i="17"/>
  <c r="G12546" i="17"/>
  <c r="G12545" i="17"/>
  <c r="G12544" i="17"/>
  <c r="G12543" i="17"/>
  <c r="G12542" i="17"/>
  <c r="G12541" i="17"/>
  <c r="G12540" i="17"/>
  <c r="G12539" i="17"/>
  <c r="G12538" i="17"/>
  <c r="G12537" i="17"/>
  <c r="G12536" i="17"/>
  <c r="G12535" i="17"/>
  <c r="G12534" i="17"/>
  <c r="G12533" i="17"/>
  <c r="G12532" i="17"/>
  <c r="G12605" i="17"/>
  <c r="G12604" i="17"/>
  <c r="G12603" i="17"/>
  <c r="G12602" i="17"/>
  <c r="G12601" i="17"/>
  <c r="G12600" i="17"/>
  <c r="G12599" i="17"/>
  <c r="G12598" i="17"/>
  <c r="G12597" i="17"/>
  <c r="G12596" i="17"/>
  <c r="G12595" i="17"/>
  <c r="G12594" i="17"/>
  <c r="G12593" i="17"/>
  <c r="G12592" i="17"/>
  <c r="G12591" i="17"/>
  <c r="G12590" i="17"/>
  <c r="G12589" i="17"/>
  <c r="G12588" i="17"/>
  <c r="G12587" i="17"/>
  <c r="G12586" i="17"/>
  <c r="G12585" i="17"/>
  <c r="G12584" i="17"/>
  <c r="G12583" i="17"/>
  <c r="G12582" i="17"/>
  <c r="G12581" i="17"/>
  <c r="G12654" i="17"/>
  <c r="G12653" i="17"/>
  <c r="G12652" i="17"/>
  <c r="G12651" i="17"/>
  <c r="G12650" i="17"/>
  <c r="G12649" i="17"/>
  <c r="G12648" i="17"/>
  <c r="G12647" i="17"/>
  <c r="G12646" i="17"/>
  <c r="G12645" i="17"/>
  <c r="G12644" i="17"/>
  <c r="G12643" i="17"/>
  <c r="G12642" i="17"/>
  <c r="G12641" i="17"/>
  <c r="G12640" i="17"/>
  <c r="G12639" i="17"/>
  <c r="G12638" i="17"/>
  <c r="G12637" i="17"/>
  <c r="G12636" i="17"/>
  <c r="G12635" i="17"/>
  <c r="G12634" i="17"/>
  <c r="G12633" i="17"/>
  <c r="G12632" i="17"/>
  <c r="G12631" i="17"/>
  <c r="G12630" i="17"/>
  <c r="G12531" i="17"/>
  <c r="G12530" i="17"/>
  <c r="G12529" i="17"/>
  <c r="G12528" i="17"/>
  <c r="G12527" i="17"/>
  <c r="G12526" i="17"/>
  <c r="G12525" i="17"/>
  <c r="G12524" i="17"/>
  <c r="G12523" i="17"/>
  <c r="G12522" i="17"/>
  <c r="G12521" i="17"/>
  <c r="G12520" i="17"/>
  <c r="G12519" i="17"/>
  <c r="G12518" i="17"/>
  <c r="G12517" i="17"/>
  <c r="G12516" i="17"/>
  <c r="G12515" i="17"/>
  <c r="G12514" i="17"/>
  <c r="G12513" i="17"/>
  <c r="G12512" i="17"/>
  <c r="G12511" i="17"/>
  <c r="G12510" i="17"/>
  <c r="G12509" i="17"/>
  <c r="G12508" i="17"/>
  <c r="G12580" i="17"/>
  <c r="G12579" i="17"/>
  <c r="G12578" i="17"/>
  <c r="G12577" i="17"/>
  <c r="G12576" i="17"/>
  <c r="G12575" i="17"/>
  <c r="G12574" i="17"/>
  <c r="G12573" i="17"/>
  <c r="G12572" i="17"/>
  <c r="G12571" i="17"/>
  <c r="G12570" i="17"/>
  <c r="G12569" i="17"/>
  <c r="G12568" i="17"/>
  <c r="G12567" i="17"/>
  <c r="G12566" i="17"/>
  <c r="G12565" i="17"/>
  <c r="G12564" i="17"/>
  <c r="G12563" i="17"/>
  <c r="G12562" i="17"/>
  <c r="G12561" i="17"/>
  <c r="G12560" i="17"/>
  <c r="G12559" i="17"/>
  <c r="G12558" i="17"/>
  <c r="G12557" i="17"/>
  <c r="G12629" i="17"/>
  <c r="G12628" i="17"/>
  <c r="G12627" i="17"/>
  <c r="G12626" i="17"/>
  <c r="G12625" i="17"/>
  <c r="G12624" i="17"/>
  <c r="G12623" i="17"/>
  <c r="G12622" i="17"/>
  <c r="G12621" i="17"/>
  <c r="G12620" i="17"/>
  <c r="G12619" i="17"/>
  <c r="G12618" i="17"/>
  <c r="G12617" i="17"/>
  <c r="G12616" i="17"/>
  <c r="G12615" i="17"/>
  <c r="G12614" i="17"/>
  <c r="G12613" i="17"/>
  <c r="G12612" i="17"/>
  <c r="G12611" i="17"/>
  <c r="G12610" i="17"/>
  <c r="G12609" i="17"/>
  <c r="G12608" i="17"/>
  <c r="G12607" i="17"/>
  <c r="G12606" i="17"/>
  <c r="G12158" i="17"/>
  <c r="G12157" i="17"/>
  <c r="G12156" i="17"/>
  <c r="G12155" i="17"/>
  <c r="G12154" i="17"/>
  <c r="G12153" i="17"/>
  <c r="G12152" i="17"/>
  <c r="G12151" i="17"/>
  <c r="G12150" i="17"/>
  <c r="G12149" i="17"/>
  <c r="G12148" i="17"/>
  <c r="G12147" i="17"/>
  <c r="G12146" i="17"/>
  <c r="G12145" i="17"/>
  <c r="G12144" i="17"/>
  <c r="G12143" i="17"/>
  <c r="G12142" i="17"/>
  <c r="G12141" i="17"/>
  <c r="G12140" i="17"/>
  <c r="G12139" i="17"/>
  <c r="G12138" i="17"/>
  <c r="G12137" i="17"/>
  <c r="G12136" i="17"/>
  <c r="G12135" i="17"/>
  <c r="G12134" i="17"/>
  <c r="G12207" i="17"/>
  <c r="G12206" i="17"/>
  <c r="G12205" i="17"/>
  <c r="G12204" i="17"/>
  <c r="G12203" i="17"/>
  <c r="G12202" i="17"/>
  <c r="G12201" i="17"/>
  <c r="G12200" i="17"/>
  <c r="G12199" i="17"/>
  <c r="G12198" i="17"/>
  <c r="G12197" i="17"/>
  <c r="G12196" i="17"/>
  <c r="G12195" i="17"/>
  <c r="G12194" i="17"/>
  <c r="G12193" i="17"/>
  <c r="G12192" i="17"/>
  <c r="G12191" i="17"/>
  <c r="G12190" i="17"/>
  <c r="G12189" i="17"/>
  <c r="G12188" i="17"/>
  <c r="G12187" i="17"/>
  <c r="G12186" i="17"/>
  <c r="G12185" i="17"/>
  <c r="G12184" i="17"/>
  <c r="G12183" i="17"/>
  <c r="G12256" i="17"/>
  <c r="G12255" i="17"/>
  <c r="G12254" i="17"/>
  <c r="G12253" i="17"/>
  <c r="G12252" i="17"/>
  <c r="G12251" i="17"/>
  <c r="G12250" i="17"/>
  <c r="G12249" i="17"/>
  <c r="G12248" i="17"/>
  <c r="G12247" i="17"/>
  <c r="G12246" i="17"/>
  <c r="G12245" i="17"/>
  <c r="G12244" i="17"/>
  <c r="G12243" i="17"/>
  <c r="G12242" i="17"/>
  <c r="G12241" i="17"/>
  <c r="G12240" i="17"/>
  <c r="G12239" i="17"/>
  <c r="G12238" i="17"/>
  <c r="G12237" i="17"/>
  <c r="G12236" i="17"/>
  <c r="G12235" i="17"/>
  <c r="G12234" i="17"/>
  <c r="G12233" i="17"/>
  <c r="G12232" i="17"/>
  <c r="G12133" i="17"/>
  <c r="G12132" i="17"/>
  <c r="G12131" i="17"/>
  <c r="G12130" i="17"/>
  <c r="G12129" i="17"/>
  <c r="G12128" i="17"/>
  <c r="G12127" i="17"/>
  <c r="G12126" i="17"/>
  <c r="G12125" i="17"/>
  <c r="G12124" i="17"/>
  <c r="G12123" i="17"/>
  <c r="G12122" i="17"/>
  <c r="G12121" i="17"/>
  <c r="G12120" i="17"/>
  <c r="G12119" i="17"/>
  <c r="G12118" i="17"/>
  <c r="G12117" i="17"/>
  <c r="G12116" i="17"/>
  <c r="G12115" i="17"/>
  <c r="G12114" i="17"/>
  <c r="G12113" i="17"/>
  <c r="G12112" i="17"/>
  <c r="G12111" i="17"/>
  <c r="G12110" i="17"/>
  <c r="G12182" i="17"/>
  <c r="G12181" i="17"/>
  <c r="G12180" i="17"/>
  <c r="G12179" i="17"/>
  <c r="G12178" i="17"/>
  <c r="G12177" i="17"/>
  <c r="G12176" i="17"/>
  <c r="G12175" i="17"/>
  <c r="G12174" i="17"/>
  <c r="G12173" i="17"/>
  <c r="G12172" i="17"/>
  <c r="G12171" i="17"/>
  <c r="G12170" i="17"/>
  <c r="G12169" i="17"/>
  <c r="G12168" i="17"/>
  <c r="G12167" i="17"/>
  <c r="G12166" i="17"/>
  <c r="G12165" i="17"/>
  <c r="G12164" i="17"/>
  <c r="G12163" i="17"/>
  <c r="G12162" i="17"/>
  <c r="G12161" i="17"/>
  <c r="G12160" i="17"/>
  <c r="G12159" i="17"/>
  <c r="G12231" i="17"/>
  <c r="G12230" i="17"/>
  <c r="G12229" i="17"/>
  <c r="G12228" i="17"/>
  <c r="G12227" i="17"/>
  <c r="G12226" i="17"/>
  <c r="G12225" i="17"/>
  <c r="G12224" i="17"/>
  <c r="G12223" i="17"/>
  <c r="G12222" i="17"/>
  <c r="G12221" i="17"/>
  <c r="G12220" i="17"/>
  <c r="G12219" i="17"/>
  <c r="G12218" i="17"/>
  <c r="G12217" i="17"/>
  <c r="G12216" i="17"/>
  <c r="G12215" i="17"/>
  <c r="G12214" i="17"/>
  <c r="G12213" i="17"/>
  <c r="G12212" i="17"/>
  <c r="G12211" i="17"/>
  <c r="G12210" i="17"/>
  <c r="G12209" i="17"/>
  <c r="G12208" i="17"/>
  <c r="G11761" i="17"/>
  <c r="G11760" i="17"/>
  <c r="G11759" i="17"/>
  <c r="G11758" i="17"/>
  <c r="G11757" i="17"/>
  <c r="G11756" i="17"/>
  <c r="G11755" i="17"/>
  <c r="G11754" i="17"/>
  <c r="G11753" i="17"/>
  <c r="G11752" i="17"/>
  <c r="G11751" i="17"/>
  <c r="G11750" i="17"/>
  <c r="G11749" i="17"/>
  <c r="G11748" i="17"/>
  <c r="G11747" i="17"/>
  <c r="G11746" i="17"/>
  <c r="G11745" i="17"/>
  <c r="G11744" i="17"/>
  <c r="G11743" i="17"/>
  <c r="G11742" i="17"/>
  <c r="G11741" i="17"/>
  <c r="G11740" i="17"/>
  <c r="G11739" i="17"/>
  <c r="G11738" i="17"/>
  <c r="G11737" i="17"/>
  <c r="G11736" i="17"/>
  <c r="G11735" i="17"/>
  <c r="G11734" i="17"/>
  <c r="G11733" i="17"/>
  <c r="G11732" i="17"/>
  <c r="G11731" i="17"/>
  <c r="G11730" i="17"/>
  <c r="G11729" i="17"/>
  <c r="G11728" i="17"/>
  <c r="G11727" i="17"/>
  <c r="G11726" i="17"/>
  <c r="G11725" i="17"/>
  <c r="G11724" i="17"/>
  <c r="G11723" i="17"/>
  <c r="G11722" i="17"/>
  <c r="G11721" i="17"/>
  <c r="G11720" i="17"/>
  <c r="G11719" i="17"/>
  <c r="G11718" i="17"/>
  <c r="G11717" i="17"/>
  <c r="G11806" i="17"/>
  <c r="G11805" i="17"/>
  <c r="G11804" i="17"/>
  <c r="G11803" i="17"/>
  <c r="G11802" i="17"/>
  <c r="G11801" i="17"/>
  <c r="G11800" i="17"/>
  <c r="G11799" i="17"/>
  <c r="G11798" i="17"/>
  <c r="G11797" i="17"/>
  <c r="G11796" i="17"/>
  <c r="G11795" i="17"/>
  <c r="G11794" i="17"/>
  <c r="G11793" i="17"/>
  <c r="G11792" i="17"/>
  <c r="G11791" i="17"/>
  <c r="G11790" i="17"/>
  <c r="G11789" i="17"/>
  <c r="G11788" i="17"/>
  <c r="G11787" i="17"/>
  <c r="G11786" i="17"/>
  <c r="G11785" i="17"/>
  <c r="G11784" i="17"/>
  <c r="G11783" i="17"/>
  <c r="G11782" i="17"/>
  <c r="G11781" i="17"/>
  <c r="G11780" i="17"/>
  <c r="G11779" i="17"/>
  <c r="G11778" i="17"/>
  <c r="G11777" i="17"/>
  <c r="G11776" i="17"/>
  <c r="G11775" i="17"/>
  <c r="G11774" i="17"/>
  <c r="G11773" i="17"/>
  <c r="G11772" i="17"/>
  <c r="G11771" i="17"/>
  <c r="G11770" i="17"/>
  <c r="G11769" i="17"/>
  <c r="G11768" i="17"/>
  <c r="G11767" i="17"/>
  <c r="G11766" i="17"/>
  <c r="G11765" i="17"/>
  <c r="G11764" i="17"/>
  <c r="G11763" i="17"/>
  <c r="G11762" i="17"/>
  <c r="G11851" i="17"/>
  <c r="G11850" i="17"/>
  <c r="G11849" i="17"/>
  <c r="G11848" i="17"/>
  <c r="G11847" i="17"/>
  <c r="G11846" i="17"/>
  <c r="G11845" i="17"/>
  <c r="G11844" i="17"/>
  <c r="G11843" i="17"/>
  <c r="G11842" i="17"/>
  <c r="G11841" i="17"/>
  <c r="G11840" i="17"/>
  <c r="G11839" i="17"/>
  <c r="G11838" i="17"/>
  <c r="G11837" i="17"/>
  <c r="G11836" i="17"/>
  <c r="G11835" i="17"/>
  <c r="G11834" i="17"/>
  <c r="G11833" i="17"/>
  <c r="G11832" i="17"/>
  <c r="G11831" i="17"/>
  <c r="G11830" i="17"/>
  <c r="G11829" i="17"/>
  <c r="G11828" i="17"/>
  <c r="G11827" i="17"/>
  <c r="G11826" i="17"/>
  <c r="G11825" i="17"/>
  <c r="G11824" i="17"/>
  <c r="G11823" i="17"/>
  <c r="G11822" i="17"/>
  <c r="G11821" i="17"/>
  <c r="G11820" i="17"/>
  <c r="G11819" i="17"/>
  <c r="G11818" i="17"/>
  <c r="G11817" i="17"/>
  <c r="G11816" i="17"/>
  <c r="G11815" i="17"/>
  <c r="G11814" i="17"/>
  <c r="G11813" i="17"/>
  <c r="G11812" i="17"/>
  <c r="G11811" i="17"/>
  <c r="G11810" i="17"/>
  <c r="G11809" i="17"/>
  <c r="G11808" i="17"/>
  <c r="G11807" i="17"/>
  <c r="G11368" i="17"/>
  <c r="G11367" i="17"/>
  <c r="G11366" i="17"/>
  <c r="G11365" i="17"/>
  <c r="G11364" i="17"/>
  <c r="G11363" i="17"/>
  <c r="G11362" i="17"/>
  <c r="G11361" i="17"/>
  <c r="G11360" i="17"/>
  <c r="G11359" i="17"/>
  <c r="G11358" i="17"/>
  <c r="G11357" i="17"/>
  <c r="G11356" i="17"/>
  <c r="G11355" i="17"/>
  <c r="G11354" i="17"/>
  <c r="G11353" i="17"/>
  <c r="G11352" i="17"/>
  <c r="G11351" i="17"/>
  <c r="G11350" i="17"/>
  <c r="G11349" i="17"/>
  <c r="G11348" i="17"/>
  <c r="G11347" i="17"/>
  <c r="G11346" i="17"/>
  <c r="G11345" i="17"/>
  <c r="G11344" i="17"/>
  <c r="G11343" i="17"/>
  <c r="G11342" i="17"/>
  <c r="G11341" i="17"/>
  <c r="G11340" i="17"/>
  <c r="G11339" i="17"/>
  <c r="G11338" i="17"/>
  <c r="G11337" i="17"/>
  <c r="G11336" i="17"/>
  <c r="G11335" i="17"/>
  <c r="G11334" i="17"/>
  <c r="G11333" i="17"/>
  <c r="G11332" i="17"/>
  <c r="G11331" i="17"/>
  <c r="G11330" i="17"/>
  <c r="G11329" i="17"/>
  <c r="G11328" i="17"/>
  <c r="G11327" i="17"/>
  <c r="G11326" i="17"/>
  <c r="G11325" i="17"/>
  <c r="G11324" i="17"/>
  <c r="G11413" i="17"/>
  <c r="G11412" i="17"/>
  <c r="G11411" i="17"/>
  <c r="G11410" i="17"/>
  <c r="G11409" i="17"/>
  <c r="G11408" i="17"/>
  <c r="G11407" i="17"/>
  <c r="G11406" i="17"/>
  <c r="G11405" i="17"/>
  <c r="G11404" i="17"/>
  <c r="G11403" i="17"/>
  <c r="G11402" i="17"/>
  <c r="G11401" i="17"/>
  <c r="G11400" i="17"/>
  <c r="G11399" i="17"/>
  <c r="G11398" i="17"/>
  <c r="G11397" i="17"/>
  <c r="G11396" i="17"/>
  <c r="G11395" i="17"/>
  <c r="G11394" i="17"/>
  <c r="G11393" i="17"/>
  <c r="G11392" i="17"/>
  <c r="G11391" i="17"/>
  <c r="G11390" i="17"/>
  <c r="G11389" i="17"/>
  <c r="G11388" i="17"/>
  <c r="G11387" i="17"/>
  <c r="G11386" i="17"/>
  <c r="G11385" i="17"/>
  <c r="G11384" i="17"/>
  <c r="G11383" i="17"/>
  <c r="G11382" i="17"/>
  <c r="G11381" i="17"/>
  <c r="G11380" i="17"/>
  <c r="G11379" i="17"/>
  <c r="G11378" i="17"/>
  <c r="G11377" i="17"/>
  <c r="G11376" i="17"/>
  <c r="G11375" i="17"/>
  <c r="G11374" i="17"/>
  <c r="G11373" i="17"/>
  <c r="G11372" i="17"/>
  <c r="G11371" i="17"/>
  <c r="G11370" i="17"/>
  <c r="G11369" i="17"/>
  <c r="G11458" i="17"/>
  <c r="G11457" i="17"/>
  <c r="G11456" i="17"/>
  <c r="G11455" i="17"/>
  <c r="G11454" i="17"/>
  <c r="G11453" i="17"/>
  <c r="G11452" i="17"/>
  <c r="G11451" i="17"/>
  <c r="G11450" i="17"/>
  <c r="G11449" i="17"/>
  <c r="G11448" i="17"/>
  <c r="G11447" i="17"/>
  <c r="G11446" i="17"/>
  <c r="G11445" i="17"/>
  <c r="G11444" i="17"/>
  <c r="G11443" i="17"/>
  <c r="G11442" i="17"/>
  <c r="G11441" i="17"/>
  <c r="G11440" i="17"/>
  <c r="G11439" i="17"/>
  <c r="G11438" i="17"/>
  <c r="G11437" i="17"/>
  <c r="G11436" i="17"/>
  <c r="G11435" i="17"/>
  <c r="G11434" i="17"/>
  <c r="G11433" i="17"/>
  <c r="G11432" i="17"/>
  <c r="G11431" i="17"/>
  <c r="G11430" i="17"/>
  <c r="G11429" i="17"/>
  <c r="G11428" i="17"/>
  <c r="G11427" i="17"/>
  <c r="G11426" i="17"/>
  <c r="G11425" i="17"/>
  <c r="G11424" i="17"/>
  <c r="G11423" i="17"/>
  <c r="G11422" i="17"/>
  <c r="G11421" i="17"/>
  <c r="G11420" i="17"/>
  <c r="G11419" i="17"/>
  <c r="G11418" i="17"/>
  <c r="G11417" i="17"/>
  <c r="G11416" i="17"/>
  <c r="G11415" i="17"/>
  <c r="G11414" i="17"/>
  <c r="G10982" i="17"/>
  <c r="G10981" i="17"/>
  <c r="G10980" i="17"/>
  <c r="G10979" i="17"/>
  <c r="G10978" i="17"/>
  <c r="G10977" i="17"/>
  <c r="G10976" i="17"/>
  <c r="G10975" i="17"/>
  <c r="G10974" i="17"/>
  <c r="G10973" i="17"/>
  <c r="G10972" i="17"/>
  <c r="G10971" i="17"/>
  <c r="G10970" i="17"/>
  <c r="G10969" i="17"/>
  <c r="G10968" i="17"/>
  <c r="G10967" i="17"/>
  <c r="G10966" i="17"/>
  <c r="G10965" i="17"/>
  <c r="G10964" i="17"/>
  <c r="G10963" i="17"/>
  <c r="G10962" i="17"/>
  <c r="G10961" i="17"/>
  <c r="G10960" i="17"/>
  <c r="G10959" i="17"/>
  <c r="G10958" i="17"/>
  <c r="G10957" i="17"/>
  <c r="G10956" i="17"/>
  <c r="G10955" i="17"/>
  <c r="G10954" i="17"/>
  <c r="G10953" i="17"/>
  <c r="G10952" i="17"/>
  <c r="G10951" i="17"/>
  <c r="G10950" i="17"/>
  <c r="G10949" i="17"/>
  <c r="G10948" i="17"/>
  <c r="G10947" i="17"/>
  <c r="G10946" i="17"/>
  <c r="G10945" i="17"/>
  <c r="G10944" i="17"/>
  <c r="G10943" i="17"/>
  <c r="G10942" i="17"/>
  <c r="G10941" i="17"/>
  <c r="G10940" i="17"/>
  <c r="G10939" i="17"/>
  <c r="G10938" i="17"/>
  <c r="G11027" i="17"/>
  <c r="G11026" i="17"/>
  <c r="G11025" i="17"/>
  <c r="G11024" i="17"/>
  <c r="G11023" i="17"/>
  <c r="G11022" i="17"/>
  <c r="G11021" i="17"/>
  <c r="G11020" i="17"/>
  <c r="G11019" i="17"/>
  <c r="G11018" i="17"/>
  <c r="G11017" i="17"/>
  <c r="G11016" i="17"/>
  <c r="G11015" i="17"/>
  <c r="G11014" i="17"/>
  <c r="G11013" i="17"/>
  <c r="G11012" i="17"/>
  <c r="G11011" i="17"/>
  <c r="G11010" i="17"/>
  <c r="G11009" i="17"/>
  <c r="G11008" i="17"/>
  <c r="G11007" i="17"/>
  <c r="G11006" i="17"/>
  <c r="G11005" i="17"/>
  <c r="G11004" i="17"/>
  <c r="G11003" i="17"/>
  <c r="G11002" i="17"/>
  <c r="G11001" i="17"/>
  <c r="G11000" i="17"/>
  <c r="G10999" i="17"/>
  <c r="G10998" i="17"/>
  <c r="G10997" i="17"/>
  <c r="G10996" i="17"/>
  <c r="G10995" i="17"/>
  <c r="G10994" i="17"/>
  <c r="G10993" i="17"/>
  <c r="G10992" i="17"/>
  <c r="G10991" i="17"/>
  <c r="G10990" i="17"/>
  <c r="G10989" i="17"/>
  <c r="G10988" i="17"/>
  <c r="G10987" i="17"/>
  <c r="G10986" i="17"/>
  <c r="G10985" i="17"/>
  <c r="G10984" i="17"/>
  <c r="G10983" i="17"/>
  <c r="G11072" i="17"/>
  <c r="G11071" i="17"/>
  <c r="G11070" i="17"/>
  <c r="G11069" i="17"/>
  <c r="G11068" i="17"/>
  <c r="G11067" i="17"/>
  <c r="G11066" i="17"/>
  <c r="G11065" i="17"/>
  <c r="G11064" i="17"/>
  <c r="G11063" i="17"/>
  <c r="G11062" i="17"/>
  <c r="G11061" i="17"/>
  <c r="G11060" i="17"/>
  <c r="G11059" i="17"/>
  <c r="G11058" i="17"/>
  <c r="G11057" i="17"/>
  <c r="G11056" i="17"/>
  <c r="G11055" i="17"/>
  <c r="G11054" i="17"/>
  <c r="G11053" i="17"/>
  <c r="G11052" i="17"/>
  <c r="G11051" i="17"/>
  <c r="G11050" i="17"/>
  <c r="G11049" i="17"/>
  <c r="G11048" i="17"/>
  <c r="G11047" i="17"/>
  <c r="G11046" i="17"/>
  <c r="G11045" i="17"/>
  <c r="G11044" i="17"/>
  <c r="G11043" i="17"/>
  <c r="G11042" i="17"/>
  <c r="G11041" i="17"/>
  <c r="G11040" i="17"/>
  <c r="G11039" i="17"/>
  <c r="G11038" i="17"/>
  <c r="G11037" i="17"/>
  <c r="G11036" i="17"/>
  <c r="G11035" i="17"/>
  <c r="G11034" i="17"/>
  <c r="G11033" i="17"/>
  <c r="G11032" i="17"/>
  <c r="G11031" i="17"/>
  <c r="G11030" i="17"/>
  <c r="G11029" i="17"/>
  <c r="G11028" i="17"/>
  <c r="G10601" i="17"/>
  <c r="G10600" i="17"/>
  <c r="G10599" i="17"/>
  <c r="G10598" i="17"/>
  <c r="G10597" i="17"/>
  <c r="G10596" i="17"/>
  <c r="G10595" i="17"/>
  <c r="G10594" i="17"/>
  <c r="G10593" i="17"/>
  <c r="G10592" i="17"/>
  <c r="G10591" i="17"/>
  <c r="G10590" i="17"/>
  <c r="G10589" i="17"/>
  <c r="G10588" i="17"/>
  <c r="G10587" i="17"/>
  <c r="G10586" i="17"/>
  <c r="G10585" i="17"/>
  <c r="G10584" i="17"/>
  <c r="G10583" i="17"/>
  <c r="G10582" i="17"/>
  <c r="G10581" i="17"/>
  <c r="G10580" i="17"/>
  <c r="G10579" i="17"/>
  <c r="G10578" i="17"/>
  <c r="G10577" i="17"/>
  <c r="G10576" i="17"/>
  <c r="G10575" i="17"/>
  <c r="G10574" i="17"/>
  <c r="G10573" i="17"/>
  <c r="G10572" i="17"/>
  <c r="G10571" i="17"/>
  <c r="G10570" i="17"/>
  <c r="G10569" i="17"/>
  <c r="G10568" i="17"/>
  <c r="G10567" i="17"/>
  <c r="G10566" i="17"/>
  <c r="G10565" i="17"/>
  <c r="G10564" i="17"/>
  <c r="G10563" i="17"/>
  <c r="G10562" i="17"/>
  <c r="G10561" i="17"/>
  <c r="G10560" i="17"/>
  <c r="G10559" i="17"/>
  <c r="G10558" i="17"/>
  <c r="G10557" i="17"/>
  <c r="G10646" i="17"/>
  <c r="G10645" i="17"/>
  <c r="G10644" i="17"/>
  <c r="G10643" i="17"/>
  <c r="G10642" i="17"/>
  <c r="G10641" i="17"/>
  <c r="G10640" i="17"/>
  <c r="G10639" i="17"/>
  <c r="G10638" i="17"/>
  <c r="G10637" i="17"/>
  <c r="G10636" i="17"/>
  <c r="G10635" i="17"/>
  <c r="G10634" i="17"/>
  <c r="G10633" i="17"/>
  <c r="G10632" i="17"/>
  <c r="G10631" i="17"/>
  <c r="G10630" i="17"/>
  <c r="G10629" i="17"/>
  <c r="G10628" i="17"/>
  <c r="G10627" i="17"/>
  <c r="G10626" i="17"/>
  <c r="G10625" i="17"/>
  <c r="G10624" i="17"/>
  <c r="G10623" i="17"/>
  <c r="G10622" i="17"/>
  <c r="G10621" i="17"/>
  <c r="G10620" i="17"/>
  <c r="G10619" i="17"/>
  <c r="G10618" i="17"/>
  <c r="G10617" i="17"/>
  <c r="G10616" i="17"/>
  <c r="G10615" i="17"/>
  <c r="G10614" i="17"/>
  <c r="G10613" i="17"/>
  <c r="G10612" i="17"/>
  <c r="G10611" i="17"/>
  <c r="G10610" i="17"/>
  <c r="G10609" i="17"/>
  <c r="G10608" i="17"/>
  <c r="G10607" i="17"/>
  <c r="G10606" i="17"/>
  <c r="G10605" i="17"/>
  <c r="G10604" i="17"/>
  <c r="G10603" i="17"/>
  <c r="G10602" i="17"/>
  <c r="G10691" i="17"/>
  <c r="G10690" i="17"/>
  <c r="G10689" i="17"/>
  <c r="G10688" i="17"/>
  <c r="G10687" i="17"/>
  <c r="G10686" i="17"/>
  <c r="G10685" i="17"/>
  <c r="G10684" i="17"/>
  <c r="G10683" i="17"/>
  <c r="G10682" i="17"/>
  <c r="G10681" i="17"/>
  <c r="G10680" i="17"/>
  <c r="G10679" i="17"/>
  <c r="G10678" i="17"/>
  <c r="G10677" i="17"/>
  <c r="G10676" i="17"/>
  <c r="G10675" i="17"/>
  <c r="G10674" i="17"/>
  <c r="G10673" i="17"/>
  <c r="G10672" i="17"/>
  <c r="G10671" i="17"/>
  <c r="G10670" i="17"/>
  <c r="G10669" i="17"/>
  <c r="G10668" i="17"/>
  <c r="G10667" i="17"/>
  <c r="G10666" i="17"/>
  <c r="G10665" i="17"/>
  <c r="G10664" i="17"/>
  <c r="G10663" i="17"/>
  <c r="G10662" i="17"/>
  <c r="G10661" i="17"/>
  <c r="G10660" i="17"/>
  <c r="G10659" i="17"/>
  <c r="G10658" i="17"/>
  <c r="G10657" i="17"/>
  <c r="G10656" i="17"/>
  <c r="G10655" i="17"/>
  <c r="G10654" i="17"/>
  <c r="G10653" i="17"/>
  <c r="G10652" i="17"/>
  <c r="G10651" i="17"/>
  <c r="G10650" i="17"/>
  <c r="G10649" i="17"/>
  <c r="G10648" i="17"/>
  <c r="G10647" i="17"/>
  <c r="G10230" i="17"/>
  <c r="G10229" i="17"/>
  <c r="G10228" i="17"/>
  <c r="G10227" i="17"/>
  <c r="G10226" i="17"/>
  <c r="G10225" i="17"/>
  <c r="G10224" i="17"/>
  <c r="G10223" i="17"/>
  <c r="G10222" i="17"/>
  <c r="G10221" i="17"/>
  <c r="G10220" i="17"/>
  <c r="G10219" i="17"/>
  <c r="G10218" i="17"/>
  <c r="G10217" i="17"/>
  <c r="G10216" i="17"/>
  <c r="G10215" i="17"/>
  <c r="G10214" i="17"/>
  <c r="G10213" i="17"/>
  <c r="G10212" i="17"/>
  <c r="G10211" i="17"/>
  <c r="G10210" i="17"/>
  <c r="G10209" i="17"/>
  <c r="G10208" i="17"/>
  <c r="G10207" i="17"/>
  <c r="G10206" i="17"/>
  <c r="G10205" i="17"/>
  <c r="G10204" i="17"/>
  <c r="G10203" i="17"/>
  <c r="G10202" i="17"/>
  <c r="G10201" i="17"/>
  <c r="G10200" i="17"/>
  <c r="G10199" i="17"/>
  <c r="G10198" i="17"/>
  <c r="G10197" i="17"/>
  <c r="G10196" i="17"/>
  <c r="G10195" i="17"/>
  <c r="G10194" i="17"/>
  <c r="G10193" i="17"/>
  <c r="G10192" i="17"/>
  <c r="G10191" i="17"/>
  <c r="G10190" i="17"/>
  <c r="G10189" i="17"/>
  <c r="G10188" i="17"/>
  <c r="G10187" i="17"/>
  <c r="G10186" i="17"/>
  <c r="G10275" i="17"/>
  <c r="G10274" i="17"/>
  <c r="G10273" i="17"/>
  <c r="G10272" i="17"/>
  <c r="G10271" i="17"/>
  <c r="G10270" i="17"/>
  <c r="G10269" i="17"/>
  <c r="G10268" i="17"/>
  <c r="G10267" i="17"/>
  <c r="G10266" i="17"/>
  <c r="G10265" i="17"/>
  <c r="G10264" i="17"/>
  <c r="G10263" i="17"/>
  <c r="G10262" i="17"/>
  <c r="G10261" i="17"/>
  <c r="G10260" i="17"/>
  <c r="G10259" i="17"/>
  <c r="G10258" i="17"/>
  <c r="G10257" i="17"/>
  <c r="G10256" i="17"/>
  <c r="G10255" i="17"/>
  <c r="G10254" i="17"/>
  <c r="G10253" i="17"/>
  <c r="G10252" i="17"/>
  <c r="G10251" i="17"/>
  <c r="G10250" i="17"/>
  <c r="G10249" i="17"/>
  <c r="G10248" i="17"/>
  <c r="G10247" i="17"/>
  <c r="G10246" i="17"/>
  <c r="G10245" i="17"/>
  <c r="G10244" i="17"/>
  <c r="G10243" i="17"/>
  <c r="G10242" i="17"/>
  <c r="G10241" i="17"/>
  <c r="G10240" i="17"/>
  <c r="G10239" i="17"/>
  <c r="G10238" i="17"/>
  <c r="G10237" i="17"/>
  <c r="G10236" i="17"/>
  <c r="G10235" i="17"/>
  <c r="G10234" i="17"/>
  <c r="G10233" i="17"/>
  <c r="G10232" i="17"/>
  <c r="G10231" i="17"/>
  <c r="G10320" i="17"/>
  <c r="G10319" i="17"/>
  <c r="G10318" i="17"/>
  <c r="G10317" i="17"/>
  <c r="G10316" i="17"/>
  <c r="G10315" i="17"/>
  <c r="G10314" i="17"/>
  <c r="G10313" i="17"/>
  <c r="G10312" i="17"/>
  <c r="G10311" i="17"/>
  <c r="G10310" i="17"/>
  <c r="G10309" i="17"/>
  <c r="G10308" i="17"/>
  <c r="G10307" i="17"/>
  <c r="G10306" i="17"/>
  <c r="G10305" i="17"/>
  <c r="G10304" i="17"/>
  <c r="G10303" i="17"/>
  <c r="G10302" i="17"/>
  <c r="G10301" i="17"/>
  <c r="G10300" i="17"/>
  <c r="G10299" i="17"/>
  <c r="G10298" i="17"/>
  <c r="G10297" i="17"/>
  <c r="G10296" i="17"/>
  <c r="G10295" i="17"/>
  <c r="G10294" i="17"/>
  <c r="G10293" i="17"/>
  <c r="G10292" i="17"/>
  <c r="G10291" i="17"/>
  <c r="G10290" i="17"/>
  <c r="G10289" i="17"/>
  <c r="G10288" i="17"/>
  <c r="G10287" i="17"/>
  <c r="G10286" i="17"/>
  <c r="G10285" i="17"/>
  <c r="G10284" i="17"/>
  <c r="G10283" i="17"/>
  <c r="G10282" i="17"/>
  <c r="G10281" i="17"/>
  <c r="G10280" i="17"/>
  <c r="G10279" i="17"/>
  <c r="G10278" i="17"/>
  <c r="G10277" i="17"/>
  <c r="G10276" i="17"/>
  <c r="G9856" i="17"/>
  <c r="G9855" i="17"/>
  <c r="G9854" i="17"/>
  <c r="G9853" i="17"/>
  <c r="G9852" i="17"/>
  <c r="G9851" i="17"/>
  <c r="G9850" i="17"/>
  <c r="G9849" i="17"/>
  <c r="G9848" i="17"/>
  <c r="G9847" i="17"/>
  <c r="G9846" i="17"/>
  <c r="G9845" i="17"/>
  <c r="G9844" i="17"/>
  <c r="G9843" i="17"/>
  <c r="G9842" i="17"/>
  <c r="G9841" i="17"/>
  <c r="G9840" i="17"/>
  <c r="G9839" i="17"/>
  <c r="G9838" i="17"/>
  <c r="G9837" i="17"/>
  <c r="G9836" i="17"/>
  <c r="G9835" i="17"/>
  <c r="G9834" i="17"/>
  <c r="G9833" i="17"/>
  <c r="G9832" i="17"/>
  <c r="G9831" i="17"/>
  <c r="G9830" i="17"/>
  <c r="G9829" i="17"/>
  <c r="G9828" i="17"/>
  <c r="G9827" i="17"/>
  <c r="G9826" i="17"/>
  <c r="G9825" i="17"/>
  <c r="G9824" i="17"/>
  <c r="G9823" i="17"/>
  <c r="G9822" i="17"/>
  <c r="G9821" i="17"/>
  <c r="G9820" i="17"/>
  <c r="G9819" i="17"/>
  <c r="G9818" i="17"/>
  <c r="G9817" i="17"/>
  <c r="G9816" i="17"/>
  <c r="G9815" i="17"/>
  <c r="G9814" i="17"/>
  <c r="G9899" i="17"/>
  <c r="G9898" i="17"/>
  <c r="G9897" i="17"/>
  <c r="G9896" i="17"/>
  <c r="G9895" i="17"/>
  <c r="G9894" i="17"/>
  <c r="G9893" i="17"/>
  <c r="G9892" i="17"/>
  <c r="G9891" i="17"/>
  <c r="G9890" i="17"/>
  <c r="G9889" i="17"/>
  <c r="G9888" i="17"/>
  <c r="G9887" i="17"/>
  <c r="G9886" i="17"/>
  <c r="G9885" i="17"/>
  <c r="G9884" i="17"/>
  <c r="G9883" i="17"/>
  <c r="G9882" i="17"/>
  <c r="G9881" i="17"/>
  <c r="G9880" i="17"/>
  <c r="G9879" i="17"/>
  <c r="G9878" i="17"/>
  <c r="G9877" i="17"/>
  <c r="G9876" i="17"/>
  <c r="G9875" i="17"/>
  <c r="G9874" i="17"/>
  <c r="G9873" i="17"/>
  <c r="G9872" i="17"/>
  <c r="G9871" i="17"/>
  <c r="G9870" i="17"/>
  <c r="G9869" i="17"/>
  <c r="G9868" i="17"/>
  <c r="G9867" i="17"/>
  <c r="G9866" i="17"/>
  <c r="G9865" i="17"/>
  <c r="G9864" i="17"/>
  <c r="G9863" i="17"/>
  <c r="G9862" i="17"/>
  <c r="G9861" i="17"/>
  <c r="G9860" i="17"/>
  <c r="G9859" i="17"/>
  <c r="G9858" i="17"/>
  <c r="G9857" i="17"/>
  <c r="G9941" i="17"/>
  <c r="G9940" i="17"/>
  <c r="G9939" i="17"/>
  <c r="G9938" i="17"/>
  <c r="G9937" i="17"/>
  <c r="G9936" i="17"/>
  <c r="G9935" i="17"/>
  <c r="G9934" i="17"/>
  <c r="G9933" i="17"/>
  <c r="G9932" i="17"/>
  <c r="G9931" i="17"/>
  <c r="G9930" i="17"/>
  <c r="G9929" i="17"/>
  <c r="G9928" i="17"/>
  <c r="G9927" i="17"/>
  <c r="G9926" i="17"/>
  <c r="G9925" i="17"/>
  <c r="G9924" i="17"/>
  <c r="G9923" i="17"/>
  <c r="G9922" i="17"/>
  <c r="G9921" i="17"/>
  <c r="G9920" i="17"/>
  <c r="G9919" i="17"/>
  <c r="G9918" i="17"/>
  <c r="G9917" i="17"/>
  <c r="G9916" i="17"/>
  <c r="G9915" i="17"/>
  <c r="G9914" i="17"/>
  <c r="G9913" i="17"/>
  <c r="G9912" i="17"/>
  <c r="G9911" i="17"/>
  <c r="G9910" i="17"/>
  <c r="G9909" i="17"/>
  <c r="G9908" i="17"/>
  <c r="G9907" i="17"/>
  <c r="G9906" i="17"/>
  <c r="G9905" i="17"/>
  <c r="G9904" i="17"/>
  <c r="G9903" i="17"/>
  <c r="G9902" i="17"/>
  <c r="G9901" i="17"/>
  <c r="G9900" i="17"/>
  <c r="G9497" i="17"/>
  <c r="G9496" i="17"/>
  <c r="G9495" i="17"/>
  <c r="G9494" i="17"/>
  <c r="G9493" i="17"/>
  <c r="G9492" i="17"/>
  <c r="G9491" i="17"/>
  <c r="G9490" i="17"/>
  <c r="G9489" i="17"/>
  <c r="G9488" i="17"/>
  <c r="G9487" i="17"/>
  <c r="G9486" i="17"/>
  <c r="G9485" i="17"/>
  <c r="G9484" i="17"/>
  <c r="G9483" i="17"/>
  <c r="G9482" i="17"/>
  <c r="G9481" i="17"/>
  <c r="G9480" i="17"/>
  <c r="G9479" i="17"/>
  <c r="G9478" i="17"/>
  <c r="G9477" i="17"/>
  <c r="G9476" i="17"/>
  <c r="G9475" i="17"/>
  <c r="G9474" i="17"/>
  <c r="G9473" i="17"/>
  <c r="G9472" i="17"/>
  <c r="G9471" i="17"/>
  <c r="G9470" i="17"/>
  <c r="G9469" i="17"/>
  <c r="G9468" i="17"/>
  <c r="G9467" i="17"/>
  <c r="G9466" i="17"/>
  <c r="G9465" i="17"/>
  <c r="G9464" i="17"/>
  <c r="G9463" i="17"/>
  <c r="G9462" i="17"/>
  <c r="G9461" i="17"/>
  <c r="G9460" i="17"/>
  <c r="G9459" i="17"/>
  <c r="G9458" i="17"/>
  <c r="G9457" i="17"/>
  <c r="G9456" i="17"/>
  <c r="G9539" i="17"/>
  <c r="G9538" i="17"/>
  <c r="G9537" i="17"/>
  <c r="G9536" i="17"/>
  <c r="G9535" i="17"/>
  <c r="G9534" i="17"/>
  <c r="G9533" i="17"/>
  <c r="G9532" i="17"/>
  <c r="G9531" i="17"/>
  <c r="G9530" i="17"/>
  <c r="G9529" i="17"/>
  <c r="G9528" i="17"/>
  <c r="G9527" i="17"/>
  <c r="G9526" i="17"/>
  <c r="G9525" i="17"/>
  <c r="G9524" i="17"/>
  <c r="G9523" i="17"/>
  <c r="G9522" i="17"/>
  <c r="G9521" i="17"/>
  <c r="G9520" i="17"/>
  <c r="G9519" i="17"/>
  <c r="G9518" i="17"/>
  <c r="G9517" i="17"/>
  <c r="G9516" i="17"/>
  <c r="G9515" i="17"/>
  <c r="G9514" i="17"/>
  <c r="G9513" i="17"/>
  <c r="G9512" i="17"/>
  <c r="G9511" i="17"/>
  <c r="G9510" i="17"/>
  <c r="G9509" i="17"/>
  <c r="G9508" i="17"/>
  <c r="G9507" i="17"/>
  <c r="G9506" i="17"/>
  <c r="G9505" i="17"/>
  <c r="G9504" i="17"/>
  <c r="G9503" i="17"/>
  <c r="G9502" i="17"/>
  <c r="G9501" i="17"/>
  <c r="G9500" i="17"/>
  <c r="G9499" i="17"/>
  <c r="G9498" i="17"/>
  <c r="G9581" i="17"/>
  <c r="G9580" i="17"/>
  <c r="G9579" i="17"/>
  <c r="G9578" i="17"/>
  <c r="G9577" i="17"/>
  <c r="G9576" i="17"/>
  <c r="G9575" i="17"/>
  <c r="G9574" i="17"/>
  <c r="G9573" i="17"/>
  <c r="G9572" i="17"/>
  <c r="G9571" i="17"/>
  <c r="G9570" i="17"/>
  <c r="G9569" i="17"/>
  <c r="G9568" i="17"/>
  <c r="G9567" i="17"/>
  <c r="G9566" i="17"/>
  <c r="G9565" i="17"/>
  <c r="G9564" i="17"/>
  <c r="G9563" i="17"/>
  <c r="G9562" i="17"/>
  <c r="G9561" i="17"/>
  <c r="G9560" i="17"/>
  <c r="G9559" i="17"/>
  <c r="G9558" i="17"/>
  <c r="G9557" i="17"/>
  <c r="G9556" i="17"/>
  <c r="G9555" i="17"/>
  <c r="G9554" i="17"/>
  <c r="G9553" i="17"/>
  <c r="G9552" i="17"/>
  <c r="G9551" i="17"/>
  <c r="G9550" i="17"/>
  <c r="G9549" i="17"/>
  <c r="G9548" i="17"/>
  <c r="G9547" i="17"/>
  <c r="G9546" i="17"/>
  <c r="G9545" i="17"/>
  <c r="G9544" i="17"/>
  <c r="G9543" i="17"/>
  <c r="G9542" i="17"/>
  <c r="G9541" i="17"/>
  <c r="G9540" i="17"/>
  <c r="G9144" i="17"/>
  <c r="G9143" i="17"/>
  <c r="G9142" i="17"/>
  <c r="G9141" i="17"/>
  <c r="G9140" i="17"/>
  <c r="G9139" i="17"/>
  <c r="G9138" i="17"/>
  <c r="G9137" i="17"/>
  <c r="G9136" i="17"/>
  <c r="G9135" i="17"/>
  <c r="G9134" i="17"/>
  <c r="G9133" i="17"/>
  <c r="G9132" i="17"/>
  <c r="G9131" i="17"/>
  <c r="G9130" i="17"/>
  <c r="G9129" i="17"/>
  <c r="G9128" i="17"/>
  <c r="G9127" i="17"/>
  <c r="G9126" i="17"/>
  <c r="G9125" i="17"/>
  <c r="G9124" i="17"/>
  <c r="G9123" i="17"/>
  <c r="G9122" i="17"/>
  <c r="G9121" i="17"/>
  <c r="G9120" i="17"/>
  <c r="G9119" i="17"/>
  <c r="G9118" i="17"/>
  <c r="G9117" i="17"/>
  <c r="G9116" i="17"/>
  <c r="G9115" i="17"/>
  <c r="G9114" i="17"/>
  <c r="G9113" i="17"/>
  <c r="G9112" i="17"/>
  <c r="G9111" i="17"/>
  <c r="G9110" i="17"/>
  <c r="G9109" i="17"/>
  <c r="G9108" i="17"/>
  <c r="G9107" i="17"/>
  <c r="G9106" i="17"/>
  <c r="G9105" i="17"/>
  <c r="G9104" i="17"/>
  <c r="G9103" i="17"/>
  <c r="G9186" i="17"/>
  <c r="G9185" i="17"/>
  <c r="G9184" i="17"/>
  <c r="G9183" i="17"/>
  <c r="G9182" i="17"/>
  <c r="G9181" i="17"/>
  <c r="G9180" i="17"/>
  <c r="G9179" i="17"/>
  <c r="G9178" i="17"/>
  <c r="G9177" i="17"/>
  <c r="G9176" i="17"/>
  <c r="G9175" i="17"/>
  <c r="G9174" i="17"/>
  <c r="G9173" i="17"/>
  <c r="G9172" i="17"/>
  <c r="G9171" i="17"/>
  <c r="G9170" i="17"/>
  <c r="G9169" i="17"/>
  <c r="G9168" i="17"/>
  <c r="G9167" i="17"/>
  <c r="G9166" i="17"/>
  <c r="G9165" i="17"/>
  <c r="G9164" i="17"/>
  <c r="G9163" i="17"/>
  <c r="G9162" i="17"/>
  <c r="G9161" i="17"/>
  <c r="G9160" i="17"/>
  <c r="G9159" i="17"/>
  <c r="G9158" i="17"/>
  <c r="G9157" i="17"/>
  <c r="G9156" i="17"/>
  <c r="G9155" i="17"/>
  <c r="G9154" i="17"/>
  <c r="G9153" i="17"/>
  <c r="G9152" i="17"/>
  <c r="G9151" i="17"/>
  <c r="G9150" i="17"/>
  <c r="G9149" i="17"/>
  <c r="G9148" i="17"/>
  <c r="G9147" i="17"/>
  <c r="G9146" i="17"/>
  <c r="G9145" i="17"/>
  <c r="G9228" i="17"/>
  <c r="G9227" i="17"/>
  <c r="G9226" i="17"/>
  <c r="G9225" i="17"/>
  <c r="G9224" i="17"/>
  <c r="G9223" i="17"/>
  <c r="G9222" i="17"/>
  <c r="G9221" i="17"/>
  <c r="G9220" i="17"/>
  <c r="G9219" i="17"/>
  <c r="G9218" i="17"/>
  <c r="G9217" i="17"/>
  <c r="G9216" i="17"/>
  <c r="G9215" i="17"/>
  <c r="G9214" i="17"/>
  <c r="G9213" i="17"/>
  <c r="G9212" i="17"/>
  <c r="G9211" i="17"/>
  <c r="G9210" i="17"/>
  <c r="G9209" i="17"/>
  <c r="G9208" i="17"/>
  <c r="G9207" i="17"/>
  <c r="G9206" i="17"/>
  <c r="G9205" i="17"/>
  <c r="G9204" i="17"/>
  <c r="G9203" i="17"/>
  <c r="G9202" i="17"/>
  <c r="G9201" i="17"/>
  <c r="G9200" i="17"/>
  <c r="G9199" i="17"/>
  <c r="G9198" i="17"/>
  <c r="G9197" i="17"/>
  <c r="G9196" i="17"/>
  <c r="G9195" i="17"/>
  <c r="G9194" i="17"/>
  <c r="G9193" i="17"/>
  <c r="G9192" i="17"/>
  <c r="G9191" i="17"/>
  <c r="G9190" i="17"/>
  <c r="G9189" i="17"/>
  <c r="G9188" i="17"/>
  <c r="G9187" i="17"/>
  <c r="G8794" i="17"/>
  <c r="G8793" i="17"/>
  <c r="G8792" i="17"/>
  <c r="G8791" i="17"/>
  <c r="G8790" i="17"/>
  <c r="G8789" i="17"/>
  <c r="G8788" i="17"/>
  <c r="G8787" i="17"/>
  <c r="G8786" i="17"/>
  <c r="G8785" i="17"/>
  <c r="G8784" i="17"/>
  <c r="G8783" i="17"/>
  <c r="G8782" i="17"/>
  <c r="G8781" i="17"/>
  <c r="G8780" i="17"/>
  <c r="G8779" i="17"/>
  <c r="G8778" i="17"/>
  <c r="G8777" i="17"/>
  <c r="G8776" i="17"/>
  <c r="G8775" i="17"/>
  <c r="G8774" i="17"/>
  <c r="G8773" i="17"/>
  <c r="G8772" i="17"/>
  <c r="G8771" i="17"/>
  <c r="G8770" i="17"/>
  <c r="G8769" i="17"/>
  <c r="G8768" i="17"/>
  <c r="G8767" i="17"/>
  <c r="G8766" i="17"/>
  <c r="G8765" i="17"/>
  <c r="G8764" i="17"/>
  <c r="G8763" i="17"/>
  <c r="G8762" i="17"/>
  <c r="G8761" i="17"/>
  <c r="G8760" i="17"/>
  <c r="G8759" i="17"/>
  <c r="G8758" i="17"/>
  <c r="G8757" i="17"/>
  <c r="G8756" i="17"/>
  <c r="G8755" i="17"/>
  <c r="G8754" i="17"/>
  <c r="G8753" i="17"/>
  <c r="G8836" i="17"/>
  <c r="G8835" i="17"/>
  <c r="G8834" i="17"/>
  <c r="G8833" i="17"/>
  <c r="G8832" i="17"/>
  <c r="G8831" i="17"/>
  <c r="G8830" i="17"/>
  <c r="G8829" i="17"/>
  <c r="G8828" i="17"/>
  <c r="G8827" i="17"/>
  <c r="G8826" i="17"/>
  <c r="G8825" i="17"/>
  <c r="G8824" i="17"/>
  <c r="G8823" i="17"/>
  <c r="G8822" i="17"/>
  <c r="G8821" i="17"/>
  <c r="G8820" i="17"/>
  <c r="G8819" i="17"/>
  <c r="G8818" i="17"/>
  <c r="G8817" i="17"/>
  <c r="G8816" i="17"/>
  <c r="G8815" i="17"/>
  <c r="G8814" i="17"/>
  <c r="G8813" i="17"/>
  <c r="G8812" i="17"/>
  <c r="G8811" i="17"/>
  <c r="G8810" i="17"/>
  <c r="G8809" i="17"/>
  <c r="G8808" i="17"/>
  <c r="G8807" i="17"/>
  <c r="G8806" i="17"/>
  <c r="G8805" i="17"/>
  <c r="G8804" i="17"/>
  <c r="G8803" i="17"/>
  <c r="G8802" i="17"/>
  <c r="G8801" i="17"/>
  <c r="G8800" i="17"/>
  <c r="G8799" i="17"/>
  <c r="G8798" i="17"/>
  <c r="G8797" i="17"/>
  <c r="G8796" i="17"/>
  <c r="G8795" i="17"/>
  <c r="G8878" i="17"/>
  <c r="G8877" i="17"/>
  <c r="G8876" i="17"/>
  <c r="G8875" i="17"/>
  <c r="G8874" i="17"/>
  <c r="G8873" i="17"/>
  <c r="G8872" i="17"/>
  <c r="G8871" i="17"/>
  <c r="G8870" i="17"/>
  <c r="G8869" i="17"/>
  <c r="G8868" i="17"/>
  <c r="G8867" i="17"/>
  <c r="G8866" i="17"/>
  <c r="G8865" i="17"/>
  <c r="G8864" i="17"/>
  <c r="G8863" i="17"/>
  <c r="G8862" i="17"/>
  <c r="G8861" i="17"/>
  <c r="G8860" i="17"/>
  <c r="G8859" i="17"/>
  <c r="G8858" i="17"/>
  <c r="G8857" i="17"/>
  <c r="G8856" i="17"/>
  <c r="G8855" i="17"/>
  <c r="G8854" i="17"/>
  <c r="G8853" i="17"/>
  <c r="G8852" i="17"/>
  <c r="G8851" i="17"/>
  <c r="G8850" i="17"/>
  <c r="G8849" i="17"/>
  <c r="G8848" i="17"/>
  <c r="G8847" i="17"/>
  <c r="G8846" i="17"/>
  <c r="G8845" i="17"/>
  <c r="G8844" i="17"/>
  <c r="G8843" i="17"/>
  <c r="G8842" i="17"/>
  <c r="G8841" i="17"/>
  <c r="G8840" i="17"/>
  <c r="G8839" i="17"/>
  <c r="G8838" i="17"/>
  <c r="G8837" i="17"/>
  <c r="G8440" i="17"/>
  <c r="G8439" i="17"/>
  <c r="G8438" i="17"/>
  <c r="G8437" i="17"/>
  <c r="G8436" i="17"/>
  <c r="G8435" i="17"/>
  <c r="G8434" i="17"/>
  <c r="G8433" i="17"/>
  <c r="G8432" i="17"/>
  <c r="G8431" i="17"/>
  <c r="G8430" i="17"/>
  <c r="G8429" i="17"/>
  <c r="G8428" i="17"/>
  <c r="G8427" i="17"/>
  <c r="G8426" i="17"/>
  <c r="G8425" i="17"/>
  <c r="G8424" i="17"/>
  <c r="G8423" i="17"/>
  <c r="G8422" i="17"/>
  <c r="G8421" i="17"/>
  <c r="G8420" i="17"/>
  <c r="G8419" i="17"/>
  <c r="G8418" i="17"/>
  <c r="G8417" i="17"/>
  <c r="G8416" i="17"/>
  <c r="G8415" i="17"/>
  <c r="G8414" i="17"/>
  <c r="G8413" i="17"/>
  <c r="G8412" i="17"/>
  <c r="G8411" i="17"/>
  <c r="G8410" i="17"/>
  <c r="G8409" i="17"/>
  <c r="G8408" i="17"/>
  <c r="G8407" i="17"/>
  <c r="G8406" i="17"/>
  <c r="G8405" i="17"/>
  <c r="G8404" i="17"/>
  <c r="G8403" i="17"/>
  <c r="G8402" i="17"/>
  <c r="G8401" i="17"/>
  <c r="G8400" i="17"/>
  <c r="G8399" i="17"/>
  <c r="G8482" i="17"/>
  <c r="G8481" i="17"/>
  <c r="G8480" i="17"/>
  <c r="G8479" i="17"/>
  <c r="G8478" i="17"/>
  <c r="G8477" i="17"/>
  <c r="G8476" i="17"/>
  <c r="G8475" i="17"/>
  <c r="G8474" i="17"/>
  <c r="G8473" i="17"/>
  <c r="G8472" i="17"/>
  <c r="G8471" i="17"/>
  <c r="G8470" i="17"/>
  <c r="G8469" i="17"/>
  <c r="G8468" i="17"/>
  <c r="G8467" i="17"/>
  <c r="G8466" i="17"/>
  <c r="G8465" i="17"/>
  <c r="G8464" i="17"/>
  <c r="G8463" i="17"/>
  <c r="G8462" i="17"/>
  <c r="G8461" i="17"/>
  <c r="G8460" i="17"/>
  <c r="G8459" i="17"/>
  <c r="G8458" i="17"/>
  <c r="G8457" i="17"/>
  <c r="G8456" i="17"/>
  <c r="G8455" i="17"/>
  <c r="G8454" i="17"/>
  <c r="G8453" i="17"/>
  <c r="G8452" i="17"/>
  <c r="G8451" i="17"/>
  <c r="G8450" i="17"/>
  <c r="G8449" i="17"/>
  <c r="G8448" i="17"/>
  <c r="G8447" i="17"/>
  <c r="G8446" i="17"/>
  <c r="G8445" i="17"/>
  <c r="G8444" i="17"/>
  <c r="G8443" i="17"/>
  <c r="G8442" i="17"/>
  <c r="G8441" i="17"/>
  <c r="G8524" i="17"/>
  <c r="G8523" i="17"/>
  <c r="G8522" i="17"/>
  <c r="G8521" i="17"/>
  <c r="G8520" i="17"/>
  <c r="G8519" i="17"/>
  <c r="G8518" i="17"/>
  <c r="G8517" i="17"/>
  <c r="G8516" i="17"/>
  <c r="G8515" i="17"/>
  <c r="G8514" i="17"/>
  <c r="G8513" i="17"/>
  <c r="G8512" i="17"/>
  <c r="G8511" i="17"/>
  <c r="G8510" i="17"/>
  <c r="G8509" i="17"/>
  <c r="G8508" i="17"/>
  <c r="G8507" i="17"/>
  <c r="G8506" i="17"/>
  <c r="G8505" i="17"/>
  <c r="G8504" i="17"/>
  <c r="G8503" i="17"/>
  <c r="G8502" i="17"/>
  <c r="G8501" i="17"/>
  <c r="G8500" i="17"/>
  <c r="G8499" i="17"/>
  <c r="G8498" i="17"/>
  <c r="G8497" i="17"/>
  <c r="G8496" i="17"/>
  <c r="G8495" i="17"/>
  <c r="G8494" i="17"/>
  <c r="G8493" i="17"/>
  <c r="G8492" i="17"/>
  <c r="G8491" i="17"/>
  <c r="G8490" i="17"/>
  <c r="G8489" i="17"/>
  <c r="G8488" i="17"/>
  <c r="G8487" i="17"/>
  <c r="G8486" i="17"/>
  <c r="G8485" i="17"/>
  <c r="G8484" i="17"/>
  <c r="G8483" i="17"/>
  <c r="G7913" i="17"/>
  <c r="G7912" i="17"/>
  <c r="G7911" i="17"/>
  <c r="G7910" i="17"/>
  <c r="G7909" i="17"/>
  <c r="G7908" i="17"/>
  <c r="G7907" i="17"/>
  <c r="G7906" i="17"/>
  <c r="G7905" i="17"/>
  <c r="G7904" i="17"/>
  <c r="G7903" i="17"/>
  <c r="G7902" i="17"/>
  <c r="G7901" i="17"/>
  <c r="G7900" i="17"/>
  <c r="G7899" i="17"/>
  <c r="G7898" i="17"/>
  <c r="G7897" i="17"/>
  <c r="G7896" i="17"/>
  <c r="G7895" i="17"/>
  <c r="G7894" i="17"/>
  <c r="G7893" i="17"/>
  <c r="G7892" i="17"/>
  <c r="G8115" i="17"/>
  <c r="G8114" i="17"/>
  <c r="G8113" i="17"/>
  <c r="G8112" i="17"/>
  <c r="G8111" i="17"/>
  <c r="G8110" i="17"/>
  <c r="G8109" i="17"/>
  <c r="G8108" i="17"/>
  <c r="G8107" i="17"/>
  <c r="G8106" i="17"/>
  <c r="G8105" i="17"/>
  <c r="G8104" i="17"/>
  <c r="G8103" i="17"/>
  <c r="G8102" i="17"/>
  <c r="G8101" i="17"/>
  <c r="G8100" i="17"/>
  <c r="G8099" i="17"/>
  <c r="G8098" i="17"/>
  <c r="G8097" i="17"/>
  <c r="G8096" i="17"/>
  <c r="G8095" i="17"/>
  <c r="G8094" i="17"/>
  <c r="G8093" i="17"/>
  <c r="G8092" i="17"/>
  <c r="G8091" i="17"/>
  <c r="G8090" i="17"/>
  <c r="G8089" i="17"/>
  <c r="G8088" i="17"/>
  <c r="G8087" i="17"/>
  <c r="G8086" i="17"/>
  <c r="G8085" i="17"/>
  <c r="G8084" i="17"/>
  <c r="G8083" i="17"/>
  <c r="G8082" i="17"/>
  <c r="G8081" i="17"/>
  <c r="G8080" i="17"/>
  <c r="G8079" i="17"/>
  <c r="G8078" i="17"/>
  <c r="G8077" i="17"/>
  <c r="G8076" i="17"/>
  <c r="G8075" i="17"/>
  <c r="G8074" i="17"/>
  <c r="G8157" i="17"/>
  <c r="G8156" i="17"/>
  <c r="G8155" i="17"/>
  <c r="G8154" i="17"/>
  <c r="G8153" i="17"/>
  <c r="G8152" i="17"/>
  <c r="G8151" i="17"/>
  <c r="G8150" i="17"/>
  <c r="G8149" i="17"/>
  <c r="G8148" i="17"/>
  <c r="G8147" i="17"/>
  <c r="G8146" i="17"/>
  <c r="G8145" i="17"/>
  <c r="G8144" i="17"/>
  <c r="G8143" i="17"/>
  <c r="G8142" i="17"/>
  <c r="G8141" i="17"/>
  <c r="G8140" i="17"/>
  <c r="G8139" i="17"/>
  <c r="G8138" i="17"/>
  <c r="G8137" i="17"/>
  <c r="G8136" i="17"/>
  <c r="G8135" i="17"/>
  <c r="G8134" i="17"/>
  <c r="G8133" i="17"/>
  <c r="G8132" i="17"/>
  <c r="G8131" i="17"/>
  <c r="G8130" i="17"/>
  <c r="G8129" i="17"/>
  <c r="G8128" i="17"/>
  <c r="G8127" i="17"/>
  <c r="G8126" i="17"/>
  <c r="G8125" i="17"/>
  <c r="G8124" i="17"/>
  <c r="G8123" i="17"/>
  <c r="G8122" i="17"/>
  <c r="G8121" i="17"/>
  <c r="G8120" i="17"/>
  <c r="G8119" i="17"/>
  <c r="G8118" i="17"/>
  <c r="G8117" i="17"/>
  <c r="G8116" i="17"/>
  <c r="G8199" i="17"/>
  <c r="G8198" i="17"/>
  <c r="G8197" i="17"/>
  <c r="G8196" i="17"/>
  <c r="G8195" i="17"/>
  <c r="G8194" i="17"/>
  <c r="G8193" i="17"/>
  <c r="G8192" i="17"/>
  <c r="G8191" i="17"/>
  <c r="G8190" i="17"/>
  <c r="G8189" i="17"/>
  <c r="G8188" i="17"/>
  <c r="G8187" i="17"/>
  <c r="G8186" i="17"/>
  <c r="G8185" i="17"/>
  <c r="G8184" i="17"/>
  <c r="G8183" i="17"/>
  <c r="G8182" i="17"/>
  <c r="G8181" i="17"/>
  <c r="G8180" i="17"/>
  <c r="G8179" i="17"/>
  <c r="G8178" i="17"/>
  <c r="G8177" i="17"/>
  <c r="G8176" i="17"/>
  <c r="G8175" i="17"/>
  <c r="G8174" i="17"/>
  <c r="G8173" i="17"/>
  <c r="G8172" i="17"/>
  <c r="G8171" i="17"/>
  <c r="G8170" i="17"/>
  <c r="G8169" i="17"/>
  <c r="G8168" i="17"/>
  <c r="G8167" i="17"/>
  <c r="G7765" i="17"/>
  <c r="G7764" i="17"/>
  <c r="G7763" i="17"/>
  <c r="G7762" i="17"/>
  <c r="G7761" i="17"/>
  <c r="G7760" i="17"/>
  <c r="G7759" i="17"/>
  <c r="G7758" i="17"/>
  <c r="G7757" i="17"/>
  <c r="G7756" i="17"/>
  <c r="G7755" i="17"/>
  <c r="G7754" i="17"/>
  <c r="G7753" i="17"/>
  <c r="G7752" i="17"/>
  <c r="G7751" i="17"/>
  <c r="G7750" i="17"/>
  <c r="G7749" i="17"/>
  <c r="G7748" i="17"/>
  <c r="G7747" i="17"/>
  <c r="G7746" i="17"/>
  <c r="G7745" i="17"/>
  <c r="G7744" i="17"/>
  <c r="G7743" i="17"/>
  <c r="G7742" i="17"/>
  <c r="G7741" i="17"/>
  <c r="G7740" i="17"/>
  <c r="G7739" i="17"/>
  <c r="G7738" i="17"/>
  <c r="G7737" i="17"/>
  <c r="G7736" i="17"/>
  <c r="G7735" i="17"/>
  <c r="G7734" i="17"/>
  <c r="G7733" i="17"/>
  <c r="G7732" i="17"/>
  <c r="G7731" i="17"/>
  <c r="G7730" i="17"/>
  <c r="G7729" i="17"/>
  <c r="G7728" i="17"/>
  <c r="G7727" i="17"/>
  <c r="G7726" i="17"/>
  <c r="G7725" i="17"/>
  <c r="G7724" i="17"/>
  <c r="G7807" i="17"/>
  <c r="G7806" i="17"/>
  <c r="G7805" i="17"/>
  <c r="G7804" i="17"/>
  <c r="G7803" i="17"/>
  <c r="G7802" i="17"/>
  <c r="G7801" i="17"/>
  <c r="G7800" i="17"/>
  <c r="G7799" i="17"/>
  <c r="G7798" i="17"/>
  <c r="G7797" i="17"/>
  <c r="G7796" i="17"/>
  <c r="G7795" i="17"/>
  <c r="G7794" i="17"/>
  <c r="G7793" i="17"/>
  <c r="G7792" i="17"/>
  <c r="G7791" i="17"/>
  <c r="G7790" i="17"/>
  <c r="G7789" i="17"/>
  <c r="G7788" i="17"/>
  <c r="G7787" i="17"/>
  <c r="G7786" i="17"/>
  <c r="G7785" i="17"/>
  <c r="G7784" i="17"/>
  <c r="G7783" i="17"/>
  <c r="G7782" i="17"/>
  <c r="G7781" i="17"/>
  <c r="G7780" i="17"/>
  <c r="G7779" i="17"/>
  <c r="G7778" i="17"/>
  <c r="G7777" i="17"/>
  <c r="G7776" i="17"/>
  <c r="G7775" i="17"/>
  <c r="G7774" i="17"/>
  <c r="G7773" i="17"/>
  <c r="G7772" i="17"/>
  <c r="G7771" i="17"/>
  <c r="G7770" i="17"/>
  <c r="G7769" i="17"/>
  <c r="G7768" i="17"/>
  <c r="G7767" i="17"/>
  <c r="G7766" i="17"/>
  <c r="G7849" i="17"/>
  <c r="G7848" i="17"/>
  <c r="G7847" i="17"/>
  <c r="G7846" i="17"/>
  <c r="G7845" i="17"/>
  <c r="G7844" i="17"/>
  <c r="G7843" i="17"/>
  <c r="G7842" i="17"/>
  <c r="G7841" i="17"/>
  <c r="G7840" i="17"/>
  <c r="G7839" i="17"/>
  <c r="G7838" i="17"/>
  <c r="G7837" i="17"/>
  <c r="G7836" i="17"/>
  <c r="G7835" i="17"/>
  <c r="G7834" i="17"/>
  <c r="G7833" i="17"/>
  <c r="G7832" i="17"/>
  <c r="G7831" i="17"/>
  <c r="G7830" i="17"/>
  <c r="G7829" i="17"/>
  <c r="G7828" i="17"/>
  <c r="G7827" i="17"/>
  <c r="G7826" i="17"/>
  <c r="G7825" i="17"/>
  <c r="G7824" i="17"/>
  <c r="G7823" i="17"/>
  <c r="G7822" i="17"/>
  <c r="G7821" i="17"/>
  <c r="G7820" i="17"/>
  <c r="G7819" i="17"/>
  <c r="G7818" i="17"/>
  <c r="G7817" i="17"/>
  <c r="G7816" i="17"/>
  <c r="G7815" i="17"/>
  <c r="G7814" i="17"/>
  <c r="G7813" i="17"/>
  <c r="G7812" i="17"/>
  <c r="G7811" i="17"/>
  <c r="G7810" i="17"/>
  <c r="G7809" i="17"/>
  <c r="G7808" i="17"/>
  <c r="G7440" i="17"/>
  <c r="G7439" i="17"/>
  <c r="G7438" i="17"/>
  <c r="G7437" i="17"/>
  <c r="G7436" i="17"/>
  <c r="G7435" i="17"/>
  <c r="G7434" i="17"/>
  <c r="G7433" i="17"/>
  <c r="G7432" i="17"/>
  <c r="G7431" i="17"/>
  <c r="G7430" i="17"/>
  <c r="G7429" i="17"/>
  <c r="G7428" i="17"/>
  <c r="G7427" i="17"/>
  <c r="G7426" i="17"/>
  <c r="G7425" i="17"/>
  <c r="G7474" i="17"/>
  <c r="G7473" i="17"/>
  <c r="G7472" i="17"/>
  <c r="G7471" i="17"/>
  <c r="G7470" i="17"/>
  <c r="G7469" i="17"/>
  <c r="G7468" i="17"/>
  <c r="G7467" i="17"/>
  <c r="G7466" i="17"/>
  <c r="G7465" i="17"/>
  <c r="G7464" i="17"/>
  <c r="G7463" i="17"/>
  <c r="G7462" i="17"/>
  <c r="G7461" i="17"/>
  <c r="G7460" i="17"/>
  <c r="G7459" i="17"/>
  <c r="G7508" i="17"/>
  <c r="G7507" i="17"/>
  <c r="G7506" i="17"/>
  <c r="G7505" i="17"/>
  <c r="G7504" i="17"/>
  <c r="G7503" i="17"/>
  <c r="G7502" i="17"/>
  <c r="G7501" i="17"/>
  <c r="G7500" i="17"/>
  <c r="G7499" i="17"/>
  <c r="G7498" i="17"/>
  <c r="G7497" i="17"/>
  <c r="G7496" i="17"/>
  <c r="G7495" i="17"/>
  <c r="G7494" i="17"/>
  <c r="G7493" i="17"/>
  <c r="G7424" i="17"/>
  <c r="G7423" i="17"/>
  <c r="G7422" i="17"/>
  <c r="G7421" i="17"/>
  <c r="G7420" i="17"/>
  <c r="G7419" i="17"/>
  <c r="G7418" i="17"/>
  <c r="G7417" i="17"/>
  <c r="G7416" i="17"/>
  <c r="G7415" i="17"/>
  <c r="G7414" i="17"/>
  <c r="G7413" i="17"/>
  <c r="G7412" i="17"/>
  <c r="G7411" i="17"/>
  <c r="G7410" i="17"/>
  <c r="G7409" i="17"/>
  <c r="G7408" i="17"/>
  <c r="G7407" i="17"/>
  <c r="G7458" i="17"/>
  <c r="G7457" i="17"/>
  <c r="G7456" i="17"/>
  <c r="G7455" i="17"/>
  <c r="G7454" i="17"/>
  <c r="G7453" i="17"/>
  <c r="G7452" i="17"/>
  <c r="G7451" i="17"/>
  <c r="G7450" i="17"/>
  <c r="G7449" i="17"/>
  <c r="G7448" i="17"/>
  <c r="G7447" i="17"/>
  <c r="G7446" i="17"/>
  <c r="G7445" i="17"/>
  <c r="G7444" i="17"/>
  <c r="G7443" i="17"/>
  <c r="G7442" i="17"/>
  <c r="G7441" i="17"/>
  <c r="G7492" i="17"/>
  <c r="G7491" i="17"/>
  <c r="G7490" i="17"/>
  <c r="G7489" i="17"/>
  <c r="G7488" i="17"/>
  <c r="G7487" i="17"/>
  <c r="G7486" i="17"/>
  <c r="G7485" i="17"/>
  <c r="G7484" i="17"/>
  <c r="G7483" i="17"/>
  <c r="G7482" i="17"/>
  <c r="G7481" i="17"/>
  <c r="G7480" i="17"/>
  <c r="G7479" i="17"/>
  <c r="G7478" i="17"/>
  <c r="G7477" i="17"/>
  <c r="G7476" i="17"/>
  <c r="G7475" i="17"/>
  <c r="G7151" i="17"/>
  <c r="G7150" i="17"/>
  <c r="G7149" i="17"/>
  <c r="G7148" i="17"/>
  <c r="G7147" i="17"/>
  <c r="G7146" i="17"/>
  <c r="G7145" i="17"/>
  <c r="G7144" i="17"/>
  <c r="G7143" i="17"/>
  <c r="G7142" i="17"/>
  <c r="G7141" i="17"/>
  <c r="G7140" i="17"/>
  <c r="G7139" i="17"/>
  <c r="G7138" i="17"/>
  <c r="G7137" i="17"/>
  <c r="G7184" i="17"/>
  <c r="G7183" i="17"/>
  <c r="G7182" i="17"/>
  <c r="G7181" i="17"/>
  <c r="G7180" i="17"/>
  <c r="G7179" i="17"/>
  <c r="G7178" i="17"/>
  <c r="G7177" i="17"/>
  <c r="G7176" i="17"/>
  <c r="G7175" i="17"/>
  <c r="G7174" i="17"/>
  <c r="G7173" i="17"/>
  <c r="G7172" i="17"/>
  <c r="G7171" i="17"/>
  <c r="G7170" i="17"/>
  <c r="G7217" i="17"/>
  <c r="G7216" i="17"/>
  <c r="G7215" i="17"/>
  <c r="G7214" i="17"/>
  <c r="G7213" i="17"/>
  <c r="G7212" i="17"/>
  <c r="G7211" i="17"/>
  <c r="G7210" i="17"/>
  <c r="G7209" i="17"/>
  <c r="G7208" i="17"/>
  <c r="G7207" i="17"/>
  <c r="G7206" i="17"/>
  <c r="G7205" i="17"/>
  <c r="G7204" i="17"/>
  <c r="G7203" i="17"/>
  <c r="G7136" i="17"/>
  <c r="G7135" i="17"/>
  <c r="G7134" i="17"/>
  <c r="G7133" i="17"/>
  <c r="G7132" i="17"/>
  <c r="G7131" i="17"/>
  <c r="G7130" i="17"/>
  <c r="G7129" i="17"/>
  <c r="G7128" i="17"/>
  <c r="G7127" i="17"/>
  <c r="G7126" i="17"/>
  <c r="G7125" i="17"/>
  <c r="G7124" i="17"/>
  <c r="G7123" i="17"/>
  <c r="G7122" i="17"/>
  <c r="G7121" i="17"/>
  <c r="G7120" i="17"/>
  <c r="G7119" i="17"/>
  <c r="G7169" i="17"/>
  <c r="G7168" i="17"/>
  <c r="G7167" i="17"/>
  <c r="G7166" i="17"/>
  <c r="G7165" i="17"/>
  <c r="G7164" i="17"/>
  <c r="G7163" i="17"/>
  <c r="G7162" i="17"/>
  <c r="G7161" i="17"/>
  <c r="G7160" i="17"/>
  <c r="G7159" i="17"/>
  <c r="G7158" i="17"/>
  <c r="G7157" i="17"/>
  <c r="G7156" i="17"/>
  <c r="G7155" i="17"/>
  <c r="G7154" i="17"/>
  <c r="G7153" i="17"/>
  <c r="G7152" i="17"/>
  <c r="G7202" i="17"/>
  <c r="G7201" i="17"/>
  <c r="G7200" i="17"/>
  <c r="G7199" i="17"/>
  <c r="G7198" i="17"/>
  <c r="G7197" i="17"/>
  <c r="G7196" i="17"/>
  <c r="G7195" i="17"/>
  <c r="G7194" i="17"/>
  <c r="G7193" i="17"/>
  <c r="G7192" i="17"/>
  <c r="G7191" i="17"/>
  <c r="G7190" i="17"/>
  <c r="G7189" i="17"/>
  <c r="G7188" i="17"/>
  <c r="G7187" i="17"/>
  <c r="G7186" i="17"/>
  <c r="G7185" i="17"/>
  <c r="G6888" i="17"/>
  <c r="G6887" i="17"/>
  <c r="G6886" i="17"/>
  <c r="G6885" i="17"/>
  <c r="G6884" i="17"/>
  <c r="G6883" i="17"/>
  <c r="G6882" i="17"/>
  <c r="G6881" i="17"/>
  <c r="G6880" i="17"/>
  <c r="G6879" i="17"/>
  <c r="G6878" i="17"/>
  <c r="G6877" i="17"/>
  <c r="G6876" i="17"/>
  <c r="G6875" i="17"/>
  <c r="G6874" i="17"/>
  <c r="G6873" i="17"/>
  <c r="G6872" i="17"/>
  <c r="G6871" i="17"/>
  <c r="G6924" i="17"/>
  <c r="G6923" i="17"/>
  <c r="G6922" i="17"/>
  <c r="G6921" i="17"/>
  <c r="G6920" i="17"/>
  <c r="G6919" i="17"/>
  <c r="G6918" i="17"/>
  <c r="G6917" i="17"/>
  <c r="G6916" i="17"/>
  <c r="G6915" i="17"/>
  <c r="G6914" i="17"/>
  <c r="G6913" i="17"/>
  <c r="G6912" i="17"/>
  <c r="G6911" i="17"/>
  <c r="G6910" i="17"/>
  <c r="G6909" i="17"/>
  <c r="G6908" i="17"/>
  <c r="G6907" i="17"/>
  <c r="G6852" i="17"/>
  <c r="G6851" i="17"/>
  <c r="G6850" i="17"/>
  <c r="G6849" i="17"/>
  <c r="G6848" i="17"/>
  <c r="G6847" i="17"/>
  <c r="G6846" i="17"/>
  <c r="G6845" i="17"/>
  <c r="G6844" i="17"/>
  <c r="G6843" i="17"/>
  <c r="G6842" i="17"/>
  <c r="G6841" i="17"/>
  <c r="G6840" i="17"/>
  <c r="G6839" i="17"/>
  <c r="G6838" i="17"/>
  <c r="G6837" i="17"/>
  <c r="G6836" i="17"/>
  <c r="G6835" i="17"/>
  <c r="G6870" i="17"/>
  <c r="G6869" i="17"/>
  <c r="G6868" i="17"/>
  <c r="G6867" i="17"/>
  <c r="G6866" i="17"/>
  <c r="G6865" i="17"/>
  <c r="G6864" i="17"/>
  <c r="G6863" i="17"/>
  <c r="G6862" i="17"/>
  <c r="G6861" i="17"/>
  <c r="G6860" i="17"/>
  <c r="G6859" i="17"/>
  <c r="G6858" i="17"/>
  <c r="G6857" i="17"/>
  <c r="G6856" i="17"/>
  <c r="G6855" i="17"/>
  <c r="G6854" i="17"/>
  <c r="G6853" i="17"/>
  <c r="G6906" i="17"/>
  <c r="G6905" i="17"/>
  <c r="G6904" i="17"/>
  <c r="G6903" i="17"/>
  <c r="G6902" i="17"/>
  <c r="G6901" i="17"/>
  <c r="G6900" i="17"/>
  <c r="G6899" i="17"/>
  <c r="G6898" i="17"/>
  <c r="G6897" i="17"/>
  <c r="G6896" i="17"/>
  <c r="G6895" i="17"/>
  <c r="G6894" i="17"/>
  <c r="G6893" i="17"/>
  <c r="G6892" i="17"/>
  <c r="G6891" i="17"/>
  <c r="G6890" i="17"/>
  <c r="G6889" i="17"/>
  <c r="G6601" i="17"/>
  <c r="G6600" i="17"/>
  <c r="G6599" i="17"/>
  <c r="G6598" i="17"/>
  <c r="G6597" i="17"/>
  <c r="G6596" i="17"/>
  <c r="G6595" i="17"/>
  <c r="G6594" i="17"/>
  <c r="G6593" i="17"/>
  <c r="G6592" i="17"/>
  <c r="G6591" i="17"/>
  <c r="G6590" i="17"/>
  <c r="G6589" i="17"/>
  <c r="G6588" i="17"/>
  <c r="G6587" i="17"/>
  <c r="G6586" i="17"/>
  <c r="G6585" i="17"/>
  <c r="G6584" i="17"/>
  <c r="G6637" i="17"/>
  <c r="G6636" i="17"/>
  <c r="G6635" i="17"/>
  <c r="G6634" i="17"/>
  <c r="G6633" i="17"/>
  <c r="G6632" i="17"/>
  <c r="G6631" i="17"/>
  <c r="G6630" i="17"/>
  <c r="G6629" i="17"/>
  <c r="G6628" i="17"/>
  <c r="G6627" i="17"/>
  <c r="G6626" i="17"/>
  <c r="G6625" i="17"/>
  <c r="G6624" i="17"/>
  <c r="G6623" i="17"/>
  <c r="G6622" i="17"/>
  <c r="G6621" i="17"/>
  <c r="G6620" i="17"/>
  <c r="G6565" i="17"/>
  <c r="G6564" i="17"/>
  <c r="G6563" i="17"/>
  <c r="G6562" i="17"/>
  <c r="G6561" i="17"/>
  <c r="G6560" i="17"/>
  <c r="G6559" i="17"/>
  <c r="G6558" i="17"/>
  <c r="G6557" i="17"/>
  <c r="G6556" i="17"/>
  <c r="G6555" i="17"/>
  <c r="G6554" i="17"/>
  <c r="G6553" i="17"/>
  <c r="G6552" i="17"/>
  <c r="G6551" i="17"/>
  <c r="G6550" i="17"/>
  <c r="G6549" i="17"/>
  <c r="G6548" i="17"/>
  <c r="G6583" i="17"/>
  <c r="G6582" i="17"/>
  <c r="G6581" i="17"/>
  <c r="G6580" i="17"/>
  <c r="G6579" i="17"/>
  <c r="G6578" i="17"/>
  <c r="G6577" i="17"/>
  <c r="G6576" i="17"/>
  <c r="G6575" i="17"/>
  <c r="G6574" i="17"/>
  <c r="G6573" i="17"/>
  <c r="G6572" i="17"/>
  <c r="G6571" i="17"/>
  <c r="G6570" i="17"/>
  <c r="G6569" i="17"/>
  <c r="G6568" i="17"/>
  <c r="G6567" i="17"/>
  <c r="G6566" i="17"/>
  <c r="G6619" i="17"/>
  <c r="G6618" i="17"/>
  <c r="G6617" i="17"/>
  <c r="G6616" i="17"/>
  <c r="G6615" i="17"/>
  <c r="G6614" i="17"/>
  <c r="G6613" i="17"/>
  <c r="G6612" i="17"/>
  <c r="G6611" i="17"/>
  <c r="G6610" i="17"/>
  <c r="G6609" i="17"/>
  <c r="G6608" i="17"/>
  <c r="G6607" i="17"/>
  <c r="G6606" i="17"/>
  <c r="G6605" i="17"/>
  <c r="G6604" i="17"/>
  <c r="G6603" i="17"/>
  <c r="G6602" i="17"/>
  <c r="G6276" i="17"/>
  <c r="G6275" i="17"/>
  <c r="G6274" i="17"/>
  <c r="G6273" i="17"/>
  <c r="G6272" i="17"/>
  <c r="G6271" i="17"/>
  <c r="G6270" i="17"/>
  <c r="G6269" i="17"/>
  <c r="G6268" i="17"/>
  <c r="G6267" i="17"/>
  <c r="G6266" i="17"/>
  <c r="G6265" i="17"/>
  <c r="G6264" i="17"/>
  <c r="G6263" i="17"/>
  <c r="G6262" i="17"/>
  <c r="G6261" i="17"/>
  <c r="G6260" i="17"/>
  <c r="G6259" i="17"/>
  <c r="G6258" i="17"/>
  <c r="G6313" i="17"/>
  <c r="G6312" i="17"/>
  <c r="G6311" i="17"/>
  <c r="G6310" i="17"/>
  <c r="G6309" i="17"/>
  <c r="G6308" i="17"/>
  <c r="G6307" i="17"/>
  <c r="G6306" i="17"/>
  <c r="G6305" i="17"/>
  <c r="G6304" i="17"/>
  <c r="G6303" i="17"/>
  <c r="G6302" i="17"/>
  <c r="G6301" i="17"/>
  <c r="G6300" i="17"/>
  <c r="G6299" i="17"/>
  <c r="G6298" i="17"/>
  <c r="G6297" i="17"/>
  <c r="G6296" i="17"/>
  <c r="G6295" i="17"/>
  <c r="G6350" i="17"/>
  <c r="G6349" i="17"/>
  <c r="G6348" i="17"/>
  <c r="G6347" i="17"/>
  <c r="G6346" i="17"/>
  <c r="G6345" i="17"/>
  <c r="G6344" i="17"/>
  <c r="G6343" i="17"/>
  <c r="G6342" i="17"/>
  <c r="G6341" i="17"/>
  <c r="G6340" i="17"/>
  <c r="G6339" i="17"/>
  <c r="G6338" i="17"/>
  <c r="G6337" i="17"/>
  <c r="G6336" i="17"/>
  <c r="G6335" i="17"/>
  <c r="G6334" i="17"/>
  <c r="G6333" i="17"/>
  <c r="G6332" i="17"/>
  <c r="G6257" i="17"/>
  <c r="G6256" i="17"/>
  <c r="G6255" i="17"/>
  <c r="G6254" i="17"/>
  <c r="G6253" i="17"/>
  <c r="G6252" i="17"/>
  <c r="G6251" i="17"/>
  <c r="G6250" i="17"/>
  <c r="G6249" i="17"/>
  <c r="G6248" i="17"/>
  <c r="G6247" i="17"/>
  <c r="G6246" i="17"/>
  <c r="G6245" i="17"/>
  <c r="G6244" i="17"/>
  <c r="G6243" i="17"/>
  <c r="G6242" i="17"/>
  <c r="G6241" i="17"/>
  <c r="G6240" i="17"/>
  <c r="G6294" i="17"/>
  <c r="G6293" i="17"/>
  <c r="G6292" i="17"/>
  <c r="G6291" i="17"/>
  <c r="G6290" i="17"/>
  <c r="G6289" i="17"/>
  <c r="G6288" i="17"/>
  <c r="G6287" i="17"/>
  <c r="G6286" i="17"/>
  <c r="G6285" i="17"/>
  <c r="G6284" i="17"/>
  <c r="G6283" i="17"/>
  <c r="G6282" i="17"/>
  <c r="G6281" i="17"/>
  <c r="G6280" i="17"/>
  <c r="G6279" i="17"/>
  <c r="G6278" i="17"/>
  <c r="G6277" i="17"/>
  <c r="G6331" i="17"/>
  <c r="G6330" i="17"/>
  <c r="G6329" i="17"/>
  <c r="G6328" i="17"/>
  <c r="G6327" i="17"/>
  <c r="G6326" i="17"/>
  <c r="G6325" i="17"/>
  <c r="G6324" i="17"/>
  <c r="G6323" i="17"/>
  <c r="G6322" i="17"/>
  <c r="G6321" i="17"/>
  <c r="G6320" i="17"/>
  <c r="G6319" i="17"/>
  <c r="G6318" i="17"/>
  <c r="G6317" i="17"/>
  <c r="G6316" i="17"/>
  <c r="G6315" i="17"/>
  <c r="G6314" i="17"/>
  <c r="G5960" i="17"/>
  <c r="G5959" i="17"/>
  <c r="G5958" i="17"/>
  <c r="G5957" i="17"/>
  <c r="G5956" i="17"/>
  <c r="G5955" i="17"/>
  <c r="G5954" i="17"/>
  <c r="G5953" i="17"/>
  <c r="G5952" i="17"/>
  <c r="G5951" i="17"/>
  <c r="G5950" i="17"/>
  <c r="G5949" i="17"/>
  <c r="G5948" i="17"/>
  <c r="G5947" i="17"/>
  <c r="G5946" i="17"/>
  <c r="G5945" i="17"/>
  <c r="G5944" i="17"/>
  <c r="G5943" i="17"/>
  <c r="G5942" i="17"/>
  <c r="G5997" i="17"/>
  <c r="G5996" i="17"/>
  <c r="G5995" i="17"/>
  <c r="G5994" i="17"/>
  <c r="G5993" i="17"/>
  <c r="G5992" i="17"/>
  <c r="G5991" i="17"/>
  <c r="G5990" i="17"/>
  <c r="G5989" i="17"/>
  <c r="G5988" i="17"/>
  <c r="G5987" i="17"/>
  <c r="G5986" i="17"/>
  <c r="G5985" i="17"/>
  <c r="G5984" i="17"/>
  <c r="G5983" i="17"/>
  <c r="G5982" i="17"/>
  <c r="G5981" i="17"/>
  <c r="G5980" i="17"/>
  <c r="G5979" i="17"/>
  <c r="G6034" i="17"/>
  <c r="G6033" i="17"/>
  <c r="G6032" i="17"/>
  <c r="G6031" i="17"/>
  <c r="G6030" i="17"/>
  <c r="G6029" i="17"/>
  <c r="G6028" i="17"/>
  <c r="G6027" i="17"/>
  <c r="G6026" i="17"/>
  <c r="G6025" i="17"/>
  <c r="G6024" i="17"/>
  <c r="G6023" i="17"/>
  <c r="G6022" i="17"/>
  <c r="G6021" i="17"/>
  <c r="G6020" i="17"/>
  <c r="G6019" i="17"/>
  <c r="G6018" i="17"/>
  <c r="G6017" i="17"/>
  <c r="G6016" i="17"/>
  <c r="G5941" i="17"/>
  <c r="G5940" i="17"/>
  <c r="G5939" i="17"/>
  <c r="G5938" i="17"/>
  <c r="G5937" i="17"/>
  <c r="G5936" i="17"/>
  <c r="G5935" i="17"/>
  <c r="G5934" i="17"/>
  <c r="G5933" i="17"/>
  <c r="G5932" i="17"/>
  <c r="G5931" i="17"/>
  <c r="G5930" i="17"/>
  <c r="G5929" i="17"/>
  <c r="G5928" i="17"/>
  <c r="G5927" i="17"/>
  <c r="G5926" i="17"/>
  <c r="G5925" i="17"/>
  <c r="G5924" i="17"/>
  <c r="G5978" i="17"/>
  <c r="G5977" i="17"/>
  <c r="G5976" i="17"/>
  <c r="G5975" i="17"/>
  <c r="G5974" i="17"/>
  <c r="G5973" i="17"/>
  <c r="G5972" i="17"/>
  <c r="G5971" i="17"/>
  <c r="G5970" i="17"/>
  <c r="G5969" i="17"/>
  <c r="G5968" i="17"/>
  <c r="G5967" i="17"/>
  <c r="G5966" i="17"/>
  <c r="G5965" i="17"/>
  <c r="G5964" i="17"/>
  <c r="G5963" i="17"/>
  <c r="G5962" i="17"/>
  <c r="G5961" i="17"/>
  <c r="G6015" i="17"/>
  <c r="G6014" i="17"/>
  <c r="G6013" i="17"/>
  <c r="G6012" i="17"/>
  <c r="G6011" i="17"/>
  <c r="G6010" i="17"/>
  <c r="G6009" i="17"/>
  <c r="G6008" i="17"/>
  <c r="G6007" i="17"/>
  <c r="G6006" i="17"/>
  <c r="G6005" i="17"/>
  <c r="G6004" i="17"/>
  <c r="G6003" i="17"/>
  <c r="G6002" i="17"/>
  <c r="G6001" i="17"/>
  <c r="G6000" i="17"/>
  <c r="G5999" i="17"/>
  <c r="G5998" i="17"/>
  <c r="G5641" i="17"/>
  <c r="G5640" i="17"/>
  <c r="G5639" i="17"/>
  <c r="G5638" i="17"/>
  <c r="G5637" i="17"/>
  <c r="G5636" i="17"/>
  <c r="G5635" i="17"/>
  <c r="G5634" i="17"/>
  <c r="G5633" i="17"/>
  <c r="G5632" i="17"/>
  <c r="G5631" i="17"/>
  <c r="G5630" i="17"/>
  <c r="G5629" i="17"/>
  <c r="G5628" i="17"/>
  <c r="G5627" i="17"/>
  <c r="G5626" i="17"/>
  <c r="G5625" i="17"/>
  <c r="G5624" i="17"/>
  <c r="G5680" i="17"/>
  <c r="G5679" i="17"/>
  <c r="G5678" i="17"/>
  <c r="G5677" i="17"/>
  <c r="G5676" i="17"/>
  <c r="G5675" i="17"/>
  <c r="G5674" i="17"/>
  <c r="G5673" i="17"/>
  <c r="G5672" i="17"/>
  <c r="G5671" i="17"/>
  <c r="G5670" i="17"/>
  <c r="G5669" i="17"/>
  <c r="G5668" i="17"/>
  <c r="G5667" i="17"/>
  <c r="G5666" i="17"/>
  <c r="G5665" i="17"/>
  <c r="G5664" i="17"/>
  <c r="G5663" i="17"/>
  <c r="G5716" i="17"/>
  <c r="G5715" i="17"/>
  <c r="G5714" i="17"/>
  <c r="G5713" i="17"/>
  <c r="G5712" i="17"/>
  <c r="G5711" i="17"/>
  <c r="G5710" i="17"/>
  <c r="G5709" i="17"/>
  <c r="G5708" i="17"/>
  <c r="G5707" i="17"/>
  <c r="G5706" i="17"/>
  <c r="G5705" i="17"/>
  <c r="G5704" i="17"/>
  <c r="G5703" i="17"/>
  <c r="G5702" i="17"/>
  <c r="G5701" i="17"/>
  <c r="G5700" i="17"/>
  <c r="G5699" i="17"/>
  <c r="G5623" i="17"/>
  <c r="G5622" i="17"/>
  <c r="G5621" i="17"/>
  <c r="G5620" i="17"/>
  <c r="G5619" i="17"/>
  <c r="G5618" i="17"/>
  <c r="G5617" i="17"/>
  <c r="G5616" i="17"/>
  <c r="G5615" i="17"/>
  <c r="G5614" i="17"/>
  <c r="G5613" i="17"/>
  <c r="G5612" i="17"/>
  <c r="G5611" i="17"/>
  <c r="G5610" i="17"/>
  <c r="G5609" i="17"/>
  <c r="G5608" i="17"/>
  <c r="G5607" i="17"/>
  <c r="G5606" i="17"/>
  <c r="G5662" i="17"/>
  <c r="G5661" i="17"/>
  <c r="G5660" i="17"/>
  <c r="G5659" i="17"/>
  <c r="G5658" i="17"/>
  <c r="G5657" i="17"/>
  <c r="G5656" i="17"/>
  <c r="G5655" i="17"/>
  <c r="G5654" i="17"/>
  <c r="G5653" i="17"/>
  <c r="G5652" i="17"/>
  <c r="G5651" i="17"/>
  <c r="G5650" i="17"/>
  <c r="G5649" i="17"/>
  <c r="G5648" i="17"/>
  <c r="G5647" i="17"/>
  <c r="G5646" i="17"/>
  <c r="G5645" i="17"/>
  <c r="G5644" i="17"/>
  <c r="G5643" i="17"/>
  <c r="G5642" i="17"/>
  <c r="G5698" i="17"/>
  <c r="G5697" i="17"/>
  <c r="G5696" i="17"/>
  <c r="G5695" i="17"/>
  <c r="G5694" i="17"/>
  <c r="G5693" i="17"/>
  <c r="G5692" i="17"/>
  <c r="G5691" i="17"/>
  <c r="G5690" i="17"/>
  <c r="G5689" i="17"/>
  <c r="G5688" i="17"/>
  <c r="G5687" i="17"/>
  <c r="G5686" i="17"/>
  <c r="G5685" i="17"/>
  <c r="G5684" i="17"/>
  <c r="G5683" i="17"/>
  <c r="G5682" i="17"/>
  <c r="G5681" i="17"/>
  <c r="G5327" i="17"/>
  <c r="G5326" i="17"/>
  <c r="G5325" i="17"/>
  <c r="G5324" i="17"/>
  <c r="G5323" i="17"/>
  <c r="G5322" i="17"/>
  <c r="G5321" i="17"/>
  <c r="G5320" i="17"/>
  <c r="G5319" i="17"/>
  <c r="G5318" i="17"/>
  <c r="G5317" i="17"/>
  <c r="G5316" i="17"/>
  <c r="G5315" i="17"/>
  <c r="G5314" i="17"/>
  <c r="G5313" i="17"/>
  <c r="G5312" i="17"/>
  <c r="G5311" i="17"/>
  <c r="G5310" i="17"/>
  <c r="G5360" i="17"/>
  <c r="G5359" i="17"/>
  <c r="G5358" i="17"/>
  <c r="G5357" i="17"/>
  <c r="G5356" i="17"/>
  <c r="G5355" i="17"/>
  <c r="G5354" i="17"/>
  <c r="G5353" i="17"/>
  <c r="G5352" i="17"/>
  <c r="G5351" i="17"/>
  <c r="G5350" i="17"/>
  <c r="G5349" i="17"/>
  <c r="G5348" i="17"/>
  <c r="G5347" i="17"/>
  <c r="G5346" i="17"/>
  <c r="G5345" i="17"/>
  <c r="G5344" i="17"/>
  <c r="G5343" i="17"/>
  <c r="G5396" i="17"/>
  <c r="G5395" i="17"/>
  <c r="G5394" i="17"/>
  <c r="G5393" i="17"/>
  <c r="G5392" i="17"/>
  <c r="G5391" i="17"/>
  <c r="G5390" i="17"/>
  <c r="G5389" i="17"/>
  <c r="G5388" i="17"/>
  <c r="G5387" i="17"/>
  <c r="G5386" i="17"/>
  <c r="G5385" i="17"/>
  <c r="G5384" i="17"/>
  <c r="G5383" i="17"/>
  <c r="G5382" i="17"/>
  <c r="G5381" i="17"/>
  <c r="G5380" i="17"/>
  <c r="G5379" i="17"/>
  <c r="G5309" i="17"/>
  <c r="G5308" i="17"/>
  <c r="G5307" i="17"/>
  <c r="G5306" i="17"/>
  <c r="G5305" i="17"/>
  <c r="G5304" i="17"/>
  <c r="G5303" i="17"/>
  <c r="G5302" i="17"/>
  <c r="G5301" i="17"/>
  <c r="G5300" i="17"/>
  <c r="G5299" i="17"/>
  <c r="G5298" i="17"/>
  <c r="G5297" i="17"/>
  <c r="G5296" i="17"/>
  <c r="G5295" i="17"/>
  <c r="G5294" i="17"/>
  <c r="G5293" i="17"/>
  <c r="G5292" i="17"/>
  <c r="G5342" i="17"/>
  <c r="G5341" i="17"/>
  <c r="G5340" i="17"/>
  <c r="G5339" i="17"/>
  <c r="G5338" i="17"/>
  <c r="G5337" i="17"/>
  <c r="G5336" i="17"/>
  <c r="G5335" i="17"/>
  <c r="G5334" i="17"/>
  <c r="G5333" i="17"/>
  <c r="G5332" i="17"/>
  <c r="G5331" i="17"/>
  <c r="G5330" i="17"/>
  <c r="G5329" i="17"/>
  <c r="G5328" i="17"/>
  <c r="G5378" i="17"/>
  <c r="G5377" i="17"/>
  <c r="G5376" i="17"/>
  <c r="G5375" i="17"/>
  <c r="G5374" i="17"/>
  <c r="G5373" i="17"/>
  <c r="G5372" i="17"/>
  <c r="G5371" i="17"/>
  <c r="G5370" i="17"/>
  <c r="G5369" i="17"/>
  <c r="G5368" i="17"/>
  <c r="G5367" i="17"/>
  <c r="G5366" i="17"/>
  <c r="G5365" i="17"/>
  <c r="G5364" i="17"/>
  <c r="G5363" i="17"/>
  <c r="G5362" i="17"/>
  <c r="G5361" i="17"/>
  <c r="G5015" i="17"/>
  <c r="G5014" i="17"/>
  <c r="G5013" i="17"/>
  <c r="G5012" i="17"/>
  <c r="G5011" i="17"/>
  <c r="G5010" i="17"/>
  <c r="G5009" i="17"/>
  <c r="G5008" i="17"/>
  <c r="G5007" i="17"/>
  <c r="G5006" i="17"/>
  <c r="G5005" i="17"/>
  <c r="G5004" i="17"/>
  <c r="G5003" i="17"/>
  <c r="G5002" i="17"/>
  <c r="G5001" i="17"/>
  <c r="G5000" i="17"/>
  <c r="G4999" i="17"/>
  <c r="G4998" i="17"/>
  <c r="G4997" i="17"/>
  <c r="G5053" i="17"/>
  <c r="G5052" i="17"/>
  <c r="G5051" i="17"/>
  <c r="G5050" i="17"/>
  <c r="G5049" i="17"/>
  <c r="G5048" i="17"/>
  <c r="G5047" i="17"/>
  <c r="G5046" i="17"/>
  <c r="G5045" i="17"/>
  <c r="G5044" i="17"/>
  <c r="G5043" i="17"/>
  <c r="G5042" i="17"/>
  <c r="G5041" i="17"/>
  <c r="G5040" i="17"/>
  <c r="G5039" i="17"/>
  <c r="G5038" i="17"/>
  <c r="G5037" i="17"/>
  <c r="G5036" i="17"/>
  <c r="G5035" i="17"/>
  <c r="G5090" i="17"/>
  <c r="G5089" i="17"/>
  <c r="G5088" i="17"/>
  <c r="G5087" i="17"/>
  <c r="G5086" i="17"/>
  <c r="G5085" i="17"/>
  <c r="G5084" i="17"/>
  <c r="G5083" i="17"/>
  <c r="G5082" i="17"/>
  <c r="G5081" i="17"/>
  <c r="G5080" i="17"/>
  <c r="G5079" i="17"/>
  <c r="G5078" i="17"/>
  <c r="G5077" i="17"/>
  <c r="G5076" i="17"/>
  <c r="G5075" i="17"/>
  <c r="G5074" i="17"/>
  <c r="G5073" i="17"/>
  <c r="G5072" i="17"/>
  <c r="G4996" i="17"/>
  <c r="G4995" i="17"/>
  <c r="G4994" i="17"/>
  <c r="G4993" i="17"/>
  <c r="G4992" i="17"/>
  <c r="G4991" i="17"/>
  <c r="G4990" i="17"/>
  <c r="G4989" i="17"/>
  <c r="G4988" i="17"/>
  <c r="G4987" i="17"/>
  <c r="G4986" i="17"/>
  <c r="G4985" i="17"/>
  <c r="G4984" i="17"/>
  <c r="G4983" i="17"/>
  <c r="G4982" i="17"/>
  <c r="G4981" i="17"/>
  <c r="G4980" i="17"/>
  <c r="G4979" i="17"/>
  <c r="G5034" i="17"/>
  <c r="G5033" i="17"/>
  <c r="G5032" i="17"/>
  <c r="G5031" i="17"/>
  <c r="G5030" i="17"/>
  <c r="G5029" i="17"/>
  <c r="G5028" i="17"/>
  <c r="G5027" i="17"/>
  <c r="G5026" i="17"/>
  <c r="G5025" i="17"/>
  <c r="G5024" i="17"/>
  <c r="G5023" i="17"/>
  <c r="G5022" i="17"/>
  <c r="G5021" i="17"/>
  <c r="G5020" i="17"/>
  <c r="G5019" i="17"/>
  <c r="G5018" i="17"/>
  <c r="G5017" i="17"/>
  <c r="G5016" i="17"/>
  <c r="G5071" i="17"/>
  <c r="G5070" i="17"/>
  <c r="G5069" i="17"/>
  <c r="G5068" i="17"/>
  <c r="G5067" i="17"/>
  <c r="G5066" i="17"/>
  <c r="G5065" i="17"/>
  <c r="G5064" i="17"/>
  <c r="G5063" i="17"/>
  <c r="G5062" i="17"/>
  <c r="G5061" i="17"/>
  <c r="G5060" i="17"/>
  <c r="G5059" i="17"/>
  <c r="G5058" i="17"/>
  <c r="G5057" i="17"/>
  <c r="G5056" i="17"/>
  <c r="G5055" i="17"/>
  <c r="G5054" i="17"/>
  <c r="G4699" i="17"/>
  <c r="G4698" i="17"/>
  <c r="G4697" i="17"/>
  <c r="G4696" i="17"/>
  <c r="G4695" i="17"/>
  <c r="G4694" i="17"/>
  <c r="G4693" i="17"/>
  <c r="G4692" i="17"/>
  <c r="G4691" i="17"/>
  <c r="G4690" i="17"/>
  <c r="G4689" i="17"/>
  <c r="G4688" i="17"/>
  <c r="G4687" i="17"/>
  <c r="G4686" i="17"/>
  <c r="G4685" i="17"/>
  <c r="G4684" i="17"/>
  <c r="G4683" i="17"/>
  <c r="G4682" i="17"/>
  <c r="G4681" i="17"/>
  <c r="G4735" i="17"/>
  <c r="G4734" i="17"/>
  <c r="G4733" i="17"/>
  <c r="G4732" i="17"/>
  <c r="G4731" i="17"/>
  <c r="G4730" i="17"/>
  <c r="G4729" i="17"/>
  <c r="G4728" i="17"/>
  <c r="G4727" i="17"/>
  <c r="G4726" i="17"/>
  <c r="G4725" i="17"/>
  <c r="G4724" i="17"/>
  <c r="G4723" i="17"/>
  <c r="G4722" i="17"/>
  <c r="G4721" i="17"/>
  <c r="G4720" i="17"/>
  <c r="G4719" i="17"/>
  <c r="G4718" i="17"/>
  <c r="G4717" i="17"/>
  <c r="G4772" i="17"/>
  <c r="G4771" i="17"/>
  <c r="G4770" i="17"/>
  <c r="G4769" i="17"/>
  <c r="G4768" i="17"/>
  <c r="G4767" i="17"/>
  <c r="G4766" i="17"/>
  <c r="G4765" i="17"/>
  <c r="G4764" i="17"/>
  <c r="G4763" i="17"/>
  <c r="G4762" i="17"/>
  <c r="G4761" i="17"/>
  <c r="G4760" i="17"/>
  <c r="G4759" i="17"/>
  <c r="G4758" i="17"/>
  <c r="G4757" i="17"/>
  <c r="G4756" i="17"/>
  <c r="G4755" i="17"/>
  <c r="G4754" i="17"/>
  <c r="G4680" i="17"/>
  <c r="G4679" i="17"/>
  <c r="G4678" i="17"/>
  <c r="G4677" i="17"/>
  <c r="G4676" i="17"/>
  <c r="G4675" i="17"/>
  <c r="G4674" i="17"/>
  <c r="G4673" i="17"/>
  <c r="G4672" i="17"/>
  <c r="G4671" i="17"/>
  <c r="G4670" i="17"/>
  <c r="G4669" i="17"/>
  <c r="G4668" i="17"/>
  <c r="G4667" i="17"/>
  <c r="G4666" i="17"/>
  <c r="G4665" i="17"/>
  <c r="G4664" i="17"/>
  <c r="G4663" i="17"/>
  <c r="G4716" i="17"/>
  <c r="G4715" i="17"/>
  <c r="G4714" i="17"/>
  <c r="G4713" i="17"/>
  <c r="G4712" i="17"/>
  <c r="G4711" i="17"/>
  <c r="G4710" i="17"/>
  <c r="G4709" i="17"/>
  <c r="G4708" i="17"/>
  <c r="G4707" i="17"/>
  <c r="G4706" i="17"/>
  <c r="G4705" i="17"/>
  <c r="G4704" i="17"/>
  <c r="G4703" i="17"/>
  <c r="G4702" i="17"/>
  <c r="G4701" i="17"/>
  <c r="G4700" i="17"/>
  <c r="G4753" i="17"/>
  <c r="G4752" i="17"/>
  <c r="G4751" i="17"/>
  <c r="G4750" i="17"/>
  <c r="G4749" i="17"/>
  <c r="G4748" i="17"/>
  <c r="G4747" i="17"/>
  <c r="G4746" i="17"/>
  <c r="G4745" i="17"/>
  <c r="G4744" i="17"/>
  <c r="G4743" i="17"/>
  <c r="G4742" i="17"/>
  <c r="G4741" i="17"/>
  <c r="G4740" i="17"/>
  <c r="G4739" i="17"/>
  <c r="G4738" i="17"/>
  <c r="G4737" i="17"/>
  <c r="G4736" i="17"/>
  <c r="G4394" i="17"/>
  <c r="G4393" i="17"/>
  <c r="G4392" i="17"/>
  <c r="G4391" i="17"/>
  <c r="G4390" i="17"/>
  <c r="G4389" i="17"/>
  <c r="G4388" i="17"/>
  <c r="G4387" i="17"/>
  <c r="G4386" i="17"/>
  <c r="G4385" i="17"/>
  <c r="G4384" i="17"/>
  <c r="G4383" i="17"/>
  <c r="G4382" i="17"/>
  <c r="G4381" i="17"/>
  <c r="G4380" i="17"/>
  <c r="G4379" i="17"/>
  <c r="G4378" i="17"/>
  <c r="G4377" i="17"/>
  <c r="G4376" i="17"/>
  <c r="G4431" i="17"/>
  <c r="G4430" i="17"/>
  <c r="G4429" i="17"/>
  <c r="G4428" i="17"/>
  <c r="G4427" i="17"/>
  <c r="G4426" i="17"/>
  <c r="G4425" i="17"/>
  <c r="G4424" i="17"/>
  <c r="G4423" i="17"/>
  <c r="G4422" i="17"/>
  <c r="G4421" i="17"/>
  <c r="G4420" i="17"/>
  <c r="G4419" i="17"/>
  <c r="G4418" i="17"/>
  <c r="G4417" i="17"/>
  <c r="G4416" i="17"/>
  <c r="G4415" i="17"/>
  <c r="G4414" i="17"/>
  <c r="G4413" i="17"/>
  <c r="G4468" i="17"/>
  <c r="G4467" i="17"/>
  <c r="G4466" i="17"/>
  <c r="G4465" i="17"/>
  <c r="G4464" i="17"/>
  <c r="G4463" i="17"/>
  <c r="G4462" i="17"/>
  <c r="G4461" i="17"/>
  <c r="G4460" i="17"/>
  <c r="G4459" i="17"/>
  <c r="G4458" i="17"/>
  <c r="G4457" i="17"/>
  <c r="G4456" i="17"/>
  <c r="G4455" i="17"/>
  <c r="G4454" i="17"/>
  <c r="G4453" i="17"/>
  <c r="G4452" i="17"/>
  <c r="G4451" i="17"/>
  <c r="G4450" i="17"/>
  <c r="G4375" i="17"/>
  <c r="G4374" i="17"/>
  <c r="G4373" i="17"/>
  <c r="G4372" i="17"/>
  <c r="G4371" i="17"/>
  <c r="G4370" i="17"/>
  <c r="G4369" i="17"/>
  <c r="G4368" i="17"/>
  <c r="G4367" i="17"/>
  <c r="G4366" i="17"/>
  <c r="G4365" i="17"/>
  <c r="G4364" i="17"/>
  <c r="G4363" i="17"/>
  <c r="G4362" i="17"/>
  <c r="G4361" i="17"/>
  <c r="G4360" i="17"/>
  <c r="G4359" i="17"/>
  <c r="G4358" i="17"/>
  <c r="G4412" i="17"/>
  <c r="G4411" i="17"/>
  <c r="G4410" i="17"/>
  <c r="G4409" i="17"/>
  <c r="G4408" i="17"/>
  <c r="G4407" i="17"/>
  <c r="G4406" i="17"/>
  <c r="G4405" i="17"/>
  <c r="G4404" i="17"/>
  <c r="G4403" i="17"/>
  <c r="G4402" i="17"/>
  <c r="G4401" i="17"/>
  <c r="G4400" i="17"/>
  <c r="G4399" i="17"/>
  <c r="G4398" i="17"/>
  <c r="G4397" i="17"/>
  <c r="G4396" i="17"/>
  <c r="G4395" i="17"/>
  <c r="G4449" i="17"/>
  <c r="G4448" i="17"/>
  <c r="G4447" i="17"/>
  <c r="G4446" i="17"/>
  <c r="G4445" i="17"/>
  <c r="G4444" i="17"/>
  <c r="G4443" i="17"/>
  <c r="G4442" i="17"/>
  <c r="G4441" i="17"/>
  <c r="G4440" i="17"/>
  <c r="G4439" i="17"/>
  <c r="G4438" i="17"/>
  <c r="G4437" i="17"/>
  <c r="G4436" i="17"/>
  <c r="G4435" i="17"/>
  <c r="G4434" i="17"/>
  <c r="G4433" i="17"/>
  <c r="G4432" i="17"/>
  <c r="G4094" i="17"/>
  <c r="G4093" i="17"/>
  <c r="G4092" i="17"/>
  <c r="G4091" i="17"/>
  <c r="G4090" i="17"/>
  <c r="G4089" i="17"/>
  <c r="G4088" i="17"/>
  <c r="G4087" i="17"/>
  <c r="G4086" i="17"/>
  <c r="G4085" i="17"/>
  <c r="G4084" i="17"/>
  <c r="G4083" i="17"/>
  <c r="G4082" i="17"/>
  <c r="G4081" i="17"/>
  <c r="G4080" i="17"/>
  <c r="G4079" i="17"/>
  <c r="G4078" i="17"/>
  <c r="G4077" i="17"/>
  <c r="G4076" i="17"/>
  <c r="G4131" i="17"/>
  <c r="G4130" i="17"/>
  <c r="G4129" i="17"/>
  <c r="G4128" i="17"/>
  <c r="G4127" i="17"/>
  <c r="G4126" i="17"/>
  <c r="G4125" i="17"/>
  <c r="G4124" i="17"/>
  <c r="G4123" i="17"/>
  <c r="G4122" i="17"/>
  <c r="G4121" i="17"/>
  <c r="G4120" i="17"/>
  <c r="G4119" i="17"/>
  <c r="G4118" i="17"/>
  <c r="G4117" i="17"/>
  <c r="G4116" i="17"/>
  <c r="G4115" i="17"/>
  <c r="G4114" i="17"/>
  <c r="G4113" i="17"/>
  <c r="G4168" i="17"/>
  <c r="G4167" i="17"/>
  <c r="G4166" i="17"/>
  <c r="G4165" i="17"/>
  <c r="G4164" i="17"/>
  <c r="G4163" i="17"/>
  <c r="G4162" i="17"/>
  <c r="G4161" i="17"/>
  <c r="G4160" i="17"/>
  <c r="G4159" i="17"/>
  <c r="G4158" i="17"/>
  <c r="G4157" i="17"/>
  <c r="G4156" i="17"/>
  <c r="G4155" i="17"/>
  <c r="G4154" i="17"/>
  <c r="G4153" i="17"/>
  <c r="G4152" i="17"/>
  <c r="G4151" i="17"/>
  <c r="G4150" i="17"/>
  <c r="G4075" i="17"/>
  <c r="G4074" i="17"/>
  <c r="G4073" i="17"/>
  <c r="G4072" i="17"/>
  <c r="G4071" i="17"/>
  <c r="G4070" i="17"/>
  <c r="G4069" i="17"/>
  <c r="G4068" i="17"/>
  <c r="G4067" i="17"/>
  <c r="G4066" i="17"/>
  <c r="G4065" i="17"/>
  <c r="G4064" i="17"/>
  <c r="G4063" i="17"/>
  <c r="G4062" i="17"/>
  <c r="G4061" i="17"/>
  <c r="G4060" i="17"/>
  <c r="G4059" i="17"/>
  <c r="G4058" i="17"/>
  <c r="G4112" i="17"/>
  <c r="G4111" i="17"/>
  <c r="G4110" i="17"/>
  <c r="G4109" i="17"/>
  <c r="G4108" i="17"/>
  <c r="G4107" i="17"/>
  <c r="G4106" i="17"/>
  <c r="G4105" i="17"/>
  <c r="G4104" i="17"/>
  <c r="G4103" i="17"/>
  <c r="G4102" i="17"/>
  <c r="G4101" i="17"/>
  <c r="G4100" i="17"/>
  <c r="G4099" i="17"/>
  <c r="G4098" i="17"/>
  <c r="G4097" i="17"/>
  <c r="G4096" i="17"/>
  <c r="G4095" i="17"/>
  <c r="G4149" i="17"/>
  <c r="G4148" i="17"/>
  <c r="G4147" i="17"/>
  <c r="G4146" i="17"/>
  <c r="G4145" i="17"/>
  <c r="G4144" i="17"/>
  <c r="G4143" i="17"/>
  <c r="G4142" i="17"/>
  <c r="G4141" i="17"/>
  <c r="G4140" i="17"/>
  <c r="G4139" i="17"/>
  <c r="G4138" i="17"/>
  <c r="G4137" i="17"/>
  <c r="G4136" i="17"/>
  <c r="G4135" i="17"/>
  <c r="G4134" i="17"/>
  <c r="G4133" i="17"/>
  <c r="G4132" i="17"/>
  <c r="G3772" i="17"/>
  <c r="G3771" i="17"/>
  <c r="G3770" i="17"/>
  <c r="G3769" i="17"/>
  <c r="G3768" i="17"/>
  <c r="G3767" i="17"/>
  <c r="G3766" i="17"/>
  <c r="G3765" i="17"/>
  <c r="G3764" i="17"/>
  <c r="G3763" i="17"/>
  <c r="G3762" i="17"/>
  <c r="G3761" i="17"/>
  <c r="G3760" i="17"/>
  <c r="G3759" i="17"/>
  <c r="G3758" i="17"/>
  <c r="G3757" i="17"/>
  <c r="G3756" i="17"/>
  <c r="G3755" i="17"/>
  <c r="G3810" i="17"/>
  <c r="G3809" i="17"/>
  <c r="G3808" i="17"/>
  <c r="G3807" i="17"/>
  <c r="G3806" i="17"/>
  <c r="G3805" i="17"/>
  <c r="G3804" i="17"/>
  <c r="G3803" i="17"/>
  <c r="G3802" i="17"/>
  <c r="G3801" i="17"/>
  <c r="G3800" i="17"/>
  <c r="G3799" i="17"/>
  <c r="G3798" i="17"/>
  <c r="G3797" i="17"/>
  <c r="G3796" i="17"/>
  <c r="G3795" i="17"/>
  <c r="G3794" i="17"/>
  <c r="G3793" i="17"/>
  <c r="G3848" i="17"/>
  <c r="G3847" i="17"/>
  <c r="G3846" i="17"/>
  <c r="G3845" i="17"/>
  <c r="G3844" i="17"/>
  <c r="G3843" i="17"/>
  <c r="G3842" i="17"/>
  <c r="G3841" i="17"/>
  <c r="G3840" i="17"/>
  <c r="G3839" i="17"/>
  <c r="G3838" i="17"/>
  <c r="G3837" i="17"/>
  <c r="G3836" i="17"/>
  <c r="G3835" i="17"/>
  <c r="G3834" i="17"/>
  <c r="G3833" i="17"/>
  <c r="G3832" i="17"/>
  <c r="G3831" i="17"/>
  <c r="G3754" i="17"/>
  <c r="G3753" i="17"/>
  <c r="G3752" i="17"/>
  <c r="G3751" i="17"/>
  <c r="G3750" i="17"/>
  <c r="G3749" i="17"/>
  <c r="G3748" i="17"/>
  <c r="G3747" i="17"/>
  <c r="G3746" i="17"/>
  <c r="G3745" i="17"/>
  <c r="G3744" i="17"/>
  <c r="G3743" i="17"/>
  <c r="G3742" i="17"/>
  <c r="G3741" i="17"/>
  <c r="G3740" i="17"/>
  <c r="G3739" i="17"/>
  <c r="G3738" i="17"/>
  <c r="G3737" i="17"/>
  <c r="G3736" i="17"/>
  <c r="G3735" i="17"/>
  <c r="G3792" i="17"/>
  <c r="G3791" i="17"/>
  <c r="G3790" i="17"/>
  <c r="G3789" i="17"/>
  <c r="G3788" i="17"/>
  <c r="G3787" i="17"/>
  <c r="G3786" i="17"/>
  <c r="G3785" i="17"/>
  <c r="G3784" i="17"/>
  <c r="G3783" i="17"/>
  <c r="G3782" i="17"/>
  <c r="G3781" i="17"/>
  <c r="G3780" i="17"/>
  <c r="G3779" i="17"/>
  <c r="G3778" i="17"/>
  <c r="G3777" i="17"/>
  <c r="G3776" i="17"/>
  <c r="G3775" i="17"/>
  <c r="G3774" i="17"/>
  <c r="G3773" i="17"/>
  <c r="G3830" i="17"/>
  <c r="G3829" i="17"/>
  <c r="G3828" i="17"/>
  <c r="G3827" i="17"/>
  <c r="G3826" i="17"/>
  <c r="G3825" i="17"/>
  <c r="G3824" i="17"/>
  <c r="G3823" i="17"/>
  <c r="G3822" i="17"/>
  <c r="G3821" i="17"/>
  <c r="G3820" i="17"/>
  <c r="G3819" i="17"/>
  <c r="G3818" i="17"/>
  <c r="G3817" i="17"/>
  <c r="G3816" i="17"/>
  <c r="G3815" i="17"/>
  <c r="G3814" i="17"/>
  <c r="G3813" i="17"/>
  <c r="G3812" i="17"/>
  <c r="G3811" i="17"/>
  <c r="G3424" i="17"/>
  <c r="G3423" i="17"/>
  <c r="G3422" i="17"/>
  <c r="G3421" i="17"/>
  <c r="G3420" i="17"/>
  <c r="G3419" i="17"/>
  <c r="G3418" i="17"/>
  <c r="G3417" i="17"/>
  <c r="G3416" i="17"/>
  <c r="G3415" i="17"/>
  <c r="G3414" i="17"/>
  <c r="G3413" i="17"/>
  <c r="G3412" i="17"/>
  <c r="G3411" i="17"/>
  <c r="G3410" i="17"/>
  <c r="G3409" i="17"/>
  <c r="G3408" i="17"/>
  <c r="G3407" i="17"/>
  <c r="G3406" i="17"/>
  <c r="G3463" i="17"/>
  <c r="G3462" i="17"/>
  <c r="G3461" i="17"/>
  <c r="G3460" i="17"/>
  <c r="G3459" i="17"/>
  <c r="G3458" i="17"/>
  <c r="G3457" i="17"/>
  <c r="G3456" i="17"/>
  <c r="G3455" i="17"/>
  <c r="G3454" i="17"/>
  <c r="G3453" i="17"/>
  <c r="G3452" i="17"/>
  <c r="G3451" i="17"/>
  <c r="G3450" i="17"/>
  <c r="G3449" i="17"/>
  <c r="G3448" i="17"/>
  <c r="G3447" i="17"/>
  <c r="G3446" i="17"/>
  <c r="G3445" i="17"/>
  <c r="G3502" i="17"/>
  <c r="G3501" i="17"/>
  <c r="G3500" i="17"/>
  <c r="G3499" i="17"/>
  <c r="G3498" i="17"/>
  <c r="G3497" i="17"/>
  <c r="G3496" i="17"/>
  <c r="G3495" i="17"/>
  <c r="G3494" i="17"/>
  <c r="G3493" i="17"/>
  <c r="G3492" i="17"/>
  <c r="G3491" i="17"/>
  <c r="G3490" i="17"/>
  <c r="G3489" i="17"/>
  <c r="G3488" i="17"/>
  <c r="G3487" i="17"/>
  <c r="G3486" i="17"/>
  <c r="G3485" i="17"/>
  <c r="G3484" i="17"/>
  <c r="G3405" i="17"/>
  <c r="G3404" i="17"/>
  <c r="G3403" i="17"/>
  <c r="G3402" i="17"/>
  <c r="G3401" i="17"/>
  <c r="G3400" i="17"/>
  <c r="G3399" i="17"/>
  <c r="G3398" i="17"/>
  <c r="G3397" i="17"/>
  <c r="G3396" i="17"/>
  <c r="G3395" i="17"/>
  <c r="G3394" i="17"/>
  <c r="G3393" i="17"/>
  <c r="G3392" i="17"/>
  <c r="G3391" i="17"/>
  <c r="G3390" i="17"/>
  <c r="G3389" i="17"/>
  <c r="G3388" i="17"/>
  <c r="G3387" i="17"/>
  <c r="G3386" i="17"/>
  <c r="G3444" i="17"/>
  <c r="G3443" i="17"/>
  <c r="G3442" i="17"/>
  <c r="G3441" i="17"/>
  <c r="G3440" i="17"/>
  <c r="G3439" i="17"/>
  <c r="G3438" i="17"/>
  <c r="G3437" i="17"/>
  <c r="G3436" i="17"/>
  <c r="G3435" i="17"/>
  <c r="G3434" i="17"/>
  <c r="G3433" i="17"/>
  <c r="G3432" i="17"/>
  <c r="G3431" i="17"/>
  <c r="G3430" i="17"/>
  <c r="G3429" i="17"/>
  <c r="G3428" i="17"/>
  <c r="G3427" i="17"/>
  <c r="G3426" i="17"/>
  <c r="G3425" i="17"/>
  <c r="G3483" i="17"/>
  <c r="G3482" i="17"/>
  <c r="G3481" i="17"/>
  <c r="G3480" i="17"/>
  <c r="G3479" i="17"/>
  <c r="G3478" i="17"/>
  <c r="G3477" i="17"/>
  <c r="G3476" i="17"/>
  <c r="G3475" i="17"/>
  <c r="G3474" i="17"/>
  <c r="G3473" i="17"/>
  <c r="G3472" i="17"/>
  <c r="G3471" i="17"/>
  <c r="G3470" i="17"/>
  <c r="G3469" i="17"/>
  <c r="G3468" i="17"/>
  <c r="G3467" i="17"/>
  <c r="G3466" i="17"/>
  <c r="G3465" i="17"/>
  <c r="G3464" i="17"/>
  <c r="G3074" i="17"/>
  <c r="G3073" i="17"/>
  <c r="G3072" i="17"/>
  <c r="G3071" i="17"/>
  <c r="G3070" i="17"/>
  <c r="G3069" i="17"/>
  <c r="G3068" i="17"/>
  <c r="G3067" i="17"/>
  <c r="G3066" i="17"/>
  <c r="G3065" i="17"/>
  <c r="G3064" i="17"/>
  <c r="G3063" i="17"/>
  <c r="G3062" i="17"/>
  <c r="G3061" i="17"/>
  <c r="G3060" i="17"/>
  <c r="G3059" i="17"/>
  <c r="G3058" i="17"/>
  <c r="G3057" i="17"/>
  <c r="G3056" i="17"/>
  <c r="G3113" i="17"/>
  <c r="G3112" i="17"/>
  <c r="G3111" i="17"/>
  <c r="G3110" i="17"/>
  <c r="G3109" i="17"/>
  <c r="G3108" i="17"/>
  <c r="G3107" i="17"/>
  <c r="G3106" i="17"/>
  <c r="G3105" i="17"/>
  <c r="G3104" i="17"/>
  <c r="G3103" i="17"/>
  <c r="G3102" i="17"/>
  <c r="G3101" i="17"/>
  <c r="G3100" i="17"/>
  <c r="G3099" i="17"/>
  <c r="G3098" i="17"/>
  <c r="G3097" i="17"/>
  <c r="G3096" i="17"/>
  <c r="G3095" i="17"/>
  <c r="G3152" i="17"/>
  <c r="G3151" i="17"/>
  <c r="G3150" i="17"/>
  <c r="G3149" i="17"/>
  <c r="G3148" i="17"/>
  <c r="G3147" i="17"/>
  <c r="G3146" i="17"/>
  <c r="G3145" i="17"/>
  <c r="G3144" i="17"/>
  <c r="G3143" i="17"/>
  <c r="G3142" i="17"/>
  <c r="G3141" i="17"/>
  <c r="G3140" i="17"/>
  <c r="G3139" i="17"/>
  <c r="G3138" i="17"/>
  <c r="G3137" i="17"/>
  <c r="G3136" i="17"/>
  <c r="G3135" i="17"/>
  <c r="G3134" i="17"/>
  <c r="G3055" i="17"/>
  <c r="G3054" i="17"/>
  <c r="G3053" i="17"/>
  <c r="G3052" i="17"/>
  <c r="G3051" i="17"/>
  <c r="G3050" i="17"/>
  <c r="G3049" i="17"/>
  <c r="G3048" i="17"/>
  <c r="G3047" i="17"/>
  <c r="G3046" i="17"/>
  <c r="G3045" i="17"/>
  <c r="G3044" i="17"/>
  <c r="G3043" i="17"/>
  <c r="G3042" i="17"/>
  <c r="G3041" i="17"/>
  <c r="G3040" i="17"/>
  <c r="G3039" i="17"/>
  <c r="G3038" i="17"/>
  <c r="G3037" i="17"/>
  <c r="G3036" i="17"/>
  <c r="G3094" i="17"/>
  <c r="G3093" i="17"/>
  <c r="G3092" i="17"/>
  <c r="G3091" i="17"/>
  <c r="G3090" i="17"/>
  <c r="G3089" i="17"/>
  <c r="G3088" i="17"/>
  <c r="G3087" i="17"/>
  <c r="G3086" i="17"/>
  <c r="G3085" i="17"/>
  <c r="G3084" i="17"/>
  <c r="G3083" i="17"/>
  <c r="G3082" i="17"/>
  <c r="G3081" i="17"/>
  <c r="G3080" i="17"/>
  <c r="G3079" i="17"/>
  <c r="G3078" i="17"/>
  <c r="G3077" i="17"/>
  <c r="G3076" i="17"/>
  <c r="G3075" i="17"/>
  <c r="G3133" i="17"/>
  <c r="G3132" i="17"/>
  <c r="G3131" i="17"/>
  <c r="G3130" i="17"/>
  <c r="G3129" i="17"/>
  <c r="G3128" i="17"/>
  <c r="G3127" i="17"/>
  <c r="G3126" i="17"/>
  <c r="G3125" i="17"/>
  <c r="G3124" i="17"/>
  <c r="G3123" i="17"/>
  <c r="G3122" i="17"/>
  <c r="G3121" i="17"/>
  <c r="G3120" i="17"/>
  <c r="G3119" i="17"/>
  <c r="G3118" i="17"/>
  <c r="G3117" i="17"/>
  <c r="G3116" i="17"/>
  <c r="G3115" i="17"/>
  <c r="G3114" i="17"/>
  <c r="G2735" i="17"/>
  <c r="G2734" i="17"/>
  <c r="G2733" i="17"/>
  <c r="G2732" i="17"/>
  <c r="G2731" i="17"/>
  <c r="G2730" i="17"/>
  <c r="G2729" i="17"/>
  <c r="G2728" i="17"/>
  <c r="G2727" i="17"/>
  <c r="G2726" i="17"/>
  <c r="G2725" i="17"/>
  <c r="G2724" i="17"/>
  <c r="G2723" i="17"/>
  <c r="G2722" i="17"/>
  <c r="G2721" i="17"/>
  <c r="G2720" i="17"/>
  <c r="G2719" i="17"/>
  <c r="G2718" i="17"/>
  <c r="G2773" i="17"/>
  <c r="G2772" i="17"/>
  <c r="G2771" i="17"/>
  <c r="G2770" i="17"/>
  <c r="G2769" i="17"/>
  <c r="G2768" i="17"/>
  <c r="G2767" i="17"/>
  <c r="G2766" i="17"/>
  <c r="G2765" i="17"/>
  <c r="G2764" i="17"/>
  <c r="G2763" i="17"/>
  <c r="G2762" i="17"/>
  <c r="G2761" i="17"/>
  <c r="G2760" i="17"/>
  <c r="G2759" i="17"/>
  <c r="G2758" i="17"/>
  <c r="G2757" i="17"/>
  <c r="G2756" i="17"/>
  <c r="G2811" i="17"/>
  <c r="G2810" i="17"/>
  <c r="G2809" i="17"/>
  <c r="G2808" i="17"/>
  <c r="G2807" i="17"/>
  <c r="G2806" i="17"/>
  <c r="G2805" i="17"/>
  <c r="G2804" i="17"/>
  <c r="G2803" i="17"/>
  <c r="G2802" i="17"/>
  <c r="G2801" i="17"/>
  <c r="G2800" i="17"/>
  <c r="G2799" i="17"/>
  <c r="G2798" i="17"/>
  <c r="G2797" i="17"/>
  <c r="G2796" i="17"/>
  <c r="G2795" i="17"/>
  <c r="G2794" i="17"/>
  <c r="G2717" i="17"/>
  <c r="G2716" i="17"/>
  <c r="G2715" i="17"/>
  <c r="G2714" i="17"/>
  <c r="G2713" i="17"/>
  <c r="G2712" i="17"/>
  <c r="G2711" i="17"/>
  <c r="G2710" i="17"/>
  <c r="G2709" i="17"/>
  <c r="G2708" i="17"/>
  <c r="G2707" i="17"/>
  <c r="G2706" i="17"/>
  <c r="G2705" i="17"/>
  <c r="G2704" i="17"/>
  <c r="G2703" i="17"/>
  <c r="G2702" i="17"/>
  <c r="G2701" i="17"/>
  <c r="G2700" i="17"/>
  <c r="G2699" i="17"/>
  <c r="G2698" i="17"/>
  <c r="G2755" i="17"/>
  <c r="G2754" i="17"/>
  <c r="G2753" i="17"/>
  <c r="G2752" i="17"/>
  <c r="G2751" i="17"/>
  <c r="G2750" i="17"/>
  <c r="G2749" i="17"/>
  <c r="G2748" i="17"/>
  <c r="G2747" i="17"/>
  <c r="G2746" i="17"/>
  <c r="G2745" i="17"/>
  <c r="G2744" i="17"/>
  <c r="G2743" i="17"/>
  <c r="G2742" i="17"/>
  <c r="G2741" i="17"/>
  <c r="G2740" i="17"/>
  <c r="G2739" i="17"/>
  <c r="G2738" i="17"/>
  <c r="G2737" i="17"/>
  <c r="G2736" i="17"/>
  <c r="G2793" i="17"/>
  <c r="G2792" i="17"/>
  <c r="G2791" i="17"/>
  <c r="G2790" i="17"/>
  <c r="G2789" i="17"/>
  <c r="G2788" i="17"/>
  <c r="G2787" i="17"/>
  <c r="G2786" i="17"/>
  <c r="G2785" i="17"/>
  <c r="G2784" i="17"/>
  <c r="G2783" i="17"/>
  <c r="G2782" i="17"/>
  <c r="G2781" i="17"/>
  <c r="G2780" i="17"/>
  <c r="G2779" i="17"/>
  <c r="G2778" i="17"/>
  <c r="G2777" i="17"/>
  <c r="G2776" i="17"/>
  <c r="G2775" i="17"/>
  <c r="G2774" i="17"/>
  <c r="G2407" i="17"/>
  <c r="G2406" i="17"/>
  <c r="G2405" i="17"/>
  <c r="G2404" i="17"/>
  <c r="G2403" i="17"/>
  <c r="G2402" i="17"/>
  <c r="G2401" i="17"/>
  <c r="G2400" i="17"/>
  <c r="G2399" i="17"/>
  <c r="G2398" i="17"/>
  <c r="G2397" i="17"/>
  <c r="G2396" i="17"/>
  <c r="G2395" i="17"/>
  <c r="G2394" i="17"/>
  <c r="G2393" i="17"/>
  <c r="G2392" i="17"/>
  <c r="G2391" i="17"/>
  <c r="G2390" i="17"/>
  <c r="G2444" i="17"/>
  <c r="G2443" i="17"/>
  <c r="G2442" i="17"/>
  <c r="G2441" i="17"/>
  <c r="G2440" i="17"/>
  <c r="G2439" i="17"/>
  <c r="G2438" i="17"/>
  <c r="G2437" i="17"/>
  <c r="G2436" i="17"/>
  <c r="G2435" i="17"/>
  <c r="G2434" i="17"/>
  <c r="G2433" i="17"/>
  <c r="G2432" i="17"/>
  <c r="G2431" i="17"/>
  <c r="G2430" i="17"/>
  <c r="G2429" i="17"/>
  <c r="G2428" i="17"/>
  <c r="G2427" i="17"/>
  <c r="G2481" i="17"/>
  <c r="G2480" i="17"/>
  <c r="G2479" i="17"/>
  <c r="G2478" i="17"/>
  <c r="G2477" i="17"/>
  <c r="G2476" i="17"/>
  <c r="G2475" i="17"/>
  <c r="G2474" i="17"/>
  <c r="G2473" i="17"/>
  <c r="G2472" i="17"/>
  <c r="G2471" i="17"/>
  <c r="G2470" i="17"/>
  <c r="G2469" i="17"/>
  <c r="G2468" i="17"/>
  <c r="G2467" i="17"/>
  <c r="G2466" i="17"/>
  <c r="G2465" i="17"/>
  <c r="G2464" i="17"/>
  <c r="G2389" i="17"/>
  <c r="G2388" i="17"/>
  <c r="G2387" i="17"/>
  <c r="G2386" i="17"/>
  <c r="G2385" i="17"/>
  <c r="G2384" i="17"/>
  <c r="G2383" i="17"/>
  <c r="G2382" i="17"/>
  <c r="G2381" i="17"/>
  <c r="G2380" i="17"/>
  <c r="G2379" i="17"/>
  <c r="G2378" i="17"/>
  <c r="G2377" i="17"/>
  <c r="G2376" i="17"/>
  <c r="G2375" i="17"/>
  <c r="G2374" i="17"/>
  <c r="G2373" i="17"/>
  <c r="G2372" i="17"/>
  <c r="G2371" i="17"/>
  <c r="G2426" i="17"/>
  <c r="G2425" i="17"/>
  <c r="G2424" i="17"/>
  <c r="G2423" i="17"/>
  <c r="G2422" i="17"/>
  <c r="G2421" i="17"/>
  <c r="G2420" i="17"/>
  <c r="G2419" i="17"/>
  <c r="G2418" i="17"/>
  <c r="G2417" i="17"/>
  <c r="G2416" i="17"/>
  <c r="G2415" i="17"/>
  <c r="G2414" i="17"/>
  <c r="G2413" i="17"/>
  <c r="G2412" i="17"/>
  <c r="G2411" i="17"/>
  <c r="G2410" i="17"/>
  <c r="G2409" i="17"/>
  <c r="G2408" i="17"/>
  <c r="G2463" i="17"/>
  <c r="G2462" i="17"/>
  <c r="G2461" i="17"/>
  <c r="G2460" i="17"/>
  <c r="G2459" i="17"/>
  <c r="G2458" i="17"/>
  <c r="G2457" i="17"/>
  <c r="G2456" i="17"/>
  <c r="G2455" i="17"/>
  <c r="G2454" i="17"/>
  <c r="G2453" i="17"/>
  <c r="G2452" i="17"/>
  <c r="G2451" i="17"/>
  <c r="G2450" i="17"/>
  <c r="G2449" i="17"/>
  <c r="G2448" i="17"/>
  <c r="G2447" i="17"/>
  <c r="G2446" i="17"/>
  <c r="G2445" i="17"/>
  <c r="G2085" i="17"/>
  <c r="G2084" i="17"/>
  <c r="G2083" i="17"/>
  <c r="G2082" i="17"/>
  <c r="G2081" i="17"/>
  <c r="G2080" i="17"/>
  <c r="G2079" i="17"/>
  <c r="G2078" i="17"/>
  <c r="G2077" i="17"/>
  <c r="G2076" i="17"/>
  <c r="G2075" i="17"/>
  <c r="G2074" i="17"/>
  <c r="G2073" i="17"/>
  <c r="G2072" i="17"/>
  <c r="G2071" i="17"/>
  <c r="G2070" i="17"/>
  <c r="G2069" i="17"/>
  <c r="G2068" i="17"/>
  <c r="G2121" i="17"/>
  <c r="G2120" i="17"/>
  <c r="G2119" i="17"/>
  <c r="G2118" i="17"/>
  <c r="G2117" i="17"/>
  <c r="G2116" i="17"/>
  <c r="G2115" i="17"/>
  <c r="G2114" i="17"/>
  <c r="G2113" i="17"/>
  <c r="G2112" i="17"/>
  <c r="G2111" i="17"/>
  <c r="G2110" i="17"/>
  <c r="G2109" i="17"/>
  <c r="G2108" i="17"/>
  <c r="G2107" i="17"/>
  <c r="G2106" i="17"/>
  <c r="G2105" i="17"/>
  <c r="G2104" i="17"/>
  <c r="G2157" i="17"/>
  <c r="G2156" i="17"/>
  <c r="G2155" i="17"/>
  <c r="G2154" i="17"/>
  <c r="G2153" i="17"/>
  <c r="G2152" i="17"/>
  <c r="G2151" i="17"/>
  <c r="G2150" i="17"/>
  <c r="G2149" i="17"/>
  <c r="G2148" i="17"/>
  <c r="G2147" i="17"/>
  <c r="G2146" i="17"/>
  <c r="G2145" i="17"/>
  <c r="G2144" i="17"/>
  <c r="G2143" i="17"/>
  <c r="G2142" i="17"/>
  <c r="G2141" i="17"/>
  <c r="G2140" i="17"/>
  <c r="G2067" i="17"/>
  <c r="G2066" i="17"/>
  <c r="G2065" i="17"/>
  <c r="G2064" i="17"/>
  <c r="G2063" i="17"/>
  <c r="G2062" i="17"/>
  <c r="G2061" i="17"/>
  <c r="G2060" i="17"/>
  <c r="G2059" i="17"/>
  <c r="G2058" i="17"/>
  <c r="G2057" i="17"/>
  <c r="G2056" i="17"/>
  <c r="G2055" i="17"/>
  <c r="G2054" i="17"/>
  <c r="G2053" i="17"/>
  <c r="G2052" i="17"/>
  <c r="G2051" i="17"/>
  <c r="G2050" i="17"/>
  <c r="G2103" i="17"/>
  <c r="G2102" i="17"/>
  <c r="G2101" i="17"/>
  <c r="G2100" i="17"/>
  <c r="G2099" i="17"/>
  <c r="G2098" i="17"/>
  <c r="G2097" i="17"/>
  <c r="G2096" i="17"/>
  <c r="G2095" i="17"/>
  <c r="G2094" i="17"/>
  <c r="G2093" i="17"/>
  <c r="G2092" i="17"/>
  <c r="G2091" i="17"/>
  <c r="G2090" i="17"/>
  <c r="G2089" i="17"/>
  <c r="G2088" i="17"/>
  <c r="G2087" i="17"/>
  <c r="G2086" i="17"/>
  <c r="G2139" i="17"/>
  <c r="G2138" i="17"/>
  <c r="G2137" i="17"/>
  <c r="G2136" i="17"/>
  <c r="G2135" i="17"/>
  <c r="G2134" i="17"/>
  <c r="G2133" i="17"/>
  <c r="G2132" i="17"/>
  <c r="G2131" i="17"/>
  <c r="G2130" i="17"/>
  <c r="G2129" i="17"/>
  <c r="G2128" i="17"/>
  <c r="G2127" i="17"/>
  <c r="G2126" i="17"/>
  <c r="G2125" i="17"/>
  <c r="G2124" i="17"/>
  <c r="G2123" i="17"/>
  <c r="G2122" i="17"/>
  <c r="G1768" i="17"/>
  <c r="G1767" i="17"/>
  <c r="G1766" i="17"/>
  <c r="G1765" i="17"/>
  <c r="G1764" i="17"/>
  <c r="G1763" i="17"/>
  <c r="G1762" i="17"/>
  <c r="G1761" i="17"/>
  <c r="G1760" i="17"/>
  <c r="G1759" i="17"/>
  <c r="G1758" i="17"/>
  <c r="G1757" i="17"/>
  <c r="G1756" i="17"/>
  <c r="G1755" i="17"/>
  <c r="G1754" i="17"/>
  <c r="G1753" i="17"/>
  <c r="G1752" i="17"/>
  <c r="G1751" i="17"/>
  <c r="G1804" i="17"/>
  <c r="G1803" i="17"/>
  <c r="G1802" i="17"/>
  <c r="G1801" i="17"/>
  <c r="G1800" i="17"/>
  <c r="G1799" i="17"/>
  <c r="G1798" i="17"/>
  <c r="G1797" i="17"/>
  <c r="G1796" i="17"/>
  <c r="G1795" i="17"/>
  <c r="G1794" i="17"/>
  <c r="G1793" i="17"/>
  <c r="G1792" i="17"/>
  <c r="G1791" i="17"/>
  <c r="G1790" i="17"/>
  <c r="G1789" i="17"/>
  <c r="G1788" i="17"/>
  <c r="G1787" i="17"/>
  <c r="G1840" i="17"/>
  <c r="G1839" i="17"/>
  <c r="G1838" i="17"/>
  <c r="G1837" i="17"/>
  <c r="G1836" i="17"/>
  <c r="G1835" i="17"/>
  <c r="G1834" i="17"/>
  <c r="G1833" i="17"/>
  <c r="G1832" i="17"/>
  <c r="G1831" i="17"/>
  <c r="G1830" i="17"/>
  <c r="G1829" i="17"/>
  <c r="G1828" i="17"/>
  <c r="G1827" i="17"/>
  <c r="G1826" i="17"/>
  <c r="G1825" i="17"/>
  <c r="G1824" i="17"/>
  <c r="G1823" i="17"/>
  <c r="G1750" i="17"/>
  <c r="G1749" i="17"/>
  <c r="G1748" i="17"/>
  <c r="G1747" i="17"/>
  <c r="G1746" i="17"/>
  <c r="G1745" i="17"/>
  <c r="G1744" i="17"/>
  <c r="G1743" i="17"/>
  <c r="G1742" i="17"/>
  <c r="G1741" i="17"/>
  <c r="G1740" i="17"/>
  <c r="G1739" i="17"/>
  <c r="G1738" i="17"/>
  <c r="G1737" i="17"/>
  <c r="G1736" i="17"/>
  <c r="G1735" i="17"/>
  <c r="G1734" i="17"/>
  <c r="G1733" i="17"/>
  <c r="G1786" i="17"/>
  <c r="G1785" i="17"/>
  <c r="G1784" i="17"/>
  <c r="G1783" i="17"/>
  <c r="G1782" i="17"/>
  <c r="G1781" i="17"/>
  <c r="G1780" i="17"/>
  <c r="G1779" i="17"/>
  <c r="G1778" i="17"/>
  <c r="G1777" i="17"/>
  <c r="G1776" i="17"/>
  <c r="G1775" i="17"/>
  <c r="G1774" i="17"/>
  <c r="G1773" i="17"/>
  <c r="G1772" i="17"/>
  <c r="G1771" i="17"/>
  <c r="G1770" i="17"/>
  <c r="G1769" i="17"/>
  <c r="G1822" i="17"/>
  <c r="G1821" i="17"/>
  <c r="G1820" i="17"/>
  <c r="G1819" i="17"/>
  <c r="G1818" i="17"/>
  <c r="G1817" i="17"/>
  <c r="G1816" i="17"/>
  <c r="G1815" i="17"/>
  <c r="G1814" i="17"/>
  <c r="G1813" i="17"/>
  <c r="G1812" i="17"/>
  <c r="G1811" i="17"/>
  <c r="G1810" i="17"/>
  <c r="G1809" i="17"/>
  <c r="G1808" i="17"/>
  <c r="G1807" i="17"/>
  <c r="G1806" i="17"/>
  <c r="G1805" i="17"/>
  <c r="G1452" i="17"/>
  <c r="G1451" i="17"/>
  <c r="G1450" i="17"/>
  <c r="G1449" i="17"/>
  <c r="G1448" i="17"/>
  <c r="G1447" i="17"/>
  <c r="G1446" i="17"/>
  <c r="G1445" i="17"/>
  <c r="G1444" i="17"/>
  <c r="G1443" i="17"/>
  <c r="G1442" i="17"/>
  <c r="G1441" i="17"/>
  <c r="G1440" i="17"/>
  <c r="G1439" i="17"/>
  <c r="G1438" i="17"/>
  <c r="G1437" i="17"/>
  <c r="G1436" i="17"/>
  <c r="G1435" i="17"/>
  <c r="G1488" i="17"/>
  <c r="G1487" i="17"/>
  <c r="G1486" i="17"/>
  <c r="G1485" i="17"/>
  <c r="G1484" i="17"/>
  <c r="G1483" i="17"/>
  <c r="G1482" i="17"/>
  <c r="G1481" i="17"/>
  <c r="G1480" i="17"/>
  <c r="G1479" i="17"/>
  <c r="G1478" i="17"/>
  <c r="G1477" i="17"/>
  <c r="G1476" i="17"/>
  <c r="G1475" i="17"/>
  <c r="G1474" i="17"/>
  <c r="G1473" i="17"/>
  <c r="G1472" i="17"/>
  <c r="G1471" i="17"/>
  <c r="G1524" i="17"/>
  <c r="G1523" i="17"/>
  <c r="G1522" i="17"/>
  <c r="G1521" i="17"/>
  <c r="G1520" i="17"/>
  <c r="G1519" i="17"/>
  <c r="G1518" i="17"/>
  <c r="G1517" i="17"/>
  <c r="G1516" i="17"/>
  <c r="G1515" i="17"/>
  <c r="G1514" i="17"/>
  <c r="G1513" i="17"/>
  <c r="G1512" i="17"/>
  <c r="G1511" i="17"/>
  <c r="G1510" i="17"/>
  <c r="G1509" i="17"/>
  <c r="G1508" i="17"/>
  <c r="G1507" i="17"/>
  <c r="G1434" i="17"/>
  <c r="G1433" i="17"/>
  <c r="G1432" i="17"/>
  <c r="G1431" i="17"/>
  <c r="G1430" i="17"/>
  <c r="G1429" i="17"/>
  <c r="G1428" i="17"/>
  <c r="G1427" i="17"/>
  <c r="G1426" i="17"/>
  <c r="G1425" i="17"/>
  <c r="G1424" i="17"/>
  <c r="G1423" i="17"/>
  <c r="G1422" i="17"/>
  <c r="G1421" i="17"/>
  <c r="G1420" i="17"/>
  <c r="G1419" i="17"/>
  <c r="G1418" i="17"/>
  <c r="G1417" i="17"/>
  <c r="G1470" i="17"/>
  <c r="G1469" i="17"/>
  <c r="G1468" i="17"/>
  <c r="G1467" i="17"/>
  <c r="G1466" i="17"/>
  <c r="G1465" i="17"/>
  <c r="G1464" i="17"/>
  <c r="G1463" i="17"/>
  <c r="G1462" i="17"/>
  <c r="G1461" i="17"/>
  <c r="G1460" i="17"/>
  <c r="G1459" i="17"/>
  <c r="G1458" i="17"/>
  <c r="G1457" i="17"/>
  <c r="G1456" i="17"/>
  <c r="G1455" i="17"/>
  <c r="G1454" i="17"/>
  <c r="G1453" i="17"/>
  <c r="G1506" i="17"/>
  <c r="G1505" i="17"/>
  <c r="G1504" i="17"/>
  <c r="G1503" i="17"/>
  <c r="G1502" i="17"/>
  <c r="G1501" i="17"/>
  <c r="G1500" i="17"/>
  <c r="G1499" i="17"/>
  <c r="G1498" i="17"/>
  <c r="G1497" i="17"/>
  <c r="G1496" i="17"/>
  <c r="G1495" i="17"/>
  <c r="G1494" i="17"/>
  <c r="G1493" i="17"/>
  <c r="G1492" i="17"/>
  <c r="G1491" i="17"/>
  <c r="G1490" i="17"/>
  <c r="G1489" i="17"/>
  <c r="G1133" i="17"/>
  <c r="G1132" i="17"/>
  <c r="G1131" i="17"/>
  <c r="G1130" i="17"/>
  <c r="G1129" i="17"/>
  <c r="G1128" i="17"/>
  <c r="G1127" i="17"/>
  <c r="G1126" i="17"/>
  <c r="G1125" i="17"/>
  <c r="G1124" i="17"/>
  <c r="G1123" i="17"/>
  <c r="G1122" i="17"/>
  <c r="G1121" i="17"/>
  <c r="G1120" i="17"/>
  <c r="G1119" i="17"/>
  <c r="G1118" i="17"/>
  <c r="G1117" i="17"/>
  <c r="G1168" i="17"/>
  <c r="G1167" i="17"/>
  <c r="G1166" i="17"/>
  <c r="G1165" i="17"/>
  <c r="G1164" i="17"/>
  <c r="G1163" i="17"/>
  <c r="G1162" i="17"/>
  <c r="G1161" i="17"/>
  <c r="G1160" i="17"/>
  <c r="G1159" i="17"/>
  <c r="G1158" i="17"/>
  <c r="G1157" i="17"/>
  <c r="G1156" i="17"/>
  <c r="G1155" i="17"/>
  <c r="G1154" i="17"/>
  <c r="G1153" i="17"/>
  <c r="G1152" i="17"/>
  <c r="G1203" i="17"/>
  <c r="G1202" i="17"/>
  <c r="G1201" i="17"/>
  <c r="G1200" i="17"/>
  <c r="G1199" i="17"/>
  <c r="G1198" i="17"/>
  <c r="G1197" i="17"/>
  <c r="G1196" i="17"/>
  <c r="G1195" i="17"/>
  <c r="G1194" i="17"/>
  <c r="G1193" i="17"/>
  <c r="G1192" i="17"/>
  <c r="G1191" i="17"/>
  <c r="G1190" i="17"/>
  <c r="G1189" i="17"/>
  <c r="G1188" i="17"/>
  <c r="G1187" i="17"/>
  <c r="G1116" i="17"/>
  <c r="G1115" i="17"/>
  <c r="G1114" i="17"/>
  <c r="G1113" i="17"/>
  <c r="G1112" i="17"/>
  <c r="G1111" i="17"/>
  <c r="G1110" i="17"/>
  <c r="G1109" i="17"/>
  <c r="G1108" i="17"/>
  <c r="G1107" i="17"/>
  <c r="G1106" i="17"/>
  <c r="G1105" i="17"/>
  <c r="G1104" i="17"/>
  <c r="G1103" i="17"/>
  <c r="G1102" i="17"/>
  <c r="G1101" i="17"/>
  <c r="G1100" i="17"/>
  <c r="G1099" i="17"/>
  <c r="G1151" i="17"/>
  <c r="G1150" i="17"/>
  <c r="G1149" i="17"/>
  <c r="G1148" i="17"/>
  <c r="G1147" i="17"/>
  <c r="G1146" i="17"/>
  <c r="G1145" i="17"/>
  <c r="G1144" i="17"/>
  <c r="G1143" i="17"/>
  <c r="G1142" i="17"/>
  <c r="G1141" i="17"/>
  <c r="G1140" i="17"/>
  <c r="G1139" i="17"/>
  <c r="G1138" i="17"/>
  <c r="G1137" i="17"/>
  <c r="G1136" i="17"/>
  <c r="G1135" i="17"/>
  <c r="G1134" i="17"/>
  <c r="G1186" i="17"/>
  <c r="G1185" i="17"/>
  <c r="G1184" i="17"/>
  <c r="G1183" i="17"/>
  <c r="G1182" i="17"/>
  <c r="G1181" i="17"/>
  <c r="G1180" i="17"/>
  <c r="G1179" i="17"/>
  <c r="G1178" i="17"/>
  <c r="G1177" i="17"/>
  <c r="G1176" i="17"/>
  <c r="G1175" i="17"/>
  <c r="G1174" i="17"/>
  <c r="G1173" i="17"/>
  <c r="G1172" i="17"/>
  <c r="G1171" i="17"/>
  <c r="G1170" i="17"/>
  <c r="G1169" i="17"/>
  <c r="G819" i="17"/>
  <c r="G818" i="17"/>
  <c r="G817" i="17"/>
  <c r="G816" i="17"/>
  <c r="G815" i="17"/>
  <c r="G814" i="17"/>
  <c r="G813" i="17"/>
  <c r="G812" i="17"/>
  <c r="G811" i="17"/>
  <c r="G810" i="17"/>
  <c r="G809" i="17"/>
  <c r="G808" i="17"/>
  <c r="G807" i="17"/>
  <c r="G806" i="17"/>
  <c r="G805" i="17"/>
  <c r="G804" i="17"/>
  <c r="G803" i="17"/>
  <c r="G854" i="17"/>
  <c r="G853" i="17"/>
  <c r="G852" i="17"/>
  <c r="G851" i="17"/>
  <c r="G850" i="17"/>
  <c r="G849" i="17"/>
  <c r="G848" i="17"/>
  <c r="G847" i="17"/>
  <c r="G846" i="17"/>
  <c r="G845" i="17"/>
  <c r="G844" i="17"/>
  <c r="G843" i="17"/>
  <c r="G842" i="17"/>
  <c r="G841" i="17"/>
  <c r="G840" i="17"/>
  <c r="G839" i="17"/>
  <c r="G838" i="17"/>
  <c r="G888" i="17"/>
  <c r="G887" i="17"/>
  <c r="G886" i="17"/>
  <c r="G885" i="17"/>
  <c r="G884" i="17"/>
  <c r="G883" i="17"/>
  <c r="G882" i="17"/>
  <c r="G881" i="17"/>
  <c r="G880" i="17"/>
  <c r="G879" i="17"/>
  <c r="G878" i="17"/>
  <c r="G877" i="17"/>
  <c r="G876" i="17"/>
  <c r="G875" i="17"/>
  <c r="G874" i="17"/>
  <c r="G873" i="17"/>
  <c r="G802" i="17"/>
  <c r="G801" i="17"/>
  <c r="G800" i="17"/>
  <c r="G799" i="17"/>
  <c r="G798" i="17"/>
  <c r="G797" i="17"/>
  <c r="G796" i="17"/>
  <c r="G795" i="17"/>
  <c r="G794" i="17"/>
  <c r="G793" i="17"/>
  <c r="G792" i="17"/>
  <c r="G791" i="17"/>
  <c r="G790" i="17"/>
  <c r="G789" i="17"/>
  <c r="G788" i="17"/>
  <c r="G787" i="17"/>
  <c r="G786" i="17"/>
  <c r="G785" i="17"/>
  <c r="G837" i="17"/>
  <c r="G836" i="17"/>
  <c r="G835" i="17"/>
  <c r="G834" i="17"/>
  <c r="G833" i="17"/>
  <c r="G832" i="17"/>
  <c r="G831" i="17"/>
  <c r="G830" i="17"/>
  <c r="G829" i="17"/>
  <c r="G828" i="17"/>
  <c r="G827" i="17"/>
  <c r="G826" i="17"/>
  <c r="G825" i="17"/>
  <c r="G824" i="17"/>
  <c r="G823" i="17"/>
  <c r="G822" i="17"/>
  <c r="G821" i="17"/>
  <c r="G820" i="17"/>
  <c r="G872" i="17"/>
  <c r="G871" i="17"/>
  <c r="G870" i="17"/>
  <c r="G869" i="17"/>
  <c r="G868" i="17"/>
  <c r="G867" i="17"/>
  <c r="G866" i="17"/>
  <c r="G865" i="17"/>
  <c r="G864" i="17"/>
  <c r="G863" i="17"/>
  <c r="G862" i="17"/>
  <c r="G861" i="17"/>
  <c r="G860" i="17"/>
  <c r="G859" i="17"/>
  <c r="G858" i="17"/>
  <c r="G857" i="17"/>
  <c r="G856" i="17"/>
  <c r="G855" i="17"/>
  <c r="G507" i="17"/>
  <c r="G506" i="17"/>
  <c r="G505" i="17"/>
  <c r="G504" i="17"/>
  <c r="G503" i="17"/>
  <c r="G502" i="17"/>
  <c r="G501" i="17"/>
  <c r="G500" i="17"/>
  <c r="G499" i="17"/>
  <c r="G498" i="17"/>
  <c r="G497" i="17"/>
  <c r="G496" i="17"/>
  <c r="G495" i="17"/>
  <c r="G494" i="17"/>
  <c r="G493" i="17"/>
  <c r="G492" i="17"/>
  <c r="G491" i="17"/>
  <c r="G541" i="17"/>
  <c r="G540" i="17"/>
  <c r="G539" i="17"/>
  <c r="G538" i="17"/>
  <c r="G537" i="17"/>
  <c r="G536" i="17"/>
  <c r="G535" i="17"/>
  <c r="G534" i="17"/>
  <c r="G533" i="17"/>
  <c r="G532" i="17"/>
  <c r="G531" i="17"/>
  <c r="G530" i="17"/>
  <c r="G529" i="17"/>
  <c r="G528" i="17"/>
  <c r="G527" i="17"/>
  <c r="G526" i="17"/>
  <c r="G525" i="17"/>
  <c r="G575" i="17"/>
  <c r="G574" i="17"/>
  <c r="G573" i="17"/>
  <c r="G572" i="17"/>
  <c r="G571" i="17"/>
  <c r="G570" i="17"/>
  <c r="G569" i="17"/>
  <c r="G568" i="17"/>
  <c r="G567" i="17"/>
  <c r="G566" i="17"/>
  <c r="G565" i="17"/>
  <c r="G564" i="17"/>
  <c r="G563" i="17"/>
  <c r="G562" i="17"/>
  <c r="G561" i="17"/>
  <c r="G560" i="17"/>
  <c r="G559" i="17"/>
  <c r="G490" i="17"/>
  <c r="G489" i="17"/>
  <c r="G488" i="17"/>
  <c r="G487" i="17"/>
  <c r="G486" i="17"/>
  <c r="G485" i="17"/>
  <c r="G484" i="17"/>
  <c r="G483" i="17"/>
  <c r="G482" i="17"/>
  <c r="G481" i="17"/>
  <c r="G480" i="17"/>
  <c r="G479" i="17"/>
  <c r="G478" i="17"/>
  <c r="G477" i="17"/>
  <c r="G476" i="17"/>
  <c r="G475" i="17"/>
  <c r="G474" i="17"/>
  <c r="G524" i="17"/>
  <c r="G523" i="17"/>
  <c r="G522" i="17"/>
  <c r="G521" i="17"/>
  <c r="G520" i="17"/>
  <c r="G519" i="17"/>
  <c r="G518" i="17"/>
  <c r="G517" i="17"/>
  <c r="G516" i="17"/>
  <c r="G515" i="17"/>
  <c r="G514" i="17"/>
  <c r="G513" i="17"/>
  <c r="G512" i="17"/>
  <c r="G511" i="17"/>
  <c r="G510" i="17"/>
  <c r="G509" i="17"/>
  <c r="G508" i="17"/>
  <c r="G558" i="17"/>
  <c r="G557" i="17"/>
  <c r="G556" i="17"/>
  <c r="G555" i="17"/>
  <c r="G554" i="17"/>
  <c r="G553" i="17"/>
  <c r="G552" i="17"/>
  <c r="G551" i="17"/>
  <c r="G550" i="17"/>
  <c r="G549" i="17"/>
  <c r="G548" i="17"/>
  <c r="G547" i="17"/>
  <c r="G546" i="17"/>
  <c r="G545" i="17"/>
  <c r="G544" i="17"/>
  <c r="G543" i="17"/>
  <c r="G542" i="17"/>
  <c r="G206" i="17"/>
  <c r="G205" i="17"/>
  <c r="G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G225" i="17"/>
  <c r="G224" i="17"/>
  <c r="G276" i="17"/>
  <c r="G275" i="17"/>
  <c r="G274" i="17"/>
  <c r="G273" i="17"/>
  <c r="G272" i="17"/>
  <c r="G271" i="17"/>
  <c r="G270" i="17"/>
  <c r="G269" i="17"/>
  <c r="G268" i="17"/>
  <c r="G267" i="17"/>
  <c r="G266" i="17"/>
  <c r="G265" i="17"/>
  <c r="G264" i="17"/>
  <c r="G263" i="17"/>
  <c r="G262" i="17"/>
  <c r="G261" i="17"/>
  <c r="G260" i="17"/>
  <c r="G259" i="17"/>
  <c r="G188" i="17"/>
  <c r="G187" i="17"/>
  <c r="G186" i="17"/>
  <c r="G185" i="17"/>
  <c r="G184" i="17"/>
  <c r="G183" i="17"/>
  <c r="G182" i="17"/>
  <c r="G181" i="17"/>
  <c r="G180" i="17"/>
  <c r="G179" i="17"/>
  <c r="G178" i="17"/>
  <c r="G177" i="17"/>
  <c r="G176" i="17"/>
  <c r="G175" i="17"/>
  <c r="G174" i="17"/>
  <c r="G173" i="17"/>
  <c r="G172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58" i="17"/>
  <c r="G257" i="17"/>
  <c r="G256" i="17"/>
  <c r="G255" i="17"/>
  <c r="G254" i="17"/>
  <c r="G253" i="17"/>
  <c r="G252" i="17"/>
  <c r="G251" i="17"/>
  <c r="G250" i="17"/>
  <c r="G249" i="17"/>
  <c r="G248" i="17"/>
  <c r="G247" i="17"/>
  <c r="G246" i="17"/>
  <c r="G245" i="17"/>
  <c r="G244" i="17"/>
  <c r="G243" i="17"/>
  <c r="G242" i="17"/>
  <c r="M5483" i="23"/>
  <c r="N5483" i="23" s="1"/>
  <c r="M6108" i="23" l="1"/>
  <c r="N6108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Rota381</author>
  </authors>
  <commentList>
    <comment ref="C756" authorId="0" shapeId="0" xr:uid="{EF96BE9C-594B-49FD-AFBC-CC40A26B519F}">
      <text>
        <r>
          <rPr>
            <b/>
            <sz val="9"/>
            <color indexed="81"/>
            <rFont val="Segoe UI"/>
            <family val="2"/>
          </rPr>
          <t>Rota381:</t>
        </r>
        <r>
          <rPr>
            <sz val="9"/>
            <color indexed="81"/>
            <rFont val="Segoe UI"/>
            <family val="2"/>
          </rPr>
          <t xml:space="preserve">
EWJ 1379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Rota381</author>
  </authors>
  <commentList>
    <comment ref="G18015" authorId="0" shapeId="0" xr:uid="{AEB815BE-BAB7-4FD9-BE8A-B7AC92F9B3D9}">
      <text>
        <r>
          <rPr>
            <b/>
            <sz val="9"/>
            <color indexed="81"/>
            <rFont val="Segoe UI"/>
            <family val="2"/>
          </rPr>
          <t>Rota381:</t>
        </r>
        <r>
          <rPr>
            <sz val="9"/>
            <color indexed="81"/>
            <rFont val="Segoe UI"/>
            <family val="2"/>
          </rPr>
          <t xml:space="preserve">
FOI PRECISO REFAZER O MOTOR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Rota381</author>
  </authors>
  <commentList>
    <comment ref="R1" authorId="0" shapeId="0" xr:uid="{22669D11-3AC2-4BF3-9D58-593189B212F5}">
      <text>
        <r>
          <rPr>
            <b/>
            <sz val="9"/>
            <color indexed="81"/>
            <rFont val="Segoe UI"/>
            <family val="2"/>
          </rPr>
          <t>Valor do Veículo Fipe (usado) ou Valor pago de aquisição</t>
        </r>
      </text>
    </comment>
    <comment ref="B40" authorId="0" shapeId="0" xr:uid="{71949671-3E3A-41DA-AC34-0555C9933BC9}">
      <text>
        <r>
          <rPr>
            <b/>
            <sz val="9"/>
            <color indexed="81"/>
            <rFont val="Segoe UI"/>
            <family val="2"/>
          </rPr>
          <t>Rota381:</t>
        </r>
        <r>
          <rPr>
            <sz val="9"/>
            <color indexed="81"/>
            <rFont val="Segoe UI"/>
            <family val="2"/>
          </rPr>
          <t xml:space="preserve">
MOTO</t>
        </r>
      </text>
    </comment>
    <comment ref="B50" authorId="0" shapeId="0" xr:uid="{90D0122F-F757-4737-8CD8-356FFE3A192C}">
      <text>
        <r>
          <rPr>
            <b/>
            <sz val="9"/>
            <color indexed="81"/>
            <rFont val="Segoe UI"/>
            <family val="2"/>
          </rPr>
          <t>Rota381:</t>
        </r>
        <r>
          <rPr>
            <sz val="9"/>
            <color indexed="81"/>
            <rFont val="Segoe UI"/>
            <family val="2"/>
          </rPr>
          <t xml:space="preserve">
UNO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C0D5C0-8767-4E3A-BA5D-257FA0F42912}" keepAlive="1" name="Consulta - Tabela6" description="Conexão com a consulta 'Tabela6' na pasta de trabalho." type="5" refreshedVersion="8" background="1" saveData="1">
    <dbPr connection="Provider=Microsoft.Mashup.OleDb.1;Data Source=$Workbook$;Location=Tabela6;Extended Properties=&quot;&quot;" command="SELECT * FROM [Tabela6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<sst xmlns="http://schemas.openxmlformats.org/spreadsheetml/2006/main" count="96140" uniqueCount="751">
  <si>
    <t>INDICADORES</t>
  </si>
  <si>
    <t>Æ</t>
  </si>
  <si>
    <t>PEDÁGIOS</t>
  </si>
  <si>
    <t>DIÁRIAS</t>
  </si>
  <si>
    <t>COMBUSTÍVEL</t>
  </si>
  <si>
    <t>KM RODADO</t>
  </si>
  <si>
    <t>CUSTOS FIXOS</t>
  </si>
  <si>
    <t>CUSTOS VARIÁVEIS</t>
  </si>
  <si>
    <t>CMR 5893</t>
  </si>
  <si>
    <t>CPN 1798</t>
  </si>
  <si>
    <t>NYF 1166</t>
  </si>
  <si>
    <t>OOY 7286</t>
  </si>
  <si>
    <t>OQK 6717</t>
  </si>
  <si>
    <t>PVD 2450</t>
  </si>
  <si>
    <t>PZA 3995</t>
  </si>
  <si>
    <t>PZE 8684</t>
  </si>
  <si>
    <t>PZE 8689</t>
  </si>
  <si>
    <t>QMQ 5351</t>
  </si>
  <si>
    <t>QNU 5805</t>
  </si>
  <si>
    <t>QPA 8450</t>
  </si>
  <si>
    <t>QQM 5087</t>
  </si>
  <si>
    <t>HGJ 5319</t>
  </si>
  <si>
    <t>FHI 8909</t>
  </si>
  <si>
    <t>QWS 8608</t>
  </si>
  <si>
    <t>SINISTRO (FRANQUIA)</t>
  </si>
  <si>
    <t>MULTAS / INFRAÇÕES</t>
  </si>
  <si>
    <t>DEPRECIAÇÃO</t>
  </si>
  <si>
    <t>CUSTO DA FROTA</t>
  </si>
  <si>
    <t>CUSTO DA M.O.D</t>
  </si>
  <si>
    <t>GESTÃO DOS CUSTOS</t>
  </si>
  <si>
    <t>GESTÃO M.O.D</t>
  </si>
  <si>
    <t>Anexo 1 - P05</t>
  </si>
  <si>
    <t>ESTACIONAMENTO</t>
  </si>
  <si>
    <t>AGREGADOS</t>
  </si>
  <si>
    <t>SEGURO DO VEÍCULO</t>
  </si>
  <si>
    <t>SEGURO DA CARGA</t>
  </si>
  <si>
    <t>RASTREAMENTO</t>
  </si>
  <si>
    <t>EMPILHADEIRA</t>
  </si>
  <si>
    <t>QUM 8566</t>
  </si>
  <si>
    <t>FJV 3D37</t>
  </si>
  <si>
    <t>RMF 8H75</t>
  </si>
  <si>
    <t>HOB 1G50</t>
  </si>
  <si>
    <t>CPN 2A40</t>
  </si>
  <si>
    <t>BPQ 3I53</t>
  </si>
  <si>
    <t>CATEGORIA</t>
  </si>
  <si>
    <t>TIPO DE CUSTOS</t>
  </si>
  <si>
    <t>DESCRIÇÃO DOS CUSTOS</t>
  </si>
  <si>
    <t>CUSTO</t>
  </si>
  <si>
    <t>VEÍCULO</t>
  </si>
  <si>
    <t>TODOS</t>
  </si>
  <si>
    <t>CUSTO DO VEÍCULO</t>
  </si>
  <si>
    <t>N.A</t>
  </si>
  <si>
    <t>DATA</t>
  </si>
  <si>
    <t>ADM TRANSPORTE</t>
  </si>
  <si>
    <t>ADM TRANSPORTES (HE)</t>
  </si>
  <si>
    <t>AJUDANTES</t>
  </si>
  <si>
    <t>MOTORISTAS</t>
  </si>
  <si>
    <t>POWER BI</t>
  </si>
  <si>
    <t>PRÓPRIO</t>
  </si>
  <si>
    <t>SIM</t>
  </si>
  <si>
    <t>QTDE ACUMULADA</t>
  </si>
  <si>
    <t>TIPO</t>
  </si>
  <si>
    <t>DAO 3H66</t>
  </si>
  <si>
    <t>SEMI REBOQUE</t>
  </si>
  <si>
    <t>GWI 4D64</t>
  </si>
  <si>
    <t>LNV 3C99</t>
  </si>
  <si>
    <t>ELW 5C29</t>
  </si>
  <si>
    <t>EWJ 1D79</t>
  </si>
  <si>
    <t>AXS 9G25</t>
  </si>
  <si>
    <t>PVA 3J90</t>
  </si>
  <si>
    <t>FMZ 8I54</t>
  </si>
  <si>
    <t>GGN 2B61</t>
  </si>
  <si>
    <t>FZG 4F66</t>
  </si>
  <si>
    <t>FZG 5A23</t>
  </si>
  <si>
    <t>RUJ 4I21</t>
  </si>
  <si>
    <t>N° CHASSIS</t>
  </si>
  <si>
    <t>RENAVAN</t>
  </si>
  <si>
    <t>ANO FABRICAÇÃO</t>
  </si>
  <si>
    <t>ANO MODELO</t>
  </si>
  <si>
    <t>LIMITE DE CARGA</t>
  </si>
  <si>
    <t>MARCA</t>
  </si>
  <si>
    <t>MODELO</t>
  </si>
  <si>
    <t>MOTORIZAÇÃO</t>
  </si>
  <si>
    <t>COR</t>
  </si>
  <si>
    <t>9BM695014WB167752</t>
  </si>
  <si>
    <t>M.BENZ</t>
  </si>
  <si>
    <t>L 1620</t>
  </si>
  <si>
    <t>TRUCK</t>
  </si>
  <si>
    <t>BRANCO</t>
  </si>
  <si>
    <t>DIESEL</t>
  </si>
  <si>
    <t>9BM6953046B502206</t>
  </si>
  <si>
    <t>VERMELHO</t>
  </si>
  <si>
    <t>9BM958094CB858112</t>
  </si>
  <si>
    <t>ATEGO 2426</t>
  </si>
  <si>
    <t>9531M52P7ER430316</t>
  </si>
  <si>
    <t>VOLKS</t>
  </si>
  <si>
    <t>8160 DRV 4X2</t>
  </si>
  <si>
    <t>3/4 MEDIO</t>
  </si>
  <si>
    <t>9BFXCE5U1BBB77963</t>
  </si>
  <si>
    <t>FORD</t>
  </si>
  <si>
    <t xml:space="preserve">CARGO 1517 E </t>
  </si>
  <si>
    <t>TOCO</t>
  </si>
  <si>
    <t>PRATA</t>
  </si>
  <si>
    <t>9533182T2CR228786</t>
  </si>
  <si>
    <t>17 180 EURO</t>
  </si>
  <si>
    <t>9535N8249CR215295</t>
  </si>
  <si>
    <t>24.250 CLC 6X2</t>
  </si>
  <si>
    <t>9531M52P2CR239612</t>
  </si>
  <si>
    <t>8160 DRC 4X2</t>
  </si>
  <si>
    <t>9BFVEADS5DBS43943</t>
  </si>
  <si>
    <t>CARGO 816 S</t>
  </si>
  <si>
    <t>9BM694000EB971464</t>
  </si>
  <si>
    <t>ATRON 1319</t>
  </si>
  <si>
    <t>9BGCA8030HB142569</t>
  </si>
  <si>
    <t>CHEVROLET</t>
  </si>
  <si>
    <t>MONTANA LS2</t>
  </si>
  <si>
    <t>LEVE-PASSEIO</t>
  </si>
  <si>
    <t>9BM979028GS041152</t>
  </si>
  <si>
    <t>ACCELO 815</t>
  </si>
  <si>
    <t>9BM979078GS041870</t>
  </si>
  <si>
    <t>ACCELO 1016</t>
  </si>
  <si>
    <t>9BM958164HB060716</t>
  </si>
  <si>
    <t>93YVBU4x1JJ092568</t>
  </si>
  <si>
    <t>RENAULT</t>
  </si>
  <si>
    <t>MASTER CH CABINE</t>
  </si>
  <si>
    <t>CAMINHONETE</t>
  </si>
  <si>
    <t>9BM958134JB109805</t>
  </si>
  <si>
    <t>ATEGO 1419</t>
  </si>
  <si>
    <t>93YVBU4X1LJ855272</t>
  </si>
  <si>
    <t>9BWKB45U3LP014787</t>
  </si>
  <si>
    <t>SAVEIRO ROBUST</t>
  </si>
  <si>
    <t>9BM958134LB151116</t>
  </si>
  <si>
    <t>ATEGO 1419 CL</t>
  </si>
  <si>
    <t>9BWKB45U9MP036603</t>
  </si>
  <si>
    <t>9BWA952P76R612482</t>
  </si>
  <si>
    <t>8.150E DELIVERY</t>
  </si>
  <si>
    <t>93ZC0359ZM8493111</t>
  </si>
  <si>
    <t>IVECO</t>
  </si>
  <si>
    <t>DAILY 35-150 cs</t>
  </si>
  <si>
    <t>9BWWF82T13R317841</t>
  </si>
  <si>
    <t>9BSP4X200D3833542</t>
  </si>
  <si>
    <t>SCANIA</t>
  </si>
  <si>
    <t>P360</t>
  </si>
  <si>
    <t>TRAÇÃO CAMINHÃO</t>
  </si>
  <si>
    <t>9BM958094DB912086</t>
  </si>
  <si>
    <t>9BSP6X200E3845877</t>
  </si>
  <si>
    <t>AZUL</t>
  </si>
  <si>
    <t>9BM958434MB213914</t>
  </si>
  <si>
    <t>AXOR 2041 LS</t>
  </si>
  <si>
    <t>9BM958434MB221835</t>
  </si>
  <si>
    <t>93ZC35B01F8465923</t>
  </si>
  <si>
    <t>DAILY 35S14 HDCS</t>
  </si>
  <si>
    <t>9BM958166MB243864</t>
  </si>
  <si>
    <t>ATEGO 2426 CE</t>
  </si>
  <si>
    <t>93YU62007PJ197460</t>
  </si>
  <si>
    <t>MASTER CHASSI CABINE</t>
  </si>
  <si>
    <t>9BWKB45UXGP020821</t>
  </si>
  <si>
    <t>SAVEIRO SURF</t>
  </si>
  <si>
    <t>AQUISIÇÃO</t>
  </si>
  <si>
    <t>9ADK124334M195656</t>
  </si>
  <si>
    <t>RANDON</t>
  </si>
  <si>
    <t>RANDON SR CC</t>
  </si>
  <si>
    <t>9ADG124322M173361</t>
  </si>
  <si>
    <t>RANDON SR CA</t>
  </si>
  <si>
    <t>955R1543BCS341749</t>
  </si>
  <si>
    <t>RANDONSP SRFG CG</t>
  </si>
  <si>
    <t>AMARELO</t>
  </si>
  <si>
    <t>955L1543EFS362107</t>
  </si>
  <si>
    <t>RANDONSP SRFG LO</t>
  </si>
  <si>
    <t>PRETA</t>
  </si>
  <si>
    <t>DJB 3332</t>
  </si>
  <si>
    <t>9AA07133G4C049193</t>
  </si>
  <si>
    <t>GUERRA</t>
  </si>
  <si>
    <t>GUERRA AG GR</t>
  </si>
  <si>
    <t>DTB 7304</t>
  </si>
  <si>
    <t>94BF146377V013274</t>
  </si>
  <si>
    <t>FACCHINI</t>
  </si>
  <si>
    <t>FACCHINI SRF LO</t>
  </si>
  <si>
    <t>CAPACIDADE DO TANQUE (L)</t>
  </si>
  <si>
    <t>DOC.(IPVA/DPVAT/LICENC.)</t>
  </si>
  <si>
    <t>MANUT. CORRET.</t>
  </si>
  <si>
    <t>MANUT. PREV.</t>
  </si>
  <si>
    <t>MOTORISTAS (HE)</t>
  </si>
  <si>
    <t>AJUDANTES (HE)</t>
  </si>
  <si>
    <t>NOME DO MÊS</t>
  </si>
  <si>
    <t>NÚMERO DO MÊS</t>
  </si>
  <si>
    <t>OBJETIVO CUSTO/KM RODADO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</si>
  <si>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</si>
  <si>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</si>
  <si>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</si>
  <si>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</si>
  <si>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</si>
  <si>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</si>
  <si>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</si>
  <si>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</si>
  <si>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</si>
  <si>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</si>
  <si>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</si>
  <si>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</si>
  <si>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OBETIVO</t>
  </si>
  <si>
    <t>SAL./BEN.</t>
  </si>
  <si>
    <t>AVARIAS</t>
  </si>
  <si>
    <t>CUSTO DE AVARIAS</t>
  </si>
  <si>
    <t>FSR 0H16</t>
  </si>
  <si>
    <t>EYC 3854</t>
  </si>
  <si>
    <t>FWA 3148</t>
  </si>
  <si>
    <t>OQG 0668</t>
  </si>
  <si>
    <t>HLV 4105</t>
  </si>
  <si>
    <t>VALOR DO VEÍCULO</t>
  </si>
  <si>
    <t>% DE DEPRECIAÇÃO</t>
  </si>
  <si>
    <t>DEPRECIAÇÃO ANUAL</t>
  </si>
  <si>
    <t>DIVISÃO</t>
  </si>
  <si>
    <t>Valor Mensal</t>
  </si>
  <si>
    <t>TEMPO DE DEPRECIAÇÃO</t>
  </si>
  <si>
    <t>NÃO</t>
  </si>
  <si>
    <t>EZT 5167</t>
  </si>
  <si>
    <t>EMR 5893</t>
  </si>
  <si>
    <t>QUQ 5351</t>
  </si>
  <si>
    <t>MOTO</t>
  </si>
  <si>
    <t xml:space="preserve">PLANILHA DE GESTÃO OPERACIONAL DA FROTA </t>
  </si>
  <si>
    <t>Março</t>
  </si>
  <si>
    <t>Abril</t>
  </si>
  <si>
    <t>EBO 0I79</t>
  </si>
  <si>
    <t>CKT 5C73</t>
  </si>
  <si>
    <t>CONTROLE DE COMBUSTÍVEL</t>
  </si>
  <si>
    <t>PLACA</t>
  </si>
  <si>
    <t>POSTO</t>
  </si>
  <si>
    <t>KM ATUAL</t>
  </si>
  <si>
    <t>KM FINAL</t>
  </si>
  <si>
    <t>CONSUMO</t>
  </si>
  <si>
    <t>DESCONTO</t>
  </si>
  <si>
    <t>VALOR UNIT</t>
  </si>
  <si>
    <t>C/ DESC</t>
  </si>
  <si>
    <t>AUTO POSTO SACI</t>
  </si>
  <si>
    <t>POSTO FAROL</t>
  </si>
  <si>
    <t>RODOPOSTO OLIVEIRA</t>
  </si>
  <si>
    <t xml:space="preserve">POSTOS </t>
  </si>
  <si>
    <t>GRAAL ALEMÃO</t>
  </si>
  <si>
    <t>FLEX</t>
  </si>
  <si>
    <t>ARLA?</t>
  </si>
  <si>
    <t>COMBUSTIVEL</t>
  </si>
  <si>
    <t>ARLA</t>
  </si>
  <si>
    <t>DESCRIÇÃO DO ABASTECIMENTO</t>
  </si>
  <si>
    <t>CUSTO TOTAL</t>
  </si>
  <si>
    <t>GASOLINA</t>
  </si>
  <si>
    <t>ETANOL</t>
  </si>
  <si>
    <t>RODOPOSTO MIRANTE</t>
  </si>
  <si>
    <t>AUTO POSTO CLARISTELA</t>
  </si>
  <si>
    <t>AUTO POSTO GIGIO</t>
  </si>
  <si>
    <t>AUTO POSTO MORINI</t>
  </si>
  <si>
    <t>AUTO POSTO RVM MAX</t>
  </si>
  <si>
    <t>POSTO 7 SÃO CARLOS</t>
  </si>
  <si>
    <t>SIM REDE DE POSTOS</t>
  </si>
  <si>
    <t>BEIRA MINHO</t>
  </si>
  <si>
    <t>ROZINELI &amp; ROZINELI</t>
  </si>
  <si>
    <t>COMBO AUTO POSTO</t>
  </si>
  <si>
    <t>IMPERADOR DOM PEDRO I</t>
  </si>
  <si>
    <t>DOM PEDRO I 124 SUL</t>
  </si>
  <si>
    <t>DOM PEDRO ALIANÇA</t>
  </si>
  <si>
    <t>DOM PEDRO ITATIAIUÇU</t>
  </si>
  <si>
    <t>TATITA CENTRO</t>
  </si>
  <si>
    <t>FRANGO ASSADO ATIBAIA</t>
  </si>
  <si>
    <t>TATITA FERNÃO DIAS</t>
  </si>
  <si>
    <t>ULTRAMARINO</t>
  </si>
  <si>
    <t>GAVIÃO DA ANHANGUERA</t>
  </si>
  <si>
    <t>AUTO POSTO SERRA SUL</t>
  </si>
  <si>
    <t>RESIDÊNCIA FUCK</t>
  </si>
  <si>
    <t>NOVA TRABALHADORES</t>
  </si>
  <si>
    <t>DOM PEDRO ATIBAIA</t>
  </si>
  <si>
    <t>DOM PEDRO CAMBUÍ</t>
  </si>
  <si>
    <t>DOM PEDRO ITAPEVA</t>
  </si>
  <si>
    <t>DOM PEDRO POUSO ALEGRE</t>
  </si>
  <si>
    <t>DOM PEDRO DE LEME</t>
  </si>
  <si>
    <t>DOM PEDRO ESTIVA</t>
  </si>
  <si>
    <t>DOM PEDRO DE MIRACATU</t>
  </si>
  <si>
    <t>POSTO ITASUL</t>
  </si>
  <si>
    <t>POSTO ZÉ RAMOS</t>
  </si>
  <si>
    <t>POSTO MOCOCÃO</t>
  </si>
  <si>
    <t>POSTO MALAGUETA</t>
  </si>
  <si>
    <t>DOM PEDRO LORENA</t>
  </si>
  <si>
    <t>DOM PEDRO PINDAMONHANGABA</t>
  </si>
  <si>
    <t>TIGRÃO DA DUTRA</t>
  </si>
  <si>
    <t>POSTO JR FAISÃO</t>
  </si>
  <si>
    <t>AUTO POSTO SANTA ADELIA</t>
  </si>
  <si>
    <t>RODOPOSTO MARIPORÃ</t>
  </si>
  <si>
    <t>POSTO GARCIA</t>
  </si>
  <si>
    <t xml:space="preserve">POSTO VASSUNUNGA </t>
  </si>
  <si>
    <t/>
  </si>
  <si>
    <t>RJV 4I21</t>
  </si>
  <si>
    <t>DOM PEDRO EXTREMA</t>
  </si>
  <si>
    <t>MORRO AZUL DE ITATITA</t>
  </si>
  <si>
    <t>FRANGO ASSADO CRAVINHOS</t>
  </si>
  <si>
    <t>AUTO POSTO REPRESA</t>
  </si>
  <si>
    <t>G e G AUTOPOSTO</t>
  </si>
  <si>
    <t>VIVIANO AUTO POSTO</t>
  </si>
  <si>
    <t>AUTO POSTO BRISA</t>
  </si>
  <si>
    <t>RETIRO AUTO POSTO</t>
  </si>
  <si>
    <t>KM/Litro</t>
  </si>
  <si>
    <t xml:space="preserve">KM Rodados </t>
  </si>
  <si>
    <t>REDETUKAS</t>
  </si>
  <si>
    <t xml:space="preserve">DOM PEDRO BRAGANÇA </t>
  </si>
  <si>
    <t>OQD 1416</t>
  </si>
  <si>
    <t>9BVAG20C5DE802777</t>
  </si>
  <si>
    <t>VOLVO</t>
  </si>
  <si>
    <t>VOLO/FH 460 6X2T</t>
  </si>
  <si>
    <t xml:space="preserve">POSTO PELANDA </t>
  </si>
  <si>
    <t xml:space="preserve">POSTO MORADA DO SOL </t>
  </si>
  <si>
    <t xml:space="preserve">POSTO BELA VISTA </t>
  </si>
  <si>
    <t>POSTO BCA MARIALVA</t>
  </si>
  <si>
    <t>RODO POSTO ESTIVA</t>
  </si>
  <si>
    <t>POSTO ABOLICAO</t>
  </si>
  <si>
    <t>POSTO SCARIOT</t>
  </si>
  <si>
    <t>AUTO POSTO PIVA</t>
  </si>
  <si>
    <t>AUTO POSTO GRUTA</t>
  </si>
  <si>
    <t>Ajuste M.</t>
  </si>
  <si>
    <t>SIJ 7J52</t>
  </si>
  <si>
    <t>BRANCA</t>
  </si>
  <si>
    <t>POSTO SOL DA DUTRA</t>
  </si>
  <si>
    <t>POSTO OURO VERDE</t>
  </si>
  <si>
    <t>BORTOLETO CIA</t>
  </si>
  <si>
    <t>POSTO CRISTAL</t>
  </si>
  <si>
    <t>CUPOM</t>
  </si>
  <si>
    <t xml:space="preserve">POSTO ROTA SUL </t>
  </si>
  <si>
    <t>Hiato</t>
  </si>
  <si>
    <t>DOM PEDRO BARRA MANSA</t>
  </si>
  <si>
    <t>Rótulos de Linha</t>
  </si>
  <si>
    <t>Total Geral</t>
  </si>
  <si>
    <t xml:space="preserve">Soma de KM Rodados </t>
  </si>
  <si>
    <t>(Vários itens)</t>
  </si>
  <si>
    <t>DOM PEDRO OLIVEIRA</t>
  </si>
  <si>
    <t>COMERCIAL OLIVEIRA</t>
  </si>
  <si>
    <t>DOM PEDRO CACHOEIRA</t>
  </si>
  <si>
    <t>DOM PEDRO SANTO ESTEVÃO</t>
  </si>
  <si>
    <t>DOM PEDRO DIVISA ALEGRE</t>
  </si>
  <si>
    <t>POSTO NACIONAL</t>
  </si>
  <si>
    <t>POSTO PICA PAU</t>
  </si>
  <si>
    <t>PV BANDEIRANTES</t>
  </si>
  <si>
    <t>ECO POSTO BELLA CITTA</t>
  </si>
  <si>
    <t>(Tudo)</t>
  </si>
  <si>
    <t>(vazio)</t>
  </si>
  <si>
    <t xml:space="preserve">Contagem de KM Rodados </t>
  </si>
  <si>
    <t xml:space="preserve">DOM PEDRO PARAOPEBA </t>
  </si>
  <si>
    <t>UIRAPURU</t>
  </si>
  <si>
    <t>DOM PEDRO SÃO JORGE</t>
  </si>
  <si>
    <t>DOM PEDRO SÃO GONÇALO</t>
  </si>
  <si>
    <t>POSTO TREVO 2</t>
  </si>
  <si>
    <t>POSTO BREDA</t>
  </si>
  <si>
    <t>DOM PEDRO SALINAS</t>
  </si>
  <si>
    <t>AUTO POSTO MIRADORO</t>
  </si>
  <si>
    <t>REDE FALCO</t>
  </si>
  <si>
    <t>9VCVBYHVEPA007512</t>
  </si>
  <si>
    <t>FIAT</t>
  </si>
  <si>
    <t>SCUDO CARGO</t>
  </si>
  <si>
    <t>FURGÃO</t>
  </si>
  <si>
    <t>SIX 6A60</t>
  </si>
  <si>
    <t>9BM951511PB329130</t>
  </si>
  <si>
    <t>M.BENZ/ATEGO 2429CE</t>
  </si>
  <si>
    <t>POSTO GAVIÃO</t>
  </si>
  <si>
    <t>ASW 9991</t>
  </si>
  <si>
    <t>CANALIOLO</t>
  </si>
  <si>
    <t>BRASIL GRILL</t>
  </si>
  <si>
    <t>DOM PEDRO PARAOPEBAS</t>
  </si>
  <si>
    <t>DOM PEDRO FREI INOCENCIO</t>
  </si>
  <si>
    <t>DOM PEDRO JAGUAQUARA</t>
  </si>
  <si>
    <t>POSTO 3 LEOPOLDINA</t>
  </si>
  <si>
    <t>Viagem dia 06/11/2023</t>
  </si>
  <si>
    <t>Consumo Diesel</t>
  </si>
  <si>
    <t xml:space="preserve">Consumo Arla </t>
  </si>
  <si>
    <t>Litros</t>
  </si>
  <si>
    <t>Valor</t>
  </si>
  <si>
    <t>Média</t>
  </si>
  <si>
    <t>DOM PEDRO SÃO FRANCISCO</t>
  </si>
  <si>
    <t>POSTO CAMPEÃO</t>
  </si>
  <si>
    <t>POSTO TRANSMARINS</t>
  </si>
  <si>
    <t>DOM PEDRO MONTES CLAROS</t>
  </si>
  <si>
    <t xml:space="preserve"> </t>
  </si>
  <si>
    <t>POSTO REFORÇO</t>
  </si>
  <si>
    <t>DOM PEDRO SANTA LUZIA</t>
  </si>
  <si>
    <t>DOM PEDRO CAETANOPOLIS</t>
  </si>
  <si>
    <t xml:space="preserve">POSTO SANCA </t>
  </si>
  <si>
    <t>POSTO CIDADE</t>
  </si>
  <si>
    <t>GRAAL SANTA CRUZ</t>
  </si>
  <si>
    <t xml:space="preserve">DOM PEDRO PARAOPEBAS </t>
  </si>
  <si>
    <t>POSTO MAXDIESEL</t>
  </si>
  <si>
    <t>POSTO PORTO BRASIL</t>
  </si>
  <si>
    <t>RODOPOSTO TURMALINA</t>
  </si>
  <si>
    <t>AUTO POSTO PUGLIESE</t>
  </si>
  <si>
    <t>POSTO PETROPEN</t>
  </si>
  <si>
    <t>s</t>
  </si>
  <si>
    <t>AUTO POSTO MISSÕES</t>
  </si>
  <si>
    <t>MAHLE CAPINA</t>
  </si>
  <si>
    <t>NOVO SANDRELE</t>
  </si>
  <si>
    <t>CENTRO AUTOMOTIVO GUALHU</t>
  </si>
  <si>
    <t>TREVÃO 2</t>
  </si>
  <si>
    <t>CMR 5I93</t>
  </si>
  <si>
    <t>POSTO ARIZONA</t>
  </si>
  <si>
    <t>COMERCIAL GUAÇU</t>
  </si>
  <si>
    <t>AMIGÃO DA DUTRA</t>
  </si>
  <si>
    <t>DOM PEDRO DE APARECIDA</t>
  </si>
  <si>
    <t xml:space="preserve">MARINER DE RIBEIRÃO </t>
  </si>
  <si>
    <t>POSTO EMBAIXADOR</t>
  </si>
  <si>
    <t>SYJ 0E53</t>
  </si>
  <si>
    <t>POSTO SÃO JOAQUIM</t>
  </si>
  <si>
    <t>POSTO FLORES PEROLA</t>
  </si>
  <si>
    <t>DOM PEDRO CACHOEIRA PAJEU</t>
  </si>
  <si>
    <t>POSTO NOVO RIO</t>
  </si>
  <si>
    <t xml:space="preserve">DOM PEDRO PENHA </t>
  </si>
  <si>
    <t>VITORIO PACCHIAROTTI</t>
  </si>
  <si>
    <t>AUTO POSTO SANTA TEREZINHA</t>
  </si>
  <si>
    <t>RENAULT 2023</t>
  </si>
  <si>
    <t>KM rodado</t>
  </si>
  <si>
    <t>WC RODOPOSTO</t>
  </si>
  <si>
    <t>POSTO VACARIA</t>
  </si>
  <si>
    <t xml:space="preserve">ESTRELA REAL </t>
  </si>
  <si>
    <t xml:space="preserve">POSTO BL MODELO </t>
  </si>
  <si>
    <t>POSTO CRUZADÃO</t>
  </si>
  <si>
    <t>TAQUARI</t>
  </si>
  <si>
    <t>SIU 6G66</t>
  </si>
  <si>
    <t>9A9FB415R9FF2464</t>
  </si>
  <si>
    <t>SÃO PEDRO</t>
  </si>
  <si>
    <t>SÃOPEDRO SRFB 4ED</t>
  </si>
  <si>
    <t>DAF</t>
  </si>
  <si>
    <t>CF 7L FAS AT DC</t>
  </si>
  <si>
    <t>9BM951501RB341407</t>
  </si>
  <si>
    <t>01375297241</t>
  </si>
  <si>
    <t>M.BENZ/ATEGO 1719 CL</t>
  </si>
  <si>
    <t xml:space="preserve">SYN 6C07 </t>
  </si>
  <si>
    <t>93YU62005RJ837930</t>
  </si>
  <si>
    <t>MASTER CHASSICAB</t>
  </si>
  <si>
    <t>SWL 0B71</t>
  </si>
  <si>
    <t>SWS 3I66</t>
  </si>
  <si>
    <t>9ADL1543RRA023819</t>
  </si>
  <si>
    <t>RANDON SR FG LO 3E</t>
  </si>
  <si>
    <t>E. PATOLADA</t>
  </si>
  <si>
    <t>PALETRANS</t>
  </si>
  <si>
    <t>PT1654FAST</t>
  </si>
  <si>
    <t>ELÉTRICA PATOLADA</t>
  </si>
  <si>
    <t>ELETRICIDADE</t>
  </si>
  <si>
    <t>--</t>
  </si>
  <si>
    <t>POSTO MONTE CARLO BALSANO</t>
  </si>
  <si>
    <t>SKN 6C07</t>
  </si>
  <si>
    <t>ODY 7286</t>
  </si>
  <si>
    <t xml:space="preserve">CLARISTELA </t>
  </si>
  <si>
    <t>POSTO 7 FERNANDOPOLIS</t>
  </si>
  <si>
    <t xml:space="preserve">	464930</t>
  </si>
  <si>
    <t xml:space="preserve">	1110669</t>
  </si>
  <si>
    <t>SYR 8F16</t>
  </si>
  <si>
    <t>98PASM370RB145309</t>
  </si>
  <si>
    <t>POSTO TUPINAMBA</t>
  </si>
  <si>
    <t>RODOPOSTO RUBI</t>
  </si>
  <si>
    <t>POSTO PARCEIRAO</t>
  </si>
  <si>
    <t>DOM PEDRO ITAGUARA</t>
  </si>
  <si>
    <t xml:space="preserve">POSTO CORREA </t>
  </si>
  <si>
    <t>POSTO COSTA BRAVA</t>
  </si>
  <si>
    <t xml:space="preserve">039782	</t>
  </si>
  <si>
    <t xml:space="preserve">	261491</t>
  </si>
  <si>
    <t xml:space="preserve">	496775</t>
  </si>
  <si>
    <t xml:space="preserve">	494784</t>
  </si>
  <si>
    <t xml:space="preserve">495758	</t>
  </si>
  <si>
    <t xml:space="preserve">	496281</t>
  </si>
  <si>
    <t>DOM PEDRO JUIZ DE FORA</t>
  </si>
  <si>
    <t>POSTO TULIO</t>
  </si>
  <si>
    <t>POSTO PIVA</t>
  </si>
  <si>
    <t>DOM PEDRO CARMOPOLIS</t>
  </si>
  <si>
    <t xml:space="preserve">778387	</t>
  </si>
  <si>
    <t>POSTO TREVO 3</t>
  </si>
  <si>
    <t xml:space="preserve">497726	</t>
  </si>
  <si>
    <t xml:space="preserve">	368714</t>
  </si>
  <si>
    <t xml:space="preserve">174558	</t>
  </si>
  <si>
    <t xml:space="preserve">136955	</t>
  </si>
  <si>
    <t xml:space="preserve">	417505</t>
  </si>
  <si>
    <t xml:space="preserve">	465635</t>
  </si>
  <si>
    <t xml:space="preserve">	40582</t>
  </si>
  <si>
    <t xml:space="preserve">	269139</t>
  </si>
  <si>
    <t xml:space="preserve">206344	</t>
  </si>
  <si>
    <t xml:space="preserve">478423	</t>
  </si>
  <si>
    <t xml:space="preserve">	478425</t>
  </si>
  <si>
    <t xml:space="preserve">478883	</t>
  </si>
  <si>
    <t>POSTO 4 IRMÃOS</t>
  </si>
  <si>
    <t>POSTO O CUPIM</t>
  </si>
  <si>
    <t>POSTO PIONEIRO</t>
  </si>
  <si>
    <t>POSTO SOBRAL</t>
  </si>
  <si>
    <t>POSTO ROTA 80</t>
  </si>
  <si>
    <t>POSTO ZANDONÁ</t>
  </si>
  <si>
    <t>POSTO DINOSSAURO SUL</t>
  </si>
  <si>
    <t>POSTO BUFFON</t>
  </si>
  <si>
    <t xml:space="preserve">794074	</t>
  </si>
  <si>
    <t>DOM PEDRO VITÓRIA DA CONQUISTA</t>
  </si>
  <si>
    <t xml:space="preserve">	422335</t>
  </si>
  <si>
    <t>SHOPPING BARUERI</t>
  </si>
  <si>
    <t>AUTO POSTO NUELE</t>
  </si>
  <si>
    <t>GALÃO</t>
  </si>
  <si>
    <t xml:space="preserve">503273	</t>
  </si>
  <si>
    <t xml:space="preserve">	503475</t>
  </si>
  <si>
    <t>DOM PEDRO ITATIBA</t>
  </si>
  <si>
    <t xml:space="preserve">803951	</t>
  </si>
  <si>
    <t xml:space="preserve">275141	</t>
  </si>
  <si>
    <t>POSTO JENIPAPO</t>
  </si>
  <si>
    <t>POSTOS SÃO GONÇALO</t>
  </si>
  <si>
    <t>POSTOS DAL</t>
  </si>
  <si>
    <t xml:space="preserve">	414762</t>
  </si>
  <si>
    <t xml:space="preserve">	805923</t>
  </si>
  <si>
    <t xml:space="preserve">	453174	</t>
  </si>
  <si>
    <t xml:space="preserve">453173	</t>
  </si>
  <si>
    <t xml:space="preserve">	803232</t>
  </si>
  <si>
    <t xml:space="preserve">	512202</t>
  </si>
  <si>
    <t xml:space="preserve">	283944</t>
  </si>
  <si>
    <t xml:space="preserve">183742	</t>
  </si>
  <si>
    <t>GRAXA</t>
  </si>
  <si>
    <t xml:space="preserve">183738	</t>
  </si>
  <si>
    <t xml:space="preserve">446615	</t>
  </si>
  <si>
    <t>POSTO MONTE CARLO CEDRAL</t>
  </si>
  <si>
    <t xml:space="preserve">POSTO 7 CHEROKEE </t>
  </si>
  <si>
    <t>MINAS GRILL</t>
  </si>
  <si>
    <t>POSTO SERVSUL</t>
  </si>
  <si>
    <t>POSTOS PALOMAS</t>
  </si>
  <si>
    <t>POSTO NOVO PEDAGIO</t>
  </si>
  <si>
    <t xml:space="preserve">185274	</t>
  </si>
  <si>
    <t xml:space="preserve">1399443	</t>
  </si>
  <si>
    <t>DOM PEDRO BETIM</t>
  </si>
  <si>
    <t>5,,790</t>
  </si>
  <si>
    <t xml:space="preserve">461053	</t>
  </si>
  <si>
    <t xml:space="preserve">518637	</t>
  </si>
  <si>
    <t xml:space="preserve">	229717</t>
  </si>
  <si>
    <t xml:space="preserve">	514589	</t>
  </si>
  <si>
    <t xml:space="preserve">	263455</t>
  </si>
  <si>
    <t xml:space="preserve">257104	</t>
  </si>
  <si>
    <t xml:space="preserve">	7912</t>
  </si>
  <si>
    <t xml:space="preserve">	287162</t>
  </si>
  <si>
    <t xml:space="preserve">	282144</t>
  </si>
  <si>
    <t xml:space="preserve">	53969</t>
  </si>
  <si>
    <t>RECANTO DA GLORIA</t>
  </si>
  <si>
    <t>POSTO UNIAO DE IBATE</t>
  </si>
  <si>
    <t>AUTO POSTO PILAR</t>
  </si>
  <si>
    <t>POSTO 22</t>
  </si>
  <si>
    <t>COMBUSTIVEIS PARANA</t>
  </si>
  <si>
    <t xml:space="preserve">	707690</t>
  </si>
  <si>
    <t xml:space="preserve">58382	</t>
  </si>
  <si>
    <t xml:space="preserve">547994	</t>
  </si>
  <si>
    <t xml:space="preserve">288867	</t>
  </si>
  <si>
    <t xml:space="preserve">	163106</t>
  </si>
  <si>
    <t xml:space="preserve">	467168	</t>
  </si>
  <si>
    <t xml:space="preserve">	523174</t>
  </si>
  <si>
    <t xml:space="preserve">60472	</t>
  </si>
  <si>
    <t xml:space="preserve">	464389	</t>
  </si>
  <si>
    <t xml:space="preserve">	321674</t>
  </si>
  <si>
    <t xml:space="preserve">	320974</t>
  </si>
  <si>
    <t xml:space="preserve">	318989</t>
  </si>
  <si>
    <t xml:space="preserve">	467234</t>
  </si>
  <si>
    <t>POSTOS TIO ZICO</t>
  </si>
  <si>
    <t>AUTO POSTO 3 CAVALOS</t>
  </si>
  <si>
    <t xml:space="preserve">203959	</t>
  </si>
  <si>
    <t xml:space="preserve">	285332	</t>
  </si>
  <si>
    <t xml:space="preserve">	398711</t>
  </si>
  <si>
    <t xml:space="preserve">61984	</t>
  </si>
  <si>
    <t xml:space="preserve">	324636	</t>
  </si>
  <si>
    <t xml:space="preserve">	284630</t>
  </si>
  <si>
    <t xml:space="preserve">488828	</t>
  </si>
  <si>
    <t xml:space="preserve">	61504</t>
  </si>
  <si>
    <t xml:space="preserve">	325692</t>
  </si>
  <si>
    <t>POSTO PORTAL</t>
  </si>
  <si>
    <t>POSTOS CPA</t>
  </si>
  <si>
    <t>POSTO CINQUENTÃO</t>
  </si>
  <si>
    <t>POSTO ALVORADA</t>
  </si>
  <si>
    <t>TCG 1D95</t>
  </si>
  <si>
    <t>9539J8TH0SR202707</t>
  </si>
  <si>
    <t>VW/28.480 MTM 6X2</t>
  </si>
  <si>
    <t>TCT 6G13</t>
  </si>
  <si>
    <t>9539J8TH4SR203388</t>
  </si>
  <si>
    <t>TCZ 5G61</t>
  </si>
  <si>
    <t>98PASM370RB154761</t>
  </si>
  <si>
    <t>DAF/CF FAS 310</t>
  </si>
  <si>
    <t>REDE DE POSTOS TRIVELLIN</t>
  </si>
  <si>
    <t>48 DA CASTELO CAPITAL</t>
  </si>
  <si>
    <t>AUTO POSTO RECANTO SILVANA</t>
  </si>
  <si>
    <t>RODO POSTO CORAL</t>
  </si>
  <si>
    <t>RODOPOSTO CORAL</t>
  </si>
  <si>
    <t>STATUS POSTO</t>
  </si>
  <si>
    <t>RODOANEL SUL COMERCIO</t>
  </si>
  <si>
    <t>POSTO RODO PETRO</t>
  </si>
  <si>
    <t>AUTO POSTO LIMOEIRO</t>
  </si>
  <si>
    <t>OLAREDE RETIRO DA MANTIQUEIRA</t>
  </si>
  <si>
    <t>REDE MAIOCHI</t>
  </si>
  <si>
    <t>POSTO SERRAMAR</t>
  </si>
  <si>
    <t>POSTO ITABAPOANA</t>
  </si>
  <si>
    <t>AUTO POSTO 304</t>
  </si>
  <si>
    <t>POSTO PARANAGUA</t>
  </si>
  <si>
    <t>POSTO GUAIRACA</t>
  </si>
  <si>
    <t>POSTO CENTENARIO</t>
  </si>
  <si>
    <t>FRANGO ASSADO NORTE</t>
  </si>
  <si>
    <t>MARCHI AUTO POSTO</t>
  </si>
  <si>
    <t>POSTO REI DA CASTELO</t>
  </si>
  <si>
    <t>REDE PAVÃO</t>
  </si>
  <si>
    <t>FAROL 48 INTERIOR</t>
  </si>
  <si>
    <t>POSTO CHEGADÃO</t>
  </si>
  <si>
    <t>PARNAMIRIM</t>
  </si>
  <si>
    <t>COMERCIO DE PETROLEO R SILVA</t>
  </si>
  <si>
    <t>REDE DE POSTOS LAURINDÃO</t>
  </si>
  <si>
    <t>POSTO ARCADAS</t>
  </si>
  <si>
    <t>REDE DE POSTOS VALE VERDE</t>
  </si>
  <si>
    <t>AUTO POSTO ARUA</t>
  </si>
  <si>
    <t>POSTO BRITTS II</t>
  </si>
  <si>
    <t>AUTO POSTO WAAM</t>
  </si>
  <si>
    <t>POSTO 65</t>
  </si>
  <si>
    <t>DECIO</t>
  </si>
  <si>
    <t>AUTO POSTO 3 IRMAOS</t>
  </si>
  <si>
    <t>AUTO POSTO 340</t>
  </si>
  <si>
    <t>AUTO POSTO SUBIDA DA SERRA</t>
  </si>
  <si>
    <t>POSTO PONTE DA PEDRA</t>
  </si>
  <si>
    <t>AMS AUTO POSTO</t>
  </si>
  <si>
    <t>POSTO 67</t>
  </si>
  <si>
    <t>POSTO ALPINO II</t>
  </si>
  <si>
    <t>POSTO FORMIGÃO</t>
  </si>
  <si>
    <t xml:space="preserve">POSTO PARANA </t>
  </si>
  <si>
    <t>POSTO LOUVEIRA</t>
  </si>
  <si>
    <t>TDQ 1F80</t>
  </si>
  <si>
    <t>9539J8THXSR204142</t>
  </si>
  <si>
    <t>CINZA</t>
  </si>
  <si>
    <t>POSTO JARINU</t>
  </si>
  <si>
    <t>POSTO VIDEIRA</t>
  </si>
  <si>
    <t>GRAAL 56</t>
  </si>
  <si>
    <t>POSTO OLA PORTO REAL</t>
  </si>
  <si>
    <t>AUTO POSTO CHAPARRAL</t>
  </si>
  <si>
    <t>GRAAL ESTAÇÃO CAFÉ</t>
  </si>
  <si>
    <t>POSTO BIZUNGÃO</t>
  </si>
  <si>
    <t>POSTO PARATY</t>
  </si>
  <si>
    <t>POSTO 7 AMERICANA</t>
  </si>
  <si>
    <t>POSTO CAXUXA GIRASSOL</t>
  </si>
  <si>
    <t>AUTO POSTO BAPTISTELLA</t>
  </si>
  <si>
    <t xml:space="preserve">GRAAL MIRANTE </t>
  </si>
  <si>
    <t xml:space="preserve">	581404</t>
  </si>
  <si>
    <t xml:space="preserve">	926065</t>
  </si>
  <si>
    <t xml:space="preserve">515672	</t>
  </si>
  <si>
    <t xml:space="preserve">	582051</t>
  </si>
  <si>
    <t xml:space="preserve">	807303</t>
  </si>
  <si>
    <t xml:space="preserve">	390588</t>
  </si>
  <si>
    <t xml:space="preserve">88689	</t>
  </si>
  <si>
    <t xml:space="preserve">	808508</t>
  </si>
  <si>
    <t xml:space="preserve">731321	</t>
  </si>
  <si>
    <t xml:space="preserve">362210	</t>
  </si>
  <si>
    <t xml:space="preserve">590460	</t>
  </si>
  <si>
    <t>DOM PEDRO CONTAGEM</t>
  </si>
  <si>
    <t xml:space="preserve">	936127</t>
  </si>
  <si>
    <t xml:space="preserve">400856	</t>
  </si>
  <si>
    <t xml:space="preserve">400858	</t>
  </si>
  <si>
    <t xml:space="preserve">	91369</t>
  </si>
  <si>
    <t xml:space="preserve">	593464</t>
  </si>
  <si>
    <t xml:space="preserve">	428228</t>
  </si>
  <si>
    <t xml:space="preserve">608771	</t>
  </si>
  <si>
    <t xml:space="preserve">	521940</t>
  </si>
  <si>
    <t xml:space="preserve">92021	</t>
  </si>
  <si>
    <t xml:space="preserve">	277590</t>
  </si>
  <si>
    <t xml:space="preserve">	406036</t>
  </si>
  <si>
    <t xml:space="preserve">430790	</t>
  </si>
  <si>
    <t xml:space="preserve">	406348</t>
  </si>
  <si>
    <t xml:space="preserve">	366725</t>
  </si>
  <si>
    <t xml:space="preserve">569947	</t>
  </si>
  <si>
    <t xml:space="preserve">	408826</t>
  </si>
  <si>
    <t xml:space="preserve">	591644	</t>
  </si>
  <si>
    <t xml:space="preserve">	432729</t>
  </si>
  <si>
    <t xml:space="preserve">	611900</t>
  </si>
  <si>
    <t xml:space="preserve">368522	</t>
  </si>
  <si>
    <t xml:space="preserve">368523	</t>
  </si>
  <si>
    <t xml:space="preserve">602222	</t>
  </si>
  <si>
    <t xml:space="preserve">525184	</t>
  </si>
  <si>
    <t xml:space="preserve">	410171</t>
  </si>
  <si>
    <t xml:space="preserve">	592206</t>
  </si>
  <si>
    <t xml:space="preserve">	603232</t>
  </si>
  <si>
    <t xml:space="preserve">	282340</t>
  </si>
  <si>
    <t xml:space="preserve">	605103	</t>
  </si>
  <si>
    <t xml:space="preserve">	605294</t>
  </si>
  <si>
    <t xml:space="preserve">	413414	</t>
  </si>
  <si>
    <t>DOM PEDRO APARECIDA</t>
  </si>
  <si>
    <t xml:space="preserve">	594294	</t>
  </si>
  <si>
    <t xml:space="preserve">116383	</t>
  </si>
  <si>
    <t xml:space="preserve">454611	</t>
  </si>
  <si>
    <t xml:space="preserve">	415094	</t>
  </si>
  <si>
    <t xml:space="preserve">514218	</t>
  </si>
  <si>
    <t xml:space="preserve">	436668</t>
  </si>
  <si>
    <t xml:space="preserve">	459055</t>
  </si>
  <si>
    <t xml:space="preserve">	416801</t>
  </si>
  <si>
    <t>TDP 7I31</t>
  </si>
  <si>
    <t>98PASM370SB158710</t>
  </si>
  <si>
    <t xml:space="preserve">	2641</t>
  </si>
  <si>
    <t xml:space="preserve">	418602</t>
  </si>
  <si>
    <t xml:space="preserve">	454752</t>
  </si>
  <si>
    <t xml:space="preserve">	454968</t>
  </si>
  <si>
    <t xml:space="preserve">459675	</t>
  </si>
  <si>
    <t xml:space="preserve">	464417</t>
  </si>
  <si>
    <t xml:space="preserve">	470034</t>
  </si>
  <si>
    <t xml:space="preserve">480963	</t>
  </si>
  <si>
    <t xml:space="preserve">	492698</t>
  </si>
  <si>
    <t xml:space="preserve">497344	</t>
  </si>
  <si>
    <t xml:space="preserve">351567	</t>
  </si>
  <si>
    <t>PWA 0E98</t>
  </si>
  <si>
    <t>9C2KC1670FR519732</t>
  </si>
  <si>
    <t>HONDA</t>
  </si>
  <si>
    <t>HONDA/CG150 START</t>
  </si>
  <si>
    <t>POSTO ROSSO</t>
  </si>
  <si>
    <t>POSTO PEDAGIO</t>
  </si>
  <si>
    <t>AUTO POSTO FLOR DA VERA</t>
  </si>
  <si>
    <t>REDE GRAAL SHOPPING</t>
  </si>
  <si>
    <t>GRAAL TOPAZIO</t>
  </si>
  <si>
    <t xml:space="preserve">	540917</t>
  </si>
  <si>
    <t xml:space="preserve">	341600	</t>
  </si>
  <si>
    <t xml:space="preserve">533872	</t>
  </si>
  <si>
    <t xml:space="preserve">445913	</t>
  </si>
  <si>
    <t xml:space="preserve">	98422</t>
  </si>
  <si>
    <t xml:space="preserve">	9055</t>
  </si>
  <si>
    <t xml:space="preserve">	22751</t>
  </si>
  <si>
    <t xml:space="preserve">12886	</t>
  </si>
  <si>
    <t xml:space="preserve">604040	</t>
  </si>
  <si>
    <t xml:space="preserve">	535967</t>
  </si>
  <si>
    <t xml:space="preserve">	380778</t>
  </si>
  <si>
    <t xml:space="preserve">14244	</t>
  </si>
  <si>
    <t xml:space="preserve">	967329</t>
  </si>
  <si>
    <t xml:space="preserve">465339	</t>
  </si>
  <si>
    <t xml:space="preserve">	465879</t>
  </si>
  <si>
    <t xml:space="preserve">606992	</t>
  </si>
  <si>
    <t xml:space="preserve">	129818</t>
  </si>
  <si>
    <t xml:space="preserve">	625117	</t>
  </si>
  <si>
    <t xml:space="preserve">	625118</t>
  </si>
  <si>
    <t xml:space="preserve">	374770</t>
  </si>
  <si>
    <t xml:space="preserve">	18248</t>
  </si>
  <si>
    <t xml:space="preserve">540333	</t>
  </si>
  <si>
    <t xml:space="preserve">	368145</t>
  </si>
  <si>
    <t xml:space="preserve">618142	</t>
  </si>
  <si>
    <t xml:space="preserve">	957008</t>
  </si>
  <si>
    <t xml:space="preserve">	468832</t>
  </si>
  <si>
    <t xml:space="preserve">	101403</t>
  </si>
  <si>
    <t xml:space="preserve">	469049</t>
  </si>
  <si>
    <t xml:space="preserve">	21286</t>
  </si>
  <si>
    <t xml:space="preserve">	388585</t>
  </si>
  <si>
    <t xml:space="preserve">470748	</t>
  </si>
  <si>
    <t xml:space="preserve">	389441</t>
  </si>
  <si>
    <t xml:space="preserve">	389442</t>
  </si>
  <si>
    <t xml:space="preserve">	629882</t>
  </si>
  <si>
    <t xml:space="preserve">	28147</t>
  </si>
  <si>
    <t xml:space="preserve">	28203</t>
  </si>
  <si>
    <t xml:space="preserve">	239783</t>
  </si>
  <si>
    <t xml:space="preserve">	239784</t>
  </si>
  <si>
    <t xml:space="preserve">	33858</t>
  </si>
  <si>
    <t xml:space="preserve">	351338</t>
  </si>
  <si>
    <t xml:space="preserve">	984861</t>
  </si>
  <si>
    <t xml:space="preserve">	37155</t>
  </si>
  <si>
    <t xml:space="preserve">	633175</t>
  </si>
  <si>
    <t xml:space="preserve">	475589</t>
  </si>
  <si>
    <t xml:space="preserve">	464163</t>
  </si>
  <si>
    <t xml:space="preserve">	617193</t>
  </si>
  <si>
    <t xml:space="preserve">476566	</t>
  </si>
  <si>
    <t xml:space="preserve">	36625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</si>
</sst>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5" formatCode="&quot;R$&quot;\ #,##0;\-&quot;R$&quot;\ #,##0"/>
    <numFmt numFmtId="7" formatCode="&quot;R$&quot;\ #,##0.00;\-&quot;R$&quot;\ #,##0.00"/>
    <numFmt numFmtId="44" formatCode="_-&quot;R$&quot;\ * #,##0.00_-;\-&quot;R$&quot;\ * #,##0.00_-;_-&quot;R$&quot;\ * &quot;-&quot;??_-;_-@_-"/>
    <numFmt numFmtId="164" formatCode="#,##0&quot;Km&quot;"/>
    <numFmt numFmtId="165" formatCode="#,##0&quot;Kg&quot;"/>
    <numFmt numFmtId="166" formatCode="&quot;R$&quot;\ #,##0.00"/>
    <numFmt numFmtId="167" formatCode="&quot;R$&quot;\ #,##0.0;\-&quot;R$&quot;\ #,##0.0"/>
    <numFmt numFmtId="168" formatCode="0.0"/>
    <numFmt numFmtId="169" formatCode="0.000"/>
  </numFmts>
  <fonts count="4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23"/>
      <name val="Arial"/>
      <family val="2"/>
    </font>
    <font>
      <sz val="9"/>
      <color indexed="18"/>
      <name val="Arial"/>
      <family val="2"/>
    </font>
    <font>
      <b/>
      <sz val="16"/>
      <color indexed="62"/>
      <name val="Arial"/>
      <family val="2"/>
    </font>
    <font>
      <sz val="16"/>
      <name val="Arial"/>
      <family val="2"/>
    </font>
    <font>
      <sz val="24"/>
      <color indexed="18"/>
      <name val="Wingdings 3"/>
      <family val="1"/>
      <charset val="2"/>
    </font>
    <font>
      <sz val="24"/>
      <color indexed="18"/>
      <name val="Arial"/>
      <family val="2"/>
    </font>
    <font>
      <b/>
      <sz val="14"/>
      <color indexed="1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Arial"/>
      <family val="2"/>
    </font>
    <font>
      <b/>
      <sz val="16"/>
      <color theme="0"/>
      <name val="Arial"/>
      <family val="2"/>
    </font>
    <font>
      <b/>
      <sz val="18"/>
      <color theme="0"/>
      <name val="Arial"/>
      <family val="2"/>
    </font>
    <font>
      <sz val="8"/>
      <name val="Calibri"/>
      <family val="2"/>
      <scheme val="minor"/>
    </font>
    <font>
      <b/>
      <sz val="14"/>
      <color theme="1"/>
      <name val="Courier New"/>
      <family val="3"/>
    </font>
    <font>
      <sz val="14"/>
      <color theme="1"/>
      <name val="Courier New"/>
      <family val="3"/>
    </font>
    <font>
      <sz val="14"/>
      <color rgb="FF000000"/>
      <name val="Courier New"/>
      <family val="3"/>
    </font>
    <font>
      <b/>
      <sz val="14"/>
      <color theme="0"/>
      <name val="Courier New"/>
      <family val="3"/>
    </font>
    <font>
      <b/>
      <sz val="9"/>
      <color indexed="81"/>
      <name val="Segoe UI"/>
      <family val="2"/>
    </font>
    <font>
      <b/>
      <sz val="14"/>
      <color rgb="FF0000FF"/>
      <name val="Courier New"/>
      <family val="3"/>
    </font>
    <font>
      <b/>
      <sz val="14"/>
      <color rgb="FFFF0000"/>
      <name val="Courier New"/>
      <family val="3"/>
    </font>
    <font>
      <b/>
      <sz val="14"/>
      <name val="Courier New"/>
      <family val="3"/>
    </font>
    <font>
      <sz val="9"/>
      <color indexed="81"/>
      <name val="Segoe UI"/>
      <family val="2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rgb="FFFF0000"/>
      <name val="Courier New"/>
      <family val="3"/>
    </font>
    <font>
      <sz val="10"/>
      <color rgb="FF212529"/>
      <name val="Segoe U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8A2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10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medium">
        <color rgb="FFD0D0D0"/>
      </bottom>
      <diagonal/>
    </border>
  </borders>
  <cellStyleXfs count="48">
    <xf numFmtId="0" fontId="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17" applyNumberFormat="0" applyAlignment="0" applyProtection="0"/>
    <xf numFmtId="0" fontId="13" fillId="22" borderId="18" applyNumberFormat="0" applyAlignment="0" applyProtection="0"/>
    <xf numFmtId="0" fontId="14" fillId="0" borderId="19" applyNumberFormat="0" applyFill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6" fillId="29" borderId="17" applyNumberFormat="0" applyAlignment="0" applyProtection="0"/>
    <xf numFmtId="0" fontId="17" fillId="30" borderId="0" applyNumberFormat="0" applyBorder="0" applyAlignment="0" applyProtection="0"/>
    <xf numFmtId="44" fontId="10" fillId="0" borderId="0" applyFont="0" applyFill="0" applyBorder="0" applyAlignment="0" applyProtection="0"/>
    <xf numFmtId="0" fontId="18" fillId="31" borderId="0" applyNumberFormat="0" applyBorder="0" applyAlignment="0" applyProtection="0"/>
    <xf numFmtId="0" fontId="1" fillId="0" borderId="0"/>
    <xf numFmtId="0" fontId="9" fillId="0" borderId="0"/>
    <xf numFmtId="0" fontId="10" fillId="32" borderId="20" applyNumberFormat="0" applyFont="0" applyAlignment="0" applyProtection="0"/>
    <xf numFmtId="0" fontId="19" fillId="21" borderId="21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22" applyNumberFormat="0" applyFill="0" applyAlignment="0" applyProtection="0"/>
    <xf numFmtId="0" fontId="24" fillId="0" borderId="23" applyNumberFormat="0" applyFill="0" applyAlignment="0" applyProtection="0"/>
    <xf numFmtId="0" fontId="25" fillId="0" borderId="24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25" applyNumberFormat="0" applyFill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46" fillId="0" borderId="0" applyNumberFormat="0" applyFill="0" applyBorder="0" applyAlignment="0" applyProtection="0"/>
  </cellStyleXfs>
  <cellXfs count="162">
    <xf numFmtId="0" fontId="0" fillId="0" borderId="0" xfId="0"/>
    <xf numFmtId="0" fontId="1" fillId="0" borderId="0" xfId="33" applyAlignment="1">
      <alignment vertical="center"/>
    </xf>
    <xf numFmtId="0" fontId="2" fillId="0" borderId="0" xfId="33" applyFont="1" applyAlignment="1">
      <alignment horizontal="center" vertical="center"/>
    </xf>
    <xf numFmtId="0" fontId="3" fillId="0" borderId="0" xfId="33" applyFont="1" applyAlignment="1">
      <alignment horizontal="center" vertical="center"/>
    </xf>
    <xf numFmtId="0" fontId="1" fillId="0" borderId="0" xfId="33" applyAlignment="1">
      <alignment horizontal="center" vertical="center"/>
    </xf>
    <xf numFmtId="0" fontId="5" fillId="0" borderId="0" xfId="33" applyFont="1" applyAlignment="1">
      <alignment horizontal="center" vertical="center"/>
    </xf>
    <xf numFmtId="0" fontId="4" fillId="33" borderId="0" xfId="33" applyFont="1" applyFill="1" applyAlignment="1">
      <alignment horizontal="center" vertical="center"/>
    </xf>
    <xf numFmtId="0" fontId="3" fillId="33" borderId="0" xfId="33" applyFont="1" applyFill="1" applyAlignment="1">
      <alignment vertical="center" wrapText="1"/>
    </xf>
    <xf numFmtId="0" fontId="0" fillId="34" borderId="0" xfId="0" applyFill="1" applyAlignment="1">
      <alignment vertical="center"/>
    </xf>
    <xf numFmtId="0" fontId="1" fillId="34" borderId="0" xfId="33" applyFill="1" applyAlignment="1">
      <alignment vertical="center"/>
    </xf>
    <xf numFmtId="0" fontId="8" fillId="35" borderId="5" xfId="33" applyFont="1" applyFill="1" applyBorder="1" applyAlignment="1">
      <alignment horizontal="center" vertical="center" wrapText="1"/>
    </xf>
    <xf numFmtId="0" fontId="1" fillId="0" borderId="0" xfId="33" applyAlignment="1">
      <alignment horizontal="justify" vertical="center"/>
    </xf>
    <xf numFmtId="0" fontId="3" fillId="33" borderId="0" xfId="33" applyFont="1" applyFill="1" applyAlignment="1">
      <alignment horizontal="justify" vertical="center" wrapText="1"/>
    </xf>
    <xf numFmtId="0" fontId="1" fillId="0" borderId="6" xfId="33" applyBorder="1" applyAlignment="1">
      <alignment vertical="center"/>
    </xf>
    <xf numFmtId="0" fontId="1" fillId="0" borderId="7" xfId="33" applyBorder="1" applyAlignment="1">
      <alignment vertical="center"/>
    </xf>
    <xf numFmtId="0" fontId="1" fillId="0" borderId="8" xfId="33" applyBorder="1" applyAlignment="1">
      <alignment vertical="center"/>
    </xf>
    <xf numFmtId="0" fontId="1" fillId="0" borderId="9" xfId="33" applyBorder="1" applyAlignment="1">
      <alignment vertical="center"/>
    </xf>
    <xf numFmtId="0" fontId="1" fillId="0" borderId="10" xfId="33" applyBorder="1" applyAlignment="1">
      <alignment vertical="center"/>
    </xf>
    <xf numFmtId="0" fontId="1" fillId="0" borderId="3" xfId="33" applyBorder="1" applyAlignment="1">
      <alignment vertical="center"/>
    </xf>
    <xf numFmtId="0" fontId="1" fillId="0" borderId="4" xfId="33" applyBorder="1" applyAlignment="1">
      <alignment vertical="center"/>
    </xf>
    <xf numFmtId="0" fontId="1" fillId="0" borderId="11" xfId="33" applyBorder="1" applyAlignment="1">
      <alignment vertical="center"/>
    </xf>
    <xf numFmtId="0" fontId="8" fillId="35" borderId="1" xfId="33" applyFont="1" applyFill="1" applyBorder="1" applyAlignment="1">
      <alignment vertical="center" wrapText="1"/>
    </xf>
    <xf numFmtId="0" fontId="8" fillId="35" borderId="5" xfId="33" applyFont="1" applyFill="1" applyBorder="1" applyAlignment="1">
      <alignment vertical="center" wrapText="1"/>
    </xf>
    <xf numFmtId="0" fontId="1" fillId="0" borderId="12" xfId="33" applyBorder="1" applyAlignment="1">
      <alignment vertical="center"/>
    </xf>
    <xf numFmtId="0" fontId="5" fillId="0" borderId="12" xfId="33" applyFont="1" applyBorder="1" applyAlignment="1">
      <alignment horizontal="center" vertical="center"/>
    </xf>
    <xf numFmtId="0" fontId="3" fillId="0" borderId="12" xfId="33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14" fontId="32" fillId="0" borderId="0" xfId="0" applyNumberFormat="1" applyFont="1" applyAlignment="1">
      <alignment horizontal="center" vertical="center"/>
    </xf>
    <xf numFmtId="164" fontId="32" fillId="0" borderId="0" xfId="0" applyNumberFormat="1" applyFont="1" applyAlignment="1">
      <alignment horizontal="center" vertical="center"/>
    </xf>
    <xf numFmtId="7" fontId="32" fillId="0" borderId="0" xfId="0" applyNumberFormat="1" applyFont="1" applyAlignment="1">
      <alignment horizontal="center" vertical="center"/>
    </xf>
    <xf numFmtId="0" fontId="32" fillId="0" borderId="26" xfId="0" applyFont="1" applyBorder="1" applyAlignment="1">
      <alignment horizontal="center" vertical="center"/>
    </xf>
    <xf numFmtId="5" fontId="32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165" fontId="32" fillId="0" borderId="0" xfId="0" applyNumberFormat="1" applyFont="1" applyAlignment="1">
      <alignment horizontal="center" vertical="center"/>
    </xf>
    <xf numFmtId="165" fontId="33" fillId="0" borderId="0" xfId="0" applyNumberFormat="1" applyFont="1" applyAlignment="1">
      <alignment horizontal="center" vertical="center"/>
    </xf>
    <xf numFmtId="0" fontId="34" fillId="39" borderId="27" xfId="0" applyFont="1" applyFill="1" applyBorder="1" applyAlignment="1">
      <alignment horizontal="center" vertical="center"/>
    </xf>
    <xf numFmtId="9" fontId="32" fillId="40" borderId="28" xfId="0" applyNumberFormat="1" applyFont="1" applyFill="1" applyBorder="1" applyAlignment="1">
      <alignment horizontal="center" vertical="center"/>
    </xf>
    <xf numFmtId="9" fontId="32" fillId="41" borderId="28" xfId="45" applyFont="1" applyFill="1" applyBorder="1" applyAlignment="1">
      <alignment horizontal="center" vertical="center"/>
    </xf>
    <xf numFmtId="10" fontId="33" fillId="0" borderId="0" xfId="0" applyNumberFormat="1" applyFont="1" applyAlignment="1">
      <alignment horizontal="center" vertical="center"/>
    </xf>
    <xf numFmtId="44" fontId="33" fillId="0" borderId="0" xfId="0" applyNumberFormat="1" applyFont="1" applyAlignment="1">
      <alignment horizontal="center" vertical="center"/>
    </xf>
    <xf numFmtId="0" fontId="34" fillId="39" borderId="29" xfId="0" applyFont="1" applyFill="1" applyBorder="1" applyAlignment="1">
      <alignment horizontal="center" vertical="center"/>
    </xf>
    <xf numFmtId="0" fontId="32" fillId="40" borderId="29" xfId="0" applyFont="1" applyFill="1" applyBorder="1" applyAlignment="1">
      <alignment horizontal="center" vertical="center"/>
    </xf>
    <xf numFmtId="164" fontId="32" fillId="40" borderId="29" xfId="0" applyNumberFormat="1" applyFont="1" applyFill="1" applyBorder="1" applyAlignment="1">
      <alignment horizontal="center" vertical="center"/>
    </xf>
    <xf numFmtId="0" fontId="32" fillId="41" borderId="29" xfId="0" applyFont="1" applyFill="1" applyBorder="1" applyAlignment="1">
      <alignment horizontal="center" vertical="center"/>
    </xf>
    <xf numFmtId="164" fontId="32" fillId="41" borderId="29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67" fontId="33" fillId="0" borderId="0" xfId="0" applyNumberFormat="1" applyFont="1" applyAlignment="1">
      <alignment horizontal="center" vertical="center"/>
    </xf>
    <xf numFmtId="0" fontId="32" fillId="40" borderId="31" xfId="0" applyFont="1" applyFill="1" applyBorder="1" applyAlignment="1">
      <alignment horizontal="center" vertical="center"/>
    </xf>
    <xf numFmtId="0" fontId="32" fillId="41" borderId="31" xfId="0" applyFont="1" applyFill="1" applyBorder="1" applyAlignment="1">
      <alignment horizontal="center" vertical="center"/>
    </xf>
    <xf numFmtId="2" fontId="34" fillId="39" borderId="30" xfId="0" applyNumberFormat="1" applyFont="1" applyFill="1" applyBorder="1" applyAlignment="1">
      <alignment horizontal="center" vertical="center"/>
    </xf>
    <xf numFmtId="0" fontId="32" fillId="40" borderId="32" xfId="0" applyFont="1" applyFill="1" applyBorder="1" applyAlignment="1">
      <alignment horizontal="center" vertical="center"/>
    </xf>
    <xf numFmtId="0" fontId="32" fillId="41" borderId="32" xfId="0" applyFont="1" applyFill="1" applyBorder="1" applyAlignment="1">
      <alignment horizontal="center" vertical="center"/>
    </xf>
    <xf numFmtId="7" fontId="32" fillId="0" borderId="0" xfId="0" quotePrefix="1" applyNumberFormat="1" applyFont="1" applyAlignment="1">
      <alignment horizontal="center" vertical="center"/>
    </xf>
    <xf numFmtId="2" fontId="0" fillId="42" borderId="0" xfId="0" applyNumberFormat="1" applyFill="1" applyAlignment="1">
      <alignment horizontal="center"/>
    </xf>
    <xf numFmtId="0" fontId="0" fillId="43" borderId="0" xfId="0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42" fillId="0" borderId="0" xfId="0" applyFont="1" applyAlignment="1">
      <alignment horizontal="center" vertical="center"/>
    </xf>
    <xf numFmtId="2" fontId="42" fillId="0" borderId="0" xfId="0" applyNumberFormat="1" applyFont="1" applyAlignment="1">
      <alignment horizontal="center" vertical="center"/>
    </xf>
    <xf numFmtId="2" fontId="42" fillId="0" borderId="33" xfId="0" applyNumberFormat="1" applyFont="1" applyBorder="1" applyAlignment="1">
      <alignment horizontal="center" vertical="center"/>
    </xf>
    <xf numFmtId="0" fontId="43" fillId="0" borderId="0" xfId="0" applyFont="1"/>
    <xf numFmtId="2" fontId="41" fillId="0" borderId="0" xfId="0" applyNumberFormat="1" applyFont="1" applyAlignment="1">
      <alignment horizontal="center"/>
    </xf>
    <xf numFmtId="44" fontId="33" fillId="0" borderId="0" xfId="46" applyFont="1" applyAlignment="1">
      <alignment horizontal="center" vertical="center"/>
    </xf>
    <xf numFmtId="166" fontId="0" fillId="0" borderId="0" xfId="46" applyNumberFormat="1" applyFont="1" applyAlignment="1">
      <alignment horizontal="center"/>
    </xf>
    <xf numFmtId="2" fontId="0" fillId="45" borderId="0" xfId="0" applyNumberFormat="1" applyFill="1" applyAlignment="1">
      <alignment horizontal="center"/>
    </xf>
    <xf numFmtId="0" fontId="0" fillId="45" borderId="0" xfId="0" applyFill="1" applyAlignment="1">
      <alignment horizontal="center"/>
    </xf>
    <xf numFmtId="166" fontId="0" fillId="0" borderId="0" xfId="46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2" fontId="26" fillId="42" borderId="0" xfId="0" applyNumberFormat="1" applyFont="1" applyFill="1" applyAlignment="1">
      <alignment horizontal="center"/>
    </xf>
    <xf numFmtId="0" fontId="20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2" fontId="0" fillId="46" borderId="0" xfId="0" applyNumberFormat="1" applyFill="1" applyAlignment="1">
      <alignment horizontal="center" vertical="center"/>
    </xf>
    <xf numFmtId="2" fontId="0" fillId="0" borderId="0" xfId="46" applyNumberFormat="1" applyFont="1" applyAlignment="1">
      <alignment horizontal="center"/>
    </xf>
    <xf numFmtId="2" fontId="0" fillId="47" borderId="0" xfId="0" applyNumberFormat="1" applyFill="1" applyAlignment="1">
      <alignment horizontal="center"/>
    </xf>
    <xf numFmtId="0" fontId="0" fillId="47" borderId="0" xfId="0" applyFill="1" applyAlignment="1">
      <alignment horizontal="center"/>
    </xf>
    <xf numFmtId="2" fontId="0" fillId="47" borderId="0" xfId="0" applyNumberFormat="1" applyFill="1" applyAlignment="1">
      <alignment horizontal="center" vertical="center"/>
    </xf>
    <xf numFmtId="166" fontId="42" fillId="0" borderId="0" xfId="46" applyNumberFormat="1" applyFont="1" applyAlignment="1">
      <alignment horizontal="center" vertical="center"/>
    </xf>
    <xf numFmtId="166" fontId="0" fillId="0" borderId="0" xfId="46" applyNumberFormat="1" applyFont="1"/>
    <xf numFmtId="0" fontId="0" fillId="40" borderId="0" xfId="0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 applyAlignment="1">
      <alignment horizontal="center"/>
    </xf>
    <xf numFmtId="166" fontId="0" fillId="0" borderId="0" xfId="46" applyNumberFormat="1" applyFont="1" applyFill="1" applyAlignment="1">
      <alignment horizontal="center"/>
    </xf>
    <xf numFmtId="5" fontId="44" fillId="0" borderId="0" xfId="46" applyNumberFormat="1" applyFont="1" applyAlignment="1">
      <alignment horizontal="center" vertical="center"/>
    </xf>
    <xf numFmtId="44" fontId="0" fillId="0" borderId="0" xfId="46" applyFont="1" applyAlignment="1">
      <alignment horizontal="center"/>
    </xf>
    <xf numFmtId="0" fontId="26" fillId="0" borderId="0" xfId="0" applyFont="1" applyAlignment="1">
      <alignment horizontal="center"/>
    </xf>
    <xf numFmtId="0" fontId="0" fillId="0" borderId="29" xfId="0" applyBorder="1" applyAlignment="1">
      <alignment horizontal="center"/>
    </xf>
    <xf numFmtId="166" fontId="0" fillId="0" borderId="29" xfId="46" applyNumberFormat="1" applyFont="1" applyBorder="1" applyAlignment="1">
      <alignment horizontal="center"/>
    </xf>
    <xf numFmtId="0" fontId="26" fillId="48" borderId="29" xfId="0" applyFont="1" applyFill="1" applyBorder="1" applyAlignment="1">
      <alignment horizontal="center"/>
    </xf>
    <xf numFmtId="166" fontId="0" fillId="0" borderId="0" xfId="46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34" xfId="0" applyBorder="1" applyAlignment="1">
      <alignment horizontal="center" vertical="center"/>
    </xf>
    <xf numFmtId="2" fontId="0" fillId="0" borderId="35" xfId="0" applyNumberFormat="1" applyBorder="1" applyAlignment="1">
      <alignment horizontal="center" vertical="center"/>
    </xf>
    <xf numFmtId="0" fontId="0" fillId="0" borderId="29" xfId="0" applyBorder="1"/>
    <xf numFmtId="2" fontId="0" fillId="0" borderId="0" xfId="0" applyNumberFormat="1"/>
    <xf numFmtId="0" fontId="0" fillId="0" borderId="0" xfId="0" quotePrefix="1" applyAlignment="1">
      <alignment horizontal="center" vertical="center"/>
    </xf>
    <xf numFmtId="0" fontId="45" fillId="0" borderId="0" xfId="0" applyFont="1"/>
    <xf numFmtId="3" fontId="45" fillId="0" borderId="0" xfId="0" applyNumberFormat="1" applyFont="1"/>
    <xf numFmtId="0" fontId="0" fillId="0" borderId="0" xfId="46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10" fillId="49" borderId="0" xfId="47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0" fillId="49" borderId="0" xfId="47" applyNumberFormat="1" applyFon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horizontal="center"/>
    </xf>
    <xf numFmtId="16" fontId="0" fillId="0" borderId="0" xfId="0" applyNumberFormat="1" applyAlignment="1">
      <alignment horizontal="center" vertical="center"/>
    </xf>
    <xf numFmtId="0" fontId="32" fillId="0" borderId="0" xfId="0" applyFont="1" applyFill="1" applyAlignment="1">
      <alignment horizontal="center" vertical="center"/>
    </xf>
    <xf numFmtId="0" fontId="32" fillId="0" borderId="0" xfId="0" applyNumberFormat="1" applyFont="1" applyAlignment="1">
      <alignment horizontal="center" vertical="center"/>
    </xf>
    <xf numFmtId="0" fontId="32" fillId="0" borderId="0" xfId="0" applyNumberFormat="1" applyFont="1" applyFill="1" applyAlignment="1">
      <alignment horizontal="center" vertical="center"/>
    </xf>
    <xf numFmtId="0" fontId="33" fillId="0" borderId="0" xfId="0" applyNumberFormat="1" applyFont="1" applyAlignment="1">
      <alignment horizontal="center" vertical="center"/>
    </xf>
    <xf numFmtId="0" fontId="6" fillId="35" borderId="5" xfId="33" applyFont="1" applyFill="1" applyBorder="1" applyAlignment="1">
      <alignment horizontal="center" vertical="center" wrapText="1"/>
    </xf>
    <xf numFmtId="0" fontId="6" fillId="35" borderId="13" xfId="33" applyFont="1" applyFill="1" applyBorder="1" applyAlignment="1">
      <alignment horizontal="center" vertical="center" wrapText="1"/>
    </xf>
    <xf numFmtId="0" fontId="27" fillId="36" borderId="14" xfId="33" applyFont="1" applyFill="1" applyBorder="1" applyAlignment="1">
      <alignment horizontal="center" vertical="center"/>
    </xf>
    <xf numFmtId="0" fontId="27" fillId="36" borderId="2" xfId="33" applyFont="1" applyFill="1" applyBorder="1" applyAlignment="1">
      <alignment horizontal="center" vertical="center"/>
    </xf>
    <xf numFmtId="0" fontId="27" fillId="36" borderId="15" xfId="33" applyFont="1" applyFill="1" applyBorder="1" applyAlignment="1">
      <alignment horizontal="center" vertical="center"/>
    </xf>
    <xf numFmtId="0" fontId="8" fillId="35" borderId="1" xfId="33" applyFont="1" applyFill="1" applyBorder="1" applyAlignment="1">
      <alignment horizontal="justify" vertical="center" wrapText="1"/>
    </xf>
    <xf numFmtId="0" fontId="8" fillId="35" borderId="5" xfId="33" applyFont="1" applyFill="1" applyBorder="1" applyAlignment="1">
      <alignment horizontal="justify" vertical="center" wrapText="1"/>
    </xf>
    <xf numFmtId="0" fontId="28" fillId="37" borderId="6" xfId="33" applyFont="1" applyFill="1" applyBorder="1" applyAlignment="1">
      <alignment horizontal="center" vertical="center"/>
    </xf>
    <xf numFmtId="0" fontId="28" fillId="37" borderId="7" xfId="33" applyFont="1" applyFill="1" applyBorder="1" applyAlignment="1">
      <alignment horizontal="center" vertical="center"/>
    </xf>
    <xf numFmtId="0" fontId="29" fillId="38" borderId="14" xfId="33" applyFont="1" applyFill="1" applyBorder="1" applyAlignment="1">
      <alignment horizontal="center" vertical="center"/>
    </xf>
    <xf numFmtId="0" fontId="29" fillId="38" borderId="2" xfId="33" applyFont="1" applyFill="1" applyBorder="1" applyAlignment="1">
      <alignment horizontal="center" vertical="center"/>
    </xf>
    <xf numFmtId="0" fontId="1" fillId="0" borderId="6" xfId="33" applyBorder="1" applyAlignment="1">
      <alignment horizontal="center" vertical="center"/>
    </xf>
    <xf numFmtId="0" fontId="1" fillId="0" borderId="7" xfId="33" applyBorder="1" applyAlignment="1">
      <alignment horizontal="center" vertical="center"/>
    </xf>
    <xf numFmtId="0" fontId="1" fillId="0" borderId="9" xfId="33" applyBorder="1" applyAlignment="1">
      <alignment horizontal="center" vertical="center"/>
    </xf>
    <xf numFmtId="0" fontId="1" fillId="0" borderId="0" xfId="33" applyAlignment="1">
      <alignment horizontal="center" vertical="center"/>
    </xf>
    <xf numFmtId="0" fontId="1" fillId="0" borderId="3" xfId="33" applyBorder="1" applyAlignment="1">
      <alignment horizontal="center" vertical="center"/>
    </xf>
    <xf numFmtId="0" fontId="1" fillId="0" borderId="4" xfId="33" applyBorder="1" applyAlignment="1">
      <alignment horizontal="center" vertical="center"/>
    </xf>
    <xf numFmtId="0" fontId="1" fillId="0" borderId="8" xfId="33" applyBorder="1" applyAlignment="1">
      <alignment horizontal="center" vertical="center"/>
    </xf>
    <xf numFmtId="0" fontId="1" fillId="0" borderId="10" xfId="33" applyBorder="1" applyAlignment="1">
      <alignment horizontal="center" vertical="center"/>
    </xf>
    <xf numFmtId="0" fontId="1" fillId="0" borderId="11" xfId="33" applyBorder="1" applyAlignment="1">
      <alignment horizontal="center" vertical="center"/>
    </xf>
    <xf numFmtId="0" fontId="7" fillId="35" borderId="13" xfId="33" applyFont="1" applyFill="1" applyBorder="1" applyAlignment="1">
      <alignment horizontal="center" vertical="center" wrapText="1"/>
    </xf>
    <xf numFmtId="0" fontId="6" fillId="35" borderId="5" xfId="33" applyFont="1" applyFill="1" applyBorder="1" applyAlignment="1">
      <alignment horizontal="justify" vertical="center" wrapText="1"/>
    </xf>
    <xf numFmtId="0" fontId="7" fillId="35" borderId="13" xfId="33" applyFont="1" applyFill="1" applyBorder="1" applyAlignment="1">
      <alignment horizontal="justify" vertical="center" wrapText="1"/>
    </xf>
    <xf numFmtId="0" fontId="28" fillId="37" borderId="16" xfId="33" applyFont="1" applyFill="1" applyBorder="1" applyAlignment="1">
      <alignment horizontal="center" vertical="center"/>
    </xf>
    <xf numFmtId="0" fontId="28" fillId="37" borderId="8" xfId="33" applyFont="1" applyFill="1" applyBorder="1" applyAlignment="1">
      <alignment horizontal="center" vertical="center"/>
    </xf>
    <xf numFmtId="17" fontId="8" fillId="35" borderId="1" xfId="33" applyNumberFormat="1" applyFont="1" applyFill="1" applyBorder="1" applyAlignment="1">
      <alignment horizontal="justify" vertical="center" wrapText="1"/>
    </xf>
    <xf numFmtId="17" fontId="8" fillId="35" borderId="5" xfId="33" applyNumberFormat="1" applyFont="1" applyFill="1" applyBorder="1" applyAlignment="1">
      <alignment horizontal="justify" vertical="center" wrapText="1"/>
    </xf>
    <xf numFmtId="0" fontId="0" fillId="0" borderId="29" xfId="0" applyBorder="1" applyAlignment="1">
      <alignment horizontal="center"/>
    </xf>
    <xf numFmtId="2" fontId="0" fillId="0" borderId="29" xfId="0" applyNumberFormat="1" applyBorder="1" applyAlignment="1">
      <alignment horizontal="center"/>
    </xf>
    <xf numFmtId="0" fontId="26" fillId="48" borderId="1" xfId="0" applyFont="1" applyFill="1" applyBorder="1" applyAlignment="1">
      <alignment horizontal="center"/>
    </xf>
    <xf numFmtId="0" fontId="26" fillId="48" borderId="5" xfId="0" applyFont="1" applyFill="1" applyBorder="1" applyAlignment="1">
      <alignment horizontal="center"/>
    </xf>
    <xf numFmtId="0" fontId="26" fillId="48" borderId="13" xfId="0" applyFont="1" applyFill="1" applyBorder="1" applyAlignment="1">
      <alignment horizontal="center"/>
    </xf>
    <xf numFmtId="0" fontId="40" fillId="0" borderId="29" xfId="0" applyFont="1" applyBorder="1" applyAlignment="1">
      <alignment horizontal="center"/>
    </xf>
  </cellXfs>
  <cellStyles count="48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Hiperlink" xfId="47" builtinId="8"/>
    <cellStyle name="Moeda" xfId="46" builtinId="4"/>
    <cellStyle name="Moeda 2" xfId="31" xr:uid="{00000000-0005-0000-0000-00001F000000}"/>
    <cellStyle name="Neutro" xfId="32" builtinId="28" customBuiltin="1"/>
    <cellStyle name="Normal" xfId="0" builtinId="0"/>
    <cellStyle name="Normal 2" xfId="33" xr:uid="{00000000-0005-0000-0000-000022000000}"/>
    <cellStyle name="Normal 3" xfId="34" xr:uid="{00000000-0005-0000-0000-000023000000}"/>
    <cellStyle name="Nota" xfId="35" builtinId="10" customBuiltin="1"/>
    <cellStyle name="Porcentagem" xfId="45" builtinId="5"/>
    <cellStyle name="Ruim" xfId="30" builtinId="27" customBuiltin="1"/>
    <cellStyle name="Saída" xfId="36" builtinId="21" customBuiltin="1"/>
    <cellStyle name="Texto de Aviso" xfId="37" builtinId="11" customBuiltin="1"/>
    <cellStyle name="Texto Explicativo" xfId="38" builtinId="53" customBuiltin="1"/>
    <cellStyle name="Título" xfId="39" builtinId="15" customBuiltin="1"/>
    <cellStyle name="Título 1" xfId="40" builtinId="16" customBuiltin="1"/>
    <cellStyle name="Título 2" xfId="41" builtinId="17" customBuiltin="1"/>
    <cellStyle name="Título 3" xfId="42" builtinId="18" customBuiltin="1"/>
    <cellStyle name="Título 4" xfId="43" builtinId="19" customBuiltin="1"/>
    <cellStyle name="Total" xfId="44" builtinId="25" customBuiltin="1"/>
  </cellStyles>
  <dxfs count="1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ourier New"/>
        <family val="3"/>
        <scheme val="none"/>
      </font>
      <numFmt numFmtId="2" formatCode="0.00"/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1" formatCode="&quot;R$&quot;\ #,##0.00;\-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167" formatCode="&quot;R$&quot;\ #,##0.0;\-&quot;R$&quot;\ #,##0.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numFmt numFmtId="165" formatCode="#,##0&quot;Kg&quot;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0" formatCode="General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1" formatCode="&quot;R$&quot;\ #,##0.00;\-&quot;R$&quot;\ 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64" formatCode="#,##0&quot;Km&quot;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64" formatCode="#,##0&quot;Km&quot;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166" formatCode="&quot;R$&quot;\ #,##0.00"/>
      <alignment horizontal="center" vertical="center" textRotation="0" wrapText="0" indent="0" justifyLastLine="0" shrinkToFit="0" readingOrder="0"/>
    </dxf>
    <dxf>
      <numFmt numFmtId="166" formatCode="&quot;R$&quot;\ #,##0.00"/>
      <alignment horizontal="center" vertical="center" textRotation="0" wrapText="0" indent="0" justifyLastLine="0" shrinkToFit="0" readingOrder="0"/>
    </dxf>
    <dxf>
      <numFmt numFmtId="166" formatCode="&quot;R$&quot;\ #,##0.00"/>
      <alignment horizontal="center" vertical="center" textRotation="0" wrapText="0" indent="0" justifyLastLine="0" shrinkToFit="0" readingOrder="0"/>
    </dxf>
    <dxf>
      <numFmt numFmtId="166" formatCode="&quot;R$&quot;\ #,##0.00"/>
      <alignment horizontal="center" vertical="bottom" textRotation="0" wrapText="0" indent="0" justifyLastLine="0" shrinkToFit="0" readingOrder="0"/>
    </dxf>
    <dxf>
      <numFmt numFmtId="166" formatCode="&quot;R$&quot;\ #,##0.00"/>
      <alignment horizont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</dxf>
    <dxf>
      <numFmt numFmtId="19" formatCode="dd/mm/yyyy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00FF"/>
      <color rgb="FFFF01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openxmlformats.org/officeDocument/2006/relationships/image" Target="../media/image4.jpeg"/><Relationship Id="rId2" Type="http://schemas.openxmlformats.org/officeDocument/2006/relationships/hyperlink" Target="#'CUSTO DA FROTA'!A1"/><Relationship Id="rId1" Type="http://schemas.openxmlformats.org/officeDocument/2006/relationships/image" Target="../media/image1.png"/><Relationship Id="rId6" Type="http://schemas.openxmlformats.org/officeDocument/2006/relationships/hyperlink" Target="#INDICADORES!A1"/><Relationship Id="rId5" Type="http://schemas.openxmlformats.org/officeDocument/2006/relationships/image" Target="../media/image3.jpeg"/><Relationship Id="rId4" Type="http://schemas.openxmlformats.org/officeDocument/2006/relationships/hyperlink" Target="#'CUSTO MOD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GEST&#195;O_M.O.D_MENU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GEST&#195;O_M.O.D_MENU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hyperlink" Target="#GEST&#195;O_M.O.D_MENU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#GEST&#195;O_M.O.D_MENU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hyperlink" Target="#GEST&#195;O_M.O.D_MENU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1</xdr:row>
      <xdr:rowOff>0</xdr:rowOff>
    </xdr:from>
    <xdr:to>
      <xdr:col>7</xdr:col>
      <xdr:colOff>83820</xdr:colOff>
      <xdr:row>1</xdr:row>
      <xdr:rowOff>381000</xdr:rowOff>
    </xdr:to>
    <xdr:pic>
      <xdr:nvPicPr>
        <xdr:cNvPr id="10514461" name="Imagem 2">
          <a:extLst>
            <a:ext uri="{FF2B5EF4-FFF2-40B4-BE49-F238E27FC236}">
              <a16:creationId xmlns:a16="http://schemas.microsoft.com/office/drawing/2014/main" id="{00000000-0008-0000-0000-00001D70A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000" b="3316"/>
        <a:stretch/>
      </xdr:blipFill>
      <xdr:spPr bwMode="auto">
        <a:xfrm>
          <a:off x="198121" y="190500"/>
          <a:ext cx="1043939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30480</xdr:colOff>
      <xdr:row>3</xdr:row>
      <xdr:rowOff>30480</xdr:rowOff>
    </xdr:from>
    <xdr:to>
      <xdr:col>36</xdr:col>
      <xdr:colOff>152400</xdr:colOff>
      <xdr:row>14</xdr:row>
      <xdr:rowOff>0</xdr:rowOff>
    </xdr:to>
    <xdr:pic>
      <xdr:nvPicPr>
        <xdr:cNvPr id="10514462" name="Imagem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1E70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678180"/>
          <a:ext cx="2682240" cy="1813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60960</xdr:colOff>
      <xdr:row>3</xdr:row>
      <xdr:rowOff>30480</xdr:rowOff>
    </xdr:from>
    <xdr:to>
      <xdr:col>54</xdr:col>
      <xdr:colOff>144780</xdr:colOff>
      <xdr:row>13</xdr:row>
      <xdr:rowOff>129540</xdr:rowOff>
    </xdr:to>
    <xdr:pic>
      <xdr:nvPicPr>
        <xdr:cNvPr id="10514463" name="Imagem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F70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40" y="678180"/>
          <a:ext cx="2644140" cy="1775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</xdr:colOff>
      <xdr:row>3</xdr:row>
      <xdr:rowOff>22860</xdr:rowOff>
    </xdr:from>
    <xdr:to>
      <xdr:col>21</xdr:col>
      <xdr:colOff>15240</xdr:colOff>
      <xdr:row>14</xdr:row>
      <xdr:rowOff>0</xdr:rowOff>
    </xdr:to>
    <xdr:pic>
      <xdr:nvPicPr>
        <xdr:cNvPr id="10514464" name="Imagem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2070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670560"/>
          <a:ext cx="3505200" cy="1821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0</xdr:row>
      <xdr:rowOff>0</xdr:rowOff>
    </xdr:from>
    <xdr:to>
      <xdr:col>0</xdr:col>
      <xdr:colOff>338880</xdr:colOff>
      <xdr:row>0</xdr:row>
      <xdr:rowOff>272832</xdr:rowOff>
    </xdr:to>
    <xdr:pic>
      <xdr:nvPicPr>
        <xdr:cNvPr id="5" name="Imagem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8A871C-1D35-4F8B-8961-BDBB97F2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" y="0"/>
          <a:ext cx="285540" cy="281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0</xdr:row>
      <xdr:rowOff>22861</xdr:rowOff>
    </xdr:from>
    <xdr:to>
      <xdr:col>0</xdr:col>
      <xdr:colOff>312205</xdr:colOff>
      <xdr:row>0</xdr:row>
      <xdr:rowOff>286871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489362-6427-4E72-8768-35ACE97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4" y="22861"/>
          <a:ext cx="267381" cy="2640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22861</xdr:rowOff>
    </xdr:from>
    <xdr:to>
      <xdr:col>0</xdr:col>
      <xdr:colOff>281940</xdr:colOff>
      <xdr:row>0</xdr:row>
      <xdr:rowOff>293723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EF677-AD6E-4FEF-8154-80C7B22B0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22861"/>
          <a:ext cx="274320" cy="2708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53007</xdr:colOff>
      <xdr:row>0</xdr:row>
      <xdr:rowOff>48079</xdr:rowOff>
    </xdr:from>
    <xdr:to>
      <xdr:col>0</xdr:col>
      <xdr:colOff>251790</xdr:colOff>
      <xdr:row>0</xdr:row>
      <xdr:rowOff>244356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CEB69-21CD-4BF6-B67E-127EAF68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07" y="48079"/>
          <a:ext cx="198783" cy="196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106018</xdr:colOff>
      <xdr:row>0</xdr:row>
      <xdr:rowOff>53008</xdr:rowOff>
    </xdr:from>
    <xdr:to>
      <xdr:col>0</xdr:col>
      <xdr:colOff>304801</xdr:colOff>
      <xdr:row>0</xdr:row>
      <xdr:rowOff>249285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45E8CA-E8EC-4087-A4E8-B7ECC888E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8" y="53008"/>
          <a:ext cx="198783" cy="196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-05%20-%20OPERA&#199;&#213;ES/02%20-%20ANEXOS%20PREENCHIDOS/Anexo%201%20-%20Gest&#227;o%20Operacional%20da%20Frota/Anexo%201%20-%20Gest&#227;o%20Operacional%20da%20Fro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-05%20-%20OPERA&#199;&#213;ES/02%20-%20ANEXOS%20PREENCHIDOS/Anexo%201%20-%20Gest&#227;o%20Operacional%20da%20Frota/2023/Anexo%201%20-%20Gest&#227;o%20Operacional%20da%20Fro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ADASTRO DE VEÍCULO"/>
      <sheetName val="CUSTO DA FROTA"/>
      <sheetName val="ABASTECIMENTOS"/>
      <sheetName val="OBJETIVOS"/>
      <sheetName val="VALIDAÇÃO"/>
      <sheetName val="TIPOS DE CUSTOS"/>
      <sheetName val="Planilha1"/>
      <sheetName val="Anexo 1 - Gestão Operacional d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ADASTRO DE VEÍCULO"/>
      <sheetName val="CUSTO DA FROTA"/>
      <sheetName val="ABASTECIMENTOS"/>
      <sheetName val="OBJETIVOS"/>
      <sheetName val="VALIDAÇÃO"/>
      <sheetName val="TIPOS DE CUSTOS"/>
      <sheetName val="Planilha1"/>
      <sheetName val="Anexo 1 - Gestão Operacional d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ta381" refreshedDate="45225.49585486111" createdVersion="8" refreshedVersion="8" minRefreshableVersion="3" recordCount="2587" xr:uid="{C32442F4-FC10-418C-8189-69EBC38C3ACE}">
  <cacheSource type="worksheet">
    <worksheetSource name="Tabela6"/>
  </cacheSource>
  <cacheFields count="16">
    <cacheField name="CUPOM" numFmtId="0">
      <sharedItems containsMixedTypes="1" containsNumber="1" containsInteger="1" minValue="139" maxValue="2770150"/>
    </cacheField>
    <cacheField name="DATA" numFmtId="14">
      <sharedItems containsSemiMixedTypes="0" containsNonDate="0" containsDate="1" containsString="0" minDate="2023-01-02T00:00:00" maxDate="2023-10-19T00:00:00" count="275">
        <d v="2023-01-02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6T00:00:00"/>
        <d v="2023-02-07T00:00:00"/>
        <d v="2023-02-08T00:00:00"/>
        <d v="2023-02-09T00:00:00"/>
        <d v="2023-02-05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5T00:00:00"/>
        <d v="2023-02-26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3T00:00:00"/>
        <d v="2023-03-12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6T00:00:00"/>
        <d v="2023-03-27T00:00:00"/>
        <d v="2023-03-28T00:00:00"/>
        <d v="2023-03-29T00:00:00"/>
        <d v="2023-03-30T00:00:00"/>
        <d v="2023-03-31T00:00:00"/>
        <d v="2023-04-03T00:00:00"/>
        <d v="2023-04-02T00:00:00"/>
        <d v="2023-03-25T00:00:00"/>
        <d v="2023-04-01T00:00:00"/>
        <d v="2023-04-04T00:00:00"/>
        <d v="2023-04-05T00:00:00"/>
        <d v="2023-04-06T00:00:00"/>
        <d v="2023-04-07T00:00:00"/>
        <d v="2023-04-10T00:00:00"/>
        <d v="2023-04-08T00:00:00"/>
        <d v="2023-04-09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3T00:00:00"/>
        <d v="2023-04-24T00:00:00"/>
        <d v="2023-04-25T00:00:00"/>
        <d v="2023-04-22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8T00:00:00"/>
        <d v="2023-05-06T00:00:00"/>
        <d v="2023-05-09T00:00:00"/>
        <d v="2023-05-10T00:00:00"/>
        <d v="2023-05-11T00:00:00"/>
        <d v="2023-05-12T00:00:00"/>
        <d v="2023-05-15T00:00:00"/>
        <d v="2023-05-16T00:00:00"/>
        <d v="2023-05-14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9T00:00:00"/>
        <d v="2023-05-27T00:00:00"/>
        <d v="2023-05-28T00:00:00"/>
        <d v="2023-05-30T00:00:00"/>
        <d v="2023-05-31T00:00:00"/>
        <d v="2023-06-01T00:00:00"/>
        <d v="2023-06-02T00:00:00"/>
        <d v="2023-06-03T00:00:00"/>
        <d v="2023-06-04T00:00:00"/>
        <d v="2023-06-06T00:00:00"/>
        <d v="2023-06-05T00:00:00"/>
        <d v="2023-06-08T00:00:00"/>
        <d v="2023-06-07T00:00:00"/>
        <d v="2023-06-09T00:00:00"/>
        <d v="2023-06-12T00:00:00"/>
        <d v="2023-06-10T00:00:00"/>
        <d v="2023-06-13T00:00:00"/>
        <d v="2023-06-11T00:00:00"/>
        <d v="2023-06-14T00:00:00"/>
        <d v="2023-06-15T00:00:00"/>
        <d v="2023-06-16T00:00:00"/>
        <d v="2023-06-18T00:00:00"/>
        <d v="2023-06-19T00:00:00"/>
        <d v="2023-06-20T00:00:00"/>
        <d v="2023-06-21T00:00:00"/>
        <d v="2023-06-26T00:00:00"/>
        <d v="2023-06-22T00:00:00"/>
        <d v="2023-06-23T00:00:00"/>
        <d v="2023-06-24T00:00:00"/>
        <d v="2023-06-25T00:00:00"/>
        <d v="2023-06-27T00:00:00"/>
        <d v="2023-06-28T00:00:00"/>
        <d v="2023-06-17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10T00:00:00"/>
        <d v="2023-07-09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7-22T00:00:00"/>
        <d v="2023-08-02T00:00:00"/>
        <d v="2023-08-03T00:00:00"/>
        <d v="2023-08-04T00:00:00"/>
        <d v="2023-08-05T00:00:00"/>
        <d v="2023-08-07T00:00:00"/>
        <d v="2023-08-06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28T00:00:00"/>
        <d v="2023-08-15T00:00:00"/>
        <d v="2023-08-16T00:00:00"/>
        <d v="2023-08-17T00:00:00"/>
        <d v="2023-08-18T00:00:00"/>
        <d v="2023-08-21T00:00:00"/>
        <d v="2023-08-19T00:00:00"/>
        <d v="2023-08-20T00:00:00"/>
        <d v="2023-08-22T00:00:00"/>
        <d v="2023-08-23T00:00:00"/>
        <d v="2023-08-24T00:00:00"/>
        <d v="2023-08-25T00:00:00"/>
        <d v="2023-08-27T00:00:00"/>
        <d v="2023-08-31T00:00:00"/>
        <d v="2023-08-26T00:00:00"/>
        <d v="2023-08-29T00:00:00"/>
        <d v="2023-08-30T00:00:00"/>
        <d v="2023-09-01T00:00:00"/>
        <d v="2023-09-04T00:00:00"/>
        <d v="2023-09-05T00:00:00"/>
        <d v="2023-09-02T00:00:00"/>
        <d v="2023-09-03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7T00:00:00"/>
        <d v="2023-09-18T00:00:00"/>
        <d v="2023-09-19T00:00:00"/>
        <d v="2023-09-20T00:00:00"/>
        <d v="2023-09-21T00:00:00"/>
        <d v="2023-09-22T00:00:00"/>
        <d v="2023-09-24T00:00:00"/>
        <d v="2023-09-25T00:00:00"/>
        <d v="2023-09-26T00:00:00"/>
        <d v="2023-09-27T00:00:00"/>
        <d v="2023-09-28T00:00:00"/>
        <d v="2023-09-29T00:00:00"/>
        <d v="2023-10-01T00:00:00"/>
        <d v="2023-10-02T00:00:00"/>
        <d v="2023-10-03T00:00:00"/>
        <d v="2023-10-04T00:00:00"/>
        <d v="2023-10-05T00:00:00"/>
        <d v="2023-10-06T00:00:00"/>
        <d v="2023-10-08T00:00:00"/>
        <d v="2023-10-09T00:00:00"/>
        <d v="2023-10-10T00:00:00"/>
        <d v="2023-10-11T00:00:00"/>
        <d v="2023-10-12T00:00:00"/>
        <d v="2023-10-13T00:00:00"/>
        <d v="2023-10-15T00:00:00"/>
        <d v="2023-10-16T00:00:00"/>
        <d v="2023-10-17T00:00:00"/>
        <d v="2023-10-18T00:00:00"/>
      </sharedItems>
      <fieldGroup par="15"/>
    </cacheField>
    <cacheField name="PLACA" numFmtId="0">
      <sharedItems containsBlank="1" count="61">
        <s v="FZG 4F66"/>
        <s v="FHI 8909"/>
        <s v="AXS 9G25"/>
        <s v="RMF 8H75"/>
        <s v="CMR 5893"/>
        <s v="CPN 1798"/>
        <s v="PVD 2450"/>
        <s v="FSR 0H16"/>
        <s v="OQG 0668"/>
        <s v="PZE 8684"/>
        <s v="QQM 5087"/>
        <s v="HOB 1G50"/>
        <s v="QWS 8608"/>
        <s v="BPQ 3I53"/>
        <s v="GGN 2B61"/>
        <s v="PZE 8689"/>
        <s v="QMQ 5351"/>
        <s v="FMZ 8I54"/>
        <s v="EWJ 1D79"/>
        <s v="EZT 5167"/>
        <m/>
        <s v="QUM 8566"/>
        <s v="HGJ 5319"/>
        <s v="PZA 3995"/>
        <s v="FJV 3D37"/>
        <s v="OOY 7286"/>
        <s v="NYF 1166"/>
        <s v="FZG 5A23"/>
        <s v="RUJ 4I21"/>
        <s v="QPA 8450"/>
        <s v="OQK 6717"/>
        <s v="QNU 5805"/>
        <s v="HLV 4105"/>
        <s v="GWI 4D64"/>
        <s v="EBO 0I79"/>
        <s v="CPN 2A40"/>
        <s v="OQD 1416"/>
        <s v="SIJ 7J52"/>
        <s v="FZG5A23" u="1"/>
        <s v="QQM5087" u="1"/>
        <s v="FZG4F66" u="1"/>
        <s v="BPQ3I53" u="1"/>
        <s v="QPA8450" u="1"/>
        <s v="RUJ4I21" u="1"/>
        <s v="PVD2450" u="1"/>
        <s v="HOB1G50" u="1"/>
        <s v="EWJ1D79" u="1"/>
        <s v="NYF1166" u="1"/>
        <s v="FHI8909" u="1"/>
        <s v="QWS8608" u="1"/>
        <s v="EBO0I79" u="1"/>
        <s v="GWI4D64" u="1"/>
        <s v="FJV3D37" u="1"/>
        <s v="GGN2B61" u="1"/>
        <s v="FMZ8I54" u="1"/>
        <s v="OQG0G68" u="1"/>
        <s v="QMQ5351" u="1"/>
        <s v="OQD1416" u="1"/>
        <s v="HGJ5319" u="1"/>
        <s v="SIJ7J52" u="1"/>
        <s v="PLACA" u="1"/>
      </sharedItems>
    </cacheField>
    <cacheField name="POSTO" numFmtId="0">
      <sharedItems containsBlank="1"/>
    </cacheField>
    <cacheField name="KM ATUAL" numFmtId="0">
      <sharedItems containsString="0" containsBlank="1" containsNumber="1" containsInteger="1" minValue="0" maxValue="1048571"/>
    </cacheField>
    <cacheField name="KM FINAL" numFmtId="0">
      <sharedItems containsBlank="1"/>
    </cacheField>
    <cacheField name="DESCRIÇÃO DO ABASTECIMENTO" numFmtId="2">
      <sharedItems containsBlank="1" count="5">
        <s v="DIESEL"/>
        <s v="GASOLINA"/>
        <s v="ARLA"/>
        <s v="ETANOL"/>
        <m/>
      </sharedItems>
    </cacheField>
    <cacheField name="CONSUMO" numFmtId="0">
      <sharedItems containsSemiMixedTypes="0" containsString="0" containsNumber="1" minValue="1.8540000000000001" maxValue="1825"/>
    </cacheField>
    <cacheField name="DESCONTO" numFmtId="0">
      <sharedItems containsString="0" containsBlank="1" containsNumber="1" minValue="0.65" maxValue="773.52"/>
    </cacheField>
    <cacheField name="VALOR UNIT" numFmtId="0">
      <sharedItems containsString="0" containsBlank="1" containsNumber="1" minValue="2.89" maxValue="33.19"/>
    </cacheField>
    <cacheField name="CUSTO TOTAL" numFmtId="0">
      <sharedItems containsSemiMixedTypes="0" containsString="0" containsNumber="1" minValue="0" maxValue="6733.6"/>
    </cacheField>
    <cacheField name="C/ DESC" numFmtId="0">
      <sharedItems containsSemiMixedTypes="0" containsString="0" containsNumber="1" minValue="-32.33269923513447" maxValue="33.19"/>
    </cacheField>
    <cacheField name="KM Rodados " numFmtId="0">
      <sharedItems containsBlank="1" containsMixedTypes="1" containsNumber="1" containsInteger="1" minValue="-900592" maxValue="735710"/>
    </cacheField>
    <cacheField name="KM/Litro" numFmtId="0">
      <sharedItems containsBlank="1" containsMixedTypes="1" containsNumber="1" minValue="-272729.87117552332" maxValue="16151.8"/>
    </cacheField>
    <cacheField name="Dias (DATA)" numFmtId="0" databaseField="0">
      <fieldGroup base="1">
        <rangePr groupBy="days" startDate="2023-01-02T00:00:00" endDate="2023-10-19T00:00:00"/>
        <groupItems count="368">
          <s v="&lt;02/01/2023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19/10/2023"/>
        </groupItems>
      </fieldGroup>
    </cacheField>
    <cacheField name="Meses (DATA)" numFmtId="0" databaseField="0">
      <fieldGroup base="1">
        <rangePr groupBy="months" startDate="2023-01-02T00:00:00" endDate="2023-10-19T00:00:00"/>
        <groupItems count="14">
          <s v="&lt;02/01/2023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9/1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7">
  <r>
    <n v="155717"/>
    <x v="0"/>
    <x v="0"/>
    <s v="TATITA FERNÃO DIAS"/>
    <n v="363740"/>
    <m/>
    <x v="0"/>
    <n v="31.25"/>
    <m/>
    <n v="6.59"/>
    <n v="205.9375"/>
    <n v="6.59"/>
    <m/>
    <m/>
  </r>
  <r>
    <n v="155742"/>
    <x v="1"/>
    <x v="1"/>
    <s v="TATITA FERNÃO DIAS"/>
    <n v="313701"/>
    <m/>
    <x v="0"/>
    <n v="66.56"/>
    <m/>
    <n v="6.29"/>
    <n v="418.66239999999999"/>
    <n v="6.29"/>
    <m/>
    <m/>
  </r>
  <r>
    <n v="27201"/>
    <x v="1"/>
    <x v="2"/>
    <s v="ULTRAMARINO"/>
    <n v="850567"/>
    <m/>
    <x v="0"/>
    <n v="465.46100000000001"/>
    <n v="46.55"/>
    <n v="6.36"/>
    <n v="2913.7819600000003"/>
    <n v="6.2599916212099407"/>
    <m/>
    <m/>
  </r>
  <r>
    <n v="216808"/>
    <x v="1"/>
    <x v="3"/>
    <s v="ULTRAMARINO"/>
    <n v="115217"/>
    <m/>
    <x v="1"/>
    <n v="16.850000000000001"/>
    <m/>
    <n v="4.99"/>
    <n v="84.081500000000005"/>
    <n v="4.99"/>
    <m/>
    <m/>
  </r>
  <r>
    <n v="246114"/>
    <x v="1"/>
    <x v="4"/>
    <s v="DOM PEDRO ITAPEVA"/>
    <n v="866635"/>
    <m/>
    <x v="0"/>
    <n v="100.02"/>
    <m/>
    <n v="6.19"/>
    <n v="619.12379999999996"/>
    <n v="6.1899999999999995"/>
    <m/>
    <m/>
  </r>
  <r>
    <n v="511532"/>
    <x v="1"/>
    <x v="5"/>
    <s v="DOM PEDRO POUSO ALEGRE"/>
    <n v="582523"/>
    <m/>
    <x v="0"/>
    <n v="126.39"/>
    <m/>
    <n v="6.09"/>
    <n v="769.71510000000001"/>
    <n v="6.09"/>
    <m/>
    <m/>
  </r>
  <r>
    <n v="564005"/>
    <x v="2"/>
    <x v="6"/>
    <s v="AUTO POSTO RVM MAX"/>
    <n v="584785"/>
    <m/>
    <x v="0"/>
    <n v="126"/>
    <m/>
    <n v="6.19"/>
    <n v="779.94"/>
    <n v="6.19"/>
    <m/>
    <m/>
  </r>
  <r>
    <n v="156046"/>
    <x v="2"/>
    <x v="7"/>
    <s v="TATITA FERNÃO DIAS"/>
    <n v="72738"/>
    <m/>
    <x v="1"/>
    <n v="49.04"/>
    <m/>
    <n v="4.99"/>
    <n v="244.70959999999999"/>
    <n v="4.99"/>
    <m/>
    <m/>
  </r>
  <r>
    <n v="270150"/>
    <x v="2"/>
    <x v="8"/>
    <s v="BEIRA MINHO"/>
    <n v="906556"/>
    <m/>
    <x v="2"/>
    <n v="36.954999999999998"/>
    <m/>
    <n v="4.99"/>
    <n v="184.40545"/>
    <n v="4.99"/>
    <m/>
    <n v="0"/>
  </r>
  <r>
    <n v="269983"/>
    <x v="2"/>
    <x v="9"/>
    <s v="BEIRA MINHO"/>
    <n v="340820"/>
    <m/>
    <x v="0"/>
    <n v="85.49"/>
    <n v="25.65"/>
    <n v="6.89"/>
    <n v="563.37609999999995"/>
    <n v="6.5899649081763947"/>
    <m/>
    <m/>
  </r>
  <r>
    <s v="Ajuste M."/>
    <x v="2"/>
    <x v="6"/>
    <m/>
    <n v="584907"/>
    <m/>
    <x v="0"/>
    <n v="24.5"/>
    <m/>
    <m/>
    <n v="0"/>
    <n v="0"/>
    <n v="122"/>
    <n v="4.9795918367346941"/>
  </r>
  <r>
    <n v="581186"/>
    <x v="2"/>
    <x v="6"/>
    <s v="GAVIÃO DA ANHANGUERA"/>
    <n v="585100"/>
    <m/>
    <x v="0"/>
    <n v="40.268000000000001"/>
    <m/>
    <n v="6.4"/>
    <n v="257.71520000000004"/>
    <n v="6.4000000000000012"/>
    <n v="193"/>
    <n v="4.7928876527267308"/>
  </r>
  <r>
    <n v="2770150"/>
    <x v="2"/>
    <x v="8"/>
    <s v="BEIRA MINHO"/>
    <n v="906558"/>
    <m/>
    <x v="2"/>
    <n v="36.954999999999998"/>
    <m/>
    <n v="4.99"/>
    <n v="184.40545"/>
    <n v="4.99"/>
    <m/>
    <n v="0"/>
  </r>
  <r>
    <n v="156080"/>
    <x v="3"/>
    <x v="10"/>
    <s v="TATITA FERNÃO DIAS"/>
    <n v="223863"/>
    <m/>
    <x v="0"/>
    <n v="64.069999999999993"/>
    <m/>
    <n v="6.29"/>
    <n v="403.00029999999998"/>
    <n v="6.29"/>
    <m/>
    <m/>
  </r>
  <r>
    <n v="270553"/>
    <x v="3"/>
    <x v="11"/>
    <s v="BEIRA MINHO"/>
    <n v="642015"/>
    <m/>
    <x v="0"/>
    <n v="86.63"/>
    <n v="25.99"/>
    <n v="6.89"/>
    <n v="570.89069999999992"/>
    <n v="6.589988456654738"/>
    <m/>
    <m/>
  </r>
  <r>
    <n v="270901"/>
    <x v="3"/>
    <x v="12"/>
    <s v="AUTO POSTO MORINI"/>
    <n v="200472"/>
    <m/>
    <x v="0"/>
    <n v="150"/>
    <n v="75"/>
    <n v="6.99"/>
    <n v="973.5"/>
    <n v="6.49"/>
    <m/>
    <m/>
  </r>
  <r>
    <n v="217277"/>
    <x v="3"/>
    <x v="8"/>
    <s v="ULTRAMARINO"/>
    <n v="906761"/>
    <m/>
    <x v="0"/>
    <n v="531.45000000000005"/>
    <n v="53.15"/>
    <n v="6.36"/>
    <n v="3326.8720000000003"/>
    <n v="6.2599905917772132"/>
    <m/>
    <m/>
  </r>
  <r>
    <n v="246448"/>
    <x v="3"/>
    <x v="4"/>
    <s v="DOM PEDRO ITAPEVA"/>
    <n v="866748"/>
    <m/>
    <x v="0"/>
    <n v="35"/>
    <m/>
    <n v="6.19"/>
    <n v="216.65"/>
    <n v="6.19"/>
    <n v="113"/>
    <n v="3.2285714285714286"/>
  </r>
  <r>
    <n v="548656"/>
    <x v="3"/>
    <x v="12"/>
    <s v="DOM PEDRO POUSO ALEGRE"/>
    <n v="201241"/>
    <m/>
    <x v="0"/>
    <n v="159"/>
    <m/>
    <n v="6.2896000000000001"/>
    <n v="1000.0464000000001"/>
    <n v="6.2896000000000001"/>
    <n v="769"/>
    <n v="4.8364779874213832"/>
  </r>
  <r>
    <n v="156239"/>
    <x v="4"/>
    <x v="10"/>
    <s v="TATITA FERNÃO DIAS"/>
    <n v="224456"/>
    <m/>
    <x v="0"/>
    <n v="75.570999999999998"/>
    <m/>
    <n v="6.29"/>
    <n v="475.34159"/>
    <n v="6.29"/>
    <n v="593"/>
    <n v="7.8469254078945632"/>
  </r>
  <r>
    <n v="156178"/>
    <x v="4"/>
    <x v="13"/>
    <s v="TATITA FERNÃO DIAS"/>
    <n v="96679"/>
    <m/>
    <x v="0"/>
    <n v="29.048999999999999"/>
    <m/>
    <n v="6.29"/>
    <n v="182.71821"/>
    <n v="6.29"/>
    <m/>
    <m/>
  </r>
  <r>
    <n v="217513"/>
    <x v="4"/>
    <x v="7"/>
    <s v="ULTRAMARINO"/>
    <n v="73204"/>
    <m/>
    <x v="1"/>
    <n v="33.35"/>
    <m/>
    <n v="4.8899999999999997"/>
    <n v="163.08150000000001"/>
    <n v="4.8899999999999997"/>
    <n v="466"/>
    <n v="13.973013493253372"/>
  </r>
  <r>
    <n v="217515"/>
    <x v="4"/>
    <x v="14"/>
    <s v="ULTRAMARINO"/>
    <n v="75198"/>
    <m/>
    <x v="0"/>
    <n v="401.601"/>
    <n v="40.159999999999997"/>
    <n v="6.36"/>
    <n v="2514.0223600000004"/>
    <n v="6.2600002490033653"/>
    <m/>
    <m/>
  </r>
  <r>
    <n v="505187"/>
    <x v="4"/>
    <x v="15"/>
    <s v="COMBO AUTO POSTO"/>
    <n v="288258"/>
    <m/>
    <x v="0"/>
    <n v="74.02"/>
    <m/>
    <n v="6.69"/>
    <n v="495.19380000000001"/>
    <n v="6.69"/>
    <m/>
    <m/>
  </r>
  <r>
    <s v="Ajuste M."/>
    <x v="4"/>
    <x v="2"/>
    <m/>
    <n v="851503"/>
    <m/>
    <x v="0"/>
    <n v="385"/>
    <m/>
    <m/>
    <n v="0"/>
    <n v="0"/>
    <n v="936"/>
    <n v="2.4311688311688311"/>
  </r>
  <r>
    <n v="156568"/>
    <x v="5"/>
    <x v="1"/>
    <s v="TATITA FERNÃO DIAS"/>
    <n v="314040"/>
    <m/>
    <x v="0"/>
    <n v="93.75"/>
    <m/>
    <n v="6.29"/>
    <n v="589.6875"/>
    <n v="6.29"/>
    <n v="339"/>
    <n v="3.6160000000000001"/>
  </r>
  <r>
    <n v="272838"/>
    <x v="5"/>
    <x v="16"/>
    <s v="BEIRA MINHO"/>
    <n v="333061"/>
    <m/>
    <x v="0"/>
    <n v="200.44"/>
    <n v="60.13"/>
    <n v="6.89"/>
    <n v="1320.9015999999999"/>
    <n v="6.5900099780482932"/>
    <m/>
    <m/>
  </r>
  <r>
    <n v="272856"/>
    <x v="5"/>
    <x v="13"/>
    <s v="BEIRA MINHO"/>
    <n v="96977"/>
    <m/>
    <x v="0"/>
    <n v="35.229999999999997"/>
    <n v="10.57"/>
    <n v="6.89"/>
    <n v="232.16469999999998"/>
    <n v="6.5899716151007661"/>
    <n v="298"/>
    <n v="8.4586999716151023"/>
  </r>
  <r>
    <s v="Ajuste M."/>
    <x v="4"/>
    <x v="3"/>
    <m/>
    <n v="115738"/>
    <m/>
    <x v="1"/>
    <n v="42.36"/>
    <m/>
    <m/>
    <n v="0"/>
    <n v="0"/>
    <n v="521"/>
    <n v="12.299338999055713"/>
  </r>
  <r>
    <n v="261287"/>
    <x v="6"/>
    <x v="3"/>
    <s v="POSTO ZÉ RAMOS"/>
    <n v="116079"/>
    <m/>
    <x v="1"/>
    <n v="24.2"/>
    <m/>
    <n v="4.99"/>
    <n v="120.758"/>
    <n v="4.99"/>
    <n v="341"/>
    <n v="14.090909090909092"/>
  </r>
  <r>
    <n v="218483"/>
    <x v="5"/>
    <x v="17"/>
    <s v="ULTRAMARINO"/>
    <n v="170613"/>
    <m/>
    <x v="0"/>
    <n v="706.77099999999996"/>
    <n v="70.680000000000007"/>
    <n v="6.36"/>
    <n v="4424.3835599999993"/>
    <n v="6.259995896832212"/>
    <m/>
    <m/>
  </r>
  <r>
    <n v="156643"/>
    <x v="6"/>
    <x v="18"/>
    <s v="TATITA FERNÃO DIAS"/>
    <n v="648486"/>
    <m/>
    <x v="0"/>
    <n v="107.99"/>
    <m/>
    <n v="6.29"/>
    <n v="679.25709999999992"/>
    <n v="6.2899999999999991"/>
    <m/>
    <m/>
  </r>
  <r>
    <s v="Ajuste M."/>
    <x v="6"/>
    <x v="0"/>
    <m/>
    <n v="364009"/>
    <m/>
    <x v="0"/>
    <n v="35.1"/>
    <m/>
    <m/>
    <n v="0"/>
    <n v="0"/>
    <n v="269"/>
    <n v="7.6638176638176638"/>
  </r>
  <r>
    <s v="Ajuste M."/>
    <x v="6"/>
    <x v="0"/>
    <m/>
    <n v="364201"/>
    <m/>
    <x v="0"/>
    <n v="25.14"/>
    <m/>
    <m/>
    <n v="0"/>
    <n v="0"/>
    <n v="192"/>
    <n v="7.6372315035799518"/>
  </r>
  <r>
    <n v="30443"/>
    <x v="6"/>
    <x v="19"/>
    <s v="ULTRAMARINO"/>
    <n v="215911"/>
    <m/>
    <x v="1"/>
    <n v="37.850999999999999"/>
    <m/>
    <n v="4.8899999999999997"/>
    <n v="185.09138999999999"/>
    <n v="4.8899999999999997"/>
    <m/>
    <m/>
  </r>
  <r>
    <n v="273572"/>
    <x v="6"/>
    <x v="0"/>
    <s v="BEIRA MINHO"/>
    <n v="364549"/>
    <m/>
    <x v="0"/>
    <n v="46.24"/>
    <n v="13.87"/>
    <n v="6.89"/>
    <n v="304.72359999999998"/>
    <n v="6.5900432525951551"/>
    <n v="348"/>
    <n v="7.5259515570934257"/>
  </r>
  <r>
    <n v="218788"/>
    <x v="6"/>
    <x v="8"/>
    <s v="ULTRAMARINO"/>
    <n v="907982"/>
    <m/>
    <x v="0"/>
    <n v="440.79"/>
    <n v="44.08"/>
    <n v="6.36"/>
    <n v="2759.3444000000004"/>
    <n v="6.2599977313459929"/>
    <n v="1221"/>
    <n v="2.7700265432518885"/>
  </r>
  <r>
    <s v="Ajuste M."/>
    <x v="6"/>
    <x v="20"/>
    <m/>
    <n v="582971"/>
    <m/>
    <x v="0"/>
    <n v="107.6"/>
    <m/>
    <m/>
    <n v="0"/>
    <n v="0"/>
    <n v="-1814"/>
    <n v="-16.858736059479554"/>
  </r>
  <r>
    <s v="Ajuste M."/>
    <x v="6"/>
    <x v="20"/>
    <m/>
    <n v="583443"/>
    <m/>
    <x v="0"/>
    <n v="106.89"/>
    <m/>
    <m/>
    <n v="0"/>
    <n v="0"/>
    <n v="472"/>
    <n v="4.4157545139863412"/>
  </r>
  <r>
    <n v="506035"/>
    <x v="6"/>
    <x v="21"/>
    <s v="COMBO AUTO POSTO"/>
    <n v="123251"/>
    <m/>
    <x v="1"/>
    <n v="51.34"/>
    <m/>
    <n v="5.22"/>
    <n v="267.9948"/>
    <n v="5.22"/>
    <m/>
    <m/>
  </r>
  <r>
    <n v="546244"/>
    <x v="6"/>
    <x v="5"/>
    <s v="DOM PEDRO POUSO ALEGRE"/>
    <n v="583867"/>
    <m/>
    <x v="0"/>
    <n v="105"/>
    <m/>
    <n v="6.09"/>
    <n v="639.44999999999993"/>
    <n v="6.089999999999999"/>
    <n v="1344"/>
    <n v="12.8"/>
  </r>
  <r>
    <n v="156788"/>
    <x v="7"/>
    <x v="22"/>
    <s v="TATITA FERNÃO DIAS"/>
    <n v="121154"/>
    <m/>
    <x v="0"/>
    <n v="143.09100000000001"/>
    <m/>
    <n v="6.29"/>
    <n v="900.04239000000007"/>
    <n v="6.29"/>
    <m/>
    <m/>
  </r>
  <r>
    <n v="274191"/>
    <x v="7"/>
    <x v="11"/>
    <s v="BEIRA MINHO"/>
    <n v="642734"/>
    <m/>
    <x v="0"/>
    <n v="165.51"/>
    <n v="49.65"/>
    <n v="6.89"/>
    <n v="1090.7138999999997"/>
    <n v="6.5900181257930024"/>
    <n v="719"/>
    <n v="4.3441483898253885"/>
  </r>
  <r>
    <n v="219082"/>
    <x v="7"/>
    <x v="14"/>
    <s v="ULTRAMARINO"/>
    <n v="76223"/>
    <m/>
    <x v="0"/>
    <n v="334.63099999999997"/>
    <n v="33.46"/>
    <n v="6.36"/>
    <n v="2094.7931599999997"/>
    <n v="6.2600092639354985"/>
    <n v="1025"/>
    <n v="3.0630754472837247"/>
  </r>
  <r>
    <n v="585188"/>
    <x v="7"/>
    <x v="22"/>
    <s v="GAVIÃO DA ANHANGUERA"/>
    <n v="121723"/>
    <m/>
    <x v="0"/>
    <n v="133.78200000000001"/>
    <m/>
    <n v="6.4"/>
    <n v="856.20480000000009"/>
    <n v="6.4"/>
    <n v="569"/>
    <n v="4.2531880223049434"/>
  </r>
  <r>
    <n v="345754"/>
    <x v="7"/>
    <x v="2"/>
    <s v="DOM PEDRO ALIANÇA"/>
    <n v="852578"/>
    <m/>
    <x v="0"/>
    <n v="369.01499999999999"/>
    <m/>
    <n v="6.09"/>
    <n v="2247.3013499999997"/>
    <n v="6.09"/>
    <n v="1075"/>
    <n v="2.9131607116241889"/>
  </r>
  <r>
    <s v="Ajuste M."/>
    <x v="7"/>
    <x v="0"/>
    <m/>
    <n v="364862"/>
    <m/>
    <x v="0"/>
    <n v="38.11"/>
    <m/>
    <m/>
    <n v="0"/>
    <n v="0"/>
    <n v="313"/>
    <n v="8.2130674363684069"/>
  </r>
  <r>
    <s v="Ajuste M."/>
    <x v="8"/>
    <x v="0"/>
    <m/>
    <n v="365172"/>
    <m/>
    <x v="0"/>
    <n v="39.630000000000003"/>
    <m/>
    <m/>
    <n v="0"/>
    <n v="0"/>
    <n v="310"/>
    <n v="7.8223568004037336"/>
  </r>
  <r>
    <n v="261835"/>
    <x v="8"/>
    <x v="0"/>
    <s v="POSTO ZÉ RAMOS"/>
    <n v="365489"/>
    <m/>
    <x v="0"/>
    <n v="40.271000000000001"/>
    <m/>
    <n v="6.39"/>
    <n v="257.33168999999998"/>
    <n v="6.39"/>
    <n v="317"/>
    <n v="7.8716694395470688"/>
  </r>
  <r>
    <n v="156961"/>
    <x v="8"/>
    <x v="1"/>
    <s v="TATITA FERNÃO DIAS"/>
    <n v="314406"/>
    <m/>
    <x v="0"/>
    <n v="99.06"/>
    <m/>
    <n v="6.29"/>
    <n v="623.0874"/>
    <n v="6.29"/>
    <n v="366"/>
    <n v="3.6947304663840095"/>
  </r>
  <r>
    <n v="156939"/>
    <x v="8"/>
    <x v="23"/>
    <s v="TATITA FERNÃO DIAS"/>
    <n v="278891"/>
    <m/>
    <x v="1"/>
    <n v="44.86"/>
    <m/>
    <n v="4.99"/>
    <n v="223.85140000000001"/>
    <n v="4.99"/>
    <m/>
    <m/>
  </r>
  <r>
    <n v="274974"/>
    <x v="8"/>
    <x v="24"/>
    <s v="BEIRA MINHO"/>
    <n v="76107"/>
    <m/>
    <x v="2"/>
    <n v="22.303000000000001"/>
    <m/>
    <n v="4.99"/>
    <n v="111.29197000000001"/>
    <n v="4.99"/>
    <m/>
    <n v="0"/>
  </r>
  <r>
    <n v="274888"/>
    <x v="8"/>
    <x v="25"/>
    <s v="BEIRA MINHO"/>
    <n v="382916"/>
    <m/>
    <x v="0"/>
    <n v="36.25"/>
    <n v="10.87"/>
    <n v="6.89"/>
    <n v="238.89249999999998"/>
    <n v="6.5901379310344828"/>
    <m/>
    <m/>
  </r>
  <r>
    <n v="274781"/>
    <x v="8"/>
    <x v="12"/>
    <s v="BEIRA MINHO"/>
    <n v="201751"/>
    <m/>
    <x v="0"/>
    <n v="107.33"/>
    <n v="32.200000000000003"/>
    <n v="6.89"/>
    <n v="707.30369999999994"/>
    <n v="6.5899906829404635"/>
    <n v="510"/>
    <n v="4.7517003633653223"/>
  </r>
  <r>
    <n v="547402"/>
    <x v="8"/>
    <x v="5"/>
    <s v="DOM PEDRO POUSO ALEGRE"/>
    <n v="584439"/>
    <m/>
    <x v="0"/>
    <n v="139.04"/>
    <m/>
    <n v="6.09"/>
    <n v="846.75359999999989"/>
    <n v="6.09"/>
    <n v="996"/>
    <n v="7.1634062140391261"/>
  </r>
  <r>
    <n v="506406"/>
    <x v="8"/>
    <x v="15"/>
    <s v="COMBO AUTO POSTO"/>
    <n v="288696"/>
    <m/>
    <x v="0"/>
    <n v="89"/>
    <m/>
    <n v="6.4"/>
    <n v="569.6"/>
    <n v="6.4"/>
    <n v="438"/>
    <n v="4.9213483146067416"/>
  </r>
  <r>
    <n v="152115"/>
    <x v="9"/>
    <x v="22"/>
    <s v="TATITA FERNÃO DIAS"/>
    <n v="122231"/>
    <m/>
    <x v="0"/>
    <n v="111.13"/>
    <m/>
    <n v="6.29"/>
    <n v="699.0077"/>
    <n v="6.29"/>
    <n v="508"/>
    <n v="4.5712228921083415"/>
  </r>
  <r>
    <n v="157144"/>
    <x v="9"/>
    <x v="12"/>
    <s v="TATITA FERNÃO DIAS"/>
    <n v="201946"/>
    <m/>
    <x v="0"/>
    <n v="43.289000000000001"/>
    <m/>
    <n v="6.29"/>
    <n v="272.28781000000004"/>
    <n v="6.2900000000000009"/>
    <n v="195"/>
    <n v="4.5046085610663216"/>
  </r>
  <r>
    <n v="157075"/>
    <x v="9"/>
    <x v="18"/>
    <s v="TATITA FERNÃO DIAS"/>
    <n v="648903"/>
    <m/>
    <x v="0"/>
    <n v="117.39"/>
    <m/>
    <n v="6.29"/>
    <n v="738.38310000000001"/>
    <n v="6.29"/>
    <n v="417"/>
    <n v="3.5522616917965757"/>
  </r>
  <r>
    <n v="275725"/>
    <x v="9"/>
    <x v="16"/>
    <s v="BEIRA MINHO"/>
    <n v="333877"/>
    <m/>
    <x v="0"/>
    <n v="192.12"/>
    <n v="57.64"/>
    <n v="6.89"/>
    <n v="1266.0667999999998"/>
    <n v="6.5899791796793661"/>
    <n v="816"/>
    <n v="4.2473454091193004"/>
  </r>
  <r>
    <s v="Ajuste M."/>
    <x v="9"/>
    <x v="13"/>
    <m/>
    <n v="97233"/>
    <m/>
    <x v="0"/>
    <n v="32.299999999999997"/>
    <m/>
    <m/>
    <n v="0"/>
    <n v="0"/>
    <n v="256"/>
    <n v="7.9256965944272455"/>
  </r>
  <r>
    <n v="219440"/>
    <x v="9"/>
    <x v="13"/>
    <s v="ULTRAMARINO"/>
    <n v="97489"/>
    <m/>
    <x v="0"/>
    <n v="29.550999999999998"/>
    <n v="2.96"/>
    <n v="6.32"/>
    <n v="183.80231999999998"/>
    <n v="6.2198341849683594"/>
    <n v="256"/>
    <n v="8.6629894081418577"/>
  </r>
  <r>
    <n v="157295"/>
    <x v="10"/>
    <x v="26"/>
    <s v="TATITA FERNÃO DIAS"/>
    <n v="697998"/>
    <m/>
    <x v="0"/>
    <n v="126.161"/>
    <m/>
    <n v="6.29"/>
    <n v="793.55268999999998"/>
    <n v="6.29"/>
    <m/>
    <m/>
  </r>
  <r>
    <n v="157218"/>
    <x v="10"/>
    <x v="10"/>
    <s v="TATITA FERNÃO DIAS"/>
    <n v="224900"/>
    <m/>
    <x v="0"/>
    <n v="60.42"/>
    <m/>
    <n v="6.29"/>
    <n v="380.04180000000002"/>
    <n v="6.29"/>
    <n v="444"/>
    <n v="7.3485600794438923"/>
  </r>
  <r>
    <n v="543100"/>
    <x v="10"/>
    <x v="5"/>
    <s v="DOM PEDRO POUSO ALEGRE"/>
    <n v="584571"/>
    <m/>
    <x v="0"/>
    <n v="36.9"/>
    <m/>
    <n v="6.29"/>
    <n v="232.101"/>
    <n v="6.29"/>
    <n v="132"/>
    <n v="3.5772357723577235"/>
  </r>
  <r>
    <s v="Ajuste M."/>
    <x v="9"/>
    <x v="3"/>
    <m/>
    <n v="116363"/>
    <m/>
    <x v="1"/>
    <n v="22.65"/>
    <m/>
    <m/>
    <n v="0"/>
    <n v="0"/>
    <n v="284"/>
    <n v="12.538631346578367"/>
  </r>
  <r>
    <n v="262566"/>
    <x v="11"/>
    <x v="3"/>
    <s v="POSTO ZÉ RAMOS"/>
    <n v="116649"/>
    <m/>
    <x v="1"/>
    <n v="21.748999999999999"/>
    <m/>
    <n v="4.99"/>
    <n v="108.52750999999999"/>
    <n v="4.99"/>
    <n v="286"/>
    <n v="13.150029886431561"/>
  </r>
  <r>
    <n v="538796"/>
    <x v="11"/>
    <x v="26"/>
    <s v="AUTO POSTO SERRA SUL"/>
    <n v="698554"/>
    <m/>
    <x v="0"/>
    <n v="189.39"/>
    <m/>
    <n v="6.29"/>
    <n v="1191.2630999999999"/>
    <n v="6.29"/>
    <n v="556"/>
    <n v="2.9357410634141194"/>
  </r>
  <r>
    <n v="262726"/>
    <x v="12"/>
    <x v="11"/>
    <s v="POSTO ZÉ RAMOS"/>
    <n v="643408"/>
    <m/>
    <x v="0"/>
    <n v="151.83000000000001"/>
    <m/>
    <n v="6.29"/>
    <n v="955.01070000000004"/>
    <n v="6.29"/>
    <n v="674"/>
    <n v="4.4391753935322393"/>
  </r>
  <r>
    <s v="Ajuste M."/>
    <x v="12"/>
    <x v="6"/>
    <m/>
    <n v="585782"/>
    <m/>
    <x v="0"/>
    <n v="146.21"/>
    <m/>
    <m/>
    <n v="0"/>
    <n v="0"/>
    <n v="682"/>
    <n v="4.6645236303946378"/>
  </r>
  <r>
    <s v="Ajuste M."/>
    <x v="12"/>
    <x v="6"/>
    <m/>
    <n v="586457"/>
    <m/>
    <x v="0"/>
    <n v="146.30000000000001"/>
    <m/>
    <m/>
    <n v="0"/>
    <n v="0"/>
    <n v="675"/>
    <n v="4.6138072453861927"/>
  </r>
  <r>
    <s v="Ajuste M."/>
    <x v="12"/>
    <x v="6"/>
    <m/>
    <n v="587137"/>
    <m/>
    <x v="0"/>
    <n v="142.12"/>
    <m/>
    <m/>
    <n v="0"/>
    <n v="0"/>
    <n v="680"/>
    <n v="4.7846889952153111"/>
  </r>
  <r>
    <s v="Ajuste M."/>
    <x v="12"/>
    <x v="6"/>
    <m/>
    <n v="587563"/>
    <m/>
    <x v="0"/>
    <n v="98.52"/>
    <m/>
    <m/>
    <n v="0"/>
    <n v="0"/>
    <n v="426"/>
    <n v="4.3239951278928137"/>
  </r>
  <r>
    <n v="796273"/>
    <x v="12"/>
    <x v="6"/>
    <s v="AUTO POSTO SACI"/>
    <n v="587832"/>
    <m/>
    <x v="0"/>
    <n v="61.280999999999999"/>
    <m/>
    <n v="6.39"/>
    <n v="391.58558999999997"/>
    <n v="6.39"/>
    <n v="269"/>
    <n v="4.3896150519736947"/>
  </r>
  <r>
    <n v="157548"/>
    <x v="12"/>
    <x v="27"/>
    <s v="TATITA FERNÃO DIAS"/>
    <n v="106970"/>
    <m/>
    <x v="0"/>
    <n v="204.76900000000001"/>
    <m/>
    <n v="6.29"/>
    <n v="1287.99701"/>
    <n v="6.29"/>
    <m/>
    <m/>
  </r>
  <r>
    <s v="Ajuste M."/>
    <x v="12"/>
    <x v="9"/>
    <m/>
    <n v="341327"/>
    <m/>
    <x v="0"/>
    <n v="96.3"/>
    <m/>
    <m/>
    <n v="0"/>
    <n v="0"/>
    <n v="507"/>
    <n v="5.2647975077881624"/>
  </r>
  <r>
    <s v="Ajuste M."/>
    <x v="12"/>
    <x v="9"/>
    <m/>
    <n v="341828"/>
    <m/>
    <x v="0"/>
    <n v="94.5"/>
    <m/>
    <m/>
    <n v="0"/>
    <n v="0"/>
    <n v="501"/>
    <n v="5.3015873015873014"/>
  </r>
  <r>
    <s v="Ajuste M."/>
    <x v="12"/>
    <x v="9"/>
    <m/>
    <n v="342425"/>
    <m/>
    <x v="0"/>
    <n v="102.3"/>
    <m/>
    <m/>
    <n v="0"/>
    <n v="0"/>
    <n v="597"/>
    <n v="5.8357771260997069"/>
  </r>
  <r>
    <n v="157555"/>
    <x v="12"/>
    <x v="9"/>
    <s v="TATITA FERNÃO DIAS"/>
    <n v="342848"/>
    <m/>
    <x v="0"/>
    <n v="71.27"/>
    <m/>
    <n v="6.29"/>
    <n v="448.28829999999999"/>
    <n v="6.29"/>
    <n v="423"/>
    <n v="5.9351760909218472"/>
  </r>
  <r>
    <n v="277730"/>
    <x v="12"/>
    <x v="18"/>
    <s v="BEIRA MINHO"/>
    <n v="649456"/>
    <m/>
    <x v="0"/>
    <n v="125.9"/>
    <n v="37.770000000000003"/>
    <n v="6.89"/>
    <n v="829.68100000000004"/>
    <n v="6.59"/>
    <n v="553"/>
    <n v="4.3923749007148531"/>
  </r>
  <r>
    <n v="32787"/>
    <x v="12"/>
    <x v="7"/>
    <s v="ULTRAMARINO"/>
    <n v="73721"/>
    <m/>
    <x v="1"/>
    <n v="39.801000000000002"/>
    <m/>
    <n v="4.87"/>
    <n v="193.83087"/>
    <n v="4.87"/>
    <n v="517"/>
    <n v="12.989623376297077"/>
  </r>
  <r>
    <n v="32987"/>
    <x v="12"/>
    <x v="17"/>
    <s v="ULTRAMARINO"/>
    <n v="172633"/>
    <m/>
    <x v="0"/>
    <n v="611.84100000000001"/>
    <n v="61.12"/>
    <n v="6.32"/>
    <n v="3805.7151200000003"/>
    <n v="6.2201047657806523"/>
    <n v="2020"/>
    <n v="3.3015113403645717"/>
  </r>
  <r>
    <n v="220432"/>
    <x v="12"/>
    <x v="7"/>
    <s v="ULTRAMARINO"/>
    <n v="73888"/>
    <m/>
    <x v="1"/>
    <n v="13.97"/>
    <m/>
    <n v="4.87"/>
    <n v="68.033900000000003"/>
    <n v="4.87"/>
    <n v="167"/>
    <n v="11.954187544738724"/>
  </r>
  <r>
    <n v="549434"/>
    <x v="12"/>
    <x v="5"/>
    <s v="DOM PEDRO POUSO ALEGRE"/>
    <n v="584944"/>
    <m/>
    <x v="0"/>
    <n v="101.2"/>
    <m/>
    <n v="6.09"/>
    <n v="616.30799999999999"/>
    <n v="6.09"/>
    <n v="373"/>
    <n v="3.6857707509881421"/>
  </r>
  <r>
    <s v="Ajuste M."/>
    <x v="13"/>
    <x v="26"/>
    <m/>
    <n v="699122"/>
    <m/>
    <x v="0"/>
    <n v="179.52"/>
    <m/>
    <m/>
    <n v="0"/>
    <n v="0"/>
    <n v="568"/>
    <n v="3.1639928698752224"/>
  </r>
  <r>
    <n v="1394555"/>
    <x v="13"/>
    <x v="26"/>
    <s v="SIM REDE DE POSTOS"/>
    <n v="699690"/>
    <m/>
    <x v="0"/>
    <n v="176.47"/>
    <m/>
    <n v="6.06"/>
    <n v="1069.4081999999999"/>
    <n v="6.06"/>
    <n v="568"/>
    <n v="3.2186773955913188"/>
  </r>
  <r>
    <n v="262983"/>
    <x v="13"/>
    <x v="3"/>
    <s v="POSTO ZÉ RAMOS"/>
    <n v="117047"/>
    <m/>
    <x v="1"/>
    <n v="33.350999999999999"/>
    <m/>
    <n v="4.99"/>
    <n v="166.42149000000001"/>
    <n v="4.99"/>
    <n v="398"/>
    <n v="11.93367515216935"/>
  </r>
  <r>
    <n v="157617"/>
    <x v="13"/>
    <x v="0"/>
    <s v="TATITA FERNÃO DIAS"/>
    <n v="365758"/>
    <m/>
    <x v="0"/>
    <n v="43.359000000000002"/>
    <m/>
    <n v="6.29"/>
    <n v="272.72811000000002"/>
    <n v="6.29"/>
    <n v="269"/>
    <n v="6.2040176203325723"/>
  </r>
  <r>
    <s v="Ajuste M."/>
    <x v="13"/>
    <x v="12"/>
    <m/>
    <n v="202325"/>
    <m/>
    <x v="0"/>
    <n v="85.3"/>
    <m/>
    <m/>
    <n v="0"/>
    <n v="0"/>
    <n v="379"/>
    <n v="4.4431418522860495"/>
  </r>
  <r>
    <n v="157658"/>
    <x v="13"/>
    <x v="12"/>
    <s v="TATITA FERNÃO DIAS"/>
    <n v="202812"/>
    <m/>
    <x v="0"/>
    <n v="119.24"/>
    <m/>
    <n v="6.29"/>
    <n v="750.01959999999997"/>
    <n v="6.29"/>
    <n v="487"/>
    <n v="4.0841999329084198"/>
  </r>
  <r>
    <n v="33606"/>
    <x v="13"/>
    <x v="28"/>
    <s v="ULTRAMARINO"/>
    <n v="26754"/>
    <m/>
    <x v="0"/>
    <n v="87.14"/>
    <n v="8.7100000000000009"/>
    <n v="6.32"/>
    <n v="542.01480000000004"/>
    <n v="6.2200459031443653"/>
    <m/>
    <m/>
  </r>
  <r>
    <n v="157769"/>
    <x v="14"/>
    <x v="22"/>
    <s v="TATITA FERNÃO DIAS"/>
    <n v="122714"/>
    <m/>
    <x v="0"/>
    <n v="118.289"/>
    <m/>
    <n v="6.29"/>
    <n v="744.03781000000004"/>
    <n v="6.29"/>
    <n v="483"/>
    <n v="4.0832199105580402"/>
  </r>
  <r>
    <n v="157847"/>
    <x v="14"/>
    <x v="9"/>
    <s v="TATITA FERNÃO DIAS"/>
    <n v="343408"/>
    <m/>
    <x v="0"/>
    <n v="100.28"/>
    <m/>
    <n v="6.29"/>
    <n v="630.76120000000003"/>
    <n v="6.29"/>
    <n v="560"/>
    <n v="5.5843637814120459"/>
  </r>
  <r>
    <n v="157851"/>
    <x v="14"/>
    <x v="10"/>
    <s v="TATITA FERNÃO DIAS"/>
    <n v="225249"/>
    <m/>
    <x v="0"/>
    <n v="47.58"/>
    <m/>
    <n v="6.29"/>
    <n v="299.27819999999997"/>
    <n v="6.2899999999999991"/>
    <n v="349"/>
    <n v="7.3350147120638924"/>
  </r>
  <r>
    <s v="Ajuste M."/>
    <x v="14"/>
    <x v="0"/>
    <m/>
    <n v="366064"/>
    <m/>
    <x v="0"/>
    <n v="38.119999999999997"/>
    <m/>
    <m/>
    <n v="0"/>
    <n v="0"/>
    <n v="306"/>
    <n v="8.0272822665267576"/>
  </r>
  <r>
    <n v="157853"/>
    <x v="14"/>
    <x v="0"/>
    <s v="TATITA FERNÃO DIAS"/>
    <n v="366371"/>
    <m/>
    <x v="0"/>
    <n v="42.93"/>
    <m/>
    <n v="6.29"/>
    <n v="270.02969999999999"/>
    <n v="6.29"/>
    <n v="307"/>
    <n v="7.151176333566271"/>
  </r>
  <r>
    <n v="279289"/>
    <x v="14"/>
    <x v="18"/>
    <s v="BEIRA MINHO"/>
    <n v="649787"/>
    <m/>
    <x v="0"/>
    <n v="92.4"/>
    <n v="27.72"/>
    <n v="6.89"/>
    <n v="608.91599999999994"/>
    <n v="6.589999999999999"/>
    <n v="331"/>
    <n v="3.5822510822510822"/>
  </r>
  <r>
    <n v="34054"/>
    <x v="14"/>
    <x v="12"/>
    <s v="ULTRAMARINO"/>
    <n v="203317"/>
    <m/>
    <x v="0"/>
    <n v="109.66"/>
    <n v="10.97"/>
    <n v="6.32"/>
    <n v="682.08119999999997"/>
    <n v="6.2199635236184569"/>
    <n v="505"/>
    <n v="4.6051431697975564"/>
  </r>
  <r>
    <n v="33871"/>
    <x v="14"/>
    <x v="14"/>
    <s v="ULTRAMARINO"/>
    <n v="77866"/>
    <m/>
    <x v="0"/>
    <n v="563.13"/>
    <n v="56.32"/>
    <n v="6.32"/>
    <n v="3502.6615999999999"/>
    <n v="6.2199875694777402"/>
    <n v="1643"/>
    <n v="2.9176211531973077"/>
  </r>
  <r>
    <s v="Ajuste M."/>
    <x v="14"/>
    <x v="8"/>
    <m/>
    <n v="908983"/>
    <m/>
    <x v="0"/>
    <n v="395.3"/>
    <m/>
    <m/>
    <n v="0"/>
    <n v="0"/>
    <n v="1001"/>
    <n v="2.5322539843157097"/>
  </r>
  <r>
    <s v="Ajuste M."/>
    <x v="14"/>
    <x v="8"/>
    <m/>
    <n v="910356"/>
    <m/>
    <x v="0"/>
    <n v="542.29999999999995"/>
    <m/>
    <m/>
    <n v="0"/>
    <n v="0"/>
    <n v="1373"/>
    <n v="2.5318089618292459"/>
  </r>
  <r>
    <n v="33803"/>
    <x v="14"/>
    <x v="8"/>
    <s v="ULTRAMARINO"/>
    <n v="910987"/>
    <m/>
    <x v="0"/>
    <n v="236.12100000000001"/>
    <n v="23.61"/>
    <n v="6.32"/>
    <n v="1468.6747200000002"/>
    <n v="6.220008893745157"/>
    <n v="631"/>
    <n v="2.6723586635665613"/>
  </r>
  <r>
    <n v="263512"/>
    <x v="15"/>
    <x v="0"/>
    <s v="POSTO ZÉ RAMOS"/>
    <n v="366740"/>
    <m/>
    <x v="0"/>
    <n v="50.82"/>
    <m/>
    <n v="6.39"/>
    <n v="324.7398"/>
    <n v="6.39"/>
    <n v="369"/>
    <n v="7.2609208972845334"/>
  </r>
  <r>
    <n v="157936"/>
    <x v="15"/>
    <x v="11"/>
    <s v="TATITA FERNÃO DIAS"/>
    <n v="644062"/>
    <m/>
    <x v="0"/>
    <n v="147.43"/>
    <m/>
    <n v="6.19"/>
    <n v="912.59170000000006"/>
    <n v="6.19"/>
    <n v="654"/>
    <n v="4.436003527097605"/>
  </r>
  <r>
    <s v="Ajuste M."/>
    <x v="15"/>
    <x v="4"/>
    <m/>
    <n v="867224"/>
    <m/>
    <x v="0"/>
    <n v="125.8"/>
    <m/>
    <m/>
    <n v="0"/>
    <n v="0"/>
    <n v="476"/>
    <n v="3.7837837837837838"/>
  </r>
  <r>
    <s v="Ajuste M."/>
    <x v="15"/>
    <x v="4"/>
    <m/>
    <n v="867700"/>
    <m/>
    <x v="0"/>
    <n v="135"/>
    <m/>
    <m/>
    <n v="0"/>
    <n v="0"/>
    <n v="476"/>
    <n v="3.5259259259259261"/>
  </r>
  <r>
    <s v="Ajuste M."/>
    <x v="15"/>
    <x v="4"/>
    <m/>
    <n v="868388"/>
    <m/>
    <x v="0"/>
    <n v="165.4"/>
    <m/>
    <m/>
    <n v="0"/>
    <n v="0"/>
    <n v="688"/>
    <n v="4.1596130592503018"/>
  </r>
  <r>
    <n v="157873"/>
    <x v="15"/>
    <x v="4"/>
    <s v="TATITA FERNÃO DIAS"/>
    <n v="868653"/>
    <m/>
    <x v="0"/>
    <n v="83.59"/>
    <m/>
    <n v="6.19"/>
    <n v="517.4221"/>
    <n v="6.1899999999999995"/>
    <n v="265"/>
    <n v="3.170235674123699"/>
  </r>
  <r>
    <n v="279961"/>
    <x v="15"/>
    <x v="16"/>
    <s v="BEIRA MINHO"/>
    <n v="334627"/>
    <m/>
    <x v="0"/>
    <n v="185.71"/>
    <n v="55.71"/>
    <n v="6.89"/>
    <n v="1223.8318999999999"/>
    <n v="6.5900161542189428"/>
    <n v="750"/>
    <n v="4.0385547358785203"/>
  </r>
  <r>
    <n v="279926"/>
    <x v="15"/>
    <x v="26"/>
    <s v="BEIRA MINHO"/>
    <n v="700136"/>
    <m/>
    <x v="0"/>
    <n v="125.15"/>
    <n v="37.54"/>
    <n v="6.89"/>
    <n v="824.74350000000004"/>
    <n v="6.5900399520575306"/>
    <n v="446"/>
    <n v="3.5637235317618856"/>
  </r>
  <r>
    <n v="221045"/>
    <x v="15"/>
    <x v="28"/>
    <s v="ULTRAMARINO"/>
    <n v="27046"/>
    <m/>
    <x v="0"/>
    <n v="37.82"/>
    <n v="3.78"/>
    <n v="6.32"/>
    <n v="235.2424"/>
    <n v="6.2200528820729772"/>
    <n v="292"/>
    <n v="7.7207826546800638"/>
  </r>
  <r>
    <n v="551100"/>
    <x v="15"/>
    <x v="5"/>
    <s v="DOM PEDRO POUSO ALEGRE"/>
    <n v="585445"/>
    <m/>
    <x v="0"/>
    <n v="122.08"/>
    <m/>
    <n v="6.09"/>
    <n v="743.46719999999993"/>
    <n v="6.09"/>
    <n v="501"/>
    <n v="4.1038663171690697"/>
  </r>
  <r>
    <n v="345753"/>
    <x v="15"/>
    <x v="2"/>
    <s v="DOM PEDRO ALIANÇA"/>
    <n v="852578"/>
    <m/>
    <x v="2"/>
    <n v="36"/>
    <m/>
    <n v="3"/>
    <n v="108"/>
    <n v="3"/>
    <m/>
    <m/>
  </r>
  <r>
    <n v="507989"/>
    <x v="15"/>
    <x v="21"/>
    <s v="COMBO AUTO POSTO"/>
    <n v="123691"/>
    <m/>
    <x v="1"/>
    <n v="50.56"/>
    <m/>
    <n v="5.1100000000000003"/>
    <n v="258.36160000000001"/>
    <n v="5.1100000000000003"/>
    <n v="440"/>
    <n v="8.7025316455696196"/>
  </r>
  <r>
    <s v="Ajuste M."/>
    <x v="15"/>
    <x v="13"/>
    <m/>
    <n v="97809"/>
    <m/>
    <x v="0"/>
    <n v="38"/>
    <m/>
    <m/>
    <n v="0"/>
    <n v="0"/>
    <n v="320"/>
    <n v="8.4210526315789469"/>
  </r>
  <r>
    <s v="Ajuste M."/>
    <x v="15"/>
    <x v="13"/>
    <m/>
    <n v="98089"/>
    <m/>
    <x v="0"/>
    <n v="31.5"/>
    <m/>
    <m/>
    <n v="0"/>
    <n v="0"/>
    <n v="280"/>
    <n v="8.8888888888888893"/>
  </r>
  <r>
    <s v="Ajuste M."/>
    <x v="16"/>
    <x v="13"/>
    <m/>
    <n v="98509"/>
    <m/>
    <x v="0"/>
    <n v="43.59"/>
    <m/>
    <m/>
    <n v="0"/>
    <n v="0"/>
    <n v="420"/>
    <n v="9.6352374397797647"/>
  </r>
  <r>
    <s v="Ajuste M."/>
    <x v="16"/>
    <x v="13"/>
    <m/>
    <n v="98799"/>
    <m/>
    <x v="0"/>
    <n v="36.79"/>
    <m/>
    <m/>
    <n v="0"/>
    <n v="0"/>
    <n v="290"/>
    <n v="7.8825767871704269"/>
  </r>
  <r>
    <n v="157999"/>
    <x v="16"/>
    <x v="13"/>
    <s v="TATITA FERNÃO DIAS"/>
    <n v="99125"/>
    <m/>
    <x v="0"/>
    <n v="37"/>
    <m/>
    <n v="6.29"/>
    <n v="232.73"/>
    <n v="6.29"/>
    <n v="326"/>
    <n v="8.8108108108108105"/>
  </r>
  <r>
    <s v="Ajuste M."/>
    <x v="11"/>
    <x v="19"/>
    <m/>
    <n v="216362"/>
    <m/>
    <x v="1"/>
    <n v="41"/>
    <m/>
    <m/>
    <n v="0"/>
    <n v="0"/>
    <n v="451"/>
    <n v="11"/>
  </r>
  <r>
    <n v="158130"/>
    <x v="16"/>
    <x v="19"/>
    <s v="TATITA FERNÃO DIAS"/>
    <n v="216813"/>
    <m/>
    <x v="1"/>
    <n v="40.08"/>
    <m/>
    <n v="4.99"/>
    <n v="199.9992"/>
    <n v="4.99"/>
    <n v="451"/>
    <n v="11.915140947399012"/>
  </r>
  <r>
    <n v="280947"/>
    <x v="16"/>
    <x v="13"/>
    <s v="BEIRA MINHO"/>
    <n v="99441"/>
    <m/>
    <x v="0"/>
    <n v="37.25"/>
    <n v="11.17"/>
    <n v="6.89"/>
    <n v="245.48249999999999"/>
    <n v="6.5901342281879192"/>
    <n v="316"/>
    <n v="8.4832214765100673"/>
  </r>
  <r>
    <n v="34834"/>
    <x v="16"/>
    <x v="28"/>
    <s v="ULTRAMARINO"/>
    <n v="27563"/>
    <m/>
    <x v="0"/>
    <n v="55.5"/>
    <n v="5.55"/>
    <n v="6.32"/>
    <n v="345.21"/>
    <n v="6.22"/>
    <n v="517"/>
    <n v="9.3153153153153152"/>
  </r>
  <r>
    <n v="35082"/>
    <x v="16"/>
    <x v="28"/>
    <s v="ULTRAMARINO"/>
    <n v="27960"/>
    <m/>
    <x v="0"/>
    <n v="47.151000000000003"/>
    <n v="4.72"/>
    <n v="6.18"/>
    <n v="286.67318"/>
    <n v="6.0798960785561276"/>
    <n v="397"/>
    <n v="8.4197577994104051"/>
  </r>
  <r>
    <n v="34991"/>
    <x v="16"/>
    <x v="2"/>
    <s v="ULTRAMARINO"/>
    <n v="854578"/>
    <m/>
    <x v="0"/>
    <n v="348.42"/>
    <n v="34.840000000000003"/>
    <n v="6.32"/>
    <n v="2167.1743999999999"/>
    <n v="6.2200057401986104"/>
    <n v="2000"/>
    <n v="5.7401986108719356"/>
  </r>
  <r>
    <n v="158431"/>
    <x v="17"/>
    <x v="22"/>
    <s v="TATITA FERNÃO DIAS"/>
    <n v="123186"/>
    <m/>
    <x v="0"/>
    <n v="102.8"/>
    <m/>
    <n v="6.29"/>
    <n v="646.61199999999997"/>
    <n v="6.29"/>
    <n v="472"/>
    <n v="4.5914396887159539"/>
  </r>
  <r>
    <n v="158449"/>
    <x v="17"/>
    <x v="12"/>
    <s v="TATITA FERNÃO DIAS"/>
    <n v="203732"/>
    <m/>
    <x v="0"/>
    <n v="119.25"/>
    <m/>
    <n v="6.29"/>
    <n v="750.08249999999998"/>
    <n v="6.29"/>
    <n v="415"/>
    <n v="3.4800838574423478"/>
  </r>
  <r>
    <s v="Ajuste M."/>
    <x v="17"/>
    <x v="10"/>
    <m/>
    <n v="225762"/>
    <m/>
    <x v="0"/>
    <n v="67.5"/>
    <m/>
    <m/>
    <n v="0"/>
    <n v="0"/>
    <n v="513"/>
    <n v="7.6"/>
  </r>
  <r>
    <n v="158510"/>
    <x v="17"/>
    <x v="10"/>
    <s v="TATITA FERNÃO DIAS"/>
    <n v="226276"/>
    <m/>
    <x v="0"/>
    <n v="66.3"/>
    <m/>
    <n v="6.29"/>
    <n v="417.02699999999999"/>
    <n v="6.29"/>
    <n v="514"/>
    <n v="7.7526395173453997"/>
  </r>
  <r>
    <n v="282695"/>
    <x v="17"/>
    <x v="16"/>
    <s v="BEIRA MINHO"/>
    <n v="335262"/>
    <m/>
    <x v="0"/>
    <n v="152.41"/>
    <n v="45.72"/>
    <n v="6.89"/>
    <n v="1004.3848999999998"/>
    <n v="6.5900196837477845"/>
    <n v="635"/>
    <n v="4.1663932812807563"/>
  </r>
  <r>
    <n v="36584"/>
    <x v="17"/>
    <x v="14"/>
    <s v="ULTRAMARINO"/>
    <n v="78764"/>
    <m/>
    <x v="0"/>
    <n v="292.12"/>
    <n v="29.22"/>
    <n v="6.18"/>
    <n v="1776.0816"/>
    <n v="6.0799726139942489"/>
    <n v="898"/>
    <n v="3.0740791455566203"/>
  </r>
  <r>
    <n v="36606"/>
    <x v="17"/>
    <x v="17"/>
    <s v="ULTRAMARINO"/>
    <n v="174496"/>
    <m/>
    <x v="0"/>
    <n v="679.62"/>
    <n v="67.97"/>
    <n v="6.18"/>
    <n v="4132.0815999999995"/>
    <n v="6.0799882287160463"/>
    <n v="1863"/>
    <n v="2.7412377505076364"/>
  </r>
  <r>
    <n v="217376"/>
    <x v="17"/>
    <x v="22"/>
    <s v="DOM PEDRO DE LEME"/>
    <n v="123797"/>
    <m/>
    <x v="0"/>
    <n v="144.56200000000001"/>
    <m/>
    <n v="6.19"/>
    <n v="894.83878000000016"/>
    <n v="6.19"/>
    <n v="611"/>
    <n v="4.2265602302126419"/>
  </r>
  <r>
    <n v="553184"/>
    <x v="17"/>
    <x v="5"/>
    <s v="DOM PEDRO POUSO ALEGRE"/>
    <n v="585887"/>
    <m/>
    <x v="0"/>
    <n v="120"/>
    <m/>
    <n v="6.09"/>
    <n v="730.8"/>
    <n v="6.09"/>
    <n v="442"/>
    <n v="3.6833333333333331"/>
  </r>
  <r>
    <n v="508816"/>
    <x v="17"/>
    <x v="15"/>
    <s v="COMBO AUTO POSTO"/>
    <n v="289157"/>
    <m/>
    <x v="0"/>
    <n v="93.290999999999997"/>
    <m/>
    <n v="6.58"/>
    <n v="613.85478000000001"/>
    <n v="6.58"/>
    <n v="461"/>
    <n v="4.9415270497690029"/>
  </r>
  <r>
    <n v="264867"/>
    <x v="18"/>
    <x v="3"/>
    <s v="POSTO ZÉ RAMOS"/>
    <n v="117538"/>
    <m/>
    <x v="1"/>
    <n v="39.79"/>
    <m/>
    <n v="4.99"/>
    <n v="198.5521"/>
    <n v="4.99"/>
    <n v="491"/>
    <n v="12.339783865292787"/>
  </r>
  <r>
    <n v="158583"/>
    <x v="18"/>
    <x v="9"/>
    <s v="TATITA FERNÃO DIAS"/>
    <n v="343867"/>
    <m/>
    <x v="0"/>
    <n v="83.921000000000006"/>
    <m/>
    <n v="6.29"/>
    <n v="527.86309000000006"/>
    <n v="6.29"/>
    <n v="459"/>
    <n v="5.4694295825836203"/>
  </r>
  <r>
    <n v="158604"/>
    <x v="18"/>
    <x v="11"/>
    <s v="TATITA FERNÃO DIAS"/>
    <n v="644604"/>
    <m/>
    <x v="0"/>
    <n v="131.19999999999999"/>
    <m/>
    <n v="6.19"/>
    <n v="812.12799999999993"/>
    <n v="6.19"/>
    <n v="542"/>
    <n v="4.1310975609756104"/>
  </r>
  <r>
    <n v="158580"/>
    <x v="18"/>
    <x v="4"/>
    <s v="TATITA FERNÃO DIAS"/>
    <n v="869524"/>
    <m/>
    <x v="0"/>
    <n v="164.83"/>
    <m/>
    <n v="6.19"/>
    <n v="1020.2977000000002"/>
    <n v="6.19"/>
    <n v="871"/>
    <n v="5.2842322392768306"/>
  </r>
  <r>
    <s v="Ajuste M."/>
    <x v="18"/>
    <x v="13"/>
    <m/>
    <n v="99695"/>
    <m/>
    <x v="0"/>
    <n v="32.5"/>
    <m/>
    <m/>
    <n v="0"/>
    <n v="0"/>
    <n v="254"/>
    <n v="7.8153846153846152"/>
  </r>
  <r>
    <n v="158680"/>
    <x v="18"/>
    <x v="13"/>
    <s v="TATITA FERNÃO DIAS"/>
    <n v="99961"/>
    <m/>
    <x v="0"/>
    <n v="33.01"/>
    <m/>
    <n v="6.29"/>
    <n v="207.63289999999998"/>
    <n v="6.29"/>
    <n v="266"/>
    <n v="8.0581641926688885"/>
  </r>
  <r>
    <s v="Ajuste M."/>
    <x v="11"/>
    <x v="23"/>
    <m/>
    <n v="279275"/>
    <m/>
    <x v="1"/>
    <n v="26"/>
    <m/>
    <m/>
    <n v="0"/>
    <n v="0"/>
    <n v="384"/>
    <n v="14.76923076923077"/>
  </r>
  <r>
    <s v="Ajuste M."/>
    <x v="14"/>
    <x v="23"/>
    <m/>
    <n v="279695"/>
    <m/>
    <x v="1"/>
    <n v="36.5"/>
    <m/>
    <m/>
    <n v="0"/>
    <n v="0"/>
    <n v="420"/>
    <n v="11.506849315068493"/>
  </r>
  <r>
    <n v="36904"/>
    <x v="18"/>
    <x v="23"/>
    <s v="ULTRAMARINO"/>
    <n v="280043"/>
    <m/>
    <x v="1"/>
    <n v="23.99"/>
    <m/>
    <n v="4.84"/>
    <n v="116.1116"/>
    <n v="4.84"/>
    <n v="348"/>
    <n v="14.506044185077116"/>
  </r>
  <r>
    <n v="37114"/>
    <x v="18"/>
    <x v="23"/>
    <s v="ULTRAMARINO"/>
    <n v="280338"/>
    <m/>
    <x v="1"/>
    <n v="23.890999999999998"/>
    <m/>
    <n v="4.84"/>
    <n v="115.63243999999999"/>
    <n v="4.84"/>
    <n v="295"/>
    <n v="12.347746013143025"/>
  </r>
  <r>
    <s v="Ajuste M."/>
    <x v="18"/>
    <x v="3"/>
    <m/>
    <n v="118040"/>
    <m/>
    <x v="1"/>
    <n v="38.520000000000003"/>
    <m/>
    <m/>
    <n v="0"/>
    <n v="0"/>
    <n v="502"/>
    <n v="13.032191069574246"/>
  </r>
  <r>
    <n v="265101"/>
    <x v="19"/>
    <x v="3"/>
    <s v="POSTO ZÉ RAMOS"/>
    <n v="118573"/>
    <m/>
    <x v="1"/>
    <n v="41.25"/>
    <m/>
    <n v="5.29"/>
    <n v="218.21250000000001"/>
    <n v="5.29"/>
    <n v="533"/>
    <n v="12.921212121212122"/>
  </r>
  <r>
    <s v="Ajuste M."/>
    <x v="19"/>
    <x v="0"/>
    <m/>
    <n v="367123"/>
    <m/>
    <x v="0"/>
    <n v="46.32"/>
    <m/>
    <m/>
    <n v="0"/>
    <n v="0"/>
    <n v="383"/>
    <n v="8.2685664939550954"/>
  </r>
  <r>
    <s v="Ajuste M."/>
    <x v="19"/>
    <x v="0"/>
    <m/>
    <n v="367563"/>
    <m/>
    <x v="0"/>
    <n v="50.12"/>
    <m/>
    <m/>
    <n v="0"/>
    <n v="0"/>
    <n v="440"/>
    <n v="8.7789305666400637"/>
  </r>
  <r>
    <n v="158789"/>
    <x v="19"/>
    <x v="0"/>
    <s v="TATITA FERNÃO DIAS"/>
    <n v="367891"/>
    <m/>
    <x v="0"/>
    <n v="38.49"/>
    <m/>
    <n v="6.29"/>
    <n v="242.10210000000001"/>
    <n v="6.29"/>
    <n v="328"/>
    <n v="8.5216939464796049"/>
  </r>
  <r>
    <n v="284420"/>
    <x v="19"/>
    <x v="13"/>
    <s v="BEIRA MINHO"/>
    <n v="100246"/>
    <m/>
    <x v="0"/>
    <n v="34.32"/>
    <n v="10.3"/>
    <n v="6.69"/>
    <n v="219.30080000000001"/>
    <n v="6.3898834498834498"/>
    <n v="285"/>
    <n v="8.3041958041958033"/>
  </r>
  <r>
    <n v="37412"/>
    <x v="19"/>
    <x v="12"/>
    <s v="ULTRAMARINO"/>
    <n v="204315"/>
    <m/>
    <x v="0"/>
    <n v="129.59100000000001"/>
    <n v="12.96"/>
    <n v="6.18"/>
    <n v="787.91237999999998"/>
    <n v="6.0799930550732686"/>
    <n v="583"/>
    <n v="4.4987692046515573"/>
  </r>
  <r>
    <n v="222989"/>
    <x v="19"/>
    <x v="23"/>
    <s v="ULTRAMARINO"/>
    <n v="280827"/>
    <m/>
    <x v="1"/>
    <n v="32.241"/>
    <m/>
    <n v="4.99"/>
    <n v="160.88258999999999"/>
    <n v="4.99"/>
    <n v="489"/>
    <n v="15.167023355354983"/>
  </r>
  <r>
    <n v="594149"/>
    <x v="19"/>
    <x v="5"/>
    <s v="DOM PEDRO POUSO ALEGRE"/>
    <n v="586354"/>
    <m/>
    <x v="0"/>
    <n v="109.68"/>
    <m/>
    <n v="6.09"/>
    <n v="667.95119999999997"/>
    <n v="6.089999999999999"/>
    <n v="467"/>
    <n v="4.2578409919766589"/>
  </r>
  <r>
    <s v="Ajuste M."/>
    <x v="19"/>
    <x v="2"/>
    <m/>
    <n v="855319"/>
    <m/>
    <x v="0"/>
    <n v="325"/>
    <m/>
    <m/>
    <n v="0"/>
    <n v="0"/>
    <n v="741"/>
    <n v="2.2799999999999998"/>
  </r>
  <r>
    <s v="Ajuste M."/>
    <x v="20"/>
    <x v="6"/>
    <m/>
    <n v="588449"/>
    <m/>
    <x v="0"/>
    <n v="129.6"/>
    <m/>
    <m/>
    <n v="0"/>
    <n v="0"/>
    <n v="617"/>
    <n v="4.7608024691358031"/>
  </r>
  <r>
    <s v="Ajuste M."/>
    <x v="20"/>
    <x v="6"/>
    <m/>
    <n v="589152"/>
    <m/>
    <x v="0"/>
    <n v="156.19999999999999"/>
    <m/>
    <m/>
    <n v="0"/>
    <n v="0"/>
    <n v="703"/>
    <n v="4.5006402048655572"/>
  </r>
  <r>
    <n v="158818"/>
    <x v="20"/>
    <x v="6"/>
    <s v="TATITA FERNÃO DIAS"/>
    <n v="589685"/>
    <m/>
    <x v="0"/>
    <n v="117.3"/>
    <m/>
    <n v="6.29"/>
    <n v="737.81700000000001"/>
    <n v="6.29"/>
    <n v="533"/>
    <n v="4.5439045183290707"/>
  </r>
  <r>
    <n v="285152"/>
    <x v="20"/>
    <x v="0"/>
    <s v="BEIRA MINHO"/>
    <n v="368156"/>
    <m/>
    <x v="0"/>
    <n v="35.270000000000003"/>
    <n v="10.58"/>
    <n v="6.69"/>
    <n v="225.37630000000001"/>
    <n v="6.3900283527076835"/>
    <n v="265"/>
    <n v="7.5134675361497019"/>
  </r>
  <r>
    <n v="37927"/>
    <x v="20"/>
    <x v="28"/>
    <s v="ULTRAMARINO"/>
    <n v="28551"/>
    <m/>
    <x v="0"/>
    <n v="65.06"/>
    <n v="6.51"/>
    <n v="6.18"/>
    <n v="395.56080000000003"/>
    <n v="6.0799385182908088"/>
    <n v="591"/>
    <n v="9.0839225330464188"/>
  </r>
  <r>
    <n v="37823"/>
    <x v="20"/>
    <x v="8"/>
    <s v="ULTRAMARINO"/>
    <n v="912448"/>
    <m/>
    <x v="2"/>
    <n v="35"/>
    <m/>
    <n v="3.49"/>
    <n v="122.15"/>
    <n v="3.49"/>
    <m/>
    <n v="0"/>
  </r>
  <r>
    <n v="37823"/>
    <x v="20"/>
    <x v="8"/>
    <s v="ULTRAMARINO"/>
    <n v="912448"/>
    <m/>
    <x v="0"/>
    <n v="531.36"/>
    <n v="53.14"/>
    <n v="6.18"/>
    <n v="3230.6648"/>
    <n v="6.0799924721469436"/>
    <n v="1461"/>
    <n v="2.7495483288166214"/>
  </r>
  <r>
    <n v="593768"/>
    <x v="20"/>
    <x v="6"/>
    <s v="GAVIÃO DA ANHANGUERA"/>
    <n v="590247"/>
    <m/>
    <x v="0"/>
    <n v="133.89099999999999"/>
    <m/>
    <n v="6.24"/>
    <n v="835.47983999999997"/>
    <n v="6.24"/>
    <n v="562"/>
    <n v="4.1974441896766779"/>
  </r>
  <r>
    <s v="Ajuste M."/>
    <x v="20"/>
    <x v="13"/>
    <m/>
    <n v="100492"/>
    <m/>
    <x v="0"/>
    <n v="33.5"/>
    <m/>
    <m/>
    <n v="0"/>
    <n v="0"/>
    <n v="246"/>
    <n v="7.3432835820895521"/>
  </r>
  <r>
    <s v="Ajuste M."/>
    <x v="21"/>
    <x v="13"/>
    <m/>
    <n v="100737"/>
    <m/>
    <x v="0"/>
    <n v="31.2"/>
    <m/>
    <m/>
    <n v="0"/>
    <n v="0"/>
    <n v="245"/>
    <n v="7.8525641025641031"/>
  </r>
  <r>
    <n v="805809"/>
    <x v="21"/>
    <x v="13"/>
    <s v="AUTO POSTO SACI"/>
    <n v="100986"/>
    <m/>
    <x v="0"/>
    <n v="33.49"/>
    <m/>
    <n v="6.39"/>
    <n v="214.00110000000001"/>
    <n v="6.39"/>
    <n v="249"/>
    <n v="7.435055240370259"/>
  </r>
  <r>
    <n v="158996"/>
    <x v="21"/>
    <x v="4"/>
    <s v="TATITA FERNÃO DIAS"/>
    <n v="870063"/>
    <m/>
    <x v="0"/>
    <n v="122.06"/>
    <m/>
    <n v="6.19"/>
    <n v="755.55140000000006"/>
    <n v="6.19"/>
    <n v="539"/>
    <n v="4.4158610519416683"/>
  </r>
  <r>
    <n v="158941"/>
    <x v="21"/>
    <x v="18"/>
    <s v="TATITA FERNÃO DIAS"/>
    <n v="650351"/>
    <m/>
    <x v="0"/>
    <n v="153.16999999999999"/>
    <m/>
    <n v="6.29"/>
    <n v="963.43929999999989"/>
    <n v="6.29"/>
    <n v="564"/>
    <n v="3.6821831951426525"/>
  </r>
  <r>
    <n v="158965"/>
    <x v="21"/>
    <x v="9"/>
    <s v="TATITA FERNÃO DIAS"/>
    <n v="344344"/>
    <m/>
    <x v="0"/>
    <n v="89.65"/>
    <m/>
    <n v="6.29"/>
    <n v="563.89850000000001"/>
    <n v="6.29"/>
    <n v="477"/>
    <n v="5.3206915783602895"/>
  </r>
  <r>
    <n v="555204"/>
    <x v="21"/>
    <x v="5"/>
    <s v="DOM PEDRO POUSO ALEGRE"/>
    <n v="586796"/>
    <m/>
    <x v="0"/>
    <n v="111.68"/>
    <m/>
    <n v="6.0354999999999999"/>
    <n v="674.04464000000007"/>
    <n v="6.0354999999999999"/>
    <n v="442"/>
    <n v="3.9577363896848134"/>
  </r>
  <r>
    <n v="158827"/>
    <x v="22"/>
    <x v="22"/>
    <s v="TATITA FERNÃO DIAS"/>
    <n v="124550"/>
    <m/>
    <x v="0"/>
    <n v="183.739"/>
    <m/>
    <n v="6.29"/>
    <n v="1155.71831"/>
    <n v="6.29"/>
    <n v="753"/>
    <n v="4.0982045183657254"/>
  </r>
  <r>
    <n v="223956"/>
    <x v="22"/>
    <x v="2"/>
    <s v="ULTRAMARINO"/>
    <n v="856053"/>
    <m/>
    <x v="0"/>
    <n v="302.601"/>
    <n v="30.26"/>
    <n v="6.18"/>
    <n v="1839.8141799999999"/>
    <n v="6.0800003304681738"/>
    <n v="734"/>
    <n v="2.4256363990865859"/>
  </r>
  <r>
    <s v="Ajuste M."/>
    <x v="22"/>
    <x v="0"/>
    <m/>
    <n v="368487"/>
    <m/>
    <x v="0"/>
    <n v="41.52"/>
    <m/>
    <m/>
    <n v="0"/>
    <n v="0"/>
    <n v="331"/>
    <n v="7.9720616570327545"/>
  </r>
  <r>
    <n v="288152"/>
    <x v="23"/>
    <x v="0"/>
    <s v="BEIRA MINHO"/>
    <n v="368818"/>
    <m/>
    <x v="0"/>
    <n v="44.88"/>
    <n v="13.46"/>
    <n v="6.69"/>
    <n v="286.78720000000004"/>
    <n v="6.3900891265597153"/>
    <n v="331"/>
    <n v="7.3752228163992868"/>
  </r>
  <r>
    <n v="39713"/>
    <x v="23"/>
    <x v="28"/>
    <s v="ULTRAMARINO"/>
    <n v="28857"/>
    <m/>
    <x v="0"/>
    <n v="33.100999999999999"/>
    <n v="3.31"/>
    <n v="6.18"/>
    <n v="201.25417999999999"/>
    <n v="6.0800030210567657"/>
    <n v="306"/>
    <n v="9.2444337029092782"/>
  </r>
  <r>
    <s v="Ajuste M."/>
    <x v="23"/>
    <x v="6"/>
    <m/>
    <n v="590852"/>
    <m/>
    <x v="0"/>
    <n v="139.5"/>
    <m/>
    <m/>
    <n v="0"/>
    <n v="0"/>
    <n v="605"/>
    <n v="4.3369175627240146"/>
  </r>
  <r>
    <n v="596057"/>
    <x v="23"/>
    <x v="6"/>
    <s v="GAVIÃO DA ANHANGUERA"/>
    <n v="591321"/>
    <m/>
    <x v="0"/>
    <n v="99.622"/>
    <m/>
    <n v="6.24"/>
    <n v="621.64128000000005"/>
    <n v="6.24"/>
    <n v="469"/>
    <n v="4.7077954668647486"/>
  </r>
  <r>
    <n v="510455"/>
    <x v="23"/>
    <x v="21"/>
    <s v="COMBO AUTO POSTO"/>
    <n v="124132"/>
    <m/>
    <x v="1"/>
    <n v="48.591000000000001"/>
    <m/>
    <n v="5.22"/>
    <n v="253.64501999999999"/>
    <n v="5.22"/>
    <n v="441"/>
    <n v="9.0757547694017404"/>
  </r>
  <r>
    <s v="Ajuste M."/>
    <x v="24"/>
    <x v="13"/>
    <m/>
    <n v="101410"/>
    <m/>
    <x v="0"/>
    <n v="80"/>
    <m/>
    <m/>
    <n v="0"/>
    <n v="0"/>
    <n v="673"/>
    <n v="8.4124999999999996"/>
  </r>
  <r>
    <n v="809305"/>
    <x v="24"/>
    <x v="13"/>
    <s v="AUTO POSTO SACI"/>
    <n v="101695"/>
    <m/>
    <x v="0"/>
    <n v="32.770000000000003"/>
    <m/>
    <n v="6.39"/>
    <n v="209.40030000000002"/>
    <n v="6.39"/>
    <n v="285"/>
    <n v="8.6969789441562391"/>
  </r>
  <r>
    <n v="159455"/>
    <x v="24"/>
    <x v="7"/>
    <s v="TATITA FERNÃO DIAS"/>
    <n v="74499"/>
    <m/>
    <x v="1"/>
    <n v="51.338999999999999"/>
    <m/>
    <n v="5.19"/>
    <n v="266.44941"/>
    <n v="5.19"/>
    <n v="611"/>
    <n v="11.901283624534955"/>
  </r>
  <r>
    <n v="159397"/>
    <x v="24"/>
    <x v="4"/>
    <s v="TATITA FERNÃO DIAS"/>
    <n v="870517"/>
    <m/>
    <x v="0"/>
    <n v="127.52"/>
    <m/>
    <n v="6.19"/>
    <n v="789.34879999999998"/>
    <n v="6.19"/>
    <n v="454"/>
    <n v="3.5602258469259724"/>
  </r>
  <r>
    <n v="159403"/>
    <x v="24"/>
    <x v="0"/>
    <s v="TATITA FERNÃO DIAS"/>
    <n v="369126"/>
    <m/>
    <x v="0"/>
    <n v="46.091000000000001"/>
    <m/>
    <n v="6.29"/>
    <n v="289.91239000000002"/>
    <n v="6.29"/>
    <n v="308"/>
    <n v="6.6824325790284433"/>
  </r>
  <r>
    <s v="Ajuste M."/>
    <x v="24"/>
    <x v="12"/>
    <m/>
    <n v="204674"/>
    <m/>
    <x v="0"/>
    <n v="72.3"/>
    <m/>
    <m/>
    <n v="0"/>
    <n v="0"/>
    <n v="359"/>
    <n v="4.9654218533886585"/>
  </r>
  <r>
    <s v="Ajuste M."/>
    <x v="24"/>
    <x v="12"/>
    <m/>
    <n v="205036"/>
    <m/>
    <x v="0"/>
    <n v="77.5"/>
    <m/>
    <m/>
    <n v="0"/>
    <n v="0"/>
    <n v="362"/>
    <n v="4.6709677419354838"/>
  </r>
  <r>
    <s v="Ajuste M."/>
    <x v="24"/>
    <x v="12"/>
    <m/>
    <n v="205412"/>
    <m/>
    <x v="0"/>
    <n v="80.23"/>
    <m/>
    <m/>
    <n v="0"/>
    <n v="0"/>
    <n v="376"/>
    <n v="4.6865262370684277"/>
  </r>
  <r>
    <n v="159451"/>
    <x v="24"/>
    <x v="12"/>
    <s v="TATITA FERNÃO DIAS"/>
    <n v="205754"/>
    <m/>
    <x v="0"/>
    <n v="70.760000000000005"/>
    <m/>
    <n v="6.29"/>
    <n v="445.08040000000005"/>
    <n v="6.29"/>
    <n v="342"/>
    <n v="4.8332391181458449"/>
  </r>
  <r>
    <n v="159371"/>
    <x v="24"/>
    <x v="22"/>
    <s v="TATITA FERNÃO DIAS"/>
    <n v="125276"/>
    <m/>
    <x v="0"/>
    <n v="174.851"/>
    <m/>
    <n v="6.29"/>
    <n v="1099.8127899999999"/>
    <n v="6.29"/>
    <n v="726"/>
    <n v="4.1521066508055426"/>
  </r>
  <r>
    <s v="Ajuste M."/>
    <x v="24"/>
    <x v="26"/>
    <m/>
    <n v="700845"/>
    <m/>
    <x v="0"/>
    <n v="205.4"/>
    <m/>
    <m/>
    <n v="0"/>
    <n v="0"/>
    <n v="709"/>
    <n v="3.4518013631937681"/>
  </r>
  <r>
    <n v="159423"/>
    <x v="24"/>
    <x v="26"/>
    <s v="TATITA FERNÃO DIAS"/>
    <n v="701555"/>
    <m/>
    <x v="0"/>
    <n v="186.839"/>
    <m/>
    <n v="6.29"/>
    <n v="1175.21731"/>
    <n v="6.29"/>
    <n v="710"/>
    <n v="3.800063155979212"/>
  </r>
  <r>
    <n v="289141"/>
    <x v="24"/>
    <x v="11"/>
    <s v="BEIRA MINHO"/>
    <n v="645279"/>
    <m/>
    <x v="0"/>
    <n v="152.36000000000001"/>
    <n v="45.71"/>
    <n v="6.69"/>
    <n v="973.5784000000001"/>
    <n v="6.3899868731950642"/>
    <n v="675"/>
    <n v="4.4302966657915457"/>
  </r>
  <r>
    <n v="40327"/>
    <x v="24"/>
    <x v="14"/>
    <s v="ULTRAMARINO"/>
    <n v="80113"/>
    <m/>
    <x v="0"/>
    <n v="490.32100000000003"/>
    <n v="49.03"/>
    <n v="6.18"/>
    <n v="2981.1537799999996"/>
    <n v="6.0800042829085426"/>
    <n v="1349"/>
    <n v="2.7512588691897757"/>
  </r>
  <r>
    <n v="40264"/>
    <x v="24"/>
    <x v="28"/>
    <s v="ULTRAMARINO"/>
    <n v="29514"/>
    <m/>
    <x v="0"/>
    <n v="74.100999999999999"/>
    <n v="7.41"/>
    <n v="6.18"/>
    <n v="450.53417999999994"/>
    <n v="6.0800013495094527"/>
    <n v="657"/>
    <n v="8.8662771082711433"/>
  </r>
  <r>
    <n v="557166"/>
    <x v="24"/>
    <x v="5"/>
    <s v="DOM PEDRO POUSO ALEGRE"/>
    <n v="587247"/>
    <m/>
    <x v="0"/>
    <n v="119.63"/>
    <m/>
    <n v="6.09"/>
    <n v="728.54669999999999"/>
    <n v="6.09"/>
    <n v="451"/>
    <n v="3.7699573685530385"/>
  </r>
  <r>
    <n v="159627"/>
    <x v="25"/>
    <x v="13"/>
    <s v="TATITA FERNÃO DIAS"/>
    <n v="102049"/>
    <m/>
    <x v="0"/>
    <n v="40.01"/>
    <m/>
    <n v="6.29"/>
    <n v="251.66289999999998"/>
    <n v="6.29"/>
    <n v="354"/>
    <n v="8.8477880529867541"/>
  </r>
  <r>
    <n v="159604"/>
    <x v="25"/>
    <x v="29"/>
    <s v="TATITA FERNÃO DIAS"/>
    <n v="285713"/>
    <m/>
    <x v="0"/>
    <n v="170"/>
    <m/>
    <n v="6.29"/>
    <n v="1069.3"/>
    <n v="6.29"/>
    <m/>
    <m/>
  </r>
  <r>
    <n v="289518"/>
    <x v="25"/>
    <x v="24"/>
    <s v="BEIRA MINHO"/>
    <n v="77511"/>
    <m/>
    <x v="0"/>
    <n v="89.92"/>
    <m/>
    <n v="6.69"/>
    <n v="601.56479999999999"/>
    <n v="6.6899999999999995"/>
    <m/>
    <m/>
  </r>
  <r>
    <n v="290014"/>
    <x v="25"/>
    <x v="22"/>
    <s v="BEIRA MINHO"/>
    <n v="125935"/>
    <m/>
    <x v="0"/>
    <n v="156.93"/>
    <n v="47.08"/>
    <n v="6.69"/>
    <n v="1002.7817000000001"/>
    <n v="6.3899936277321103"/>
    <n v="659"/>
    <n v="4.1993245396036452"/>
  </r>
  <r>
    <s v="Ajuste M."/>
    <x v="25"/>
    <x v="12"/>
    <m/>
    <n v="206197"/>
    <m/>
    <x v="0"/>
    <n v="95.32"/>
    <m/>
    <m/>
    <n v="0"/>
    <n v="0"/>
    <n v="443"/>
    <n v="4.6475031472933281"/>
  </r>
  <r>
    <n v="18954"/>
    <x v="25"/>
    <x v="12"/>
    <s v="DOM PEDRO LORENA"/>
    <n v="206946"/>
    <m/>
    <x v="0"/>
    <n v="155.91999999999999"/>
    <m/>
    <n v="5.87"/>
    <n v="915.2503999999999"/>
    <n v="5.87"/>
    <n v="749"/>
    <n v="4.8037455105182145"/>
  </r>
  <r>
    <s v="Ajuste M."/>
    <x v="25"/>
    <x v="26"/>
    <m/>
    <n v="701955"/>
    <m/>
    <x v="0"/>
    <n v="123.52"/>
    <m/>
    <m/>
    <n v="0"/>
    <n v="0"/>
    <n v="400"/>
    <n v="3.2383419689119171"/>
  </r>
  <r>
    <n v="482242"/>
    <x v="25"/>
    <x v="26"/>
    <s v="RESIDÊNCIA FUCK"/>
    <n v="702329"/>
    <m/>
    <x v="0"/>
    <n v="96.2"/>
    <n v="89.63"/>
    <n v="7.04"/>
    <n v="587.61800000000005"/>
    <n v="6.1082952182952184"/>
    <n v="374"/>
    <n v="3.8877338877338876"/>
  </r>
  <r>
    <n v="548831"/>
    <x v="25"/>
    <x v="26"/>
    <s v="AUTO POSTO SERRA SUL"/>
    <n v="702507"/>
    <m/>
    <x v="0"/>
    <n v="56.23"/>
    <m/>
    <n v="6.29"/>
    <n v="353.68669999999997"/>
    <n v="6.29"/>
    <n v="178"/>
    <n v="3.1655699804374891"/>
  </r>
  <r>
    <n v="40478"/>
    <x v="25"/>
    <x v="2"/>
    <s v="ULTRAMARINO"/>
    <n v="857246"/>
    <m/>
    <x v="0"/>
    <n v="391.59100000000001"/>
    <n v="39.159999999999997"/>
    <n v="6.18"/>
    <n v="2380.8723800000002"/>
    <n v="6.0799977016836451"/>
    <n v="1193"/>
    <n v="3.0465460135702811"/>
  </r>
  <r>
    <n v="40460"/>
    <x v="25"/>
    <x v="17"/>
    <s v="ULTRAMARINO"/>
    <n v="176160"/>
    <m/>
    <x v="0"/>
    <n v="617.49099999999999"/>
    <n v="61.75"/>
    <n v="6.18"/>
    <n v="3754.3443799999995"/>
    <n v="6.0799985424888776"/>
    <n v="1664"/>
    <n v="2.6947761181944352"/>
  </r>
  <r>
    <n v="40558"/>
    <x v="25"/>
    <x v="0"/>
    <s v="ULTRAMARINO"/>
    <n v="369497"/>
    <m/>
    <x v="0"/>
    <n v="44.13"/>
    <n v="4.41"/>
    <n v="6.18"/>
    <n v="268.3134"/>
    <n v="6.0800679809653291"/>
    <n v="371"/>
    <n v="8.4069793791071827"/>
  </r>
  <r>
    <n v="141725"/>
    <x v="25"/>
    <x v="13"/>
    <s v="DOM PEDRO CAMBUÍ"/>
    <n v="102345"/>
    <m/>
    <x v="0"/>
    <n v="42.7"/>
    <m/>
    <n v="5.99"/>
    <n v="255.77300000000002"/>
    <n v="5.99"/>
    <n v="296"/>
    <n v="6.9320843091334892"/>
  </r>
  <r>
    <n v="585578"/>
    <x v="26"/>
    <x v="6"/>
    <s v="AUTO POSTO RVM MAX"/>
    <n v="591917"/>
    <m/>
    <x v="0"/>
    <n v="132"/>
    <m/>
    <n v="6.19"/>
    <n v="817.08"/>
    <n v="6.19"/>
    <n v="596"/>
    <n v="4.5151515151515156"/>
  </r>
  <r>
    <n v="267036"/>
    <x v="26"/>
    <x v="7"/>
    <s v="POSTO ZÉ RAMOS"/>
    <n v="74987"/>
    <m/>
    <x v="1"/>
    <n v="41.62"/>
    <m/>
    <n v="5.19"/>
    <n v="216.0078"/>
    <n v="5.19"/>
    <n v="488"/>
    <n v="11.725132148005768"/>
  </r>
  <r>
    <n v="159776"/>
    <x v="26"/>
    <x v="12"/>
    <s v="TATITA FERNÃO DIAS"/>
    <n v="207235"/>
    <m/>
    <x v="0"/>
    <n v="59"/>
    <m/>
    <n v="6.29"/>
    <n v="371.11"/>
    <n v="6.29"/>
    <n v="289"/>
    <n v="4.898305084745763"/>
  </r>
  <r>
    <n v="290572"/>
    <x v="26"/>
    <x v="18"/>
    <s v="BEIRA MINHO"/>
    <n v="651416"/>
    <m/>
    <x v="0"/>
    <n v="132.69"/>
    <n v="39.81"/>
    <n v="6.69"/>
    <n v="847.88609999999994"/>
    <n v="6.3899773909111461"/>
    <n v="1065"/>
    <n v="8.0262265430703152"/>
  </r>
  <r>
    <n v="297384"/>
    <x v="26"/>
    <x v="12"/>
    <s v="TIGRÃO DA DUTRA"/>
    <n v="207563"/>
    <m/>
    <x v="0"/>
    <n v="65.864999999999995"/>
    <n v="13.17"/>
    <n v="6.27"/>
    <n v="399.80354999999992"/>
    <n v="6.070045547711227"/>
    <n v="328"/>
    <n v="4.9798830942078496"/>
  </r>
  <r>
    <n v="558052"/>
    <x v="26"/>
    <x v="9"/>
    <s v="DOM PEDRO POUSO ALEGRE"/>
    <n v="344495"/>
    <m/>
    <x v="0"/>
    <n v="28.6"/>
    <m/>
    <n v="6.09"/>
    <n v="174.17400000000001"/>
    <n v="6.09"/>
    <n v="151"/>
    <n v="5.2797202797202791"/>
  </r>
  <r>
    <n v="219386"/>
    <x v="26"/>
    <x v="28"/>
    <s v="DOM PEDRO DE LEME"/>
    <n v="30258"/>
    <m/>
    <x v="0"/>
    <n v="89.891999999999996"/>
    <m/>
    <n v="5.99"/>
    <n v="538.45308"/>
    <n v="5.99"/>
    <n v="744"/>
    <n v="8.2765985849686299"/>
  </r>
  <r>
    <n v="558108"/>
    <x v="26"/>
    <x v="5"/>
    <s v="DOM PEDRO POUSO ALEGRE"/>
    <n v="587811"/>
    <m/>
    <x v="0"/>
    <n v="141"/>
    <m/>
    <n v="6.09"/>
    <n v="858.68999999999994"/>
    <n v="6.09"/>
    <n v="564"/>
    <n v="4"/>
  </r>
  <r>
    <s v="Ajuste M."/>
    <x v="26"/>
    <x v="12"/>
    <m/>
    <n v="207767"/>
    <m/>
    <x v="0"/>
    <n v="48.5"/>
    <m/>
    <m/>
    <n v="0"/>
    <n v="0"/>
    <n v="204"/>
    <n v="4.2061855670103094"/>
  </r>
  <r>
    <n v="296530"/>
    <x v="27"/>
    <x v="12"/>
    <s v="TIGRÃO DA DUTRA"/>
    <n v="208124"/>
    <m/>
    <x v="0"/>
    <n v="84.704999999999998"/>
    <n v="16.54"/>
    <n v="6.27"/>
    <n v="514.56034999999997"/>
    <n v="6.0747340770910805"/>
    <n v="357"/>
    <n v="4.2146272357003722"/>
  </r>
  <r>
    <n v="267277"/>
    <x v="27"/>
    <x v="12"/>
    <s v="POSTO ZÉ RAMOS"/>
    <n v="208321"/>
    <m/>
    <x v="0"/>
    <n v="42.53"/>
    <m/>
    <n v="6.18"/>
    <n v="262.83539999999999"/>
    <n v="6.18"/>
    <n v="197"/>
    <n v="4.6320244533270634"/>
  </r>
  <r>
    <n v="267277"/>
    <x v="27"/>
    <x v="12"/>
    <s v="POSTO ZÉ RAMOS"/>
    <n v="208321"/>
    <m/>
    <x v="2"/>
    <n v="25.221"/>
    <m/>
    <n v="3.69"/>
    <n v="93.065489999999997"/>
    <n v="3.69"/>
    <m/>
    <n v="0"/>
  </r>
  <r>
    <n v="159862"/>
    <x v="27"/>
    <x v="0"/>
    <s v="TATITA FERNÃO DIAS"/>
    <n v="369828"/>
    <m/>
    <x v="0"/>
    <n v="45.570999999999998"/>
    <m/>
    <n v="6.29"/>
    <n v="286.64159000000001"/>
    <n v="6.29"/>
    <n v="331"/>
    <n v="7.2633911917666945"/>
  </r>
  <r>
    <s v="Ajuste M."/>
    <x v="27"/>
    <x v="1"/>
    <m/>
    <n v="314840"/>
    <m/>
    <x v="0"/>
    <n v="119.5"/>
    <m/>
    <m/>
    <n v="0"/>
    <n v="0"/>
    <n v="434"/>
    <n v="3.6317991631799162"/>
  </r>
  <r>
    <s v="Ajuste M."/>
    <x v="27"/>
    <x v="1"/>
    <m/>
    <n v="315274"/>
    <m/>
    <x v="0"/>
    <n v="124.5"/>
    <m/>
    <m/>
    <n v="0"/>
    <n v="0"/>
    <n v="434"/>
    <n v="3.4859437751004014"/>
  </r>
  <r>
    <s v="Ajuste M."/>
    <x v="27"/>
    <x v="1"/>
    <m/>
    <n v="315708"/>
    <m/>
    <x v="0"/>
    <n v="126.5"/>
    <m/>
    <m/>
    <n v="0"/>
    <n v="0"/>
    <n v="434"/>
    <n v="3.4308300395256919"/>
  </r>
  <r>
    <n v="160066"/>
    <x v="27"/>
    <x v="1"/>
    <s v="TATITA FERNÃO DIAS"/>
    <n v="316145"/>
    <m/>
    <x v="0"/>
    <n v="123.14100000000001"/>
    <m/>
    <n v="6.18"/>
    <n v="761.01138000000003"/>
    <n v="6.18"/>
    <n v="437"/>
    <n v="3.54877741775688"/>
  </r>
  <r>
    <s v="Ajuste M."/>
    <x v="27"/>
    <x v="13"/>
    <m/>
    <n v="102587"/>
    <m/>
    <x v="0"/>
    <n v="27.8"/>
    <m/>
    <m/>
    <n v="0"/>
    <n v="0"/>
    <n v="242"/>
    <n v="8.7050359712230208"/>
  </r>
  <r>
    <n v="159955"/>
    <x v="27"/>
    <x v="13"/>
    <s v="TATITA FERNÃO DIAS"/>
    <n v="102829"/>
    <m/>
    <x v="0"/>
    <n v="43.32"/>
    <m/>
    <n v="6.18"/>
    <n v="267.7176"/>
    <n v="6.18"/>
    <n v="242"/>
    <n v="5.5863342566943679"/>
  </r>
  <r>
    <s v="Ajuste M."/>
    <x v="21"/>
    <x v="23"/>
    <m/>
    <n v="281488"/>
    <m/>
    <x v="1"/>
    <n v="40.520000000000003"/>
    <m/>
    <m/>
    <n v="0"/>
    <n v="0"/>
    <n v="661"/>
    <n v="16.312931885488645"/>
  </r>
  <r>
    <n v="159939"/>
    <x v="27"/>
    <x v="23"/>
    <s v="TATITA FERNÃO DIAS"/>
    <n v="281892"/>
    <m/>
    <x v="1"/>
    <n v="29.280999999999999"/>
    <m/>
    <n v="5.09"/>
    <n v="149.04029"/>
    <n v="5.09"/>
    <n v="404"/>
    <n v="13.797342986919846"/>
  </r>
  <r>
    <n v="159871"/>
    <x v="27"/>
    <x v="4"/>
    <s v="TATITA FERNÃO DIAS"/>
    <n v="870882"/>
    <m/>
    <x v="0"/>
    <n v="113.98099999999999"/>
    <m/>
    <n v="6.19"/>
    <n v="705.54238999999995"/>
    <n v="6.1899999999999995"/>
    <n v="365"/>
    <n v="3.2022881006483539"/>
  </r>
  <r>
    <s v="Ajuste M."/>
    <x v="27"/>
    <x v="27"/>
    <m/>
    <n v="107699"/>
    <m/>
    <x v="0"/>
    <n v="190.1"/>
    <m/>
    <m/>
    <n v="0"/>
    <n v="0"/>
    <n v="729"/>
    <n v="3.8348237769594951"/>
  </r>
  <r>
    <s v="Ajuste M."/>
    <x v="27"/>
    <x v="27"/>
    <m/>
    <n v="108426"/>
    <m/>
    <x v="0"/>
    <n v="195.6"/>
    <m/>
    <m/>
    <n v="0"/>
    <n v="0"/>
    <n v="727"/>
    <n v="3.7167689161554192"/>
  </r>
  <r>
    <n v="291629"/>
    <x v="27"/>
    <x v="24"/>
    <s v="BEIRA MINHO"/>
    <n v="77760"/>
    <m/>
    <x v="0"/>
    <n v="48.56"/>
    <n v="14.57"/>
    <n v="6.69"/>
    <n v="310.29640000000006"/>
    <n v="6.3899588138385512"/>
    <n v="249"/>
    <n v="5.1276771004942336"/>
  </r>
  <r>
    <n v="434734"/>
    <x v="27"/>
    <x v="22"/>
    <s v="DOM PEDRO ITATIAIUÇU"/>
    <n v="126618"/>
    <m/>
    <x v="0"/>
    <n v="170.01"/>
    <m/>
    <n v="6.09"/>
    <n v="1035.3608999999999"/>
    <n v="6.09"/>
    <n v="683"/>
    <n v="4.0174107405446744"/>
  </r>
  <r>
    <n v="252944"/>
    <x v="27"/>
    <x v="6"/>
    <s v="DOM PEDRO ITAPEVA"/>
    <n v="592558"/>
    <m/>
    <x v="0"/>
    <n v="142.55099999999999"/>
    <m/>
    <n v="6.09"/>
    <n v="868.13558999999987"/>
    <n v="6.09"/>
    <n v="641"/>
    <n v="4.4966362915728411"/>
  </r>
  <r>
    <n v="41843"/>
    <x v="28"/>
    <x v="2"/>
    <s v="ULTRAMARINO"/>
    <n v="858088"/>
    <m/>
    <x v="0"/>
    <n v="379.16"/>
    <n v="37.92"/>
    <n v="6.14"/>
    <n v="2290.1223999999997"/>
    <n v="6.0399894503639615"/>
    <n v="842"/>
    <n v="2.2206983859056861"/>
  </r>
  <r>
    <n v="588638"/>
    <x v="29"/>
    <x v="28"/>
    <s v="AUTO POSTO RVM MAX"/>
    <n v="30799"/>
    <m/>
    <x v="0"/>
    <n v="62.04"/>
    <m/>
    <n v="6.19"/>
    <n v="384.02760000000001"/>
    <n v="6.19"/>
    <n v="541"/>
    <n v="8.7201805286911664"/>
  </r>
  <r>
    <n v="160565"/>
    <x v="29"/>
    <x v="0"/>
    <s v="TATITA FERNÃO DIAS"/>
    <n v="370024"/>
    <m/>
    <x v="0"/>
    <n v="26.920999999999999"/>
    <m/>
    <n v="6.18"/>
    <n v="166.37178"/>
    <n v="6.1800000000000006"/>
    <n v="196"/>
    <n v="7.280561643326771"/>
  </r>
  <r>
    <s v="Ajuste M."/>
    <x v="29"/>
    <x v="8"/>
    <m/>
    <n v="913870"/>
    <m/>
    <x v="0"/>
    <n v="522.63"/>
    <m/>
    <m/>
    <n v="0"/>
    <n v="0"/>
    <n v="1422"/>
    <n v="2.7208541415532976"/>
  </r>
  <r>
    <n v="293854"/>
    <x v="29"/>
    <x v="8"/>
    <s v="BEIRA MINHO"/>
    <n v="915304"/>
    <m/>
    <x v="0"/>
    <n v="532.81000000000006"/>
    <n v="159.84"/>
    <n v="6.69"/>
    <n v="3404.6589000000004"/>
    <n v="6.3900056305249526"/>
    <n v="1434"/>
    <n v="2.6913909273474594"/>
  </r>
  <r>
    <n v="293854"/>
    <x v="29"/>
    <x v="30"/>
    <s v="BEIRA MINHO"/>
    <n v="915304"/>
    <m/>
    <x v="2"/>
    <n v="31.937999999999999"/>
    <m/>
    <n v="4.99"/>
    <n v="159.37062"/>
    <n v="4.99"/>
    <m/>
    <n v="0"/>
  </r>
  <r>
    <n v="293555"/>
    <x v="29"/>
    <x v="0"/>
    <s v="BEIRA MINHO"/>
    <n v="370253"/>
    <m/>
    <x v="0"/>
    <n v="27.47"/>
    <n v="8.24"/>
    <n v="6.69"/>
    <n v="175.5343"/>
    <n v="6.3900364033491082"/>
    <n v="229"/>
    <n v="8.3363669457590106"/>
  </r>
  <r>
    <n v="185999"/>
    <x v="29"/>
    <x v="13"/>
    <s v="POSTO JR FAISÃO"/>
    <n v="103123"/>
    <m/>
    <x v="0"/>
    <n v="34.479999999999997"/>
    <m/>
    <n v="6.21"/>
    <n v="214.12079999999997"/>
    <n v="6.21"/>
    <n v="294"/>
    <n v="8.5266821345707662"/>
  </r>
  <r>
    <n v="114586"/>
    <x v="29"/>
    <x v="13"/>
    <s v="DOM PEDRO ATIBAIA"/>
    <n v="103479"/>
    <m/>
    <x v="0"/>
    <n v="42"/>
    <m/>
    <n v="6.09"/>
    <n v="255.78"/>
    <n v="6.09"/>
    <n v="356"/>
    <n v="8.4761904761904763"/>
  </r>
  <r>
    <n v="114806"/>
    <x v="29"/>
    <x v="18"/>
    <s v="DOM PEDRO ATIBAIA"/>
    <n v="652007"/>
    <m/>
    <x v="0"/>
    <n v="153.01"/>
    <m/>
    <n v="6.09"/>
    <n v="931.83089999999993"/>
    <n v="6.09"/>
    <n v="591"/>
    <n v="3.8624926475393768"/>
  </r>
  <r>
    <n v="253613"/>
    <x v="29"/>
    <x v="4"/>
    <s v="DOM PEDRO ITAPEVA"/>
    <n v="871842"/>
    <m/>
    <x v="0"/>
    <n v="118"/>
    <m/>
    <n v="5.99"/>
    <n v="706.82"/>
    <n v="5.99"/>
    <n v="960"/>
    <n v="8.1355932203389827"/>
  </r>
  <r>
    <n v="559987"/>
    <x v="29"/>
    <x v="5"/>
    <s v="DOM PEDRO POUSO ALEGRE"/>
    <n v="588253"/>
    <m/>
    <x v="0"/>
    <n v="123.24"/>
    <m/>
    <n v="6.09"/>
    <n v="750.53159999999991"/>
    <n v="6.09"/>
    <n v="442"/>
    <n v="3.5864978902953588"/>
  </r>
  <r>
    <n v="512030"/>
    <x v="29"/>
    <x v="15"/>
    <s v="COMBO AUTO POSTO"/>
    <n v="289493"/>
    <m/>
    <x v="0"/>
    <n v="72.700999999999993"/>
    <m/>
    <n v="6.58"/>
    <n v="478.37257999999997"/>
    <n v="6.58"/>
    <n v="336"/>
    <n v="4.6216695781351014"/>
  </r>
  <r>
    <n v="160941"/>
    <x v="30"/>
    <x v="17"/>
    <s v="TATITA FERNÃO DIAS"/>
    <n v="177651"/>
    <m/>
    <x v="0"/>
    <n v="632.4"/>
    <m/>
    <n v="6.09"/>
    <n v="3851.3159999999998"/>
    <n v="6.09"/>
    <n v="1491"/>
    <n v="2.3576850094876662"/>
  </r>
  <r>
    <s v="Ajuste M."/>
    <x v="30"/>
    <x v="10"/>
    <m/>
    <n v="226864"/>
    <m/>
    <x v="0"/>
    <n v="77.52"/>
    <m/>
    <m/>
    <n v="0"/>
    <n v="0"/>
    <n v="588"/>
    <n v="7.5851393188854495"/>
  </r>
  <r>
    <s v="Ajuste M."/>
    <x v="30"/>
    <x v="10"/>
    <m/>
    <n v="227440"/>
    <m/>
    <x v="0"/>
    <n v="76.3"/>
    <m/>
    <m/>
    <n v="0"/>
    <n v="0"/>
    <n v="576"/>
    <n v="7.5491480996068159"/>
  </r>
  <r>
    <n v="160802"/>
    <x v="30"/>
    <x v="10"/>
    <s v="TATITA FERNÃO DIAS"/>
    <n v="228041"/>
    <m/>
    <x v="0"/>
    <n v="85.019000000000005"/>
    <m/>
    <n v="6.18"/>
    <n v="525.41741999999999"/>
    <n v="6.18"/>
    <n v="601"/>
    <n v="7.0690081040708543"/>
  </r>
  <r>
    <s v="Ajuste M."/>
    <x v="30"/>
    <x v="9"/>
    <m/>
    <n v="345038"/>
    <m/>
    <x v="0"/>
    <n v="99.52"/>
    <m/>
    <m/>
    <n v="0"/>
    <n v="0"/>
    <n v="543"/>
    <n v="5.4561897106109329"/>
  </r>
  <r>
    <n v="160828"/>
    <x v="30"/>
    <x v="9"/>
    <s v="TATITA FERNÃO DIAS"/>
    <n v="345581"/>
    <m/>
    <x v="0"/>
    <n v="103.84"/>
    <m/>
    <n v="6.18"/>
    <n v="641.73119999999994"/>
    <n v="6.1799999999999988"/>
    <n v="543"/>
    <n v="5.2291987673343607"/>
  </r>
  <r>
    <s v="Ajuste M."/>
    <x v="30"/>
    <x v="25"/>
    <m/>
    <n v="383484"/>
    <m/>
    <x v="0"/>
    <n v="96.5"/>
    <m/>
    <m/>
    <n v="0"/>
    <n v="0"/>
    <n v="568"/>
    <n v="5.8860103626943001"/>
  </r>
  <r>
    <s v="Ajuste M."/>
    <x v="30"/>
    <x v="25"/>
    <m/>
    <n v="384048"/>
    <m/>
    <x v="0"/>
    <n v="88.21"/>
    <m/>
    <m/>
    <n v="0"/>
    <n v="0"/>
    <n v="564"/>
    <n v="6.3938328987643125"/>
  </r>
  <r>
    <s v="Ajuste M."/>
    <x v="30"/>
    <x v="25"/>
    <m/>
    <n v="384611"/>
    <m/>
    <x v="0"/>
    <n v="82.3"/>
    <m/>
    <m/>
    <n v="0"/>
    <n v="0"/>
    <n v="563"/>
    <n v="6.8408262454435"/>
  </r>
  <r>
    <n v="294278"/>
    <x v="30"/>
    <x v="25"/>
    <s v="BEIRA MINHO"/>
    <n v="385190"/>
    <m/>
    <x v="0"/>
    <n v="90.38"/>
    <n v="27.11"/>
    <n v="6.69"/>
    <n v="577.53219999999999"/>
    <n v="6.3900442575791105"/>
    <n v="579"/>
    <n v="6.4062845762336806"/>
  </r>
  <r>
    <n v="43485"/>
    <x v="30"/>
    <x v="2"/>
    <s v="ULTRAMARINO"/>
    <n v="858996"/>
    <m/>
    <x v="0"/>
    <n v="336.81"/>
    <n v="33.68"/>
    <n v="6.14"/>
    <n v="2034.3333999999998"/>
    <n v="6.0400029690329848"/>
    <n v="908"/>
    <n v="2.6958819512484782"/>
  </r>
  <r>
    <n v="227152"/>
    <x v="30"/>
    <x v="14"/>
    <s v="ULTRAMARINO"/>
    <n v="81800"/>
    <m/>
    <x v="0"/>
    <n v="574.92999999999995"/>
    <n v="57.5"/>
    <n v="6.14"/>
    <n v="3472.5701999999997"/>
    <n v="6.0399878246047347"/>
    <n v="1687"/>
    <n v="2.9342702589880512"/>
  </r>
  <r>
    <n v="43424"/>
    <x v="30"/>
    <x v="28"/>
    <s v="ULTRAMARINO"/>
    <n v="31422"/>
    <m/>
    <x v="0"/>
    <n v="75.31"/>
    <n v="7.53"/>
    <n v="6.14"/>
    <n v="454.8734"/>
    <n v="6.0400132784490772"/>
    <n v="623"/>
    <n v="8.272473775063073"/>
  </r>
  <r>
    <n v="253805"/>
    <x v="30"/>
    <x v="12"/>
    <s v="DOM PEDRO ITAPEVA"/>
    <n v="208721"/>
    <m/>
    <x v="0"/>
    <n v="90.400999999999996"/>
    <m/>
    <n v="6.09"/>
    <n v="550.54208999999992"/>
    <n v="6.089999999999999"/>
    <n v="400"/>
    <n v="4.4247298149356755"/>
  </r>
  <r>
    <n v="112278"/>
    <x v="30"/>
    <x v="29"/>
    <s v="DOM PEDRO ATIBAIA"/>
    <n v="286655"/>
    <m/>
    <x v="0"/>
    <n v="197.21"/>
    <m/>
    <n v="6.09"/>
    <n v="1201.0089"/>
    <n v="6.09"/>
    <n v="942"/>
    <n v="4.7766340449267277"/>
  </r>
  <r>
    <s v="Ajuste M."/>
    <x v="30"/>
    <x v="6"/>
    <m/>
    <n v="593002"/>
    <m/>
    <x v="0"/>
    <n v="111.2"/>
    <m/>
    <m/>
    <n v="0"/>
    <n v="0"/>
    <n v="444"/>
    <n v="3.9928057553956835"/>
  </r>
  <r>
    <n v="590621"/>
    <x v="31"/>
    <x v="6"/>
    <s v="AUTO POSTO RVM MAX"/>
    <n v="593594"/>
    <m/>
    <x v="0"/>
    <n v="124.389"/>
    <m/>
    <n v="6.19"/>
    <n v="769.96791000000007"/>
    <n v="6.19"/>
    <n v="592"/>
    <n v="4.7592632789072988"/>
  </r>
  <r>
    <n v="268071"/>
    <x v="31"/>
    <x v="7"/>
    <s v="POSTO ZÉ RAMOS"/>
    <n v="75132"/>
    <m/>
    <x v="1"/>
    <n v="12.379"/>
    <m/>
    <n v="5.09"/>
    <n v="63.009109999999993"/>
    <n v="5.09"/>
    <n v="145"/>
    <n v="11.713385572340254"/>
  </r>
  <r>
    <s v="Ajuste M."/>
    <x v="31"/>
    <x v="11"/>
    <m/>
    <n v="646026"/>
    <m/>
    <x v="0"/>
    <n v="181.56299999999999"/>
    <m/>
    <m/>
    <n v="0"/>
    <n v="0"/>
    <n v="747"/>
    <n v="4.1142743840980822"/>
  </r>
  <r>
    <n v="161056"/>
    <x v="31"/>
    <x v="11"/>
    <s v="TATITA FERNÃO DIAS"/>
    <n v="646773"/>
    <m/>
    <x v="0"/>
    <n v="182.62899999999999"/>
    <m/>
    <n v="5.99"/>
    <n v="1093.9477099999999"/>
    <n v="5.99"/>
    <n v="747"/>
    <n v="4.0902594878140937"/>
  </r>
  <r>
    <n v="161162"/>
    <x v="31"/>
    <x v="17"/>
    <s v="TATITA FERNÃO DIAS"/>
    <n v="178037"/>
    <m/>
    <x v="0"/>
    <n v="186.91"/>
    <m/>
    <n v="6.09"/>
    <n v="1138.2819"/>
    <n v="6.09"/>
    <n v="386"/>
    <n v="2.0651650526991601"/>
  </r>
  <r>
    <n v="295470"/>
    <x v="31"/>
    <x v="24"/>
    <s v="BEIRA MINHO"/>
    <n v="78307"/>
    <m/>
    <x v="0"/>
    <n v="104.81"/>
    <m/>
    <n v="6.69"/>
    <n v="701.17890000000011"/>
    <n v="6.6900000000000013"/>
    <n v="547"/>
    <n v="5.2189676557580382"/>
  </r>
  <r>
    <n v="295526"/>
    <x v="31"/>
    <x v="22"/>
    <s v="BEIRA MINHO"/>
    <n v="127335"/>
    <m/>
    <x v="0"/>
    <n v="154.31"/>
    <n v="46.29"/>
    <n v="6.69"/>
    <n v="986.04390000000012"/>
    <n v="6.3900194413842275"/>
    <n v="717"/>
    <n v="4.6464908301471066"/>
  </r>
  <r>
    <n v="436272"/>
    <x v="31"/>
    <x v="29"/>
    <s v="DOM PEDRO ITATIAIUÇU"/>
    <n v="287675"/>
    <m/>
    <x v="0"/>
    <n v="180"/>
    <m/>
    <n v="5.99"/>
    <n v="1078.2"/>
    <n v="5.99"/>
    <n v="1020"/>
    <n v="5.666666666666667"/>
  </r>
  <r>
    <n v="254119"/>
    <x v="31"/>
    <x v="18"/>
    <s v="DOM PEDRO ITAPEVA"/>
    <n v="652459"/>
    <m/>
    <x v="0"/>
    <n v="115.4"/>
    <m/>
    <n v="6.09"/>
    <n v="702.78600000000006"/>
    <n v="6.09"/>
    <n v="452"/>
    <n v="3.9168110918544192"/>
  </r>
  <r>
    <n v="560570"/>
    <x v="31"/>
    <x v="10"/>
    <s v="DOM PEDRO POUSO ALEGRE"/>
    <n v="228587"/>
    <m/>
    <x v="0"/>
    <n v="68.633099999999999"/>
    <m/>
    <n v="6.09"/>
    <n v="417.97557899999998"/>
    <n v="6.09"/>
    <n v="546"/>
    <n v="7.9553451614454254"/>
  </r>
  <r>
    <n v="560968"/>
    <x v="31"/>
    <x v="5"/>
    <s v="DOM PEDRO POUSO ALEGRE"/>
    <n v="588690"/>
    <m/>
    <x v="0"/>
    <n v="110"/>
    <m/>
    <n v="5.99"/>
    <n v="658.9"/>
    <n v="5.99"/>
    <n v="437"/>
    <n v="3.9727272727272727"/>
  </r>
  <r>
    <n v="512500"/>
    <x v="31"/>
    <x v="21"/>
    <s v="COMBO AUTO POSTO"/>
    <n v="124660"/>
    <m/>
    <x v="1"/>
    <n v="51.441000000000003"/>
    <m/>
    <n v="5.22"/>
    <n v="268.52202"/>
    <n v="5.22"/>
    <n v="528"/>
    <n v="10.264186155012538"/>
  </r>
  <r>
    <n v="591184"/>
    <x v="32"/>
    <x v="28"/>
    <s v="AUTO POSTO RVM MAX"/>
    <n v="32031"/>
    <m/>
    <x v="0"/>
    <n v="69.721000000000004"/>
    <m/>
    <n v="6.19"/>
    <n v="431.57299000000006"/>
    <n v="6.19"/>
    <n v="609"/>
    <n v="8.7348144748354155"/>
  </r>
  <r>
    <n v="161362"/>
    <x v="32"/>
    <x v="13"/>
    <s v="TATITA FERNÃO DIAS"/>
    <n v="103755"/>
    <m/>
    <x v="0"/>
    <n v="42.048999999999999"/>
    <m/>
    <n v="6.09"/>
    <n v="256.07840999999996"/>
    <n v="6.089999999999999"/>
    <n v="276"/>
    <n v="6.5637708387833245"/>
  </r>
  <r>
    <n v="161280"/>
    <x v="32"/>
    <x v="0"/>
    <s v="TATITA FERNÃO DIAS"/>
    <n v="370572"/>
    <m/>
    <x v="0"/>
    <n v="46.149000000000001"/>
    <m/>
    <n v="6.09"/>
    <n v="281.04741000000001"/>
    <n v="6.09"/>
    <n v="319"/>
    <n v="6.9123924678757938"/>
  </r>
  <r>
    <s v="Ajuste M."/>
    <x v="32"/>
    <x v="16"/>
    <m/>
    <n v="336168"/>
    <m/>
    <x v="0"/>
    <n v="206.3"/>
    <m/>
    <m/>
    <n v="0"/>
    <n v="0"/>
    <n v="906"/>
    <n v="4.3916626272418808"/>
  </r>
  <r>
    <n v="296187"/>
    <x v="32"/>
    <x v="16"/>
    <s v="BEIRA MINHO"/>
    <n v="337138"/>
    <m/>
    <x v="0"/>
    <n v="192.34"/>
    <n v="57.7"/>
    <n v="6.69"/>
    <n v="1229.0546000000002"/>
    <n v="6.3900103982530938"/>
    <n v="970"/>
    <n v="5.043152750337943"/>
  </r>
  <r>
    <n v="52538"/>
    <x v="32"/>
    <x v="12"/>
    <s v="DOM PEDRO ITATIAIUÇU"/>
    <n v="209270"/>
    <m/>
    <x v="0"/>
    <n v="120.35"/>
    <m/>
    <n v="5.99"/>
    <n v="720.89649999999995"/>
    <n v="5.99"/>
    <n v="549"/>
    <n v="4.5616950560864149"/>
  </r>
  <r>
    <s v="Ajuste M."/>
    <x v="33"/>
    <x v="23"/>
    <m/>
    <n v="282519"/>
    <m/>
    <x v="1"/>
    <n v="41.5"/>
    <m/>
    <m/>
    <n v="0"/>
    <n v="0"/>
    <n v="627"/>
    <n v="15.108433734939759"/>
  </r>
  <r>
    <s v="Ajuste M."/>
    <x v="29"/>
    <x v="23"/>
    <m/>
    <n v="282981"/>
    <m/>
    <x v="1"/>
    <n v="38"/>
    <m/>
    <m/>
    <n v="0"/>
    <n v="0"/>
    <n v="462"/>
    <n v="12.157894736842104"/>
  </r>
  <r>
    <s v="Ajuste M."/>
    <x v="30"/>
    <x v="23"/>
    <m/>
    <n v="283446"/>
    <m/>
    <x v="1"/>
    <n v="39.520000000000003"/>
    <m/>
    <m/>
    <n v="0"/>
    <n v="0"/>
    <n v="465"/>
    <n v="11.766194331983804"/>
  </r>
  <r>
    <n v="161564"/>
    <x v="34"/>
    <x v="23"/>
    <s v="TATITA FERNÃO DIAS"/>
    <n v="283770"/>
    <m/>
    <x v="1"/>
    <n v="28.029"/>
    <m/>
    <n v="5.09"/>
    <n v="142.66761"/>
    <n v="5.09"/>
    <n v="324"/>
    <n v="11.55945627742695"/>
  </r>
  <r>
    <n v="161442"/>
    <x v="34"/>
    <x v="0"/>
    <s v="TATITA FERNÃO DIAS"/>
    <n v="370872"/>
    <m/>
    <x v="0"/>
    <n v="40.290999999999997"/>
    <m/>
    <n v="6.09"/>
    <n v="245.37218999999996"/>
    <n v="6.09"/>
    <n v="300"/>
    <n v="7.4458315752897679"/>
  </r>
  <r>
    <n v="161419"/>
    <x v="34"/>
    <x v="12"/>
    <s v="TATITA FERNÃO DIAS"/>
    <n v="209630"/>
    <m/>
    <x v="0"/>
    <n v="75.680000000000007"/>
    <m/>
    <n v="6.09"/>
    <n v="460.89120000000003"/>
    <n v="6.09"/>
    <n v="360"/>
    <n v="4.7568710359408026"/>
  </r>
  <r>
    <s v="Ajuste M."/>
    <x v="34"/>
    <x v="1"/>
    <m/>
    <n v="316732"/>
    <m/>
    <x v="0"/>
    <n v="136.4"/>
    <m/>
    <m/>
    <n v="0"/>
    <n v="0"/>
    <n v="587"/>
    <n v="4.3035190615835779"/>
  </r>
  <r>
    <n v="297159"/>
    <x v="34"/>
    <x v="1"/>
    <s v="BEIRA MINHO"/>
    <n v="317320"/>
    <m/>
    <x v="0"/>
    <n v="135.04"/>
    <n v="40.51"/>
    <n v="6.39"/>
    <n v="822.39559999999994"/>
    <n v="6.0900148104265401"/>
    <n v="588"/>
    <n v="4.3542654028436019"/>
  </r>
  <r>
    <n v="45047"/>
    <x v="34"/>
    <x v="2"/>
    <s v="ULTRAMARINO"/>
    <n v="860021"/>
    <m/>
    <x v="0"/>
    <n v="516.29"/>
    <n v="51.63"/>
    <n v="5.87"/>
    <n v="2978.9922999999999"/>
    <n v="5.7699980631040697"/>
    <n v="1025"/>
    <n v="1.9853183288461913"/>
  </r>
  <r>
    <s v="Ajuste M."/>
    <x v="32"/>
    <x v="7"/>
    <m/>
    <n v="75789"/>
    <m/>
    <x v="1"/>
    <n v="42"/>
    <m/>
    <m/>
    <n v="0"/>
    <n v="0"/>
    <n v="657"/>
    <n v="15.642857142857142"/>
  </r>
  <r>
    <n v="44793"/>
    <x v="34"/>
    <x v="7"/>
    <s v="ULTRAMARINO"/>
    <n v="76376"/>
    <m/>
    <x v="1"/>
    <n v="36.72"/>
    <m/>
    <n v="4.99"/>
    <n v="183.2328"/>
    <n v="4.99"/>
    <n v="587"/>
    <n v="15.985838779956428"/>
  </r>
  <r>
    <n v="372692"/>
    <x v="34"/>
    <x v="6"/>
    <s v="DOM PEDRO ESTIVA"/>
    <n v="594394"/>
    <m/>
    <x v="0"/>
    <n v="135"/>
    <m/>
    <n v="5.89"/>
    <n v="795.15"/>
    <n v="5.89"/>
    <n v="800"/>
    <n v="5.9259259259259256"/>
  </r>
  <r>
    <n v="117207"/>
    <x v="34"/>
    <x v="8"/>
    <s v="DOM PEDRO ATIBAIA"/>
    <n v="916876"/>
    <m/>
    <x v="0"/>
    <n v="565"/>
    <m/>
    <n v="5.89"/>
    <n v="3327.85"/>
    <n v="5.89"/>
    <n v="1572"/>
    <n v="2.782300884955752"/>
  </r>
  <r>
    <n v="561985"/>
    <x v="34"/>
    <x v="29"/>
    <s v="DOM PEDRO POUSO ALEGRE"/>
    <n v="288861"/>
    <m/>
    <x v="0"/>
    <n v="191.52"/>
    <m/>
    <n v="5.89"/>
    <n v="1128.0527999999999"/>
    <n v="5.89"/>
    <n v="1186"/>
    <n v="6.1925647451963242"/>
  </r>
  <r>
    <n v="513056"/>
    <x v="34"/>
    <x v="31"/>
    <s v="COMBO AUTO POSTO"/>
    <n v="294574"/>
    <m/>
    <x v="0"/>
    <n v="82.751000000000005"/>
    <m/>
    <n v="6.58"/>
    <n v="544.50157999999999"/>
    <n v="6.5799999999999992"/>
    <m/>
    <m/>
  </r>
  <r>
    <n v="111392"/>
    <x v="35"/>
    <x v="8"/>
    <s v="DOM PEDRO ATIBAIA"/>
    <n v="918286"/>
    <m/>
    <x v="0"/>
    <n v="508"/>
    <m/>
    <n v="6.09"/>
    <n v="3093.72"/>
    <n v="6.09"/>
    <n v="1410"/>
    <n v="2.7755905511811023"/>
  </r>
  <r>
    <n v="46330"/>
    <x v="36"/>
    <x v="5"/>
    <s v="ULTRAMARINO"/>
    <n v="589260"/>
    <m/>
    <x v="0"/>
    <n v="144.81"/>
    <n v="14.48"/>
    <n v="5.87"/>
    <n v="835.55470000000003"/>
    <n v="5.7700069056004422"/>
    <n v="570"/>
    <n v="3.936192251916304"/>
  </r>
  <r>
    <n v="145497"/>
    <x v="36"/>
    <x v="0"/>
    <s v="DOM PEDRO CAMBUÍ"/>
    <n v="371260"/>
    <m/>
    <x v="0"/>
    <n v="51.03"/>
    <m/>
    <n v="5.79"/>
    <n v="295.46370000000002"/>
    <n v="5.79"/>
    <n v="388"/>
    <n v="7.6033705663335294"/>
  </r>
  <r>
    <n v="161988"/>
    <x v="37"/>
    <x v="9"/>
    <s v="TATITA FERNÃO DIAS"/>
    <n v="346168"/>
    <m/>
    <x v="0"/>
    <n v="112.3"/>
    <m/>
    <n v="6.09"/>
    <n v="683.90699999999993"/>
    <n v="6.09"/>
    <n v="587"/>
    <n v="5.2270703472840605"/>
  </r>
  <r>
    <n v="161991"/>
    <x v="37"/>
    <x v="12"/>
    <s v="TATITA FERNÃO DIAS"/>
    <n v="210111"/>
    <m/>
    <x v="0"/>
    <n v="98.53"/>
    <m/>
    <n v="6.09"/>
    <n v="600.04769999999996"/>
    <n v="6.09"/>
    <n v="481"/>
    <n v="4.8817618999289554"/>
  </r>
  <r>
    <n v="46376"/>
    <x v="37"/>
    <x v="28"/>
    <s v="ULTRAMARINO"/>
    <n v="32665"/>
    <m/>
    <x v="0"/>
    <n v="72.58"/>
    <n v="7.26"/>
    <n v="5.87"/>
    <n v="418.78460000000001"/>
    <n v="5.7699724441995039"/>
    <n v="634"/>
    <n v="8.7351887572333986"/>
  </r>
  <r>
    <n v="46543"/>
    <x v="37"/>
    <x v="7"/>
    <s v="ULTRAMARINO"/>
    <n v="76898"/>
    <m/>
    <x v="1"/>
    <n v="44.55"/>
    <m/>
    <n v="4.99"/>
    <n v="222.30449999999999"/>
    <n v="4.99"/>
    <n v="522"/>
    <n v="11.717171717171718"/>
  </r>
  <r>
    <n v="300176"/>
    <x v="38"/>
    <x v="18"/>
    <s v="BEIRA MINHO"/>
    <n v="653061"/>
    <m/>
    <x v="0"/>
    <n v="153.88"/>
    <n v="46.16"/>
    <n v="6.39"/>
    <n v="937.13319999999999"/>
    <n v="6.090025994281258"/>
    <n v="602"/>
    <n v="3.9121393293475437"/>
  </r>
  <r>
    <n v="299779"/>
    <x v="38"/>
    <x v="11"/>
    <s v="BEIRA MINHO"/>
    <n v="647347"/>
    <m/>
    <x v="0"/>
    <n v="126.64"/>
    <n v="37.99"/>
    <n v="6.39"/>
    <n v="771.2396"/>
    <n v="6.0900157927984839"/>
    <n v="574"/>
    <n v="4.5325331648768161"/>
  </r>
  <r>
    <n v="46961"/>
    <x v="38"/>
    <x v="28"/>
    <s v="ULTRAMARINO"/>
    <n v="33302"/>
    <m/>
    <x v="0"/>
    <n v="67.960999999999999"/>
    <n v="6.8"/>
    <n v="5.87"/>
    <n v="392.13106999999997"/>
    <n v="5.7699426141463483"/>
    <n v="637"/>
    <n v="9.3730227630552818"/>
  </r>
  <r>
    <n v="47186"/>
    <x v="38"/>
    <x v="14"/>
    <s v="ULTRAMARINO"/>
    <n v="83448"/>
    <m/>
    <x v="0"/>
    <n v="562.18100000000004"/>
    <n v="56.22"/>
    <n v="5.87"/>
    <n v="3243.7824700000006"/>
    <n v="5.7699966203055606"/>
    <n v="1648"/>
    <n v="2.9314402301038274"/>
  </r>
  <r>
    <n v="221628"/>
    <x v="38"/>
    <x v="6"/>
    <s v="DOM PEDRO DE LEME"/>
    <n v="595135"/>
    <m/>
    <x v="0"/>
    <n v="161.75700000000001"/>
    <m/>
    <n v="5.69"/>
    <n v="920.39733000000012"/>
    <n v="5.69"/>
    <n v="741"/>
    <n v="4.5809454923125426"/>
  </r>
  <r>
    <n v="513863"/>
    <x v="38"/>
    <x v="31"/>
    <s v="COMBO AUTO POSTO"/>
    <n v="295145"/>
    <m/>
    <x v="0"/>
    <n v="73.709999999999994"/>
    <m/>
    <n v="6.58"/>
    <n v="485.01179999999994"/>
    <n v="6.58"/>
    <n v="571"/>
    <n v="7.7465744132410803"/>
  </r>
  <r>
    <n v="162456"/>
    <x v="39"/>
    <x v="9"/>
    <s v="TATITA FERNÃO DIAS"/>
    <n v="346547"/>
    <m/>
    <x v="0"/>
    <n v="69.820999999999998"/>
    <m/>
    <n v="5.69"/>
    <n v="397.28149000000002"/>
    <n v="5.69"/>
    <n v="379"/>
    <n v="5.4281663109952598"/>
  </r>
  <r>
    <n v="301089"/>
    <x v="39"/>
    <x v="5"/>
    <s v="BEIRA MINHO"/>
    <n v="589813"/>
    <m/>
    <x v="0"/>
    <n v="135"/>
    <n v="40.5"/>
    <n v="6.39"/>
    <n v="822.15"/>
    <n v="6.09"/>
    <n v="553"/>
    <n v="4.0962962962962965"/>
  </r>
  <r>
    <s v="Ajuste M."/>
    <x v="39"/>
    <x v="0"/>
    <m/>
    <n v="371645"/>
    <m/>
    <x v="0"/>
    <n v="46.3"/>
    <m/>
    <m/>
    <n v="0"/>
    <n v="0"/>
    <n v="385"/>
    <n v="8.3153347732181437"/>
  </r>
  <r>
    <s v="Ajuste M."/>
    <x v="39"/>
    <x v="0"/>
    <m/>
    <n v="372019"/>
    <m/>
    <x v="0"/>
    <n v="45.6"/>
    <m/>
    <m/>
    <n v="0"/>
    <n v="0"/>
    <n v="374"/>
    <n v="8.2017543859649127"/>
  </r>
  <r>
    <s v="Ajuste M."/>
    <x v="39"/>
    <x v="0"/>
    <m/>
    <n v="372400"/>
    <m/>
    <x v="0"/>
    <n v="43.6"/>
    <m/>
    <m/>
    <n v="0"/>
    <n v="0"/>
    <n v="381"/>
    <n v="8.738532110091743"/>
  </r>
  <r>
    <s v="Ajuste M."/>
    <x v="39"/>
    <x v="0"/>
    <m/>
    <n v="372782"/>
    <m/>
    <x v="0"/>
    <n v="43.6"/>
    <m/>
    <m/>
    <n v="0"/>
    <n v="0"/>
    <n v="382"/>
    <n v="8.761467889908257"/>
  </r>
  <r>
    <n v="300578"/>
    <x v="39"/>
    <x v="0"/>
    <s v="BEIRA MINHO"/>
    <n v="373185"/>
    <m/>
    <x v="0"/>
    <n v="44.34"/>
    <n v="13.3"/>
    <n v="6.39"/>
    <n v="270.0326"/>
    <n v="6.0900451059990974"/>
    <n v="403"/>
    <n v="9.0888588182228229"/>
  </r>
  <r>
    <n v="301092"/>
    <x v="39"/>
    <x v="12"/>
    <s v="BEIRA MINHO"/>
    <n v="210720"/>
    <m/>
    <x v="0"/>
    <n v="145.65"/>
    <n v="43.69"/>
    <n v="6.39"/>
    <n v="887.01350000000002"/>
    <n v="6.0900343288705798"/>
    <n v="609"/>
    <n v="4.1812564366632339"/>
  </r>
  <r>
    <n v="301099"/>
    <x v="39"/>
    <x v="16"/>
    <s v="BEIRA MINHO"/>
    <n v="337797"/>
    <m/>
    <x v="0"/>
    <n v="178.72"/>
    <n v="53.62"/>
    <n v="6.39"/>
    <n v="1088.4008000000001"/>
    <n v="6.0899776186213082"/>
    <n v="659"/>
    <n v="3.6873321396598029"/>
  </r>
  <r>
    <n v="47437"/>
    <x v="39"/>
    <x v="2"/>
    <s v="ULTRAMARINO"/>
    <n v="861040"/>
    <m/>
    <x v="0"/>
    <n v="313.101"/>
    <n v="31.31"/>
    <n v="5.87"/>
    <n v="1806.5928700000002"/>
    <n v="5.7700003193857583"/>
    <n v="1019"/>
    <n v="3.254540867004577"/>
  </r>
  <r>
    <n v="47533"/>
    <x v="39"/>
    <x v="28"/>
    <s v="ULTRAMARINO"/>
    <n v="33882"/>
    <m/>
    <x v="0"/>
    <n v="68.28"/>
    <n v="6.83"/>
    <n v="5.87"/>
    <n v="393.97360000000003"/>
    <n v="5.7699707088459293"/>
    <n v="580"/>
    <n v="8.494434680726421"/>
  </r>
  <r>
    <n v="120352"/>
    <x v="39"/>
    <x v="4"/>
    <s v="DOM PEDRO ATIBAIA"/>
    <n v="871940"/>
    <m/>
    <x v="0"/>
    <n v="31"/>
    <m/>
    <n v="5.59"/>
    <n v="173.29"/>
    <n v="5.59"/>
    <n v="98"/>
    <n v="3.161290322580645"/>
  </r>
  <r>
    <n v="597364"/>
    <x v="40"/>
    <x v="28"/>
    <s v="AUTO POSTO RVM MAX"/>
    <n v="34457"/>
    <m/>
    <x v="0"/>
    <n v="68"/>
    <m/>
    <n v="5.85"/>
    <n v="397.79999999999995"/>
    <n v="5.85"/>
    <n v="575"/>
    <n v="8.4558823529411757"/>
  </r>
  <r>
    <n v="270914"/>
    <x v="40"/>
    <x v="11"/>
    <s v="POSTO ZÉ RAMOS"/>
    <n v="648133"/>
    <m/>
    <x v="0"/>
    <n v="179.58"/>
    <m/>
    <n v="5.79"/>
    <n v="1039.7682"/>
    <n v="5.7899999999999991"/>
    <n v="786"/>
    <n v="4.3768793852322085"/>
  </r>
  <r>
    <s v="Ajuste M."/>
    <x v="40"/>
    <x v="10"/>
    <m/>
    <n v="228979"/>
    <m/>
    <x v="0"/>
    <n v="51.24"/>
    <m/>
    <m/>
    <n v="0"/>
    <n v="0"/>
    <n v="392"/>
    <n v="7.6502732240437155"/>
  </r>
  <r>
    <s v="Ajuste M."/>
    <x v="40"/>
    <x v="10"/>
    <m/>
    <n v="229379"/>
    <m/>
    <x v="0"/>
    <n v="52.3"/>
    <m/>
    <m/>
    <n v="0"/>
    <n v="0"/>
    <n v="400"/>
    <n v="7.6481835564053542"/>
  </r>
  <r>
    <s v="Ajuste M."/>
    <x v="40"/>
    <x v="10"/>
    <m/>
    <n v="229700"/>
    <m/>
    <x v="0"/>
    <n v="38.630000000000003"/>
    <m/>
    <m/>
    <n v="0"/>
    <n v="0"/>
    <n v="321"/>
    <n v="8.3096039347657253"/>
  </r>
  <r>
    <s v="Ajuste M."/>
    <x v="40"/>
    <x v="10"/>
    <m/>
    <n v="230003"/>
    <m/>
    <x v="0"/>
    <n v="39.5"/>
    <m/>
    <m/>
    <n v="0"/>
    <n v="0"/>
    <n v="303"/>
    <n v="7.6708860759493671"/>
  </r>
  <r>
    <n v="162508"/>
    <x v="40"/>
    <x v="10"/>
    <s v="TATITA FERNÃO DIAS"/>
    <n v="230547"/>
    <m/>
    <x v="0"/>
    <n v="74.918999999999997"/>
    <m/>
    <n v="5.69"/>
    <n v="426.28910999999999"/>
    <n v="5.69"/>
    <n v="544"/>
    <n v="7.2611754027683233"/>
  </r>
  <r>
    <n v="302025"/>
    <x v="40"/>
    <x v="24"/>
    <s v="BEIRA MINHO"/>
    <n v="78881"/>
    <m/>
    <x v="0"/>
    <n v="75.89"/>
    <n v="22.77"/>
    <n v="6.39"/>
    <n v="462.1671"/>
    <n v="6.0899604691000135"/>
    <n v="574"/>
    <n v="7.563578864145474"/>
  </r>
  <r>
    <n v="48109"/>
    <x v="40"/>
    <x v="8"/>
    <s v="ULTRAMARINO"/>
    <n v="918386"/>
    <m/>
    <x v="0"/>
    <n v="34.6"/>
    <n v="50.51"/>
    <n v="5.87"/>
    <n v="152.59200000000001"/>
    <n v="4.4101734104046244"/>
    <n v="100"/>
    <n v="2.8901734104046239"/>
  </r>
  <r>
    <n v="255691"/>
    <x v="40"/>
    <x v="18"/>
    <s v="DOM PEDRO ITAPEVA"/>
    <n v="653700"/>
    <m/>
    <x v="0"/>
    <n v="151.16999999999999"/>
    <m/>
    <n v="5.69"/>
    <n v="860.15729999999996"/>
    <n v="5.69"/>
    <n v="639"/>
    <n v="4.2270291724548521"/>
  </r>
  <r>
    <n v="446844"/>
    <x v="40"/>
    <x v="10"/>
    <s v="DOM PEDRO CAMBUÍ"/>
    <n v="231024"/>
    <m/>
    <x v="0"/>
    <n v="62.73"/>
    <m/>
    <n v="5.59"/>
    <n v="350.66069999999996"/>
    <n v="5.59"/>
    <n v="477"/>
    <n v="7.6040172166427551"/>
  </r>
  <r>
    <n v="146788"/>
    <x v="40"/>
    <x v="23"/>
    <s v="DOM PEDRO CAMBUÍ"/>
    <n v="283848"/>
    <m/>
    <x v="1"/>
    <n v="6.8"/>
    <m/>
    <n v="4.99"/>
    <n v="33.932000000000002"/>
    <n v="4.99"/>
    <n v="78"/>
    <n v="11.470588235294118"/>
  </r>
  <r>
    <n v="514330"/>
    <x v="40"/>
    <x v="31"/>
    <s v="COMBO AUTO POSTO"/>
    <n v="295692"/>
    <m/>
    <x v="0"/>
    <n v="65.52"/>
    <m/>
    <n v="6.58"/>
    <n v="431.1216"/>
    <n v="6.58"/>
    <n v="547"/>
    <n v="8.3485958485958491"/>
  </r>
  <r>
    <s v="Ajuste M."/>
    <x v="40"/>
    <x v="13"/>
    <m/>
    <n v="104167"/>
    <m/>
    <x v="0"/>
    <n v="42.5"/>
    <m/>
    <m/>
    <n v="0"/>
    <n v="0"/>
    <n v="412"/>
    <n v="9.6941176470588228"/>
  </r>
  <r>
    <s v="Ajuste M."/>
    <x v="40"/>
    <x v="13"/>
    <m/>
    <n v="104602"/>
    <m/>
    <x v="0"/>
    <n v="65"/>
    <m/>
    <m/>
    <n v="0"/>
    <n v="0"/>
    <n v="435"/>
    <n v="6.6923076923076925"/>
  </r>
  <r>
    <s v="Ajuste M."/>
    <x v="40"/>
    <x v="13"/>
    <m/>
    <n v="104808"/>
    <m/>
    <x v="0"/>
    <n v="24.36"/>
    <m/>
    <m/>
    <n v="0"/>
    <n v="0"/>
    <n v="206"/>
    <n v="8.4564860426929389"/>
  </r>
  <r>
    <n v="162750"/>
    <x v="41"/>
    <x v="13"/>
    <s v="TATITA FERNÃO DIAS"/>
    <n v="105034"/>
    <m/>
    <x v="0"/>
    <n v="32.49"/>
    <m/>
    <n v="5.69"/>
    <n v="184.86810000000003"/>
    <n v="5.69"/>
    <n v="226"/>
    <n v="6.9559864573714982"/>
  </r>
  <r>
    <n v="162934"/>
    <x v="41"/>
    <x v="23"/>
    <s v="TATITA FERNÃO DIAS"/>
    <n v="284187"/>
    <m/>
    <x v="1"/>
    <n v="37.08"/>
    <m/>
    <n v="4.99"/>
    <n v="185.0292"/>
    <n v="4.99"/>
    <n v="339"/>
    <n v="9.142394822006473"/>
  </r>
  <r>
    <n v="302950"/>
    <x v="41"/>
    <x v="5"/>
    <s v="BEIRA MINHO"/>
    <n v="590258"/>
    <m/>
    <x v="0"/>
    <n v="118"/>
    <n v="35.4"/>
    <n v="6.39"/>
    <n v="718.62"/>
    <n v="6.09"/>
    <n v="445"/>
    <n v="3.7711864406779663"/>
  </r>
  <r>
    <n v="565208"/>
    <x v="41"/>
    <x v="13"/>
    <s v="DOM PEDRO POUSO ALEGRE"/>
    <n v="105264"/>
    <m/>
    <x v="0"/>
    <n v="33.35"/>
    <m/>
    <n v="5.69"/>
    <n v="189.76150000000001"/>
    <n v="5.69"/>
    <n v="230"/>
    <n v="6.8965517241379306"/>
  </r>
  <r>
    <n v="122038"/>
    <x v="41"/>
    <x v="0"/>
    <s v="DOM PEDRO ATIBAIA"/>
    <n v="373404"/>
    <m/>
    <x v="0"/>
    <n v="25.6"/>
    <m/>
    <n v="5.69"/>
    <n v="145.66400000000002"/>
    <n v="5.69"/>
    <n v="219"/>
    <n v="8.5546875"/>
  </r>
  <r>
    <n v="255910"/>
    <x v="41"/>
    <x v="12"/>
    <s v="DOM PEDRO ITAPEVA"/>
    <n v="211358"/>
    <m/>
    <x v="0"/>
    <n v="139.59"/>
    <m/>
    <n v="5.69"/>
    <n v="794.26710000000003"/>
    <n v="5.69"/>
    <n v="638"/>
    <n v="4.5705279747832934"/>
  </r>
  <r>
    <n v="514683"/>
    <x v="41"/>
    <x v="15"/>
    <s v="COMBO AUTO POSTO"/>
    <n v="289969"/>
    <m/>
    <x v="0"/>
    <n v="101.941"/>
    <m/>
    <n v="6.58"/>
    <n v="670.77178000000004"/>
    <n v="6.58"/>
    <n v="476"/>
    <n v="4.6693675753622195"/>
  </r>
  <r>
    <n v="163497"/>
    <x v="42"/>
    <x v="2"/>
    <s v="TATITA FERNÃO DIAS"/>
    <n v="862174"/>
    <m/>
    <x v="0"/>
    <n v="453.1"/>
    <m/>
    <n v="5.69"/>
    <n v="2578.1390000000001"/>
    <n v="5.69"/>
    <n v="1134"/>
    <n v="2.5027587728978151"/>
  </r>
  <r>
    <s v="Ajuste M."/>
    <x v="42"/>
    <x v="26"/>
    <m/>
    <n v="703022"/>
    <m/>
    <x v="0"/>
    <n v="146.58000000000001"/>
    <m/>
    <m/>
    <n v="0"/>
    <n v="0"/>
    <n v="515"/>
    <n v="3.5134397598580978"/>
  </r>
  <r>
    <s v="Ajuste M."/>
    <x v="42"/>
    <x v="26"/>
    <m/>
    <n v="703530"/>
    <m/>
    <x v="0"/>
    <n v="141.19999999999999"/>
    <m/>
    <m/>
    <n v="0"/>
    <n v="0"/>
    <n v="508"/>
    <n v="3.5977337110481589"/>
  </r>
  <r>
    <s v="Ajuste M."/>
    <x v="42"/>
    <x v="26"/>
    <m/>
    <n v="704041"/>
    <m/>
    <x v="0"/>
    <n v="135.30000000000001"/>
    <m/>
    <m/>
    <n v="0"/>
    <n v="0"/>
    <n v="511"/>
    <n v="3.7767923133776788"/>
  </r>
  <r>
    <s v="Ajuste M."/>
    <x v="42"/>
    <x v="26"/>
    <m/>
    <n v="704401"/>
    <m/>
    <x v="0"/>
    <n v="105.3"/>
    <m/>
    <m/>
    <n v="0"/>
    <n v="0"/>
    <n v="360"/>
    <n v="3.4188034188034191"/>
  </r>
  <r>
    <n v="163466"/>
    <x v="42"/>
    <x v="26"/>
    <s v="TATITA FERNÃO DIAS"/>
    <n v="705082"/>
    <m/>
    <x v="0"/>
    <n v="211.11099999999999"/>
    <m/>
    <n v="5.69"/>
    <n v="1201.2215900000001"/>
    <n v="5.69"/>
    <n v="681"/>
    <n v="3.2257911714690377"/>
  </r>
  <r>
    <s v="Ajuste M."/>
    <x v="25"/>
    <x v="19"/>
    <m/>
    <n v="217264"/>
    <m/>
    <x v="1"/>
    <n v="39.799999999999997"/>
    <m/>
    <m/>
    <n v="0"/>
    <n v="0"/>
    <n v="451"/>
    <n v="11.331658291457288"/>
  </r>
  <r>
    <n v="163469"/>
    <x v="42"/>
    <x v="19"/>
    <s v="TATITA FERNÃO DIAS"/>
    <n v="217715"/>
    <m/>
    <x v="1"/>
    <n v="20.04"/>
    <m/>
    <n v="4.99"/>
    <n v="99.999600000000001"/>
    <n v="4.99"/>
    <n v="451"/>
    <n v="11.25249500998004"/>
  </r>
  <r>
    <n v="191510"/>
    <x v="42"/>
    <x v="7"/>
    <s v="FRANGO ASSADO ATIBAIA"/>
    <n v="77338"/>
    <m/>
    <x v="1"/>
    <n v="35.286999999999999"/>
    <m/>
    <n v="5.09"/>
    <n v="179.61082999999999"/>
    <n v="5.09"/>
    <n v="440"/>
    <n v="12.469181284892453"/>
  </r>
  <r>
    <n v="50558"/>
    <x v="43"/>
    <x v="13"/>
    <s v="ULTRAMARINO"/>
    <n v="105523"/>
    <m/>
    <x v="0"/>
    <n v="30.870999999999999"/>
    <n v="3.09"/>
    <n v="5.87"/>
    <n v="178.12277"/>
    <n v="5.769906060704221"/>
    <n v="259"/>
    <n v="8.3897508989018821"/>
  </r>
  <r>
    <s v="Ajuste M."/>
    <x v="43"/>
    <x v="9"/>
    <m/>
    <n v="347356"/>
    <m/>
    <x v="0"/>
    <n v="123.32"/>
    <m/>
    <m/>
    <n v="0"/>
    <n v="0"/>
    <n v="809"/>
    <n v="6.5601686668829062"/>
  </r>
  <r>
    <n v="163900"/>
    <x v="44"/>
    <x v="9"/>
    <s v="TATITA FERNÃO DIAS"/>
    <n v="348103"/>
    <m/>
    <x v="0"/>
    <n v="128.41999999999999"/>
    <m/>
    <n v="5.69"/>
    <n v="730.70979999999997"/>
    <n v="5.69"/>
    <n v="747"/>
    <n v="5.8168509577947365"/>
  </r>
  <r>
    <n v="602118"/>
    <x v="44"/>
    <x v="9"/>
    <s v="AUTO POSTO RVM MAX"/>
    <n v="348605"/>
    <m/>
    <x v="0"/>
    <n v="91.308999999999997"/>
    <m/>
    <n v="5.85"/>
    <n v="534.15764999999999"/>
    <n v="5.85"/>
    <n v="502"/>
    <n v="5.4978151113252807"/>
  </r>
  <r>
    <n v="601534"/>
    <x v="44"/>
    <x v="28"/>
    <s v="AUTO POSTO RVM MAX"/>
    <n v="34855"/>
    <m/>
    <x v="0"/>
    <n v="51.179000000000002"/>
    <m/>
    <n v="5.85"/>
    <n v="299.39715000000001"/>
    <n v="5.85"/>
    <n v="398"/>
    <n v="7.7766271322221998"/>
  </r>
  <r>
    <s v="Ajuste M."/>
    <x v="44"/>
    <x v="22"/>
    <m/>
    <n v="128101"/>
    <m/>
    <x v="0"/>
    <n v="183"/>
    <m/>
    <m/>
    <n v="0"/>
    <n v="0"/>
    <n v="766"/>
    <n v="4.1857923497267757"/>
  </r>
  <r>
    <n v="164040"/>
    <x v="44"/>
    <x v="22"/>
    <s v="TATITA FERNÃO DIAS"/>
    <n v="128575"/>
    <m/>
    <x v="0"/>
    <n v="150.81"/>
    <m/>
    <n v="5.69"/>
    <n v="858.10890000000006"/>
    <n v="5.69"/>
    <n v="474"/>
    <n v="3.1430276506862938"/>
  </r>
  <r>
    <s v="Ajuste M."/>
    <x v="44"/>
    <x v="6"/>
    <m/>
    <n v="595825"/>
    <m/>
    <x v="0"/>
    <n v="145.26"/>
    <m/>
    <m/>
    <n v="0"/>
    <n v="0"/>
    <n v="690"/>
    <n v="4.7501032631144158"/>
  </r>
  <r>
    <n v="163899"/>
    <x v="44"/>
    <x v="6"/>
    <s v="TATITA FERNÃO DIAS"/>
    <n v="596297"/>
    <m/>
    <x v="0"/>
    <n v="97.67"/>
    <m/>
    <n v="5.69"/>
    <n v="555.7423"/>
    <n v="5.6899999999999995"/>
    <n v="472"/>
    <n v="4.8325995699805464"/>
  </r>
  <r>
    <n v="305644"/>
    <x v="44"/>
    <x v="30"/>
    <s v="BEIRA MINHO"/>
    <n v="304822"/>
    <m/>
    <x v="0"/>
    <n v="108.95"/>
    <n v="32.68"/>
    <n v="6.39"/>
    <n v="663.51049999999998"/>
    <n v="6.0900458926112888"/>
    <m/>
    <m/>
  </r>
  <r>
    <n v="51155"/>
    <x v="44"/>
    <x v="14"/>
    <s v="ULTRAMARINO"/>
    <n v="84990"/>
    <m/>
    <x v="0"/>
    <n v="540.04"/>
    <n v="54"/>
    <n v="5.87"/>
    <n v="3116.0347999999999"/>
    <n v="5.7700074068587517"/>
    <n v="1542"/>
    <n v="2.8553440485889938"/>
  </r>
  <r>
    <s v="Ajuste M."/>
    <x v="44"/>
    <x v="17"/>
    <m/>
    <n v="179972"/>
    <m/>
    <x v="0"/>
    <n v="695.25"/>
    <m/>
    <m/>
    <n v="0"/>
    <n v="0"/>
    <n v="1935"/>
    <n v="2.7831715210355985"/>
  </r>
  <r>
    <n v="51157"/>
    <x v="44"/>
    <x v="17"/>
    <s v="ULTRAMARINO"/>
    <n v="181908"/>
    <m/>
    <x v="0"/>
    <n v="662.5"/>
    <n v="59.24"/>
    <n v="5.87"/>
    <n v="3829.6350000000002"/>
    <n v="5.7805811320754721"/>
    <n v="1936"/>
    <n v="2.9222641509433962"/>
  </r>
  <r>
    <n v="230953"/>
    <x v="44"/>
    <x v="13"/>
    <s v="ULTRAMARINO"/>
    <n v="105842"/>
    <m/>
    <x v="0"/>
    <n v="39.030999999999999"/>
    <n v="3.91"/>
    <n v="5.87"/>
    <n v="225.20196999999999"/>
    <n v="5.7698232174425454"/>
    <n v="319"/>
    <n v="8.1729906997002377"/>
  </r>
  <r>
    <n v="51328"/>
    <x v="44"/>
    <x v="28"/>
    <s v="ULTRAMARINO"/>
    <n v="35440"/>
    <m/>
    <x v="0"/>
    <n v="59.38"/>
    <n v="5.94"/>
    <n v="5.87"/>
    <n v="342.62060000000002"/>
    <n v="5.7699663186257997"/>
    <n v="585"/>
    <n v="9.8518019535197023"/>
  </r>
  <r>
    <n v="256975"/>
    <x v="44"/>
    <x v="18"/>
    <s v="DOM PEDRO ITAPEVA"/>
    <n v="654250"/>
    <m/>
    <x v="0"/>
    <n v="131.72999999999999"/>
    <m/>
    <n v="5.69"/>
    <n v="749.54369999999994"/>
    <n v="5.69"/>
    <n v="550"/>
    <n v="4.1752068625218257"/>
  </r>
  <r>
    <n v="125001"/>
    <x v="44"/>
    <x v="29"/>
    <s v="DOM PEDRO ATIBAIA"/>
    <n v="290117"/>
    <m/>
    <x v="0"/>
    <n v="238"/>
    <m/>
    <n v="5.69"/>
    <n v="1354.22"/>
    <n v="5.69"/>
    <n v="1256"/>
    <n v="5.2773109243697478"/>
  </r>
  <r>
    <n v="515531"/>
    <x v="44"/>
    <x v="21"/>
    <s v="COMBO AUTO POSTO"/>
    <n v="125137"/>
    <m/>
    <x v="1"/>
    <n v="52.19"/>
    <m/>
    <n v="5.22"/>
    <n v="272.43179999999995"/>
    <n v="5.22"/>
    <n v="477"/>
    <n v="9.1396819314044837"/>
  </r>
  <r>
    <n v="164247"/>
    <x v="45"/>
    <x v="11"/>
    <s v="TATITA FERNÃO DIAS"/>
    <n v="648701"/>
    <m/>
    <x v="0"/>
    <n v="143.32900000000001"/>
    <m/>
    <n v="5.59"/>
    <n v="801.20911000000001"/>
    <n v="5.59"/>
    <n v="568"/>
    <n v="3.9629105065967107"/>
  </r>
  <r>
    <n v="164215"/>
    <x v="45"/>
    <x v="28"/>
    <s v="TATITA FERNÃO DIAS"/>
    <n v="35547"/>
    <m/>
    <x v="2"/>
    <n v="16.812000000000001"/>
    <m/>
    <n v="3.69"/>
    <n v="62.036280000000005"/>
    <n v="3.69"/>
    <m/>
    <n v="0"/>
  </r>
  <r>
    <n v="164354"/>
    <x v="45"/>
    <x v="32"/>
    <s v="TATITA FERNÃO DIAS"/>
    <n v="62689"/>
    <m/>
    <x v="1"/>
    <n v="14.91"/>
    <m/>
    <n v="4.99"/>
    <n v="74.400900000000007"/>
    <n v="4.99"/>
    <m/>
    <m/>
  </r>
  <r>
    <n v="164188"/>
    <x v="45"/>
    <x v="0"/>
    <s v="TATITA FERNÃO DIAS"/>
    <n v="373459"/>
    <m/>
    <x v="0"/>
    <n v="6.87"/>
    <m/>
    <n v="5.69"/>
    <n v="39.090300000000006"/>
    <n v="5.69"/>
    <n v="55"/>
    <n v="8.0058224163027649"/>
  </r>
  <r>
    <n v="164269"/>
    <x v="45"/>
    <x v="23"/>
    <s v="TATITA FERNÃO DIAS"/>
    <n v="284645"/>
    <m/>
    <x v="1"/>
    <n v="30.06"/>
    <m/>
    <n v="4.99"/>
    <n v="149.99940000000001"/>
    <n v="4.99"/>
    <n v="458"/>
    <n v="15.236194278110446"/>
  </r>
  <r>
    <n v="51621"/>
    <x v="45"/>
    <x v="16"/>
    <s v="ULTRAMARINO"/>
    <n v="338708"/>
    <m/>
    <x v="0"/>
    <n v="224.881"/>
    <n v="22.49"/>
    <n v="5.87"/>
    <n v="1297.5614700000001"/>
    <n v="5.7699915510870197"/>
    <n v="911"/>
    <n v="4.0510314344030842"/>
  </r>
  <r>
    <n v="51960"/>
    <x v="45"/>
    <x v="23"/>
    <s v="ULTRAMARINO"/>
    <n v="285104"/>
    <m/>
    <x v="1"/>
    <n v="35.56"/>
    <m/>
    <n v="4.99"/>
    <n v="177.44440000000003"/>
    <n v="4.99"/>
    <n v="459"/>
    <n v="12.907761529808774"/>
  </r>
  <r>
    <s v="Ajuste M."/>
    <x v="45"/>
    <x v="6"/>
    <m/>
    <n v="596637"/>
    <m/>
    <x v="0"/>
    <n v="93.2"/>
    <m/>
    <m/>
    <n v="0"/>
    <n v="0"/>
    <n v="340"/>
    <n v="3.648068669527897"/>
  </r>
  <r>
    <n v="375948"/>
    <x v="45"/>
    <x v="6"/>
    <s v="DOM PEDRO ESTIVA"/>
    <n v="597172"/>
    <m/>
    <x v="0"/>
    <n v="120.87"/>
    <m/>
    <n v="5.69"/>
    <n v="687.75030000000004"/>
    <n v="5.69"/>
    <n v="535"/>
    <n v="4.4262430710680896"/>
  </r>
  <r>
    <n v="570990"/>
    <x v="45"/>
    <x v="5"/>
    <s v="DOM PEDRO POUSO ALEGRE"/>
    <n v="591289"/>
    <m/>
    <x v="0"/>
    <n v="123.97"/>
    <m/>
    <n v="5.69"/>
    <n v="705.38930000000005"/>
    <n v="5.69"/>
    <n v="1031"/>
    <n v="8.31652819230459"/>
  </r>
  <r>
    <n v="568178"/>
    <x v="45"/>
    <x v="13"/>
    <s v="DOM PEDRO POUSO ALEGRE"/>
    <n v="106149"/>
    <m/>
    <x v="0"/>
    <n v="44.13"/>
    <m/>
    <n v="5.69"/>
    <n v="251.09970000000004"/>
    <n v="5.69"/>
    <n v="307"/>
    <n v="6.9567187854067525"/>
  </r>
  <r>
    <s v="Ajuste M."/>
    <x v="45"/>
    <x v="0"/>
    <m/>
    <n v="373651"/>
    <m/>
    <x v="0"/>
    <n v="28.9"/>
    <m/>
    <m/>
    <n v="0"/>
    <n v="0"/>
    <n v="192"/>
    <n v="6.6435986159169556"/>
  </r>
  <r>
    <n v="499092"/>
    <x v="45"/>
    <x v="0"/>
    <s v="FRANGO ASSADO ATIBAIA"/>
    <n v="373948"/>
    <m/>
    <x v="0"/>
    <n v="42.5"/>
    <m/>
    <n v="5.99"/>
    <n v="254.57500000000002"/>
    <n v="5.99"/>
    <n v="297"/>
    <n v="6.9882352941176471"/>
  </r>
  <r>
    <n v="515744"/>
    <x v="45"/>
    <x v="31"/>
    <s v="COMBO AUTO POSTO"/>
    <n v="296217"/>
    <m/>
    <x v="0"/>
    <n v="65.840999999999994"/>
    <m/>
    <n v="6.26"/>
    <n v="412.16465999999997"/>
    <n v="6.26"/>
    <n v="525"/>
    <n v="7.9737549551191513"/>
  </r>
  <r>
    <s v="Ajuste M."/>
    <x v="45"/>
    <x v="29"/>
    <m/>
    <n v="291537"/>
    <m/>
    <x v="0"/>
    <n v="260"/>
    <m/>
    <m/>
    <n v="0"/>
    <n v="0"/>
    <n v="1420"/>
    <n v="5.4615384615384617"/>
  </r>
  <r>
    <n v="164381"/>
    <x v="46"/>
    <x v="26"/>
    <s v="TATITA FERNÃO DIAS"/>
    <n v="705641"/>
    <m/>
    <x v="0"/>
    <n v="153.011"/>
    <m/>
    <n v="5.69"/>
    <n v="870.63259000000005"/>
    <n v="5.69"/>
    <n v="559"/>
    <n v="3.6533321133774699"/>
  </r>
  <r>
    <n v="164410"/>
    <x v="46"/>
    <x v="1"/>
    <s v="TATITA FERNÃO DIAS"/>
    <n v="318107"/>
    <m/>
    <x v="0"/>
    <n v="165.4"/>
    <m/>
    <n v="5.69"/>
    <n v="941.12600000000009"/>
    <n v="5.69"/>
    <n v="787"/>
    <n v="4.7581620314389355"/>
  </r>
  <r>
    <n v="499283"/>
    <x v="46"/>
    <x v="7"/>
    <s v="FRANGO ASSADO ATIBAIA"/>
    <n v="77706"/>
    <m/>
    <x v="1"/>
    <n v="26.571000000000002"/>
    <m/>
    <n v="5.09"/>
    <n v="135.24638999999999"/>
    <n v="5.089999999999999"/>
    <n v="368"/>
    <n v="13.849685747619585"/>
  </r>
  <r>
    <n v="125974"/>
    <x v="46"/>
    <x v="9"/>
    <s v="DOM PEDRO ATIBAIA"/>
    <n v="349310"/>
    <m/>
    <x v="0"/>
    <n v="113.2"/>
    <m/>
    <n v="5.49"/>
    <n v="621.46800000000007"/>
    <n v="5.49"/>
    <n v="705"/>
    <n v="6.2279151943462896"/>
  </r>
  <r>
    <n v="588654"/>
    <x v="46"/>
    <x v="0"/>
    <s v="DOM PEDRO POUSO ALEGRE"/>
    <n v="374255"/>
    <m/>
    <x v="0"/>
    <n v="41.790999999999997"/>
    <m/>
    <n v="5.69"/>
    <n v="237.79078999999999"/>
    <n v="5.69"/>
    <n v="307"/>
    <n v="7.3460792993706781"/>
  </r>
  <r>
    <s v="Ajuste M."/>
    <x v="21"/>
    <x v="3"/>
    <m/>
    <n v="119013"/>
    <m/>
    <x v="1"/>
    <n v="39.5"/>
    <m/>
    <m/>
    <n v="0"/>
    <n v="0"/>
    <n v="440"/>
    <n v="11.139240506329115"/>
  </r>
  <r>
    <s v="Ajuste M."/>
    <x v="23"/>
    <x v="3"/>
    <m/>
    <n v="119419"/>
    <m/>
    <x v="1"/>
    <n v="36.85"/>
    <m/>
    <m/>
    <n v="0"/>
    <n v="0"/>
    <n v="406"/>
    <n v="11.017639077340569"/>
  </r>
  <r>
    <s v="Ajuste M."/>
    <x v="25"/>
    <x v="3"/>
    <m/>
    <n v="119821"/>
    <m/>
    <x v="1"/>
    <n v="32.409999999999997"/>
    <m/>
    <m/>
    <n v="0"/>
    <n v="0"/>
    <n v="402"/>
    <n v="12.403579142240051"/>
  </r>
  <r>
    <s v="Ajuste M."/>
    <x v="33"/>
    <x v="3"/>
    <m/>
    <n v="120233"/>
    <m/>
    <x v="1"/>
    <n v="33.69"/>
    <m/>
    <m/>
    <n v="0"/>
    <n v="0"/>
    <n v="412"/>
    <n v="12.229148115167707"/>
  </r>
  <r>
    <s v="Ajuste M."/>
    <x v="30"/>
    <x v="3"/>
    <m/>
    <n v="120654"/>
    <m/>
    <x v="1"/>
    <n v="39.5"/>
    <m/>
    <m/>
    <n v="0"/>
    <n v="0"/>
    <n v="421"/>
    <n v="10.658227848101266"/>
  </r>
  <r>
    <s v="Ajuste M."/>
    <x v="32"/>
    <x v="3"/>
    <m/>
    <n v="121090"/>
    <m/>
    <x v="1"/>
    <n v="37.42"/>
    <m/>
    <m/>
    <n v="0"/>
    <n v="0"/>
    <n v="436"/>
    <n v="11.651523249599144"/>
  </r>
  <r>
    <s v="Ajuste M."/>
    <x v="36"/>
    <x v="3"/>
    <m/>
    <n v="121505"/>
    <m/>
    <x v="1"/>
    <n v="36.5"/>
    <m/>
    <m/>
    <n v="0"/>
    <n v="0"/>
    <n v="415"/>
    <n v="11.36986301369863"/>
  </r>
  <r>
    <s v="Ajuste M."/>
    <x v="39"/>
    <x v="3"/>
    <m/>
    <n v="121941"/>
    <m/>
    <x v="1"/>
    <n v="37.5"/>
    <m/>
    <m/>
    <n v="0"/>
    <n v="0"/>
    <n v="436"/>
    <n v="11.626666666666667"/>
  </r>
  <r>
    <s v="Ajuste M."/>
    <x v="44"/>
    <x v="3"/>
    <m/>
    <n v="122581"/>
    <m/>
    <x v="1"/>
    <n v="45.69"/>
    <m/>
    <m/>
    <n v="0"/>
    <n v="0"/>
    <n v="640"/>
    <n v="14.007441453272051"/>
  </r>
  <r>
    <n v="274111"/>
    <x v="47"/>
    <x v="3"/>
    <s v="POSTO ZÉ RAMOS"/>
    <n v="123232"/>
    <m/>
    <x v="1"/>
    <n v="48.929000000000002"/>
    <m/>
    <n v="5.09"/>
    <n v="249.04861"/>
    <n v="5.09"/>
    <n v="651"/>
    <n v="13.30499294896687"/>
  </r>
  <r>
    <s v="Ajuste M."/>
    <x v="46"/>
    <x v="29"/>
    <m/>
    <n v="292732"/>
    <m/>
    <x v="0"/>
    <n v="200"/>
    <m/>
    <m/>
    <n v="0"/>
    <n v="0"/>
    <n v="1195"/>
    <n v="5.9749999999999996"/>
  </r>
  <r>
    <n v="52535"/>
    <x v="48"/>
    <x v="28"/>
    <s v="ULTRAMARINO"/>
    <n v="35806"/>
    <m/>
    <x v="0"/>
    <n v="50.83"/>
    <n v="5.09"/>
    <n v="5.87"/>
    <n v="293.28210000000001"/>
    <n v="5.7698622860515449"/>
    <n v="366"/>
    <n v="7.2004721621089907"/>
  </r>
  <r>
    <s v="Ajuste M."/>
    <x v="48"/>
    <x v="29"/>
    <m/>
    <n v="293928"/>
    <m/>
    <x v="0"/>
    <n v="209"/>
    <m/>
    <m/>
    <n v="0"/>
    <n v="0"/>
    <n v="1196"/>
    <n v="5.7224880382775121"/>
  </r>
  <r>
    <n v="165012"/>
    <x v="47"/>
    <x v="6"/>
    <s v="TATITA FERNÃO DIAS"/>
    <n v="597783"/>
    <m/>
    <x v="2"/>
    <n v="20.8"/>
    <m/>
    <n v="3.69"/>
    <n v="76.751999999999995"/>
    <n v="3.6899999999999995"/>
    <m/>
    <n v="0"/>
  </r>
  <r>
    <s v="Ajuste M."/>
    <x v="49"/>
    <x v="2"/>
    <m/>
    <n v="862871"/>
    <m/>
    <x v="0"/>
    <n v="320"/>
    <m/>
    <m/>
    <n v="0"/>
    <n v="0"/>
    <n v="697"/>
    <n v="2.1781250000000001"/>
  </r>
  <r>
    <n v="165152"/>
    <x v="47"/>
    <x v="2"/>
    <s v="TATITA FERNÃO DIAS"/>
    <n v="863725"/>
    <m/>
    <x v="0"/>
    <n v="218.52"/>
    <m/>
    <n v="5.69"/>
    <n v="1243.3788000000002"/>
    <n v="5.69"/>
    <n v="854"/>
    <n v="3.9081090975654402"/>
  </r>
  <r>
    <n v="165012"/>
    <x v="47"/>
    <x v="6"/>
    <s v="TATITA FERNÃO DIAS"/>
    <n v="597783"/>
    <m/>
    <x v="0"/>
    <n v="136.16999999999999"/>
    <m/>
    <n v="5.69"/>
    <n v="774.80729999999994"/>
    <n v="5.69"/>
    <n v="611"/>
    <n v="4.4870382609972834"/>
  </r>
  <r>
    <s v="Ajuste M."/>
    <x v="47"/>
    <x v="10"/>
    <m/>
    <n v="231452"/>
    <m/>
    <x v="0"/>
    <n v="55.3"/>
    <m/>
    <m/>
    <n v="0"/>
    <n v="0"/>
    <n v="428"/>
    <n v="7.7396021699819171"/>
  </r>
  <r>
    <n v="165017"/>
    <x v="47"/>
    <x v="10"/>
    <s v="TATITA FERNÃO DIAS"/>
    <n v="231938"/>
    <m/>
    <x v="0"/>
    <n v="67.501000000000005"/>
    <m/>
    <n v="5.69"/>
    <n v="384.08069000000006"/>
    <n v="5.69"/>
    <n v="486"/>
    <n v="7.1998933349135568"/>
  </r>
  <r>
    <s v="Ajuste M."/>
    <x v="47"/>
    <x v="13"/>
    <m/>
    <n v="106409"/>
    <m/>
    <x v="0"/>
    <n v="29"/>
    <m/>
    <m/>
    <n v="0"/>
    <n v="0"/>
    <n v="260"/>
    <n v="8.9655172413793096"/>
  </r>
  <r>
    <n v="165035"/>
    <x v="47"/>
    <x v="13"/>
    <s v="TATITA FERNÃO DIAS"/>
    <n v="106691"/>
    <m/>
    <x v="0"/>
    <n v="37.33"/>
    <m/>
    <n v="5.69"/>
    <n v="212.40770000000001"/>
    <n v="5.69"/>
    <n v="282"/>
    <n v="7.5542459148138228"/>
  </r>
  <r>
    <n v="165021"/>
    <x v="47"/>
    <x v="22"/>
    <s v="TATITA FERNÃO DIAS"/>
    <n v="128917"/>
    <m/>
    <x v="0"/>
    <n v="94.62"/>
    <m/>
    <n v="5.69"/>
    <n v="538.38780000000008"/>
    <n v="5.69"/>
    <n v="342"/>
    <n v="3.6144578313253009"/>
  </r>
  <r>
    <n v="309557"/>
    <x v="47"/>
    <x v="24"/>
    <s v="BEIRA MINHO"/>
    <n v="79336"/>
    <m/>
    <x v="0"/>
    <n v="73.52"/>
    <n v="22.06"/>
    <n v="6.39"/>
    <n v="447.73279999999994"/>
    <n v="6.0899455930359085"/>
    <n v="455"/>
    <n v="6.1887921653971709"/>
  </r>
  <r>
    <s v="Ajuste M."/>
    <x v="47"/>
    <x v="12"/>
    <m/>
    <n v="211982"/>
    <m/>
    <x v="0"/>
    <n v="145.36000000000001"/>
    <m/>
    <m/>
    <n v="0"/>
    <n v="0"/>
    <n v="624"/>
    <n v="4.2927903137039074"/>
  </r>
  <r>
    <n v="258033"/>
    <x v="47"/>
    <x v="12"/>
    <s v="DOM PEDRO ITAPEVA"/>
    <n v="212598"/>
    <m/>
    <x v="0"/>
    <n v="147.66"/>
    <m/>
    <n v="5.6908000000000003"/>
    <n v="840.30352800000003"/>
    <n v="5.6908000000000003"/>
    <n v="616"/>
    <n v="4.17174590274956"/>
  </r>
  <r>
    <n v="194219"/>
    <x v="47"/>
    <x v="9"/>
    <s v="DOM PEDRO PINDAMONHANGABA"/>
    <n v="349635"/>
    <m/>
    <x v="0"/>
    <n v="84.82"/>
    <m/>
    <n v="5.54"/>
    <n v="469.90279999999996"/>
    <n v="5.54"/>
    <n v="325"/>
    <n v="3.8316434803112478"/>
  </r>
  <r>
    <s v="Ajuste M."/>
    <x v="47"/>
    <x v="8"/>
    <m/>
    <n v="919982"/>
    <m/>
    <x v="0"/>
    <n v="620"/>
    <m/>
    <m/>
    <n v="0"/>
    <n v="0"/>
    <n v="1596"/>
    <n v="2.5741935483870968"/>
  </r>
  <r>
    <n v="127954"/>
    <x v="47"/>
    <x v="8"/>
    <s v="DOM PEDRO ATIBAIA"/>
    <n v="921578"/>
    <m/>
    <x v="0"/>
    <n v="636"/>
    <m/>
    <n v="5.69"/>
    <n v="3618.84"/>
    <n v="5.69"/>
    <n v="1596"/>
    <n v="2.5094339622641511"/>
  </r>
  <r>
    <n v="516791"/>
    <x v="47"/>
    <x v="15"/>
    <s v="COMBO AUTO POSTO"/>
    <n v="290238"/>
    <m/>
    <x v="0"/>
    <n v="55.35"/>
    <m/>
    <n v="6.26"/>
    <n v="346.49099999999999"/>
    <n v="6.26"/>
    <n v="269"/>
    <n v="4.8599819331526648"/>
  </r>
  <r>
    <n v="516759"/>
    <x v="47"/>
    <x v="31"/>
    <s v="COMBO AUTO POSTO"/>
    <n v="297033"/>
    <m/>
    <x v="0"/>
    <n v="83.09"/>
    <m/>
    <n v="6.26"/>
    <n v="520.14340000000004"/>
    <n v="6.2600000000000007"/>
    <n v="816"/>
    <n v="9.8206763750150436"/>
  </r>
  <r>
    <n v="743043"/>
    <x v="47"/>
    <x v="0"/>
    <s v="RODOPOSTO MARIPORÃ"/>
    <n v="374581"/>
    <m/>
    <x v="0"/>
    <n v="42.366999999999997"/>
    <m/>
    <n v="5.59"/>
    <n v="236.83152999999999"/>
    <n v="5.59"/>
    <n v="326"/>
    <n v="7.6946680199211652"/>
  </r>
  <r>
    <n v="606456"/>
    <x v="50"/>
    <x v="28"/>
    <s v="AUTO POSTO RVM MAX"/>
    <n v="36403"/>
    <m/>
    <x v="0"/>
    <n v="70"/>
    <m/>
    <n v="5.85"/>
    <n v="409.5"/>
    <n v="5.85"/>
    <n v="597"/>
    <n v="8.5285714285714285"/>
  </r>
  <r>
    <n v="310305"/>
    <x v="50"/>
    <x v="30"/>
    <s v="BEIRA MINHO"/>
    <n v="305256"/>
    <m/>
    <x v="0"/>
    <n v="78.260000000000005"/>
    <n v="23.48"/>
    <n v="6.39"/>
    <n v="476.60140000000001"/>
    <n v="6.0899744441604904"/>
    <n v="434"/>
    <n v="5.5456171735241497"/>
  </r>
  <r>
    <n v="54233"/>
    <x v="50"/>
    <x v="14"/>
    <s v="ULTRAMARINO"/>
    <n v="86589"/>
    <m/>
    <x v="2"/>
    <n v="50"/>
    <m/>
    <n v="3.49"/>
    <n v="174.5"/>
    <n v="3.49"/>
    <m/>
    <n v="0"/>
  </r>
  <r>
    <n v="310562"/>
    <x v="50"/>
    <x v="11"/>
    <s v="BEIRA MINHO"/>
    <n v="649350"/>
    <m/>
    <x v="0"/>
    <n v="138.62"/>
    <n v="41.59"/>
    <n v="6.39"/>
    <n v="844.19179999999994"/>
    <n v="6.0899711441350446"/>
    <n v="649"/>
    <n v="4.6818640888760639"/>
  </r>
  <r>
    <n v="307445"/>
    <x v="50"/>
    <x v="18"/>
    <s v="TIGRÃO DA DUTRA"/>
    <n v="654405"/>
    <m/>
    <x v="0"/>
    <n v="35.9"/>
    <n v="20.14"/>
    <n v="6.02"/>
    <n v="195.97799999999995"/>
    <n v="5.4589972144846781"/>
    <n v="155"/>
    <n v="4.3175487465181064"/>
  </r>
  <r>
    <n v="54233"/>
    <x v="50"/>
    <x v="14"/>
    <s v="ULTRAMARINO"/>
    <n v="86589"/>
    <m/>
    <x v="0"/>
    <n v="532.77099999999996"/>
    <n v="53.28"/>
    <n v="5.87"/>
    <n v="3074.0857699999997"/>
    <n v="5.7699945567607847"/>
    <n v="1599"/>
    <n v="3.0012894846003255"/>
  </r>
  <r>
    <n v="129727"/>
    <x v="50"/>
    <x v="8"/>
    <s v="DOM PEDRO DE MIRACATU"/>
    <n v="921975"/>
    <m/>
    <x v="0"/>
    <n v="175"/>
    <m/>
    <n v="5.69"/>
    <n v="995.75000000000011"/>
    <n v="5.69"/>
    <n v="397"/>
    <n v="2.2685714285714287"/>
  </r>
  <r>
    <n v="274774"/>
    <x v="51"/>
    <x v="27"/>
    <s v="POSTO ZÉ RAMOS"/>
    <n v="111974"/>
    <m/>
    <x v="2"/>
    <n v="20.010000000000002"/>
    <m/>
    <n v="3.69"/>
    <n v="73.8369"/>
    <n v="3.6899999999999995"/>
    <m/>
    <n v="0"/>
  </r>
  <r>
    <n v="274730"/>
    <x v="51"/>
    <x v="29"/>
    <s v="POSTO ZÉ RAMOS"/>
    <n v="0"/>
    <m/>
    <x v="2"/>
    <n v="20.004999999999999"/>
    <m/>
    <n v="3.69"/>
    <n v="73.818449999999999"/>
    <n v="3.69"/>
    <m/>
    <n v="0"/>
  </r>
  <r>
    <s v="Ajuste M."/>
    <x v="50"/>
    <x v="13"/>
    <m/>
    <n v="106910"/>
    <m/>
    <x v="0"/>
    <n v="27.81"/>
    <m/>
    <m/>
    <n v="0"/>
    <n v="0"/>
    <n v="219"/>
    <n v="7.8748651564185552"/>
  </r>
  <r>
    <n v="373063"/>
    <x v="50"/>
    <x v="13"/>
    <s v="DOM PEDRO POUSO ALEGRE"/>
    <n v="107221"/>
    <m/>
    <x v="0"/>
    <n v="33.479999999999997"/>
    <m/>
    <n v="5.69"/>
    <n v="190.50119999999998"/>
    <n v="5.69"/>
    <n v="311"/>
    <n v="9.2891278375149344"/>
  </r>
  <r>
    <n v="274729"/>
    <x v="51"/>
    <x v="20"/>
    <s v="POSTO ZÉ RAMOS"/>
    <n v="213695"/>
    <m/>
    <x v="2"/>
    <n v="20.015999999999998"/>
    <m/>
    <n v="3.69"/>
    <n v="73.859039999999993"/>
    <n v="3.69"/>
    <m/>
    <n v="0"/>
  </r>
  <r>
    <n v="224598"/>
    <x v="50"/>
    <x v="6"/>
    <s v="DOM PEDRO DE LEME"/>
    <n v="598476"/>
    <m/>
    <x v="0"/>
    <n v="155.04"/>
    <m/>
    <n v="5.69"/>
    <n v="882.17759999999998"/>
    <n v="5.69"/>
    <n v="693"/>
    <n v="4.469814241486068"/>
  </r>
  <r>
    <n v="311362"/>
    <x v="51"/>
    <x v="20"/>
    <s v="BEIRA MINHO"/>
    <n v="339413"/>
    <m/>
    <x v="2"/>
    <n v="25.177"/>
    <m/>
    <n v="4.99"/>
    <n v="125.63323"/>
    <n v="4.99"/>
    <m/>
    <n v="0"/>
  </r>
  <r>
    <s v="Ajuste M."/>
    <x v="50"/>
    <x v="12"/>
    <m/>
    <n v="212949"/>
    <m/>
    <x v="0"/>
    <n v="81.25"/>
    <m/>
    <m/>
    <n v="0"/>
    <n v="0"/>
    <n v="351"/>
    <n v="4.32"/>
  </r>
  <r>
    <n v="54643"/>
    <x v="51"/>
    <x v="20"/>
    <s v="ULTRAMARINO"/>
    <n v="183491"/>
    <m/>
    <x v="2"/>
    <n v="47"/>
    <m/>
    <n v="3.49"/>
    <n v="164.03"/>
    <n v="3.49"/>
    <m/>
    <n v="0"/>
  </r>
  <r>
    <s v="Ajuste M."/>
    <x v="50"/>
    <x v="2"/>
    <m/>
    <n v="865002"/>
    <m/>
    <x v="0"/>
    <n v="385"/>
    <m/>
    <m/>
    <n v="0"/>
    <n v="0"/>
    <n v="1277"/>
    <n v="3.3168831168831168"/>
  </r>
  <r>
    <s v="Ajuste M."/>
    <x v="50"/>
    <x v="10"/>
    <m/>
    <n v="232563"/>
    <m/>
    <x v="0"/>
    <n v="77"/>
    <m/>
    <m/>
    <n v="0"/>
    <n v="0"/>
    <n v="625"/>
    <n v="8.1168831168831161"/>
  </r>
  <r>
    <s v="Ajuste M."/>
    <x v="50"/>
    <x v="10"/>
    <m/>
    <n v="233185"/>
    <m/>
    <x v="0"/>
    <n v="76"/>
    <m/>
    <m/>
    <n v="0"/>
    <n v="0"/>
    <n v="622"/>
    <n v="8.1842105263157894"/>
  </r>
  <r>
    <s v="Ajuste M."/>
    <x v="50"/>
    <x v="10"/>
    <m/>
    <n v="234343"/>
    <m/>
    <x v="0"/>
    <n v="62"/>
    <m/>
    <m/>
    <n v="0"/>
    <n v="0"/>
    <n v="1158"/>
    <n v="18.677419354838708"/>
  </r>
  <r>
    <s v="Ajuste M."/>
    <x v="50"/>
    <x v="28"/>
    <m/>
    <n v="36933"/>
    <m/>
    <x v="0"/>
    <n v="63"/>
    <m/>
    <m/>
    <n v="0"/>
    <n v="0"/>
    <n v="530"/>
    <n v="8.412698412698413"/>
  </r>
  <r>
    <n v="274729"/>
    <x v="51"/>
    <x v="12"/>
    <s v="POSTO ZÉ RAMOS"/>
    <n v="213695"/>
    <m/>
    <x v="0"/>
    <n v="152.26"/>
    <m/>
    <n v="5.99"/>
    <n v="912.03739999999993"/>
    <n v="5.99"/>
    <n v="746"/>
    <n v="4.899513989228951"/>
  </r>
  <r>
    <n v="500362"/>
    <x v="51"/>
    <x v="7"/>
    <s v="FRANGO ASSADO ATIBAIA"/>
    <n v="78211"/>
    <m/>
    <x v="1"/>
    <n v="40.902999999999999"/>
    <m/>
    <n v="5.19"/>
    <n v="212.28657000000001"/>
    <n v="5.19"/>
    <n v="505"/>
    <n v="12.346282668752904"/>
  </r>
  <r>
    <n v="165476"/>
    <x v="51"/>
    <x v="20"/>
    <s v="TATITA FERNÃO DIAS"/>
    <n v="318510"/>
    <m/>
    <x v="0"/>
    <n v="114.179"/>
    <m/>
    <n v="5.69"/>
    <n v="649.67851000000007"/>
    <n v="5.69"/>
    <n v="-545215"/>
    <n v="-4775.0899902784222"/>
  </r>
  <r>
    <n v="54643"/>
    <x v="51"/>
    <x v="20"/>
    <s v="ULTRAMARINO"/>
    <n v="183491"/>
    <m/>
    <x v="0"/>
    <n v="641.38"/>
    <n v="64.14"/>
    <n v="5.87"/>
    <n v="3700.7606000000001"/>
    <n v="5.7699968817237837"/>
    <n v="-101154"/>
    <n v="-157.71305622252018"/>
  </r>
  <r>
    <n v="54734"/>
    <x v="51"/>
    <x v="20"/>
    <s v="ULTRAMARINO"/>
    <n v="86923"/>
    <m/>
    <x v="0"/>
    <n v="121.67"/>
    <n v="12.17"/>
    <n v="5.87"/>
    <n v="702.03290000000004"/>
    <n v="5.7699753431412839"/>
    <n v="-20298"/>
    <n v="-166.8283060738062"/>
  </r>
  <r>
    <s v="Ajuste M."/>
    <x v="48"/>
    <x v="19"/>
    <m/>
    <n v="217999"/>
    <m/>
    <x v="1"/>
    <n v="27"/>
    <m/>
    <m/>
    <n v="0"/>
    <n v="0"/>
    <n v="284"/>
    <n v="10.518518518518519"/>
  </r>
  <r>
    <n v="165799"/>
    <x v="52"/>
    <x v="19"/>
    <s v="TATITA FERNÃO DIAS"/>
    <n v="218243"/>
    <m/>
    <x v="1"/>
    <n v="26.834"/>
    <m/>
    <n v="5.59"/>
    <n v="150.00206"/>
    <n v="5.59"/>
    <n v="244"/>
    <n v="12.175648702594811"/>
  </r>
  <r>
    <n v="54502"/>
    <x v="51"/>
    <x v="20"/>
    <s v="ULTRAMARINO"/>
    <n v="37109"/>
    <m/>
    <x v="0"/>
    <n v="81.89"/>
    <m/>
    <n v="5.87"/>
    <n v="480.6943"/>
    <n v="5.87"/>
    <n v="-74865"/>
    <n v="-914.21418976676023"/>
  </r>
  <r>
    <n v="151131"/>
    <x v="51"/>
    <x v="20"/>
    <s v="DOM PEDRO CAMBUÍ"/>
    <n v="864627"/>
    <m/>
    <x v="0"/>
    <n v="353.82"/>
    <m/>
    <n v="5.59"/>
    <n v="1977.8537999999999"/>
    <n v="5.59"/>
    <n v="735710"/>
    <n v="2079.3341246961731"/>
  </r>
  <r>
    <n v="224892"/>
    <x v="51"/>
    <x v="20"/>
    <s v="DOM PEDRO DE LEME"/>
    <n v="599146"/>
    <m/>
    <x v="0"/>
    <n v="149.22200000000001"/>
    <m/>
    <n v="5.69"/>
    <n v="849.07318000000009"/>
    <n v="5.69"/>
    <n v="-265856"/>
    <n v="-1781.6139711302621"/>
  </r>
  <r>
    <n v="128889"/>
    <x v="51"/>
    <x v="20"/>
    <s v="DOM PEDRO ATIBAIA"/>
    <n v="339413"/>
    <m/>
    <x v="0"/>
    <n v="201"/>
    <m/>
    <n v="5.69"/>
    <n v="1143.69"/>
    <n v="5.69"/>
    <n v="47876"/>
    <n v="238.18905472636817"/>
  </r>
  <r>
    <n v="442912"/>
    <x v="51"/>
    <x v="20"/>
    <s v="DOM PEDRO ITATIAIUÇU"/>
    <n v="129746"/>
    <m/>
    <x v="0"/>
    <n v="198.91"/>
    <m/>
    <n v="5.89"/>
    <n v="1171.5799"/>
    <n v="5.89"/>
    <n v="-160492"/>
    <n v="-806.85737268111211"/>
  </r>
  <r>
    <n v="517208"/>
    <x v="51"/>
    <x v="20"/>
    <s v="COMBO AUTO POSTO"/>
    <n v="297676"/>
    <m/>
    <x v="0"/>
    <n v="72.751000000000005"/>
    <m/>
    <n v="6.37"/>
    <n v="463.42387000000002"/>
    <n v="6.37"/>
    <n v="-356729"/>
    <n v="-4903.4240079174169"/>
  </r>
  <r>
    <s v="Ajuste M."/>
    <x v="51"/>
    <x v="20"/>
    <m/>
    <n v="350165"/>
    <m/>
    <x v="0"/>
    <n v="116.5"/>
    <m/>
    <m/>
    <n v="0"/>
    <n v="0"/>
    <n v="313762"/>
    <n v="2693.236051502146"/>
  </r>
  <r>
    <n v="111894"/>
    <x v="51"/>
    <x v="20"/>
    <s v="G e G AUTOPOSTO"/>
    <n v="350845"/>
    <m/>
    <x v="0"/>
    <n v="116.41"/>
    <m/>
    <n v="6.35"/>
    <n v="739.20349999999996"/>
    <n v="6.35"/>
    <n v="680"/>
    <n v="5.8414225581994677"/>
  </r>
  <r>
    <s v="Ajuste M."/>
    <x v="51"/>
    <x v="20"/>
    <m/>
    <n v="385672"/>
    <m/>
    <x v="0"/>
    <n v="85.41"/>
    <m/>
    <m/>
    <n v="0"/>
    <n v="0"/>
    <n v="310540"/>
    <n v="3635.8740194356633"/>
  </r>
  <r>
    <s v="Ajuste M."/>
    <x v="51"/>
    <x v="20"/>
    <m/>
    <n v="386147"/>
    <m/>
    <x v="0"/>
    <n v="90.23"/>
    <m/>
    <m/>
    <n v="0"/>
    <n v="0"/>
    <n v="475"/>
    <n v="5.2643245040452173"/>
  </r>
  <r>
    <s v="Ajuste M."/>
    <x v="51"/>
    <x v="8"/>
    <m/>
    <n v="923225"/>
    <m/>
    <x v="0"/>
    <n v="532"/>
    <m/>
    <m/>
    <n v="0"/>
    <n v="0"/>
    <n v="1250"/>
    <n v="2.3496240601503757"/>
  </r>
  <r>
    <n v="312127"/>
    <x v="52"/>
    <x v="20"/>
    <s v="BEIRA MINHO"/>
    <n v="386636"/>
    <m/>
    <x v="0"/>
    <n v="85.63"/>
    <n v="25.69"/>
    <n v="6.29"/>
    <n v="512.92269999999996"/>
    <n v="5.9899883218498191"/>
    <n v="-536589"/>
    <n v="-6266.366927478688"/>
  </r>
  <r>
    <n v="312456"/>
    <x v="52"/>
    <x v="20"/>
    <s v="BEIRA MINHO"/>
    <n v="69643"/>
    <m/>
    <x v="0"/>
    <n v="172.5"/>
    <n v="51.75"/>
    <n v="6.29"/>
    <n v="1033.2750000000001"/>
    <n v="5.99"/>
    <m/>
    <m/>
  </r>
  <r>
    <s v="Ajuste M."/>
    <x v="52"/>
    <x v="20"/>
    <m/>
    <n v="291457"/>
    <m/>
    <x v="0"/>
    <n v="253"/>
    <m/>
    <m/>
    <n v="0"/>
    <n v="0"/>
    <n v="-305180"/>
    <n v="-1206.2450592885375"/>
  </r>
  <r>
    <s v="Ajuste M."/>
    <x v="52"/>
    <x v="20"/>
    <m/>
    <n v="292800"/>
    <m/>
    <x v="0"/>
    <n v="245.36"/>
    <m/>
    <m/>
    <n v="0"/>
    <n v="0"/>
    <n v="1343"/>
    <n v="5.4735898271926962"/>
  </r>
  <r>
    <n v="55038"/>
    <x v="52"/>
    <x v="20"/>
    <s v="ULTRAMARINO"/>
    <n v="293045"/>
    <m/>
    <x v="0"/>
    <n v="55"/>
    <n v="5.5"/>
    <n v="5.77"/>
    <n v="311.84999999999997"/>
    <n v="5.669999999999999"/>
    <n v="245"/>
    <n v="4.4545454545454541"/>
  </r>
  <r>
    <s v="Ajuste M."/>
    <x v="52"/>
    <x v="7"/>
    <m/>
    <n v="78627"/>
    <m/>
    <x v="1"/>
    <n v="29.52"/>
    <m/>
    <m/>
    <n v="0"/>
    <n v="0"/>
    <n v="416"/>
    <n v="14.092140921409214"/>
  </r>
  <r>
    <n v="275060"/>
    <x v="53"/>
    <x v="7"/>
    <s v="POSTO ZÉ RAMOS"/>
    <n v="78746"/>
    <m/>
    <x v="1"/>
    <n v="10"/>
    <m/>
    <n v="5.6"/>
    <n v="56"/>
    <n v="5.6"/>
    <n v="119"/>
    <n v="11.9"/>
  </r>
  <r>
    <s v="Ajuste M."/>
    <x v="52"/>
    <x v="20"/>
    <m/>
    <n v="374921"/>
    <m/>
    <x v="0"/>
    <n v="38.6"/>
    <m/>
    <m/>
    <n v="0"/>
    <n v="0"/>
    <n v="-547054"/>
    <n v="-14172.383419689118"/>
  </r>
  <r>
    <n v="55325"/>
    <x v="52"/>
    <x v="20"/>
    <s v="ULTRAMARINO"/>
    <n v="375261"/>
    <m/>
    <x v="0"/>
    <n v="38.43"/>
    <n v="3.85"/>
    <n v="5.77"/>
    <n v="217.89109999999999"/>
    <n v="5.6698178506375223"/>
    <n v="340"/>
    <n v="8.8472547488940929"/>
  </r>
  <r>
    <n v="165951"/>
    <x v="53"/>
    <x v="1"/>
    <s v="TATITA FERNÃO DIAS"/>
    <n v="125141"/>
    <m/>
    <x v="0"/>
    <n v="35.869"/>
    <m/>
    <n v="5.59"/>
    <n v="200.50771"/>
    <n v="5.59"/>
    <n v="1909"/>
    <n v="53.221444701552876"/>
  </r>
  <r>
    <s v="Ajuste M."/>
    <x v="52"/>
    <x v="20"/>
    <m/>
    <n v="375501"/>
    <m/>
    <x v="0"/>
    <n v="27.5"/>
    <m/>
    <m/>
    <n v="0"/>
    <n v="0"/>
    <n v="250360"/>
    <n v="9104"/>
  </r>
  <r>
    <n v="614463"/>
    <x v="52"/>
    <x v="20"/>
    <s v="GAVIÃO DA ANHANGUERA"/>
    <n v="654910"/>
    <m/>
    <x v="0"/>
    <n v="89.034999999999997"/>
    <m/>
    <n v="5.79"/>
    <n v="515.51265000000001"/>
    <n v="5.79"/>
    <n v="547689"/>
    <n v="6151.3899028471951"/>
  </r>
  <r>
    <n v="129784"/>
    <x v="52"/>
    <x v="20"/>
    <s v="DOM PEDRO ATIBAIA"/>
    <n v="599618"/>
    <m/>
    <x v="0"/>
    <n v="131.941"/>
    <m/>
    <n v="5.69"/>
    <n v="750.74429000000009"/>
    <n v="5.69"/>
    <n v="472"/>
    <n v="3.5773565457287728"/>
  </r>
  <r>
    <n v="129870"/>
    <x v="52"/>
    <x v="20"/>
    <s v="DOM PEDRO ATIBAIA"/>
    <n v="293324"/>
    <m/>
    <x v="0"/>
    <n v="62.3"/>
    <m/>
    <n v="5.69"/>
    <n v="354.48700000000002"/>
    <n v="5.69"/>
    <n v="214578"/>
    <n v="3444.2696629213483"/>
  </r>
  <r>
    <n v="572002"/>
    <x v="52"/>
    <x v="20"/>
    <s v="DOM PEDRO POUSO ALEGRE"/>
    <n v="591736"/>
    <m/>
    <x v="0"/>
    <n v="110"/>
    <m/>
    <n v="5.89"/>
    <n v="647.9"/>
    <n v="5.89"/>
    <n v="217481"/>
    <n v="1977.1"/>
  </r>
  <r>
    <n v="649155"/>
    <x v="52"/>
    <x v="20"/>
    <s v="DOM PEDRO DE MIRACATU"/>
    <n v="923116"/>
    <m/>
    <x v="0"/>
    <n v="450"/>
    <m/>
    <n v="5.69"/>
    <n v="2560.5"/>
    <n v="5.69"/>
    <n v="583703"/>
    <n v="1297.1177777777777"/>
  </r>
  <r>
    <s v="Ajuste M."/>
    <x v="52"/>
    <x v="12"/>
    <m/>
    <n v="214105"/>
    <m/>
    <x v="0"/>
    <n v="91.2"/>
    <m/>
    <m/>
    <n v="0"/>
    <n v="0"/>
    <n v="410"/>
    <n v="4.4956140350877192"/>
  </r>
  <r>
    <n v="517643"/>
    <x v="53"/>
    <x v="16"/>
    <s v="COMBO AUTO POSTO"/>
    <n v="125602"/>
    <m/>
    <x v="0"/>
    <n v="51.53"/>
    <m/>
    <n v="5.85"/>
    <n v="301.45049999999998"/>
    <n v="5.85"/>
    <n v="465"/>
    <n v="9.0238695905297881"/>
  </r>
  <r>
    <n v="275260"/>
    <x v="53"/>
    <x v="12"/>
    <s v="POSTO ZÉ RAMOS"/>
    <n v="214515"/>
    <m/>
    <x v="0"/>
    <n v="89.99"/>
    <m/>
    <n v="5.99"/>
    <n v="539.04009999999994"/>
    <n v="5.9899999999999993"/>
    <n v="410"/>
    <n v="4.556061784642738"/>
  </r>
  <r>
    <n v="259164"/>
    <x v="54"/>
    <x v="7"/>
    <s v="DOM PEDRO ITAPEVA"/>
    <n v="79473"/>
    <m/>
    <x v="1"/>
    <n v="51"/>
    <m/>
    <n v="5.89"/>
    <n v="300.39"/>
    <n v="5.89"/>
    <n v="727"/>
    <n v="14.254901960784315"/>
  </r>
  <r>
    <n v="165837"/>
    <x v="53"/>
    <x v="16"/>
    <s v="TATITA FERNÃO DIAS"/>
    <n v="650056"/>
    <m/>
    <x v="0"/>
    <n v="161.81"/>
    <m/>
    <n v="5.89"/>
    <n v="953.06089999999995"/>
    <n v="5.89"/>
    <n v="311348"/>
    <n v="1924.1579630430751"/>
  </r>
  <r>
    <s v="Ajuste M."/>
    <x v="53"/>
    <x v="17"/>
    <m/>
    <n v="182089"/>
    <m/>
    <x v="0"/>
    <n v="65.3"/>
    <m/>
    <m/>
    <n v="0"/>
    <n v="0"/>
    <n v="181"/>
    <n v="2.7718223583460952"/>
  </r>
  <r>
    <s v="Ajuste M."/>
    <x v="53"/>
    <x v="17"/>
    <m/>
    <n v="183598"/>
    <m/>
    <x v="0"/>
    <n v="562.20000000000005"/>
    <m/>
    <m/>
    <n v="0"/>
    <n v="0"/>
    <n v="1509"/>
    <n v="2.6840981856990394"/>
  </r>
  <r>
    <s v="Ajuste M."/>
    <x v="54"/>
    <x v="19"/>
    <m/>
    <n v="218915"/>
    <m/>
    <x v="1"/>
    <n v="41"/>
    <m/>
    <n v="5.87"/>
    <n v="240.67000000000002"/>
    <n v="5.87"/>
    <n v="672"/>
    <n v="16.390243902439025"/>
  </r>
  <r>
    <n v="165924"/>
    <x v="53"/>
    <x v="14"/>
    <s v="TATITA FERNÃO DIAS"/>
    <n v="87796"/>
    <m/>
    <x v="0"/>
    <n v="600.77099999999996"/>
    <m/>
    <n v="5.89"/>
    <n v="3538.5411899999995"/>
    <n v="5.89"/>
    <n v="1207"/>
    <n v="2.009084992451367"/>
  </r>
  <r>
    <n v="313272"/>
    <x v="53"/>
    <x v="2"/>
    <s v="BEIRA MINHO"/>
    <n v="865177"/>
    <m/>
    <x v="0"/>
    <n v="80.430000000000007"/>
    <n v="24.13"/>
    <n v="6.29"/>
    <n v="481.77470000000005"/>
    <n v="5.9899875668282982"/>
    <n v="175"/>
    <n v="2.1758050478677107"/>
  </r>
  <r>
    <n v="312926"/>
    <x v="53"/>
    <x v="6"/>
    <s v="BEIRA MINHO"/>
    <n v="600845"/>
    <m/>
    <x v="0"/>
    <n v="160.52000000000001"/>
    <n v="48.16"/>
    <n v="6.29"/>
    <n v="961.51080000000013"/>
    <n v="5.9899750809867935"/>
    <n v="2369"/>
    <n v="14.758285571891353"/>
  </r>
  <r>
    <n v="225326"/>
    <x v="53"/>
    <x v="22"/>
    <s v="DOM PEDRO DE LEME"/>
    <n v="129714"/>
    <m/>
    <x v="0"/>
    <n v="125.017"/>
    <m/>
    <n v="5.69"/>
    <n v="711.34672999999998"/>
    <n v="5.69"/>
    <n v="797"/>
    <n v="6.3751329819144598"/>
  </r>
  <r>
    <s v="Ajuste M."/>
    <x v="53"/>
    <x v="28"/>
    <m/>
    <n v="37462"/>
    <m/>
    <x v="0"/>
    <n v="65.400000000000006"/>
    <m/>
    <m/>
    <n v="0"/>
    <n v="0"/>
    <n v="529"/>
    <n v="8.088685015290519"/>
  </r>
  <r>
    <s v="Ajuste M."/>
    <x v="55"/>
    <x v="24"/>
    <m/>
    <n v="79788"/>
    <m/>
    <x v="0"/>
    <n v="78"/>
    <m/>
    <m/>
    <n v="0"/>
    <n v="0"/>
    <n v="452"/>
    <n v="5.7948717948717947"/>
  </r>
  <r>
    <n v="132514"/>
    <x v="56"/>
    <x v="20"/>
    <s v="DOM PEDRO ATIBAIA"/>
    <n v="375904"/>
    <m/>
    <x v="0"/>
    <n v="48.7"/>
    <m/>
    <n v="5.69"/>
    <n v="277.10300000000001"/>
    <n v="5.6899999999999995"/>
    <n v="296116"/>
    <n v="6080.4106776180697"/>
  </r>
  <r>
    <n v="166439"/>
    <x v="56"/>
    <x v="31"/>
    <s v="TATITA FERNÃO DIAS"/>
    <n v="318829"/>
    <m/>
    <x v="0"/>
    <n v="88.221000000000004"/>
    <m/>
    <n v="5.89"/>
    <n v="519.62168999999994"/>
    <n v="5.8899999999999988"/>
    <n v="319"/>
    <n v="3.6159191122295145"/>
  </r>
  <r>
    <n v="317246"/>
    <x v="56"/>
    <x v="9"/>
    <s v="BEIRA MINHO"/>
    <n v="650702"/>
    <m/>
    <x v="0"/>
    <n v="141.53"/>
    <n v="42.46"/>
    <n v="6.29"/>
    <n v="847.76369999999997"/>
    <n v="5.9899929343602061"/>
    <n v="301067"/>
    <n v="2127.2309757648554"/>
  </r>
  <r>
    <n v="314983"/>
    <x v="56"/>
    <x v="9"/>
    <s v="BEIRA MINHO"/>
    <n v="70105"/>
    <m/>
    <x v="0"/>
    <n v="150.9"/>
    <n v="45.27"/>
    <n v="6.29"/>
    <n v="903.89100000000008"/>
    <n v="5.99"/>
    <n v="-580597"/>
    <n v="-3847.561298873426"/>
  </r>
  <r>
    <n v="234005"/>
    <x v="56"/>
    <x v="25"/>
    <s v="ULTRAMARINO"/>
    <n v="386212"/>
    <m/>
    <x v="0"/>
    <n v="75.239999999999995"/>
    <n v="7.52"/>
    <n v="5.77"/>
    <n v="426.61479999999995"/>
    <n v="5.6700531632110573"/>
    <n v="1022"/>
    <n v="13.583200425305689"/>
  </r>
  <r>
    <n v="573787"/>
    <x v="56"/>
    <x v="25"/>
    <s v="DOM PEDRO POUSO ALEGRE"/>
    <n v="392184"/>
    <m/>
    <x v="0"/>
    <n v="116.29"/>
    <m/>
    <n v="5.89"/>
    <n v="684.94809999999995"/>
    <n v="5.89"/>
    <n v="5972"/>
    <n v="51.354372688967231"/>
  </r>
  <r>
    <n v="225766"/>
    <x v="56"/>
    <x v="25"/>
    <s v="DOM PEDRO DE LEME"/>
    <n v="600940"/>
    <m/>
    <x v="0"/>
    <n v="116.788"/>
    <m/>
    <n v="5.69"/>
    <n v="664.52372000000003"/>
    <n v="5.69"/>
    <n v="208756"/>
    <n v="1787.4781655649554"/>
  </r>
  <r>
    <s v="Ajuste M."/>
    <x v="56"/>
    <x v="33"/>
    <m/>
    <m/>
    <m/>
    <x v="0"/>
    <n v="59.52"/>
    <m/>
    <m/>
    <n v="0"/>
    <n v="0"/>
    <m/>
    <m/>
  </r>
  <r>
    <n v="573526"/>
    <x v="56"/>
    <x v="29"/>
    <s v="DOM PEDRO POUSO ALEGRE"/>
    <n v="294340"/>
    <m/>
    <x v="0"/>
    <n v="61.03"/>
    <m/>
    <n v="5.89"/>
    <n v="359.4667"/>
    <n v="5.89"/>
    <n v="412"/>
    <n v="6.75077830575127"/>
  </r>
  <r>
    <n v="133156"/>
    <x v="57"/>
    <x v="6"/>
    <s v="DOM PEDRO ATIBAIA"/>
    <n v="924733"/>
    <m/>
    <x v="2"/>
    <n v="33.43"/>
    <m/>
    <n v="3.29"/>
    <n v="109.9847"/>
    <n v="3.29"/>
    <m/>
    <n v="0"/>
  </r>
  <r>
    <s v="Ajuste M."/>
    <x v="56"/>
    <x v="29"/>
    <m/>
    <n v="297896"/>
    <m/>
    <x v="0"/>
    <n v="29"/>
    <m/>
    <m/>
    <n v="0"/>
    <n v="0"/>
    <n v="3556"/>
    <n v="122.62068965517241"/>
  </r>
  <r>
    <n v="518344"/>
    <x v="56"/>
    <x v="29"/>
    <s v="COMBO AUTO POSTO"/>
    <n v="298412"/>
    <m/>
    <x v="0"/>
    <n v="72.421000000000006"/>
    <m/>
    <n v="6.37"/>
    <n v="461.32177000000007"/>
    <n v="6.37"/>
    <n v="516"/>
    <n v="7.1250051780560879"/>
  </r>
  <r>
    <s v="Ajuste M."/>
    <x v="56"/>
    <x v="7"/>
    <m/>
    <n v="79876"/>
    <m/>
    <x v="1"/>
    <n v="36.36"/>
    <m/>
    <m/>
    <n v="0"/>
    <n v="0"/>
    <n v="403"/>
    <n v="11.083608360836084"/>
  </r>
  <r>
    <n v="166854"/>
    <x v="58"/>
    <x v="7"/>
    <s v="TATITA FERNÃO DIAS"/>
    <n v="80194"/>
    <m/>
    <x v="1"/>
    <n v="23.19"/>
    <m/>
    <n v="5.59"/>
    <n v="129.63210000000001"/>
    <n v="5.59"/>
    <n v="318"/>
    <n v="13.71280724450194"/>
  </r>
  <r>
    <n v="166774"/>
    <x v="58"/>
    <x v="6"/>
    <s v="TATITA FERNÃO DIAS"/>
    <n v="601477"/>
    <m/>
    <x v="2"/>
    <n v="23.001000000000001"/>
    <m/>
    <n v="3.69"/>
    <n v="84.873689999999996"/>
    <n v="3.6899999999999995"/>
    <m/>
    <n v="0"/>
  </r>
  <r>
    <n v="166715"/>
    <x v="57"/>
    <x v="27"/>
    <s v="TATITA FERNÃO DIAS"/>
    <n v="108593"/>
    <m/>
    <x v="0"/>
    <n v="38.47"/>
    <m/>
    <n v="5.89"/>
    <n v="226.58829999999998"/>
    <n v="5.89"/>
    <n v="167"/>
    <n v="4.3410449701065765"/>
  </r>
  <r>
    <n v="316508"/>
    <x v="57"/>
    <x v="18"/>
    <s v="BEIRA MINHO"/>
    <n v="655430"/>
    <m/>
    <x v="0"/>
    <n v="157.13"/>
    <n v="47.14"/>
    <n v="6.29"/>
    <n v="941.20770000000005"/>
    <n v="5.9899936358429331"/>
    <n v="520"/>
    <n v="3.3093616750461403"/>
  </r>
  <r>
    <n v="58010"/>
    <x v="57"/>
    <x v="29"/>
    <s v="ULTRAMARINO"/>
    <n v="298484"/>
    <m/>
    <x v="0"/>
    <n v="52.411000000000001"/>
    <n v="5.24"/>
    <n v="5.77"/>
    <n v="297.17147"/>
    <n v="5.6700209879605428"/>
    <n v="72"/>
    <n v="1.3737574173360554"/>
  </r>
  <r>
    <n v="133155"/>
    <x v="57"/>
    <x v="5"/>
    <s v="DOM PEDRO ATIBAIA"/>
    <n v="591976"/>
    <m/>
    <x v="0"/>
    <n v="142"/>
    <m/>
    <n v="5.69"/>
    <n v="807.98"/>
    <n v="5.69"/>
    <n v="687"/>
    <n v="4.8380281690140849"/>
  </r>
  <r>
    <n v="259856"/>
    <x v="57"/>
    <x v="8"/>
    <s v="DOM PEDRO ITAPEVA"/>
    <n v="924156"/>
    <m/>
    <x v="0"/>
    <n v="410.3"/>
    <m/>
    <n v="5.79"/>
    <n v="2375.6370000000002"/>
    <n v="5.79"/>
    <n v="931"/>
    <n v="2.2690714111625638"/>
  </r>
  <r>
    <s v="Ajuste M."/>
    <x v="57"/>
    <x v="28"/>
    <m/>
    <n v="38065"/>
    <m/>
    <x v="0"/>
    <n v="74.5"/>
    <m/>
    <m/>
    <n v="0"/>
    <n v="0"/>
    <n v="603"/>
    <n v="8.0939597315436238"/>
  </r>
  <r>
    <n v="166921"/>
    <x v="58"/>
    <x v="2"/>
    <s v="TATITA FERNÃO DIAS"/>
    <n v="866629"/>
    <m/>
    <x v="0"/>
    <n v="357.08"/>
    <m/>
    <n v="5.89"/>
    <n v="2103.2012"/>
    <n v="5.8900000000000006"/>
    <n v="1452"/>
    <n v="4.0663156715581943"/>
  </r>
  <r>
    <n v="166774"/>
    <x v="58"/>
    <x v="6"/>
    <s v="TATITA FERNÃO DIAS"/>
    <n v="601477"/>
    <m/>
    <x v="0"/>
    <n v="120"/>
    <m/>
    <n v="5.89"/>
    <n v="706.8"/>
    <n v="5.89"/>
    <n v="632"/>
    <n v="5.2666666666666666"/>
  </r>
  <r>
    <n v="317321"/>
    <x v="58"/>
    <x v="25"/>
    <s v="BEIRA MINHO"/>
    <n v="387136"/>
    <m/>
    <x v="0"/>
    <n v="78.87"/>
    <n v="23.66"/>
    <n v="6.29"/>
    <n v="472.4323"/>
    <n v="5.9900126790921764"/>
    <n v="-213804"/>
    <n v="-2710.8406238113348"/>
  </r>
  <r>
    <n v="317517"/>
    <x v="58"/>
    <x v="33"/>
    <s v="BEIRA MINHO"/>
    <n v="70544"/>
    <m/>
    <x v="0"/>
    <n v="124.43"/>
    <n v="37.33"/>
    <n v="6.29"/>
    <n v="745.3347"/>
    <n v="5.9899919633528889"/>
    <n v="70544"/>
    <n v="566.93723378606444"/>
  </r>
  <r>
    <n v="234433"/>
    <x v="58"/>
    <x v="0"/>
    <s v="ULTRAMARINO"/>
    <n v="376252"/>
    <m/>
    <x v="0"/>
    <n v="49.011000000000003"/>
    <n v="4.9000000000000004"/>
    <n v="5.77"/>
    <n v="277.89347000000004"/>
    <n v="5.6700224439411562"/>
    <n v="1671"/>
    <n v="34.094386974352695"/>
  </r>
  <r>
    <n v="234558"/>
    <x v="58"/>
    <x v="14"/>
    <s v="ULTRAMARINO"/>
    <n v="88684"/>
    <m/>
    <x v="0"/>
    <n v="610.92100000000005"/>
    <n v="61.09"/>
    <n v="5.77"/>
    <n v="3463.9241699999998"/>
    <n v="5.6700034374329897"/>
    <n v="888"/>
    <n v="1.4535430931331546"/>
  </r>
  <r>
    <n v="166989"/>
    <x v="59"/>
    <x v="18"/>
    <s v="TATITA FERNÃO DIAS"/>
    <n v="655592"/>
    <m/>
    <x v="2"/>
    <n v="23.844000000000001"/>
    <m/>
    <n v="3.69"/>
    <n v="87.984360000000009"/>
    <n v="3.6900000000000004"/>
    <m/>
    <n v="0"/>
  </r>
  <r>
    <n v="617965"/>
    <x v="58"/>
    <x v="6"/>
    <s v="GAVIÃO DA ANHANGUERA"/>
    <n v="602125"/>
    <m/>
    <x v="0"/>
    <n v="132.589"/>
    <m/>
    <n v="5.79"/>
    <n v="767.69030999999995"/>
    <n v="5.79"/>
    <n v="648"/>
    <n v="4.8872832587922073"/>
  </r>
  <r>
    <s v="Ajuste M."/>
    <x v="58"/>
    <x v="10"/>
    <m/>
    <n v="234515"/>
    <m/>
    <x v="0"/>
    <n v="22.512"/>
    <m/>
    <m/>
    <n v="0"/>
    <n v="0"/>
    <n v="172"/>
    <n v="7.6403695806680876"/>
  </r>
  <r>
    <n v="574456"/>
    <x v="58"/>
    <x v="10"/>
    <s v="DOM PEDRO POUSO ALEGRE"/>
    <n v="234936"/>
    <m/>
    <x v="0"/>
    <n v="53.02"/>
    <m/>
    <n v="5.79"/>
    <n v="306.98580000000004"/>
    <n v="5.79"/>
    <n v="421"/>
    <n v="7.9403998491135415"/>
  </r>
  <r>
    <n v="574766"/>
    <x v="58"/>
    <x v="5"/>
    <s v="DOM PEDRO POUSO ALEGRE"/>
    <n v="592663"/>
    <m/>
    <x v="0"/>
    <n v="130.41"/>
    <m/>
    <n v="5.79"/>
    <n v="755.07389999999998"/>
    <n v="5.79"/>
    <n v="687"/>
    <n v="5.268000920174833"/>
  </r>
  <r>
    <s v="Ajuste M."/>
    <x v="58"/>
    <x v="0"/>
    <m/>
    <n v="376563"/>
    <m/>
    <x v="0"/>
    <n v="38.9"/>
    <m/>
    <m/>
    <n v="0"/>
    <n v="0"/>
    <n v="311"/>
    <n v="7.994858611825193"/>
  </r>
  <r>
    <n v="614400"/>
    <x v="59"/>
    <x v="0"/>
    <s v="AUTO POSTO RVM MAX"/>
    <n v="376721"/>
    <m/>
    <x v="0"/>
    <n v="21.739000000000001"/>
    <m/>
    <n v="5.75"/>
    <n v="124.99925"/>
    <n v="5.75"/>
    <n v="158"/>
    <n v="7.2680436082616495"/>
  </r>
  <r>
    <s v="Ajuste M."/>
    <x v="51"/>
    <x v="13"/>
    <m/>
    <n v="107723"/>
    <m/>
    <x v="0"/>
    <n v="62.25"/>
    <m/>
    <m/>
    <n v="0"/>
    <n v="0"/>
    <n v="502"/>
    <n v="8.0642570281124506"/>
  </r>
  <r>
    <s v="Ajuste M."/>
    <x v="52"/>
    <x v="13"/>
    <m/>
    <n v="108223"/>
    <m/>
    <x v="0"/>
    <n v="56"/>
    <m/>
    <m/>
    <n v="0"/>
    <n v="0"/>
    <n v="500"/>
    <n v="8.9285714285714288"/>
  </r>
  <r>
    <s v="Ajuste M."/>
    <x v="59"/>
    <x v="13"/>
    <m/>
    <n v="108914"/>
    <m/>
    <x v="0"/>
    <n v="80"/>
    <m/>
    <m/>
    <n v="0"/>
    <n v="0"/>
    <n v="691"/>
    <n v="8.6374999999999993"/>
  </r>
  <r>
    <n v="166965"/>
    <x v="59"/>
    <x v="13"/>
    <s v="TATITA FERNÃO DIAS"/>
    <n v="109236"/>
    <m/>
    <x v="0"/>
    <n v="44.08"/>
    <m/>
    <n v="5.89"/>
    <n v="259.63119999999998"/>
    <n v="5.89"/>
    <n v="322"/>
    <n v="7.304900181488204"/>
  </r>
  <r>
    <n v="166992"/>
    <x v="59"/>
    <x v="10"/>
    <s v="TATITA FERNÃO DIAS"/>
    <n v="235323"/>
    <m/>
    <x v="0"/>
    <n v="43.869"/>
    <m/>
    <n v="5.89"/>
    <n v="258.38840999999996"/>
    <n v="5.8899999999999988"/>
    <n v="808"/>
    <n v="18.418473181517701"/>
  </r>
  <r>
    <s v="Ajuste M."/>
    <x v="59"/>
    <x v="26"/>
    <m/>
    <n v="706954"/>
    <m/>
    <x v="0"/>
    <n v="186.24"/>
    <m/>
    <m/>
    <n v="0"/>
    <n v="0"/>
    <n v="1313"/>
    <n v="7.0500429553264601"/>
  </r>
  <r>
    <n v="167034"/>
    <x v="59"/>
    <x v="26"/>
    <s v="TATITA FERNÃO DIAS"/>
    <n v="707577"/>
    <m/>
    <x v="0"/>
    <n v="199.75"/>
    <m/>
    <n v="5.89"/>
    <n v="1176.5274999999999"/>
    <n v="5.89"/>
    <n v="623"/>
    <n v="3.1188986232790987"/>
  </r>
  <r>
    <n v="310431"/>
    <x v="59"/>
    <x v="2"/>
    <s v="TIGRÃO DA DUTRA"/>
    <n v="866953"/>
    <m/>
    <x v="0"/>
    <n v="152.01499999999999"/>
    <n v="65.36"/>
    <n v="6.02"/>
    <n v="849.77029999999979"/>
    <n v="5.5900424300233524"/>
    <n v="324"/>
    <n v="2.1313686149393152"/>
  </r>
  <r>
    <n v="326464"/>
    <x v="59"/>
    <x v="16"/>
    <s v="DOM PEDRO POUSO ALEGRE"/>
    <n v="339928"/>
    <m/>
    <x v="2"/>
    <n v="7.15"/>
    <m/>
    <n v="3.29"/>
    <n v="23.523500000000002"/>
    <n v="3.29"/>
    <m/>
    <n v="0"/>
  </r>
  <r>
    <n v="59069"/>
    <x v="59"/>
    <x v="0"/>
    <s v="ULTRAMARINO"/>
    <n v="377072"/>
    <m/>
    <x v="0"/>
    <n v="44.2"/>
    <n v="4.42"/>
    <n v="5.77"/>
    <n v="250.614"/>
    <n v="5.67"/>
    <n v="351"/>
    <n v="7.9411764705882346"/>
  </r>
  <r>
    <n v="291350"/>
    <x v="27"/>
    <x v="27"/>
    <s v="BEIRA MINHO"/>
    <n v="109887"/>
    <m/>
    <x v="0"/>
    <n v="222.19"/>
    <n v="66.66"/>
    <n v="6.69"/>
    <n v="1419.7910999999999"/>
    <n v="6.3899864980422159"/>
    <n v="1294"/>
    <n v="5.8238444574463299"/>
  </r>
  <r>
    <n v="254137"/>
    <x v="58"/>
    <x v="27"/>
    <s v="DOM PEDRO ITAPEVA"/>
    <n v="110891"/>
    <m/>
    <x v="0"/>
    <n v="232.76"/>
    <m/>
    <n v="6.09"/>
    <n v="1417.5083999999999"/>
    <n v="6.09"/>
    <n v="1004"/>
    <n v="4.3134559202612133"/>
  </r>
  <r>
    <s v="Ajuste M."/>
    <x v="59"/>
    <x v="27"/>
    <m/>
    <n v="111555"/>
    <m/>
    <x v="0"/>
    <n v="178.6"/>
    <m/>
    <m/>
    <n v="0"/>
    <n v="0"/>
    <n v="664"/>
    <n v="3.7178051511758121"/>
  </r>
  <r>
    <s v="Ajuste M."/>
    <x v="59"/>
    <x v="27"/>
    <m/>
    <n v="112217"/>
    <m/>
    <x v="0"/>
    <n v="184.52"/>
    <m/>
    <m/>
    <n v="0"/>
    <n v="0"/>
    <n v="662"/>
    <n v="3.5876869716019941"/>
  </r>
  <r>
    <n v="260343"/>
    <x v="59"/>
    <x v="27"/>
    <s v="DOM PEDRO ITAPEVA"/>
    <n v="112884"/>
    <m/>
    <x v="0"/>
    <n v="179.54499999999999"/>
    <m/>
    <n v="5.59"/>
    <n v="1003.6565499999999"/>
    <n v="5.59"/>
    <n v="667"/>
    <n v="3.7149461137876303"/>
  </r>
  <r>
    <n v="326464"/>
    <x v="59"/>
    <x v="16"/>
    <s v="DOM PEDRO POUSO ALEGRE"/>
    <n v="339928"/>
    <m/>
    <x v="0"/>
    <n v="121.42"/>
    <m/>
    <n v="5.79"/>
    <n v="703.02179999999998"/>
    <n v="5.79"/>
    <n v="-310128"/>
    <n v="-2554.1755888650964"/>
  </r>
  <r>
    <n v="260323"/>
    <x v="59"/>
    <x v="12"/>
    <s v="DOM PEDRO ITAPEVA"/>
    <n v="214891"/>
    <m/>
    <x v="0"/>
    <n v="77.8"/>
    <m/>
    <n v="5.79"/>
    <n v="450.46199999999999"/>
    <n v="5.79"/>
    <n v="376"/>
    <n v="4.8329048843187659"/>
  </r>
  <r>
    <n v="575239"/>
    <x v="59"/>
    <x v="29"/>
    <s v="DOM PEDRO POUSO ALEGRE"/>
    <n v="294377"/>
    <m/>
    <x v="0"/>
    <n v="222.55"/>
    <m/>
    <n v="5.79"/>
    <n v="1288.5645000000002"/>
    <n v="5.7900000000000009"/>
    <n v="-4107"/>
    <n v="-18.454279937092789"/>
  </r>
  <r>
    <n v="518894"/>
    <x v="59"/>
    <x v="31"/>
    <s v="COMBO AUTO POSTO"/>
    <n v="298984"/>
    <m/>
    <x v="0"/>
    <n v="78.911000000000001"/>
    <m/>
    <n v="6.37"/>
    <n v="502.66307"/>
    <n v="6.37"/>
    <n v="-19845"/>
    <n v="-251.48585114876252"/>
  </r>
  <r>
    <n v="321151"/>
    <x v="59"/>
    <x v="18"/>
    <s v="BEIRA MINHO"/>
    <n v="656109"/>
    <m/>
    <x v="0"/>
    <n v="167.97"/>
    <n v="50.39"/>
    <n v="6.29"/>
    <n v="1006.1413000000001"/>
    <n v="5.9900059534440677"/>
    <n v="679"/>
    <n v="4.0423885217598379"/>
  </r>
  <r>
    <n v="277123"/>
    <x v="60"/>
    <x v="22"/>
    <s v="POSTO ZÉ RAMOS"/>
    <n v="130511"/>
    <m/>
    <x v="0"/>
    <n v="180.11"/>
    <m/>
    <n v="5.99"/>
    <n v="1078.8589000000002"/>
    <n v="5.99"/>
    <n v="797"/>
    <n v="4.4250735661540164"/>
  </r>
  <r>
    <n v="167230"/>
    <x v="60"/>
    <x v="1"/>
    <s v="TATITA FERNÃO DIAS"/>
    <n v="319243"/>
    <m/>
    <x v="0"/>
    <n v="108.509"/>
    <m/>
    <n v="5.89"/>
    <n v="639.11800999999991"/>
    <n v="5.8899999999999988"/>
    <n v="1136"/>
    <n v="10.469177671898183"/>
  </r>
  <r>
    <s v="Ajuste M."/>
    <x v="60"/>
    <x v="7"/>
    <m/>
    <n v="80552"/>
    <m/>
    <x v="1"/>
    <n v="32.520000000000003"/>
    <m/>
    <m/>
    <n v="0"/>
    <n v="0"/>
    <n v="358"/>
    <n v="11.008610086100861"/>
  </r>
  <r>
    <n v="160732"/>
    <x v="61"/>
    <x v="7"/>
    <s v="AUTO POSTO GIGIO"/>
    <n v="80929"/>
    <m/>
    <x v="1"/>
    <n v="34.417999999999999"/>
    <m/>
    <n v="5.44"/>
    <n v="187.23392000000001"/>
    <n v="5.44"/>
    <n v="377"/>
    <n v="10.953570805973619"/>
  </r>
  <r>
    <n v="318827"/>
    <x v="60"/>
    <x v="33"/>
    <s v="BEIRA MINHO"/>
    <n v="70587"/>
    <m/>
    <x v="0"/>
    <n v="15.42"/>
    <n v="42.08"/>
    <n v="6.29"/>
    <n v="54.911799999999999"/>
    <n v="3.5610765239948119"/>
    <n v="43"/>
    <n v="2.7885862516212709"/>
  </r>
  <r>
    <n v="379571"/>
    <x v="60"/>
    <x v="6"/>
    <s v="DOM PEDRO ESTIVA"/>
    <n v="602512"/>
    <m/>
    <x v="0"/>
    <n v="116.011"/>
    <m/>
    <n v="5.79"/>
    <n v="671.70368999999994"/>
    <n v="5.79"/>
    <n v="387"/>
    <n v="3.33589056210187"/>
  </r>
  <r>
    <n v="226606"/>
    <x v="60"/>
    <x v="22"/>
    <s v="DOM PEDRO DE LEME"/>
    <n v="131098"/>
    <m/>
    <x v="0"/>
    <n v="143.054"/>
    <m/>
    <n v="5.59"/>
    <n v="799.67186000000004"/>
    <n v="5.59"/>
    <n v="587"/>
    <n v="4.1033455897772866"/>
  </r>
  <r>
    <s v="Ajuste M."/>
    <x v="60"/>
    <x v="28"/>
    <m/>
    <n v="38761"/>
    <m/>
    <x v="0"/>
    <n v="81"/>
    <m/>
    <m/>
    <n v="0"/>
    <n v="0"/>
    <n v="696"/>
    <n v="8.5925925925925934"/>
  </r>
  <r>
    <n v="60889"/>
    <x v="62"/>
    <x v="5"/>
    <s v="ULTRAMARINO"/>
    <n v="593235"/>
    <m/>
    <x v="0"/>
    <n v="143.85"/>
    <n v="14.39"/>
    <n v="5.77"/>
    <n v="815.6244999999999"/>
    <n v="5.6699652415710808"/>
    <n v="572"/>
    <n v="3.9763642683350713"/>
  </r>
  <r>
    <s v="Ajuste M."/>
    <x v="62"/>
    <x v="12"/>
    <m/>
    <n v="215312"/>
    <m/>
    <x v="0"/>
    <n v="87.52"/>
    <m/>
    <m/>
    <n v="0"/>
    <n v="0"/>
    <n v="421"/>
    <n v="4.8103290676416819"/>
  </r>
  <r>
    <n v="287651"/>
    <x v="61"/>
    <x v="12"/>
    <s v="POSTO ZÉ RAMOS"/>
    <n v="215812"/>
    <m/>
    <x v="0"/>
    <n v="115.2"/>
    <m/>
    <n v="5.99"/>
    <n v="690.048"/>
    <n v="5.99"/>
    <n v="500"/>
    <n v="4.3402777777777777"/>
  </r>
  <r>
    <n v="167849"/>
    <x v="61"/>
    <x v="11"/>
    <s v="TATITA FERNÃO DIAS"/>
    <n v="651356"/>
    <m/>
    <x v="0"/>
    <n v="143.01"/>
    <m/>
    <n v="5.79"/>
    <n v="828.02789999999993"/>
    <n v="5.79"/>
    <n v="2006"/>
    <n v="14.026991119502133"/>
  </r>
  <r>
    <n v="320959"/>
    <x v="61"/>
    <x v="24"/>
    <s v="BEIRA MINHO"/>
    <n v="80266"/>
    <m/>
    <x v="0"/>
    <n v="89.47"/>
    <n v="26.84"/>
    <n v="6.29"/>
    <n v="535.92629999999997"/>
    <n v="5.9900111769308149"/>
    <n v="478"/>
    <n v="5.3425729294735662"/>
  </r>
  <r>
    <s v="Ajuste M."/>
    <x v="61"/>
    <x v="30"/>
    <m/>
    <n v="305610"/>
    <m/>
    <x v="0"/>
    <n v="65.209999999999994"/>
    <m/>
    <m/>
    <n v="0"/>
    <n v="0"/>
    <n v="354"/>
    <n v="5.4286152430608805"/>
  </r>
  <r>
    <n v="320965"/>
    <x v="61"/>
    <x v="30"/>
    <s v="BEIRA MINHO"/>
    <n v="306170"/>
    <m/>
    <x v="0"/>
    <n v="97.93"/>
    <n v="29.38"/>
    <n v="6.29"/>
    <n v="586.5997000000001"/>
    <n v="5.9899897886245279"/>
    <n v="560"/>
    <n v="5.7183702644746246"/>
  </r>
  <r>
    <n v="73085"/>
    <x v="61"/>
    <x v="10"/>
    <s v="RODOPOSTO MIRANTE"/>
    <n v="235830"/>
    <m/>
    <x v="0"/>
    <n v="62.987000000000002"/>
    <n v="33.380000000000003"/>
    <n v="6.02"/>
    <n v="345.80174"/>
    <n v="5.4900493752679118"/>
    <n v="507"/>
    <n v="8.0492800101608264"/>
  </r>
  <r>
    <s v="Ajuste M."/>
    <x v="61"/>
    <x v="13"/>
    <m/>
    <n v="109488"/>
    <m/>
    <x v="0"/>
    <n v="29"/>
    <m/>
    <m/>
    <n v="0"/>
    <n v="0"/>
    <n v="252"/>
    <n v="8.6896551724137936"/>
  </r>
  <r>
    <s v="Ajuste M."/>
    <x v="61"/>
    <x v="13"/>
    <m/>
    <n v="109738"/>
    <m/>
    <x v="0"/>
    <n v="28.56"/>
    <m/>
    <m/>
    <n v="0"/>
    <n v="0"/>
    <n v="250"/>
    <n v="8.753501400560225"/>
  </r>
  <r>
    <n v="576953"/>
    <x v="61"/>
    <x v="13"/>
    <s v="DOM PEDRO POUSO ALEGRE"/>
    <n v="109993"/>
    <m/>
    <x v="0"/>
    <n v="32.154000000000003"/>
    <m/>
    <n v="5.69"/>
    <n v="182.95626000000004"/>
    <n v="5.69"/>
    <n v="255"/>
    <n v="7.9305840641910796"/>
  </r>
  <r>
    <n v="519794"/>
    <x v="61"/>
    <x v="15"/>
    <s v="COMBO AUTO POSTO"/>
    <n v="290789"/>
    <m/>
    <x v="0"/>
    <n v="113.56100000000001"/>
    <m/>
    <n v="6.37"/>
    <n v="723.38357000000008"/>
    <n v="6.37"/>
    <n v="551"/>
    <n v="4.8520178582435864"/>
  </r>
  <r>
    <n v="618689"/>
    <x v="63"/>
    <x v="28"/>
    <s v="AUTO POSTO RVM MAX"/>
    <n v="39370"/>
    <m/>
    <x v="0"/>
    <n v="76.290000000000006"/>
    <m/>
    <n v="5.75"/>
    <n v="438.66750000000002"/>
    <n v="5.75"/>
    <n v="609"/>
    <n v="7.9826976012583559"/>
  </r>
  <r>
    <n v="520031"/>
    <x v="63"/>
    <x v="21"/>
    <s v="COMBO AUTO POSTO"/>
    <n v="126087"/>
    <m/>
    <x v="1"/>
    <n v="52.640999999999998"/>
    <m/>
    <n v="5.64"/>
    <n v="296.89524"/>
    <n v="5.6400000000000006"/>
    <n v="485"/>
    <n v="9.2133508102049735"/>
  </r>
  <r>
    <s v="Ajuste M."/>
    <x v="63"/>
    <x v="33"/>
    <m/>
    <n v="70983"/>
    <m/>
    <x v="0"/>
    <n v="132.30000000000001"/>
    <m/>
    <m/>
    <n v="0"/>
    <n v="0"/>
    <n v="396"/>
    <n v="2.9931972789115644"/>
  </r>
  <r>
    <n v="322025"/>
    <x v="63"/>
    <x v="33"/>
    <s v="BEIRA MINHO"/>
    <n v="71504"/>
    <m/>
    <x v="0"/>
    <n v="162.31"/>
    <n v="48.69"/>
    <n v="6.29"/>
    <n v="972.23990000000003"/>
    <n v="5.9900184831495284"/>
    <n v="521"/>
    <n v="3.2099069681473722"/>
  </r>
  <r>
    <s v="Ajuste M."/>
    <x v="63"/>
    <x v="7"/>
    <m/>
    <n v="81151"/>
    <m/>
    <x v="1"/>
    <n v="21.36"/>
    <m/>
    <m/>
    <n v="0"/>
    <n v="0"/>
    <n v="222"/>
    <n v="10.393258426966293"/>
  </r>
  <r>
    <n v="161150"/>
    <x v="64"/>
    <x v="7"/>
    <s v="AUTO POSTO GIGIO"/>
    <n v="81486"/>
    <m/>
    <x v="1"/>
    <n v="26.431000000000001"/>
    <m/>
    <n v="5.44"/>
    <n v="143.78464000000002"/>
    <n v="5.44"/>
    <n v="335"/>
    <n v="12.674510990881918"/>
  </r>
  <r>
    <n v="322562"/>
    <x v="64"/>
    <x v="25"/>
    <s v="BEIRA MINHO"/>
    <n v="387606"/>
    <m/>
    <x v="0"/>
    <n v="92.54"/>
    <n v="27.76"/>
    <n v="6.29"/>
    <n v="554.31660000000011"/>
    <n v="5.9900216122757737"/>
    <n v="470"/>
    <n v="5.0788848065701311"/>
  </r>
  <r>
    <n v="62258"/>
    <x v="64"/>
    <x v="28"/>
    <s v="ULTRAMARINO"/>
    <n v="39872"/>
    <m/>
    <x v="0"/>
    <n v="62.890999999999998"/>
    <n v="6.29"/>
    <n v="5.77"/>
    <n v="356.59106999999995"/>
    <n v="5.6699856895263228"/>
    <n v="502"/>
    <n v="7.9820642063252292"/>
  </r>
  <r>
    <n v="138559"/>
    <x v="64"/>
    <x v="8"/>
    <s v="DOM PEDRO ATIBAIA"/>
    <n v="926337"/>
    <m/>
    <x v="0"/>
    <n v="620"/>
    <m/>
    <n v="5.69"/>
    <n v="3527.8"/>
    <n v="5.69"/>
    <n v="2181"/>
    <n v="3.5177419354838708"/>
  </r>
  <r>
    <n v="223241"/>
    <x v="64"/>
    <x v="27"/>
    <s v="DOM PEDRO ESTIVA"/>
    <n v="113713"/>
    <m/>
    <x v="0"/>
    <n v="219"/>
    <m/>
    <n v="5.69"/>
    <n v="1246.1100000000001"/>
    <n v="5.69"/>
    <n v="829"/>
    <n v="3.7853881278538815"/>
  </r>
  <r>
    <n v="138400"/>
    <x v="64"/>
    <x v="14"/>
    <s v="DOM PEDRO ATIBAIA"/>
    <n v="90258"/>
    <m/>
    <x v="0"/>
    <n v="540"/>
    <m/>
    <n v="5.69"/>
    <n v="3072.6000000000004"/>
    <n v="5.69"/>
    <n v="1574"/>
    <n v="2.914814814814815"/>
  </r>
  <r>
    <n v="138570"/>
    <x v="64"/>
    <x v="5"/>
    <s v="DOM PEDRO ATIBAIA"/>
    <n v="593803"/>
    <m/>
    <x v="0"/>
    <n v="149"/>
    <m/>
    <n v="5.69"/>
    <n v="847.81000000000006"/>
    <n v="5.69"/>
    <n v="568"/>
    <n v="3.8120805369127515"/>
  </r>
  <r>
    <n v="135534"/>
    <x v="64"/>
    <x v="2"/>
    <s v="DOM PEDRO DE MIRACATU"/>
    <n v="868212"/>
    <m/>
    <x v="0"/>
    <n v="312.00700000000001"/>
    <m/>
    <n v="5.49"/>
    <n v="1712.9184300000002"/>
    <n v="5.49"/>
    <n v="1259"/>
    <n v="4.0351658776886419"/>
  </r>
  <r>
    <n v="155466"/>
    <x v="64"/>
    <x v="26"/>
    <s v="DOM PEDRO CAMBUÍ"/>
    <n v="708260"/>
    <m/>
    <x v="0"/>
    <n v="200"/>
    <m/>
    <n v="5.69"/>
    <n v="1138"/>
    <n v="5.69"/>
    <n v="683"/>
    <n v="3.415"/>
  </r>
  <r>
    <s v="Ajuste M."/>
    <x v="64"/>
    <x v="10"/>
    <m/>
    <n v="236276"/>
    <m/>
    <x v="0"/>
    <n v="61.58"/>
    <m/>
    <m/>
    <n v="0"/>
    <n v="0"/>
    <n v="446"/>
    <n v="7.2426112374147449"/>
  </r>
  <r>
    <n v="73784"/>
    <x v="64"/>
    <x v="10"/>
    <s v="RODOPOSTO MIRANTE"/>
    <n v="236567"/>
    <m/>
    <x v="0"/>
    <n v="37.658000000000001"/>
    <n v="19.95"/>
    <n v="6.02"/>
    <n v="206.75116"/>
    <n v="5.4902320887991927"/>
    <n v="291"/>
    <n v="7.727441712252376"/>
  </r>
  <r>
    <n v="620278"/>
    <x v="65"/>
    <x v="6"/>
    <s v="AUTO POSTO RVM MAX"/>
    <n v="603770"/>
    <m/>
    <x v="2"/>
    <n v="18"/>
    <m/>
    <n v="3.89"/>
    <n v="70.02"/>
    <n v="3.8899999999999997"/>
    <m/>
    <n v="0"/>
  </r>
  <r>
    <s v="Ajuste M."/>
    <x v="64"/>
    <x v="6"/>
    <m/>
    <n v="603085"/>
    <m/>
    <x v="0"/>
    <n v="125.6"/>
    <m/>
    <m/>
    <n v="0"/>
    <n v="0"/>
    <n v="573"/>
    <n v="4.5621019108280256"/>
  </r>
  <r>
    <n v="620276"/>
    <x v="65"/>
    <x v="6"/>
    <s v="AUTO POSTO RVM MAX"/>
    <n v="603770"/>
    <m/>
    <x v="0"/>
    <n v="142.15"/>
    <m/>
    <n v="5.75"/>
    <n v="817.36250000000007"/>
    <n v="5.75"/>
    <n v="685"/>
    <n v="4.8188533239535696"/>
  </r>
  <r>
    <n v="323885"/>
    <x v="65"/>
    <x v="33"/>
    <s v="BEIRA MINHO"/>
    <n v="71951"/>
    <m/>
    <x v="0"/>
    <n v="142.63999999999999"/>
    <n v="42.79"/>
    <n v="6.29"/>
    <n v="854.41559999999993"/>
    <n v="5.9900140213123949"/>
    <n v="447"/>
    <n v="3.1337633202467754"/>
  </r>
  <r>
    <s v="Ajuste M."/>
    <x v="65"/>
    <x v="13"/>
    <m/>
    <n v="110244"/>
    <m/>
    <x v="0"/>
    <n v="27.9"/>
    <m/>
    <m/>
    <n v="0"/>
    <n v="0"/>
    <n v="251"/>
    <n v="8.9964157706093193"/>
  </r>
  <r>
    <s v="Ajuste M."/>
    <x v="65"/>
    <x v="13"/>
    <m/>
    <n v="110498"/>
    <m/>
    <x v="0"/>
    <n v="30.6"/>
    <m/>
    <m/>
    <n v="0"/>
    <n v="0"/>
    <n v="254"/>
    <n v="8.3006535947712408"/>
  </r>
  <r>
    <s v="Ajuste M."/>
    <x v="65"/>
    <x v="13"/>
    <m/>
    <n v="110746"/>
    <m/>
    <x v="0"/>
    <n v="29.2"/>
    <m/>
    <m/>
    <n v="0"/>
    <n v="0"/>
    <n v="248"/>
    <n v="8.493150684931507"/>
  </r>
  <r>
    <n v="62585"/>
    <x v="65"/>
    <x v="13"/>
    <s v="ULTRAMARINO"/>
    <n v="111002"/>
    <m/>
    <x v="0"/>
    <n v="40.710999999999999"/>
    <n v="4.07"/>
    <n v="5.77"/>
    <n v="230.83246999999997"/>
    <n v="5.6700270197243983"/>
    <n v="256"/>
    <n v="6.2882267691778635"/>
  </r>
  <r>
    <n v="139214"/>
    <x v="65"/>
    <x v="13"/>
    <s v="DOM PEDRO ATIBAIA"/>
    <n v="111241"/>
    <m/>
    <x v="0"/>
    <n v="32.299999999999997"/>
    <m/>
    <n v="5.69"/>
    <n v="183.78700000000001"/>
    <n v="5.69"/>
    <n v="239"/>
    <n v="7.3993808049535614"/>
  </r>
  <r>
    <n v="279415"/>
    <x v="66"/>
    <x v="19"/>
    <s v="POSTO ZÉ RAMOS"/>
    <n v="219188"/>
    <m/>
    <x v="1"/>
    <n v="29.3"/>
    <m/>
    <n v="5.6"/>
    <n v="164.07999999999998"/>
    <n v="5.6"/>
    <n v="273"/>
    <n v="10.173660281732131"/>
  </r>
  <r>
    <n v="313383"/>
    <x v="66"/>
    <x v="18"/>
    <s v="TIGRÃO DA DUTRA"/>
    <n v="926854"/>
    <m/>
    <x v="2"/>
    <n v="24.831"/>
    <m/>
    <n v="3.49"/>
    <n v="86.66019"/>
    <n v="3.49"/>
    <m/>
    <n v="0"/>
  </r>
  <r>
    <n v="168663"/>
    <x v="66"/>
    <x v="18"/>
    <s v="TATITA FERNÃO DIAS"/>
    <n v="656415"/>
    <m/>
    <x v="0"/>
    <n v="81.671000000000006"/>
    <m/>
    <n v="5.89"/>
    <n v="481.04219000000001"/>
    <n v="5.89"/>
    <n v="306"/>
    <n v="3.7467399688996093"/>
  </r>
  <r>
    <n v="168662"/>
    <x v="66"/>
    <x v="28"/>
    <s v="TATITA FERNÃO DIAS"/>
    <n v="40147"/>
    <m/>
    <x v="0"/>
    <n v="41.25"/>
    <m/>
    <n v="5.89"/>
    <n v="242.96249999999998"/>
    <n v="5.89"/>
    <n v="275"/>
    <n v="6.666666666666667"/>
  </r>
  <r>
    <n v="324579"/>
    <x v="66"/>
    <x v="24"/>
    <s v="BEIRA MINHO"/>
    <n v="80828"/>
    <m/>
    <x v="0"/>
    <n v="100.46"/>
    <n v="30.14"/>
    <n v="6.29"/>
    <n v="601.75339999999994"/>
    <n v="5.9899800915787376"/>
    <n v="562"/>
    <n v="5.5942663746764882"/>
  </r>
  <r>
    <n v="139787"/>
    <x v="66"/>
    <x v="14"/>
    <s v="DOM PEDRO ATIBAIA"/>
    <n v="90882"/>
    <m/>
    <x v="2"/>
    <n v="67.58"/>
    <m/>
    <n v="3.29"/>
    <n v="222.3382"/>
    <n v="3.29"/>
    <m/>
    <n v="0"/>
  </r>
  <r>
    <s v="Ajuste M."/>
    <x v="66"/>
    <x v="17"/>
    <m/>
    <n v="185036"/>
    <m/>
    <x v="0"/>
    <n v="582.29999999999995"/>
    <m/>
    <m/>
    <n v="0"/>
    <n v="0"/>
    <n v="1438"/>
    <n v="2.4695174308775547"/>
  </r>
  <r>
    <s v="Ajuste M."/>
    <x v="66"/>
    <x v="17"/>
    <m/>
    <n v="186568"/>
    <m/>
    <x v="0"/>
    <n v="685.24"/>
    <m/>
    <m/>
    <n v="0"/>
    <n v="0"/>
    <n v="1532"/>
    <n v="2.2357130348491041"/>
  </r>
  <r>
    <n v="361218"/>
    <x v="66"/>
    <x v="17"/>
    <s v="POSTO FAROL"/>
    <n v="188128"/>
    <m/>
    <x v="0"/>
    <n v="695.3"/>
    <m/>
    <n v="5.89"/>
    <n v="4095.3169999999996"/>
    <n v="5.89"/>
    <n v="1560"/>
    <n v="2.2436358406443264"/>
  </r>
  <r>
    <s v="Ajuste M."/>
    <x v="66"/>
    <x v="0"/>
    <m/>
    <n v="377368"/>
    <m/>
    <x v="0"/>
    <n v="35.630000000000003"/>
    <m/>
    <m/>
    <n v="0"/>
    <n v="0"/>
    <n v="296"/>
    <n v="8.3076059500420989"/>
  </r>
  <r>
    <s v="Ajuste M."/>
    <x v="66"/>
    <x v="0"/>
    <m/>
    <n v="377659"/>
    <m/>
    <x v="0"/>
    <n v="35.21"/>
    <m/>
    <m/>
    <n v="0"/>
    <n v="0"/>
    <n v="291"/>
    <n v="8.2646975291110483"/>
  </r>
  <r>
    <n v="63291"/>
    <x v="66"/>
    <x v="0"/>
    <s v="ULTRAMARINO"/>
    <n v="377961"/>
    <m/>
    <x v="0"/>
    <n v="36.9"/>
    <n v="3.69"/>
    <n v="5.77"/>
    <n v="209.22299999999998"/>
    <n v="5.67"/>
    <n v="302"/>
    <n v="8.1842818428184287"/>
  </r>
  <r>
    <s v="Ajuste M."/>
    <x v="66"/>
    <x v="2"/>
    <m/>
    <n v="869092"/>
    <m/>
    <x v="0"/>
    <n v="253"/>
    <m/>
    <m/>
    <n v="0"/>
    <n v="0"/>
    <n v="880"/>
    <n v="3.4782608695652173"/>
  </r>
  <r>
    <n v="652406"/>
    <x v="66"/>
    <x v="2"/>
    <s v="DOM PEDRO DE MIRACATU"/>
    <n v="869676"/>
    <m/>
    <x v="0"/>
    <n v="300.02999999999997"/>
    <m/>
    <n v="5.49"/>
    <n v="1647.1646999999998"/>
    <n v="5.49"/>
    <n v="584"/>
    <n v="1.9464720194647205"/>
  </r>
  <r>
    <n v="140134"/>
    <x v="66"/>
    <x v="5"/>
    <s v="DOM PEDRO ATIBAIA"/>
    <n v="594257"/>
    <m/>
    <x v="0"/>
    <n v="115.01"/>
    <m/>
    <n v="5.69"/>
    <n v="654.40690000000006"/>
    <n v="5.69"/>
    <n v="454"/>
    <n v="3.9474828275802101"/>
  </r>
  <r>
    <s v="Ajuste M."/>
    <x v="66"/>
    <x v="31"/>
    <m/>
    <n v="299789"/>
    <m/>
    <x v="0"/>
    <n v="105.3"/>
    <m/>
    <m/>
    <n v="0"/>
    <n v="0"/>
    <n v="805"/>
    <n v="7.6448243114909786"/>
  </r>
  <r>
    <n v="520832"/>
    <x v="66"/>
    <x v="31"/>
    <s v="COMBO AUTO POSTO"/>
    <n v="300508"/>
    <m/>
    <x v="0"/>
    <n v="82.230999999999995"/>
    <m/>
    <n v="6.37"/>
    <n v="523.81146999999999"/>
    <n v="6.37"/>
    <n v="719"/>
    <n v="8.7436611496880747"/>
  </r>
  <r>
    <s v="Ajuste M."/>
    <x v="66"/>
    <x v="10"/>
    <m/>
    <n v="236999"/>
    <m/>
    <x v="0"/>
    <n v="54.21"/>
    <m/>
    <m/>
    <n v="0"/>
    <n v="0"/>
    <n v="432"/>
    <n v="7.9690094078583282"/>
  </r>
  <r>
    <n v="134319"/>
    <x v="66"/>
    <x v="10"/>
    <s v="RODOPOSTO MIRANTE"/>
    <n v="237359"/>
    <m/>
    <x v="0"/>
    <n v="40.604999999999997"/>
    <n v="21.52"/>
    <n v="6.02"/>
    <n v="222.92209999999994"/>
    <n v="5.4900160078808016"/>
    <n v="360"/>
    <n v="8.865903213889915"/>
  </r>
  <r>
    <n v="313381"/>
    <x v="67"/>
    <x v="18"/>
    <s v="TIGRÃO DA DUTRA"/>
    <n v="656454"/>
    <m/>
    <x v="0"/>
    <n v="12.5"/>
    <n v="61.17"/>
    <n v="6.02"/>
    <n v="14.079999999999998"/>
    <n v="1.1263999999999998"/>
    <n v="39"/>
    <n v="3.12"/>
  </r>
  <r>
    <n v="521215"/>
    <x v="67"/>
    <x v="17"/>
    <s v="POSTO ITASUL"/>
    <n v="188463"/>
    <m/>
    <x v="0"/>
    <n v="163.35"/>
    <m/>
    <n v="5.99"/>
    <n v="978.4665"/>
    <n v="5.99"/>
    <n v="335"/>
    <n v="2.0508111417202328"/>
  </r>
  <r>
    <s v="Ajuste M."/>
    <x v="66"/>
    <x v="7"/>
    <m/>
    <n v="81818"/>
    <m/>
    <x v="1"/>
    <n v="30.45"/>
    <m/>
    <m/>
    <n v="0"/>
    <n v="0"/>
    <n v="332"/>
    <n v="10.903119868637111"/>
  </r>
  <r>
    <s v="Ajuste M."/>
    <x v="68"/>
    <x v="7"/>
    <m/>
    <n v="82148"/>
    <m/>
    <x v="1"/>
    <n v="29.8"/>
    <m/>
    <m/>
    <n v="0"/>
    <n v="0"/>
    <n v="330"/>
    <n v="11.073825503355705"/>
  </r>
  <r>
    <n v="162369"/>
    <x v="69"/>
    <x v="7"/>
    <s v="AUTO POSTO GIGIO"/>
    <n v="82572"/>
    <m/>
    <x v="1"/>
    <n v="33.652999999999999"/>
    <m/>
    <n v="5.44"/>
    <n v="183.07232000000002"/>
    <n v="5.44"/>
    <n v="424"/>
    <n v="12.599173922087184"/>
  </r>
  <r>
    <s v="Ajuste M."/>
    <x v="67"/>
    <x v="6"/>
    <m/>
    <n v="604134"/>
    <m/>
    <x v="0"/>
    <n v="100.3"/>
    <m/>
    <m/>
    <n v="0"/>
    <n v="0"/>
    <n v="364"/>
    <n v="3.6291126620139584"/>
  </r>
  <r>
    <s v="Ajuste M."/>
    <x v="67"/>
    <x v="6"/>
    <m/>
    <n v="604403"/>
    <m/>
    <x v="0"/>
    <n v="68.52"/>
    <m/>
    <m/>
    <n v="0"/>
    <n v="0"/>
    <n v="269"/>
    <n v="3.9258610624635146"/>
  </r>
  <r>
    <s v="Ajuste M."/>
    <x v="68"/>
    <x v="28"/>
    <m/>
    <n v="40512"/>
    <m/>
    <x v="0"/>
    <n v="41.35"/>
    <m/>
    <m/>
    <n v="0"/>
    <n v="0"/>
    <n v="365"/>
    <n v="8.827085852478838"/>
  </r>
  <r>
    <n v="623520"/>
    <x v="69"/>
    <x v="6"/>
    <s v="AUTO POSTO RVM MAX"/>
    <n v="604864"/>
    <m/>
    <x v="0"/>
    <n v="96.35"/>
    <m/>
    <n v="5.75"/>
    <n v="554.01249999999993"/>
    <n v="5.75"/>
    <n v="461"/>
    <n v="4.7846393357550596"/>
  </r>
  <r>
    <n v="280485"/>
    <x v="69"/>
    <x v="12"/>
    <s v="POSTO ZÉ RAMOS"/>
    <n v="216526"/>
    <m/>
    <x v="0"/>
    <n v="110.85"/>
    <m/>
    <n v="5.99"/>
    <n v="663.99149999999997"/>
    <n v="5.99"/>
    <n v="714"/>
    <n v="6.4411366711772668"/>
  </r>
  <r>
    <n v="280244"/>
    <x v="69"/>
    <x v="11"/>
    <s v="POSTO ZÉ RAMOS"/>
    <n v="652215"/>
    <m/>
    <x v="0"/>
    <n v="186.761"/>
    <m/>
    <n v="5.89"/>
    <n v="1100.0222899999999"/>
    <n v="5.89"/>
    <n v="859"/>
    <n v="4.5994613436424094"/>
  </r>
  <r>
    <n v="326827"/>
    <x v="69"/>
    <x v="33"/>
    <s v="BEIRA MINHO"/>
    <n v="72506"/>
    <m/>
    <x v="0"/>
    <n v="180.32"/>
    <n v="54.1"/>
    <n v="6.29"/>
    <n v="1080.1128000000001"/>
    <n v="5.9899778172138429"/>
    <n v="555"/>
    <n v="3.0778615794143747"/>
  </r>
  <r>
    <s v="Ajuste M."/>
    <x v="69"/>
    <x v="30"/>
    <m/>
    <n v="306627"/>
    <m/>
    <x v="0"/>
    <n v="88.6"/>
    <m/>
    <m/>
    <n v="0"/>
    <n v="0"/>
    <n v="457"/>
    <n v="5.1580135440180594"/>
  </r>
  <r>
    <s v="Ajuste M."/>
    <x v="69"/>
    <x v="30"/>
    <m/>
    <n v="307084"/>
    <m/>
    <x v="0"/>
    <n v="87.25"/>
    <m/>
    <m/>
    <n v="0"/>
    <n v="0"/>
    <n v="457"/>
    <n v="5.2378223495702008"/>
  </r>
  <r>
    <n v="326486"/>
    <x v="69"/>
    <x v="30"/>
    <s v="BEIRA MINHO"/>
    <n v="307709"/>
    <m/>
    <x v="0"/>
    <n v="108.73"/>
    <n v="32.619999999999997"/>
    <n v="6.29"/>
    <n v="651.29169999999999"/>
    <n v="5.9899908029062816"/>
    <n v="625"/>
    <n v="5.7481835739906186"/>
  </r>
  <r>
    <n v="262758"/>
    <x v="69"/>
    <x v="27"/>
    <s v="DOM PEDRO ITAPEVA"/>
    <n v="114560"/>
    <m/>
    <x v="0"/>
    <n v="230.5"/>
    <m/>
    <n v="5.59"/>
    <n v="1288.4949999999999"/>
    <n v="5.59"/>
    <n v="847"/>
    <n v="3.6746203904555315"/>
  </r>
  <r>
    <n v="65060"/>
    <x v="69"/>
    <x v="28"/>
    <s v="ULTRAMARINO"/>
    <n v="41056"/>
    <m/>
    <x v="0"/>
    <n v="67.34"/>
    <n v="6.73"/>
    <n v="5.69"/>
    <n v="376.43460000000005"/>
    <n v="5.5900594000594008"/>
    <n v="544"/>
    <n v="8.0784080784080778"/>
  </r>
  <r>
    <s v="Ajuste M."/>
    <x v="69"/>
    <x v="8"/>
    <m/>
    <n v="926918"/>
    <m/>
    <x v="0"/>
    <n v="201.4"/>
    <m/>
    <m/>
    <n v="0"/>
    <n v="0"/>
    <n v="581"/>
    <n v="2.8848063555114201"/>
  </r>
  <r>
    <n v="142233"/>
    <x v="69"/>
    <x v="8"/>
    <s v="DOM PEDRO ATIBAIA"/>
    <n v="927892"/>
    <m/>
    <x v="0"/>
    <n v="346.58"/>
    <m/>
    <n v="5.69"/>
    <n v="1972.0402000000001"/>
    <n v="5.69"/>
    <n v="974"/>
    <n v="2.8103179641064115"/>
  </r>
  <r>
    <s v="Ajuste M."/>
    <x v="69"/>
    <x v="9"/>
    <m/>
    <n v="351546"/>
    <m/>
    <x v="0"/>
    <n v="119.63"/>
    <m/>
    <m/>
    <n v="0"/>
    <n v="0"/>
    <n v="281441"/>
    <n v="2352.5955028003009"/>
  </r>
  <r>
    <s v="Ajuste M."/>
    <x v="69"/>
    <x v="9"/>
    <m/>
    <n v="352265"/>
    <m/>
    <x v="0"/>
    <n v="125.3"/>
    <m/>
    <m/>
    <n v="0"/>
    <n v="0"/>
    <n v="719"/>
    <n v="5.738228252194733"/>
  </r>
  <r>
    <s v="Ajuste M."/>
    <x v="69"/>
    <x v="9"/>
    <m/>
    <n v="352699"/>
    <m/>
    <x v="0"/>
    <n v="76.53"/>
    <m/>
    <m/>
    <n v="0"/>
    <n v="0"/>
    <n v="434"/>
    <n v="5.6709787011629427"/>
  </r>
  <r>
    <n v="625321"/>
    <x v="69"/>
    <x v="9"/>
    <s v="GAVIÃO DA ANHANGUERA"/>
    <n v="353240"/>
    <m/>
    <x v="0"/>
    <n v="86.674000000000007"/>
    <m/>
    <n v="5.79"/>
    <n v="501.84246000000002"/>
    <n v="5.79"/>
    <n v="541"/>
    <n v="6.2417795417310842"/>
  </r>
  <r>
    <s v="Ajuste M."/>
    <x v="69"/>
    <x v="7"/>
    <m/>
    <n v="83004"/>
    <m/>
    <x v="1"/>
    <n v="30.2"/>
    <m/>
    <m/>
    <n v="0"/>
    <n v="0"/>
    <n v="432"/>
    <n v="14.304635761589404"/>
  </r>
  <r>
    <n v="162582"/>
    <x v="70"/>
    <x v="7"/>
    <s v="AUTO POSTO GIGIO"/>
    <n v="83063"/>
    <m/>
    <x v="1"/>
    <n v="7"/>
    <m/>
    <n v="5.44"/>
    <n v="38.080000000000005"/>
    <n v="5.44"/>
    <n v="59"/>
    <n v="8.4285714285714288"/>
  </r>
  <r>
    <n v="162665"/>
    <x v="70"/>
    <x v="7"/>
    <s v="AUTO POSTO GIGIO"/>
    <n v="83438"/>
    <m/>
    <x v="1"/>
    <n v="29.643999999999998"/>
    <m/>
    <n v="5.44"/>
    <n v="161.26336000000001"/>
    <n v="5.44"/>
    <n v="375"/>
    <n v="12.650114694373229"/>
  </r>
  <r>
    <n v="280680"/>
    <x v="70"/>
    <x v="12"/>
    <s v="POSTO ZÉ RAMOS"/>
    <n v="216826"/>
    <m/>
    <x v="0"/>
    <n v="59.9"/>
    <m/>
    <n v="5.99"/>
    <n v="358.80099999999999"/>
    <n v="5.99"/>
    <n v="300"/>
    <n v="5.0083472454090154"/>
  </r>
  <r>
    <n v="280791"/>
    <x v="70"/>
    <x v="13"/>
    <s v="POSTO ZÉ RAMOS"/>
    <n v="111925"/>
    <m/>
    <x v="0"/>
    <n v="42.83"/>
    <m/>
    <n v="5.99"/>
    <n v="256.55169999999998"/>
    <n v="5.99"/>
    <m/>
    <n v="0"/>
  </r>
  <r>
    <n v="315233"/>
    <x v="70"/>
    <x v="18"/>
    <s v="TIGRÃO DA DUTRA"/>
    <n v="656831"/>
    <m/>
    <x v="0"/>
    <n v="124.6"/>
    <n v="62.35"/>
    <n v="6.02"/>
    <n v="687.74199999999985"/>
    <n v="5.5195987158908499"/>
    <n v="377"/>
    <n v="3.025682182985554"/>
  </r>
  <r>
    <n v="169511"/>
    <x v="70"/>
    <x v="13"/>
    <s v="TATITA FERNÃO DIAS"/>
    <n v="112186"/>
    <m/>
    <x v="0"/>
    <n v="33.090000000000003"/>
    <m/>
    <n v="5.89"/>
    <n v="194.90010000000001"/>
    <n v="5.89"/>
    <n v="261"/>
    <n v="7.8875793291024472"/>
  </r>
  <r>
    <n v="65613"/>
    <x v="70"/>
    <x v="28"/>
    <s v="ULTRAMARINO"/>
    <n v="41516"/>
    <m/>
    <x v="0"/>
    <n v="51.64"/>
    <n v="5.17"/>
    <n v="5.69"/>
    <n v="288.66160000000002"/>
    <n v="5.5898838109992255"/>
    <n v="460"/>
    <n v="8.9078233927188233"/>
  </r>
  <r>
    <n v="23510"/>
    <x v="70"/>
    <x v="34"/>
    <s v="ULTRAMARINO"/>
    <n v="463221"/>
    <m/>
    <x v="0"/>
    <n v="413.83"/>
    <m/>
    <n v="5.69"/>
    <n v="2354.6927000000001"/>
    <n v="5.69"/>
    <m/>
    <m/>
  </r>
  <r>
    <n v="137354"/>
    <x v="70"/>
    <x v="2"/>
    <s v="DOM PEDRO DE MIRACATU"/>
    <n v="870537"/>
    <m/>
    <x v="0"/>
    <n v="320.00700000000001"/>
    <m/>
    <n v="5.49"/>
    <n v="1756.83843"/>
    <n v="5.49"/>
    <n v="861"/>
    <n v="2.690566143865603"/>
  </r>
  <r>
    <n v="142836"/>
    <x v="70"/>
    <x v="5"/>
    <s v="DOM PEDRO ATIBAIA"/>
    <n v="594764"/>
    <m/>
    <x v="0"/>
    <n v="130.22"/>
    <m/>
    <n v="5.69"/>
    <n v="740.95180000000005"/>
    <n v="5.69"/>
    <n v="507"/>
    <n v="3.8934111503609277"/>
  </r>
  <r>
    <n v="142851"/>
    <x v="70"/>
    <x v="26"/>
    <s v="DOM PEDRO ATIBAIA"/>
    <n v="708997"/>
    <m/>
    <x v="0"/>
    <n v="214.67"/>
    <m/>
    <n v="5.69"/>
    <n v="1221.4722999999999"/>
    <n v="5.6899999999999995"/>
    <n v="737"/>
    <n v="3.4331765034704431"/>
  </r>
  <r>
    <n v="262876"/>
    <x v="70"/>
    <x v="6"/>
    <s v="DOM PEDRO ITAPEVA"/>
    <n v="605488"/>
    <m/>
    <x v="0"/>
    <n v="143.94999999999999"/>
    <m/>
    <n v="5.79"/>
    <n v="833.4704999999999"/>
    <n v="5.79"/>
    <n v="624"/>
    <n v="4.3348384855852728"/>
  </r>
  <r>
    <n v="142637"/>
    <x v="70"/>
    <x v="18"/>
    <s v="DOM PEDRO ATIBAIA"/>
    <n v="657048"/>
    <m/>
    <x v="0"/>
    <n v="74.5"/>
    <m/>
    <n v="5.69"/>
    <n v="423.90500000000003"/>
    <n v="5.69"/>
    <n v="217"/>
    <n v="2.912751677852349"/>
  </r>
  <r>
    <n v="58401"/>
    <x v="70"/>
    <x v="10"/>
    <s v="POSTO MALAGUETA"/>
    <n v="237894"/>
    <m/>
    <x v="0"/>
    <n v="61.8"/>
    <m/>
    <n v="5.89"/>
    <n v="364.00199999999995"/>
    <n v="5.89"/>
    <n v="535"/>
    <n v="8.6569579288025889"/>
  </r>
  <r>
    <n v="281009"/>
    <x v="71"/>
    <x v="35"/>
    <s v="POSTO ZÉ RAMOS"/>
    <n v="359157"/>
    <m/>
    <x v="0"/>
    <n v="68.450999999999993"/>
    <m/>
    <n v="5.99"/>
    <n v="410.02148999999997"/>
    <n v="5.99"/>
    <m/>
    <m/>
  </r>
  <r>
    <n v="855690"/>
    <x v="71"/>
    <x v="12"/>
    <s v="AUTO POSTO SACI"/>
    <n v="217076"/>
    <m/>
    <x v="0"/>
    <n v="51.24"/>
    <m/>
    <n v="5.79"/>
    <n v="296.67959999999999"/>
    <n v="5.79"/>
    <n v="250"/>
    <n v="4.8790007806401245"/>
  </r>
  <r>
    <n v="328676"/>
    <x v="71"/>
    <x v="33"/>
    <s v="BEIRA MINHO"/>
    <n v="72946"/>
    <m/>
    <x v="0"/>
    <n v="137.43"/>
    <n v="41.23"/>
    <n v="6.29"/>
    <n v="823.2047"/>
    <n v="5.9899927235683617"/>
    <n v="440"/>
    <n v="3.2016299206868948"/>
  </r>
  <r>
    <n v="328687"/>
    <x v="71"/>
    <x v="11"/>
    <s v="BEIRA MINHO"/>
    <n v="652817"/>
    <m/>
    <x v="0"/>
    <n v="155.01"/>
    <n v="46.5"/>
    <n v="6.29"/>
    <n v="928.51289999999995"/>
    <n v="5.9900193535900907"/>
    <n v="602"/>
    <n v="3.8836204115863495"/>
  </r>
  <r>
    <n v="521901"/>
    <x v="71"/>
    <x v="21"/>
    <s v="COMBO AUTO POSTO"/>
    <n v="126594"/>
    <m/>
    <x v="1"/>
    <n v="52.27"/>
    <m/>
    <n v="5.64"/>
    <n v="294.80279999999999"/>
    <n v="5.64"/>
    <n v="507"/>
    <n v="9.699636502774057"/>
  </r>
  <r>
    <n v="263225"/>
    <x v="71"/>
    <x v="22"/>
    <s v="DOM PEDRO ITAPEVA"/>
    <n v="131896"/>
    <m/>
    <x v="0"/>
    <n v="194.8"/>
    <m/>
    <n v="5.79"/>
    <n v="1127.8920000000001"/>
    <n v="5.79"/>
    <n v="1385"/>
    <n v="7.1098562628336754"/>
  </r>
  <r>
    <n v="653274"/>
    <x v="71"/>
    <x v="2"/>
    <s v="DOM PEDRO DE MIRACATU"/>
    <n v="871705"/>
    <m/>
    <x v="0"/>
    <n v="370"/>
    <m/>
    <n v="5.49"/>
    <n v="2031.3000000000002"/>
    <n v="5.49"/>
    <n v="1168"/>
    <n v="3.1567567567567569"/>
  </r>
  <r>
    <n v="329587"/>
    <x v="71"/>
    <x v="9"/>
    <s v="DOM PEDRO POUSO ALEGRE"/>
    <n v="353727"/>
    <m/>
    <x v="0"/>
    <n v="78"/>
    <m/>
    <n v="5.79"/>
    <n v="451.62"/>
    <n v="5.79"/>
    <n v="487"/>
    <n v="6.2435897435897436"/>
  </r>
  <r>
    <n v="281317"/>
    <x v="72"/>
    <x v="19"/>
    <s v="POSTO ZÉ RAMOS"/>
    <n v="219672"/>
    <m/>
    <x v="1"/>
    <n v="33.811"/>
    <m/>
    <n v="5.39"/>
    <n v="182.24128999999999"/>
    <n v="5.39"/>
    <n v="484"/>
    <n v="16.518771331058019"/>
  </r>
  <r>
    <n v="329159"/>
    <x v="72"/>
    <x v="25"/>
    <s v="BEIRA MINHO"/>
    <n v="388236"/>
    <m/>
    <x v="0"/>
    <n v="94.91"/>
    <n v="28.47"/>
    <n v="6.29"/>
    <n v="568.51389999999992"/>
    <n v="5.9900316088926342"/>
    <n v="630"/>
    <n v="6.6378674533768836"/>
  </r>
  <r>
    <n v="20424"/>
    <x v="72"/>
    <x v="6"/>
    <s v="POSTO MOCOCÃO"/>
    <n v="606192"/>
    <m/>
    <x v="0"/>
    <n v="148.8964"/>
    <m/>
    <n v="5.89"/>
    <n v="876.99979599999995"/>
    <n v="5.89"/>
    <n v="704"/>
    <n v="4.7281196859024126"/>
  </r>
  <r>
    <s v="Ajuste M."/>
    <x v="72"/>
    <x v="0"/>
    <m/>
    <n v="378354"/>
    <m/>
    <x v="0"/>
    <n v="49.21"/>
    <m/>
    <m/>
    <n v="0"/>
    <n v="0"/>
    <n v="393"/>
    <n v="7.9861816703921962"/>
  </r>
  <r>
    <s v="Ajuste M."/>
    <x v="72"/>
    <x v="0"/>
    <m/>
    <n v="378608"/>
    <m/>
    <x v="0"/>
    <n v="29.51"/>
    <m/>
    <m/>
    <n v="0"/>
    <n v="0"/>
    <n v="254"/>
    <n v="8.6072517790579468"/>
  </r>
  <r>
    <s v="Ajuste M."/>
    <x v="72"/>
    <x v="0"/>
    <m/>
    <n v="378863"/>
    <m/>
    <x v="0"/>
    <n v="32.1"/>
    <m/>
    <m/>
    <n v="0"/>
    <n v="0"/>
    <n v="255"/>
    <n v="7.9439252336448591"/>
  </r>
  <r>
    <n v="58614"/>
    <x v="72"/>
    <x v="0"/>
    <s v="POSTO MALAGUETA"/>
    <n v="379141"/>
    <m/>
    <x v="0"/>
    <n v="36.381"/>
    <m/>
    <n v="5.89"/>
    <n v="214.28408999999999"/>
    <n v="5.89"/>
    <n v="278"/>
    <n v="7.6413512547758442"/>
  </r>
  <r>
    <n v="238410"/>
    <x v="72"/>
    <x v="14"/>
    <s v="ULTRAMARINO"/>
    <n v="92095"/>
    <m/>
    <x v="0"/>
    <n v="624.78099999999995"/>
    <n v="62.48"/>
    <n v="5.69"/>
    <n v="3492.5238899999999"/>
    <n v="5.5899969589344112"/>
    <n v="1837"/>
    <n v="2.9402302566819416"/>
  </r>
  <r>
    <n v="238386"/>
    <x v="72"/>
    <x v="13"/>
    <s v="ULTRAMARINO"/>
    <n v="112317"/>
    <m/>
    <x v="0"/>
    <n v="19.681000000000001"/>
    <n v="2.67"/>
    <n v="5.69"/>
    <n v="109.31489000000001"/>
    <n v="5.5543361617803972"/>
    <n v="131"/>
    <n v="6.6561658452314409"/>
  </r>
  <r>
    <n v="238540"/>
    <x v="72"/>
    <x v="13"/>
    <s v="ULTRAMARINO"/>
    <n v="112505"/>
    <m/>
    <x v="0"/>
    <n v="22.010999999999999"/>
    <n v="4.2"/>
    <n v="5.69"/>
    <n v="121.04259"/>
    <n v="5.4991863159329428"/>
    <n v="188"/>
    <n v="8.5411839534778071"/>
  </r>
  <r>
    <s v="Ajuste M."/>
    <x v="72"/>
    <x v="10"/>
    <m/>
    <n v="238344"/>
    <m/>
    <x v="0"/>
    <n v="61.25"/>
    <m/>
    <m/>
    <n v="0"/>
    <n v="0"/>
    <n v="450"/>
    <n v="7.3469387755102042"/>
  </r>
  <r>
    <n v="281364"/>
    <x v="72"/>
    <x v="10"/>
    <s v="POSTO ZÉ RAMOS"/>
    <n v="238843"/>
    <m/>
    <x v="0"/>
    <n v="64"/>
    <m/>
    <n v="5.99"/>
    <n v="383.36"/>
    <n v="5.99"/>
    <n v="499"/>
    <n v="7.796875"/>
  </r>
  <r>
    <n v="120548"/>
    <x v="73"/>
    <x v="7"/>
    <s v="IMPERADOR DOM PEDRO I"/>
    <n v="83853"/>
    <m/>
    <x v="1"/>
    <n v="30.977"/>
    <m/>
    <n v="5.49"/>
    <n v="170.06373000000002"/>
    <n v="5.49"/>
    <n v="415"/>
    <n v="13.397036510959744"/>
  </r>
  <r>
    <s v="Ajuste M."/>
    <x v="72"/>
    <x v="28"/>
    <m/>
    <n v="42018"/>
    <m/>
    <x v="0"/>
    <n v="62.25"/>
    <m/>
    <m/>
    <n v="0"/>
    <n v="0"/>
    <n v="502"/>
    <n v="8.0642570281124506"/>
  </r>
  <r>
    <n v="330041"/>
    <x v="73"/>
    <x v="24"/>
    <s v="BEIRA MINHO"/>
    <n v="81323"/>
    <m/>
    <x v="0"/>
    <n v="96"/>
    <n v="28.8"/>
    <n v="6.29"/>
    <n v="575.04000000000008"/>
    <n v="5.9900000000000011"/>
    <n v="495"/>
    <n v="5.15625"/>
  </r>
  <r>
    <n v="67203"/>
    <x v="73"/>
    <x v="28"/>
    <s v="ULTRAMARINO"/>
    <n v="42566"/>
    <m/>
    <x v="0"/>
    <n v="64.8"/>
    <n v="6.48"/>
    <n v="5.69"/>
    <n v="362.23199999999997"/>
    <n v="5.59"/>
    <n v="548"/>
    <n v="8.4567901234567913"/>
  </r>
  <r>
    <n v="170093"/>
    <x v="73"/>
    <x v="9"/>
    <s v="TATITA FERNÃO DIAS"/>
    <n v="354208"/>
    <m/>
    <x v="0"/>
    <n v="94.671000000000006"/>
    <m/>
    <n v="5.89"/>
    <n v="557.61219000000006"/>
    <n v="5.8900000000000006"/>
    <n v="481"/>
    <n v="5.0807533457975511"/>
  </r>
  <r>
    <n v="317207"/>
    <x v="74"/>
    <x v="2"/>
    <s v="TIGRÃO DA DUTRA"/>
    <n v="872782"/>
    <m/>
    <x v="0"/>
    <n v="458.60700000000003"/>
    <n v="197.2"/>
    <n v="5.92"/>
    <n v="2517.7534400000004"/>
    <n v="5.4900022023213779"/>
    <n v="1077"/>
    <n v="2.3484159639953162"/>
  </r>
  <r>
    <s v="Ajuste M."/>
    <x v="74"/>
    <x v="6"/>
    <m/>
    <n v="606785"/>
    <m/>
    <x v="0"/>
    <n v="122.3"/>
    <m/>
    <m/>
    <n v="0"/>
    <n v="0"/>
    <n v="593"/>
    <n v="4.8487326246933771"/>
  </r>
  <r>
    <n v="383847"/>
    <x v="74"/>
    <x v="6"/>
    <s v="DOM PEDRO ESTIVA"/>
    <n v="607300"/>
    <m/>
    <x v="0"/>
    <n v="112.6"/>
    <m/>
    <n v="5.69"/>
    <n v="640.69399999999996"/>
    <n v="5.6899999999999995"/>
    <n v="515"/>
    <n v="4.5737122557726471"/>
  </r>
  <r>
    <n v="282663"/>
    <x v="75"/>
    <x v="7"/>
    <s v="POSTO ZÉ RAMOS"/>
    <n v="84206"/>
    <m/>
    <x v="1"/>
    <n v="28.599"/>
    <m/>
    <n v="5.39"/>
    <n v="154.14860999999999"/>
    <n v="5.39"/>
    <n v="353"/>
    <n v="12.343088919192979"/>
  </r>
  <r>
    <n v="524787"/>
    <x v="75"/>
    <x v="17"/>
    <s v="POSTO ITASUL"/>
    <n v="189616"/>
    <m/>
    <x v="2"/>
    <n v="50"/>
    <m/>
    <n v="3.79"/>
    <n v="189.5"/>
    <n v="3.79"/>
    <m/>
    <n v="0"/>
  </r>
  <r>
    <n v="170678"/>
    <x v="75"/>
    <x v="12"/>
    <s v="TATITA FERNÃO DIAS"/>
    <n v="217360"/>
    <m/>
    <x v="2"/>
    <n v="10.007"/>
    <m/>
    <n v="3.69"/>
    <n v="36.925829999999998"/>
    <n v="3.69"/>
    <m/>
    <n v="0"/>
  </r>
  <r>
    <n v="629200"/>
    <x v="75"/>
    <x v="13"/>
    <s v="AUTO POSTO RVM MAX"/>
    <n v="112761"/>
    <m/>
    <x v="0"/>
    <n v="43.56"/>
    <m/>
    <n v="5.75"/>
    <n v="250.47000000000003"/>
    <n v="5.75"/>
    <n v="256"/>
    <n v="5.8769513314967856"/>
  </r>
  <r>
    <n v="524787"/>
    <x v="75"/>
    <x v="17"/>
    <s v="POSTO ITASUL"/>
    <n v="189616"/>
    <m/>
    <x v="0"/>
    <n v="687"/>
    <m/>
    <n v="5.79"/>
    <n v="3977.73"/>
    <n v="5.79"/>
    <n v="1153"/>
    <n v="1.6783114992721979"/>
  </r>
  <r>
    <n v="564337"/>
    <x v="75"/>
    <x v="6"/>
    <s v="ROZINELI &amp; ROZINELI"/>
    <n v="606734"/>
    <m/>
    <x v="2"/>
    <n v="23.41"/>
    <m/>
    <n v="2.99"/>
    <n v="69.995900000000006"/>
    <n v="2.99"/>
    <m/>
    <n v="0"/>
  </r>
  <r>
    <n v="170715"/>
    <x v="75"/>
    <x v="22"/>
    <s v="TATITA FERNÃO DIAS"/>
    <n v="132393"/>
    <m/>
    <x v="0"/>
    <n v="123.04900000000001"/>
    <m/>
    <n v="5.89"/>
    <n v="724.75860999999998"/>
    <n v="5.89"/>
    <n v="497"/>
    <n v="4.0390413575079842"/>
  </r>
  <r>
    <n v="170678"/>
    <x v="75"/>
    <x v="12"/>
    <s v="TATITA FERNÃO DIAS"/>
    <n v="217360"/>
    <m/>
    <x v="0"/>
    <n v="66.2"/>
    <m/>
    <n v="5.89"/>
    <n v="389.91800000000001"/>
    <n v="5.89"/>
    <n v="284"/>
    <n v="4.2900302114803628"/>
  </r>
  <r>
    <n v="147090"/>
    <x v="75"/>
    <x v="8"/>
    <s v="DOM PEDRO ATIBAIA"/>
    <n v="929944"/>
    <m/>
    <x v="2"/>
    <n v="34.51"/>
    <m/>
    <n v="3.19"/>
    <n v="110.08689999999999"/>
    <n v="3.19"/>
    <m/>
    <n v="0"/>
  </r>
  <r>
    <n v="332704"/>
    <x v="75"/>
    <x v="18"/>
    <s v="BEIRA MINHO"/>
    <n v="657698"/>
    <m/>
    <x v="0"/>
    <n v="165.96"/>
    <n v="49.79"/>
    <n v="6.09"/>
    <n v="960.90640000000008"/>
    <n v="5.7899879489033506"/>
    <n v="650"/>
    <n v="3.9166064111834173"/>
  </r>
  <r>
    <s v="Ajuste M."/>
    <x v="75"/>
    <x v="13"/>
    <m/>
    <n v="113077"/>
    <m/>
    <x v="0"/>
    <n v="38.119999999999997"/>
    <m/>
    <m/>
    <n v="0"/>
    <n v="0"/>
    <n v="316"/>
    <n v="8.2896117523609654"/>
  </r>
  <r>
    <n v="69127"/>
    <x v="75"/>
    <x v="13"/>
    <s v="ULTRAMARINO"/>
    <n v="113393"/>
    <m/>
    <x v="0"/>
    <n v="40.380000000000003"/>
    <n v="4.04"/>
    <n v="5.69"/>
    <n v="225.72220000000004"/>
    <n v="5.5899504705299661"/>
    <n v="316"/>
    <n v="7.8256562654779591"/>
  </r>
  <r>
    <n v="146982"/>
    <x v="75"/>
    <x v="5"/>
    <s v="DOM PEDRO ATIBAIA"/>
    <n v="595781"/>
    <m/>
    <x v="0"/>
    <n v="128.83000000000001"/>
    <m/>
    <n v="5.59"/>
    <n v="720.15970000000004"/>
    <n v="5.59"/>
    <n v="1017"/>
    <n v="7.8941240394318086"/>
  </r>
  <r>
    <n v="147089"/>
    <x v="75"/>
    <x v="8"/>
    <s v="DOM PEDRO ATIBAIA"/>
    <n v="929944"/>
    <m/>
    <x v="0"/>
    <n v="553.01"/>
    <m/>
    <n v="5.59"/>
    <n v="3091.3258999999998"/>
    <n v="5.59"/>
    <n v="2052"/>
    <n v="3.7106019782644077"/>
  </r>
  <r>
    <n v="522953"/>
    <x v="75"/>
    <x v="15"/>
    <s v="COMBO AUTO POSTO"/>
    <n v="291368"/>
    <m/>
    <x v="0"/>
    <n v="120"/>
    <m/>
    <n v="6.37"/>
    <n v="764.4"/>
    <n v="6.37"/>
    <n v="579"/>
    <n v="4.8250000000000002"/>
  </r>
  <r>
    <n v="564336"/>
    <x v="75"/>
    <x v="6"/>
    <s v="ROZINELI &amp; ROZINELI"/>
    <n v="607434"/>
    <m/>
    <x v="0"/>
    <n v="28.6"/>
    <n v="33.75"/>
    <n v="5.65"/>
    <n v="127.84000000000003"/>
    <n v="4.4699300699300712"/>
    <n v="134"/>
    <n v="4.685314685314685"/>
  </r>
  <r>
    <s v="Ajuste M."/>
    <x v="75"/>
    <x v="29"/>
    <m/>
    <n v="295603"/>
    <m/>
    <x v="0"/>
    <n v="241.3"/>
    <m/>
    <m/>
    <n v="0"/>
    <n v="0"/>
    <n v="1226"/>
    <n v="5.0808122668876914"/>
  </r>
  <r>
    <n v="68729"/>
    <x v="75"/>
    <x v="29"/>
    <s v="ULTRAMARINO"/>
    <n v="296829"/>
    <m/>
    <x v="0"/>
    <n v="240.78100000000001"/>
    <m/>
    <n v="5.69"/>
    <n v="1370.0438900000001"/>
    <n v="5.69"/>
    <n v="1226"/>
    <n v="5.0917638850241502"/>
  </r>
  <r>
    <n v="282983"/>
    <x v="76"/>
    <x v="7"/>
    <s v="POSTO ZÉ RAMOS"/>
    <n v="84750"/>
    <m/>
    <x v="1"/>
    <n v="41.38"/>
    <m/>
    <n v="5.39"/>
    <n v="223.03819999999999"/>
    <n v="5.39"/>
    <n v="544"/>
    <n v="13.146447559207346"/>
  </r>
  <r>
    <s v="Ajuste M."/>
    <x v="76"/>
    <x v="1"/>
    <m/>
    <n v="319613"/>
    <m/>
    <x v="0"/>
    <n v="125.4"/>
    <m/>
    <m/>
    <n v="0"/>
    <n v="0"/>
    <n v="370"/>
    <n v="2.9505582137161084"/>
  </r>
  <r>
    <n v="170890"/>
    <x v="76"/>
    <x v="1"/>
    <s v="TATITA FERNÃO DIAS"/>
    <n v="319984"/>
    <m/>
    <x v="0"/>
    <n v="133.69900000000001"/>
    <m/>
    <n v="5.89"/>
    <n v="787.48711000000003"/>
    <n v="5.89"/>
    <n v="371"/>
    <n v="2.774889864546481"/>
  </r>
  <r>
    <s v="Ajuste M."/>
    <x v="76"/>
    <x v="33"/>
    <m/>
    <n v="73331"/>
    <m/>
    <x v="0"/>
    <n v="126.3"/>
    <m/>
    <m/>
    <n v="0"/>
    <n v="0"/>
    <n v="385"/>
    <n v="3.0482977038796517"/>
  </r>
  <r>
    <n v="333497"/>
    <x v="76"/>
    <x v="33"/>
    <s v="BEIRA MINHO"/>
    <n v="73900"/>
    <m/>
    <x v="0"/>
    <n v="164.21"/>
    <n v="49.26"/>
    <n v="6.09"/>
    <n v="950.77890000000002"/>
    <n v="5.7900182692893241"/>
    <n v="569"/>
    <n v="3.4650752085743863"/>
  </r>
  <r>
    <n v="333330"/>
    <x v="76"/>
    <x v="11"/>
    <s v="BEIRA MINHO"/>
    <n v="653498"/>
    <m/>
    <x v="0"/>
    <n v="153.36000000000001"/>
    <n v="46.01"/>
    <n v="6.09"/>
    <n v="887.95240000000013"/>
    <n v="5.7899869587897763"/>
    <n v="681"/>
    <n v="4.4405320813771514"/>
  </r>
  <r>
    <n v="318003"/>
    <x v="76"/>
    <x v="2"/>
    <s v="TIGRÃO DA DUTRA"/>
    <n v="873865"/>
    <m/>
    <x v="0"/>
    <n v="400.017"/>
    <n v="172"/>
    <n v="5.92"/>
    <n v="2196.1006400000001"/>
    <n v="5.4900182742233454"/>
    <n v="1083"/>
    <n v="2.707384936140214"/>
  </r>
  <r>
    <n v="147604"/>
    <x v="76"/>
    <x v="13"/>
    <s v="ULTRAMARINO"/>
    <n v="113596"/>
    <m/>
    <x v="0"/>
    <n v="25.05"/>
    <n v="2.5099999999999998"/>
    <n v="5.67"/>
    <n v="139.52350000000001"/>
    <n v="5.569800399201597"/>
    <n v="203"/>
    <n v="8.1037924151696608"/>
  </r>
  <r>
    <n v="170854"/>
    <x v="76"/>
    <x v="10"/>
    <s v="TATITA FERNÃO DIAS"/>
    <n v="239318"/>
    <m/>
    <x v="0"/>
    <n v="63.82"/>
    <m/>
    <n v="5.89"/>
    <n v="375.89979999999997"/>
    <n v="5.89"/>
    <n v="475"/>
    <n v="7.4428078972109057"/>
  </r>
  <r>
    <n v="283029"/>
    <x v="77"/>
    <x v="28"/>
    <s v="POSTO ZÉ RAMOS"/>
    <n v="43002"/>
    <m/>
    <x v="0"/>
    <n v="55.93"/>
    <m/>
    <n v="5.99"/>
    <n v="335.02070000000003"/>
    <n v="5.99"/>
    <n v="436"/>
    <n v="7.7954586089755056"/>
  </r>
  <r>
    <n v="333994"/>
    <x v="77"/>
    <x v="25"/>
    <s v="BEIRA MINHO"/>
    <n v="388660"/>
    <m/>
    <x v="0"/>
    <n v="67.709999999999994"/>
    <n v="20.309999999999999"/>
    <n v="6.09"/>
    <n v="392.04389999999995"/>
    <n v="5.7900443066016836"/>
    <n v="424"/>
    <n v="6.2619997046226556"/>
  </r>
  <r>
    <n v="69898"/>
    <x v="77"/>
    <x v="12"/>
    <s v="ULTRAMARINO"/>
    <n v="217817"/>
    <m/>
    <x v="0"/>
    <n v="109.881"/>
    <n v="10.99"/>
    <n v="5.67"/>
    <n v="612.03526999999997"/>
    <n v="5.5699827085665401"/>
    <n v="457"/>
    <n v="4.1590447848126608"/>
  </r>
  <r>
    <s v="Ajuste M."/>
    <x v="77"/>
    <x v="0"/>
    <m/>
    <n v="379515"/>
    <m/>
    <x v="0"/>
    <n v="43.32"/>
    <m/>
    <m/>
    <n v="0"/>
    <n v="0"/>
    <n v="374"/>
    <n v="8.6334256694367504"/>
  </r>
  <r>
    <s v="Ajuste M."/>
    <x v="77"/>
    <x v="0"/>
    <m/>
    <n v="379798"/>
    <m/>
    <x v="0"/>
    <n v="30.63"/>
    <m/>
    <m/>
    <n v="0"/>
    <n v="0"/>
    <n v="283"/>
    <n v="9.2393078681031664"/>
  </r>
  <r>
    <s v="Ajuste M."/>
    <x v="77"/>
    <x v="0"/>
    <m/>
    <n v="380081"/>
    <m/>
    <x v="0"/>
    <n v="35.6"/>
    <m/>
    <m/>
    <n v="0"/>
    <n v="0"/>
    <n v="283"/>
    <n v="7.9494382022471903"/>
  </r>
  <r>
    <n v="70051"/>
    <x v="77"/>
    <x v="0"/>
    <s v="ULTRAMARINO"/>
    <n v="380265"/>
    <m/>
    <x v="0"/>
    <n v="25.23"/>
    <n v="2.52"/>
    <n v="5.67"/>
    <n v="140.5341"/>
    <n v="5.5701189060642093"/>
    <n v="184"/>
    <n v="7.29290527150218"/>
  </r>
  <r>
    <n v="148222"/>
    <x v="77"/>
    <x v="14"/>
    <s v="DOM PEDRO ATIBAIA"/>
    <n v="93636"/>
    <m/>
    <x v="0"/>
    <n v="531.29"/>
    <m/>
    <n v="5.59"/>
    <n v="2969.9110999999998"/>
    <n v="5.59"/>
    <n v="1541"/>
    <n v="2.9004874927064317"/>
  </r>
  <r>
    <n v="331539"/>
    <x v="77"/>
    <x v="22"/>
    <s v="DOM PEDRO POUSO ALEGRE"/>
    <n v="133269"/>
    <m/>
    <x v="0"/>
    <n v="210.2"/>
    <m/>
    <n v="5.69"/>
    <n v="1196.038"/>
    <n v="5.69"/>
    <n v="876"/>
    <n v="4.1674595623215991"/>
  </r>
  <r>
    <n v="148419"/>
    <x v="77"/>
    <x v="5"/>
    <s v="DOM PEDRO ATIBAIA"/>
    <n v="596301"/>
    <m/>
    <x v="0"/>
    <n v="133"/>
    <m/>
    <n v="5.59"/>
    <n v="743.47"/>
    <n v="5.59"/>
    <n v="520"/>
    <n v="3.9097744360902253"/>
  </r>
  <r>
    <n v="264881"/>
    <x v="77"/>
    <x v="18"/>
    <s v="DOM PEDRO ITAPEVA"/>
    <n v="658384"/>
    <m/>
    <x v="0"/>
    <n v="168.45"/>
    <m/>
    <n v="5.66"/>
    <n v="953.42699999999991"/>
    <n v="5.66"/>
    <n v="686"/>
    <n v="4.0724250519441973"/>
  </r>
  <r>
    <s v="Ajuste M."/>
    <x v="77"/>
    <x v="31"/>
    <m/>
    <n v="301001"/>
    <m/>
    <x v="0"/>
    <n v="63.3"/>
    <m/>
    <m/>
    <n v="0"/>
    <n v="0"/>
    <n v="493"/>
    <n v="7.7883096366508688"/>
  </r>
  <r>
    <s v="Ajuste M."/>
    <x v="77"/>
    <x v="31"/>
    <m/>
    <n v="301695"/>
    <m/>
    <x v="0"/>
    <n v="95.6"/>
    <m/>
    <m/>
    <n v="0"/>
    <n v="0"/>
    <n v="694"/>
    <n v="7.2594142259414234"/>
  </r>
  <r>
    <n v="523294"/>
    <x v="77"/>
    <x v="31"/>
    <s v="COMBO AUTO POSTO"/>
    <n v="302251"/>
    <m/>
    <x v="0"/>
    <n v="73.561000000000007"/>
    <m/>
    <n v="6.37"/>
    <n v="468.58357000000007"/>
    <n v="6.37"/>
    <n v="556"/>
    <n v="7.5583529315805924"/>
  </r>
  <r>
    <n v="331420"/>
    <x v="77"/>
    <x v="0"/>
    <s v="DOM PEDRO POUSO ALEGRE"/>
    <n v="380596"/>
    <m/>
    <x v="0"/>
    <n v="48.28"/>
    <m/>
    <n v="5.69"/>
    <n v="274.71320000000003"/>
    <n v="5.69"/>
    <n v="331"/>
    <n v="6.8558409279204637"/>
  </r>
  <r>
    <n v="283375"/>
    <x v="78"/>
    <x v="7"/>
    <s v="POSTO ZÉ RAMOS"/>
    <n v="85300"/>
    <m/>
    <x v="1"/>
    <n v="45.49"/>
    <m/>
    <n v="5.39"/>
    <n v="245.19110000000001"/>
    <n v="5.39"/>
    <n v="550"/>
    <n v="12.090569355902396"/>
  </r>
  <r>
    <n v="171403"/>
    <x v="78"/>
    <x v="32"/>
    <s v="TATITA FERNÃO DIAS"/>
    <n v="62982"/>
    <m/>
    <x v="1"/>
    <n v="3.6429999999999998"/>
    <m/>
    <n v="5.49"/>
    <n v="20.000070000000001"/>
    <n v="5.49"/>
    <n v="293"/>
    <n v="80.42821850123525"/>
  </r>
  <r>
    <n v="171372"/>
    <x v="78"/>
    <x v="9"/>
    <s v="TATITA FERNÃO DIAS"/>
    <n v="354560"/>
    <m/>
    <x v="2"/>
    <n v="10.018000000000001"/>
    <m/>
    <n v="3.69"/>
    <n v="36.966419999999999"/>
    <n v="3.6899999999999995"/>
    <m/>
    <n v="0"/>
  </r>
  <r>
    <n v="283553"/>
    <x v="78"/>
    <x v="28"/>
    <s v="POSTO ZÉ RAMOS"/>
    <n v="43893"/>
    <m/>
    <x v="0"/>
    <n v="107.679"/>
    <m/>
    <n v="5.99"/>
    <n v="644.99721"/>
    <n v="5.99"/>
    <n v="891"/>
    <n v="8.2745939319644499"/>
  </r>
  <r>
    <s v="Ajuste M."/>
    <x v="78"/>
    <x v="13"/>
    <m/>
    <n v="113989"/>
    <m/>
    <x v="0"/>
    <n v="44"/>
    <m/>
    <m/>
    <n v="0"/>
    <n v="0"/>
    <n v="393"/>
    <n v="8.9318181818181817"/>
  </r>
  <r>
    <n v="171237"/>
    <x v="78"/>
    <x v="13"/>
    <s v="TATITA FERNÃO DIAS"/>
    <n v="114182"/>
    <m/>
    <x v="0"/>
    <n v="27.29"/>
    <m/>
    <n v="5.89"/>
    <n v="160.73809999999997"/>
    <n v="5.89"/>
    <n v="193"/>
    <n v="7.0721876145108098"/>
  </r>
  <r>
    <n v="335243"/>
    <x v="78"/>
    <x v="24"/>
    <s v="BEIRA MINHO"/>
    <n v="81896"/>
    <m/>
    <x v="0"/>
    <n v="91.31"/>
    <n v="27.39"/>
    <n v="6.09"/>
    <n v="528.68790000000001"/>
    <n v="5.7900328551089695"/>
    <n v="573"/>
    <n v="6.2753258131639464"/>
  </r>
  <r>
    <n v="335285"/>
    <x v="78"/>
    <x v="33"/>
    <s v="BEIRA MINHO"/>
    <n v="74406"/>
    <m/>
    <x v="0"/>
    <n v="159.99"/>
    <n v="48"/>
    <n v="6.09"/>
    <n v="926.33910000000003"/>
    <n v="5.7899812488280515"/>
    <n v="506"/>
    <n v="3.1626976686042876"/>
  </r>
  <r>
    <n v="318865"/>
    <x v="78"/>
    <x v="2"/>
    <s v="TIGRÃO DA DUTRA"/>
    <n v="874921"/>
    <m/>
    <x v="0"/>
    <n v="388.48500000000001"/>
    <n v="174.81"/>
    <n v="5.92"/>
    <n v="2125.0212000000001"/>
    <n v="5.4700212363411715"/>
    <n v="1056"/>
    <n v="2.7182516699486468"/>
  </r>
  <r>
    <n v="631518"/>
    <x v="78"/>
    <x v="6"/>
    <s v="GAVIÃO DA ANHANGUERA"/>
    <n v="607991"/>
    <m/>
    <x v="0"/>
    <n v="137.10300000000001"/>
    <m/>
    <n v="5.61"/>
    <n v="769.14783000000011"/>
    <n v="5.61"/>
    <n v="557"/>
    <n v="4.0626390378036952"/>
  </r>
  <r>
    <s v="Ajuste M."/>
    <x v="78"/>
    <x v="10"/>
    <m/>
    <n v="239823"/>
    <m/>
    <x v="0"/>
    <n v="62.35"/>
    <m/>
    <m/>
    <n v="0"/>
    <n v="0"/>
    <n v="505"/>
    <n v="8.09943865276664"/>
  </r>
  <r>
    <n v="160320"/>
    <x v="78"/>
    <x v="10"/>
    <s v="DOM PEDRO CAMBUÍ"/>
    <n v="240190"/>
    <m/>
    <x v="0"/>
    <n v="48.38"/>
    <m/>
    <n v="5.59"/>
    <n v="270.44420000000002"/>
    <n v="5.59"/>
    <n v="367"/>
    <n v="7.5857792476229839"/>
  </r>
  <r>
    <n v="171372"/>
    <x v="78"/>
    <x v="9"/>
    <s v="TATITA FERNÃO DIAS"/>
    <n v="354560"/>
    <m/>
    <x v="0"/>
    <n v="68.760999999999996"/>
    <m/>
    <n v="5.89"/>
    <n v="405.00228999999996"/>
    <n v="5.89"/>
    <n v="352"/>
    <n v="5.1191809310510319"/>
  </r>
  <r>
    <n v="164976"/>
    <x v="79"/>
    <x v="7"/>
    <s v="AUTO POSTO GIGIO"/>
    <n v="85761"/>
    <m/>
    <x v="1"/>
    <n v="37.17"/>
    <m/>
    <n v="5.44"/>
    <n v="202.20480000000003"/>
    <n v="5.44"/>
    <n v="461"/>
    <n v="12.40247511433952"/>
  </r>
  <r>
    <n v="335976"/>
    <x v="79"/>
    <x v="18"/>
    <s v="BEIRA MINHO"/>
    <n v="658406"/>
    <m/>
    <x v="2"/>
    <n v="23.428999999999998"/>
    <m/>
    <n v="4.99"/>
    <n v="116.91070999999999"/>
    <n v="4.99"/>
    <m/>
    <n v="0"/>
  </r>
  <r>
    <n v="283752"/>
    <x v="79"/>
    <x v="19"/>
    <s v="POSTO ZÉ RAMOS"/>
    <n v="220084"/>
    <m/>
    <x v="1"/>
    <n v="39.631"/>
    <m/>
    <n v="5.39"/>
    <n v="213.61108999999999"/>
    <n v="5.39"/>
    <n v="412"/>
    <n v="12.18538345508858"/>
  </r>
  <r>
    <n v="526850"/>
    <x v="79"/>
    <x v="17"/>
    <s v="POSTO ITASUL"/>
    <n v="191565"/>
    <m/>
    <x v="0"/>
    <n v="705"/>
    <m/>
    <n v="5.79"/>
    <n v="4081.95"/>
    <n v="5.79"/>
    <n v="1949"/>
    <n v="2.7645390070921985"/>
  </r>
  <r>
    <n v="171476"/>
    <x v="79"/>
    <x v="1"/>
    <s v="TATITA FERNÃO DIAS"/>
    <n v="320382"/>
    <m/>
    <x v="0"/>
    <n v="111.43"/>
    <m/>
    <n v="5.89"/>
    <n v="656.32270000000005"/>
    <n v="5.8900000000000006"/>
    <n v="398"/>
    <n v="3.5717490801399978"/>
  </r>
  <r>
    <s v="Ajuste M."/>
    <x v="79"/>
    <x v="13"/>
    <m/>
    <n v="114486"/>
    <m/>
    <x v="0"/>
    <n v="42.81"/>
    <m/>
    <m/>
    <n v="0"/>
    <n v="0"/>
    <n v="304"/>
    <n v="7.1011445923849568"/>
  </r>
  <r>
    <s v="Ajuste M."/>
    <x v="79"/>
    <x v="13"/>
    <m/>
    <n v="114706"/>
    <m/>
    <x v="0"/>
    <n v="29"/>
    <m/>
    <m/>
    <n v="0"/>
    <n v="0"/>
    <n v="220"/>
    <n v="7.5862068965517242"/>
  </r>
  <r>
    <s v="Ajuste M."/>
    <x v="79"/>
    <x v="13"/>
    <m/>
    <n v="114917"/>
    <m/>
    <x v="0"/>
    <n v="25"/>
    <m/>
    <m/>
    <n v="0"/>
    <n v="0"/>
    <n v="211"/>
    <n v="8.44"/>
  </r>
  <r>
    <n v="240597"/>
    <x v="79"/>
    <x v="13"/>
    <s v="ULTRAMARINO"/>
    <n v="115096"/>
    <m/>
    <x v="0"/>
    <n v="24.99"/>
    <n v="2.5"/>
    <n v="5.67"/>
    <n v="139.19329999999999"/>
    <n v="5.5699599839935976"/>
    <n v="179"/>
    <n v="7.1628651460584241"/>
  </r>
  <r>
    <n v="265402"/>
    <x v="79"/>
    <x v="34"/>
    <s v="DOM PEDRO ITAPEVA"/>
    <n v="465276"/>
    <m/>
    <x v="2"/>
    <n v="33.020000000000003"/>
    <m/>
    <n v="3.19"/>
    <n v="105.33380000000001"/>
    <n v="3.19"/>
    <m/>
    <n v="0"/>
  </r>
  <r>
    <n v="523880"/>
    <x v="79"/>
    <x v="19"/>
    <s v="COMBO AUTO POSTO"/>
    <n v="220377"/>
    <m/>
    <x v="1"/>
    <n v="20"/>
    <m/>
    <n v="5.64"/>
    <n v="112.8"/>
    <n v="5.64"/>
    <n v="293"/>
    <n v="7.3932022911357267"/>
  </r>
  <r>
    <n v="523844"/>
    <x v="79"/>
    <x v="21"/>
    <s v="COMBO AUTO POSTO"/>
    <n v="127065"/>
    <m/>
    <x v="1"/>
    <n v="50.280999999999999"/>
    <m/>
    <n v="5.64"/>
    <n v="283.58483999999999"/>
    <n v="5.64"/>
    <n v="471"/>
    <n v="9.3673554623018642"/>
  </r>
  <r>
    <n v="335976"/>
    <x v="79"/>
    <x v="18"/>
    <s v="BEIRA MINHO"/>
    <n v="658406"/>
    <m/>
    <x v="2"/>
    <n v="23.428999999999998"/>
    <m/>
    <n v="4.99"/>
    <n v="116.91070999999999"/>
    <n v="4.99"/>
    <m/>
    <n v="0"/>
  </r>
  <r>
    <n v="149893"/>
    <x v="79"/>
    <x v="5"/>
    <s v="DOM PEDRO ATIBAIA"/>
    <n v="596753"/>
    <m/>
    <x v="0"/>
    <n v="115"/>
    <m/>
    <n v="5.59"/>
    <n v="642.85"/>
    <n v="5.59"/>
    <n v="452"/>
    <n v="3.9304347826086956"/>
  </r>
  <r>
    <n v="231200"/>
    <x v="79"/>
    <x v="12"/>
    <s v="DOM PEDRO DE LEME"/>
    <n v="218026"/>
    <m/>
    <x v="0"/>
    <n v="101.14"/>
    <m/>
    <n v="5.39"/>
    <n v="545.14459999999997"/>
    <n v="5.39"/>
    <n v="209"/>
    <n v="2.0664425548744316"/>
  </r>
  <r>
    <s v="Ajuste M."/>
    <x v="79"/>
    <x v="34"/>
    <m/>
    <n v="464248"/>
    <m/>
    <x v="0"/>
    <n v="368.7"/>
    <m/>
    <m/>
    <n v="0"/>
    <n v="0"/>
    <n v="1027"/>
    <n v="2.7854624355844861"/>
  </r>
  <r>
    <n v="265400"/>
    <x v="79"/>
    <x v="34"/>
    <s v="DOM PEDRO ITAPEVA"/>
    <n v="465276"/>
    <m/>
    <x v="0"/>
    <n v="370.28"/>
    <m/>
    <n v="5.65"/>
    <n v="2092.0819999999999"/>
    <n v="5.65"/>
    <n v="1028"/>
    <n v="2.7762774116884521"/>
  </r>
  <r>
    <n v="149434"/>
    <x v="79"/>
    <x v="10"/>
    <s v="DOM PEDRO ATIBAIA"/>
    <n v="240573"/>
    <m/>
    <x v="0"/>
    <n v="52.52"/>
    <m/>
    <n v="5.59"/>
    <n v="293.58679999999998"/>
    <n v="5.589999999999999"/>
    <n v="383"/>
    <n v="7.292460015232292"/>
  </r>
  <r>
    <n v="165750"/>
    <x v="80"/>
    <x v="7"/>
    <s v="AUTO POSTO GIGIO"/>
    <n v="86120"/>
    <m/>
    <x v="1"/>
    <n v="26.817"/>
    <m/>
    <n v="5.44"/>
    <n v="145.88448000000002"/>
    <n v="5.4400000000000013"/>
    <n v="359"/>
    <n v="13.387030614908454"/>
  </r>
  <r>
    <s v="Ajuste M."/>
    <x v="81"/>
    <x v="31"/>
    <m/>
    <n v="303047"/>
    <m/>
    <x v="0"/>
    <n v="100.2"/>
    <m/>
    <m/>
    <n v="0"/>
    <n v="0"/>
    <n v="796"/>
    <n v="7.9441117764471052"/>
  </r>
  <r>
    <n v="635660"/>
    <x v="80"/>
    <x v="6"/>
    <s v="AUTO POSTO RVM MAX"/>
    <n v="608574"/>
    <m/>
    <x v="0"/>
    <n v="150.03"/>
    <m/>
    <n v="5.7"/>
    <n v="855.17100000000005"/>
    <n v="5.7"/>
    <n v="583"/>
    <n v="3.885889488768913"/>
  </r>
  <r>
    <n v="338096"/>
    <x v="80"/>
    <x v="11"/>
    <s v="BEIRA MINHO"/>
    <n v="654306"/>
    <m/>
    <x v="0"/>
    <n v="197.7"/>
    <n v="59.31"/>
    <n v="6.09"/>
    <n v="1144.683"/>
    <n v="5.79"/>
    <n v="808"/>
    <n v="4.0870005058168948"/>
  </r>
  <r>
    <s v="Ajuste M."/>
    <x v="80"/>
    <x v="26"/>
    <m/>
    <n v="709474"/>
    <m/>
    <x v="0"/>
    <n v="142.30000000000001"/>
    <m/>
    <m/>
    <n v="0"/>
    <n v="0"/>
    <n v="477"/>
    <n v="3.3520730850316229"/>
  </r>
  <r>
    <s v="Ajuste M."/>
    <x v="51"/>
    <x v="3"/>
    <m/>
    <n v="123725"/>
    <m/>
    <x v="1"/>
    <n v="39.5"/>
    <m/>
    <m/>
    <n v="0"/>
    <n v="0"/>
    <n v="493"/>
    <n v="12.481012658227849"/>
  </r>
  <r>
    <s v="Ajuste M."/>
    <x v="54"/>
    <x v="3"/>
    <m/>
    <n v="124211"/>
    <m/>
    <x v="1"/>
    <n v="40.299999999999997"/>
    <m/>
    <m/>
    <n v="0"/>
    <n v="0"/>
    <n v="486"/>
    <n v="12.059553349875932"/>
  </r>
  <r>
    <s v="Ajuste M."/>
    <x v="57"/>
    <x v="3"/>
    <m/>
    <n v="124706"/>
    <m/>
    <x v="1"/>
    <n v="39.799999999999997"/>
    <m/>
    <m/>
    <n v="0"/>
    <n v="0"/>
    <n v="495"/>
    <n v="12.437185929648242"/>
  </r>
  <r>
    <s v="Ajuste M."/>
    <x v="59"/>
    <x v="3"/>
    <m/>
    <n v="125205"/>
    <m/>
    <x v="1"/>
    <n v="37.5"/>
    <m/>
    <m/>
    <n v="0"/>
    <n v="0"/>
    <n v="499"/>
    <n v="13.306666666666667"/>
  </r>
  <r>
    <s v="Ajuste M."/>
    <x v="60"/>
    <x v="3"/>
    <m/>
    <n v="125695"/>
    <m/>
    <x v="1"/>
    <n v="38.6"/>
    <m/>
    <m/>
    <n v="0"/>
    <n v="0"/>
    <n v="490"/>
    <n v="12.694300518134714"/>
  </r>
  <r>
    <s v="Ajuste M."/>
    <x v="62"/>
    <x v="3"/>
    <m/>
    <n v="126187"/>
    <m/>
    <x v="1"/>
    <n v="39.6"/>
    <m/>
    <m/>
    <n v="0"/>
    <n v="0"/>
    <n v="492"/>
    <n v="12.424242424242424"/>
  </r>
  <r>
    <s v="Ajuste M."/>
    <x v="63"/>
    <x v="3"/>
    <m/>
    <n v="126680"/>
    <m/>
    <x v="1"/>
    <n v="41"/>
    <m/>
    <m/>
    <n v="0"/>
    <n v="0"/>
    <n v="493"/>
    <n v="12.024390243902438"/>
  </r>
  <r>
    <s v="Ajuste M."/>
    <x v="64"/>
    <x v="3"/>
    <m/>
    <n v="127175"/>
    <m/>
    <x v="1"/>
    <n v="42.5"/>
    <m/>
    <m/>
    <n v="0"/>
    <n v="0"/>
    <n v="495"/>
    <n v="11.647058823529411"/>
  </r>
  <r>
    <s v="Ajuste M."/>
    <x v="66"/>
    <x v="3"/>
    <m/>
    <n v="127666"/>
    <m/>
    <x v="1"/>
    <n v="38.5"/>
    <m/>
    <m/>
    <n v="0"/>
    <n v="0"/>
    <n v="491"/>
    <n v="12.753246753246753"/>
  </r>
  <r>
    <s v="Ajuste M."/>
    <x v="68"/>
    <x v="3"/>
    <m/>
    <n v="128159"/>
    <m/>
    <x v="1"/>
    <n v="37.799999999999997"/>
    <m/>
    <m/>
    <n v="0"/>
    <n v="0"/>
    <n v="493"/>
    <n v="13.042328042328043"/>
  </r>
  <r>
    <s v="Ajuste M."/>
    <x v="69"/>
    <x v="3"/>
    <m/>
    <n v="128648"/>
    <m/>
    <x v="1"/>
    <n v="38.520000000000003"/>
    <m/>
    <m/>
    <n v="0"/>
    <n v="0"/>
    <n v="489"/>
    <n v="12.694704049844235"/>
  </r>
  <r>
    <s v="Ajuste M."/>
    <x v="71"/>
    <x v="3"/>
    <m/>
    <n v="129137"/>
    <m/>
    <x v="1"/>
    <n v="41.5"/>
    <m/>
    <m/>
    <n v="0"/>
    <n v="0"/>
    <n v="489"/>
    <n v="11.783132530120483"/>
  </r>
  <r>
    <s v="Ajuste M."/>
    <x v="72"/>
    <x v="3"/>
    <m/>
    <n v="129633"/>
    <m/>
    <x v="1"/>
    <n v="40"/>
    <m/>
    <m/>
    <n v="0"/>
    <n v="0"/>
    <n v="496"/>
    <n v="12.4"/>
  </r>
  <r>
    <s v="Ajuste M."/>
    <x v="82"/>
    <x v="3"/>
    <m/>
    <n v="130125"/>
    <m/>
    <x v="1"/>
    <n v="39.299999999999997"/>
    <m/>
    <m/>
    <n v="0"/>
    <n v="0"/>
    <n v="492"/>
    <n v="12.519083969465649"/>
  </r>
  <r>
    <s v="Ajuste M."/>
    <x v="75"/>
    <x v="3"/>
    <m/>
    <n v="130614"/>
    <m/>
    <x v="1"/>
    <n v="39.54"/>
    <m/>
    <m/>
    <n v="0"/>
    <n v="0"/>
    <n v="489"/>
    <n v="12.36722306525038"/>
  </r>
  <r>
    <s v="Ajuste M."/>
    <x v="78"/>
    <x v="3"/>
    <m/>
    <n v="131114"/>
    <m/>
    <x v="1"/>
    <n v="39.9"/>
    <m/>
    <m/>
    <n v="0"/>
    <n v="0"/>
    <n v="500"/>
    <n v="12.531328320802006"/>
  </r>
  <r>
    <s v="Ajuste M."/>
    <x v="83"/>
    <x v="3"/>
    <m/>
    <n v="131608"/>
    <m/>
    <x v="1"/>
    <n v="38.4"/>
    <m/>
    <m/>
    <n v="0"/>
    <n v="0"/>
    <n v="494"/>
    <n v="12.864583333333334"/>
  </r>
  <r>
    <s v="Ajuste M."/>
    <x v="81"/>
    <x v="3"/>
    <m/>
    <n v="132099"/>
    <m/>
    <x v="1"/>
    <n v="39.520000000000003"/>
    <m/>
    <m/>
    <n v="0"/>
    <n v="0"/>
    <n v="491"/>
    <n v="12.424089068825911"/>
  </r>
  <r>
    <s v="Ajuste M."/>
    <x v="80"/>
    <x v="3"/>
    <m/>
    <n v="132592"/>
    <m/>
    <x v="1"/>
    <n v="40.25"/>
    <m/>
    <m/>
    <n v="0"/>
    <n v="0"/>
    <n v="493"/>
    <n v="12.248447204968944"/>
  </r>
  <r>
    <n v="172082"/>
    <x v="80"/>
    <x v="3"/>
    <s v="TATITA FERNÃO DIAS"/>
    <n v="133110"/>
    <m/>
    <x v="1"/>
    <n v="41.911000000000001"/>
    <m/>
    <n v="5.49"/>
    <n v="230.09139000000002"/>
    <n v="5.49"/>
    <n v="518"/>
    <n v="12.359523752714084"/>
  </r>
  <r>
    <n v="172075"/>
    <x v="80"/>
    <x v="26"/>
    <s v="TATITA FERNÃO DIAS"/>
    <n v="710151"/>
    <m/>
    <x v="0"/>
    <n v="206.46"/>
    <m/>
    <n v="5.89"/>
    <n v="1216.0493999999999"/>
    <n v="5.8899999999999988"/>
    <n v="677"/>
    <n v="3.2790855371500531"/>
  </r>
  <r>
    <n v="172171"/>
    <x v="80"/>
    <x v="13"/>
    <s v="TATITA FERNÃO DIAS"/>
    <n v="115446"/>
    <m/>
    <x v="0"/>
    <n v="45.040999999999997"/>
    <m/>
    <n v="5.89"/>
    <n v="265.29148999999995"/>
    <n v="5.89"/>
    <n v="350"/>
    <n v="7.7706978086632184"/>
  </r>
  <r>
    <n v="338379"/>
    <x v="80"/>
    <x v="33"/>
    <s v="BEIRA MINHO"/>
    <n v="74922"/>
    <m/>
    <x v="0"/>
    <n v="161.13999999999999"/>
    <n v="48.34"/>
    <n v="6.09"/>
    <n v="933.00259999999992"/>
    <n v="5.7900124115675808"/>
    <n v="516"/>
    <n v="3.2021844358942535"/>
  </r>
  <r>
    <n v="337972"/>
    <x v="80"/>
    <x v="30"/>
    <s v="BEIRA MINHO"/>
    <n v="307738"/>
    <m/>
    <x v="0"/>
    <n v="6.7"/>
    <m/>
    <n v="6.09"/>
    <n v="40.802999999999997"/>
    <n v="6.09"/>
    <n v="29"/>
    <n v="4.3283582089552235"/>
  </r>
  <r>
    <n v="285059"/>
    <x v="84"/>
    <x v="7"/>
    <s v="POSTO ZÉ RAMOS"/>
    <n v="86263"/>
    <m/>
    <x v="1"/>
    <n v="11.15"/>
    <m/>
    <n v="5.39"/>
    <n v="60.098500000000001"/>
    <n v="5.39"/>
    <n v="143"/>
    <n v="12.825112107623317"/>
  </r>
  <r>
    <n v="172292"/>
    <x v="84"/>
    <x v="3"/>
    <s v="TATITA FERNÃO DIAS"/>
    <n v="133432"/>
    <m/>
    <x v="1"/>
    <n v="27.45"/>
    <m/>
    <n v="5.49"/>
    <n v="150.70050000000001"/>
    <n v="5.49"/>
    <n v="322"/>
    <n v="11.730418943533698"/>
  </r>
  <r>
    <n v="265998"/>
    <x v="80"/>
    <x v="10"/>
    <s v="DOM PEDRO ITAPEVA"/>
    <n v="241021"/>
    <m/>
    <x v="0"/>
    <n v="52.814999999999998"/>
    <m/>
    <n v="5.69"/>
    <n v="300.51735000000002"/>
    <n v="5.69"/>
    <n v="448"/>
    <n v="8.4824387011265738"/>
  </r>
  <r>
    <n v="338858"/>
    <x v="84"/>
    <x v="24"/>
    <s v="BEIRA MINHO"/>
    <n v="0"/>
    <m/>
    <x v="2"/>
    <n v="7.0529999999999999"/>
    <m/>
    <n v="4.99"/>
    <n v="35.194470000000003"/>
    <n v="4.99"/>
    <m/>
    <n v="0"/>
  </r>
  <r>
    <n v="172226"/>
    <x v="84"/>
    <x v="22"/>
    <s v="TATITA FERNÃO DIAS"/>
    <n v="133981"/>
    <m/>
    <x v="0"/>
    <n v="174.059"/>
    <m/>
    <n v="5.89"/>
    <n v="1025.20751"/>
    <n v="5.89"/>
    <n v="712"/>
    <n v="4.0905669916522562"/>
  </r>
  <r>
    <n v="172225"/>
    <x v="84"/>
    <x v="13"/>
    <s v="TATITA FERNÃO DIAS"/>
    <n v="115566"/>
    <m/>
    <x v="0"/>
    <n v="14.941000000000001"/>
    <m/>
    <n v="5.89"/>
    <n v="88.002489999999995"/>
    <n v="5.89"/>
    <n v="120"/>
    <n v="8.0315909243022556"/>
  </r>
  <r>
    <n v="172334"/>
    <x v="84"/>
    <x v="2"/>
    <s v="TATITA FERNÃO DIAS"/>
    <n v="876054"/>
    <m/>
    <x v="0"/>
    <n v="409.71"/>
    <m/>
    <n v="5.89"/>
    <n v="2413.1918999999998"/>
    <n v="5.89"/>
    <n v="1133"/>
    <n v="2.7653706280051744"/>
  </r>
  <r>
    <n v="338926"/>
    <x v="84"/>
    <x v="25"/>
    <s v="BEIRA MINHO"/>
    <n v="389097"/>
    <m/>
    <x v="0"/>
    <n v="113.04"/>
    <n v="33.909999999999997"/>
    <n v="6.09"/>
    <n v="654.50360000000001"/>
    <n v="5.7900176928520874"/>
    <n v="437"/>
    <n v="3.8658881811748054"/>
  </r>
  <r>
    <n v="827679"/>
    <x v="84"/>
    <x v="13"/>
    <s v="NOVA TRABALHADORES"/>
    <n v="115826"/>
    <m/>
    <x v="0"/>
    <n v="35.064"/>
    <m/>
    <n v="5.68"/>
    <n v="199.16351999999998"/>
    <n v="5.68"/>
    <n v="260"/>
    <n v="7.4150125484827747"/>
  </r>
  <r>
    <n v="73088"/>
    <x v="84"/>
    <x v="28"/>
    <s v="ULTRAMARINO"/>
    <n v="44526"/>
    <m/>
    <x v="0"/>
    <n v="86.77"/>
    <n v="8.68"/>
    <n v="5.59"/>
    <n v="476.36429999999996"/>
    <n v="5.489965425838423"/>
    <n v="633"/>
    <n v="7.2951480926587537"/>
  </r>
  <r>
    <n v="152455"/>
    <x v="84"/>
    <x v="5"/>
    <s v="DOM PEDRO ATIBAIA"/>
    <n v="597195"/>
    <m/>
    <x v="0"/>
    <n v="115"/>
    <m/>
    <n v="5.49"/>
    <n v="631.35"/>
    <n v="5.49"/>
    <n v="442"/>
    <n v="3.8434782608695652"/>
  </r>
  <r>
    <n v="634134"/>
    <x v="84"/>
    <x v="6"/>
    <s v="GAVIÃO DA ANHANGUERA"/>
    <n v="609100"/>
    <m/>
    <x v="0"/>
    <n v="103.07599999999999"/>
    <m/>
    <n v="5.61"/>
    <n v="578.25635999999997"/>
    <n v="5.61"/>
    <n v="526"/>
    <n v="5.1030307734099116"/>
  </r>
  <r>
    <n v="285196"/>
    <x v="85"/>
    <x v="7"/>
    <s v="POSTO ZÉ RAMOS"/>
    <n v="86679"/>
    <m/>
    <x v="1"/>
    <n v="31.091000000000001"/>
    <m/>
    <n v="5.39"/>
    <n v="167.58049"/>
    <n v="5.39"/>
    <n v="416"/>
    <n v="13.380077836029718"/>
  </r>
  <r>
    <n v="285039"/>
    <x v="84"/>
    <x v="10"/>
    <s v="POSTO ZÉ RAMOS"/>
    <n v="241463"/>
    <m/>
    <x v="0"/>
    <n v="55.599899999999998"/>
    <m/>
    <n v="5.99"/>
    <n v="333.04340100000002"/>
    <n v="5.99"/>
    <n v="442"/>
    <n v="7.9496545857096867"/>
  </r>
  <r>
    <n v="172448"/>
    <x v="85"/>
    <x v="8"/>
    <s v="TATITA FERNÃO DIAS"/>
    <n v="930972"/>
    <m/>
    <x v="0"/>
    <n v="382.01"/>
    <m/>
    <n v="5.89"/>
    <n v="2250.0389"/>
    <n v="5.8900000000000006"/>
    <n v="1028"/>
    <n v="2.691029030653648"/>
  </r>
  <r>
    <n v="172446"/>
    <x v="85"/>
    <x v="1"/>
    <s v="TATITA FERNÃO DIAS"/>
    <n v="320840"/>
    <m/>
    <x v="0"/>
    <n v="117.28"/>
    <m/>
    <n v="5.89"/>
    <n v="690.77919999999995"/>
    <n v="5.89"/>
    <n v="458"/>
    <n v="3.9051841746248295"/>
  </r>
  <r>
    <n v="333417"/>
    <x v="85"/>
    <x v="23"/>
    <s v="DOM PEDRO POUSO ALEGRE"/>
    <n v="285313"/>
    <m/>
    <x v="1"/>
    <n v="16.768000000000001"/>
    <m/>
    <n v="5.49"/>
    <n v="92.056320000000014"/>
    <n v="5.49"/>
    <n v="209"/>
    <n v="12.464217557251908"/>
  </r>
  <r>
    <n v="172415"/>
    <x v="85"/>
    <x v="12"/>
    <s v="TATITA FERNÃO DIAS"/>
    <n v="218402"/>
    <m/>
    <x v="0"/>
    <n v="127.34"/>
    <m/>
    <n v="5.89"/>
    <n v="750.0326"/>
    <n v="5.89"/>
    <n v="376"/>
    <n v="2.952724988220512"/>
  </r>
  <r>
    <n v="339729"/>
    <x v="85"/>
    <x v="33"/>
    <s v="BEIRA MINHO"/>
    <n v="75371"/>
    <m/>
    <x v="0"/>
    <n v="151.43"/>
    <n v="45.43"/>
    <n v="6.09"/>
    <n v="876.77870000000007"/>
    <n v="5.7899933962887147"/>
    <n v="449"/>
    <n v="2.9650663672984217"/>
  </r>
  <r>
    <n v="152989"/>
    <x v="85"/>
    <x v="14"/>
    <s v="DOM PEDRO ATIBAIA"/>
    <n v="95490"/>
    <m/>
    <x v="0"/>
    <n v="631"/>
    <m/>
    <n v="5.49"/>
    <n v="3464.19"/>
    <n v="5.49"/>
    <n v="1854"/>
    <n v="2.9381933438985737"/>
  </r>
  <r>
    <n v="162389"/>
    <x v="85"/>
    <x v="13"/>
    <s v="DOM PEDRO CAMBUÍ"/>
    <n v="116105"/>
    <m/>
    <x v="0"/>
    <n v="31.06"/>
    <m/>
    <n v="5.59"/>
    <n v="173.62539999999998"/>
    <n v="5.59"/>
    <n v="279"/>
    <n v="8.9826142949130716"/>
  </r>
  <r>
    <s v="Ajuste M."/>
    <x v="85"/>
    <x v="9"/>
    <m/>
    <n v="355160"/>
    <m/>
    <x v="0"/>
    <n v="101.5"/>
    <m/>
    <m/>
    <n v="0"/>
    <n v="0"/>
    <n v="600"/>
    <n v="5.9113300492610836"/>
  </r>
  <r>
    <s v="Ajuste M."/>
    <x v="85"/>
    <x v="9"/>
    <m/>
    <n v="355770"/>
    <m/>
    <x v="0"/>
    <n v="103.5"/>
    <m/>
    <m/>
    <n v="0"/>
    <n v="0"/>
    <n v="610"/>
    <n v="5.8937198067632854"/>
  </r>
  <r>
    <n v="172823"/>
    <x v="86"/>
    <x v="19"/>
    <s v="TATITA FERNÃO DIAS"/>
    <n v="220671"/>
    <m/>
    <x v="1"/>
    <n v="19.129000000000001"/>
    <m/>
    <n v="5.49"/>
    <n v="105.01821000000001"/>
    <n v="5.49"/>
    <n v="294"/>
    <n v="14.7"/>
  </r>
  <r>
    <n v="73974"/>
    <x v="85"/>
    <x v="9"/>
    <s v="ULTRAMARINO"/>
    <n v="356292"/>
    <m/>
    <x v="0"/>
    <n v="85.51"/>
    <n v="8.56"/>
    <n v="5.59"/>
    <n v="469.4409"/>
    <n v="5.4898947491521453"/>
    <n v="522"/>
    <n v="6.1045491755350252"/>
  </r>
  <r>
    <n v="126314"/>
    <x v="86"/>
    <x v="7"/>
    <s v="IMPERADOR DOM PEDRO I"/>
    <n v="87244"/>
    <m/>
    <x v="1"/>
    <n v="42.87"/>
    <m/>
    <n v="5.19"/>
    <n v="222.49530000000001"/>
    <n v="5.19"/>
    <n v="565"/>
    <n v="13.179379519477491"/>
  </r>
  <r>
    <n v="637849"/>
    <x v="86"/>
    <x v="6"/>
    <s v="AUTO POSTO RVM MAX"/>
    <n v="609702"/>
    <m/>
    <x v="0"/>
    <n v="151"/>
    <m/>
    <n v="5.7"/>
    <n v="860.7"/>
    <n v="5.7"/>
    <n v="602"/>
    <n v="3.9867549668874172"/>
  </r>
  <r>
    <n v="172613"/>
    <x v="86"/>
    <x v="13"/>
    <s v="TATITA FERNÃO DIAS"/>
    <n v="116213"/>
    <m/>
    <x v="0"/>
    <n v="18"/>
    <m/>
    <n v="5.89"/>
    <n v="106.02"/>
    <n v="5.89"/>
    <n v="108"/>
    <n v="6"/>
  </r>
  <r>
    <s v="Ajuste M."/>
    <x v="86"/>
    <x v="0"/>
    <m/>
    <n v="381011"/>
    <m/>
    <x v="0"/>
    <n v="46.75"/>
    <m/>
    <m/>
    <n v="0"/>
    <n v="0"/>
    <n v="415"/>
    <n v="8.8770053475935828"/>
  </r>
  <r>
    <s v="Ajuste M."/>
    <x v="86"/>
    <x v="0"/>
    <m/>
    <n v="381460"/>
    <m/>
    <x v="0"/>
    <n v="50.12"/>
    <m/>
    <m/>
    <n v="0"/>
    <n v="0"/>
    <n v="449"/>
    <n v="8.9584996009577011"/>
  </r>
  <r>
    <n v="172609"/>
    <x v="86"/>
    <x v="0"/>
    <s v="TATITA FERNÃO DIAS"/>
    <n v="381740"/>
    <m/>
    <x v="0"/>
    <n v="33.450000000000003"/>
    <m/>
    <n v="5.89"/>
    <n v="197.0205"/>
    <n v="5.89"/>
    <n v="280"/>
    <n v="8.3707025411061284"/>
  </r>
  <r>
    <n v="172753"/>
    <x v="86"/>
    <x v="13"/>
    <s v="TATITA FERNÃO DIAS"/>
    <n v="116561"/>
    <m/>
    <x v="0"/>
    <n v="44.058999999999997"/>
    <m/>
    <n v="5.89"/>
    <n v="259.50750999999997"/>
    <n v="5.89"/>
    <n v="348"/>
    <n v="7.8984997389863594"/>
  </r>
  <r>
    <n v="74339"/>
    <x v="86"/>
    <x v="28"/>
    <s v="ULTRAMARINO"/>
    <n v="45085"/>
    <m/>
    <x v="0"/>
    <n v="62.63"/>
    <n v="6.27"/>
    <n v="5.59"/>
    <n v="343.83170000000001"/>
    <n v="5.4898882324764493"/>
    <n v="559"/>
    <n v="8.9254350950023955"/>
  </r>
  <r>
    <n v="154121"/>
    <x v="86"/>
    <x v="34"/>
    <s v="DOM PEDRO ATIBAIA"/>
    <n v="466463"/>
    <m/>
    <x v="0"/>
    <n v="473"/>
    <m/>
    <n v="5.49"/>
    <n v="2596.77"/>
    <n v="5.49"/>
    <n v="1187"/>
    <n v="2.5095137420718818"/>
  </r>
  <r>
    <n v="285900"/>
    <x v="87"/>
    <x v="7"/>
    <s v="POSTO ZÉ RAMOS"/>
    <n v="87644"/>
    <m/>
    <x v="1"/>
    <n v="39.369"/>
    <m/>
    <n v="5.39"/>
    <n v="212.19890999999998"/>
    <n v="5.39"/>
    <n v="400"/>
    <n v="10.16027839162793"/>
  </r>
  <r>
    <n v="641545"/>
    <x v="88"/>
    <x v="6"/>
    <s v="AUTO POSTO RVM MAX"/>
    <n v="610166"/>
    <m/>
    <x v="2"/>
    <n v="20"/>
    <m/>
    <n v="3.89"/>
    <n v="77.8"/>
    <n v="3.8899999999999997"/>
    <m/>
    <n v="0"/>
  </r>
  <r>
    <n v="173495"/>
    <x v="88"/>
    <x v="12"/>
    <s v="TATITA FERNÃO DIAS"/>
    <n v="218780"/>
    <m/>
    <x v="2"/>
    <n v="19.033999999999999"/>
    <n v="6.86"/>
    <n v="3.69"/>
    <n v="63.37545999999999"/>
    <n v="3.3295923085005774"/>
    <m/>
    <n v="0"/>
  </r>
  <r>
    <n v="525186"/>
    <x v="86"/>
    <x v="15"/>
    <s v="COMBO AUTO POSTO"/>
    <n v="291857"/>
    <m/>
    <x v="0"/>
    <n v="95.66"/>
    <m/>
    <n v="6.37"/>
    <n v="609.35419999999999"/>
    <n v="6.37"/>
    <n v="489"/>
    <n v="5.111854484633076"/>
  </r>
  <r>
    <s v="Ajuste M."/>
    <x v="86"/>
    <x v="31"/>
    <m/>
    <n v="303846"/>
    <m/>
    <x v="0"/>
    <n v="106.3"/>
    <m/>
    <m/>
    <n v="0"/>
    <n v="0"/>
    <n v="799"/>
    <n v="7.5164628410159926"/>
  </r>
  <r>
    <s v="Ajuste M."/>
    <x v="89"/>
    <x v="15"/>
    <m/>
    <n v="292442"/>
    <m/>
    <x v="0"/>
    <n v="112.6"/>
    <m/>
    <m/>
    <n v="0"/>
    <n v="0"/>
    <n v="585"/>
    <n v="5.1953818827708709"/>
  </r>
  <r>
    <s v="Ajuste M."/>
    <x v="89"/>
    <x v="31"/>
    <m/>
    <n v="304611"/>
    <m/>
    <x v="0"/>
    <n v="104.3"/>
    <m/>
    <m/>
    <n v="0"/>
    <n v="0"/>
    <n v="765"/>
    <n v="7.334611697027805"/>
  </r>
  <r>
    <s v="Ajuste M."/>
    <x v="90"/>
    <x v="28"/>
    <m/>
    <n v="45799"/>
    <m/>
    <x v="0"/>
    <n v="79"/>
    <m/>
    <m/>
    <n v="0"/>
    <n v="0"/>
    <n v="714"/>
    <n v="9.037974683544304"/>
  </r>
  <r>
    <n v="641543"/>
    <x v="88"/>
    <x v="6"/>
    <s v="AUTO POSTO RVM MAX"/>
    <n v="610166"/>
    <m/>
    <x v="0"/>
    <n v="101.3"/>
    <m/>
    <n v="5.7"/>
    <n v="577.41"/>
    <n v="5.7"/>
    <n v="464"/>
    <n v="4.5804540967423497"/>
  </r>
  <r>
    <n v="173495"/>
    <x v="88"/>
    <x v="12"/>
    <s v="TATITA FERNÃO DIAS"/>
    <n v="218780"/>
    <m/>
    <x v="0"/>
    <n v="102.89"/>
    <m/>
    <n v="5.89"/>
    <n v="606.02210000000002"/>
    <n v="5.8900000000000006"/>
    <n v="378"/>
    <n v="3.6738264165613761"/>
  </r>
  <r>
    <s v="Ajuste M."/>
    <x v="88"/>
    <x v="35"/>
    <m/>
    <n v="359271"/>
    <m/>
    <x v="0"/>
    <n v="26.5"/>
    <m/>
    <m/>
    <n v="0"/>
    <n v="0"/>
    <n v="114"/>
    <n v="4.3018867924528301"/>
  </r>
  <r>
    <n v="173674"/>
    <x v="88"/>
    <x v="35"/>
    <s v="TATITA FERNÃO DIAS"/>
    <n v="359746"/>
    <m/>
    <x v="0"/>
    <n v="98.4"/>
    <m/>
    <n v="5.89"/>
    <n v="579.57600000000002"/>
    <n v="5.89"/>
    <n v="475"/>
    <n v="4.8272357723577235"/>
  </r>
  <r>
    <n v="173561"/>
    <x v="88"/>
    <x v="2"/>
    <s v="TATITA FERNÃO DIAS"/>
    <n v="876922"/>
    <m/>
    <x v="0"/>
    <n v="371.52"/>
    <m/>
    <n v="5.89"/>
    <n v="2188.2527999999998"/>
    <n v="5.89"/>
    <n v="868"/>
    <n v="2.3363479758828598"/>
  </r>
  <r>
    <n v="343296"/>
    <x v="88"/>
    <x v="24"/>
    <s v="BEIRA MINHO"/>
    <n v="82357"/>
    <m/>
    <x v="0"/>
    <n v="90.91"/>
    <n v="27.27"/>
    <n v="6.09"/>
    <n v="526.37189999999998"/>
    <n v="5.7900329996700037"/>
    <n v="461"/>
    <n v="5.0709492905070954"/>
  </r>
  <r>
    <n v="287050"/>
    <x v="91"/>
    <x v="7"/>
    <s v="POSTO ZÉ RAMOS"/>
    <n v="87779"/>
    <m/>
    <x v="1"/>
    <n v="10"/>
    <m/>
    <n v="5.39"/>
    <n v="53.9"/>
    <n v="5.39"/>
    <n v="135"/>
    <n v="13.5"/>
  </r>
  <r>
    <n v="531454"/>
    <x v="91"/>
    <x v="17"/>
    <s v="POSTO ITASUL"/>
    <n v="193293"/>
    <m/>
    <x v="2"/>
    <n v="56"/>
    <m/>
    <n v="3.79"/>
    <n v="212.24"/>
    <n v="3.79"/>
    <m/>
    <n v="0"/>
  </r>
  <r>
    <n v="344163"/>
    <x v="91"/>
    <x v="30"/>
    <s v="BEIRA MINHO"/>
    <n v="0"/>
    <m/>
    <x v="2"/>
    <n v="22.393000000000001"/>
    <m/>
    <n v="4.99"/>
    <n v="111.74107000000001"/>
    <n v="4.99"/>
    <m/>
    <n v="0"/>
  </r>
  <r>
    <n v="343492"/>
    <x v="88"/>
    <x v="33"/>
    <s v="BEIRA MINHO"/>
    <n v="75815"/>
    <m/>
    <x v="0"/>
    <n v="138.87"/>
    <n v="41.66"/>
    <n v="6.09"/>
    <n v="804.05830000000003"/>
    <n v="5.7900072009793329"/>
    <n v="444"/>
    <n v="3.1972348239360553"/>
  </r>
  <r>
    <n v="115075"/>
    <x v="91"/>
    <x v="32"/>
    <s v="TATITA CENTRO"/>
    <n v="63096"/>
    <m/>
    <x v="1"/>
    <n v="5.39"/>
    <m/>
    <n v="3.9590000000000001"/>
    <n v="21.339009999999998"/>
    <n v="3.9590000000000001"/>
    <n v="114"/>
    <n v="21.150278293135436"/>
  </r>
  <r>
    <n v="267553"/>
    <x v="88"/>
    <x v="18"/>
    <s v="DOM PEDRO ITAPEVA"/>
    <n v="659815"/>
    <m/>
    <x v="0"/>
    <n v="126.13"/>
    <m/>
    <n v="5.59"/>
    <n v="705.06669999999997"/>
    <n v="5.59"/>
    <n v="1431"/>
    <n v="11.345437247284549"/>
  </r>
  <r>
    <s v="Ajuste M."/>
    <x v="88"/>
    <x v="0"/>
    <m/>
    <n v="382182"/>
    <m/>
    <x v="0"/>
    <n v="50.21"/>
    <m/>
    <m/>
    <n v="0"/>
    <n v="0"/>
    <n v="442"/>
    <n v="8.8030272854013152"/>
  </r>
  <r>
    <n v="343435"/>
    <x v="88"/>
    <x v="0"/>
    <s v="BEIRA MINHO"/>
    <n v="382430"/>
    <m/>
    <x v="0"/>
    <n v="31.49"/>
    <n v="9.4499999999999993"/>
    <n v="6.09"/>
    <n v="182.32409999999999"/>
    <n v="5.7899047316608447"/>
    <n v="248"/>
    <n v="7.8755160368370918"/>
  </r>
  <r>
    <n v="286804"/>
    <x v="88"/>
    <x v="9"/>
    <s v="POSTO ZÉ RAMOS"/>
    <n v="356841"/>
    <m/>
    <x v="0"/>
    <n v="90.15"/>
    <m/>
    <n v="5.99"/>
    <n v="539.99850000000004"/>
    <n v="5.99"/>
    <n v="549"/>
    <n v="6.0898502495840265"/>
  </r>
  <r>
    <n v="642176"/>
    <x v="91"/>
    <x v="6"/>
    <s v="AUTO POSTO RVM MAX"/>
    <n v="610658"/>
    <m/>
    <x v="0"/>
    <n v="115"/>
    <m/>
    <n v="5.7"/>
    <n v="655.5"/>
    <n v="5.7"/>
    <n v="492"/>
    <n v="4.2782608695652176"/>
  </r>
  <r>
    <n v="286911"/>
    <x v="91"/>
    <x v="11"/>
    <s v="POSTO ZÉ RAMOS"/>
    <n v="655117"/>
    <m/>
    <x v="0"/>
    <n v="165.83"/>
    <m/>
    <n v="5.89"/>
    <n v="976.73869999999999"/>
    <n v="5.89"/>
    <n v="811"/>
    <n v="4.8905505638304287"/>
  </r>
  <r>
    <n v="531454"/>
    <x v="91"/>
    <x v="17"/>
    <s v="POSTO ITASUL"/>
    <n v="193293"/>
    <m/>
    <x v="0"/>
    <n v="678.76"/>
    <m/>
    <n v="5.79"/>
    <n v="3930.0203999999999"/>
    <n v="5.79"/>
    <n v="1728"/>
    <n v="2.5458188461311804"/>
  </r>
  <r>
    <n v="173731"/>
    <x v="91"/>
    <x v="1"/>
    <s v="TATITA FERNÃO DIAS"/>
    <n v="321251"/>
    <m/>
    <x v="0"/>
    <n v="115.059"/>
    <m/>
    <n v="5.89"/>
    <n v="677.69750999999997"/>
    <n v="5.89"/>
    <n v="411"/>
    <n v="3.5720804109196154"/>
  </r>
  <r>
    <n v="344162"/>
    <x v="91"/>
    <x v="30"/>
    <s v="BEIRA MINHO"/>
    <n v="308269"/>
    <m/>
    <x v="0"/>
    <n v="97.99"/>
    <n v="29.4"/>
    <n v="6.09"/>
    <n v="567.35910000000001"/>
    <n v="5.7899693846310853"/>
    <n v="531"/>
    <n v="5.4189202979895912"/>
  </r>
  <r>
    <n v="76830"/>
    <x v="91"/>
    <x v="22"/>
    <s v="ULTRAMARINO"/>
    <n v="134765"/>
    <m/>
    <x v="0"/>
    <n v="199.08099999999999"/>
    <n v="19.91"/>
    <n v="5.59"/>
    <n v="1092.9527899999998"/>
    <n v="5.48999045614599"/>
    <n v="784"/>
    <n v="3.9380955490478753"/>
  </r>
  <r>
    <n v="157881"/>
    <x v="92"/>
    <x v="34"/>
    <s v="DOM PEDRO ATIBAIA"/>
    <n v="467476"/>
    <m/>
    <x v="2"/>
    <n v="40.04"/>
    <m/>
    <n v="3.19"/>
    <n v="127.7276"/>
    <n v="3.19"/>
    <m/>
    <n v="0"/>
  </r>
  <r>
    <n v="526333"/>
    <x v="92"/>
    <x v="21"/>
    <s v="COMBO AUTO POSTO"/>
    <n v="127489"/>
    <m/>
    <x v="1"/>
    <n v="45.811"/>
    <m/>
    <n v="5.64"/>
    <n v="258.37403999999998"/>
    <n v="5.64"/>
    <n v="424"/>
    <n v="9.2554190041693047"/>
  </r>
  <r>
    <s v="Ajuste M."/>
    <x v="91"/>
    <x v="10"/>
    <m/>
    <n v="241998"/>
    <m/>
    <x v="0"/>
    <n v="63.51"/>
    <m/>
    <m/>
    <n v="0"/>
    <n v="0"/>
    <n v="535"/>
    <n v="8.4238702566524957"/>
  </r>
  <r>
    <n v="267741"/>
    <x v="91"/>
    <x v="10"/>
    <s v="DOM PEDRO ITAPEVA"/>
    <n v="242451"/>
    <m/>
    <x v="0"/>
    <n v="54.030999999999999"/>
    <m/>
    <n v="5.59"/>
    <n v="302.03328999999997"/>
    <n v="5.59"/>
    <n v="453"/>
    <n v="8.3840758083322537"/>
  </r>
  <r>
    <n v="174041"/>
    <x v="92"/>
    <x v="2"/>
    <s v="TATITA FERNÃO DIAS"/>
    <n v="877729"/>
    <m/>
    <x v="0"/>
    <n v="357.64"/>
    <m/>
    <n v="5.89"/>
    <n v="2106.4995999999996"/>
    <n v="5.8899999999999988"/>
    <n v="807"/>
    <n v="2.2564590090593892"/>
  </r>
  <r>
    <n v="344893"/>
    <x v="92"/>
    <x v="25"/>
    <s v="BEIRA MINHO"/>
    <n v="389669"/>
    <m/>
    <x v="0"/>
    <n v="89.41"/>
    <n v="26.82"/>
    <n v="6.09"/>
    <n v="517.68689999999992"/>
    <n v="5.7900335532938145"/>
    <n v="572"/>
    <n v="6.3974946873951462"/>
  </r>
  <r>
    <s v="Ajuste M."/>
    <x v="88"/>
    <x v="19"/>
    <m/>
    <n v="220901"/>
    <m/>
    <x v="1"/>
    <n v="22"/>
    <m/>
    <m/>
    <n v="0"/>
    <n v="0"/>
    <n v="230"/>
    <n v="10.454545454545455"/>
  </r>
  <r>
    <n v="287590"/>
    <x v="93"/>
    <x v="19"/>
    <s v="POSTO ZÉ RAMOS"/>
    <n v="221131"/>
    <m/>
    <x v="1"/>
    <n v="39"/>
    <m/>
    <n v="5.39"/>
    <n v="210.20999999999998"/>
    <n v="5.39"/>
    <n v="230"/>
    <n v="12.02362904490564"/>
  </r>
  <r>
    <s v="Ajuste M."/>
    <x v="92"/>
    <x v="7"/>
    <m/>
    <n v="88223"/>
    <m/>
    <x v="1"/>
    <n v="39.85"/>
    <m/>
    <m/>
    <n v="0"/>
    <n v="0"/>
    <n v="444"/>
    <n v="11.141781681304893"/>
  </r>
  <r>
    <n v="287716"/>
    <x v="93"/>
    <x v="7"/>
    <s v="POSTO ZÉ RAMOS"/>
    <n v="88702"/>
    <m/>
    <x v="1"/>
    <n v="42.35"/>
    <m/>
    <n v="5.39"/>
    <n v="228.26650000000001"/>
    <n v="5.39"/>
    <n v="479"/>
    <n v="11.310507674144038"/>
  </r>
  <r>
    <n v="174136"/>
    <x v="93"/>
    <x v="3"/>
    <s v="TATITA FERNÃO DIAS"/>
    <n v="134075"/>
    <m/>
    <x v="1"/>
    <n v="45.77"/>
    <m/>
    <n v="5.39"/>
    <n v="246.7003"/>
    <n v="5.39"/>
    <n v="643"/>
    <n v="14.048503386497705"/>
  </r>
  <r>
    <n v="344864"/>
    <x v="92"/>
    <x v="33"/>
    <s v="BEIRA MINHO"/>
    <n v="76378"/>
    <m/>
    <x v="0"/>
    <n v="176.39"/>
    <n v="52.92"/>
    <n v="6.09"/>
    <n v="1021.2950999999999"/>
    <n v="5.7899829922331199"/>
    <n v="563"/>
    <n v="3.1917909178524861"/>
  </r>
  <r>
    <n v="77740"/>
    <x v="92"/>
    <x v="14"/>
    <s v="ULTRAMARINO"/>
    <n v="96810"/>
    <m/>
    <x v="0"/>
    <n v="465.46"/>
    <n v="46.55"/>
    <n v="5.59"/>
    <n v="2555.3713999999995"/>
    <n v="5.4899914063507058"/>
    <n v="1320"/>
    <n v="2.8359042667468741"/>
  </r>
  <r>
    <n v="77391"/>
    <x v="92"/>
    <x v="12"/>
    <s v="ULTRAMARINO"/>
    <n v="219317"/>
    <m/>
    <x v="0"/>
    <n v="117.64100000000001"/>
    <n v="11.77"/>
    <n v="5.59"/>
    <n v="645.84319000000005"/>
    <n v="5.489949847417142"/>
    <n v="537"/>
    <n v="4.5647350838568181"/>
  </r>
  <r>
    <n v="268055"/>
    <x v="92"/>
    <x v="22"/>
    <s v="DOM PEDRO ITAPEVA"/>
    <n v="135527"/>
    <m/>
    <x v="0"/>
    <n v="188.23"/>
    <m/>
    <n v="5.59"/>
    <n v="1052.2057"/>
    <n v="5.59"/>
    <n v="762"/>
    <n v="4.0482388567178456"/>
  </r>
  <r>
    <n v="157880"/>
    <x v="92"/>
    <x v="34"/>
    <s v="DOM PEDRO ATIBAIA"/>
    <n v="467476"/>
    <m/>
    <x v="0"/>
    <n v="401"/>
    <m/>
    <n v="5.49"/>
    <n v="2201.4900000000002"/>
    <n v="5.49"/>
    <n v="1013"/>
    <n v="2.5261845386533666"/>
  </r>
  <r>
    <s v="Ajuste M."/>
    <x v="92"/>
    <x v="15"/>
    <m/>
    <n v="293016"/>
    <m/>
    <x v="0"/>
    <n v="115.6"/>
    <m/>
    <m/>
    <n v="0"/>
    <n v="0"/>
    <n v="574"/>
    <n v="4.9653979238754324"/>
  </r>
  <r>
    <n v="287913"/>
    <x v="94"/>
    <x v="7"/>
    <s v="POSTO ZÉ RAMOS"/>
    <n v="88959"/>
    <m/>
    <x v="1"/>
    <n v="26.908999999999999"/>
    <m/>
    <n v="5.39"/>
    <n v="145.03950999999998"/>
    <n v="5.39"/>
    <n v="257"/>
    <n v="9.5507079415808835"/>
  </r>
  <r>
    <n v="288046"/>
    <x v="94"/>
    <x v="3"/>
    <s v="POSTO ZÉ RAMOS"/>
    <n v="134349"/>
    <m/>
    <x v="1"/>
    <n v="17.64"/>
    <m/>
    <n v="5.39"/>
    <n v="95.079599999999999"/>
    <n v="5.39"/>
    <n v="274"/>
    <n v="15.532879818594104"/>
  </r>
  <r>
    <n v="244109"/>
    <x v="94"/>
    <x v="3"/>
    <s v="ULTRAMARINO"/>
    <n v="134536"/>
    <m/>
    <x v="1"/>
    <n v="22.271000000000001"/>
    <m/>
    <n v="5.36"/>
    <n v="119.37256000000001"/>
    <n v="5.36"/>
    <n v="187"/>
    <n v="8.3965695298819085"/>
  </r>
  <r>
    <s v="Ajuste M."/>
    <x v="92"/>
    <x v="31"/>
    <m/>
    <n v="305409"/>
    <m/>
    <x v="0"/>
    <n v="99.3"/>
    <m/>
    <m/>
    <n v="0"/>
    <n v="0"/>
    <n v="798"/>
    <n v="8.0362537764350463"/>
  </r>
  <r>
    <n v="478628"/>
    <x v="95"/>
    <x v="7"/>
    <s v="RODOPOSTO OLIVEIRA"/>
    <n v="89542"/>
    <m/>
    <x v="1"/>
    <n v="44.107999999999997"/>
    <m/>
    <n v="5.48"/>
    <n v="241.71184"/>
    <n v="5.48"/>
    <n v="583"/>
    <n v="13.21755690577673"/>
  </r>
  <r>
    <n v="159940"/>
    <x v="95"/>
    <x v="3"/>
    <s v="DOM PEDRO ATIBAIA"/>
    <n v="134829"/>
    <m/>
    <x v="1"/>
    <n v="20.741"/>
    <m/>
    <n v="5.39"/>
    <n v="111.79398999999999"/>
    <n v="5.39"/>
    <n v="293"/>
    <n v="14.126609131671568"/>
  </r>
  <r>
    <n v="345794"/>
    <x v="93"/>
    <x v="11"/>
    <s v="BEIRA MINHO"/>
    <n v="655780"/>
    <m/>
    <x v="0"/>
    <n v="170.13"/>
    <n v="51.04"/>
    <n v="6.09"/>
    <n v="985.05169999999998"/>
    <n v="5.7899941221418914"/>
    <n v="663"/>
    <n v="3.8970199259389879"/>
  </r>
  <r>
    <n v="346158"/>
    <x v="93"/>
    <x v="35"/>
    <s v="BEIRA MINHO"/>
    <n v="360400"/>
    <m/>
    <x v="0"/>
    <n v="39.25"/>
    <n v="11.77"/>
    <n v="6.09"/>
    <n v="227.26249999999999"/>
    <n v="5.7901273885350317"/>
    <n v="654"/>
    <n v="16.662420382165607"/>
  </r>
  <r>
    <n v="115862"/>
    <x v="96"/>
    <x v="7"/>
    <s v="TATITA CENTRO"/>
    <n v="89836"/>
    <m/>
    <x v="1"/>
    <n v="22.85"/>
    <m/>
    <n v="5.39"/>
    <n v="123.1615"/>
    <n v="5.39"/>
    <n v="294"/>
    <n v="12.86652078774617"/>
  </r>
  <r>
    <n v="639289"/>
    <x v="93"/>
    <x v="6"/>
    <s v="GAVIÃO DA ANHANGUERA"/>
    <n v="611358"/>
    <m/>
    <x v="0"/>
    <n v="152.63900000000001"/>
    <m/>
    <n v="5.61"/>
    <n v="856.30479000000014"/>
    <n v="5.61"/>
    <n v="700"/>
    <n v="4.5859839228506472"/>
  </r>
  <r>
    <s v="Ajuste M."/>
    <x v="93"/>
    <x v="9"/>
    <m/>
    <n v="357462"/>
    <m/>
    <x v="0"/>
    <n v="109.5"/>
    <m/>
    <m/>
    <n v="0"/>
    <n v="0"/>
    <n v="621"/>
    <n v="5.6712328767123283"/>
  </r>
  <r>
    <n v="639674"/>
    <x v="93"/>
    <x v="9"/>
    <s v="GAVIÃO DA ANHANGUERA"/>
    <n v="358137"/>
    <m/>
    <x v="0"/>
    <n v="97.286000000000001"/>
    <m/>
    <n v="5.61"/>
    <n v="545.77446000000009"/>
    <n v="5.6100000000000012"/>
    <n v="675"/>
    <n v="6.9383056143741131"/>
  </r>
  <r>
    <n v="199849"/>
    <x v="93"/>
    <x v="10"/>
    <s v="POSTO JR FAISÃO"/>
    <n v="242907"/>
    <m/>
    <x v="0"/>
    <n v="61.44"/>
    <m/>
    <n v="5.71"/>
    <n v="350.82239999999996"/>
    <n v="5.71"/>
    <n v="456"/>
    <n v="7.421875"/>
  </r>
  <r>
    <s v="Ajuste M."/>
    <x v="93"/>
    <x v="28"/>
    <m/>
    <n v="46578"/>
    <m/>
    <x v="0"/>
    <n v="92.58"/>
    <m/>
    <m/>
    <n v="0"/>
    <n v="0"/>
    <n v="779"/>
    <n v="8.4143443508317137"/>
  </r>
  <r>
    <n v="348968"/>
    <x v="97"/>
    <x v="3"/>
    <s v="BEIRA MINHO"/>
    <n v="135285"/>
    <m/>
    <x v="1"/>
    <n v="34.89"/>
    <m/>
    <n v="5.99"/>
    <n v="208.99110000000002"/>
    <n v="5.99"/>
    <n v="456"/>
    <n v="13.069647463456578"/>
  </r>
  <r>
    <n v="347200"/>
    <x v="94"/>
    <x v="33"/>
    <s v="BEIRA MINHO"/>
    <n v="76847"/>
    <m/>
    <x v="0"/>
    <n v="165.78"/>
    <n v="49.73"/>
    <n v="6.09"/>
    <n v="959.87019999999995"/>
    <n v="5.7900241283628899"/>
    <n v="469"/>
    <n v="2.8290505489202555"/>
  </r>
  <r>
    <s v="Ajuste M."/>
    <x v="94"/>
    <x v="13"/>
    <m/>
    <n v="116870"/>
    <m/>
    <x v="0"/>
    <n v="41.26"/>
    <m/>
    <m/>
    <n v="0"/>
    <n v="0"/>
    <n v="309"/>
    <n v="7.4890935530780425"/>
  </r>
  <r>
    <n v="174640"/>
    <x v="95"/>
    <x v="13"/>
    <s v="TATITA FERNÃO DIAS"/>
    <n v="117179"/>
    <m/>
    <x v="0"/>
    <n v="36.131"/>
    <m/>
    <n v="5.89"/>
    <n v="212.81159"/>
    <n v="5.89"/>
    <n v="309"/>
    <n v="8.5522127812681639"/>
  </r>
  <r>
    <s v="Ajuste M."/>
    <x v="95"/>
    <x v="28"/>
    <m/>
    <n v="47273"/>
    <m/>
    <x v="0"/>
    <n v="83"/>
    <m/>
    <m/>
    <n v="0"/>
    <n v="0"/>
    <n v="695"/>
    <n v="8.3734939759036138"/>
  </r>
  <r>
    <n v="174948"/>
    <x v="96"/>
    <x v="13"/>
    <s v="TATITA FERNÃO DIAS"/>
    <n v="117290"/>
    <m/>
    <x v="0"/>
    <n v="13.851000000000001"/>
    <m/>
    <n v="5.89"/>
    <n v="81.582390000000004"/>
    <n v="5.89"/>
    <n v="111"/>
    <n v="8.0138618150314045"/>
  </r>
  <r>
    <s v="Ajuste M."/>
    <x v="96"/>
    <x v="12"/>
    <m/>
    <n v="219794"/>
    <m/>
    <x v="0"/>
    <n v="98.62"/>
    <m/>
    <m/>
    <n v="0"/>
    <n v="0"/>
    <n v="477"/>
    <n v="4.8367471101196511"/>
  </r>
  <r>
    <n v="325451"/>
    <x v="96"/>
    <x v="12"/>
    <s v="TIGRÃO DA DUTRA"/>
    <n v="220048"/>
    <m/>
    <x v="0"/>
    <n v="52.731999999999999"/>
    <m/>
    <n v="5.47"/>
    <n v="288.44403999999997"/>
    <n v="5.47"/>
    <n v="254"/>
    <n v="4.8168095274216798"/>
  </r>
  <r>
    <s v="Ajuste M."/>
    <x v="96"/>
    <x v="15"/>
    <m/>
    <n v="293558"/>
    <m/>
    <x v="0"/>
    <n v="106.3"/>
    <m/>
    <m/>
    <n v="0"/>
    <n v="0"/>
    <n v="542"/>
    <n v="5.0987770460959547"/>
  </r>
  <r>
    <n v="289034"/>
    <x v="98"/>
    <x v="7"/>
    <s v="POSTO ZÉ RAMOS"/>
    <n v="90275"/>
    <m/>
    <x v="1"/>
    <n v="37.109000000000002"/>
    <m/>
    <n v="5.39"/>
    <n v="200.01750999999999"/>
    <n v="5.39"/>
    <n v="439"/>
    <n v="11.830014282249589"/>
  </r>
  <r>
    <n v="289192"/>
    <x v="98"/>
    <x v="7"/>
    <s v="POSTO ZÉ RAMOS"/>
    <n v="90386"/>
    <m/>
    <x v="1"/>
    <n v="11.3"/>
    <m/>
    <n v="5.39"/>
    <n v="60.907000000000004"/>
    <n v="5.39"/>
    <n v="111"/>
    <n v="9.823008849557521"/>
  </r>
  <r>
    <n v="597865"/>
    <x v="98"/>
    <x v="7"/>
    <s v="DOM PEDRO POUSO ALEGRE"/>
    <n v="90532"/>
    <m/>
    <x v="1"/>
    <n v="10.3"/>
    <m/>
    <n v="5.39"/>
    <n v="55.517000000000003"/>
    <n v="5.39"/>
    <n v="146"/>
    <n v="14.174757281553397"/>
  </r>
  <r>
    <n v="80456"/>
    <x v="98"/>
    <x v="3"/>
    <s v="ULTRAMARINO"/>
    <n v="135810"/>
    <m/>
    <x v="1"/>
    <n v="38.64"/>
    <m/>
    <n v="5.36"/>
    <n v="207.11040000000003"/>
    <n v="5.36"/>
    <n v="525"/>
    <n v="13.586956521739131"/>
  </r>
  <r>
    <n v="288933"/>
    <x v="97"/>
    <x v="13"/>
    <s v="POSTO ZÉ RAMOS"/>
    <n v="117733"/>
    <m/>
    <x v="0"/>
    <n v="45.08"/>
    <m/>
    <n v="5.99"/>
    <n v="270.0292"/>
    <n v="5.99"/>
    <n v="443"/>
    <n v="9.8269742679680565"/>
  </r>
  <r>
    <n v="175048"/>
    <x v="97"/>
    <x v="35"/>
    <s v="TATITA FERNÃO DIAS"/>
    <n v="360602"/>
    <m/>
    <x v="0"/>
    <n v="36.5"/>
    <m/>
    <n v="5.89"/>
    <n v="214.98499999999999"/>
    <n v="5.89"/>
    <n v="202"/>
    <n v="5.5342465753424657"/>
  </r>
  <r>
    <n v="175062"/>
    <x v="97"/>
    <x v="2"/>
    <s v="TATITA FERNÃO DIAS"/>
    <n v="878923"/>
    <m/>
    <x v="0"/>
    <n v="488.87900000000002"/>
    <m/>
    <n v="5.89"/>
    <n v="2879.4973099999997"/>
    <n v="5.89"/>
    <n v="1194"/>
    <n v="2.442322128788514"/>
  </r>
  <r>
    <n v="175009"/>
    <x v="97"/>
    <x v="1"/>
    <s v="TATITA FERNÃO DIAS"/>
    <n v="321670"/>
    <m/>
    <x v="0"/>
    <n v="143.25"/>
    <m/>
    <n v="5.89"/>
    <n v="843.74249999999995"/>
    <n v="5.89"/>
    <n v="419"/>
    <n v="2.924956369982548"/>
  </r>
  <r>
    <n v="349336"/>
    <x v="97"/>
    <x v="18"/>
    <s v="BEIRA MINHO"/>
    <n v="660495"/>
    <m/>
    <x v="0"/>
    <n v="149.01"/>
    <n v="44.7"/>
    <n v="6.09"/>
    <n v="862.77089999999987"/>
    <n v="5.7900201328769878"/>
    <n v="680"/>
    <n v="4.5634521173075635"/>
  </r>
  <r>
    <n v="348784"/>
    <x v="97"/>
    <x v="30"/>
    <s v="BEIRA MINHO"/>
    <n v="308775"/>
    <m/>
    <x v="0"/>
    <n v="90.56"/>
    <n v="27.17"/>
    <n v="6.09"/>
    <n v="524.34040000000005"/>
    <n v="5.7899779151943465"/>
    <n v="506"/>
    <n v="5.5874558303886923"/>
  </r>
  <r>
    <n v="646620"/>
    <x v="97"/>
    <x v="6"/>
    <s v="AUTO POSTO RVM MAX"/>
    <n v="611892"/>
    <m/>
    <x v="0"/>
    <n v="135"/>
    <m/>
    <n v="5.59"/>
    <n v="754.65"/>
    <n v="5.59"/>
    <n v="534"/>
    <n v="3.9555555555555557"/>
  </r>
  <r>
    <n v="641902"/>
    <x v="97"/>
    <x v="6"/>
    <s v="GAVIÃO DA ANHANGUERA"/>
    <n v="612301"/>
    <m/>
    <x v="0"/>
    <n v="76.013999999999996"/>
    <m/>
    <n v="5.61"/>
    <n v="426.43853999999999"/>
    <n v="5.61"/>
    <n v="409"/>
    <n v="5.3805877864603895"/>
  </r>
  <r>
    <n v="161288"/>
    <x v="97"/>
    <x v="34"/>
    <s v="DOM PEDRO ATIBAIA"/>
    <n v="468588"/>
    <m/>
    <x v="0"/>
    <n v="430"/>
    <m/>
    <n v="5.49"/>
    <n v="2360.7000000000003"/>
    <n v="5.49"/>
    <n v="1112"/>
    <n v="2.5860465116279068"/>
  </r>
  <r>
    <n v="153694"/>
    <x v="97"/>
    <x v="9"/>
    <s v="RODOPOSTO MIRANTE"/>
    <n v="358844"/>
    <m/>
    <x v="0"/>
    <n v="117.595"/>
    <n v="62.32"/>
    <n v="5.92"/>
    <n v="633.84239999999988"/>
    <n v="5.390045495131595"/>
    <n v="707"/>
    <n v="6.0121603809685791"/>
  </r>
  <r>
    <n v="175192"/>
    <x v="98"/>
    <x v="12"/>
    <s v="TATITA FERNÃO DIAS"/>
    <n v="220706"/>
    <m/>
    <x v="0"/>
    <n v="139.99"/>
    <m/>
    <n v="5.89"/>
    <n v="824.54110000000003"/>
    <n v="5.89"/>
    <n v="658"/>
    <n v="4.700335738267019"/>
  </r>
  <r>
    <s v="Ajuste M."/>
    <x v="98"/>
    <x v="33"/>
    <m/>
    <n v="77229"/>
    <m/>
    <x v="0"/>
    <n v="136.5"/>
    <m/>
    <m/>
    <n v="0"/>
    <n v="0"/>
    <n v="382"/>
    <n v="2.7985347985347984"/>
  </r>
  <r>
    <s v="Ajuste M."/>
    <x v="98"/>
    <x v="33"/>
    <m/>
    <n v="77610"/>
    <m/>
    <x v="0"/>
    <n v="142.30000000000001"/>
    <m/>
    <m/>
    <n v="0"/>
    <n v="0"/>
    <n v="381"/>
    <n v="2.6774420238931831"/>
  </r>
  <r>
    <n v="349965"/>
    <x v="98"/>
    <x v="33"/>
    <s v="BEIRA MINHO"/>
    <n v="77995"/>
    <m/>
    <x v="0"/>
    <n v="141.81"/>
    <n v="42.54"/>
    <n v="6.09"/>
    <n v="821.0829"/>
    <n v="5.7900211550666381"/>
    <n v="385"/>
    <n v="2.7149002186023554"/>
  </r>
  <r>
    <n v="593434"/>
    <x v="98"/>
    <x v="5"/>
    <s v="DOM PEDRO POUSO ALEGRE"/>
    <n v="597804"/>
    <m/>
    <x v="0"/>
    <n v="162"/>
    <m/>
    <n v="5.59"/>
    <n v="905.57999999999993"/>
    <n v="5.59"/>
    <n v="609"/>
    <n v="3.7592592592592591"/>
  </r>
  <r>
    <n v="289460"/>
    <x v="99"/>
    <x v="7"/>
    <s v="POSTO ZÉ RAMOS"/>
    <n v="91240"/>
    <m/>
    <x v="1"/>
    <n v="43.8"/>
    <m/>
    <n v="5.39"/>
    <n v="236.08199999999997"/>
    <n v="5.39"/>
    <n v="708"/>
    <n v="16.164383561643838"/>
  </r>
  <r>
    <n v="269341"/>
    <x v="98"/>
    <x v="13"/>
    <s v="DOM PEDRO ITAPEVA"/>
    <n v="118151"/>
    <m/>
    <x v="0"/>
    <n v="52.38"/>
    <m/>
    <n v="5.49"/>
    <n v="287.56620000000004"/>
    <n v="5.49"/>
    <n v="418"/>
    <n v="7.9801450935471552"/>
  </r>
  <r>
    <n v="147825"/>
    <x v="98"/>
    <x v="27"/>
    <s v="DOM PEDRO DE MIRACATU"/>
    <n v="115261"/>
    <m/>
    <x v="0"/>
    <n v="186.7791"/>
    <m/>
    <n v="5.59"/>
    <n v="1044.0951689999999"/>
    <n v="5.59"/>
    <n v="701"/>
    <n v="3.7530965723681078"/>
  </r>
  <r>
    <s v="Ajuste M."/>
    <x v="98"/>
    <x v="10"/>
    <m/>
    <n v="243356"/>
    <m/>
    <x v="0"/>
    <n v="58.6"/>
    <m/>
    <m/>
    <n v="0"/>
    <n v="0"/>
    <n v="449"/>
    <n v="7.662116040955631"/>
  </r>
  <r>
    <n v="200831"/>
    <x v="98"/>
    <x v="10"/>
    <s v="POSTO JR FAISÃO"/>
    <n v="243703"/>
    <m/>
    <x v="0"/>
    <n v="40.33"/>
    <m/>
    <n v="5.71"/>
    <n v="230.2843"/>
    <n v="5.71"/>
    <n v="347"/>
    <n v="8.6040168608975947"/>
  </r>
  <r>
    <s v="Ajuste M."/>
    <x v="98"/>
    <x v="29"/>
    <m/>
    <n v="297811"/>
    <m/>
    <x v="0"/>
    <n v="196.3"/>
    <m/>
    <m/>
    <n v="0"/>
    <n v="0"/>
    <n v="982"/>
    <n v="5.0025471217524196"/>
  </r>
  <r>
    <s v="Ajuste M."/>
    <x v="98"/>
    <x v="29"/>
    <m/>
    <n v="298786"/>
    <m/>
    <x v="0"/>
    <n v="198.52"/>
    <m/>
    <m/>
    <n v="0"/>
    <n v="0"/>
    <n v="975"/>
    <n v="4.9113439451944387"/>
  </r>
  <r>
    <s v="Ajuste M."/>
    <x v="98"/>
    <x v="29"/>
    <m/>
    <n v="299744"/>
    <m/>
    <x v="0"/>
    <n v="184.3"/>
    <m/>
    <m/>
    <n v="0"/>
    <n v="0"/>
    <n v="958"/>
    <n v="5.198046663049376"/>
  </r>
  <r>
    <s v="Ajuste M."/>
    <x v="98"/>
    <x v="29"/>
    <m/>
    <n v="300739"/>
    <m/>
    <x v="0"/>
    <n v="195.3"/>
    <m/>
    <m/>
    <n v="0"/>
    <n v="0"/>
    <n v="995"/>
    <n v="5.0947260624679975"/>
  </r>
  <r>
    <s v="Ajuste M."/>
    <x v="98"/>
    <x v="29"/>
    <m/>
    <n v="301763"/>
    <m/>
    <x v="0"/>
    <n v="194.3"/>
    <m/>
    <m/>
    <n v="0"/>
    <n v="0"/>
    <n v="1024"/>
    <n v="5.2702007205352546"/>
  </r>
  <r>
    <n v="388664"/>
    <x v="98"/>
    <x v="29"/>
    <s v="DOM PEDRO ESTIVA"/>
    <n v="302724"/>
    <m/>
    <x v="0"/>
    <n v="170"/>
    <m/>
    <n v="5.59"/>
    <n v="950.3"/>
    <n v="5.59"/>
    <n v="961"/>
    <n v="5.6529411764705886"/>
  </r>
  <r>
    <s v="Ajuste M."/>
    <x v="98"/>
    <x v="0"/>
    <m/>
    <n v="382795"/>
    <m/>
    <x v="0"/>
    <n v="42.5"/>
    <m/>
    <m/>
    <n v="0"/>
    <n v="0"/>
    <n v="365"/>
    <n v="8.5882352941176467"/>
  </r>
  <r>
    <n v="1035622"/>
    <x v="99"/>
    <x v="27"/>
    <s v="SIM REDE DE POSTOS"/>
    <n v="116128"/>
    <m/>
    <x v="2"/>
    <n v="25.212"/>
    <m/>
    <n v="3.29"/>
    <n v="82.947479999999999"/>
    <n v="3.29"/>
    <m/>
    <n v="0"/>
  </r>
  <r>
    <s v="Ajuste M."/>
    <x v="98"/>
    <x v="0"/>
    <m/>
    <n v="383157"/>
    <m/>
    <x v="0"/>
    <n v="44"/>
    <m/>
    <m/>
    <n v="0"/>
    <n v="0"/>
    <n v="362"/>
    <n v="8.2272727272727266"/>
  </r>
  <r>
    <s v="Ajuste M."/>
    <x v="98"/>
    <x v="28"/>
    <m/>
    <n v="47990"/>
    <m/>
    <x v="0"/>
    <n v="85.3"/>
    <m/>
    <m/>
    <n v="0"/>
    <n v="0"/>
    <n v="717"/>
    <n v="8.4056271981242681"/>
  </r>
  <r>
    <s v="Ajuste M."/>
    <x v="99"/>
    <x v="0"/>
    <m/>
    <n v="383517"/>
    <m/>
    <x v="0"/>
    <n v="43.1"/>
    <m/>
    <m/>
    <n v="0"/>
    <n v="0"/>
    <n v="360"/>
    <n v="8.3526682134570756"/>
  </r>
  <r>
    <s v="Ajuste M."/>
    <x v="99"/>
    <x v="0"/>
    <m/>
    <n v="383882"/>
    <m/>
    <x v="0"/>
    <n v="40.6"/>
    <m/>
    <m/>
    <n v="0"/>
    <n v="0"/>
    <n v="365"/>
    <n v="8.9901477832512313"/>
  </r>
  <r>
    <n v="73967"/>
    <x v="99"/>
    <x v="0"/>
    <s v="DOM PEDRO POUSO ALEGRE"/>
    <n v="384255"/>
    <m/>
    <x v="0"/>
    <n v="41.79"/>
    <m/>
    <n v="5.69"/>
    <n v="237.7851"/>
    <n v="5.69"/>
    <n v="373"/>
    <n v="8.9255802823642014"/>
  </r>
  <r>
    <s v="Ajuste M."/>
    <x v="99"/>
    <x v="0"/>
    <m/>
    <n v="384621"/>
    <m/>
    <x v="0"/>
    <n v="45.6"/>
    <m/>
    <m/>
    <n v="0"/>
    <n v="0"/>
    <n v="366"/>
    <n v="8.0263157894736832"/>
  </r>
  <r>
    <s v="Ajuste M."/>
    <x v="99"/>
    <x v="0"/>
    <m/>
    <n v="384987"/>
    <m/>
    <x v="0"/>
    <n v="41.5"/>
    <m/>
    <m/>
    <n v="0"/>
    <n v="0"/>
    <n v="366"/>
    <n v="8.8192771084337345"/>
  </r>
  <r>
    <n v="289471"/>
    <x v="99"/>
    <x v="0"/>
    <s v="POSTO ZÉ RAMOS"/>
    <n v="385353"/>
    <m/>
    <x v="0"/>
    <n v="47.420999999999999"/>
    <m/>
    <n v="5.99"/>
    <n v="284.05178999999998"/>
    <n v="5.9899999999999993"/>
    <n v="366"/>
    <n v="7.7180995761371545"/>
  </r>
  <r>
    <n v="289249"/>
    <x v="99"/>
    <x v="11"/>
    <s v="POSTO ZÉ RAMOS"/>
    <n v="656504"/>
    <m/>
    <x v="0"/>
    <n v="163.69900000000001"/>
    <m/>
    <n v="5.89"/>
    <n v="964.18711000000008"/>
    <n v="5.89"/>
    <n v="724"/>
    <n v="4.4227515134484632"/>
  </r>
  <r>
    <n v="648642"/>
    <x v="99"/>
    <x v="6"/>
    <s v="AUTO POSTO RVM MAX"/>
    <n v="612914"/>
    <m/>
    <x v="0"/>
    <n v="154.34"/>
    <m/>
    <n v="5.59"/>
    <n v="862.76059999999995"/>
    <n v="5.59"/>
    <n v="613"/>
    <n v="3.9717506803161848"/>
  </r>
  <r>
    <n v="289693"/>
    <x v="100"/>
    <x v="7"/>
    <s v="POSTO ZÉ RAMOS"/>
    <n v="91679"/>
    <m/>
    <x v="1"/>
    <n v="36.091000000000001"/>
    <m/>
    <n v="5.39"/>
    <n v="194.53048999999999"/>
    <n v="5.39"/>
    <n v="439"/>
    <n v="12.16369732066166"/>
  </r>
  <r>
    <n v="162613"/>
    <x v="99"/>
    <x v="8"/>
    <s v="DOM PEDRO ATIBAIA"/>
    <n v="931946"/>
    <m/>
    <x v="0"/>
    <n v="342"/>
    <m/>
    <n v="5.49"/>
    <n v="1877.5800000000002"/>
    <n v="5.49"/>
    <n v="974"/>
    <n v="2.8479532163742691"/>
  </r>
  <r>
    <s v="Ajuste M."/>
    <x v="99"/>
    <x v="16"/>
    <m/>
    <n v="340647"/>
    <m/>
    <x v="0"/>
    <n v="150.26"/>
    <m/>
    <m/>
    <n v="0"/>
    <n v="0"/>
    <n v="719"/>
    <n v="4.7850392652735261"/>
  </r>
  <r>
    <n v="235415"/>
    <x v="100"/>
    <x v="6"/>
    <s v="DOM PEDRO DE LEME"/>
    <n v="613349"/>
    <m/>
    <x v="2"/>
    <n v="23.53"/>
    <m/>
    <n v="2.89"/>
    <n v="68.0017"/>
    <n v="2.8899999999999997"/>
    <m/>
    <n v="0"/>
  </r>
  <r>
    <s v="Ajuste M."/>
    <x v="99"/>
    <x v="16"/>
    <m/>
    <n v="341367"/>
    <m/>
    <x v="0"/>
    <n v="149.5"/>
    <m/>
    <m/>
    <n v="0"/>
    <n v="0"/>
    <n v="720"/>
    <n v="4.816053511705686"/>
  </r>
  <r>
    <n v="528295"/>
    <x v="100"/>
    <x v="21"/>
    <s v="COMBO AUTO POSTO"/>
    <n v="128027"/>
    <m/>
    <x v="1"/>
    <n v="52.290999999999997"/>
    <m/>
    <n v="5.64"/>
    <n v="294.92123999999995"/>
    <n v="5.64"/>
    <n v="538"/>
    <n v="10.288577384253506"/>
  </r>
  <r>
    <s v="Ajuste M."/>
    <x v="99"/>
    <x v="16"/>
    <m/>
    <n v="342467"/>
    <m/>
    <x v="0"/>
    <n v="229.5"/>
    <m/>
    <m/>
    <n v="0"/>
    <n v="0"/>
    <n v="1100"/>
    <n v="4.7930283224400876"/>
  </r>
  <r>
    <s v="Ajuste M."/>
    <x v="99"/>
    <x v="16"/>
    <m/>
    <n v="343467"/>
    <m/>
    <x v="0"/>
    <n v="228.6"/>
    <m/>
    <m/>
    <n v="0"/>
    <n v="0"/>
    <n v="1000"/>
    <n v="4.3744531933508313"/>
  </r>
  <r>
    <s v="Ajuste M."/>
    <x v="99"/>
    <x v="16"/>
    <m/>
    <n v="344219"/>
    <m/>
    <x v="0"/>
    <n v="152.30000000000001"/>
    <m/>
    <m/>
    <n v="0"/>
    <n v="0"/>
    <n v="752"/>
    <n v="4.9376231122783976"/>
  </r>
  <r>
    <s v="Ajuste M."/>
    <x v="99"/>
    <x v="16"/>
    <m/>
    <n v="344889"/>
    <m/>
    <x v="0"/>
    <n v="142.30000000000001"/>
    <m/>
    <m/>
    <n v="0"/>
    <n v="0"/>
    <n v="670"/>
    <n v="4.7083626141953614"/>
  </r>
  <r>
    <n v="289496"/>
    <x v="99"/>
    <x v="16"/>
    <s v="POSTO ZÉ RAMOS"/>
    <n v="345687"/>
    <m/>
    <x v="0"/>
    <n v="150"/>
    <m/>
    <n v="5.99"/>
    <n v="898.5"/>
    <n v="5.99"/>
    <n v="798"/>
    <n v="5.32"/>
  </r>
  <r>
    <n v="1035622"/>
    <x v="99"/>
    <x v="27"/>
    <s v="SIM REDE DE POSTOS"/>
    <n v="116128"/>
    <m/>
    <x v="0"/>
    <n v="233.02"/>
    <m/>
    <n v="5.15"/>
    <n v="1200.0530000000001"/>
    <n v="5.15"/>
    <n v="867"/>
    <n v="3.7207106686121363"/>
  </r>
  <r>
    <n v="175430"/>
    <x v="99"/>
    <x v="10"/>
    <s v="TATITA FERNÃO DIAS"/>
    <n v="244228"/>
    <m/>
    <x v="0"/>
    <n v="64.38"/>
    <m/>
    <n v="5.89"/>
    <n v="379.19819999999993"/>
    <n v="5.89"/>
    <n v="525"/>
    <n v="8.1547064305685009"/>
  </r>
  <r>
    <n v="89429"/>
    <x v="99"/>
    <x v="9"/>
    <s v="RODOPOSTO MIRANTE"/>
    <n v="359359"/>
    <m/>
    <x v="0"/>
    <n v="91.234999999999999"/>
    <n v="48.35"/>
    <n v="5.92"/>
    <n v="491.76119999999992"/>
    <n v="5.3900498712117049"/>
    <n v="515"/>
    <n v="5.6447635227708668"/>
  </r>
  <r>
    <s v="Ajuste M."/>
    <x v="99"/>
    <x v="22"/>
    <m/>
    <n v="136101"/>
    <m/>
    <x v="0"/>
    <n v="182.63"/>
    <m/>
    <m/>
    <n v="0"/>
    <n v="0"/>
    <n v="574"/>
    <n v="3.1429666538903795"/>
  </r>
  <r>
    <n v="289944"/>
    <x v="101"/>
    <x v="7"/>
    <s v="POSTO ZÉ RAMOS"/>
    <n v="92019"/>
    <m/>
    <x v="1"/>
    <n v="27.649000000000001"/>
    <m/>
    <n v="5.39"/>
    <n v="149.02811"/>
    <n v="5.39"/>
    <n v="340"/>
    <n v="12.297008933415313"/>
  </r>
  <r>
    <n v="768471"/>
    <x v="101"/>
    <x v="27"/>
    <s v="SIM REDE DE POSTOS"/>
    <n v="116839"/>
    <m/>
    <x v="2"/>
    <n v="17"/>
    <m/>
    <n v="3.79"/>
    <n v="64.430000000000007"/>
    <n v="3.7900000000000005"/>
    <m/>
    <n v="0"/>
  </r>
  <r>
    <n v="351655"/>
    <x v="100"/>
    <x v="22"/>
    <s v="BEIRA MINHO"/>
    <n v="136676"/>
    <m/>
    <x v="0"/>
    <n v="174.2"/>
    <n v="52.26"/>
    <n v="6.09"/>
    <n v="1008.6179999999999"/>
    <n v="5.79"/>
    <n v="575"/>
    <n v="3.3008036739380024"/>
  </r>
  <r>
    <n v="175723"/>
    <x v="100"/>
    <x v="2"/>
    <s v="TATITA FERNÃO DIAS"/>
    <n v="880122"/>
    <m/>
    <x v="0"/>
    <n v="540.221"/>
    <m/>
    <n v="5.89"/>
    <n v="3181.9016899999997"/>
    <n v="5.89"/>
    <n v="1199"/>
    <n v="2.2194620349819796"/>
  </r>
  <r>
    <n v="351385"/>
    <x v="100"/>
    <x v="25"/>
    <s v="BEIRA MINHO"/>
    <n v="390263"/>
    <m/>
    <x v="0"/>
    <n v="96.52"/>
    <n v="28.96"/>
    <n v="6.09"/>
    <n v="558.84679999999992"/>
    <n v="5.7899585578118522"/>
    <n v="594"/>
    <n v="6.1541649399088278"/>
  </r>
  <r>
    <n v="538810"/>
    <x v="102"/>
    <x v="17"/>
    <s v="POSTO ITASUL"/>
    <n v="197538"/>
    <m/>
    <x v="2"/>
    <n v="63"/>
    <m/>
    <n v="3.79"/>
    <n v="238.77"/>
    <n v="3.79"/>
    <m/>
    <n v="0"/>
  </r>
  <r>
    <n v="351321"/>
    <x v="100"/>
    <x v="35"/>
    <s v="BEIRA MINHO"/>
    <n v="360723"/>
    <m/>
    <x v="0"/>
    <n v="24.1"/>
    <n v="12.66"/>
    <n v="6.09"/>
    <n v="134.10900000000001"/>
    <n v="5.5646887966804979"/>
    <n v="121"/>
    <n v="5.0207468879668049"/>
  </r>
  <r>
    <n v="235414"/>
    <x v="100"/>
    <x v="6"/>
    <s v="DOM PEDRO DE LEME"/>
    <n v="613349"/>
    <m/>
    <x v="0"/>
    <n v="96.471999999999994"/>
    <m/>
    <n v="5.34"/>
    <n v="515.16048000000001"/>
    <n v="5.3400000000000007"/>
    <n v="435"/>
    <n v="4.5090803549216352"/>
  </r>
  <r>
    <s v="Ajuste M."/>
    <x v="100"/>
    <x v="17"/>
    <m/>
    <n v="194722"/>
    <m/>
    <x v="0"/>
    <n v="612.52"/>
    <m/>
    <m/>
    <n v="0"/>
    <n v="0"/>
    <n v="1429"/>
    <n v="2.3329850453862733"/>
  </r>
  <r>
    <n v="270650"/>
    <x v="103"/>
    <x v="34"/>
    <s v="DOM PEDRO ITAPEVA"/>
    <n v="469483"/>
    <m/>
    <x v="2"/>
    <n v="40.729999999999997"/>
    <m/>
    <n v="3.69"/>
    <n v="150.29369999999997"/>
    <n v="3.6899999999999995"/>
    <m/>
    <n v="0"/>
  </r>
  <r>
    <n v="535514"/>
    <x v="100"/>
    <x v="17"/>
    <s v="POSTO ITASUL"/>
    <n v="196162"/>
    <m/>
    <x v="0"/>
    <n v="619.721"/>
    <m/>
    <n v="5.79"/>
    <n v="3588.1845899999998"/>
    <n v="5.79"/>
    <n v="1440"/>
    <n v="2.3236262769859342"/>
  </r>
  <r>
    <s v="Ajuste M."/>
    <x v="100"/>
    <x v="0"/>
    <m/>
    <n v="385736"/>
    <m/>
    <x v="0"/>
    <n v="45.6"/>
    <m/>
    <m/>
    <n v="0"/>
    <n v="0"/>
    <n v="383"/>
    <n v="8.3991228070175428"/>
  </r>
  <r>
    <n v="594307"/>
    <x v="100"/>
    <x v="0"/>
    <s v="DOM PEDRO POUSO ALEGRE"/>
    <n v="386119"/>
    <m/>
    <x v="0"/>
    <n v="47.722999999999999"/>
    <m/>
    <n v="5.49"/>
    <n v="261.99927000000002"/>
    <n v="5.49"/>
    <n v="383"/>
    <n v="8.0254803763384537"/>
  </r>
  <r>
    <n v="351302"/>
    <x v="100"/>
    <x v="18"/>
    <s v="BEIRA MINHO"/>
    <n v="661026"/>
    <m/>
    <x v="0"/>
    <n v="161.97"/>
    <n v="48.59"/>
    <n v="6.09"/>
    <n v="937.80729999999994"/>
    <n v="5.7900061739828361"/>
    <n v="531"/>
    <n v="3.2783848860900169"/>
  </r>
  <r>
    <s v="Ajuste M."/>
    <x v="98"/>
    <x v="19"/>
    <m/>
    <n v="221780"/>
    <m/>
    <x v="1"/>
    <n v="41"/>
    <m/>
    <m/>
    <n v="0"/>
    <n v="0"/>
    <n v="649"/>
    <n v="15.829268292682928"/>
  </r>
  <r>
    <n v="354450"/>
    <x v="103"/>
    <x v="19"/>
    <s v="BEIRA MINHO"/>
    <n v="222229"/>
    <m/>
    <x v="1"/>
    <n v="39.67"/>
    <m/>
    <n v="5.57"/>
    <n v="220.96190000000001"/>
    <n v="5.57"/>
    <n v="449"/>
    <n v="11.512820512820513"/>
  </r>
  <r>
    <n v="175572"/>
    <x v="100"/>
    <x v="26"/>
    <s v="TATITA FERNÃO DIAS"/>
    <n v="710648"/>
    <m/>
    <x v="0"/>
    <n v="150.26"/>
    <m/>
    <n v="5.89"/>
    <n v="885.03139999999985"/>
    <n v="5.89"/>
    <n v="497"/>
    <n v="3.3076001597231466"/>
  </r>
  <r>
    <s v="Ajuste M."/>
    <x v="100"/>
    <x v="31"/>
    <m/>
    <n v="306201"/>
    <m/>
    <x v="0"/>
    <n v="101.54"/>
    <m/>
    <m/>
    <n v="0"/>
    <n v="0"/>
    <n v="792"/>
    <n v="7.7998818199724242"/>
  </r>
  <r>
    <n v="768471"/>
    <x v="101"/>
    <x v="27"/>
    <s v="SIM REDE DE POSTOS"/>
    <n v="116839"/>
    <m/>
    <x v="0"/>
    <n v="181"/>
    <n v="51.94"/>
    <n v="5.49"/>
    <n v="941.75"/>
    <n v="5.2030386740331496"/>
    <n v="711"/>
    <n v="3.9281767955801103"/>
  </r>
  <r>
    <n v="270032"/>
    <x v="101"/>
    <x v="1"/>
    <s v="DOM PEDRO ITAPEVA"/>
    <n v="322448"/>
    <m/>
    <x v="0"/>
    <n v="159.22"/>
    <m/>
    <n v="5.59"/>
    <n v="890.03980000000001"/>
    <n v="5.59"/>
    <n v="778"/>
    <n v="4.8863208139680943"/>
  </r>
  <r>
    <n v="291191"/>
    <x v="104"/>
    <x v="7"/>
    <s v="POSTO ZÉ RAMOS"/>
    <n v="92478"/>
    <m/>
    <x v="1"/>
    <n v="39.18"/>
    <m/>
    <n v="5.49"/>
    <n v="215.09820000000002"/>
    <n v="5.49"/>
    <n v="459"/>
    <n v="11.715160796324655"/>
  </r>
  <r>
    <n v="291318"/>
    <x v="104"/>
    <x v="7"/>
    <s v="POSTO ZÉ RAMOS"/>
    <n v="92905"/>
    <m/>
    <x v="1"/>
    <n v="33.159999999999997"/>
    <m/>
    <n v="5.49"/>
    <n v="182.04839999999999"/>
    <n v="5.49"/>
    <n v="427"/>
    <n v="12.876960193003621"/>
  </r>
  <r>
    <n v="175954"/>
    <x v="101"/>
    <x v="10"/>
    <s v="TATITA FERNÃO DIAS"/>
    <n v="244700"/>
    <m/>
    <x v="0"/>
    <n v="61.969000000000001"/>
    <m/>
    <n v="5.89"/>
    <n v="364.99741"/>
    <n v="5.89"/>
    <n v="472"/>
    <n v="7.6167115815972499"/>
  </r>
  <r>
    <s v="Ajuste M."/>
    <x v="99"/>
    <x v="3"/>
    <m/>
    <n v="136335"/>
    <m/>
    <x v="1"/>
    <n v="42.38"/>
    <m/>
    <m/>
    <n v="0"/>
    <n v="0"/>
    <n v="525"/>
    <n v="12.38791882963662"/>
  </r>
  <r>
    <s v="Ajuste M."/>
    <x v="100"/>
    <x v="3"/>
    <m/>
    <n v="136881"/>
    <m/>
    <x v="1"/>
    <n v="41.96"/>
    <m/>
    <m/>
    <n v="0"/>
    <n v="0"/>
    <n v="546"/>
    <n v="13.012392755004766"/>
  </r>
  <r>
    <n v="176853"/>
    <x v="104"/>
    <x v="3"/>
    <s v="TATITA FERNÃO DIAS"/>
    <n v="137552"/>
    <m/>
    <x v="1"/>
    <n v="44.970999999999997"/>
    <m/>
    <n v="5.49"/>
    <n v="246.89078999999998"/>
    <n v="5.49"/>
    <n v="671"/>
    <n v="14.9207266905339"/>
  </r>
  <r>
    <s v="Ajuste M."/>
    <x v="101"/>
    <x v="28"/>
    <m/>
    <n v="48321"/>
    <m/>
    <x v="0"/>
    <n v="41.36"/>
    <m/>
    <m/>
    <n v="0"/>
    <n v="0"/>
    <n v="331"/>
    <n v="8.0029013539651839"/>
  </r>
  <r>
    <s v="Ajuste M."/>
    <x v="101"/>
    <x v="8"/>
    <m/>
    <n v="933144"/>
    <m/>
    <x v="0"/>
    <n v="415"/>
    <m/>
    <m/>
    <n v="0"/>
    <n v="0"/>
    <n v="1198"/>
    <n v="2.8867469879518071"/>
  </r>
  <r>
    <s v="Ajuste M."/>
    <x v="105"/>
    <x v="15"/>
    <m/>
    <n v="294128"/>
    <m/>
    <x v="0"/>
    <n v="102.5"/>
    <m/>
    <m/>
    <n v="0"/>
    <n v="0"/>
    <n v="570"/>
    <n v="5.5609756097560972"/>
  </r>
  <r>
    <s v="Ajuste M."/>
    <x v="105"/>
    <x v="31"/>
    <m/>
    <n v="306989"/>
    <m/>
    <x v="0"/>
    <n v="103.3"/>
    <m/>
    <m/>
    <n v="0"/>
    <n v="0"/>
    <n v="788"/>
    <n v="7.6282671829622464"/>
  </r>
  <r>
    <n v="538810"/>
    <x v="102"/>
    <x v="17"/>
    <s v="POSTO ITASUL"/>
    <n v="197538"/>
    <m/>
    <x v="0"/>
    <n v="675.25"/>
    <m/>
    <n v="5.69"/>
    <n v="3842.1725000000001"/>
    <n v="5.69"/>
    <n v="1376"/>
    <n v="2.0377637911884485"/>
  </r>
  <r>
    <n v="165623"/>
    <x v="103"/>
    <x v="12"/>
    <s v="DOM PEDRO ATIBAIA"/>
    <n v="221163"/>
    <m/>
    <x v="0"/>
    <n v="102.56"/>
    <m/>
    <n v="5.49"/>
    <n v="563.05439999999999"/>
    <n v="5.4899999999999993"/>
    <n v="457"/>
    <n v="4.455928237129485"/>
  </r>
  <r>
    <n v="354337"/>
    <x v="103"/>
    <x v="0"/>
    <s v="BEIRA MINHO"/>
    <n v="386414"/>
    <m/>
    <x v="0"/>
    <n v="37.83"/>
    <n v="11.35"/>
    <n v="6.09"/>
    <n v="219.03469999999999"/>
    <n v="5.7899735659529474"/>
    <n v="295"/>
    <n v="7.798043880518108"/>
  </r>
  <r>
    <n v="330432"/>
    <x v="103"/>
    <x v="33"/>
    <s v="BEIRA MINHO"/>
    <n v="78291"/>
    <m/>
    <x v="0"/>
    <n v="142.43"/>
    <n v="42.73"/>
    <n v="6.29"/>
    <n v="853.15470000000005"/>
    <n v="5.9899929790072317"/>
    <n v="296"/>
    <n v="2.0782138594397246"/>
  </r>
  <r>
    <n v="354399"/>
    <x v="103"/>
    <x v="5"/>
    <s v="BEIRA MINHO"/>
    <n v="598465"/>
    <m/>
    <x v="0"/>
    <n v="165.44"/>
    <n v="49.63"/>
    <n v="6.09"/>
    <n v="957.89959999999996"/>
    <n v="5.790012088974855"/>
    <n v="661"/>
    <n v="3.9954061895551258"/>
  </r>
  <r>
    <s v="Ajuste M."/>
    <x v="103"/>
    <x v="27"/>
    <m/>
    <n v="117195"/>
    <m/>
    <x v="0"/>
    <n v="103.6"/>
    <m/>
    <m/>
    <n v="0"/>
    <n v="0"/>
    <n v="356"/>
    <n v="3.4362934362934365"/>
  </r>
  <r>
    <n v="176884"/>
    <x v="104"/>
    <x v="12"/>
    <s v="TATITA FERNÃO DIAS"/>
    <n v="221408"/>
    <m/>
    <x v="2"/>
    <n v="20.048999999999999"/>
    <m/>
    <n v="3.69"/>
    <n v="73.980809999999991"/>
    <n v="3.6899999999999995"/>
    <m/>
    <n v="0"/>
  </r>
  <r>
    <n v="176626"/>
    <x v="103"/>
    <x v="27"/>
    <s v="TATITA FERNÃO DIAS"/>
    <n v="117551"/>
    <m/>
    <x v="0"/>
    <n v="100.01"/>
    <m/>
    <n v="5.89"/>
    <n v="589.05889999999999"/>
    <n v="5.89"/>
    <n v="356"/>
    <n v="3.55964403559644"/>
  </r>
  <r>
    <n v="270650"/>
    <x v="103"/>
    <x v="34"/>
    <s v="DOM PEDRO ITAPEVA"/>
    <n v="469483"/>
    <m/>
    <x v="0"/>
    <n v="377.41"/>
    <m/>
    <n v="5.5368000000000004"/>
    <n v="2089.6436880000001"/>
    <n v="5.5367999999999995"/>
    <n v="895"/>
    <n v="2.3714263003100076"/>
  </r>
  <r>
    <n v="246166"/>
    <x v="103"/>
    <x v="13"/>
    <s v="ULTRAMARINO"/>
    <n v="118426"/>
    <m/>
    <x v="0"/>
    <n v="38.700000000000003"/>
    <n v="3.87"/>
    <n v="5.53"/>
    <n v="210.14100000000002"/>
    <n v="5.43"/>
    <n v="275"/>
    <n v="7.1059431524547803"/>
  </r>
  <r>
    <n v="652669"/>
    <x v="103"/>
    <x v="6"/>
    <s v="AUTO POSTO RVM MAX"/>
    <n v="613866"/>
    <m/>
    <x v="0"/>
    <n v="96.558999999999997"/>
    <m/>
    <n v="5.49"/>
    <n v="530.10891000000004"/>
    <n v="5.49"/>
    <n v="517"/>
    <n v="5.3542393769612362"/>
  </r>
  <r>
    <n v="354911"/>
    <x v="104"/>
    <x v="30"/>
    <s v="BEIRA MINHO"/>
    <n v="309222"/>
    <m/>
    <x v="0"/>
    <n v="86.81"/>
    <n v="23.04"/>
    <n v="6.09"/>
    <n v="505.63290000000001"/>
    <n v="5.8245927888492108"/>
    <n v="447"/>
    <n v="5.1491763621702571"/>
  </r>
  <r>
    <n v="291123"/>
    <x v="104"/>
    <x v="0"/>
    <s v="POSTO ZÉ RAMOS"/>
    <n v="386706"/>
    <m/>
    <x v="0"/>
    <n v="42.21"/>
    <m/>
    <n v="5.99"/>
    <n v="252.83790000000002"/>
    <n v="5.99"/>
    <n v="292"/>
    <n v="6.9177919924188576"/>
  </r>
  <r>
    <n v="176940"/>
    <x v="104"/>
    <x v="2"/>
    <s v="TATITA FERNÃO DIAS"/>
    <n v="880982"/>
    <m/>
    <x v="0"/>
    <n v="351.51"/>
    <m/>
    <n v="5.69"/>
    <n v="2000.0919000000001"/>
    <n v="5.69"/>
    <n v="860"/>
    <n v="2.446587579300731"/>
  </r>
  <r>
    <n v="291323"/>
    <x v="104"/>
    <x v="0"/>
    <s v="POSTO ZÉ RAMOS"/>
    <n v="387138"/>
    <m/>
    <x v="0"/>
    <n v="50.789000000000001"/>
    <m/>
    <n v="5.79"/>
    <n v="294.06831"/>
    <n v="5.79"/>
    <n v="432"/>
    <n v="8.5057788103723251"/>
  </r>
  <r>
    <n v="192806"/>
    <x v="104"/>
    <x v="22"/>
    <s v="AUTO POSTO CLARISTELA"/>
    <n v="137311"/>
    <m/>
    <x v="0"/>
    <n v="157"/>
    <m/>
    <n v="5.69"/>
    <n v="893.33"/>
    <n v="5.69"/>
    <n v="635"/>
    <n v="4.0445859872611463"/>
  </r>
  <r>
    <n v="270845"/>
    <x v="104"/>
    <x v="18"/>
    <s v="DOM PEDRO ITAPEVA"/>
    <n v="661575"/>
    <m/>
    <x v="0"/>
    <n v="123.4"/>
    <m/>
    <n v="5.5736999999999997"/>
    <n v="687.79458"/>
    <n v="5.5736999999999997"/>
    <n v="549"/>
    <n v="4.4489465153970826"/>
  </r>
  <r>
    <s v="Ajuste M."/>
    <x v="104"/>
    <x v="13"/>
    <m/>
    <n v="118857"/>
    <m/>
    <x v="0"/>
    <n v="44"/>
    <m/>
    <m/>
    <n v="0"/>
    <n v="0"/>
    <n v="431"/>
    <n v="9.795454545454545"/>
  </r>
  <r>
    <s v="Ajuste M."/>
    <x v="104"/>
    <x v="13"/>
    <m/>
    <n v="119107"/>
    <m/>
    <x v="0"/>
    <n v="34"/>
    <m/>
    <m/>
    <n v="0"/>
    <n v="0"/>
    <n v="250"/>
    <n v="7.3529411764705879"/>
  </r>
  <r>
    <s v="Ajuste M."/>
    <x v="104"/>
    <x v="13"/>
    <m/>
    <n v="119372"/>
    <m/>
    <x v="0"/>
    <n v="36"/>
    <m/>
    <m/>
    <n v="0"/>
    <n v="0"/>
    <n v="265"/>
    <n v="7.3611111111111107"/>
  </r>
  <r>
    <n v="402423"/>
    <x v="104"/>
    <x v="13"/>
    <s v="DOM PEDRO I 124 SUL"/>
    <n v="119818"/>
    <m/>
    <x v="0"/>
    <n v="42.45"/>
    <m/>
    <n v="5.47"/>
    <n v="232.20150000000001"/>
    <n v="5.47"/>
    <n v="446"/>
    <n v="10.506478209658422"/>
  </r>
  <r>
    <n v="158486"/>
    <x v="104"/>
    <x v="13"/>
    <s v="RODOPOSTO MIRANTE"/>
    <n v="119891"/>
    <m/>
    <x v="0"/>
    <n v="9.6199999999999992"/>
    <n v="13.77"/>
    <n v="5.92"/>
    <n v="43.180399999999992"/>
    <n v="4.4886070686070685"/>
    <n v="73"/>
    <n v="7.5883575883575887"/>
  </r>
  <r>
    <n v="83909"/>
    <x v="104"/>
    <x v="28"/>
    <s v="ULTRAMARINO"/>
    <n v="48559"/>
    <m/>
    <x v="0"/>
    <n v="31.541"/>
    <n v="3.16"/>
    <n v="5.53"/>
    <n v="171.26173"/>
    <n v="5.4298129418851655"/>
    <n v="238"/>
    <n v="7.5457341238388125"/>
  </r>
  <r>
    <n v="229957"/>
    <x v="104"/>
    <x v="6"/>
    <s v="DOM PEDRO ESTIVA"/>
    <n v="614531"/>
    <m/>
    <x v="0"/>
    <n v="143.01"/>
    <m/>
    <n v="5.49"/>
    <n v="785.12490000000003"/>
    <n v="5.49"/>
    <n v="665"/>
    <n v="4.6500244738130201"/>
  </r>
  <r>
    <n v="176884"/>
    <x v="104"/>
    <x v="12"/>
    <s v="TATITA FERNÃO DIAS"/>
    <n v="221408"/>
    <m/>
    <x v="0"/>
    <n v="56.030999999999999"/>
    <n v="7.22"/>
    <n v="5.89"/>
    <n v="322.80258999999995"/>
    <n v="5.7611427602577141"/>
    <n v="245"/>
    <n v="4.3725794649390517"/>
  </r>
  <r>
    <n v="354930"/>
    <x v="104"/>
    <x v="27"/>
    <s v="BEIRA MINHO"/>
    <n v="117751"/>
    <m/>
    <x v="0"/>
    <n v="52.3"/>
    <n v="59.65"/>
    <n v="6.09"/>
    <n v="258.85699999999997"/>
    <n v="4.949464627151051"/>
    <n v="200"/>
    <n v="3.8240917782026771"/>
  </r>
  <r>
    <n v="176819"/>
    <x v="104"/>
    <x v="26"/>
    <s v="TATITA FERNÃO DIAS"/>
    <n v="710994"/>
    <m/>
    <x v="0"/>
    <n v="95.99"/>
    <m/>
    <n v="5.89"/>
    <n v="565.38109999999995"/>
    <n v="5.89"/>
    <n v="346"/>
    <n v="3.6045421398062301"/>
  </r>
  <r>
    <n v="176885"/>
    <x v="104"/>
    <x v="10"/>
    <s v="TATITA FERNÃO DIAS"/>
    <n v="245202"/>
    <m/>
    <x v="0"/>
    <n v="61.84"/>
    <m/>
    <n v="5.89"/>
    <n v="364.23759999999999"/>
    <n v="5.89"/>
    <n v="502"/>
    <n v="8.1177231565329873"/>
  </r>
  <r>
    <n v="653823"/>
    <x v="106"/>
    <x v="13"/>
    <s v="AUTO POSTO RVM MAX"/>
    <n v="119914"/>
    <m/>
    <x v="0"/>
    <n v="8"/>
    <m/>
    <n v="5.47"/>
    <n v="43.76"/>
    <n v="5.47"/>
    <n v="23"/>
    <n v="2.875"/>
  </r>
  <r>
    <n v="355702"/>
    <x v="106"/>
    <x v="11"/>
    <s v="BEIRA MINHO"/>
    <n v="657101"/>
    <m/>
    <x v="0"/>
    <n v="147.66999999999999"/>
    <n v="44.3"/>
    <n v="6.09"/>
    <n v="855.01029999999992"/>
    <n v="5.7900067718561656"/>
    <n v="597"/>
    <n v="4.0427981309676984"/>
  </r>
  <r>
    <n v="794761"/>
    <x v="106"/>
    <x v="13"/>
    <s v="POSTO 7 SÃO CARLOS"/>
    <n v="119996"/>
    <m/>
    <x v="0"/>
    <n v="12.6"/>
    <m/>
    <n v="5.54"/>
    <n v="69.804000000000002"/>
    <n v="5.54"/>
    <n v="82"/>
    <n v="6.5079365079365079"/>
  </r>
  <r>
    <n v="356078"/>
    <x v="106"/>
    <x v="5"/>
    <s v="BEIRA MINHO"/>
    <n v="598905"/>
    <m/>
    <x v="0"/>
    <n v="123.16"/>
    <n v="36.950000000000003"/>
    <n v="6.09"/>
    <n v="713.09439999999995"/>
    <n v="5.7899837609613511"/>
    <n v="440"/>
    <n v="3.5725885027606368"/>
  </r>
  <r>
    <n v="167307"/>
    <x v="106"/>
    <x v="34"/>
    <s v="DOM PEDRO ATIBAIA"/>
    <n v="470234"/>
    <m/>
    <x v="0"/>
    <n v="328"/>
    <m/>
    <n v="5.49"/>
    <n v="1800.72"/>
    <n v="5.49"/>
    <n v="751"/>
    <n v="2.2896341463414633"/>
  </r>
  <r>
    <n v="177209"/>
    <x v="107"/>
    <x v="3"/>
    <s v="TATITA FERNÃO DIAS"/>
    <n v="137921"/>
    <m/>
    <x v="1"/>
    <n v="32.67"/>
    <m/>
    <n v="5.49"/>
    <n v="179.35830000000001"/>
    <n v="5.49"/>
    <n v="369"/>
    <n v="11.294765840220386"/>
  </r>
  <r>
    <n v="167493"/>
    <x v="106"/>
    <x v="14"/>
    <s v="DOM PEDRO ATIBAIA"/>
    <n v="98326"/>
    <m/>
    <x v="0"/>
    <n v="500"/>
    <m/>
    <n v="5.49"/>
    <n v="2745"/>
    <n v="5.49"/>
    <n v="1516"/>
    <n v="3.032"/>
  </r>
  <r>
    <s v="Ajuste M."/>
    <x v="106"/>
    <x v="24"/>
    <m/>
    <n v="82945"/>
    <m/>
    <x v="0"/>
    <n v="94.1"/>
    <m/>
    <m/>
    <n v="0"/>
    <n v="0"/>
    <n v="588"/>
    <n v="6.2486716259298625"/>
  </r>
  <r>
    <n v="355822"/>
    <x v="106"/>
    <x v="24"/>
    <s v="BEIRA MINHO"/>
    <n v="83533"/>
    <m/>
    <x v="0"/>
    <n v="85.3"/>
    <n v="25.59"/>
    <n v="6.09"/>
    <n v="493.887"/>
    <n v="5.79"/>
    <n v="588"/>
    <n v="6.8933177022274332"/>
  </r>
  <r>
    <n v="177163"/>
    <x v="106"/>
    <x v="35"/>
    <s v="TATITA FERNÃO DIAS"/>
    <n v="361497"/>
    <m/>
    <x v="0"/>
    <n v="134.43899999999999"/>
    <m/>
    <n v="5.69"/>
    <n v="764.95790999999997"/>
    <n v="5.69"/>
    <n v="774"/>
    <n v="5.757257938544619"/>
  </r>
  <r>
    <n v="167367"/>
    <x v="106"/>
    <x v="10"/>
    <s v="DOM PEDRO ATIBAIA"/>
    <n v="245728"/>
    <m/>
    <x v="0"/>
    <n v="62.48"/>
    <m/>
    <n v="5.49"/>
    <n v="343.01519999999999"/>
    <n v="5.49"/>
    <n v="526"/>
    <n v="8.4186939820742648"/>
  </r>
  <r>
    <n v="169460"/>
    <x v="106"/>
    <x v="9"/>
    <s v="DOM PEDRO CAMBUÍ"/>
    <n v="360002"/>
    <m/>
    <x v="0"/>
    <n v="120"/>
    <m/>
    <n v="5.49"/>
    <n v="658.80000000000007"/>
    <n v="5.49"/>
    <n v="643"/>
    <n v="5.3583333333333334"/>
  </r>
  <r>
    <n v="291631"/>
    <x v="106"/>
    <x v="13"/>
    <s v="POSTO ZÉ RAMOS"/>
    <n v="120206"/>
    <s v="DIESEL"/>
    <x v="0"/>
    <n v="27.9"/>
    <n v="5.79"/>
    <n v="5.54"/>
    <n v="148.77600000000001"/>
    <n v="5.3324731182795704"/>
    <n v="210"/>
    <n v="7.5268817204301079"/>
  </r>
  <r>
    <s v="Ajuste M."/>
    <x v="106"/>
    <x v="31"/>
    <m/>
    <n v="307481"/>
    <m/>
    <x v="0"/>
    <n v="55.23"/>
    <m/>
    <m/>
    <n v="0"/>
    <n v="0"/>
    <n v="492"/>
    <n v="8.908202064095601"/>
  </r>
  <r>
    <n v="177185"/>
    <x v="107"/>
    <x v="0"/>
    <s v="TATITA FERNÃO DIAS"/>
    <n v="387333"/>
    <m/>
    <x v="0"/>
    <n v="28.271000000000001"/>
    <m/>
    <n v="5.69"/>
    <n v="160.86199000000002"/>
    <n v="5.69"/>
    <n v="195"/>
    <n v="6.8975275016801669"/>
  </r>
  <r>
    <n v="356763"/>
    <x v="107"/>
    <x v="0"/>
    <s v="BEIRA MINHO"/>
    <n v="387484"/>
    <m/>
    <x v="0"/>
    <n v="21.42"/>
    <n v="12.13"/>
    <n v="6.09"/>
    <n v="118.31780000000001"/>
    <n v="5.5237068160597573"/>
    <n v="151"/>
    <n v="7.049486461251167"/>
  </r>
  <r>
    <n v="292165"/>
    <x v="108"/>
    <x v="32"/>
    <s v="POSTO ZÉ RAMOS"/>
    <n v="63284"/>
    <m/>
    <x v="1"/>
    <n v="6.76"/>
    <m/>
    <n v="5.49"/>
    <n v="37.112400000000001"/>
    <n v="5.49"/>
    <n v="188"/>
    <n v="27.810650887573967"/>
  </r>
  <r>
    <n v="530129"/>
    <x v="108"/>
    <x v="21"/>
    <s v="COMBO AUTO POSTO"/>
    <n v="128500"/>
    <m/>
    <x v="1"/>
    <n v="47.19"/>
    <m/>
    <n v="5.74"/>
    <n v="270.87060000000002"/>
    <n v="5.7400000000000011"/>
    <n v="473"/>
    <n v="10.023310023310025"/>
  </r>
  <r>
    <n v="177222"/>
    <x v="107"/>
    <x v="1"/>
    <s v="TATITA FERNÃO DIAS"/>
    <n v="322880"/>
    <m/>
    <x v="0"/>
    <n v="112"/>
    <m/>
    <n v="5.69"/>
    <n v="637.28000000000009"/>
    <n v="5.69"/>
    <n v="432"/>
    <n v="3.8571428571428572"/>
  </r>
  <r>
    <n v="597557"/>
    <x v="107"/>
    <x v="27"/>
    <s v="DOM PEDRO POUSO ALEGRE"/>
    <n v="118457"/>
    <m/>
    <x v="0"/>
    <n v="179"/>
    <m/>
    <n v="5.6040999999999999"/>
    <n v="1003.1338999999999"/>
    <n v="5.6040999999999999"/>
    <n v="706"/>
    <n v="3.9441340782122905"/>
  </r>
  <r>
    <n v="84865"/>
    <x v="107"/>
    <x v="28"/>
    <s v="ULTRAMARINO"/>
    <n v="49214"/>
    <m/>
    <x v="0"/>
    <n v="75.620999999999995"/>
    <n v="7.56"/>
    <n v="5.53"/>
    <n v="410.62412999999998"/>
    <n v="5.4300277700638713"/>
    <n v="655"/>
    <n v="8.6616151598101059"/>
  </r>
  <r>
    <n v="168524"/>
    <x v="107"/>
    <x v="2"/>
    <s v="DOM PEDRO ATIBAIA"/>
    <n v="882079"/>
    <m/>
    <x v="0"/>
    <n v="496"/>
    <m/>
    <n v="5.49"/>
    <n v="2723.04"/>
    <n v="5.49"/>
    <n v="1097"/>
    <n v="2.211693548387097"/>
  </r>
  <r>
    <s v="Ajuste M."/>
    <x v="108"/>
    <x v="3"/>
    <m/>
    <n v="138430"/>
    <m/>
    <x v="1"/>
    <n v="38.56"/>
    <m/>
    <m/>
    <n v="0"/>
    <n v="0"/>
    <n v="509"/>
    <n v="13.200207468879666"/>
  </r>
  <r>
    <n v="292520"/>
    <x v="109"/>
    <x v="3"/>
    <s v="POSTO ZÉ RAMOS"/>
    <n v="138967"/>
    <m/>
    <x v="1"/>
    <n v="40.619"/>
    <m/>
    <n v="5.49"/>
    <n v="222.99831"/>
    <n v="5.49"/>
    <n v="537"/>
    <n v="13.220414091927424"/>
  </r>
  <r>
    <s v="Ajuste M."/>
    <x v="107"/>
    <x v="7"/>
    <m/>
    <n v="93394"/>
    <m/>
    <x v="1"/>
    <n v="36.520000000000003"/>
    <m/>
    <m/>
    <n v="0"/>
    <n v="0"/>
    <n v="489"/>
    <n v="13.389923329682365"/>
  </r>
  <r>
    <s v="Ajuste M."/>
    <x v="110"/>
    <x v="7"/>
    <m/>
    <n v="93546"/>
    <m/>
    <x v="1"/>
    <n v="12.3"/>
    <m/>
    <m/>
    <n v="0"/>
    <n v="0"/>
    <n v="152"/>
    <n v="12.357723577235772"/>
  </r>
  <r>
    <n v="117869"/>
    <x v="111"/>
    <x v="7"/>
    <s v="TATITA CENTRO"/>
    <n v="93686"/>
    <m/>
    <x v="1"/>
    <n v="11.69"/>
    <m/>
    <n v="5.39"/>
    <n v="63.009099999999997"/>
    <n v="5.39"/>
    <n v="140"/>
    <n v="11.976047904191617"/>
  </r>
  <r>
    <n v="655246"/>
    <x v="107"/>
    <x v="6"/>
    <s v="AUTO POSTO RVM MAX"/>
    <n v="615182"/>
    <m/>
    <x v="0"/>
    <n v="149.06899999999999"/>
    <m/>
    <n v="5.49"/>
    <n v="818.38880999999992"/>
    <n v="5.49"/>
    <n v="651"/>
    <n v="4.3671051660640376"/>
  </r>
  <r>
    <n v="293483"/>
    <x v="112"/>
    <x v="7"/>
    <s v="POSTO ZÉ RAMOS"/>
    <n v="94187"/>
    <m/>
    <x v="1"/>
    <n v="41.35"/>
    <m/>
    <n v="5.49"/>
    <n v="227.01150000000001"/>
    <n v="5.49"/>
    <n v="501"/>
    <n v="12.116082224909311"/>
  </r>
  <r>
    <n v="177200"/>
    <x v="107"/>
    <x v="22"/>
    <s v="TATITA FERNÃO DIAS"/>
    <n v="137922"/>
    <m/>
    <x v="0"/>
    <n v="143.209"/>
    <m/>
    <n v="5.69"/>
    <n v="814.85921000000008"/>
    <n v="5.69"/>
    <n v="611"/>
    <n v="4.2664916311125696"/>
  </r>
  <r>
    <n v="357397"/>
    <x v="108"/>
    <x v="25"/>
    <s v="BEIRA MINHO"/>
    <n v="390743"/>
    <m/>
    <x v="0"/>
    <n v="107.97"/>
    <n v="32.39"/>
    <n v="6.09"/>
    <n v="625.14729999999997"/>
    <n v="5.7900092618319903"/>
    <n v="480"/>
    <n v="4.4456793553764937"/>
  </r>
  <r>
    <n v="357745"/>
    <x v="108"/>
    <x v="5"/>
    <s v="BEIRA MINHO"/>
    <n v="599478"/>
    <m/>
    <x v="0"/>
    <n v="153.47"/>
    <n v="46.04"/>
    <n v="6.09"/>
    <n v="888.59230000000002"/>
    <n v="5.7900065159314522"/>
    <n v="573"/>
    <n v="3.7336287222258422"/>
  </r>
  <r>
    <n v="85203"/>
    <x v="108"/>
    <x v="13"/>
    <s v="ULTRAMARINO"/>
    <n v="120337"/>
    <m/>
    <x v="0"/>
    <n v="18.66"/>
    <n v="1.87"/>
    <n v="5.53"/>
    <n v="101.3198"/>
    <n v="5.4297856377277602"/>
    <n v="131"/>
    <n v="7.020364415862808"/>
  </r>
  <r>
    <n v="513775"/>
    <x v="108"/>
    <x v="13"/>
    <s v="AUTO POSTO SANTA ADELIA"/>
    <n v="120699"/>
    <m/>
    <x v="0"/>
    <n v="40.72"/>
    <m/>
    <n v="6.49"/>
    <n v="264.27280000000002"/>
    <n v="6.49"/>
    <n v="362"/>
    <n v="8.8899803536345772"/>
  </r>
  <r>
    <n v="271744"/>
    <x v="108"/>
    <x v="13"/>
    <s v="DOM PEDRO ITAPEVA"/>
    <n v="121064"/>
    <m/>
    <x v="0"/>
    <n v="44.17"/>
    <m/>
    <n v="5.59"/>
    <n v="246.91030000000001"/>
    <n v="5.59"/>
    <n v="365"/>
    <n v="8.2635272809599272"/>
  </r>
  <r>
    <n v="271626"/>
    <x v="108"/>
    <x v="18"/>
    <s v="DOM PEDRO ITAPEVA"/>
    <n v="662322"/>
    <m/>
    <x v="0"/>
    <n v="168.3"/>
    <m/>
    <n v="5.59"/>
    <n v="940.79700000000003"/>
    <n v="5.59"/>
    <n v="747"/>
    <n v="4.4385026737967914"/>
  </r>
  <r>
    <n v="357408"/>
    <x v="108"/>
    <x v="18"/>
    <s v="BEIRA MINHO"/>
    <n v="662474"/>
    <m/>
    <x v="0"/>
    <n v="39.4"/>
    <n v="7.5"/>
    <n v="6.09"/>
    <n v="232.446"/>
    <n v="5.8996446700507619"/>
    <n v="152"/>
    <n v="3.8578680203045685"/>
  </r>
  <r>
    <n v="170160"/>
    <x v="108"/>
    <x v="12"/>
    <s v="DOM PEDRO CAMBUÍ"/>
    <n v="222007"/>
    <m/>
    <x v="0"/>
    <n v="140.12100000000001"/>
    <m/>
    <n v="5.49"/>
    <n v="769.26429000000007"/>
    <n v="5.49"/>
    <n v="599"/>
    <n v="4.2748767136974468"/>
  </r>
  <r>
    <n v="271745"/>
    <x v="108"/>
    <x v="34"/>
    <s v="DOM PEDRO ITAPEVA"/>
    <n v="471046"/>
    <m/>
    <x v="0"/>
    <n v="367.05"/>
    <m/>
    <n v="5.59"/>
    <n v="2051.8094999999998"/>
    <n v="5.589999999999999"/>
    <n v="812"/>
    <n v="2.2122326658493394"/>
  </r>
  <r>
    <n v="177380"/>
    <x v="108"/>
    <x v="10"/>
    <s v="TATITA FERNÃO DIAS"/>
    <n v="245976"/>
    <m/>
    <x v="0"/>
    <n v="35.81"/>
    <m/>
    <n v="5.69"/>
    <n v="203.75890000000004"/>
    <n v="5.69"/>
    <n v="248"/>
    <n v="6.9254398212789718"/>
  </r>
  <r>
    <s v="Ajuste M."/>
    <x v="108"/>
    <x v="8"/>
    <m/>
    <n v="934264"/>
    <m/>
    <x v="0"/>
    <n v="406.23"/>
    <m/>
    <m/>
    <n v="0"/>
    <n v="0"/>
    <n v="1120"/>
    <n v="2.7570588090490609"/>
  </r>
  <r>
    <s v="Ajuste M."/>
    <x v="109"/>
    <x v="31"/>
    <m/>
    <n v="307993"/>
    <m/>
    <x v="0"/>
    <n v="78.599999999999994"/>
    <m/>
    <m/>
    <n v="0"/>
    <n v="0"/>
    <n v="512"/>
    <n v="6.5139949109414763"/>
  </r>
  <r>
    <s v="Ajuste M."/>
    <x v="109"/>
    <x v="24"/>
    <m/>
    <n v="84041"/>
    <m/>
    <x v="0"/>
    <n v="82.45"/>
    <m/>
    <m/>
    <n v="0"/>
    <n v="0"/>
    <n v="508"/>
    <n v="6.1613098847786532"/>
  </r>
  <r>
    <s v="Ajuste M."/>
    <x v="110"/>
    <x v="15"/>
    <m/>
    <n v="294701"/>
    <m/>
    <x v="0"/>
    <n v="111.2"/>
    <m/>
    <m/>
    <n v="0"/>
    <n v="0"/>
    <n v="573"/>
    <n v="5.1528776978417268"/>
  </r>
  <r>
    <n v="178269"/>
    <x v="111"/>
    <x v="26"/>
    <s v="TATITA FERNÃO DIAS"/>
    <n v="711474"/>
    <m/>
    <x v="0"/>
    <n v="136.37100000000001"/>
    <m/>
    <n v="5.69"/>
    <n v="775.95099000000016"/>
    <n v="5.69"/>
    <n v="480"/>
    <n v="3.5198099302637655"/>
  </r>
  <r>
    <s v="Ajuste M."/>
    <x v="111"/>
    <x v="0"/>
    <m/>
    <n v="387604"/>
    <m/>
    <x v="0"/>
    <n v="15.62"/>
    <m/>
    <m/>
    <n v="0"/>
    <n v="0"/>
    <n v="120"/>
    <n v="7.6824583866837388"/>
  </r>
  <r>
    <n v="178326"/>
    <x v="112"/>
    <x v="0"/>
    <s v="TATITA FERNÃO DIAS"/>
    <n v="387977"/>
    <m/>
    <x v="0"/>
    <n v="41.65"/>
    <m/>
    <n v="5.69"/>
    <n v="236.98850000000002"/>
    <n v="5.69"/>
    <n v="373"/>
    <n v="8.9555822328931569"/>
  </r>
  <r>
    <n v="293732"/>
    <x v="113"/>
    <x v="7"/>
    <s v="POSTO ZÉ RAMOS"/>
    <n v="94352"/>
    <m/>
    <x v="1"/>
    <n v="12.891"/>
    <m/>
    <n v="5.49"/>
    <n v="70.771590000000003"/>
    <n v="5.49"/>
    <n v="165"/>
    <n v="12.799627647195718"/>
  </r>
  <r>
    <n v="178493"/>
    <x v="112"/>
    <x v="29"/>
    <s v="TATITA FERNÃO DIAS"/>
    <n v="303799"/>
    <m/>
    <x v="0"/>
    <n v="212.56100000000001"/>
    <m/>
    <n v="5.69"/>
    <n v="1209.4720900000002"/>
    <n v="5.69"/>
    <n v="1075"/>
    <n v="5.0573717662224018"/>
  </r>
  <r>
    <n v="659026"/>
    <x v="112"/>
    <x v="28"/>
    <s v="AUTO POSTO RVM MAX"/>
    <n v="49238"/>
    <m/>
    <x v="0"/>
    <n v="4.6900000000000004"/>
    <m/>
    <n v="5.49"/>
    <n v="25.748100000000004"/>
    <n v="5.49"/>
    <n v="24"/>
    <n v="5.1172707889125792"/>
  </r>
  <r>
    <n v="171678"/>
    <x v="112"/>
    <x v="12"/>
    <s v="DOM PEDRO ATIBAIA"/>
    <n v="222378"/>
    <m/>
    <x v="0"/>
    <n v="85"/>
    <m/>
    <n v="5.49"/>
    <n v="466.65000000000003"/>
    <n v="5.49"/>
    <n v="371"/>
    <n v="4.3647058823529408"/>
  </r>
  <r>
    <n v="361179"/>
    <x v="113"/>
    <x v="18"/>
    <s v="BEIRA MINHO"/>
    <n v="662724"/>
    <m/>
    <x v="2"/>
    <n v="17.035"/>
    <m/>
    <n v="4.99"/>
    <n v="85.004649999999998"/>
    <n v="4.99"/>
    <m/>
    <n v="0"/>
  </r>
  <r>
    <n v="360374"/>
    <x v="112"/>
    <x v="30"/>
    <s v="BEIRA MINHO"/>
    <n v="309827"/>
    <m/>
    <x v="0"/>
    <n v="105.72"/>
    <n v="31.72"/>
    <n v="6.09"/>
    <n v="612.11479999999995"/>
    <n v="5.7899621642073393"/>
    <n v="605"/>
    <n v="5.7226636398032538"/>
  </r>
  <r>
    <n v="360516"/>
    <x v="112"/>
    <x v="11"/>
    <s v="BEIRA MINHO"/>
    <n v="657703"/>
    <m/>
    <x v="0"/>
    <n v="135.4"/>
    <n v="40.619999999999997"/>
    <n v="6.09"/>
    <n v="783.96600000000001"/>
    <n v="5.79"/>
    <n v="602"/>
    <n v="4.4460856720827175"/>
  </r>
  <r>
    <n v="178327"/>
    <x v="112"/>
    <x v="10"/>
    <s v="TATITA FERNÃO DIAS"/>
    <n v="246303"/>
    <m/>
    <x v="0"/>
    <n v="47.58"/>
    <m/>
    <n v="5.69"/>
    <n v="270.73020000000002"/>
    <n v="5.69"/>
    <n v="327"/>
    <n v="6.872635561160152"/>
  </r>
  <r>
    <n v="361179"/>
    <x v="113"/>
    <x v="18"/>
    <s v="BEIRA MINHO"/>
    <n v="662724"/>
    <m/>
    <x v="2"/>
    <n v="17.035"/>
    <m/>
    <n v="4.99"/>
    <n v="85.004649999999998"/>
    <n v="4.99"/>
    <m/>
    <n v="0"/>
  </r>
  <r>
    <n v="531042"/>
    <x v="112"/>
    <x v="15"/>
    <s v="COMBO AUTO POSTO"/>
    <n v="295371"/>
    <m/>
    <x v="0"/>
    <n v="125.05"/>
    <m/>
    <n v="6.27"/>
    <n v="784.06349999999998"/>
    <n v="6.27"/>
    <n v="670"/>
    <n v="5.3578568572570973"/>
  </r>
  <r>
    <n v="293723"/>
    <x v="113"/>
    <x v="0"/>
    <s v="POSTO ZÉ RAMOS"/>
    <n v="388074"/>
    <m/>
    <x v="0"/>
    <n v="16.41"/>
    <m/>
    <n v="5.6"/>
    <n v="91.896000000000001"/>
    <n v="5.6"/>
    <n v="97"/>
    <n v="5.9110298598415598"/>
  </r>
  <r>
    <n v="178519"/>
    <x v="113"/>
    <x v="0"/>
    <s v="TATITA FERNÃO DIAS"/>
    <n v="388343"/>
    <m/>
    <x v="0"/>
    <n v="41.36"/>
    <m/>
    <n v="5.69"/>
    <n v="235.33840000000001"/>
    <n v="5.69"/>
    <n v="269"/>
    <n v="6.5038684719535782"/>
  </r>
  <r>
    <n v="178559"/>
    <x v="113"/>
    <x v="1"/>
    <s v="TATITA FERNÃO DIAS"/>
    <n v="323276"/>
    <m/>
    <x v="0"/>
    <n v="109.59099999999999"/>
    <m/>
    <n v="5.69"/>
    <n v="623.57279000000005"/>
    <n v="5.69"/>
    <n v="396"/>
    <n v="3.6134354098420491"/>
  </r>
  <r>
    <n v="178844"/>
    <x v="114"/>
    <x v="7"/>
    <s v="TATITA FERNÃO DIAS"/>
    <n v="94524"/>
    <m/>
    <x v="1"/>
    <n v="14.53"/>
    <m/>
    <n v="5.49"/>
    <n v="79.7697"/>
    <n v="5.49"/>
    <n v="172"/>
    <n v="11.837577426015141"/>
  </r>
  <r>
    <s v="Ajuste M."/>
    <x v="113"/>
    <x v="13"/>
    <m/>
    <n v="121468"/>
    <m/>
    <x v="0"/>
    <n v="45.6"/>
    <m/>
    <m/>
    <n v="0"/>
    <n v="0"/>
    <n v="404"/>
    <n v="8.8596491228070171"/>
  </r>
  <r>
    <n v="293772"/>
    <x v="113"/>
    <x v="13"/>
    <s v="POSTO ZÉ RAMOS"/>
    <n v="121573"/>
    <m/>
    <x v="0"/>
    <n v="14.5"/>
    <m/>
    <n v="5.6"/>
    <n v="81.199999999999989"/>
    <n v="5.6"/>
    <n v="105"/>
    <n v="7.2413793103448274"/>
  </r>
  <r>
    <n v="178623"/>
    <x v="113"/>
    <x v="2"/>
    <s v="TATITA FERNÃO DIAS"/>
    <n v="882970"/>
    <m/>
    <x v="0"/>
    <n v="353.30099999999999"/>
    <m/>
    <n v="5.69"/>
    <n v="2010.28269"/>
    <n v="5.69"/>
    <n v="891"/>
    <n v="2.5219288934930839"/>
  </r>
  <r>
    <s v="Ajuste M."/>
    <x v="111"/>
    <x v="3"/>
    <m/>
    <n v="139332"/>
    <m/>
    <x v="1"/>
    <n v="31.6"/>
    <m/>
    <m/>
    <n v="0"/>
    <n v="0"/>
    <n v="365"/>
    <n v="11.550632911392405"/>
  </r>
  <r>
    <n v="178840"/>
    <x v="114"/>
    <x v="3"/>
    <s v="TATITA FERNÃO DIAS"/>
    <n v="139661"/>
    <m/>
    <x v="1"/>
    <n v="32.18"/>
    <m/>
    <n v="5.49"/>
    <n v="176.66820000000001"/>
    <n v="5.49"/>
    <n v="329"/>
    <n v="10.223741454319454"/>
  </r>
  <r>
    <n v="272864"/>
    <x v="113"/>
    <x v="18"/>
    <s v="DOM PEDRO ITAPEVA"/>
    <n v="662928"/>
    <m/>
    <x v="0"/>
    <n v="131.82"/>
    <m/>
    <n v="5.39"/>
    <n v="710.50979999999993"/>
    <n v="5.39"/>
    <n v="454"/>
    <n v="3.4440904263389474"/>
  </r>
  <r>
    <n v="88058"/>
    <x v="113"/>
    <x v="6"/>
    <s v="ULTRAMARINO"/>
    <n v="615725"/>
    <m/>
    <x v="0"/>
    <n v="133.77099999999999"/>
    <n v="13.38"/>
    <n v="5.49"/>
    <n v="721.02278999999999"/>
    <n v="5.3899783211607906"/>
    <n v="543"/>
    <n v="4.0591757555823014"/>
  </r>
  <r>
    <n v="361292"/>
    <x v="113"/>
    <x v="35"/>
    <s v="BEIRA MINHO"/>
    <n v="361849"/>
    <m/>
    <x v="0"/>
    <n v="64.5"/>
    <n v="9.85"/>
    <n v="6.09"/>
    <n v="382.95499999999998"/>
    <n v="5.9372868217054258"/>
    <n v="352"/>
    <n v="5.4573643410852712"/>
  </r>
  <r>
    <n v="361283"/>
    <x v="113"/>
    <x v="5"/>
    <s v="BEIRA MINHO"/>
    <n v="599926"/>
    <m/>
    <x v="0"/>
    <n v="122.27"/>
    <n v="36.68"/>
    <n v="6.09"/>
    <n v="707.9443"/>
    <n v="5.7900081786210844"/>
    <n v="448"/>
    <n v="3.6640222458493499"/>
  </r>
  <r>
    <n v="178518"/>
    <x v="113"/>
    <x v="10"/>
    <s v="TATITA FERNÃO DIAS"/>
    <n v="246810"/>
    <m/>
    <x v="0"/>
    <n v="51.87"/>
    <m/>
    <n v="5.69"/>
    <n v="295.14030000000002"/>
    <n v="5.69"/>
    <n v="507"/>
    <n v="9.7744360902255636"/>
  </r>
  <r>
    <n v="178530"/>
    <x v="113"/>
    <x v="9"/>
    <s v="TATITA FERNÃO DIAS"/>
    <n v="360745"/>
    <m/>
    <x v="0"/>
    <n v="139.6"/>
    <m/>
    <n v="5.69"/>
    <n v="794.32400000000007"/>
    <n v="5.69"/>
    <n v="743"/>
    <n v="5.322349570200573"/>
  </r>
  <r>
    <s v="Ajuste M."/>
    <x v="113"/>
    <x v="8"/>
    <m/>
    <n v="935479"/>
    <m/>
    <x v="0"/>
    <n v="426"/>
    <m/>
    <m/>
    <n v="0"/>
    <n v="0"/>
    <n v="1215"/>
    <n v="2.852112676056338"/>
  </r>
  <r>
    <s v="Ajuste M."/>
    <x v="114"/>
    <x v="28"/>
    <m/>
    <n v="49691"/>
    <m/>
    <x v="0"/>
    <n v="59.5"/>
    <m/>
    <m/>
    <n v="0"/>
    <n v="0"/>
    <n v="453"/>
    <n v="7.6134453781512601"/>
  </r>
  <r>
    <n v="172987"/>
    <x v="114"/>
    <x v="12"/>
    <s v="DOM PEDRO ATIBAIA"/>
    <n v="222995"/>
    <m/>
    <x v="0"/>
    <n v="126.06"/>
    <m/>
    <n v="5.3887"/>
    <n v="679.29952200000002"/>
    <n v="5.3887"/>
    <n v="617"/>
    <n v="4.894494685070601"/>
  </r>
  <r>
    <n v="300209"/>
    <x v="115"/>
    <x v="7"/>
    <s v="POSTO ZÉ RAMOS"/>
    <n v="94771"/>
    <m/>
    <x v="1"/>
    <n v="22.63"/>
    <m/>
    <n v="5.09"/>
    <n v="115.18669999999999"/>
    <n v="5.09"/>
    <n v="247"/>
    <n v="10.914714980114892"/>
  </r>
  <r>
    <s v="Ajuste M."/>
    <x v="114"/>
    <x v="13"/>
    <m/>
    <n v="121741"/>
    <m/>
    <x v="0"/>
    <n v="25.63"/>
    <m/>
    <m/>
    <n v="0"/>
    <n v="0"/>
    <n v="168"/>
    <n v="6.5548185719859546"/>
  </r>
  <r>
    <n v="294045"/>
    <x v="114"/>
    <x v="13"/>
    <s v="POSTO ZÉ RAMOS"/>
    <n v="122054"/>
    <m/>
    <x v="0"/>
    <n v="47.55"/>
    <m/>
    <n v="5.6"/>
    <n v="266.27999999999997"/>
    <n v="5.6"/>
    <n v="313"/>
    <n v="6.5825446898002111"/>
  </r>
  <r>
    <n v="332575"/>
    <x v="114"/>
    <x v="29"/>
    <s v="TIGRÃO DA DUTRA"/>
    <n v="304396"/>
    <m/>
    <x v="0"/>
    <n v="98.236000000000004"/>
    <n v="55.99"/>
    <n v="5.86"/>
    <n v="519.6729600000001"/>
    <n v="5.2900460116454262"/>
    <n v="597"/>
    <n v="6.0772018404658166"/>
  </r>
  <r>
    <n v="88512"/>
    <x v="114"/>
    <x v="26"/>
    <s v="ULTRAMARINO"/>
    <n v="711888"/>
    <m/>
    <x v="0"/>
    <n v="122.6"/>
    <n v="12.26"/>
    <n v="5.49"/>
    <n v="660.81399999999996"/>
    <n v="5.39"/>
    <n v="414"/>
    <n v="3.376835236541599"/>
  </r>
  <r>
    <s v="Ajuste M."/>
    <x v="114"/>
    <x v="22"/>
    <m/>
    <n v="138440"/>
    <m/>
    <x v="0"/>
    <n v="138.52000000000001"/>
    <m/>
    <m/>
    <n v="0"/>
    <n v="0"/>
    <n v="518"/>
    <n v="3.739532197516604"/>
  </r>
  <r>
    <s v="Ajuste M."/>
    <x v="114"/>
    <x v="22"/>
    <m/>
    <n v="138957"/>
    <m/>
    <x v="0"/>
    <n v="135.21"/>
    <m/>
    <m/>
    <n v="0"/>
    <n v="0"/>
    <n v="517"/>
    <n v="3.8236816803490865"/>
  </r>
  <r>
    <n v="295310"/>
    <x v="116"/>
    <x v="7"/>
    <s v="POSTO ZÉ RAMOS"/>
    <n v="94858"/>
    <m/>
    <x v="1"/>
    <n v="8.7799999999999994"/>
    <m/>
    <n v="5.49"/>
    <n v="48.202199999999998"/>
    <n v="5.49"/>
    <n v="87"/>
    <n v="9.908883826879272"/>
  </r>
  <r>
    <n v="652847"/>
    <x v="114"/>
    <x v="22"/>
    <s v="GAVIÃO DA ANHANGUERA"/>
    <n v="139478"/>
    <m/>
    <x v="0"/>
    <n v="142.18299999999999"/>
    <m/>
    <n v="5.45"/>
    <n v="774.89734999999996"/>
    <n v="5.45"/>
    <n v="521"/>
    <n v="3.6642917929710306"/>
  </r>
  <r>
    <n v="178881"/>
    <x v="114"/>
    <x v="10"/>
    <s v="TATITA FERNÃO DIAS"/>
    <n v="247270"/>
    <m/>
    <x v="0"/>
    <n v="56.84"/>
    <m/>
    <n v="5.49"/>
    <n v="312.05160000000001"/>
    <n v="5.49"/>
    <n v="460"/>
    <n v="8.0928923293455313"/>
  </r>
  <r>
    <n v="293473"/>
    <x v="115"/>
    <x v="28"/>
    <s v="POSTO ZÉ RAMOS"/>
    <n v="50249"/>
    <m/>
    <x v="0"/>
    <n v="78.42"/>
    <m/>
    <n v="5.79"/>
    <n v="454.05180000000001"/>
    <n v="5.79"/>
    <n v="558"/>
    <n v="7.1155317521040553"/>
  </r>
  <r>
    <n v="273374"/>
    <x v="115"/>
    <x v="18"/>
    <s v="DOM PEDRO ITAPEVA"/>
    <n v="663338"/>
    <m/>
    <x v="0"/>
    <n v="103.43"/>
    <m/>
    <n v="5.49"/>
    <n v="567.83070000000009"/>
    <n v="5.49"/>
    <n v="410"/>
    <n v="3.9640336459441166"/>
  </r>
  <r>
    <s v="Ajuste M."/>
    <x v="115"/>
    <x v="16"/>
    <m/>
    <n v="346787"/>
    <m/>
    <x v="0"/>
    <n v="220.2"/>
    <m/>
    <m/>
    <n v="0"/>
    <n v="0"/>
    <n v="1100"/>
    <n v="4.9954586739327889"/>
  </r>
  <r>
    <n v="363108"/>
    <x v="115"/>
    <x v="16"/>
    <s v="BEIRA MINHO"/>
    <n v="347075"/>
    <m/>
    <x v="0"/>
    <n v="50"/>
    <n v="15"/>
    <n v="6.09"/>
    <n v="289.5"/>
    <n v="5.79"/>
    <n v="288"/>
    <n v="5.76"/>
  </r>
  <r>
    <n v="89368"/>
    <x v="115"/>
    <x v="6"/>
    <s v="ULTRAMARINO"/>
    <n v="616306"/>
    <m/>
    <x v="0"/>
    <n v="108.54"/>
    <n v="10.85"/>
    <n v="5.49"/>
    <n v="585.03460000000007"/>
    <n v="5.3900368527731715"/>
    <n v="581"/>
    <n v="5.3528653031140587"/>
  </r>
  <r>
    <n v="294273"/>
    <x v="115"/>
    <x v="11"/>
    <s v="POSTO ZÉ RAMOS"/>
    <n v="658447"/>
    <m/>
    <x v="0"/>
    <n v="158.47"/>
    <m/>
    <n v="5.49"/>
    <n v="870.00030000000004"/>
    <n v="5.49"/>
    <n v="744"/>
    <n v="4.6948949327948508"/>
  </r>
  <r>
    <n v="363189"/>
    <x v="115"/>
    <x v="5"/>
    <s v="BEIRA MINHO"/>
    <n v="600361"/>
    <m/>
    <x v="0"/>
    <n v="112.04"/>
    <n v="33.61"/>
    <n v="6.09"/>
    <n v="648.71360000000004"/>
    <n v="5.7900178507675832"/>
    <n v="435"/>
    <n v="3.8825419493038198"/>
  </r>
  <r>
    <n v="179164"/>
    <x v="115"/>
    <x v="9"/>
    <s v="TATITA FERNÃO DIAS"/>
    <n v="361500"/>
    <m/>
    <x v="0"/>
    <n v="127.51900000000001"/>
    <m/>
    <n v="5.49"/>
    <n v="700.07931000000008"/>
    <n v="5.49"/>
    <n v="755"/>
    <n v="5.9206863290960561"/>
  </r>
  <r>
    <n v="273450"/>
    <x v="117"/>
    <x v="16"/>
    <s v="DOM PEDRO ITAPEVA"/>
    <n v="348281"/>
    <m/>
    <x v="0"/>
    <n v="245.18"/>
    <m/>
    <n v="5.29"/>
    <n v="1297.0022000000001"/>
    <n v="5.29"/>
    <n v="1206"/>
    <n v="4.9188351415286728"/>
  </r>
  <r>
    <n v="295363"/>
    <x v="116"/>
    <x v="10"/>
    <s v="POSTO ZÉ RAMOS"/>
    <n v="247811"/>
    <m/>
    <x v="0"/>
    <n v="67.400000000000006"/>
    <m/>
    <n v="5.6"/>
    <n v="377.44"/>
    <n v="5.6"/>
    <n v="541"/>
    <n v="8.0267062314540052"/>
  </r>
  <r>
    <n v="543330"/>
    <x v="116"/>
    <x v="12"/>
    <s v="POSTO ITASUL"/>
    <n v="223744"/>
    <m/>
    <x v="0"/>
    <n v="156.9"/>
    <m/>
    <n v="5.49"/>
    <n v="861.38100000000009"/>
    <n v="5.49"/>
    <n v="749"/>
    <n v="4.7737412364563419"/>
  </r>
  <r>
    <s v="Ajuste M."/>
    <x v="116"/>
    <x v="0"/>
    <m/>
    <n v="388630"/>
    <m/>
    <x v="0"/>
    <n v="33.4"/>
    <m/>
    <m/>
    <n v="0"/>
    <n v="0"/>
    <n v="287"/>
    <n v="8.5928143712574858"/>
  </r>
  <r>
    <s v="Ajuste M."/>
    <x v="116"/>
    <x v="0"/>
    <m/>
    <n v="388917"/>
    <m/>
    <x v="0"/>
    <n v="36.5"/>
    <m/>
    <m/>
    <n v="0"/>
    <n v="0"/>
    <n v="287"/>
    <n v="7.8630136986301373"/>
  </r>
  <r>
    <n v="527573"/>
    <x v="116"/>
    <x v="0"/>
    <s v="AUTO POSTO SANTA ADELIA"/>
    <n v="389206"/>
    <m/>
    <x v="0"/>
    <n v="30.51"/>
    <m/>
    <n v="6.49"/>
    <n v="198.00990000000002"/>
    <n v="6.49"/>
    <n v="289"/>
    <n v="9.4723041625696496"/>
  </r>
  <r>
    <n v="175978"/>
    <x v="116"/>
    <x v="0"/>
    <s v="DOM PEDRO ATIBAIA"/>
    <n v="389585"/>
    <m/>
    <x v="0"/>
    <n v="50.951000000000001"/>
    <m/>
    <n v="5.29"/>
    <n v="269.53079000000002"/>
    <n v="5.29"/>
    <n v="379"/>
    <n v="7.4385193617397105"/>
  </r>
  <r>
    <n v="179697"/>
    <x v="116"/>
    <x v="26"/>
    <s v="TATITA FERNÃO DIAS"/>
    <n v="712311"/>
    <m/>
    <x v="0"/>
    <n v="129.911"/>
    <m/>
    <n v="5.49"/>
    <n v="713.21139000000005"/>
    <n v="5.49"/>
    <n v="423"/>
    <n v="3.2560753130989677"/>
  </r>
  <r>
    <n v="249844"/>
    <x v="116"/>
    <x v="13"/>
    <s v="ULTRAMARINO"/>
    <n v="122312"/>
    <m/>
    <x v="0"/>
    <n v="32.82"/>
    <n v="3.29"/>
    <n v="5.49"/>
    <n v="176.89180000000002"/>
    <n v="5.3897562461913475"/>
    <n v="258"/>
    <n v="7.8610603290676417"/>
  </r>
  <r>
    <n v="273986"/>
    <x v="116"/>
    <x v="13"/>
    <s v="DOM PEDRO ITAPEVA"/>
    <n v="122591"/>
    <m/>
    <x v="0"/>
    <n v="32.19"/>
    <m/>
    <n v="5.29"/>
    <n v="170.2851"/>
    <n v="5.29"/>
    <n v="279"/>
    <n v="8.6672879776328067"/>
  </r>
  <r>
    <n v="274065"/>
    <x v="116"/>
    <x v="8"/>
    <s v="DOM PEDRO ITAPEVA"/>
    <n v="936741"/>
    <m/>
    <x v="0"/>
    <n v="420"/>
    <m/>
    <n v="5.29"/>
    <n v="2221.8000000000002"/>
    <n v="5.29"/>
    <n v="1262"/>
    <n v="3.0047619047619047"/>
  </r>
  <r>
    <n v="532398"/>
    <x v="116"/>
    <x v="31"/>
    <s v="COMBO AUTO POSTO"/>
    <n v="308624"/>
    <m/>
    <x v="0"/>
    <n v="71.171000000000006"/>
    <m/>
    <n v="6.27"/>
    <n v="446.24216999999999"/>
    <n v="6.27"/>
    <n v="631"/>
    <n v="8.8659706903092541"/>
  </r>
  <r>
    <n v="296572"/>
    <x v="116"/>
    <x v="29"/>
    <s v="DOM PEDRO CAMBUÍ"/>
    <n v="305032"/>
    <m/>
    <x v="0"/>
    <n v="182.42"/>
    <m/>
    <n v="5.29"/>
    <n v="965.00179999999989"/>
    <n v="5.29"/>
    <n v="636"/>
    <n v="3.4864598180024124"/>
  </r>
  <r>
    <n v="250071"/>
    <x v="118"/>
    <x v="12"/>
    <s v="ULTRAMARINO"/>
    <n v="223927"/>
    <m/>
    <x v="2"/>
    <n v="17"/>
    <m/>
    <n v="3.49"/>
    <n v="59.330000000000005"/>
    <n v="3.49"/>
    <m/>
    <n v="0"/>
  </r>
  <r>
    <n v="374544"/>
    <x v="118"/>
    <x v="0"/>
    <s v="AUTO POSTO RVM MAX"/>
    <n v="389960"/>
    <m/>
    <x v="0"/>
    <n v="55.363999999999997"/>
    <m/>
    <n v="6.49"/>
    <n v="359.31236000000001"/>
    <n v="6.49"/>
    <n v="375"/>
    <n v="6.7733545264070516"/>
  </r>
  <r>
    <n v="179983"/>
    <x v="118"/>
    <x v="28"/>
    <s v="TATITA FERNÃO DIAS"/>
    <n v="50508"/>
    <m/>
    <x v="0"/>
    <n v="37.5"/>
    <m/>
    <n v="5.49"/>
    <n v="205.875"/>
    <n v="5.49"/>
    <n v="259"/>
    <n v="6.9066666666666663"/>
  </r>
  <r>
    <n v="602615"/>
    <x v="118"/>
    <x v="34"/>
    <s v="DOM PEDRO POUSO ALEGRE"/>
    <n v="472790"/>
    <m/>
    <x v="2"/>
    <n v="32.518999999999998"/>
    <m/>
    <n v="3.1920000000000002"/>
    <n v="103.800648"/>
    <n v="3.1920000000000002"/>
    <m/>
    <n v="0"/>
  </r>
  <r>
    <n v="665530"/>
    <x v="118"/>
    <x v="6"/>
    <s v="AUTO POSTO RVM MAX"/>
    <n v="616413"/>
    <m/>
    <x v="2"/>
    <n v="21"/>
    <m/>
    <n v="3.39"/>
    <n v="71.19"/>
    <n v="3.3899999999999997"/>
    <m/>
    <n v="0"/>
  </r>
  <r>
    <n v="237402"/>
    <x v="118"/>
    <x v="13"/>
    <s v="POSTO GARCIA"/>
    <n v="122815"/>
    <m/>
    <x v="0"/>
    <n v="27.36"/>
    <m/>
    <n v="5.39"/>
    <n v="147.47039999999998"/>
    <n v="5.39"/>
    <n v="224"/>
    <n v="8.1871345029239766"/>
  </r>
  <r>
    <n v="295643"/>
    <x v="118"/>
    <x v="13"/>
    <s v="POSTO ZÉ RAMOS"/>
    <n v="123094"/>
    <m/>
    <x v="0"/>
    <n v="31.97"/>
    <m/>
    <n v="5.6"/>
    <n v="179.03199999999998"/>
    <n v="5.6"/>
    <n v="279"/>
    <n v="8.7269314982796367"/>
  </r>
  <r>
    <n v="543664"/>
    <x v="118"/>
    <x v="17"/>
    <s v="POSTO ITASUL"/>
    <n v="199406"/>
    <m/>
    <x v="0"/>
    <n v="726.36"/>
    <m/>
    <n v="5.39"/>
    <n v="3915.0803999999998"/>
    <n v="5.39"/>
    <n v="1868"/>
    <n v="2.571727518035134"/>
  </r>
  <r>
    <n v="602615"/>
    <x v="118"/>
    <x v="34"/>
    <s v="DOM PEDRO POUSO ALEGRE"/>
    <n v="472790"/>
    <m/>
    <x v="0"/>
    <n v="463"/>
    <m/>
    <n v="5.29"/>
    <n v="2449.27"/>
    <n v="5.29"/>
    <n v="1744"/>
    <n v="3.7667386609071274"/>
  </r>
  <r>
    <n v="665526"/>
    <x v="118"/>
    <x v="6"/>
    <s v="AUTO POSTO RVM MAX"/>
    <n v="616413"/>
    <m/>
    <x v="0"/>
    <n v="21.3"/>
    <m/>
    <n v="5.39"/>
    <n v="114.807"/>
    <n v="5.39"/>
    <n v="107"/>
    <n v="5.023474178403756"/>
  </r>
  <r>
    <n v="91396"/>
    <x v="118"/>
    <x v="24"/>
    <s v="ULTRAMARINO"/>
    <n v="84549"/>
    <m/>
    <x v="0"/>
    <n v="85.57"/>
    <n v="8.56"/>
    <n v="5.39"/>
    <n v="452.66229999999996"/>
    <n v="5.2899649409839897"/>
    <n v="508"/>
    <n v="5.9366600444080877"/>
  </r>
  <r>
    <n v="366177"/>
    <x v="118"/>
    <x v="5"/>
    <s v="BEIRA MINHO"/>
    <n v="600910"/>
    <m/>
    <x v="0"/>
    <n v="138.66"/>
    <n v="41.6"/>
    <n v="5.99"/>
    <n v="788.97339999999997"/>
    <n v="5.6899855762296268"/>
    <n v="549"/>
    <n v="3.9593249675465167"/>
  </r>
  <r>
    <n v="295885"/>
    <x v="119"/>
    <x v="10"/>
    <s v="POSTO ZÉ RAMOS"/>
    <n v="248394"/>
    <m/>
    <x v="0"/>
    <n v="66.460999999999999"/>
    <m/>
    <n v="5.6"/>
    <n v="372.18159999999995"/>
    <n v="5.6"/>
    <n v="583"/>
    <n v="8.7720618106859671"/>
  </r>
  <r>
    <n v="274522"/>
    <x v="119"/>
    <x v="13"/>
    <s v="DOM PEDRO ITAPEVA"/>
    <n v="123397"/>
    <m/>
    <x v="0"/>
    <n v="35.799999999999997"/>
    <m/>
    <n v="5.29"/>
    <n v="189.38199999999998"/>
    <n v="5.29"/>
    <n v="303"/>
    <n v="8.4636871508379894"/>
  </r>
  <r>
    <n v="177280"/>
    <x v="119"/>
    <x v="18"/>
    <s v="DOM PEDRO ATIBAIA"/>
    <n v="664032"/>
    <m/>
    <x v="0"/>
    <n v="166"/>
    <m/>
    <n v="5.29"/>
    <n v="878.14"/>
    <n v="5.29"/>
    <n v="694"/>
    <n v="4.1807228915662646"/>
  </r>
  <r>
    <n v="366556"/>
    <x v="119"/>
    <x v="30"/>
    <s v="BEIRA MINHO"/>
    <n v="310410"/>
    <m/>
    <x v="0"/>
    <n v="104.61"/>
    <n v="31.38"/>
    <n v="5.99"/>
    <n v="595.23390000000006"/>
    <n v="5.6900286779466596"/>
    <n v="583"/>
    <n v="5.573080967402734"/>
  </r>
  <r>
    <n v="274531"/>
    <x v="119"/>
    <x v="2"/>
    <s v="DOM PEDRO ITAPEVA"/>
    <n v="884043"/>
    <m/>
    <x v="0"/>
    <n v="415.34"/>
    <m/>
    <n v="5.29"/>
    <n v="2197.1486"/>
    <n v="5.29"/>
    <n v="1073"/>
    <n v="2.5834256271969953"/>
  </r>
  <r>
    <s v="Ajuste M."/>
    <x v="119"/>
    <x v="6"/>
    <m/>
    <n v="616815"/>
    <m/>
    <x v="0"/>
    <n v="102.3"/>
    <m/>
    <m/>
    <n v="0"/>
    <n v="0"/>
    <n v="402"/>
    <n v="3.9296187683284458"/>
  </r>
  <r>
    <n v="239813"/>
    <x v="119"/>
    <x v="6"/>
    <s v="DOM PEDRO DE LEME"/>
    <n v="617216"/>
    <m/>
    <x v="0"/>
    <n v="100.52800000000001"/>
    <m/>
    <n v="5.19"/>
    <n v="521.74032000000011"/>
    <n v="5.19"/>
    <n v="401"/>
    <n v="3.988938405220436"/>
  </r>
  <r>
    <n v="177288"/>
    <x v="119"/>
    <x v="14"/>
    <s v="DOM PEDRO ATIBAIA"/>
    <n v="100002"/>
    <m/>
    <x v="0"/>
    <n v="553"/>
    <m/>
    <n v="5.29"/>
    <n v="2925.37"/>
    <n v="5.29"/>
    <n v="1676"/>
    <n v="3.030741410488246"/>
  </r>
  <r>
    <s v="Ajuste M."/>
    <x v="111"/>
    <x v="19"/>
    <m/>
    <n v="222415"/>
    <m/>
    <x v="1"/>
    <n v="20"/>
    <m/>
    <m/>
    <n v="0"/>
    <n v="0"/>
    <n v="186"/>
    <n v="9.3000000000000007"/>
  </r>
  <r>
    <n v="295869"/>
    <x v="119"/>
    <x v="19"/>
    <s v="POSTO ZÉ RAMOS"/>
    <n v="222602"/>
    <m/>
    <x v="1"/>
    <n v="18.215"/>
    <m/>
    <n v="5.49"/>
    <n v="100.00035"/>
    <n v="5.49"/>
    <n v="187"/>
    <n v="12.869924294562974"/>
  </r>
  <r>
    <s v="Ajuste M."/>
    <x v="119"/>
    <x v="1"/>
    <m/>
    <n v="323770"/>
    <m/>
    <x v="0"/>
    <n v="109.4"/>
    <m/>
    <m/>
    <n v="0"/>
    <n v="0"/>
    <n v="494"/>
    <n v="4.5155393053016448"/>
  </r>
  <r>
    <n v="180070"/>
    <x v="119"/>
    <x v="1"/>
    <s v="TATITA FERNÃO DIAS"/>
    <n v="324265"/>
    <m/>
    <x v="0"/>
    <n v="116.559"/>
    <m/>
    <n v="5.49"/>
    <n v="639.90890999999999"/>
    <n v="5.49"/>
    <n v="495"/>
    <n v="4.2467763107095982"/>
  </r>
  <r>
    <n v="91787"/>
    <x v="119"/>
    <x v="26"/>
    <s v="ULTRAMARINO"/>
    <n v="713049"/>
    <m/>
    <x v="0"/>
    <n v="204.09100000000001"/>
    <n v="20.41"/>
    <n v="5.39"/>
    <n v="1079.64049"/>
    <n v="5.2899955902024098"/>
    <n v="738"/>
    <n v="3.6160340240382967"/>
  </r>
  <r>
    <n v="532902"/>
    <x v="119"/>
    <x v="21"/>
    <s v="COMBO AUTO POSTO"/>
    <n v="129013"/>
    <m/>
    <x v="1"/>
    <n v="54.46"/>
    <m/>
    <n v="5.74"/>
    <n v="312.60040000000004"/>
    <n v="5.74"/>
    <n v="513"/>
    <n v="9.4197576202717581"/>
  </r>
  <r>
    <n v="91841"/>
    <x v="119"/>
    <x v="22"/>
    <s v="ULTRAMARINO"/>
    <n v="140101"/>
    <m/>
    <x v="0"/>
    <n v="154.48099999999999"/>
    <n v="15.45"/>
    <n v="5.39"/>
    <n v="817.20258999999987"/>
    <n v="5.2899877007528424"/>
    <n v="623"/>
    <n v="4.0328584097720759"/>
  </r>
  <r>
    <n v="295772"/>
    <x v="119"/>
    <x v="12"/>
    <s v="POSTO ZÉ RAMOS"/>
    <n v="224278"/>
    <m/>
    <x v="0"/>
    <n v="108.1"/>
    <m/>
    <n v="5.6"/>
    <n v="605.3599999999999"/>
    <n v="5.6"/>
    <n v="534"/>
    <n v="4.9398704902867721"/>
  </r>
  <r>
    <n v="366582"/>
    <x v="119"/>
    <x v="35"/>
    <s v="BEIRA MINHO"/>
    <n v="362287"/>
    <m/>
    <x v="0"/>
    <n v="78.069999999999993"/>
    <n v="23.42"/>
    <n v="5.99"/>
    <n v="444.21929999999998"/>
    <n v="5.6900128090175484"/>
    <n v="438"/>
    <n v="5.6103496861790703"/>
  </r>
  <r>
    <s v="Ajuste M."/>
    <x v="119"/>
    <x v="28"/>
    <m/>
    <n v="50818"/>
    <m/>
    <x v="0"/>
    <n v="40.200000000000003"/>
    <m/>
    <m/>
    <n v="0"/>
    <n v="0"/>
    <n v="310"/>
    <n v="7.7114427860696511"/>
  </r>
  <r>
    <n v="180250"/>
    <x v="120"/>
    <x v="29"/>
    <s v="TATITA FERNÃO DIAS"/>
    <n v="0"/>
    <m/>
    <x v="2"/>
    <n v="18.545999999999999"/>
    <n v="6.67"/>
    <n v="3.69"/>
    <n v="61.764739999999989"/>
    <n v="3.3303537150868108"/>
    <m/>
    <n v="0"/>
  </r>
  <r>
    <n v="180417"/>
    <x v="120"/>
    <x v="24"/>
    <s v="TATITA FERNÃO DIAS"/>
    <n v="85147"/>
    <m/>
    <x v="2"/>
    <n v="17.04"/>
    <m/>
    <n v="3.69"/>
    <n v="62.877599999999994"/>
    <n v="3.69"/>
    <m/>
    <n v="0"/>
  </r>
  <r>
    <n v="180291"/>
    <x v="120"/>
    <x v="3"/>
    <s v="TATITA FERNÃO DIAS"/>
    <n v="140163"/>
    <m/>
    <x v="1"/>
    <n v="42.930999999999997"/>
    <m/>
    <n v="5.49"/>
    <n v="235.69119000000001"/>
    <n v="5.49"/>
    <n v="502"/>
    <n v="11.693182082877176"/>
  </r>
  <r>
    <n v="311123"/>
    <x v="120"/>
    <x v="28"/>
    <s v="AUTO POSTO RVM MAX"/>
    <n v="51138"/>
    <m/>
    <x v="0"/>
    <n v="42.53"/>
    <m/>
    <n v="5.39"/>
    <n v="229.23669999999998"/>
    <n v="5.39"/>
    <n v="320"/>
    <n v="7.5241006348459907"/>
  </r>
  <r>
    <n v="180417"/>
    <x v="120"/>
    <x v="24"/>
    <s v="TATITA FERNÃO DIAS"/>
    <n v="85147"/>
    <m/>
    <x v="0"/>
    <n v="99.850999999999999"/>
    <n v="6.14"/>
    <n v="5.29"/>
    <n v="522.07178999999996"/>
    <n v="5.2285083774824486"/>
    <n v="598"/>
    <n v="5.9889234960090532"/>
  </r>
  <r>
    <n v="180238"/>
    <x v="120"/>
    <x v="0"/>
    <s v="TATITA FERNÃO DIAS"/>
    <n v="390280"/>
    <m/>
    <x v="0"/>
    <n v="45.301000000000002"/>
    <m/>
    <n v="5.49"/>
    <n v="248.70249000000001"/>
    <n v="5.49"/>
    <n v="320"/>
    <n v="7.0638617249067348"/>
  </r>
  <r>
    <n v="367295"/>
    <x v="120"/>
    <x v="11"/>
    <s v="BEIRA MINHO"/>
    <n v="659076"/>
    <m/>
    <x v="3"/>
    <n v="25.062000000000001"/>
    <m/>
    <n v="3.99"/>
    <n v="99.997380000000007"/>
    <n v="3.99"/>
    <m/>
    <n v="0"/>
  </r>
  <r>
    <n v="96115"/>
    <x v="120"/>
    <x v="6"/>
    <s v="POSTO VASSUNUNGA "/>
    <n v="617830"/>
    <m/>
    <x v="0"/>
    <n v="153"/>
    <m/>
    <n v="5.62"/>
    <n v="859.86"/>
    <n v="5.62"/>
    <n v="1015"/>
    <n v="6.6339869281045756"/>
  </r>
  <r>
    <n v="533023"/>
    <x v="120"/>
    <x v="31"/>
    <s v="COMBO AUTO POSTO"/>
    <n v="309204"/>
    <m/>
    <x v="0"/>
    <n v="69.75"/>
    <m/>
    <n v="5.84"/>
    <n v="407.34"/>
    <n v="5.84"/>
    <n v="580"/>
    <n v="8.3154121863799286"/>
  </r>
  <r>
    <n v="367295"/>
    <x v="120"/>
    <x v="11"/>
    <s v="BEIRA MINHO"/>
    <n v="659076"/>
    <m/>
    <x v="0"/>
    <n v="150.38999999999999"/>
    <n v="45.12"/>
    <n v="5.99"/>
    <n v="855.71609999999998"/>
    <n v="5.6899800518651507"/>
    <n v="629"/>
    <n v="4.1824589400891021"/>
  </r>
  <r>
    <n v="250541"/>
    <x v="120"/>
    <x v="26"/>
    <s v="ULTRAMARINO"/>
    <n v="713547"/>
    <m/>
    <x v="0"/>
    <n v="142.86099999999999"/>
    <n v="14.29"/>
    <n v="5.39"/>
    <n v="755.73078999999996"/>
    <n v="5.2899727007370805"/>
    <n v="498"/>
    <n v="3.4859058805412255"/>
  </r>
  <r>
    <n v="367397"/>
    <x v="120"/>
    <x v="25"/>
    <s v="BEIRA MINHO"/>
    <n v="391399"/>
    <m/>
    <x v="0"/>
    <n v="96.44"/>
    <n v="28.93"/>
    <n v="5.99"/>
    <n v="548.74560000000008"/>
    <n v="5.6900207382828709"/>
    <n v="656"/>
    <n v="6.8021567814184989"/>
  </r>
  <r>
    <s v="Ajuste M."/>
    <x v="120"/>
    <x v="12"/>
    <m/>
    <n v="224497"/>
    <m/>
    <x v="0"/>
    <n v="47.5"/>
    <m/>
    <m/>
    <n v="0"/>
    <n v="0"/>
    <n v="219"/>
    <n v="4.6105263157894738"/>
  </r>
  <r>
    <n v="443105"/>
    <x v="120"/>
    <x v="12"/>
    <s v="MORRO AZUL DE ITATITA"/>
    <n v="224962"/>
    <m/>
    <x v="0"/>
    <n v="97.08"/>
    <n v="65.040000000000006"/>
    <n v="5.82"/>
    <n v="499.96560000000005"/>
    <n v="5.1500370828182946"/>
    <n v="465"/>
    <n v="4.7898640296662549"/>
  </r>
  <r>
    <n v="367838"/>
    <x v="120"/>
    <x v="5"/>
    <s v="BEIRA MINHO"/>
    <n v="601425"/>
    <m/>
    <x v="0"/>
    <n v="131.32"/>
    <n v="39.4"/>
    <n v="5.99"/>
    <n v="747.20680000000004"/>
    <n v="5.6899695400548289"/>
    <n v="515"/>
    <n v="3.9217179409077065"/>
  </r>
  <r>
    <n v="94685"/>
    <x v="120"/>
    <x v="29"/>
    <s v="ULTRAMARINO"/>
    <n v="305867"/>
    <m/>
    <x v="0"/>
    <n v="186"/>
    <n v="18.600000000000001"/>
    <n v="5.29"/>
    <n v="965.34"/>
    <n v="5.19"/>
    <n v="835"/>
    <n v="4.489247311827957"/>
  </r>
  <r>
    <n v="275001"/>
    <x v="121"/>
    <x v="34"/>
    <s v="DOM PEDRO ITAPEVA"/>
    <n v="473855"/>
    <m/>
    <x v="0"/>
    <n v="410"/>
    <m/>
    <n v="5.29"/>
    <n v="2168.9"/>
    <n v="5.29"/>
    <n v="1065"/>
    <n v="2.5975609756097562"/>
  </r>
  <r>
    <n v="240329"/>
    <x v="121"/>
    <x v="6"/>
    <s v="DOM PEDRO DE LEME"/>
    <n v="618100"/>
    <m/>
    <x v="0"/>
    <n v="58.253"/>
    <m/>
    <n v="5.19"/>
    <n v="302.33307000000002"/>
    <n v="5.19"/>
    <n v="270"/>
    <n v="4.6349544229481747"/>
  </r>
  <r>
    <n v="533480"/>
    <x v="121"/>
    <x v="15"/>
    <s v="COMBO AUTO POSTO"/>
    <n v="295918"/>
    <m/>
    <x v="0"/>
    <n v="116.53100000000001"/>
    <m/>
    <n v="5.84"/>
    <n v="680.54104000000007"/>
    <n v="5.84"/>
    <n v="547"/>
    <n v="4.6940299147866229"/>
  </r>
  <r>
    <s v="Ajuste M."/>
    <x v="121"/>
    <x v="9"/>
    <m/>
    <n v="362103"/>
    <m/>
    <x v="0"/>
    <n v="103.51"/>
    <m/>
    <m/>
    <n v="0"/>
    <n v="0"/>
    <n v="603"/>
    <n v="5.8255241039513086"/>
  </r>
  <r>
    <s v="Ajuste M."/>
    <x v="121"/>
    <x v="9"/>
    <m/>
    <n v="362721"/>
    <m/>
    <x v="0"/>
    <n v="119.6"/>
    <m/>
    <m/>
    <n v="0"/>
    <n v="0"/>
    <n v="618"/>
    <n v="5.1672240802675589"/>
  </r>
  <r>
    <n v="296543"/>
    <x v="121"/>
    <x v="9"/>
    <s v="POSTO ZÉ RAMOS"/>
    <n v="363051"/>
    <m/>
    <x v="0"/>
    <n v="55.67"/>
    <m/>
    <n v="5.39"/>
    <n v="300.06130000000002"/>
    <n v="5.3900000000000006"/>
    <n v="330"/>
    <n v="5.9277887551643609"/>
  </r>
  <r>
    <n v="370575"/>
    <x v="122"/>
    <x v="10"/>
    <s v="BEIRA MINHO"/>
    <n v="248817"/>
    <m/>
    <x v="0"/>
    <n v="59.52"/>
    <n v="17.86"/>
    <n v="5.99"/>
    <n v="338.66480000000001"/>
    <n v="5.6899327956989243"/>
    <n v="423"/>
    <n v="7.106854838709677"/>
  </r>
  <r>
    <n v="181199"/>
    <x v="122"/>
    <x v="1"/>
    <s v="TATITA FERNÃO DIAS"/>
    <n v="324716"/>
    <m/>
    <x v="0"/>
    <n v="127.9"/>
    <m/>
    <n v="5.29"/>
    <n v="676.59100000000001"/>
    <n v="5.29"/>
    <n v="451"/>
    <n v="3.5261923377638777"/>
  </r>
  <r>
    <n v="534114"/>
    <x v="122"/>
    <x v="31"/>
    <s v="COMBO AUTO POSTO"/>
    <n v="309917"/>
    <m/>
    <x v="0"/>
    <n v="87.831000000000003"/>
    <m/>
    <n v="5.84"/>
    <n v="512.93304000000001"/>
    <n v="5.84"/>
    <n v="713"/>
    <n v="8.1178627136204753"/>
  </r>
  <r>
    <n v="370637"/>
    <x v="122"/>
    <x v="16"/>
    <s v="BEIRA MINHO"/>
    <n v="348448"/>
    <m/>
    <x v="2"/>
    <n v="9.3949999999999996"/>
    <m/>
    <n v="4.99"/>
    <n v="46.881050000000002"/>
    <n v="4.99"/>
    <m/>
    <n v="0"/>
  </r>
  <r>
    <n v="180377"/>
    <x v="122"/>
    <x v="28"/>
    <s v="DOM PEDRO ATIBAIA"/>
    <n v="51532"/>
    <m/>
    <x v="0"/>
    <n v="49.95"/>
    <m/>
    <n v="5.19"/>
    <n v="259.24050000000005"/>
    <n v="5.19"/>
    <n v="394"/>
    <n v="7.8878878878878878"/>
  </r>
  <r>
    <n v="666763"/>
    <x v="122"/>
    <x v="6"/>
    <s v="AUTO POSTO RVM MAX"/>
    <n v="618518"/>
    <m/>
    <x v="0"/>
    <n v="94.26"/>
    <m/>
    <n v="5.39"/>
    <n v="508.06139999999999"/>
    <n v="5.39"/>
    <n v="418"/>
    <n v="4.4345427540844469"/>
  </r>
  <r>
    <n v="370629"/>
    <x v="122"/>
    <x v="16"/>
    <s v="BEIRA MINHO"/>
    <n v="348448"/>
    <m/>
    <x v="0"/>
    <n v="36.299999999999997"/>
    <n v="21"/>
    <n v="5.99"/>
    <n v="196.43699999999998"/>
    <n v="5.411487603305785"/>
    <n v="167"/>
    <n v="4.6005509641873283"/>
  </r>
  <r>
    <n v="275846"/>
    <x v="122"/>
    <x v="16"/>
    <s v="DOM PEDRO ITAPEVA"/>
    <n v="348657"/>
    <m/>
    <x v="0"/>
    <n v="42.3"/>
    <m/>
    <n v="5.19"/>
    <n v="219.53700000000001"/>
    <n v="5.19"/>
    <n v="209"/>
    <n v="4.9408983451536646"/>
  </r>
  <r>
    <n v="905817"/>
    <x v="122"/>
    <x v="13"/>
    <s v="AUTO POSTO SACI"/>
    <n v="123723"/>
    <m/>
    <x v="0"/>
    <n v="42.19"/>
    <m/>
    <n v="5.49"/>
    <n v="231.62309999999999"/>
    <n v="5.49"/>
    <n v="326"/>
    <n v="7.7269495141028681"/>
  </r>
  <r>
    <n v="370844"/>
    <x v="122"/>
    <x v="5"/>
    <s v="BEIRA MINHO"/>
    <n v="601966"/>
    <m/>
    <x v="0"/>
    <n v="134.94999999999999"/>
    <n v="40.479999999999997"/>
    <n v="5.99"/>
    <n v="767.87049999999999"/>
    <n v="5.6900370507595408"/>
    <n v="541"/>
    <n v="4.0088921822897374"/>
  </r>
  <r>
    <s v="Ajuste M."/>
    <x v="122"/>
    <x v="22"/>
    <m/>
    <n v="140504"/>
    <m/>
    <x v="0"/>
    <n v="132.5"/>
    <m/>
    <m/>
    <n v="0"/>
    <n v="0"/>
    <n v="403"/>
    <n v="3.0415094339622644"/>
  </r>
  <r>
    <n v="181437"/>
    <x v="123"/>
    <x v="3"/>
    <s v="TATITA FERNÃO DIAS"/>
    <n v="140687"/>
    <m/>
    <x v="1"/>
    <n v="41.301000000000002"/>
    <m/>
    <n v="5.39"/>
    <n v="222.61239"/>
    <n v="5.39"/>
    <n v="524"/>
    <n v="12.687344132103338"/>
  </r>
  <r>
    <s v="Ajuste M."/>
    <x v="124"/>
    <x v="19"/>
    <m/>
    <n v="222759"/>
    <m/>
    <x v="1"/>
    <n v="15"/>
    <m/>
    <m/>
    <n v="0"/>
    <n v="0"/>
    <n v="157"/>
    <n v="10.466666666666667"/>
  </r>
  <r>
    <n v="181475"/>
    <x v="123"/>
    <x v="19"/>
    <s v="TATITA FERNÃO DIAS"/>
    <n v="222976"/>
    <m/>
    <x v="1"/>
    <n v="37.020000000000003"/>
    <m/>
    <n v="5.39"/>
    <n v="199.5378"/>
    <n v="5.39"/>
    <n v="217"/>
    <n v="11.913258303595937"/>
  </r>
  <r>
    <n v="275930"/>
    <x v="123"/>
    <x v="2"/>
    <s v="DOM PEDRO ITAPEVA"/>
    <n v="885252"/>
    <m/>
    <x v="0"/>
    <n v="490"/>
    <m/>
    <n v="5.19"/>
    <n v="2543.1000000000004"/>
    <n v="5.19"/>
    <n v="1209"/>
    <n v="2.4673469387755103"/>
  </r>
  <r>
    <n v="546602"/>
    <x v="123"/>
    <x v="17"/>
    <s v="POSTO ITASUL"/>
    <n v="201069"/>
    <m/>
    <x v="0"/>
    <n v="724.40099999999995"/>
    <m/>
    <n v="5.39"/>
    <n v="3904.5213899999994"/>
    <n v="5.39"/>
    <n v="1663"/>
    <n v="2.2956898182084235"/>
  </r>
  <r>
    <n v="667689"/>
    <x v="123"/>
    <x v="28"/>
    <s v="AUTO POSTO RVM MAX"/>
    <n v="52101"/>
    <m/>
    <x v="0"/>
    <n v="72.790000000000006"/>
    <m/>
    <n v="5.39"/>
    <n v="392.3381"/>
    <n v="5.39"/>
    <n v="569"/>
    <n v="7.8170078307459807"/>
  </r>
  <r>
    <n v="667677"/>
    <x v="123"/>
    <x v="6"/>
    <s v="AUTO POSTO RVM MAX"/>
    <n v="619170"/>
    <m/>
    <x v="0"/>
    <n v="138.02000000000001"/>
    <m/>
    <n v="5.39"/>
    <n v="743.92780000000005"/>
    <n v="5.39"/>
    <n v="652"/>
    <n v="4.7239530502825673"/>
  </r>
  <r>
    <s v="Ajuste M."/>
    <x v="123"/>
    <x v="0"/>
    <m/>
    <n v="390418"/>
    <m/>
    <x v="0"/>
    <n v="19.559999999999999"/>
    <m/>
    <m/>
    <n v="0"/>
    <n v="0"/>
    <n v="138"/>
    <n v="7.0552147239263805"/>
  </r>
  <r>
    <s v="Ajuste M."/>
    <x v="123"/>
    <x v="0"/>
    <m/>
    <n v="390763"/>
    <m/>
    <x v="0"/>
    <n v="43.45"/>
    <m/>
    <m/>
    <n v="0"/>
    <n v="0"/>
    <n v="345"/>
    <n v="7.940161104718066"/>
  </r>
  <r>
    <n v="181403"/>
    <x v="123"/>
    <x v="0"/>
    <s v="TATITA FERNÃO DIAS"/>
    <n v="390995"/>
    <m/>
    <x v="0"/>
    <n v="30.94"/>
    <m/>
    <n v="5.29"/>
    <n v="163.67260000000002"/>
    <n v="5.29"/>
    <n v="232"/>
    <n v="7.4983839689722043"/>
  </r>
  <r>
    <n v="181162"/>
    <x v="123"/>
    <x v="0"/>
    <s v="DOM PEDRO ATIBAIA"/>
    <n v="391409"/>
    <m/>
    <x v="0"/>
    <n v="54.92"/>
    <m/>
    <n v="5.19"/>
    <n v="285.03480000000002"/>
    <n v="5.19"/>
    <n v="414"/>
    <n v="7.538237436270939"/>
  </r>
  <r>
    <n v="181435"/>
    <x v="123"/>
    <x v="26"/>
    <s v="TATITA FERNÃO DIAS"/>
    <n v="714298"/>
    <m/>
    <x v="0"/>
    <n v="225.28"/>
    <m/>
    <n v="5.29"/>
    <n v="1191.7311999999999"/>
    <n v="5.29"/>
    <n v="751"/>
    <n v="3.3336292613636362"/>
  </r>
  <r>
    <n v="181323"/>
    <x v="123"/>
    <x v="14"/>
    <s v="DOM PEDRO ATIBAIA"/>
    <n v="101246"/>
    <m/>
    <x v="0"/>
    <n v="385"/>
    <m/>
    <n v="5.19"/>
    <n v="1998.15"/>
    <n v="5.19"/>
    <n v="1244"/>
    <n v="3.2311688311688314"/>
  </r>
  <r>
    <n v="371631"/>
    <x v="123"/>
    <x v="35"/>
    <s v="BEIRA MINHO"/>
    <n v="362859"/>
    <m/>
    <x v="0"/>
    <n v="103.51"/>
    <n v="31.05"/>
    <n v="5.99"/>
    <n v="588.97490000000005"/>
    <n v="5.690028982706985"/>
    <n v="572"/>
    <n v="5.5260361317747071"/>
  </r>
  <r>
    <s v="Ajuste M."/>
    <x v="123"/>
    <x v="22"/>
    <m/>
    <n v="140906"/>
    <m/>
    <x v="0"/>
    <n v="124.3"/>
    <m/>
    <m/>
    <n v="0"/>
    <n v="0"/>
    <n v="402"/>
    <n v="3.2341110217216413"/>
  </r>
  <r>
    <n v="95830"/>
    <x v="125"/>
    <x v="28"/>
    <s v="ULTRAMARINO"/>
    <n v="52571"/>
    <m/>
    <x v="0"/>
    <n v="59.850999999999999"/>
    <n v="5.99"/>
    <n v="5.29"/>
    <n v="310.62178999999998"/>
    <n v="5.1899181300228898"/>
    <n v="470"/>
    <n v="7.8528345391054453"/>
  </r>
  <r>
    <n v="181692"/>
    <x v="125"/>
    <x v="0"/>
    <s v="TATITA FERNÃO DIAS"/>
    <n v="391618"/>
    <m/>
    <x v="0"/>
    <n v="28.359000000000002"/>
    <m/>
    <n v="5.29"/>
    <n v="150.01911000000001"/>
    <n v="5.29"/>
    <n v="209"/>
    <n v="7.3697944215240305"/>
  </r>
  <r>
    <n v="372024"/>
    <x v="125"/>
    <x v="18"/>
    <s v="BEIRA MINHO"/>
    <n v="664719"/>
    <m/>
    <x v="0"/>
    <n v="175.91"/>
    <n v="52.77"/>
    <n v="5.99"/>
    <n v="1000.9309000000001"/>
    <n v="5.6900170541754314"/>
    <n v="687"/>
    <n v="3.9054061736115058"/>
  </r>
  <r>
    <n v="661070"/>
    <x v="125"/>
    <x v="29"/>
    <s v="GAVIÃO DA ANHANGUERA"/>
    <n v="306825"/>
    <m/>
    <x v="0"/>
    <n v="191.702"/>
    <m/>
    <n v="5.45"/>
    <n v="1044.7759000000001"/>
    <n v="5.45"/>
    <n v="958"/>
    <n v="4.9973396208698917"/>
  </r>
  <r>
    <n v="372234"/>
    <x v="125"/>
    <x v="5"/>
    <s v="BEIRA MINHO"/>
    <n v="602525"/>
    <m/>
    <x v="0"/>
    <n v="142.13999999999999"/>
    <n v="42.64"/>
    <n v="5.99"/>
    <n v="808.77859999999998"/>
    <n v="5.6900140706345859"/>
    <n v="559"/>
    <n v="3.9327423666807375"/>
  </r>
  <r>
    <n v="298186"/>
    <x v="126"/>
    <x v="7"/>
    <s v="POSTO ZÉ RAMOS"/>
    <n v="95312"/>
    <m/>
    <x v="1"/>
    <n v="38.811"/>
    <m/>
    <n v="5.49"/>
    <n v="213.07239000000001"/>
    <n v="5.49"/>
    <n v="454"/>
    <n v="11.697714565458247"/>
  </r>
  <r>
    <n v="534725"/>
    <x v="126"/>
    <x v="21"/>
    <s v="COMBO AUTO POSTO"/>
    <n v="129542"/>
    <m/>
    <x v="1"/>
    <n v="52.45"/>
    <m/>
    <n v="5.74"/>
    <n v="301.06300000000005"/>
    <n v="5.74"/>
    <n v="529"/>
    <n v="10.085795996186844"/>
  </r>
  <r>
    <n v="534622"/>
    <x v="125"/>
    <x v="15"/>
    <s v="COMBO AUTO POSTO"/>
    <n v="296459"/>
    <m/>
    <x v="0"/>
    <n v="106.14100000000001"/>
    <m/>
    <n v="5.84"/>
    <n v="619.86343999999997"/>
    <n v="5.839999999999999"/>
    <n v="541"/>
    <n v="5.0969936216919001"/>
  </r>
  <r>
    <n v="181822"/>
    <x v="126"/>
    <x v="10"/>
    <s v="TATITA CENTRO"/>
    <n v="249155"/>
    <m/>
    <x v="0"/>
    <n v="43.35"/>
    <m/>
    <n v="5.29"/>
    <n v="229.32150000000001"/>
    <n v="5.29"/>
    <n v="338"/>
    <n v="7.7970011534025376"/>
  </r>
  <r>
    <n v="182641"/>
    <x v="126"/>
    <x v="34"/>
    <s v="DOM PEDRO ATIBAIA"/>
    <n v="475016"/>
    <m/>
    <x v="0"/>
    <n v="422"/>
    <m/>
    <n v="5.19"/>
    <n v="2190.1800000000003"/>
    <n v="5.19"/>
    <n v="1161"/>
    <n v="2.7511848341232228"/>
  </r>
  <r>
    <n v="181416"/>
    <x v="126"/>
    <x v="24"/>
    <s v="TATITA FERNÃO DIAS"/>
    <n v="85666"/>
    <m/>
    <x v="0"/>
    <n v="101.88"/>
    <m/>
    <n v="6.09"/>
    <n v="620.44919999999991"/>
    <n v="6.089999999999999"/>
    <n v="519"/>
    <n v="5.0942285041224977"/>
  </r>
  <r>
    <n v="372998"/>
    <x v="126"/>
    <x v="30"/>
    <s v="BEIRA MINHO"/>
    <n v="311035"/>
    <m/>
    <x v="0"/>
    <n v="109.77"/>
    <n v="32.93"/>
    <n v="5.69"/>
    <n v="591.6613000000001"/>
    <n v="5.3900091099571839"/>
    <n v="625"/>
    <n v="5.6937232395007742"/>
  </r>
  <r>
    <n v="298247"/>
    <x v="126"/>
    <x v="28"/>
    <s v="POSTO ZÉ RAMOS"/>
    <n v="53209"/>
    <m/>
    <x v="0"/>
    <n v="79.59"/>
    <m/>
    <n v="5.39"/>
    <n v="428.99009999999998"/>
    <n v="5.39"/>
    <n v="638"/>
    <n v="8.0160824224148755"/>
  </r>
  <r>
    <n v="181823"/>
    <x v="126"/>
    <x v="11"/>
    <s v="TATITA FERNÃO DIAS"/>
    <n v="659832"/>
    <m/>
    <x v="0"/>
    <n v="179.511"/>
    <m/>
    <n v="5.19"/>
    <n v="931.66209000000003"/>
    <n v="5.19"/>
    <n v="756"/>
    <n v="4.2114410816050274"/>
  </r>
  <r>
    <n v="373008"/>
    <x v="126"/>
    <x v="25"/>
    <s v="BEIRA MINHO"/>
    <n v="391821"/>
    <m/>
    <x v="0"/>
    <n v="114.64"/>
    <n v="34.39"/>
    <n v="5.69"/>
    <n v="617.91160000000002"/>
    <n v="5.3900174459176551"/>
    <n v="422"/>
    <n v="3.6810886252616886"/>
  </r>
  <r>
    <n v="534836"/>
    <x v="126"/>
    <x v="31"/>
    <s v="COMBO AUTO POSTO"/>
    <n v="310675"/>
    <m/>
    <x v="0"/>
    <n v="96.11"/>
    <m/>
    <n v="5.64"/>
    <n v="542.06039999999996"/>
    <n v="5.64"/>
    <n v="758"/>
    <n v="7.8867963791488922"/>
  </r>
  <r>
    <n v="183482"/>
    <x v="127"/>
    <x v="13"/>
    <s v="DOM PEDRO ATIBAIA"/>
    <n v="124300"/>
    <m/>
    <x v="2"/>
    <n v="32.909999999999997"/>
    <m/>
    <n v="4.8899999999999997"/>
    <n v="160.92989999999998"/>
    <n v="4.8899999999999997"/>
    <m/>
    <n v="0"/>
  </r>
  <r>
    <n v="480354"/>
    <x v="127"/>
    <x v="3"/>
    <s v="DOM PEDRO EXTREMA"/>
    <n v="140942"/>
    <m/>
    <x v="1"/>
    <n v="22.501999999999999"/>
    <m/>
    <n v="5.09"/>
    <n v="114.53518"/>
    <n v="5.09"/>
    <n v="255"/>
    <n v="11.332326015465293"/>
  </r>
  <r>
    <n v="182126"/>
    <x v="127"/>
    <x v="29"/>
    <s v="TATITA FERNÃO DIAS"/>
    <n v="307311"/>
    <m/>
    <x v="2"/>
    <n v="15.010999999999999"/>
    <m/>
    <n v="3.69"/>
    <n v="55.390589999999996"/>
    <n v="3.69"/>
    <m/>
    <n v="0"/>
  </r>
  <r>
    <s v="Ajuste M."/>
    <x v="126"/>
    <x v="10"/>
    <m/>
    <n v="249678"/>
    <m/>
    <x v="0"/>
    <n v="68.52"/>
    <m/>
    <m/>
    <n v="0"/>
    <n v="0"/>
    <n v="523"/>
    <n v="7.6328079392877992"/>
  </r>
  <r>
    <n v="182101"/>
    <x v="127"/>
    <x v="0"/>
    <s v="TATITA FERNÃO DIAS"/>
    <n v="391931"/>
    <m/>
    <x v="0"/>
    <n v="36.908999999999999"/>
    <m/>
    <n v="5.29"/>
    <n v="195.24860999999999"/>
    <n v="5.29"/>
    <n v="313"/>
    <n v="8.4803164539814144"/>
  </r>
  <r>
    <n v="97410"/>
    <x v="127"/>
    <x v="2"/>
    <s v="ULTRAMARINO"/>
    <n v="886298"/>
    <m/>
    <x v="0"/>
    <n v="432.041"/>
    <n v="43.21"/>
    <n v="4.99"/>
    <n v="2112.6745900000001"/>
    <n v="4.8899863438886593"/>
    <n v="1046"/>
    <n v="2.4210665191498029"/>
  </r>
  <r>
    <n v="182082"/>
    <x v="127"/>
    <x v="1"/>
    <s v="TATITA FERNÃO DIAS"/>
    <n v="325227"/>
    <m/>
    <x v="0"/>
    <n v="141.25"/>
    <m/>
    <n v="5.29"/>
    <n v="747.21249999999998"/>
    <n v="5.29"/>
    <n v="511"/>
    <n v="3.6176991150442479"/>
  </r>
  <r>
    <n v="182126"/>
    <x v="127"/>
    <x v="29"/>
    <s v="TATITA FERNÃO DIAS"/>
    <n v="307311"/>
    <m/>
    <x v="0"/>
    <n v="100.2"/>
    <n v="5.4"/>
    <n v="4.99"/>
    <n v="494.59800000000007"/>
    <n v="4.9361077844311385"/>
    <n v="486"/>
    <n v="4.8502994011976046"/>
  </r>
  <r>
    <n v="182051"/>
    <x v="127"/>
    <x v="24"/>
    <s v="TATITA FERNÃO DIAS"/>
    <n v="86164"/>
    <m/>
    <x v="0"/>
    <n v="95.769000000000005"/>
    <m/>
    <n v="5.29"/>
    <n v="506.61801000000003"/>
    <n v="5.29"/>
    <n v="498"/>
    <n v="5.2000125301506746"/>
  </r>
  <r>
    <n v="96916"/>
    <x v="127"/>
    <x v="26"/>
    <s v="ULTRAMARINO"/>
    <n v="714787"/>
    <m/>
    <x v="0"/>
    <n v="151.12100000000001"/>
    <n v="15.11"/>
    <n v="4.99"/>
    <n v="738.98379000000011"/>
    <n v="4.8900138961494433"/>
    <n v="489"/>
    <n v="3.2358176560504495"/>
  </r>
  <r>
    <n v="374054"/>
    <x v="127"/>
    <x v="5"/>
    <s v="BEIRA MINHO"/>
    <n v="602986"/>
    <m/>
    <x v="0"/>
    <n v="122.4"/>
    <n v="36.72"/>
    <n v="5.69"/>
    <n v="659.7360000000001"/>
    <n v="5.3900000000000006"/>
    <n v="461"/>
    <n v="3.7663398692810457"/>
  </r>
  <r>
    <n v="183482"/>
    <x v="127"/>
    <x v="13"/>
    <s v="DOM PEDRO ATIBAIA"/>
    <n v="123952"/>
    <m/>
    <x v="0"/>
    <n v="32.909999999999997"/>
    <m/>
    <n v="4.8899999999999997"/>
    <n v="160.92989999999998"/>
    <n v="4.8899999999999997"/>
    <n v="229"/>
    <n v="6.9583713157095115"/>
  </r>
  <r>
    <n v="298808"/>
    <x v="128"/>
    <x v="3"/>
    <s v="POSTO ZÉ RAMOS"/>
    <n v="141395"/>
    <m/>
    <x v="1"/>
    <n v="33.478999999999999"/>
    <m/>
    <n v="5.09"/>
    <n v="170.40810999999999"/>
    <n v="5.09"/>
    <n v="453"/>
    <n v="13.530870097673169"/>
  </r>
  <r>
    <n v="182037"/>
    <x v="127"/>
    <x v="13"/>
    <s v="TATITA FERNÃO DIAS"/>
    <n v="124024"/>
    <m/>
    <x v="0"/>
    <n v="9.1"/>
    <m/>
    <n v="5.29"/>
    <n v="48.138999999999996"/>
    <n v="5.29"/>
    <n v="72"/>
    <n v="7.9120879120879124"/>
  </r>
  <r>
    <s v="Ajuste M."/>
    <x v="127"/>
    <x v="9"/>
    <m/>
    <n v="363817"/>
    <m/>
    <x v="0"/>
    <n v="128.51"/>
    <m/>
    <m/>
    <n v="0"/>
    <n v="0"/>
    <n v="766"/>
    <n v="5.9606256322465185"/>
  </r>
  <r>
    <s v="Ajuste M."/>
    <x v="127"/>
    <x v="22"/>
    <m/>
    <n v="141305"/>
    <m/>
    <x v="0"/>
    <n v="126.8"/>
    <m/>
    <m/>
    <n v="0"/>
    <n v="0"/>
    <n v="399"/>
    <n v="3.1466876971608833"/>
  </r>
  <r>
    <s v="Ajuste M."/>
    <x v="129"/>
    <x v="22"/>
    <m/>
    <n v="141710"/>
    <m/>
    <x v="0"/>
    <n v="129.5"/>
    <m/>
    <m/>
    <n v="0"/>
    <n v="0"/>
    <n v="405"/>
    <n v="3.1274131274131274"/>
  </r>
  <r>
    <n v="375852"/>
    <x v="130"/>
    <x v="9"/>
    <s v="BEIRA MINHO"/>
    <n v="364583"/>
    <m/>
    <x v="0"/>
    <n v="133.41999999999999"/>
    <n v="40.03"/>
    <n v="5.69"/>
    <n v="719.12980000000005"/>
    <n v="5.3899700194873343"/>
    <n v="766"/>
    <n v="5.7412681756858044"/>
  </r>
  <r>
    <n v="672759"/>
    <x v="130"/>
    <x v="6"/>
    <s v="AUTO POSTO RVM MAX"/>
    <n v="619718"/>
    <m/>
    <x v="0"/>
    <n v="142.65"/>
    <m/>
    <n v="5.09"/>
    <n v="726.08849999999995"/>
    <n v="5.09"/>
    <n v="548"/>
    <n v="3.841570276901507"/>
  </r>
  <r>
    <n v="299626"/>
    <x v="130"/>
    <x v="28"/>
    <s v="POSTO ZÉ RAMOS"/>
    <n v="53862"/>
    <m/>
    <x v="0"/>
    <n v="84.78"/>
    <m/>
    <n v="5.19"/>
    <n v="440.00820000000004"/>
    <n v="5.19"/>
    <n v="653"/>
    <n v="7.7022882755366835"/>
  </r>
  <r>
    <n v="299716"/>
    <x v="131"/>
    <x v="32"/>
    <s v="POSTO ZÉ RAMOS"/>
    <n v="63644"/>
    <m/>
    <x v="1"/>
    <n v="12.58"/>
    <m/>
    <n v="5.09"/>
    <n v="64.032200000000003"/>
    <n v="5.09"/>
    <n v="360"/>
    <n v="28.616852146263909"/>
  </r>
  <r>
    <s v="Ajuste M."/>
    <x v="130"/>
    <x v="13"/>
    <m/>
    <n v="124293"/>
    <m/>
    <x v="0"/>
    <n v="36.24"/>
    <m/>
    <m/>
    <n v="0"/>
    <n v="0"/>
    <n v="269"/>
    <n v="7.4227373068432669"/>
  </r>
  <r>
    <s v="Ajuste M."/>
    <x v="130"/>
    <x v="15"/>
    <m/>
    <n v="296955"/>
    <m/>
    <x v="0"/>
    <n v="94.3"/>
    <m/>
    <m/>
    <n v="0"/>
    <n v="0"/>
    <n v="496"/>
    <n v="5.2598091198303285"/>
  </r>
  <r>
    <n v="299800"/>
    <x v="131"/>
    <x v="7"/>
    <s v="POSTO ZÉ RAMOS"/>
    <n v="95751"/>
    <m/>
    <x v="1"/>
    <n v="38.31"/>
    <m/>
    <n v="5.09"/>
    <n v="194.99790000000002"/>
    <n v="5.09"/>
    <n v="439"/>
    <n v="11.459149047246148"/>
  </r>
  <r>
    <n v="299873"/>
    <x v="131"/>
    <x v="10"/>
    <s v="POSTO ZÉ RAMOS"/>
    <n v="250136"/>
    <m/>
    <x v="0"/>
    <n v="59.389000000000003"/>
    <m/>
    <n v="5.19"/>
    <n v="308.22891000000004"/>
    <n v="5.19"/>
    <n v="458"/>
    <n v="7.7118658337402541"/>
  </r>
  <r>
    <n v="182965"/>
    <x v="131"/>
    <x v="13"/>
    <s v="TATITA FERNÃO DIAS"/>
    <n v="124503"/>
    <m/>
    <x v="0"/>
    <n v="23.658999999999999"/>
    <m/>
    <n v="4.99"/>
    <n v="118.05840999999999"/>
    <n v="4.99"/>
    <n v="210"/>
    <n v="8.8761147977513843"/>
  </r>
  <r>
    <n v="376885"/>
    <x v="131"/>
    <x v="13"/>
    <s v="BEIRA MINHO"/>
    <n v="124770"/>
    <m/>
    <x v="0"/>
    <n v="30.79"/>
    <n v="9.24"/>
    <n v="5.69"/>
    <n v="165.95509999999999"/>
    <n v="5.3899025657681063"/>
    <n v="267"/>
    <n v="8.6716466385190003"/>
  </r>
  <r>
    <s v="Ajuste M."/>
    <x v="131"/>
    <x v="27"/>
    <m/>
    <n v="119236"/>
    <m/>
    <x v="0"/>
    <n v="184.32"/>
    <m/>
    <m/>
    <n v="0"/>
    <n v="0"/>
    <n v="779"/>
    <n v="4.2263454861111116"/>
  </r>
  <r>
    <n v="185967"/>
    <x v="131"/>
    <x v="27"/>
    <s v="DOM PEDRO ATIBAIA"/>
    <n v="120016"/>
    <m/>
    <x v="0"/>
    <n v="229"/>
    <m/>
    <n v="4.8899999999999997"/>
    <n v="1119.81"/>
    <n v="4.8899999999999997"/>
    <n v="780"/>
    <n v="3.4061135371179039"/>
  </r>
  <r>
    <n v="376853"/>
    <x v="131"/>
    <x v="16"/>
    <s v="BEIRA MINHO"/>
    <n v="349732"/>
    <m/>
    <x v="0"/>
    <n v="211.41"/>
    <m/>
    <n v="5.69"/>
    <n v="1202.9229"/>
    <n v="5.69"/>
    <n v="1075"/>
    <n v="5.0849061066174732"/>
  </r>
  <r>
    <n v="277842"/>
    <x v="131"/>
    <x v="16"/>
    <s v="DOM PEDRO ITAPEVA"/>
    <n v="349933"/>
    <m/>
    <x v="0"/>
    <n v="45.3"/>
    <m/>
    <n v="4.8899999999999997"/>
    <n v="221.51699999999997"/>
    <n v="4.8899999999999997"/>
    <n v="201"/>
    <n v="4.4370860927152318"/>
  </r>
  <r>
    <s v="Ajuste M."/>
    <x v="131"/>
    <x v="31"/>
    <m/>
    <n v="311209"/>
    <m/>
    <x v="0"/>
    <n v="82.3"/>
    <m/>
    <m/>
    <n v="0"/>
    <n v="0"/>
    <n v="534"/>
    <n v="6.4884568651275822"/>
  </r>
  <r>
    <n v="535947"/>
    <x v="131"/>
    <x v="31"/>
    <s v="COMBO AUTO POSTO"/>
    <n v="311744"/>
    <m/>
    <x v="0"/>
    <n v="77.561000000000007"/>
    <m/>
    <n v="5.64"/>
    <n v="437.44404000000003"/>
    <n v="5.64"/>
    <n v="535"/>
    <n v="6.8977965730199449"/>
  </r>
  <r>
    <n v="549901"/>
    <x v="132"/>
    <x v="17"/>
    <s v="POSTO ITASUL"/>
    <n v="202647"/>
    <m/>
    <x v="2"/>
    <n v="46"/>
    <m/>
    <n v="3.79"/>
    <n v="174.34"/>
    <n v="3.79"/>
    <m/>
    <n v="0"/>
  </r>
  <r>
    <n v="183010"/>
    <x v="131"/>
    <x v="0"/>
    <s v="TATITA FERNÃO DIAS"/>
    <n v="392360"/>
    <m/>
    <x v="0"/>
    <n v="50.628999999999998"/>
    <m/>
    <n v="4.99"/>
    <n v="252.63871"/>
    <n v="4.99"/>
    <n v="429"/>
    <n v="8.4734045705030709"/>
  </r>
  <r>
    <n v="183054"/>
    <x v="131"/>
    <x v="2"/>
    <s v="TATITA FERNÃO DIAS"/>
    <n v="887056"/>
    <m/>
    <x v="0"/>
    <n v="318.8"/>
    <m/>
    <n v="4.99"/>
    <n v="1590.8120000000001"/>
    <n v="4.99"/>
    <n v="758"/>
    <n v="2.3776662484316184"/>
  </r>
  <r>
    <n v="299917"/>
    <x v="131"/>
    <x v="11"/>
    <s v="POSTO ZÉ RAMOS"/>
    <n v="660533"/>
    <m/>
    <x v="0"/>
    <n v="163.24"/>
    <m/>
    <n v="5.09"/>
    <n v="830.89160000000004"/>
    <n v="5.09"/>
    <n v="701"/>
    <n v="4.2942906150453322"/>
  </r>
  <r>
    <s v="Ajuste M."/>
    <x v="131"/>
    <x v="28"/>
    <m/>
    <n v="53991"/>
    <m/>
    <x v="0"/>
    <n v="17.52"/>
    <m/>
    <m/>
    <n v="0"/>
    <n v="0"/>
    <n v="129"/>
    <n v="7.3630136986301373"/>
  </r>
  <r>
    <n v="875603"/>
    <x v="131"/>
    <x v="25"/>
    <s v="BEIRA MINHO"/>
    <n v="392152"/>
    <m/>
    <x v="0"/>
    <n v="107.46"/>
    <m/>
    <n v="5.99"/>
    <n v="643.68539999999996"/>
    <n v="5.99"/>
    <n v="331"/>
    <n v="3.0802158942862463"/>
  </r>
  <r>
    <n v="377908"/>
    <x v="132"/>
    <x v="18"/>
    <s v="BEIRA MINHO"/>
    <n v="665398"/>
    <m/>
    <x v="2"/>
    <n v="24.094999999999999"/>
    <m/>
    <n v="4.99"/>
    <n v="120.23405"/>
    <n v="4.99"/>
    <m/>
    <n v="0"/>
  </r>
  <r>
    <n v="199489"/>
    <x v="132"/>
    <x v="10"/>
    <s v="FRANGO ASSADO CRAVINHOS"/>
    <n v="250526"/>
    <m/>
    <x v="0"/>
    <n v="48.768999999999998"/>
    <m/>
    <n v="5.69"/>
    <n v="277.49561"/>
    <n v="5.69"/>
    <n v="390"/>
    <n v="7.9968832660091458"/>
  </r>
  <r>
    <n v="300108"/>
    <x v="132"/>
    <x v="10"/>
    <s v="POSTO ZÉ RAMOS"/>
    <n v="250872"/>
    <m/>
    <x v="0"/>
    <n v="42.78"/>
    <m/>
    <n v="5.19"/>
    <n v="222.02820000000003"/>
    <n v="5.19"/>
    <n v="346"/>
    <n v="8.0878915381019159"/>
  </r>
  <r>
    <n v="549901"/>
    <x v="132"/>
    <x v="17"/>
    <s v="POSTO ITASUL"/>
    <n v="202647"/>
    <m/>
    <x v="0"/>
    <n v="660.12"/>
    <m/>
    <n v="5.09"/>
    <n v="3360.0108"/>
    <n v="5.09"/>
    <n v="1578"/>
    <n v="2.3904744591892384"/>
  </r>
  <r>
    <s v="Ajuste M."/>
    <x v="132"/>
    <x v="6"/>
    <m/>
    <n v="620357"/>
    <m/>
    <x v="0"/>
    <n v="128.4"/>
    <m/>
    <m/>
    <n v="0"/>
    <n v="0"/>
    <n v="639"/>
    <n v="4.9766355140186915"/>
  </r>
  <r>
    <n v="674260"/>
    <x v="132"/>
    <x v="6"/>
    <s v="AUTO POSTO RVM MAX"/>
    <n v="620719"/>
    <m/>
    <x v="0"/>
    <n v="79.569999999999993"/>
    <m/>
    <n v="5.09"/>
    <n v="405.01129999999995"/>
    <n v="5.09"/>
    <n v="362"/>
    <n v="4.5494533115495797"/>
  </r>
  <r>
    <n v="300368"/>
    <x v="133"/>
    <x v="3"/>
    <s v="POSTO ZÉ RAMOS"/>
    <n v="142703"/>
    <m/>
    <x v="1"/>
    <n v="44.2"/>
    <m/>
    <n v="5.09"/>
    <n v="224.97800000000001"/>
    <n v="5.09"/>
    <e v="#REF!"/>
    <e v="#REF!"/>
  </r>
  <r>
    <n v="183255"/>
    <x v="132"/>
    <x v="13"/>
    <s v="TATITA FERNÃO DIAS"/>
    <n v="125030"/>
    <m/>
    <x v="0"/>
    <n v="32.22"/>
    <m/>
    <n v="4.99"/>
    <n v="160.77780000000001"/>
    <n v="4.99"/>
    <n v="260"/>
    <n v="8.0695220360024837"/>
  </r>
  <r>
    <n v="183191"/>
    <x v="132"/>
    <x v="1"/>
    <s v="TATITA FERNÃO DIAS"/>
    <n v="325635"/>
    <m/>
    <x v="0"/>
    <n v="110.251"/>
    <m/>
    <n v="4.99"/>
    <n v="550.15249000000006"/>
    <n v="4.99"/>
    <n v="408"/>
    <n v="3.7006467061523249"/>
  </r>
  <r>
    <n v="288145"/>
    <x v="132"/>
    <x v="34"/>
    <s v="DOM PEDRO ITAPEVA"/>
    <n v="475909"/>
    <m/>
    <x v="0"/>
    <n v="322.02100000000002"/>
    <m/>
    <n v="4.8899999999999997"/>
    <n v="1574.6826899999999"/>
    <n v="4.8899999999999997"/>
    <n v="893"/>
    <n v="2.77311107039603"/>
  </r>
  <r>
    <n v="536256"/>
    <x v="133"/>
    <x v="21"/>
    <s v="COMBO AUTO POSTO"/>
    <n v="129763"/>
    <m/>
    <x v="1"/>
    <n v="27.091000000000001"/>
    <m/>
    <n v="5.43"/>
    <n v="147.10413"/>
    <n v="5.43"/>
    <n v="221"/>
    <n v="8.1576907460042083"/>
  </r>
  <r>
    <n v="377908"/>
    <x v="132"/>
    <x v="18"/>
    <s v="BEIRA MINHO"/>
    <n v="665398"/>
    <m/>
    <x v="0"/>
    <n v="158.38"/>
    <n v="47.51"/>
    <n v="5.69"/>
    <n v="853.67220000000009"/>
    <n v="5.3900252557141064"/>
    <n v="679"/>
    <n v="4.2871574693774468"/>
  </r>
  <r>
    <n v="377875"/>
    <x v="132"/>
    <x v="35"/>
    <s v="BEIRA MINHO"/>
    <n v="363404"/>
    <m/>
    <x v="0"/>
    <n v="82.78"/>
    <n v="24.83"/>
    <n v="5.69"/>
    <n v="446.18820000000005"/>
    <n v="5.3900483208504477"/>
    <n v="545"/>
    <n v="6.5837158733993721"/>
  </r>
  <r>
    <n v="377840"/>
    <x v="132"/>
    <x v="5"/>
    <s v="BEIRA MINHO"/>
    <n v="603478"/>
    <m/>
    <x v="0"/>
    <n v="130.54"/>
    <n v="39.1"/>
    <n v="5.69"/>
    <n v="703.67259999999999"/>
    <n v="5.3904749502068334"/>
    <n v="492"/>
    <n v="3.7689597058372915"/>
  </r>
  <r>
    <s v="Ajuste M."/>
    <x v="132"/>
    <x v="22"/>
    <m/>
    <n v="142111"/>
    <m/>
    <x v="0"/>
    <n v="122.2"/>
    <m/>
    <m/>
    <n v="0"/>
    <n v="0"/>
    <n v="401"/>
    <n v="3.2815057283142388"/>
  </r>
  <r>
    <n v="300365"/>
    <x v="133"/>
    <x v="10"/>
    <s v="POSTO ZÉ RAMOS"/>
    <n v="251254"/>
    <m/>
    <x v="0"/>
    <n v="48.57"/>
    <m/>
    <n v="5.09"/>
    <n v="247.22129999999999"/>
    <n v="5.09"/>
    <n v="382"/>
    <n v="7.8649372040354129"/>
  </r>
  <r>
    <n v="410048"/>
    <x v="133"/>
    <x v="6"/>
    <s v="DOM PEDRO I 124 SUL"/>
    <n v="621235"/>
    <m/>
    <x v="0"/>
    <n v="137.499"/>
    <m/>
    <n v="4.95"/>
    <n v="680.62004999999999"/>
    <n v="4.95"/>
    <n v="516"/>
    <n v="3.752754565487749"/>
  </r>
  <r>
    <n v="183452"/>
    <x v="133"/>
    <x v="28"/>
    <s v="TATITA FERNÃO DIAS"/>
    <n v="54491"/>
    <m/>
    <x v="0"/>
    <n v="66.900000000000006"/>
    <m/>
    <n v="4.99"/>
    <n v="333.83100000000002"/>
    <n v="4.99"/>
    <n v="500"/>
    <n v="7.4738415545590424"/>
  </r>
  <r>
    <n v="915338"/>
    <x v="133"/>
    <x v="13"/>
    <s v="AUTO POSTO SACI"/>
    <n v="125315"/>
    <m/>
    <x v="0"/>
    <n v="34.651000000000003"/>
    <m/>
    <n v="5.09"/>
    <n v="176.37359000000001"/>
    <n v="5.09"/>
    <n v="285"/>
    <n v="8.2248708550979757"/>
  </r>
  <r>
    <s v="Ajuste M."/>
    <x v="133"/>
    <x v="12"/>
    <m/>
    <n v="225318"/>
    <m/>
    <x v="0"/>
    <n v="92.3"/>
    <m/>
    <m/>
    <n v="0"/>
    <n v="0"/>
    <n v="356"/>
    <n v="3.856988082340195"/>
  </r>
  <r>
    <n v="183543"/>
    <x v="133"/>
    <x v="12"/>
    <s v="TATITA FERNÃO DIAS"/>
    <n v="225940"/>
    <m/>
    <x v="0"/>
    <n v="137"/>
    <m/>
    <n v="4.99"/>
    <n v="683.63"/>
    <n v="4.99"/>
    <n v="622"/>
    <n v="4.5401459854014599"/>
  </r>
  <r>
    <n v="183406"/>
    <x v="133"/>
    <x v="26"/>
    <s v="TATITA FERNÃO DIAS"/>
    <n v="715452"/>
    <m/>
    <x v="0"/>
    <n v="201.27099999999999"/>
    <m/>
    <n v="4.99"/>
    <n v="1004.3422899999999"/>
    <n v="4.99"/>
    <n v="665"/>
    <n v="3.3040030605502038"/>
  </r>
  <r>
    <n v="378541"/>
    <x v="133"/>
    <x v="0"/>
    <s v="BEIRA MINHO"/>
    <n v="392619"/>
    <m/>
    <x v="0"/>
    <n v="36.94"/>
    <n v="11.08"/>
    <n v="5.59"/>
    <n v="195.41459999999998"/>
    <n v="5.2900541418516509"/>
    <n v="259"/>
    <n v="7.0113697888467792"/>
  </r>
  <r>
    <n v="100518"/>
    <x v="133"/>
    <x v="8"/>
    <s v="ULTRAMARINO"/>
    <n v="938242"/>
    <m/>
    <x v="0"/>
    <n v="500"/>
    <n v="50"/>
    <n v="4.99"/>
    <n v="2445"/>
    <n v="4.8899999999999997"/>
    <n v="1501"/>
    <n v="3.0019999999999998"/>
  </r>
  <r>
    <n v="378441"/>
    <x v="133"/>
    <x v="25"/>
    <s v="BEIRA MINHO"/>
    <n v="392446"/>
    <m/>
    <x v="0"/>
    <n v="96.28"/>
    <n v="28.88"/>
    <n v="5.59"/>
    <n v="509.3252"/>
    <n v="5.290041545492314"/>
    <n v="294"/>
    <n v="3.0535936850851684"/>
  </r>
  <r>
    <n v="378451"/>
    <x v="133"/>
    <x v="30"/>
    <s v="BEIRA MINHO"/>
    <n v="311557"/>
    <m/>
    <x v="0"/>
    <n v="98.29"/>
    <n v="29.49"/>
    <n v="5.59"/>
    <n v="519.9511"/>
    <n v="5.2899694780750837"/>
    <n v="522"/>
    <n v="5.3108149353952587"/>
  </r>
  <r>
    <n v="300501"/>
    <x v="134"/>
    <x v="19"/>
    <s v="POSTO ZÉ RAMOS"/>
    <n v="223435"/>
    <m/>
    <x v="1"/>
    <n v="31.44"/>
    <m/>
    <n v="5.09"/>
    <n v="160.02959999999999"/>
    <n v="5.089999999999999"/>
    <n v="459"/>
    <n v="12.398703403565639"/>
  </r>
  <r>
    <n v="536160"/>
    <x v="133"/>
    <x v="31"/>
    <s v="COMBO AUTO POSTO"/>
    <n v="312289"/>
    <m/>
    <x v="0"/>
    <n v="71.781000000000006"/>
    <m/>
    <n v="5.64"/>
    <n v="404.84484000000003"/>
    <n v="5.64"/>
    <n v="545"/>
    <n v="7.5925384154581286"/>
  </r>
  <r>
    <s v="Ajuste M."/>
    <x v="133"/>
    <x v="24"/>
    <m/>
    <n v="86668"/>
    <m/>
    <x v="0"/>
    <n v="96.42"/>
    <m/>
    <m/>
    <n v="0"/>
    <n v="0"/>
    <n v="504"/>
    <n v="5.2271313005600497"/>
  </r>
  <r>
    <s v="Ajuste M."/>
    <x v="133"/>
    <x v="24"/>
    <m/>
    <n v="87169"/>
    <m/>
    <x v="0"/>
    <n v="98.4"/>
    <m/>
    <m/>
    <n v="0"/>
    <n v="0"/>
    <n v="501"/>
    <n v="5.0914634146341458"/>
  </r>
  <r>
    <n v="183349"/>
    <x v="133"/>
    <x v="24"/>
    <s v="TATITA FERNÃO DIAS"/>
    <n v="87677"/>
    <m/>
    <x v="0"/>
    <n v="84.430999999999997"/>
    <m/>
    <n v="4.99"/>
    <n v="421.31069000000002"/>
    <n v="4.99"/>
    <n v="508"/>
    <n v="6.0167474032049846"/>
  </r>
  <r>
    <n v="610477"/>
    <x v="134"/>
    <x v="13"/>
    <s v="DOM PEDRO POUSO ALEGRE"/>
    <n v="125661"/>
    <m/>
    <x v="0"/>
    <n v="41.17"/>
    <m/>
    <n v="4.8899999999999997"/>
    <n v="201.32130000000001"/>
    <n v="4.8899999999999997"/>
    <n v="346"/>
    <n v="8.4041777993684725"/>
  </r>
  <r>
    <n v="183373"/>
    <x v="135"/>
    <x v="3"/>
    <s v="TATITA FERNÃO DIAS"/>
    <n v="143276"/>
    <m/>
    <x v="1"/>
    <n v="27.478999999999999"/>
    <m/>
    <n v="5.09"/>
    <n v="139.86811"/>
    <n v="5.09"/>
    <e v="#REF!"/>
    <e v="#REF!"/>
  </r>
  <r>
    <n v="300538"/>
    <x v="134"/>
    <x v="10"/>
    <s v="POSTO ZÉ RAMOS"/>
    <n v="251568"/>
    <m/>
    <x v="0"/>
    <n v="42.048999999999999"/>
    <m/>
    <n v="5.09"/>
    <n v="214.02940999999998"/>
    <n v="5.09"/>
    <n v="314"/>
    <n v="7.4674784180361007"/>
  </r>
  <r>
    <n v="381400"/>
    <x v="135"/>
    <x v="16"/>
    <s v="BEIRA MINHO"/>
    <n v="350806"/>
    <m/>
    <x v="2"/>
    <n v="10"/>
    <m/>
    <n v="4.99"/>
    <n v="49.900000000000006"/>
    <n v="4.99"/>
    <m/>
    <n v="0"/>
  </r>
  <r>
    <n v="278538"/>
    <x v="134"/>
    <x v="2"/>
    <s v="DOM PEDRO ITAPEVA"/>
    <n v="888208"/>
    <m/>
    <x v="0"/>
    <n v="485.28100000000001"/>
    <m/>
    <n v="4.8899999999999997"/>
    <n v="2373.0240899999999"/>
    <n v="4.8899999999999997"/>
    <n v="1152"/>
    <n v="2.3738823485774221"/>
  </r>
  <r>
    <n v="100627"/>
    <x v="134"/>
    <x v="29"/>
    <s v="ULTRAMARINO"/>
    <n v="308220"/>
    <m/>
    <x v="0"/>
    <n v="198.21100000000001"/>
    <n v="19.82"/>
    <n v="4.99"/>
    <n v="969.25289000000009"/>
    <n v="4.8900055496415433"/>
    <n v="909"/>
    <n v="4.5860219664902546"/>
  </r>
  <r>
    <n v="610478"/>
    <x v="134"/>
    <x v="0"/>
    <s v="DOM PEDRO POUSO ALEGRE"/>
    <n v="392885"/>
    <m/>
    <x v="0"/>
    <n v="39.47"/>
    <m/>
    <n v="4.8899999999999997"/>
    <n v="193.00829999999999"/>
    <n v="4.8899999999999997"/>
    <n v="266"/>
    <n v="6.7392956675956421"/>
  </r>
  <r>
    <s v="Ajuste M."/>
    <x v="134"/>
    <x v="22"/>
    <m/>
    <n v="142514"/>
    <m/>
    <x v="0"/>
    <n v="125.1"/>
    <m/>
    <m/>
    <n v="0"/>
    <n v="0"/>
    <n v="403"/>
    <n v="3.2214228617106317"/>
  </r>
  <r>
    <n v="188790"/>
    <x v="136"/>
    <x v="34"/>
    <s v="DOM PEDRO ATIBAIA"/>
    <n v="476670"/>
    <m/>
    <x v="0"/>
    <n v="317.01100000000002"/>
    <m/>
    <n v="4.8899999999999997"/>
    <n v="1550.18379"/>
    <n v="4.8899999999999997"/>
    <n v="761"/>
    <n v="2.4005476150669849"/>
  </r>
  <r>
    <s v="Ajuste M."/>
    <x v="137"/>
    <x v="28"/>
    <m/>
    <n v="55214"/>
    <m/>
    <x v="0"/>
    <n v="95.3"/>
    <m/>
    <m/>
    <n v="0"/>
    <n v="0"/>
    <n v="723"/>
    <n v="7.5865687303252889"/>
  </r>
  <r>
    <s v="Ajuste M."/>
    <x v="137"/>
    <x v="15"/>
    <m/>
    <n v="297455"/>
    <m/>
    <x v="0"/>
    <n v="92.3"/>
    <m/>
    <m/>
    <n v="0"/>
    <n v="0"/>
    <n v="500"/>
    <n v="5.4171180931744312"/>
  </r>
  <r>
    <n v="301581"/>
    <x v="138"/>
    <x v="3"/>
    <s v="POSTO ZÉ RAMOS"/>
    <n v="143844"/>
    <m/>
    <x v="1"/>
    <n v="44.8"/>
    <m/>
    <n v="5.09"/>
    <n v="228.03199999999998"/>
    <n v="5.09"/>
    <n v="568"/>
    <n v="12.678571428571429"/>
  </r>
  <r>
    <n v="381134"/>
    <x v="135"/>
    <x v="24"/>
    <s v="BEIRA MINHO"/>
    <n v="88199"/>
    <m/>
    <x v="0"/>
    <n v="117.5"/>
    <n v="35.25"/>
    <n v="5.59"/>
    <n v="621.57499999999993"/>
    <n v="5.2899999999999991"/>
    <n v="522"/>
    <n v="4.4425531914893615"/>
  </r>
  <r>
    <n v="279258"/>
    <x v="135"/>
    <x v="16"/>
    <s v="DOM PEDRO ITAPEVA"/>
    <n v="351050"/>
    <m/>
    <x v="0"/>
    <n v="229"/>
    <m/>
    <n v="4.8899999999999997"/>
    <n v="1119.81"/>
    <n v="4.8899999999999997"/>
    <n v="1117"/>
    <n v="4.8777292576419216"/>
  </r>
  <r>
    <n v="537447"/>
    <x v="138"/>
    <x v="21"/>
    <s v="COMBO AUTO POSTO"/>
    <n v="130338"/>
    <m/>
    <x v="1"/>
    <n v="51.38"/>
    <m/>
    <n v="5.19"/>
    <n v="266.66220000000004"/>
    <n v="5.19"/>
    <n v="575"/>
    <n v="11.191124951342934"/>
  </r>
  <r>
    <n v="678345"/>
    <x v="135"/>
    <x v="6"/>
    <s v="AUTO POSTO RVM MAX"/>
    <n v="621552"/>
    <m/>
    <x v="0"/>
    <n v="80"/>
    <m/>
    <n v="5.09"/>
    <n v="407.2"/>
    <n v="5.09"/>
    <n v="317"/>
    <n v="3.9624999999999999"/>
  </r>
  <r>
    <n v="381436"/>
    <x v="135"/>
    <x v="11"/>
    <s v="BEIRA MINHO"/>
    <n v="661233"/>
    <m/>
    <x v="0"/>
    <n v="169.92"/>
    <n v="50.98"/>
    <n v="5.59"/>
    <n v="898.87279999999987"/>
    <n v="5.2899764595103571"/>
    <n v="700"/>
    <n v="4.1195856873822976"/>
  </r>
  <r>
    <n v="918670"/>
    <x v="135"/>
    <x v="13"/>
    <s v="AUTO POSTO SACI"/>
    <n v="125825"/>
    <m/>
    <x v="0"/>
    <n v="24.170999999999999"/>
    <m/>
    <n v="5.09"/>
    <n v="123.03039"/>
    <n v="5.09"/>
    <n v="164"/>
    <n v="6.7849902776053952"/>
  </r>
  <r>
    <n v="184219"/>
    <x v="135"/>
    <x v="12"/>
    <s v="TATITA FERNÃO DIAS"/>
    <n v="226448"/>
    <m/>
    <x v="0"/>
    <n v="119.709"/>
    <m/>
    <n v="4.99"/>
    <n v="597.34791000000007"/>
    <n v="4.99"/>
    <n v="508"/>
    <n v="4.243624121828768"/>
  </r>
  <r>
    <n v="184188"/>
    <x v="135"/>
    <x v="1"/>
    <s v="TATITA FERNÃO DIAS"/>
    <n v="326040"/>
    <m/>
    <x v="0"/>
    <n v="116.84"/>
    <m/>
    <n v="4.99"/>
    <n v="583.03160000000003"/>
    <n v="4.99"/>
    <n v="405"/>
    <n v="3.4662786716877783"/>
  </r>
  <r>
    <n v="381552"/>
    <x v="135"/>
    <x v="0"/>
    <s v="BEIRA MINHO"/>
    <n v="393183"/>
    <m/>
    <x v="0"/>
    <n v="37.53"/>
    <n v="11.26"/>
    <n v="5.59"/>
    <n v="198.53270000000001"/>
    <n v="5.2899733546496135"/>
    <n v="298"/>
    <n v="7.9403144151345586"/>
  </r>
  <r>
    <n v="381831"/>
    <x v="135"/>
    <x v="5"/>
    <s v="BEIRA MINHO"/>
    <n v="604002"/>
    <m/>
    <x v="0"/>
    <n v="137.82"/>
    <n v="41.35"/>
    <n v="5.59"/>
    <n v="729.0637999999999"/>
    <n v="5.2899709766361918"/>
    <n v="524"/>
    <n v="3.8020606588303587"/>
  </r>
  <r>
    <n v="191204"/>
    <x v="138"/>
    <x v="28"/>
    <s v="DOM PEDRO ATIBAIA"/>
    <n v="55938"/>
    <m/>
    <x v="0"/>
    <n v="99.07"/>
    <m/>
    <n v="4.8899999999999997"/>
    <n v="484.45229999999992"/>
    <n v="4.8899999999999997"/>
    <n v="724"/>
    <n v="7.3079640658120528"/>
  </r>
  <r>
    <n v="552892"/>
    <x v="138"/>
    <x v="17"/>
    <s v="POSTO ITASUL"/>
    <n v="204367"/>
    <m/>
    <x v="0"/>
    <n v="701.41099999999994"/>
    <m/>
    <n v="4.99"/>
    <n v="3500.0408899999998"/>
    <n v="4.99"/>
    <n v="1720"/>
    <n v="2.4521999227271887"/>
  </r>
  <r>
    <n v="244062"/>
    <x v="138"/>
    <x v="6"/>
    <s v="DOM PEDRO DE LEME"/>
    <n v="621954"/>
    <m/>
    <x v="0"/>
    <n v="92.02"/>
    <m/>
    <n v="4.79"/>
    <n v="440.7758"/>
    <n v="4.79"/>
    <n v="402"/>
    <n v="4.3686155183655728"/>
  </r>
  <r>
    <s v="Ajuste M."/>
    <x v="40"/>
    <x v="4"/>
    <m/>
    <n v="872496"/>
    <m/>
    <x v="0"/>
    <n v="125"/>
    <m/>
    <m/>
    <n v="0"/>
    <n v="0"/>
    <n v="556"/>
    <n v="4.4480000000000004"/>
  </r>
  <r>
    <n v="301594"/>
    <x v="138"/>
    <x v="4"/>
    <s v="POSTO ZÉ RAMOS"/>
    <n v="872713"/>
    <m/>
    <x v="0"/>
    <n v="56.12"/>
    <m/>
    <n v="4.99"/>
    <n v="280.03879999999998"/>
    <n v="4.99"/>
    <n v="217"/>
    <n v="3.866714183891661"/>
  </r>
  <r>
    <n v="102520"/>
    <x v="138"/>
    <x v="26"/>
    <s v="ULTRAMARINO"/>
    <n v="715957"/>
    <m/>
    <x v="0"/>
    <n v="147.18100000000001"/>
    <n v="14.72"/>
    <n v="4.99"/>
    <n v="719.71319000000005"/>
    <n v="4.8899870907250254"/>
    <n v="505"/>
    <n v="3.4311494010775845"/>
  </r>
  <r>
    <n v="184486"/>
    <x v="138"/>
    <x v="2"/>
    <s v="TATITA FERNÃO DIAS"/>
    <n v="889071"/>
    <m/>
    <x v="0"/>
    <n v="355.08"/>
    <m/>
    <n v="4.99"/>
    <n v="1771.8492000000001"/>
    <n v="4.99"/>
    <n v="863"/>
    <n v="2.4304382111073561"/>
  </r>
  <r>
    <n v="279774"/>
    <x v="139"/>
    <x v="16"/>
    <s v="DOM PEDRO ITAPEVA"/>
    <n v="352235"/>
    <m/>
    <x v="0"/>
    <n v="241.32"/>
    <m/>
    <n v="4.8899999999999997"/>
    <n v="1180.0547999999999"/>
    <n v="4.8899999999999997"/>
    <n v="1185"/>
    <n v="4.9104922923918446"/>
  </r>
  <r>
    <n v="163379"/>
    <x v="139"/>
    <x v="27"/>
    <s v="DOM PEDRO DE MIRACATU"/>
    <n v="120803"/>
    <m/>
    <x v="0"/>
    <n v="163.86799999999999"/>
    <m/>
    <n v="4.8899999999999997"/>
    <n v="801.3145199999999"/>
    <n v="4.8899999999999997"/>
    <n v="787"/>
    <n v="4.8026460321722366"/>
  </r>
  <r>
    <n v="163327"/>
    <x v="139"/>
    <x v="4"/>
    <s v="DOM PEDRO DE MIRACATU"/>
    <n v="873034"/>
    <m/>
    <x v="0"/>
    <n v="85.007999999999996"/>
    <m/>
    <n v="4.79"/>
    <n v="407.18831999999998"/>
    <n v="4.79"/>
    <n v="321"/>
    <n v="3.7761151891586677"/>
  </r>
  <r>
    <s v="Ajuste M."/>
    <x v="139"/>
    <x v="9"/>
    <m/>
    <n v="365133"/>
    <m/>
    <x v="0"/>
    <n v="98.62"/>
    <m/>
    <m/>
    <n v="0"/>
    <n v="0"/>
    <n v="550"/>
    <n v="5.5769620766578782"/>
  </r>
  <r>
    <s v="Ajuste M."/>
    <x v="139"/>
    <x v="9"/>
    <m/>
    <n v="365755"/>
    <m/>
    <x v="0"/>
    <n v="105.23"/>
    <m/>
    <m/>
    <n v="0"/>
    <n v="0"/>
    <n v="622"/>
    <n v="5.9108619215052736"/>
  </r>
  <r>
    <n v="279898"/>
    <x v="140"/>
    <x v="34"/>
    <s v="DOM PEDRO ITAPEVA"/>
    <n v="477541"/>
    <m/>
    <x v="2"/>
    <n v="43.9"/>
    <m/>
    <n v="3.19"/>
    <n v="140.041"/>
    <n v="3.19"/>
    <m/>
    <n v="0"/>
  </r>
  <r>
    <n v="103060"/>
    <x v="139"/>
    <x v="9"/>
    <s v="ULTRAMARINO"/>
    <n v="365998"/>
    <m/>
    <x v="0"/>
    <n v="40.081000000000003"/>
    <n v="4.01"/>
    <n v="4.99"/>
    <n v="195.99419000000003"/>
    <n v="4.8899525959931145"/>
    <n v="243"/>
    <n v="6.0627229859534442"/>
  </r>
  <r>
    <n v="184629"/>
    <x v="139"/>
    <x v="10"/>
    <s v="TATITA FERNÃO DIAS"/>
    <n v="252092"/>
    <m/>
    <x v="0"/>
    <n v="60.2"/>
    <m/>
    <n v="4.99"/>
    <n v="300.39800000000002"/>
    <n v="4.99"/>
    <n v="524"/>
    <n v="8.7043189368770761"/>
  </r>
  <r>
    <n v="612640"/>
    <x v="139"/>
    <x v="0"/>
    <s v="DOM PEDRO POUSO ALEGRE"/>
    <n v="393462"/>
    <m/>
    <x v="0"/>
    <n v="38.9"/>
    <m/>
    <n v="4.8899999999999997"/>
    <n v="190.22099999999998"/>
    <n v="4.8899999999999997"/>
    <n v="279"/>
    <n v="7.1722365038560412"/>
  </r>
  <r>
    <n v="279736"/>
    <x v="139"/>
    <x v="14"/>
    <s v="DOM PEDRO ITAPEVA"/>
    <n v="102663"/>
    <m/>
    <x v="0"/>
    <n v="470"/>
    <m/>
    <n v="4.8899999999999997"/>
    <n v="2298.2999999999997"/>
    <n v="4.8899999999999997"/>
    <n v="1417"/>
    <n v="3.0148936170212766"/>
  </r>
  <r>
    <n v="383053"/>
    <x v="139"/>
    <x v="5"/>
    <s v="BEIRA MINHO"/>
    <n v="604451"/>
    <m/>
    <x v="0"/>
    <n v="118.17"/>
    <n v="35.450000000000003"/>
    <n v="5.59"/>
    <n v="625.12029999999993"/>
    <n v="5.2900084623846997"/>
    <n v="449"/>
    <n v="3.7996107303037996"/>
  </r>
  <r>
    <n v="382772"/>
    <x v="139"/>
    <x v="29"/>
    <s v="BEIRA MINHO"/>
    <n v="308868"/>
    <m/>
    <x v="0"/>
    <n v="128.82"/>
    <n v="38.64"/>
    <n v="5.59"/>
    <n v="681.46379999999999"/>
    <n v="5.2900465766185381"/>
    <n v="648"/>
    <n v="5.0302748020493713"/>
  </r>
  <r>
    <n v="244531"/>
    <x v="140"/>
    <x v="6"/>
    <s v="DOM PEDRO DE LEME"/>
    <n v="622707"/>
    <m/>
    <x v="0"/>
    <n v="154.833"/>
    <m/>
    <n v="4.79"/>
    <n v="741.65007000000003"/>
    <n v="4.79"/>
    <n v="753"/>
    <n v="4.8633043343473288"/>
  </r>
  <r>
    <n v="738181"/>
    <x v="140"/>
    <x v="4"/>
    <s v="AUTO POSTO REPRESA"/>
    <n v="873373"/>
    <m/>
    <x v="0"/>
    <n v="85.87"/>
    <n v="12.88"/>
    <n v="4.8499999999999996"/>
    <n v="403.58949999999999"/>
    <n v="4.7000058227553279"/>
    <n v="339"/>
    <n v="3.9478281122627226"/>
  </r>
  <r>
    <n v="384036"/>
    <x v="140"/>
    <x v="0"/>
    <s v="BEIRA MINHO"/>
    <n v="393828"/>
    <m/>
    <x v="0"/>
    <n v="43.89"/>
    <n v="13.17"/>
    <n v="5.59"/>
    <n v="232.17510000000001"/>
    <n v="5.2899316473000688"/>
    <n v="366"/>
    <n v="8.3390293916609703"/>
  </r>
  <r>
    <n v="384042"/>
    <x v="140"/>
    <x v="18"/>
    <s v="BEIRA MINHO"/>
    <n v="666018"/>
    <m/>
    <x v="0"/>
    <n v="145.01"/>
    <n v="43.5"/>
    <n v="5.59"/>
    <n v="767.10589999999991"/>
    <n v="5.290020688228398"/>
    <n v="620"/>
    <n v="4.2755672022619136"/>
  </r>
  <r>
    <n v="184830"/>
    <x v="140"/>
    <x v="13"/>
    <s v="TATITA FERNÃO DIAS"/>
    <n v="126165"/>
    <m/>
    <x v="0"/>
    <n v="42.91"/>
    <m/>
    <n v="4.99"/>
    <n v="214.12090000000001"/>
    <n v="4.99"/>
    <n v="340"/>
    <n v="7.9235609415054773"/>
  </r>
  <r>
    <s v="Ajuste M."/>
    <x v="140"/>
    <x v="35"/>
    <m/>
    <n v="363767"/>
    <m/>
    <x v="0"/>
    <n v="71.599999999999994"/>
    <m/>
    <m/>
    <n v="0"/>
    <n v="0"/>
    <n v="363"/>
    <n v="5.0698324022346375"/>
  </r>
  <r>
    <n v="383680"/>
    <x v="140"/>
    <x v="35"/>
    <s v="BEIRA MINHO"/>
    <n v="364130"/>
    <m/>
    <x v="0"/>
    <n v="69.709999999999994"/>
    <n v="20.91"/>
    <n v="5.59"/>
    <n v="368.76889999999992"/>
    <n v="5.2900430354325056"/>
    <n v="363"/>
    <n v="5.2072873332376997"/>
  </r>
  <r>
    <n v="667340"/>
    <x v="140"/>
    <x v="4"/>
    <s v="DOM PEDRO DE MIRACATU"/>
    <n v="873611"/>
    <m/>
    <x v="0"/>
    <n v="66.95"/>
    <m/>
    <n v="4.6900000000000004"/>
    <n v="313.99550000000005"/>
    <n v="4.6900000000000004"/>
    <n v="238"/>
    <n v="3.5548917102315158"/>
  </r>
  <r>
    <n v="279898"/>
    <x v="140"/>
    <x v="34"/>
    <s v="DOM PEDRO ITAPEVA"/>
    <n v="477541"/>
    <m/>
    <x v="0"/>
    <n v="330"/>
    <m/>
    <n v="4.8899999999999997"/>
    <n v="1613.6999999999998"/>
    <n v="4.8899999999999997"/>
    <n v="871"/>
    <n v="2.6393939393939392"/>
  </r>
  <r>
    <n v="280042"/>
    <x v="140"/>
    <x v="8"/>
    <s v="DOM PEDRO ITAPEVA"/>
    <n v="939761"/>
    <m/>
    <x v="0"/>
    <n v="557"/>
    <m/>
    <n v="4.8899999999999997"/>
    <n v="2723.73"/>
    <n v="4.8899999999999997"/>
    <n v="1519"/>
    <n v="2.7271095152603233"/>
  </r>
  <r>
    <n v="538290"/>
    <x v="141"/>
    <x v="21"/>
    <s v="COMBO AUTO POSTO"/>
    <n v="130766"/>
    <m/>
    <x v="1"/>
    <n v="40.621000000000002"/>
    <m/>
    <n v="5.29"/>
    <n v="214.88509000000002"/>
    <n v="5.29"/>
    <n v="428"/>
    <n v="10.536422047709312"/>
  </r>
  <r>
    <n v="383958"/>
    <x v="140"/>
    <x v="12"/>
    <s v="BEIRA MINHO"/>
    <n v="227197"/>
    <m/>
    <x v="0"/>
    <n v="153.37"/>
    <n v="46.01"/>
    <n v="5.59"/>
    <n v="811.32830000000001"/>
    <n v="5.2900065201799569"/>
    <n v="749"/>
    <n v="4.883614787768142"/>
  </r>
  <r>
    <n v="383692"/>
    <x v="140"/>
    <x v="25"/>
    <s v="BEIRA MINHO"/>
    <n v="393064"/>
    <m/>
    <x v="0"/>
    <n v="122.03"/>
    <n v="36.61"/>
    <n v="5.59"/>
    <n v="645.53769999999997"/>
    <n v="5.2899918052937798"/>
    <n v="618"/>
    <n v="5.0643284438252891"/>
  </r>
  <r>
    <n v="383738"/>
    <x v="140"/>
    <x v="30"/>
    <s v="BEIRA MINHO"/>
    <n v="312135"/>
    <m/>
    <x v="0"/>
    <n v="107.13"/>
    <n v="32.14"/>
    <n v="5.59"/>
    <n v="566.71669999999995"/>
    <n v="5.2899906655465321"/>
    <n v="578"/>
    <n v="5.3953141043591897"/>
  </r>
  <r>
    <n v="254770"/>
    <x v="140"/>
    <x v="2"/>
    <s v="ULTRAMARINO"/>
    <n v="889965"/>
    <m/>
    <x v="0"/>
    <n v="391.45100000000002"/>
    <n v="39.15"/>
    <n v="4.99"/>
    <n v="1914.1904900000002"/>
    <n v="4.8899874824690706"/>
    <n v="894"/>
    <n v="2.2838107451507339"/>
  </r>
  <r>
    <n v="809864"/>
    <x v="140"/>
    <x v="9"/>
    <s v="RODOPOSTO MARIPORÃ"/>
    <n v="366280"/>
    <m/>
    <x v="0"/>
    <n v="49.5"/>
    <m/>
    <n v="4.79"/>
    <n v="237.10499999999999"/>
    <n v="4.79"/>
    <n v="282"/>
    <n v="5.6969696969696972"/>
  </r>
  <r>
    <n v="385795"/>
    <x v="142"/>
    <x v="3"/>
    <s v="BEIRA MINHO"/>
    <n v="144273"/>
    <m/>
    <x v="1"/>
    <n v="36.82"/>
    <m/>
    <n v="5.99"/>
    <n v="220.55180000000001"/>
    <n v="5.99"/>
    <n v="429"/>
    <n v="11.651276480173818"/>
  </r>
  <r>
    <n v="302119"/>
    <x v="140"/>
    <x v="10"/>
    <s v="POSTO ZÉ RAMOS"/>
    <n v="252639"/>
    <m/>
    <x v="0"/>
    <n v="68.77"/>
    <m/>
    <n v="5.09"/>
    <n v="350.03929999999997"/>
    <n v="5.09"/>
    <n v="547"/>
    <n v="7.9540497309873492"/>
  </r>
  <r>
    <n v="184924"/>
    <x v="141"/>
    <x v="13"/>
    <s v="TATITA FERNÃO DIAS"/>
    <n v="126285"/>
    <m/>
    <x v="0"/>
    <n v="15.391"/>
    <m/>
    <n v="4.99"/>
    <n v="76.801090000000002"/>
    <n v="4.99"/>
    <n v="120"/>
    <n v="7.7967643427977391"/>
  </r>
  <r>
    <n v="302302"/>
    <x v="141"/>
    <x v="13"/>
    <s v="POSTO ZÉ RAMOS"/>
    <n v="126609"/>
    <m/>
    <x v="0"/>
    <n v="38.709000000000003"/>
    <m/>
    <n v="5.09"/>
    <n v="197.02881000000002"/>
    <n v="5.09"/>
    <n v="324"/>
    <n v="8.3701464775633561"/>
  </r>
  <r>
    <n v="1070866"/>
    <x v="141"/>
    <x v="27"/>
    <s v="SIM REDE DE POSTOS"/>
    <n v="121491"/>
    <m/>
    <x v="0"/>
    <n v="242.631"/>
    <n v="82.49"/>
    <n v="5.09"/>
    <n v="1152.50179"/>
    <n v="4.7500187115413945"/>
    <n v="688"/>
    <n v="2.8355816033400512"/>
  </r>
  <r>
    <n v="385005"/>
    <x v="141"/>
    <x v="11"/>
    <s v="BEIRA MINHO"/>
    <n v="661998"/>
    <m/>
    <x v="0"/>
    <n v="185.78"/>
    <n v="55.73"/>
    <n v="5.59"/>
    <n v="982.78019999999992"/>
    <n v="5.2900215308429317"/>
    <n v="765"/>
    <n v="4.1177737108407797"/>
  </r>
  <r>
    <n v="554030"/>
    <x v="141"/>
    <x v="1"/>
    <s v="POSTO ITASUL"/>
    <n v="326576"/>
    <m/>
    <x v="0"/>
    <n v="145.261"/>
    <m/>
    <n v="4.99"/>
    <n v="724.85239000000001"/>
    <n v="4.99"/>
    <n v="536"/>
    <n v="3.6899098863425146"/>
  </r>
  <r>
    <n v="302348"/>
    <x v="141"/>
    <x v="28"/>
    <s v="POSTO ZÉ RAMOS"/>
    <n v="56766"/>
    <m/>
    <x v="0"/>
    <n v="98.631"/>
    <m/>
    <n v="5.09"/>
    <n v="502.03179"/>
    <n v="5.09"/>
    <n v="828"/>
    <n v="8.394926544392737"/>
  </r>
  <r>
    <n v="302362"/>
    <x v="141"/>
    <x v="0"/>
    <s v="POSTO ZÉ RAMOS"/>
    <n v="394148"/>
    <m/>
    <x v="0"/>
    <n v="40.869999999999997"/>
    <m/>
    <n v="5.09"/>
    <n v="208.02829999999997"/>
    <n v="5.09"/>
    <n v="320"/>
    <n v="7.8297039393197947"/>
  </r>
  <r>
    <n v="667633"/>
    <x v="142"/>
    <x v="27"/>
    <s v="DOM PEDRO DE MIRACATU"/>
    <n v="122338"/>
    <m/>
    <x v="0"/>
    <n v="198.89"/>
    <m/>
    <n v="4.79"/>
    <n v="952.68309999999997"/>
    <n v="4.79"/>
    <n v="847"/>
    <n v="4.2586354266177286"/>
  </r>
  <r>
    <n v="302505"/>
    <x v="142"/>
    <x v="4"/>
    <s v="POSTO ZÉ RAMOS"/>
    <n v="873893"/>
    <m/>
    <x v="0"/>
    <n v="33.808999999999997"/>
    <m/>
    <n v="5.09"/>
    <n v="172.08780999999999"/>
    <n v="5.09"/>
    <n v="282"/>
    <n v="8.3409742967848803"/>
  </r>
  <r>
    <s v="Ajuste M."/>
    <x v="143"/>
    <x v="22"/>
    <m/>
    <n v="142916"/>
    <m/>
    <x v="0"/>
    <n v="120.6"/>
    <m/>
    <m/>
    <n v="0"/>
    <n v="0"/>
    <n v="402"/>
    <n v="3.3333333333333335"/>
  </r>
  <r>
    <n v="387808"/>
    <x v="144"/>
    <x v="29"/>
    <s v="BEIRA MINHO"/>
    <n v="52532"/>
    <m/>
    <x v="2"/>
    <n v="16.170999999999999"/>
    <m/>
    <n v="4.99"/>
    <n v="80.693290000000005"/>
    <n v="4.99"/>
    <m/>
    <n v="0"/>
  </r>
  <r>
    <n v="303299"/>
    <x v="144"/>
    <x v="19"/>
    <s v="POSTO ZÉ RAMOS"/>
    <n v="223894"/>
    <m/>
    <x v="1"/>
    <n v="39.530999999999999"/>
    <m/>
    <n v="5.39"/>
    <n v="213.07208999999997"/>
    <n v="5.39"/>
    <n v="459"/>
    <n v="14.599236641221374"/>
  </r>
  <r>
    <n v="280961"/>
    <x v="145"/>
    <x v="34"/>
    <s v="DOM PEDRO ITAPEVA"/>
    <n v="478334"/>
    <m/>
    <x v="0"/>
    <n v="308.02100000000002"/>
    <m/>
    <n v="4.8899999999999997"/>
    <n v="1506.2226900000001"/>
    <n v="4.8899999999999997"/>
    <n v="793"/>
    <n v="2.5744997905986926"/>
  </r>
  <r>
    <s v="Ajuste M."/>
    <x v="145"/>
    <x v="6"/>
    <m/>
    <n v="623011"/>
    <m/>
    <x v="0"/>
    <n v="62.53"/>
    <m/>
    <m/>
    <n v="0"/>
    <n v="0"/>
    <n v="304"/>
    <n v="4.8616664001279384"/>
  </r>
  <r>
    <n v="245370"/>
    <x v="145"/>
    <x v="6"/>
    <s v="DOM PEDRO DE LEME"/>
    <n v="623548"/>
    <m/>
    <x v="0"/>
    <n v="107.697"/>
    <m/>
    <n v="4.79"/>
    <n v="515.86863000000005"/>
    <n v="4.79"/>
    <n v="537"/>
    <n v="4.986211315078414"/>
  </r>
  <r>
    <n v="195343"/>
    <x v="145"/>
    <x v="0"/>
    <s v="DOM PEDRO ATIBAIA"/>
    <n v="394536"/>
    <m/>
    <x v="0"/>
    <n v="48.9"/>
    <m/>
    <n v="4.8899999999999997"/>
    <n v="239.12099999999998"/>
    <n v="4.8899999999999997"/>
    <n v="388"/>
    <n v="7.9345603271983647"/>
  </r>
  <r>
    <n v="185495"/>
    <x v="145"/>
    <x v="26"/>
    <s v="TATITA FERNÃO DIAS"/>
    <n v="716577"/>
    <m/>
    <x v="0"/>
    <n v="180.36099999999999"/>
    <m/>
    <n v="4.99"/>
    <n v="900.00139000000001"/>
    <n v="4.99"/>
    <n v="620"/>
    <n v="3.4375502464501753"/>
  </r>
  <r>
    <n v="185691"/>
    <x v="144"/>
    <x v="13"/>
    <s v="TATITA FERNÃO DIAS"/>
    <n v="126767"/>
    <m/>
    <x v="0"/>
    <n v="23.370999999999999"/>
    <m/>
    <n v="4.99"/>
    <n v="116.62129"/>
    <n v="4.99"/>
    <n v="158"/>
    <n v="6.7605151683710583"/>
  </r>
  <r>
    <n v="387670"/>
    <x v="144"/>
    <x v="13"/>
    <s v="BEIRA MINHO"/>
    <n v="127027"/>
    <m/>
    <x v="0"/>
    <n v="29.5"/>
    <n v="8.85"/>
    <n v="5.49"/>
    <n v="153.10500000000002"/>
    <n v="5.19"/>
    <n v="260"/>
    <n v="8.8135593220338979"/>
  </r>
  <r>
    <s v="Ajuste M."/>
    <x v="144"/>
    <x v="5"/>
    <m/>
    <n v="605008"/>
    <m/>
    <x v="0"/>
    <n v="135.4"/>
    <m/>
    <m/>
    <n v="0"/>
    <n v="0"/>
    <n v="557"/>
    <n v="4.1137370753323488"/>
  </r>
  <r>
    <n v="281143"/>
    <x v="144"/>
    <x v="5"/>
    <s v="DOM PEDRO ITAPEVA"/>
    <n v="605565"/>
    <m/>
    <x v="0"/>
    <n v="133.41"/>
    <m/>
    <n v="4.8899999999999997"/>
    <n v="652.37489999999991"/>
    <n v="4.8899999999999997"/>
    <n v="557"/>
    <n v="4.1750993178922124"/>
  </r>
  <r>
    <n v="387685"/>
    <x v="144"/>
    <x v="18"/>
    <s v="BEIRA MINHO"/>
    <n v="666579"/>
    <m/>
    <x v="0"/>
    <n v="140.72999999999999"/>
    <n v="42.22"/>
    <n v="5.49"/>
    <n v="730.3877"/>
    <n v="5.1899928941945577"/>
    <n v="561"/>
    <n v="3.9863568535493501"/>
  </r>
  <r>
    <n v="185800"/>
    <x v="144"/>
    <x v="2"/>
    <s v="TATITA FERNÃO DIAS"/>
    <n v="890953"/>
    <m/>
    <x v="0"/>
    <n v="301.26100000000002"/>
    <m/>
    <n v="4.99"/>
    <n v="1503.2923900000003"/>
    <n v="4.99"/>
    <n v="988"/>
    <n v="3.2795482986513353"/>
  </r>
  <r>
    <n v="185774"/>
    <x v="144"/>
    <x v="12"/>
    <s v="TATITA FERNÃO DIAS"/>
    <n v="227889"/>
    <m/>
    <x v="0"/>
    <n v="153.82"/>
    <m/>
    <n v="4.99"/>
    <n v="767.56179999999995"/>
    <n v="4.99"/>
    <n v="692"/>
    <n v="4.4987647900143024"/>
  </r>
  <r>
    <s v="Ajuste M."/>
    <x v="136"/>
    <x v="7"/>
    <m/>
    <n v="96241"/>
    <m/>
    <x v="1"/>
    <n v="39.520000000000003"/>
    <m/>
    <m/>
    <n v="0"/>
    <n v="0"/>
    <n v="490"/>
    <n v="12.398785425101213"/>
  </r>
  <r>
    <n v="512854"/>
    <x v="146"/>
    <x v="7"/>
    <s v="DOM PEDRO I 124 SUL"/>
    <n v="96731"/>
    <m/>
    <x v="1"/>
    <n v="40.1"/>
    <m/>
    <n v="5.29"/>
    <n v="212.12900000000002"/>
    <n v="5.29"/>
    <n v="490"/>
    <n v="12.219451371571072"/>
  </r>
  <r>
    <n v="185860"/>
    <x v="144"/>
    <x v="9"/>
    <s v="TATITA FERNÃO DIAS"/>
    <n v="366753"/>
    <m/>
    <x v="0"/>
    <n v="88.771000000000001"/>
    <m/>
    <n v="4.8899999999999997"/>
    <n v="434.09018999999995"/>
    <n v="4.8899999999999997"/>
    <n v="473"/>
    <n v="5.3283166799968456"/>
  </r>
  <r>
    <n v="388629"/>
    <x v="147"/>
    <x v="35"/>
    <s v="BEIRA MINHO"/>
    <n v="364555"/>
    <m/>
    <x v="0"/>
    <n v="137.88999999999999"/>
    <n v="41.37"/>
    <n v="5.49"/>
    <n v="715.64609999999993"/>
    <n v="5.1899782435274497"/>
    <n v="425"/>
    <n v="3.0821669446660382"/>
  </r>
  <r>
    <n v="615546"/>
    <x v="147"/>
    <x v="6"/>
    <s v="DOM PEDRO POUSO ALEGRE"/>
    <n v="624214"/>
    <m/>
    <x v="0"/>
    <n v="133"/>
    <m/>
    <n v="4.8899999999999997"/>
    <n v="650.37"/>
    <n v="4.8899999999999997"/>
    <n v="666"/>
    <n v="5.007518796992481"/>
  </r>
  <r>
    <n v="388746"/>
    <x v="147"/>
    <x v="25"/>
    <s v="BEIRA MINHO"/>
    <n v="393680"/>
    <m/>
    <x v="0"/>
    <n v="107.2"/>
    <n v="32.1"/>
    <n v="5.49"/>
    <n v="556.428"/>
    <n v="5.1905597014925373"/>
    <n v="616"/>
    <n v="5.7462686567164178"/>
  </r>
  <r>
    <n v="106642"/>
    <x v="147"/>
    <x v="14"/>
    <s v="ULTRAMARINO"/>
    <n v="104077"/>
    <m/>
    <x v="0"/>
    <n v="499.85"/>
    <n v="49.99"/>
    <n v="4.99"/>
    <n v="2444.2615000000005"/>
    <n v="4.889989996999101"/>
    <n v="1414"/>
    <n v="2.8288486545963787"/>
  </r>
  <r>
    <n v="389809"/>
    <x v="148"/>
    <x v="30"/>
    <s v="BEIRA MINHO"/>
    <n v="312729"/>
    <m/>
    <x v="2"/>
    <n v="21.35"/>
    <m/>
    <n v="4.99"/>
    <n v="106.53650000000002"/>
    <n v="4.99"/>
    <m/>
    <n v="0"/>
  </r>
  <r>
    <n v="281374"/>
    <x v="147"/>
    <x v="5"/>
    <s v="DOM PEDRO ITAPEVA"/>
    <n v="606027"/>
    <m/>
    <x v="0"/>
    <n v="117.28"/>
    <m/>
    <n v="4.8899999999999997"/>
    <n v="573.49919999999997"/>
    <n v="4.8899999999999997"/>
    <n v="462"/>
    <n v="3.9392905866302863"/>
  </r>
  <r>
    <n v="185884"/>
    <x v="147"/>
    <x v="26"/>
    <s v="TATITA FERNÃO DIAS"/>
    <n v="717064"/>
    <m/>
    <x v="0"/>
    <n v="145"/>
    <m/>
    <n v="4.8899999999999997"/>
    <n v="709.05"/>
    <n v="4.8899999999999997"/>
    <n v="487"/>
    <n v="3.3586206896551722"/>
  </r>
  <r>
    <n v="185885"/>
    <x v="147"/>
    <x v="28"/>
    <s v="TATITA FERNÃO DIAS"/>
    <n v="57368"/>
    <m/>
    <x v="0"/>
    <n v="75"/>
    <m/>
    <n v="4.8899999999999997"/>
    <n v="366.75"/>
    <n v="4.8899999999999997"/>
    <n v="602"/>
    <n v="8.0266666666666673"/>
  </r>
  <r>
    <n v="388619"/>
    <x v="147"/>
    <x v="10"/>
    <s v="BEIRA MINHO"/>
    <n v="253081"/>
    <m/>
    <x v="0"/>
    <n v="56.59"/>
    <n v="16.98"/>
    <n v="5.49"/>
    <n v="293.69909999999999"/>
    <n v="5.1899469871001935"/>
    <n v="442"/>
    <n v="7.8105672380279199"/>
  </r>
  <r>
    <s v="Ajuste M."/>
    <x v="147"/>
    <x v="9"/>
    <m/>
    <n v="367176"/>
    <m/>
    <x v="0"/>
    <n v="71.25"/>
    <m/>
    <m/>
    <n v="0"/>
    <n v="0"/>
    <n v="423"/>
    <n v="5.9368421052631577"/>
  </r>
  <r>
    <n v="186455"/>
    <x v="149"/>
    <x v="3"/>
    <s v="TATITA FERNÃO DIAS"/>
    <n v="144711"/>
    <m/>
    <x v="1"/>
    <n v="22"/>
    <m/>
    <n v="5.29"/>
    <n v="116.38"/>
    <n v="5.29"/>
    <e v="#REF!"/>
    <e v="#REF!"/>
  </r>
  <r>
    <s v="Ajuste M."/>
    <x v="147"/>
    <x v="0"/>
    <m/>
    <n v="394709"/>
    <m/>
    <x v="0"/>
    <n v="22.4"/>
    <m/>
    <m/>
    <n v="0"/>
    <n v="0"/>
    <n v="173"/>
    <n v="7.7232142857142865"/>
  </r>
  <r>
    <n v="186372"/>
    <x v="149"/>
    <x v="3"/>
    <s v="TATITA FERNÃO DIAS"/>
    <n v="145041"/>
    <m/>
    <x v="1"/>
    <n v="34.191000000000003"/>
    <m/>
    <n v="5.29"/>
    <n v="180.87039000000001"/>
    <n v="5.29"/>
    <n v="330"/>
    <n v="9.6516627182591908"/>
  </r>
  <r>
    <n v="390162"/>
    <x v="148"/>
    <x v="4"/>
    <s v="BEIRA MINHO"/>
    <n v="874559"/>
    <m/>
    <x v="0"/>
    <n v="116.66"/>
    <n v="35"/>
    <n v="5.49"/>
    <n v="605.46339999999998"/>
    <n v="5.1899828561632093"/>
    <n v="666"/>
    <n v="5.7088976512943601"/>
  </r>
  <r>
    <n v="96185"/>
    <x v="149"/>
    <x v="3"/>
    <s v="POSTOS "/>
    <n v="146004"/>
    <m/>
    <x v="1"/>
    <n v="42.15"/>
    <m/>
    <n v="5.29"/>
    <n v="222.9735"/>
    <n v="5.29"/>
    <e v="#REF!"/>
    <e v="#REF!"/>
  </r>
  <r>
    <s v="Ajuste M."/>
    <x v="148"/>
    <x v="0"/>
    <m/>
    <n v="394816"/>
    <m/>
    <x v="0"/>
    <n v="14.5"/>
    <m/>
    <m/>
    <n v="0"/>
    <n v="0"/>
    <n v="107"/>
    <n v="7.3793103448275863"/>
  </r>
  <r>
    <s v="Ajuste M."/>
    <x v="148"/>
    <x v="0"/>
    <m/>
    <n v="395001"/>
    <m/>
    <x v="0"/>
    <n v="22.5"/>
    <m/>
    <m/>
    <n v="0"/>
    <n v="0"/>
    <n v="185"/>
    <n v="8.2222222222222214"/>
  </r>
  <r>
    <n v="303992"/>
    <x v="148"/>
    <x v="0"/>
    <s v="POSTO ZÉ RAMOS"/>
    <n v="395378"/>
    <m/>
    <x v="0"/>
    <n v="52.12"/>
    <m/>
    <n v="4.99"/>
    <n v="260.0788"/>
    <n v="4.99"/>
    <n v="377"/>
    <n v="7.2333077513430553"/>
  </r>
  <r>
    <n v="304049"/>
    <x v="148"/>
    <x v="24"/>
    <s v="POSTO ZÉ RAMOS"/>
    <n v="88892"/>
    <m/>
    <x v="0"/>
    <n v="112.431"/>
    <m/>
    <n v="4.99"/>
    <n v="561.03069000000005"/>
    <n v="4.99"/>
    <n v="693"/>
    <n v="6.1637804520105668"/>
  </r>
  <r>
    <n v="389809"/>
    <x v="148"/>
    <x v="30"/>
    <s v="BEIRA MINHO"/>
    <n v="312729"/>
    <m/>
    <x v="0"/>
    <n v="114.41"/>
    <n v="34.32"/>
    <n v="5.49"/>
    <n v="593.79089999999997"/>
    <n v="5.1900262214841355"/>
    <n v="594"/>
    <n v="5.1918538589284156"/>
  </r>
  <r>
    <n v="558452"/>
    <x v="149"/>
    <x v="17"/>
    <s v="POSTO ITASUL"/>
    <n v="205920"/>
    <m/>
    <x v="2"/>
    <n v="56"/>
    <m/>
    <n v="3.79"/>
    <n v="212.24"/>
    <n v="3.79"/>
    <m/>
    <n v="0"/>
  </r>
  <r>
    <n v="616618"/>
    <x v="148"/>
    <x v="16"/>
    <s v="DOM PEDRO POUSO ALEGRE"/>
    <n v="353304"/>
    <m/>
    <x v="0"/>
    <n v="231.14"/>
    <m/>
    <n v="4.8899999999999997"/>
    <n v="1130.2746"/>
    <n v="4.8900000000000006"/>
    <n v="1069"/>
    <n v="4.6249026563987199"/>
  </r>
  <r>
    <n v="514120"/>
    <x v="148"/>
    <x v="28"/>
    <s v="DOM PEDRO I 124 SUL"/>
    <n v="58044"/>
    <m/>
    <x v="0"/>
    <n v="93.200999999999993"/>
    <m/>
    <n v="4.8899999999999997"/>
    <n v="455.75288999999992"/>
    <n v="4.8899999999999997"/>
    <n v="676"/>
    <n v="7.2531410607182334"/>
  </r>
  <r>
    <n v="389812"/>
    <x v="148"/>
    <x v="12"/>
    <s v="BEIRA MINHO"/>
    <n v="228550"/>
    <m/>
    <x v="0"/>
    <n v="146.02000000000001"/>
    <n v="43.81"/>
    <n v="5.49"/>
    <n v="757.8398000000002"/>
    <n v="5.1899726064922627"/>
    <n v="661"/>
    <n v="4.526777153814546"/>
  </r>
  <r>
    <n v="126419"/>
    <x v="148"/>
    <x v="10"/>
    <s v="FRANGO ASSADO CRAVINHOS"/>
    <n v="253593"/>
    <m/>
    <x v="0"/>
    <n v="67.194000000000003"/>
    <m/>
    <n v="5.29"/>
    <n v="355.45626000000004"/>
    <n v="5.29"/>
    <n v="512"/>
    <n v="7.619727951900467"/>
  </r>
  <r>
    <s v="Ajuste M."/>
    <x v="150"/>
    <x v="8"/>
    <m/>
    <n v="941119"/>
    <m/>
    <x v="0"/>
    <n v="542"/>
    <m/>
    <m/>
    <n v="0"/>
    <n v="0"/>
    <n v="1358"/>
    <n v="2.5055350553505535"/>
  </r>
  <r>
    <n v="282818"/>
    <x v="149"/>
    <x v="18"/>
    <s v="DOM PEDRO ITAPEVA"/>
    <n v="667142"/>
    <m/>
    <x v="0"/>
    <n v="149.43"/>
    <m/>
    <n v="4.8499999999999996"/>
    <n v="724.7355"/>
    <n v="4.8499999999999996"/>
    <n v="563"/>
    <n v="3.767650404871846"/>
  </r>
  <r>
    <n v="157306"/>
    <x v="149"/>
    <x v="6"/>
    <s v="IMPERADOR DOM PEDRO I"/>
    <n v="624322"/>
    <m/>
    <x v="0"/>
    <n v="29.4"/>
    <m/>
    <n v="4.8899999999999997"/>
    <n v="143.76599999999999"/>
    <n v="4.8899999999999997"/>
    <n v="108"/>
    <n v="3.6734693877551021"/>
  </r>
  <r>
    <s v="Ajuste M."/>
    <x v="150"/>
    <x v="0"/>
    <m/>
    <n v="395400"/>
    <m/>
    <x v="4"/>
    <n v="4"/>
    <m/>
    <m/>
    <n v="0"/>
    <n v="0"/>
    <n v="22"/>
    <n v="5.5"/>
  </r>
  <r>
    <n v="185854"/>
    <x v="149"/>
    <x v="0"/>
    <s v="TATITA FERNÃO DIAS"/>
    <n v="395517"/>
    <m/>
    <x v="0"/>
    <n v="20.399999999999999"/>
    <m/>
    <n v="4.8899999999999997"/>
    <n v="99.755999999999986"/>
    <n v="4.8899999999999997"/>
    <n v="117"/>
    <n v="5.7352941176470589"/>
  </r>
  <r>
    <n v="109357"/>
    <x v="149"/>
    <x v="0"/>
    <s v="ULTRAMARINO"/>
    <n v="395714"/>
    <m/>
    <x v="0"/>
    <n v="25.4"/>
    <n v="4.3"/>
    <n v="4.99"/>
    <n v="122.446"/>
    <n v="4.8207086614173233"/>
    <n v="197"/>
    <n v="7.7559055118110241"/>
  </r>
  <r>
    <n v="392902"/>
    <x v="151"/>
    <x v="29"/>
    <s v="BEIRA MINHO"/>
    <n v="310470"/>
    <m/>
    <x v="2"/>
    <n v="16"/>
    <m/>
    <n v="4.99"/>
    <n v="79.84"/>
    <n v="4.99"/>
    <m/>
    <n v="0"/>
  </r>
  <r>
    <n v="540966"/>
    <x v="151"/>
    <x v="21"/>
    <s v="COMBO AUTO POSTO"/>
    <n v="131198"/>
    <m/>
    <x v="1"/>
    <n v="47.750999999999998"/>
    <m/>
    <n v="5.53"/>
    <n v="264.06303000000003"/>
    <n v="5.5300000000000011"/>
    <n v="432"/>
    <n v="9.046930954325564"/>
  </r>
  <r>
    <n v="185539"/>
    <x v="149"/>
    <x v="6"/>
    <s v="TATITA FERNÃO DIAS"/>
    <n v="624659"/>
    <m/>
    <x v="0"/>
    <n v="100"/>
    <m/>
    <n v="4.99"/>
    <n v="499"/>
    <n v="4.99"/>
    <n v="337"/>
    <n v="3.37"/>
  </r>
  <r>
    <n v="282705"/>
    <x v="149"/>
    <x v="34"/>
    <s v="DOM PEDRO ITAPEVA"/>
    <n v="479129"/>
    <m/>
    <x v="0"/>
    <n v="313"/>
    <m/>
    <n v="4.8499999999999996"/>
    <n v="1518.05"/>
    <n v="4.8499999999999996"/>
    <n v="795"/>
    <n v="2.5399361022364215"/>
  </r>
  <r>
    <s v="Ajuste M."/>
    <x v="152"/>
    <x v="7"/>
    <m/>
    <n v="97191"/>
    <m/>
    <x v="1"/>
    <n v="37.520000000000003"/>
    <m/>
    <m/>
    <n v="0"/>
    <n v="0"/>
    <n v="460"/>
    <n v="12.260127931769722"/>
  </r>
  <r>
    <n v="305444"/>
    <x v="153"/>
    <x v="7"/>
    <s v="POSTO ZÉ RAMOS"/>
    <n v="97651"/>
    <m/>
    <x v="1"/>
    <n v="48.25"/>
    <m/>
    <n v="5.39"/>
    <n v="260.0675"/>
    <n v="5.39"/>
    <n v="460"/>
    <n v="9.5336787564766841"/>
  </r>
  <r>
    <n v="304988"/>
    <x v="149"/>
    <x v="0"/>
    <s v="POSTO ZÉ RAMOS"/>
    <n v="396014"/>
    <m/>
    <x v="0"/>
    <n v="37.08"/>
    <m/>
    <n v="4.99"/>
    <n v="185.0292"/>
    <n v="4.99"/>
    <n v="300"/>
    <n v="8.0906148867313927"/>
  </r>
  <r>
    <n v="185927"/>
    <x v="149"/>
    <x v="13"/>
    <s v="TATITA FERNÃO DIAS"/>
    <n v="127283"/>
    <m/>
    <x v="0"/>
    <n v="32.771000000000001"/>
    <m/>
    <n v="4.8899999999999997"/>
    <n v="160.25019"/>
    <n v="4.8899999999999997"/>
    <n v="256"/>
    <n v="7.8117848097403186"/>
  </r>
  <r>
    <n v="185928"/>
    <x v="149"/>
    <x v="1"/>
    <s v="TATITA FERNÃO DIAS"/>
    <n v="326935"/>
    <m/>
    <x v="0"/>
    <n v="101.509"/>
    <m/>
    <n v="4.8899999999999997"/>
    <n v="496.37900999999999"/>
    <n v="4.8899999999999997"/>
    <n v="359"/>
    <n v="3.5366322198031703"/>
  </r>
  <r>
    <n v="558452"/>
    <x v="149"/>
    <x v="17"/>
    <s v="POSTO ITASUL"/>
    <n v="205920"/>
    <m/>
    <x v="0"/>
    <n v="565.88099999999997"/>
    <m/>
    <n v="4.8499999999999996"/>
    <n v="2744.5228499999998"/>
    <n v="4.8499999999999996"/>
    <n v="1553"/>
    <n v="2.7443932558258717"/>
  </r>
  <r>
    <n v="282684"/>
    <x v="149"/>
    <x v="2"/>
    <s v="DOM PEDRO ITAPEVA"/>
    <n v="891750"/>
    <m/>
    <x v="0"/>
    <n v="320"/>
    <m/>
    <n v="4.8499999999999996"/>
    <n v="1552"/>
    <n v="4.8499999999999996"/>
    <n v="797"/>
    <n v="2.4906250000000001"/>
  </r>
  <r>
    <n v="187165"/>
    <x v="149"/>
    <x v="26"/>
    <s v="TATITA FERNÃO DIAS"/>
    <n v="717630"/>
    <m/>
    <x v="0"/>
    <n v="156.65"/>
    <m/>
    <n v="4.8899999999999997"/>
    <n v="766.01850000000002"/>
    <n v="4.8899999999999997"/>
    <n v="566"/>
    <n v="3.6131503351420364"/>
  </r>
  <r>
    <n v="187234"/>
    <x v="149"/>
    <x v="10"/>
    <s v="TATITA FERNÃO DIAS"/>
    <n v="254154"/>
    <m/>
    <x v="0"/>
    <n v="70.418999999999997"/>
    <m/>
    <n v="4.8899999999999997"/>
    <n v="344.34890999999999"/>
    <n v="4.8899999999999997"/>
    <n v="561"/>
    <n v="7.9665999233161511"/>
  </r>
  <r>
    <s v="Ajuste M."/>
    <x v="149"/>
    <x v="29"/>
    <m/>
    <n v="309671"/>
    <m/>
    <x v="0"/>
    <n v="198.52"/>
    <m/>
    <m/>
    <n v="0"/>
    <n v="0"/>
    <n v="803"/>
    <n v="4.0449325005037275"/>
  </r>
  <r>
    <s v="Ajuste M."/>
    <x v="149"/>
    <x v="9"/>
    <m/>
    <n v="367752"/>
    <m/>
    <x v="0"/>
    <n v="95.63"/>
    <m/>
    <m/>
    <n v="0"/>
    <n v="0"/>
    <n v="576"/>
    <n v="6.0232144724458854"/>
  </r>
  <r>
    <s v="Ajuste M."/>
    <x v="149"/>
    <x v="28"/>
    <m/>
    <n v="58506"/>
    <m/>
    <x v="0"/>
    <n v="60.2"/>
    <m/>
    <m/>
    <n v="0"/>
    <n v="0"/>
    <n v="462"/>
    <n v="7.6744186046511622"/>
  </r>
  <r>
    <n v="283142"/>
    <x v="153"/>
    <x v="34"/>
    <s v="DOM PEDRO ITAPEVA"/>
    <n v="479913"/>
    <m/>
    <x v="2"/>
    <n v="45.17"/>
    <m/>
    <n v="2.99"/>
    <n v="135.0583"/>
    <n v="2.9899999999999998"/>
    <m/>
    <n v="0"/>
  </r>
  <r>
    <n v="392902"/>
    <x v="151"/>
    <x v="29"/>
    <s v="BEIRA MINHO"/>
    <n v="310470"/>
    <m/>
    <x v="0"/>
    <n v="199.09"/>
    <n v="59.73"/>
    <n v="5.49"/>
    <n v="1033.2741000000001"/>
    <n v="5.1899849314380431"/>
    <n v="799"/>
    <n v="4.0132603345220756"/>
  </r>
  <r>
    <n v="414991"/>
    <x v="151"/>
    <x v="6"/>
    <s v="DOM PEDRO I 124 SUL"/>
    <n v="625207"/>
    <m/>
    <x v="0"/>
    <n v="128.24"/>
    <m/>
    <n v="4.8899999999999997"/>
    <n v="627.09360000000004"/>
    <n v="4.8899999999999997"/>
    <n v="548"/>
    <n v="4.2732376793512161"/>
  </r>
  <r>
    <n v="392952"/>
    <x v="151"/>
    <x v="12"/>
    <s v="BEIRA MINHO"/>
    <n v="229087"/>
    <m/>
    <x v="0"/>
    <n v="125.64"/>
    <n v="37.69"/>
    <n v="5.49"/>
    <n v="652.07359999999994"/>
    <n v="5.1900159184972932"/>
    <n v="537"/>
    <n v="4.274116523400191"/>
  </r>
  <r>
    <n v="618543"/>
    <x v="151"/>
    <x v="5"/>
    <s v="DOM PEDRO POUSO ALEGRE"/>
    <n v="606624"/>
    <m/>
    <x v="0"/>
    <n v="161"/>
    <m/>
    <n v="4.8899999999999997"/>
    <n v="787.29"/>
    <n v="4.8899999999999997"/>
    <n v="597"/>
    <n v="3.7080745341614905"/>
  </r>
  <r>
    <s v="Ajuste M."/>
    <x v="151"/>
    <x v="0"/>
    <m/>
    <n v="396277"/>
    <m/>
    <x v="0"/>
    <n v="38.53"/>
    <m/>
    <m/>
    <n v="0"/>
    <n v="0"/>
    <n v="263"/>
    <n v="6.8258499870230986"/>
  </r>
  <r>
    <n v="393831"/>
    <x v="153"/>
    <x v="22"/>
    <s v="BEIRA MINHO"/>
    <n v="143327"/>
    <m/>
    <x v="0"/>
    <n v="118.24"/>
    <n v="35.47"/>
    <n v="5.49"/>
    <n v="613.66759999999999"/>
    <n v="5.1900169147496618"/>
    <n v="411"/>
    <n v="3.4759810554803789"/>
  </r>
  <r>
    <s v="Ajuste M."/>
    <x v="153"/>
    <x v="13"/>
    <m/>
    <n v="127622"/>
    <m/>
    <x v="0"/>
    <n v="45.89"/>
    <m/>
    <m/>
    <n v="0"/>
    <n v="0"/>
    <n v="339"/>
    <n v="7.387230333405971"/>
  </r>
  <r>
    <n v="201289"/>
    <x v="153"/>
    <x v="13"/>
    <s v="DOM PEDRO ATIBAIA"/>
    <n v="128100"/>
    <m/>
    <x v="0"/>
    <n v="48.5"/>
    <m/>
    <n v="4.8766494500000004"/>
    <n v="236.51749832500002"/>
    <n v="4.8766494500000004"/>
    <n v="478"/>
    <n v="9.855670103092784"/>
  </r>
  <r>
    <n v="305372"/>
    <x v="153"/>
    <x v="24"/>
    <s v="POSTO ZÉ RAMOS"/>
    <n v="89451"/>
    <m/>
    <x v="2"/>
    <n v="19.3"/>
    <m/>
    <n v="3.69"/>
    <n v="71.216999999999999"/>
    <n v="3.69"/>
    <m/>
    <n v="0"/>
  </r>
  <r>
    <n v="932896"/>
    <x v="153"/>
    <x v="13"/>
    <s v="AUTO POSTO SACI"/>
    <n v="128232"/>
    <m/>
    <x v="0"/>
    <n v="18.5"/>
    <m/>
    <n v="5.09"/>
    <n v="94.164999999999992"/>
    <n v="5.09"/>
    <n v="132"/>
    <n v="7.1351351351351351"/>
  </r>
  <r>
    <s v="Ajuste M."/>
    <x v="153"/>
    <x v="7"/>
    <m/>
    <n v="97785"/>
    <m/>
    <x v="1"/>
    <n v="11.56"/>
    <m/>
    <m/>
    <n v="0"/>
    <n v="0"/>
    <n v="134"/>
    <n v="11.591695501730102"/>
  </r>
  <r>
    <n v="158516"/>
    <x v="154"/>
    <x v="7"/>
    <s v="IMPERADOR DOM PEDRO I"/>
    <n v="98025"/>
    <m/>
    <x v="1"/>
    <n v="20.02"/>
    <m/>
    <n v="5.19"/>
    <n v="103.9038"/>
    <n v="5.19"/>
    <n v="240"/>
    <n v="11.988011988011989"/>
  </r>
  <r>
    <n v="187674"/>
    <x v="153"/>
    <x v="9"/>
    <s v="TATITA FERNÃO DIAS"/>
    <n v="368132"/>
    <m/>
    <x v="0"/>
    <n v="55.44"/>
    <m/>
    <n v="4.8899999999999997"/>
    <n v="271.10159999999996"/>
    <n v="4.8899999999999997"/>
    <n v="380"/>
    <n v="6.8542568542568549"/>
  </r>
  <r>
    <n v="110461"/>
    <x v="153"/>
    <x v="2"/>
    <s v="ULTRAMARINO"/>
    <n v="892658"/>
    <m/>
    <x v="0"/>
    <n v="378.30099999999999"/>
    <n v="37.83"/>
    <n v="4.93"/>
    <n v="1827.1939299999999"/>
    <n v="4.8300002643397715"/>
    <n v="908"/>
    <n v="2.4002051276628928"/>
  </r>
  <r>
    <n v="283141"/>
    <x v="153"/>
    <x v="34"/>
    <s v="DOM PEDRO ITAPEVA"/>
    <n v="479913"/>
    <m/>
    <x v="0"/>
    <n v="300.62099999999998"/>
    <m/>
    <n v="4.8499999999999996"/>
    <n v="1458.0118499999999"/>
    <n v="4.8499999999999996"/>
    <n v="784"/>
    <n v="2.6079349080736209"/>
  </r>
  <r>
    <n v="201156"/>
    <x v="153"/>
    <x v="5"/>
    <s v="DOM PEDRO ATIBAIA"/>
    <n v="607172"/>
    <m/>
    <x v="0"/>
    <n v="138"/>
    <m/>
    <n v="4.8899999999999997"/>
    <n v="674.81999999999994"/>
    <n v="4.8899999999999997"/>
    <n v="548"/>
    <n v="3.9710144927536231"/>
  </r>
  <r>
    <n v="415296"/>
    <x v="153"/>
    <x v="6"/>
    <s v="DOM PEDRO I 124 SUL"/>
    <n v="625664"/>
    <m/>
    <x v="0"/>
    <n v="101.09"/>
    <m/>
    <n v="4.79"/>
    <n v="484.22110000000004"/>
    <n v="4.79"/>
    <n v="457"/>
    <n v="4.5207241072311799"/>
  </r>
  <r>
    <n v="305372"/>
    <x v="153"/>
    <x v="24"/>
    <s v="POSTO ZÉ RAMOS"/>
    <n v="89451"/>
    <m/>
    <x v="0"/>
    <n v="92.82"/>
    <m/>
    <n v="4.99"/>
    <n v="463.17179999999996"/>
    <n v="4.99"/>
    <n v="559"/>
    <n v="6.022408963585435"/>
  </r>
  <r>
    <s v="Ajuste M."/>
    <x v="153"/>
    <x v="14"/>
    <m/>
    <n v="105343"/>
    <m/>
    <x v="0"/>
    <n v="410"/>
    <m/>
    <m/>
    <n v="0"/>
    <n v="0"/>
    <n v="1266"/>
    <n v="3.0878048780487806"/>
  </r>
  <r>
    <n v="619542"/>
    <x v="154"/>
    <x v="13"/>
    <s v="DOM PEDRO POUSO ALEGRE"/>
    <n v="128359"/>
    <m/>
    <x v="0"/>
    <n v="15.2"/>
    <m/>
    <n v="4.8899999999999997"/>
    <n v="74.327999999999989"/>
    <n v="4.8899999999999997"/>
    <n v="127"/>
    <n v="8.3552631578947381"/>
  </r>
  <r>
    <n v="247759"/>
    <x v="155"/>
    <x v="6"/>
    <s v="DOM PEDRO DE LEME"/>
    <n v="626410"/>
    <m/>
    <x v="2"/>
    <n v="19.989999999999998"/>
    <m/>
    <n v="2.89"/>
    <n v="57.771099999999997"/>
    <n v="2.89"/>
    <m/>
    <n v="0"/>
  </r>
  <r>
    <s v="Ajuste M."/>
    <x v="154"/>
    <x v="10"/>
    <m/>
    <n v="254632"/>
    <m/>
    <x v="0"/>
    <n v="58.6"/>
    <m/>
    <m/>
    <n v="0"/>
    <n v="0"/>
    <n v="478"/>
    <n v="8.1569965870307168"/>
  </r>
  <r>
    <n v="187745"/>
    <x v="154"/>
    <x v="10"/>
    <s v="TATITA FERNÃO DIAS"/>
    <n v="254940"/>
    <m/>
    <x v="0"/>
    <n v="36.82"/>
    <m/>
    <n v="4.8899999999999997"/>
    <n v="180.04979999999998"/>
    <n v="4.8899999999999997"/>
    <n v="308"/>
    <n v="8.3650190114068437"/>
  </r>
  <r>
    <n v="201920"/>
    <x v="154"/>
    <x v="10"/>
    <s v="DOM PEDRO ATIBAIA"/>
    <n v="255347"/>
    <m/>
    <x v="0"/>
    <n v="43.29"/>
    <m/>
    <n v="4.8899999999999997"/>
    <n v="211.68809999999999"/>
    <n v="4.8899999999999997"/>
    <n v="407"/>
    <n v="9.4017094017094021"/>
  </r>
  <r>
    <n v="394747"/>
    <x v="154"/>
    <x v="12"/>
    <s v="BEIRA MINHO"/>
    <n v="229751"/>
    <m/>
    <x v="0"/>
    <n v="130.83000000000001"/>
    <n v="39.25"/>
    <n v="5.49"/>
    <n v="679.00670000000014"/>
    <n v="5.1899923564931596"/>
    <n v="664"/>
    <n v="5.0752885423832446"/>
  </r>
  <r>
    <n v="283550"/>
    <x v="154"/>
    <x v="16"/>
    <s v="DOM PEDRO ITAPEVA"/>
    <n v="354374"/>
    <m/>
    <x v="0"/>
    <n v="224.011"/>
    <m/>
    <n v="4.8499999999999996"/>
    <n v="1086.45335"/>
    <n v="4.8500000000000005"/>
    <n v="1070"/>
    <n v="4.7765511515059531"/>
  </r>
  <r>
    <n v="187785"/>
    <x v="154"/>
    <x v="4"/>
    <s v="TATITA FERNÃO DIAS"/>
    <n v="874930"/>
    <m/>
    <x v="0"/>
    <n v="93.599000000000004"/>
    <m/>
    <n v="4.8899999999999997"/>
    <n v="457.69910999999996"/>
    <n v="4.8899999999999997"/>
    <n v="371"/>
    <n v="3.9637175610850544"/>
  </r>
  <r>
    <s v="Ajuste M."/>
    <x v="154"/>
    <x v="0"/>
    <m/>
    <n v="396535"/>
    <m/>
    <x v="0"/>
    <n v="31.2"/>
    <m/>
    <m/>
    <n v="0"/>
    <n v="0"/>
    <n v="258"/>
    <n v="8.2692307692307701"/>
  </r>
  <r>
    <s v="Ajuste M."/>
    <x v="154"/>
    <x v="8"/>
    <m/>
    <n v="942461"/>
    <m/>
    <x v="0"/>
    <n v="495"/>
    <m/>
    <m/>
    <n v="0"/>
    <n v="0"/>
    <n v="1342"/>
    <n v="2.7111111111111112"/>
  </r>
  <r>
    <s v="Ajuste M."/>
    <x v="154"/>
    <x v="27"/>
    <m/>
    <n v="123085"/>
    <m/>
    <x v="0"/>
    <n v="187.62"/>
    <m/>
    <m/>
    <n v="0"/>
    <n v="0"/>
    <n v="747"/>
    <n v="3.9814518708026863"/>
  </r>
  <r>
    <n v="305885"/>
    <x v="155"/>
    <x v="13"/>
    <s v="POSTO ZÉ RAMOS"/>
    <n v="128790"/>
    <m/>
    <x v="0"/>
    <n v="45.9"/>
    <m/>
    <n v="4.99"/>
    <n v="229.041"/>
    <n v="4.99"/>
    <n v="431"/>
    <n v="9.3899782135076251"/>
  </r>
  <r>
    <n v="188133"/>
    <x v="155"/>
    <x v="24"/>
    <s v="TATITA FERNÃO DIAS"/>
    <n v="89912"/>
    <m/>
    <x v="0"/>
    <n v="74.8"/>
    <m/>
    <n v="4.8899999999999997"/>
    <n v="365.77199999999993"/>
    <n v="4.8899999999999997"/>
    <n v="461"/>
    <n v="6.1631016042780749"/>
  </r>
  <r>
    <n v="394972"/>
    <x v="155"/>
    <x v="30"/>
    <s v="BEIRA MINHO"/>
    <n v="313207"/>
    <m/>
    <x v="0"/>
    <n v="97.81"/>
    <n v="29.34"/>
    <n v="5.49"/>
    <n v="507.63690000000003"/>
    <n v="5.190030671710459"/>
    <n v="478"/>
    <n v="4.8870258664758204"/>
  </r>
  <r>
    <n v="1084278"/>
    <x v="156"/>
    <x v="16"/>
    <s v="SIM REDE DE POSTOS"/>
    <n v="355561"/>
    <m/>
    <x v="2"/>
    <n v="19.741"/>
    <n v="2.96"/>
    <n v="3.24"/>
    <n v="61.000840000000004"/>
    <n v="3.0900582543944077"/>
    <m/>
    <n v="0"/>
  </r>
  <r>
    <n v="187942"/>
    <x v="155"/>
    <x v="26"/>
    <s v="TATITA FERNÃO DIAS"/>
    <n v="717861"/>
    <m/>
    <x v="0"/>
    <n v="74.099999999999994"/>
    <m/>
    <n v="4.8899999999999997"/>
    <n v="362.34899999999993"/>
    <n v="4.8899999999999997"/>
    <n v="231"/>
    <n v="3.1174089068825914"/>
  </r>
  <r>
    <n v="395659"/>
    <x v="155"/>
    <x v="5"/>
    <s v="BEIRA MINHO"/>
    <n v="607670"/>
    <m/>
    <x v="0"/>
    <n v="124.36"/>
    <n v="37.31"/>
    <n v="5.49"/>
    <n v="645.42640000000006"/>
    <n v="5.1899839176584113"/>
    <n v="498"/>
    <n v="4.0045030556449017"/>
  </r>
  <r>
    <n v="283651"/>
    <x v="155"/>
    <x v="18"/>
    <s v="DOM PEDRO ITAPEVA"/>
    <n v="667693"/>
    <m/>
    <x v="0"/>
    <n v="136.30000000000001"/>
    <m/>
    <n v="4.8499999999999996"/>
    <n v="661.05499999999995"/>
    <n v="4.8499999999999996"/>
    <n v="551"/>
    <n v="4.0425531914893611"/>
  </r>
  <r>
    <n v="283697"/>
    <x v="155"/>
    <x v="34"/>
    <s v="DOM PEDRO ITAPEVA"/>
    <n v="480703"/>
    <m/>
    <x v="0"/>
    <n v="297.67200000000003"/>
    <m/>
    <n v="4.79"/>
    <n v="1425.8488800000002"/>
    <n v="4.79"/>
    <n v="790"/>
    <n v="2.6539278131634818"/>
  </r>
  <r>
    <n v="247758"/>
    <x v="155"/>
    <x v="6"/>
    <s v="DOM PEDRO DE LEME"/>
    <n v="626410"/>
    <m/>
    <x v="0"/>
    <n v="157"/>
    <m/>
    <n v="4.75"/>
    <n v="745.75"/>
    <n v="4.75"/>
    <n v="746"/>
    <n v="4.7515923566878984"/>
  </r>
  <r>
    <n v="560405"/>
    <x v="155"/>
    <x v="17"/>
    <s v="POSTO ITASUL"/>
    <n v="207154"/>
    <m/>
    <x v="0"/>
    <n v="473.411"/>
    <m/>
    <n v="4.8499999999999996"/>
    <n v="2296.0433499999999"/>
    <n v="4.8499999999999996"/>
    <n v="1234"/>
    <n v="2.6066145484578938"/>
  </r>
  <r>
    <n v="187979"/>
    <x v="155"/>
    <x v="22"/>
    <s v="TATITA FERNÃO DIAS"/>
    <n v="143619"/>
    <m/>
    <x v="0"/>
    <n v="65.2"/>
    <m/>
    <n v="4.8899999999999997"/>
    <n v="318.82799999999997"/>
    <n v="4.8899999999999997"/>
    <n v="292"/>
    <n v="4.4785276073619631"/>
  </r>
  <r>
    <n v="188132"/>
    <x v="155"/>
    <x v="28"/>
    <s v="TATITA FERNÃO DIAS"/>
    <n v="58962"/>
    <m/>
    <x v="0"/>
    <n v="58.408999999999999"/>
    <m/>
    <n v="4.8899999999999997"/>
    <n v="285.62000999999998"/>
    <n v="4.8899999999999997"/>
    <n v="456"/>
    <n v="7.807016042048315"/>
  </r>
  <r>
    <n v="305947"/>
    <x v="155"/>
    <x v="9"/>
    <s v="POSTO ZÉ RAMOS"/>
    <n v="368637"/>
    <m/>
    <x v="0"/>
    <n v="84.17"/>
    <m/>
    <n v="4.99"/>
    <n v="420.00830000000002"/>
    <n v="4.99"/>
    <n v="505"/>
    <n v="5.9997623856480926"/>
  </r>
  <r>
    <n v="1084271"/>
    <x v="156"/>
    <x v="16"/>
    <s v="SIM REDE DE POSTOS"/>
    <n v="355561"/>
    <m/>
    <x v="0"/>
    <n v="260.37"/>
    <m/>
    <n v="4.75"/>
    <n v="1236.7574999999999"/>
    <n v="4.75"/>
    <n v="1187"/>
    <n v="4.5588969543342168"/>
  </r>
  <r>
    <n v="621409"/>
    <x v="157"/>
    <x v="13"/>
    <s v="DOM PEDRO POUSO ALEGRE"/>
    <n v="128958"/>
    <m/>
    <x v="0"/>
    <n v="25.47"/>
    <m/>
    <n v="4.8899999999999997"/>
    <n v="124.54829999999998"/>
    <n v="4.8899999999999997"/>
    <n v="168"/>
    <n v="6.5959952885747946"/>
  </r>
  <r>
    <n v="187477"/>
    <x v="157"/>
    <x v="13"/>
    <s v="TATITA FERNÃO DIAS"/>
    <n v="129147"/>
    <m/>
    <x v="0"/>
    <n v="36.689"/>
    <m/>
    <n v="4.8899999999999997"/>
    <n v="179.40921"/>
    <n v="4.8899999999999997"/>
    <n v="189"/>
    <n v="5.1514077788983075"/>
  </r>
  <r>
    <n v="188563"/>
    <x v="157"/>
    <x v="33"/>
    <s v="TATITA FERNÃO DIAS"/>
    <n v="78315"/>
    <m/>
    <x v="0"/>
    <n v="7.5"/>
    <m/>
    <n v="4.79"/>
    <n v="35.924999999999997"/>
    <n v="4.79"/>
    <n v="24"/>
    <n v="3.2"/>
  </r>
  <r>
    <n v="397271"/>
    <x v="157"/>
    <x v="35"/>
    <s v="BEIRA MINHO"/>
    <n v="365136"/>
    <m/>
    <x v="0"/>
    <n v="79.819999999999993"/>
    <n v="23.95"/>
    <n v="5.49"/>
    <n v="414.26179999999999"/>
    <n v="5.1899498872463043"/>
    <n v="581"/>
    <n v="7.2788774743172144"/>
  </r>
  <r>
    <n v="307000"/>
    <x v="158"/>
    <x v="7"/>
    <s v="POSTO ZÉ RAMOS"/>
    <n v="98400"/>
    <m/>
    <x v="1"/>
    <n v="40.03"/>
    <m/>
    <n v="5.39"/>
    <n v="215.76169999999999"/>
    <n v="5.39"/>
    <n v="375"/>
    <n v="9.367974019485386"/>
  </r>
  <r>
    <n v="284512"/>
    <x v="157"/>
    <x v="18"/>
    <s v="DOM PEDRO ITAPEVA"/>
    <n v="668242"/>
    <m/>
    <x v="0"/>
    <n v="132.56"/>
    <m/>
    <n v="4.79"/>
    <n v="634.9624"/>
    <n v="4.79"/>
    <n v="549"/>
    <n v="4.1415208207604106"/>
  </r>
  <r>
    <n v="306881"/>
    <x v="157"/>
    <x v="29"/>
    <s v="POSTO ZÉ RAMOS"/>
    <n v="311467"/>
    <m/>
    <x v="0"/>
    <n v="200.40100000000001"/>
    <m/>
    <n v="4.99"/>
    <n v="1000.0009900000001"/>
    <n v="4.99"/>
    <n v="997"/>
    <n v="4.9750250747251759"/>
  </r>
  <r>
    <n v="187582"/>
    <x v="157"/>
    <x v="1"/>
    <s v="TATITA FERNÃO DIAS"/>
    <n v="327409"/>
    <m/>
    <x v="0"/>
    <n v="122.32899999999999"/>
    <m/>
    <n v="4.8899999999999997"/>
    <n v="598.18880999999988"/>
    <n v="4.8899999999999997"/>
    <n v="474"/>
    <n v="3.8747966549223816"/>
  </r>
  <r>
    <n v="66888"/>
    <x v="157"/>
    <x v="12"/>
    <s v="POSTO MALAGUETA"/>
    <n v="230207"/>
    <m/>
    <x v="0"/>
    <n v="129.095"/>
    <m/>
    <n v="5.19"/>
    <n v="670.00305000000003"/>
    <n v="5.19"/>
    <n v="456"/>
    <n v="3.5322824276695459"/>
  </r>
  <r>
    <n v="306940"/>
    <x v="158"/>
    <x v="19"/>
    <s v="POSTO ZÉ RAMOS"/>
    <n v="224386"/>
    <m/>
    <x v="1"/>
    <n v="39.9"/>
    <m/>
    <n v="5.39"/>
    <n v="215.06099999999998"/>
    <n v="5.39"/>
    <n v="492"/>
    <n v="12.445928511800865"/>
  </r>
  <r>
    <n v="306614"/>
    <x v="157"/>
    <x v="0"/>
    <s v="TATITA FERNÃO DIAS"/>
    <n v="397067"/>
    <m/>
    <x v="0"/>
    <n v="47.719000000000001"/>
    <m/>
    <n v="4.99"/>
    <n v="238.11781000000002"/>
    <n v="4.99"/>
    <n v="532"/>
    <n v="11.148599090509022"/>
  </r>
  <r>
    <n v="104775"/>
    <x v="157"/>
    <x v="0"/>
    <s v="AUTO POSTO BRISA"/>
    <n v="397471"/>
    <m/>
    <x v="0"/>
    <n v="57.73"/>
    <m/>
    <n v="5.19"/>
    <n v="299.61869999999999"/>
    <n v="5.19"/>
    <n v="404"/>
    <n v="6.9980945782089039"/>
  </r>
  <r>
    <n v="307070"/>
    <x v="158"/>
    <x v="13"/>
    <s v="POSTO ZÉ RAMOS"/>
    <n v="129591"/>
    <m/>
    <x v="0"/>
    <n v="50.99"/>
    <m/>
    <n v="4.99"/>
    <n v="254.44010000000003"/>
    <n v="4.99"/>
    <n v="444"/>
    <n v="8.7075897234751913"/>
  </r>
  <r>
    <s v="Ajuste M."/>
    <x v="158"/>
    <x v="0"/>
    <m/>
    <n v="397702"/>
    <m/>
    <x v="0"/>
    <n v="32.56"/>
    <m/>
    <m/>
    <n v="0"/>
    <n v="0"/>
    <n v="231"/>
    <n v="7.0945945945945939"/>
  </r>
  <r>
    <n v="307053"/>
    <x v="158"/>
    <x v="0"/>
    <s v="POSTO ZÉ RAMOS"/>
    <n v="398014"/>
    <m/>
    <x v="0"/>
    <n v="43.290999999999997"/>
    <m/>
    <n v="4.99"/>
    <n v="216.02208999999999"/>
    <n v="4.99"/>
    <n v="312"/>
    <n v="7.2070407243999917"/>
  </r>
  <r>
    <n v="698124"/>
    <x v="158"/>
    <x v="13"/>
    <s v="AUTO POSTO SACI"/>
    <n v="129789"/>
    <m/>
    <x v="0"/>
    <n v="25.25"/>
    <m/>
    <n v="5.09"/>
    <n v="128.52250000000001"/>
    <n v="5.0900000000000007"/>
    <n v="198"/>
    <n v="7.8415841584158414"/>
  </r>
  <r>
    <s v="Ajuste M."/>
    <x v="158"/>
    <x v="11"/>
    <m/>
    <n v="662641"/>
    <m/>
    <x v="0"/>
    <n v="143"/>
    <m/>
    <m/>
    <n v="0"/>
    <n v="0"/>
    <n v="643"/>
    <n v="4.4965034965034967"/>
  </r>
  <r>
    <n v="188941"/>
    <x v="158"/>
    <x v="11"/>
    <s v="TATITA FERNÃO DIAS"/>
    <n v="663306"/>
    <m/>
    <x v="0"/>
    <n v="170.51900000000001"/>
    <m/>
    <n v="4.8899999999999997"/>
    <n v="833.83790999999997"/>
    <n v="4.8899999999999997"/>
    <n v="665"/>
    <n v="3.8998586667761361"/>
  </r>
  <r>
    <n v="398270"/>
    <x v="158"/>
    <x v="12"/>
    <s v="BEIRA MINHO"/>
    <n v="230706"/>
    <m/>
    <x v="0"/>
    <n v="98.59"/>
    <n v="29.58"/>
    <n v="5.49"/>
    <n v="511.67910000000001"/>
    <n v="5.1899695709504003"/>
    <n v="499"/>
    <n v="5.0613652500253572"/>
  </r>
  <r>
    <n v="398122"/>
    <x v="158"/>
    <x v="30"/>
    <s v="BEIRA MINHO"/>
    <n v="313522"/>
    <m/>
    <x v="0"/>
    <n v="55.15"/>
    <n v="16.54"/>
    <n v="5.49"/>
    <n v="286.23349999999999"/>
    <n v="5.1900906618313689"/>
    <n v="315"/>
    <n v="5.7116953762466007"/>
  </r>
  <r>
    <n v="398116"/>
    <x v="158"/>
    <x v="25"/>
    <s v="BEIRA MINHO"/>
    <n v="394328"/>
    <m/>
    <x v="0"/>
    <n v="98.76"/>
    <n v="29.63"/>
    <n v="5.49"/>
    <n v="512.56240000000003"/>
    <n v="5.1899797488861887"/>
    <n v="648"/>
    <n v="6.5613608748481163"/>
  </r>
  <r>
    <n v="696278"/>
    <x v="158"/>
    <x v="6"/>
    <s v="AUTO POSTO RVM MAX"/>
    <n v="626861"/>
    <m/>
    <x v="0"/>
    <n v="114.71899999999999"/>
    <m/>
    <n v="5.09"/>
    <n v="583.91971000000001"/>
    <n v="5.0900000000000007"/>
    <n v="451"/>
    <n v="3.9313452871799792"/>
  </r>
  <r>
    <n v="621988"/>
    <x v="158"/>
    <x v="5"/>
    <s v="DOM PEDRO POUSO ALEGRE"/>
    <n v="608142"/>
    <m/>
    <x v="0"/>
    <n v="136"/>
    <m/>
    <n v="4.79"/>
    <n v="651.44000000000005"/>
    <n v="4.79"/>
    <n v="472"/>
    <n v="3.4705882352941178"/>
  </r>
  <r>
    <n v="204619"/>
    <x v="158"/>
    <x v="34"/>
    <s v="DOM PEDRO ATIBAIA"/>
    <n v="481442"/>
    <m/>
    <x v="0"/>
    <n v="300"/>
    <m/>
    <n v="4.79"/>
    <n v="1437"/>
    <n v="4.79"/>
    <n v="739"/>
    <n v="2.4633333333333334"/>
  </r>
  <r>
    <n v="822453"/>
    <x v="158"/>
    <x v="24"/>
    <s v="RODOPOSTO MARIPORÃ"/>
    <n v="90300"/>
    <m/>
    <x v="0"/>
    <n v="63.670999999999999"/>
    <m/>
    <n v="4.74"/>
    <n v="301.80054000000001"/>
    <n v="4.74"/>
    <n v="388"/>
    <n v="6.093826074665075"/>
  </r>
  <r>
    <n v="188862"/>
    <x v="158"/>
    <x v="9"/>
    <s v="TATITA FERNÃO DIAS"/>
    <n v="369278"/>
    <m/>
    <x v="0"/>
    <n v="110.8"/>
    <m/>
    <n v="4.8899999999999997"/>
    <n v="541.8119999999999"/>
    <n v="4.8899999999999988"/>
    <n v="641"/>
    <n v="5.7851985559566792"/>
  </r>
  <r>
    <n v="621840"/>
    <x v="158"/>
    <x v="10"/>
    <s v="DOM PEDRO POUSO ALEGRE"/>
    <n v="255544"/>
    <m/>
    <x v="0"/>
    <n v="27.35"/>
    <m/>
    <n v="4.79"/>
    <n v="131.00650000000002"/>
    <n v="4.79"/>
    <n v="197"/>
    <n v="7.2029250457038385"/>
  </r>
  <r>
    <n v="348393"/>
    <x v="158"/>
    <x v="2"/>
    <s v="TIGRÃO DA DUTRA"/>
    <n v="892972"/>
    <m/>
    <x v="0"/>
    <n v="152"/>
    <n v="162.63"/>
    <n v="7.01"/>
    <n v="902.89"/>
    <n v="5.9400657894736844"/>
    <n v="314"/>
    <n v="2.0657894736842106"/>
  </r>
  <r>
    <n v="205099"/>
    <x v="158"/>
    <x v="14"/>
    <s v="DOM PEDRO ATIBAIA"/>
    <n v="106745"/>
    <m/>
    <x v="0"/>
    <n v="506"/>
    <m/>
    <n v="4.79"/>
    <n v="2423.7400000000002"/>
    <n v="4.79"/>
    <n v="1402"/>
    <n v="2.7707509881422925"/>
  </r>
  <r>
    <n v="682893"/>
    <x v="159"/>
    <x v="13"/>
    <s v="GAVIÃO DA ANHANGUERA"/>
    <n v="129969"/>
    <m/>
    <x v="0"/>
    <n v="23"/>
    <m/>
    <n v="5.08"/>
    <n v="116.84"/>
    <n v="5.08"/>
    <n v="180"/>
    <n v="7.8260869565217392"/>
  </r>
  <r>
    <n v="622338"/>
    <x v="159"/>
    <x v="28"/>
    <s v="DOM PEDRO POUSO ALEGRE"/>
    <n v="59671"/>
    <m/>
    <x v="0"/>
    <n v="85.06"/>
    <m/>
    <n v="4.79"/>
    <n v="407.43740000000003"/>
    <n v="4.79"/>
    <n v="709"/>
    <n v="8.3352927345403245"/>
  </r>
  <r>
    <n v="209321"/>
    <x v="160"/>
    <x v="3"/>
    <s v="DOM PEDRO ATIBAIA"/>
    <n v="146134"/>
    <m/>
    <x v="4"/>
    <n v="46.48"/>
    <m/>
    <n v="5.19"/>
    <n v="241.2312"/>
    <n v="5.19"/>
    <n v="130"/>
    <n v="2.7969018932874357"/>
  </r>
  <r>
    <n v="307284"/>
    <x v="159"/>
    <x v="3"/>
    <s v="POSTO ZÉ RAMOS"/>
    <n v="146455"/>
    <m/>
    <x v="1"/>
    <n v="47.31"/>
    <m/>
    <n v="5.39"/>
    <n v="255.0009"/>
    <n v="5.39"/>
    <n v="321"/>
    <n v="6.7850348763474946"/>
  </r>
  <r>
    <n v="389785"/>
    <x v="159"/>
    <x v="35"/>
    <s v="BEIRA MINHO"/>
    <n v="365310"/>
    <m/>
    <x v="0"/>
    <n v="27.85"/>
    <n v="8.35"/>
    <n v="5.49"/>
    <n v="144.54650000000001"/>
    <n v="5.1901795332136444"/>
    <n v="174"/>
    <n v="6.2477558348294435"/>
  </r>
  <r>
    <n v="284922"/>
    <x v="159"/>
    <x v="6"/>
    <s v="DOM PEDRO ITAPEVA"/>
    <n v="627437"/>
    <m/>
    <x v="0"/>
    <n v="136.06100000000001"/>
    <m/>
    <n v="4.79"/>
    <n v="651.73219000000006"/>
    <n v="4.79"/>
    <n v="576"/>
    <n v="4.2333953153365034"/>
  </r>
  <r>
    <n v="562501"/>
    <x v="159"/>
    <x v="17"/>
    <s v="POSTO ITASUL"/>
    <n v="208323"/>
    <m/>
    <x v="0"/>
    <n v="578"/>
    <m/>
    <n v="4.8499999999999996"/>
    <n v="2803.2999999999997"/>
    <n v="4.8499999999999996"/>
    <n v="1169"/>
    <n v="2.0224913494809686"/>
  </r>
  <r>
    <n v="356899"/>
    <x v="159"/>
    <x v="0"/>
    <s v="GRAAL ALEMÃO"/>
    <n v="398244"/>
    <m/>
    <x v="0"/>
    <n v="35.619999999999997"/>
    <m/>
    <n v="4.84"/>
    <n v="172.40079999999998"/>
    <n v="4.84"/>
    <n v="230"/>
    <n v="6.4570466030320048"/>
  </r>
  <r>
    <n v="679760"/>
    <x v="159"/>
    <x v="0"/>
    <s v="VIVIANO AUTO POSTO"/>
    <n v="398580"/>
    <m/>
    <x v="0"/>
    <n v="43.38"/>
    <n v="58.99"/>
    <n v="6.15"/>
    <n v="207.79700000000003"/>
    <n v="4.7901567542646388"/>
    <n v="336"/>
    <n v="7.7455048409405247"/>
  </r>
  <r>
    <n v="189054"/>
    <x v="159"/>
    <x v="16"/>
    <s v="TATITA FERNÃO DIAS"/>
    <n v="356872"/>
    <m/>
    <x v="0"/>
    <n v="251.46"/>
    <m/>
    <n v="4.8899999999999997"/>
    <n v="1229.6394"/>
    <n v="4.8899999999999997"/>
    <n v="1311"/>
    <n v="5.2135528513481271"/>
  </r>
  <r>
    <n v="399696"/>
    <x v="161"/>
    <x v="35"/>
    <s v="BEIRA MINHO"/>
    <n v="365752"/>
    <m/>
    <x v="0"/>
    <n v="55.55"/>
    <n v="16.66"/>
    <n v="5.49"/>
    <n v="288.30949999999996"/>
    <n v="5.1900900090008992"/>
    <n v="442"/>
    <n v="7.9567956795679571"/>
  </r>
  <r>
    <n v="259120"/>
    <x v="161"/>
    <x v="22"/>
    <s v="ULTRAMARINO"/>
    <n v="144277"/>
    <m/>
    <x v="0"/>
    <n v="155.28"/>
    <n v="15.53"/>
    <n v="4.83"/>
    <n v="734.47239999999999"/>
    <n v="4.7299871200412156"/>
    <n v="658"/>
    <n v="4.2375064399793922"/>
  </r>
  <r>
    <n v="622580"/>
    <x v="161"/>
    <x v="0"/>
    <s v="DOM PEDRO POUSO ALEGRE"/>
    <n v="398913"/>
    <m/>
    <x v="0"/>
    <n v="43"/>
    <m/>
    <n v="4.79"/>
    <n v="205.97"/>
    <n v="4.79"/>
    <n v="333"/>
    <n v="7.7441860465116283"/>
  </r>
  <r>
    <s v="Ajuste M."/>
    <x v="161"/>
    <x v="13"/>
    <m/>
    <n v="130312"/>
    <m/>
    <x v="0"/>
    <n v="50.1"/>
    <m/>
    <m/>
    <n v="0"/>
    <n v="0"/>
    <n v="343"/>
    <n v="6.8463073852295411"/>
  </r>
  <r>
    <n v="182695"/>
    <x v="161"/>
    <x v="13"/>
    <s v="RODOPOSTO MIRANTE"/>
    <n v="130524"/>
    <m/>
    <x v="0"/>
    <n v="23.03"/>
    <m/>
    <n v="5.0199999999999996"/>
    <n v="115.61059999999999"/>
    <n v="5.0199999999999996"/>
    <n v="212"/>
    <n v="9.2053842813721225"/>
  </r>
  <r>
    <n v="307675"/>
    <x v="161"/>
    <x v="13"/>
    <s v="POSTO ZÉ RAMOS"/>
    <n v="130856"/>
    <m/>
    <x v="0"/>
    <n v="44.97"/>
    <m/>
    <n v="4.99"/>
    <n v="224.40030000000002"/>
    <n v="4.99"/>
    <n v="332"/>
    <n v="7.3826995774961084"/>
  </r>
  <r>
    <n v="182695"/>
    <x v="161"/>
    <x v="13"/>
    <s v="RODOPOSTO MIRANTE"/>
    <n v="130924"/>
    <m/>
    <x v="0"/>
    <n v="8.9"/>
    <m/>
    <n v="5.0199999999999996"/>
    <n v="44.677999999999997"/>
    <n v="5.0199999999999996"/>
    <n v="68"/>
    <n v="7.6404494382022472"/>
  </r>
  <r>
    <n v="189317"/>
    <x v="161"/>
    <x v="10"/>
    <s v="TATITA FERNÃO DIAS"/>
    <n v="255936"/>
    <m/>
    <x v="0"/>
    <n v="48.048999999999999"/>
    <m/>
    <n v="4.8899999999999997"/>
    <n v="234.95960999999997"/>
    <n v="4.8899999999999997"/>
    <n v="392"/>
    <n v="8.1583383629211852"/>
  </r>
  <r>
    <n v="114131"/>
    <x v="161"/>
    <x v="33"/>
    <s v="ULTRAMARINO"/>
    <n v="78879"/>
    <m/>
    <x v="0"/>
    <n v="175.99"/>
    <n v="17.600000000000001"/>
    <n v="4.83"/>
    <n v="832.43169999999998"/>
    <n v="4.729994317858969"/>
    <n v="564"/>
    <n v="3.2047275413375758"/>
  </r>
  <r>
    <n v="622922"/>
    <x v="161"/>
    <x v="5"/>
    <s v="DOM PEDRO POUSO ALEGRE"/>
    <n v="608601"/>
    <m/>
    <x v="0"/>
    <n v="127"/>
    <m/>
    <n v="4.79"/>
    <n v="608.33000000000004"/>
    <n v="4.79"/>
    <n v="459"/>
    <n v="3.6141732283464565"/>
  </r>
  <r>
    <n v="285172"/>
    <x v="161"/>
    <x v="34"/>
    <s v="DOM PEDRO ITAPEVA"/>
    <n v="482301"/>
    <m/>
    <x v="0"/>
    <n v="325"/>
    <m/>
    <n v="4.79"/>
    <n v="1556.75"/>
    <n v="4.79"/>
    <n v="859"/>
    <n v="2.6430769230769231"/>
  </r>
  <r>
    <n v="307643"/>
    <x v="161"/>
    <x v="28"/>
    <s v="POSTO ZÉ RAMOS"/>
    <n v="60058"/>
    <m/>
    <x v="0"/>
    <n v="48.709000000000003"/>
    <m/>
    <n v="4.99"/>
    <n v="243.05791000000002"/>
    <n v="4.99"/>
    <n v="387"/>
    <n v="7.9451436079574611"/>
  </r>
  <r>
    <n v="400662"/>
    <x v="162"/>
    <x v="29"/>
    <s v="BEIRA MINHO"/>
    <n v="312180"/>
    <m/>
    <x v="0"/>
    <n v="127.52"/>
    <n v="38.26"/>
    <n v="5.49"/>
    <n v="661.82479999999998"/>
    <n v="5.1899686323713929"/>
    <n v="713"/>
    <n v="5.591279799247177"/>
  </r>
  <r>
    <n v="402657"/>
    <x v="160"/>
    <x v="18"/>
    <s v="BEIRA MINHO"/>
    <n v="668871"/>
    <m/>
    <x v="2"/>
    <n v="25.376999999999999"/>
    <m/>
    <n v="3.49"/>
    <n v="88.565730000000002"/>
    <n v="3.49"/>
    <m/>
    <n v="0"/>
  </r>
  <r>
    <n v="941232"/>
    <x v="162"/>
    <x v="0"/>
    <s v="AUTO POSTO SACI"/>
    <n v="399158"/>
    <m/>
    <x v="0"/>
    <n v="31.22"/>
    <m/>
    <n v="5.09"/>
    <n v="158.90979999999999"/>
    <n v="5.09"/>
    <n v="245"/>
    <n v="7.8475336322869955"/>
  </r>
  <r>
    <n v="189471"/>
    <x v="162"/>
    <x v="28"/>
    <s v="TATITA FERNÃO DIAS"/>
    <n v="60512"/>
    <m/>
    <x v="0"/>
    <n v="60.390999999999998"/>
    <m/>
    <n v="4.8899999999999997"/>
    <n v="295.31198999999998"/>
    <n v="4.8899999999999997"/>
    <n v="454"/>
    <n v="7.5176764749714362"/>
  </r>
  <r>
    <n v="308651"/>
    <x v="160"/>
    <x v="7"/>
    <s v="POSTO ZÉ RAMOS"/>
    <n v="98911"/>
    <m/>
    <x v="1"/>
    <n v="42.680999999999997"/>
    <m/>
    <n v="5.39"/>
    <n v="230.05058999999997"/>
    <n v="5.39"/>
    <n v="511"/>
    <n v="11.972540474684287"/>
  </r>
  <r>
    <n v="307761"/>
    <x v="162"/>
    <x v="2"/>
    <s v="POSTO ZÉ RAMOS"/>
    <n v="893422"/>
    <m/>
    <x v="0"/>
    <n v="306.87"/>
    <m/>
    <n v="4.99"/>
    <n v="1531.2813000000001"/>
    <n v="4.99"/>
    <n v="450"/>
    <n v="1.4664190047903021"/>
  </r>
  <r>
    <s v="Ajuste M."/>
    <x v="162"/>
    <x v="24"/>
    <m/>
    <n v="90656"/>
    <m/>
    <x v="0"/>
    <n v="68.5"/>
    <m/>
    <m/>
    <n v="0"/>
    <n v="0"/>
    <n v="356"/>
    <n v="5.1970802919708028"/>
  </r>
  <r>
    <n v="308750"/>
    <x v="160"/>
    <x v="7"/>
    <s v="POSTO ZÉ RAMOS"/>
    <n v="99242"/>
    <m/>
    <x v="1"/>
    <n v="25.61"/>
    <m/>
    <n v="5.39"/>
    <n v="138.03789999999998"/>
    <n v="5.39"/>
    <n v="331"/>
    <n v="12.924638812963686"/>
  </r>
  <r>
    <n v="189590"/>
    <x v="163"/>
    <x v="12"/>
    <s v="TATITA FERNÃO DIAS"/>
    <n v="231399"/>
    <m/>
    <x v="0"/>
    <n v="153.851"/>
    <m/>
    <n v="4.8899999999999997"/>
    <n v="752.33138999999994"/>
    <n v="4.8899999999999997"/>
    <n v="693"/>
    <n v="4.5043581127194496"/>
  </r>
  <r>
    <s v="Ajuste M."/>
    <x v="164"/>
    <x v="0"/>
    <m/>
    <n v="399215"/>
    <m/>
    <x v="0"/>
    <n v="7.5"/>
    <m/>
    <m/>
    <n v="0"/>
    <n v="0"/>
    <n v="57"/>
    <n v="7.6"/>
  </r>
  <r>
    <s v="Ajuste M."/>
    <x v="164"/>
    <x v="9"/>
    <m/>
    <n v="370024"/>
    <m/>
    <x v="0"/>
    <n v="123.3"/>
    <m/>
    <m/>
    <n v="0"/>
    <n v="0"/>
    <n v="746"/>
    <n v="6.0502838605028391"/>
  </r>
  <r>
    <n v="1090073"/>
    <x v="160"/>
    <x v="27"/>
    <s v="SIM REDE DE POSTOS"/>
    <n v="123832"/>
    <m/>
    <x v="2"/>
    <n v="19.937000000000001"/>
    <m/>
    <n v="3.09"/>
    <n v="61.605330000000002"/>
    <n v="3.09"/>
    <m/>
    <n v="0"/>
  </r>
  <r>
    <n v="402491"/>
    <x v="160"/>
    <x v="30"/>
    <s v="BEIRA MINHO"/>
    <n v="314107"/>
    <m/>
    <x v="0"/>
    <n v="98.81"/>
    <n v="29.64"/>
    <n v="5.49"/>
    <n v="512.82690000000002"/>
    <n v="5.1900303612994634"/>
    <n v="585"/>
    <n v="5.9204533954053229"/>
  </r>
  <r>
    <n v="402657"/>
    <x v="160"/>
    <x v="18"/>
    <s v="BEIRA MINHO"/>
    <n v="668871"/>
    <m/>
    <x v="0"/>
    <n v="162.65"/>
    <n v="48.79"/>
    <n v="5.49"/>
    <n v="844.15850000000012"/>
    <n v="5.1900307408545965"/>
    <n v="629"/>
    <n v="3.8671995081463262"/>
  </r>
  <r>
    <n v="188780"/>
    <x v="160"/>
    <x v="0"/>
    <s v="TATITA FERNÃO DIAS"/>
    <n v="399472"/>
    <m/>
    <x v="0"/>
    <n v="31.228999999999999"/>
    <m/>
    <n v="4.8899999999999997"/>
    <n v="152.70980999999998"/>
    <n v="4.8899999999999997"/>
    <n v="257"/>
    <n v="8.2295302443241862"/>
  </r>
  <r>
    <n v="134224"/>
    <x v="160"/>
    <x v="13"/>
    <s v="RODOPOSTO MIRANTE"/>
    <n v="131017"/>
    <m/>
    <x v="0"/>
    <n v="19.8"/>
    <n v="15.47"/>
    <n v="5.0199999999999996"/>
    <n v="83.926000000000002"/>
    <n v="4.2386868686868686"/>
    <n v="93"/>
    <n v="4.6969696969696972"/>
  </r>
  <r>
    <n v="943765"/>
    <x v="160"/>
    <x v="13"/>
    <s v="AUTO POSTO SACI"/>
    <n v="131306"/>
    <m/>
    <x v="0"/>
    <n v="33.4"/>
    <m/>
    <n v="5.09"/>
    <n v="170.006"/>
    <n v="5.09"/>
    <n v="289"/>
    <n v="8.6526946107784433"/>
  </r>
  <r>
    <n v="286213"/>
    <x v="160"/>
    <x v="8"/>
    <s v="DOM PEDRO ITAPEVA"/>
    <n v="943837"/>
    <m/>
    <x v="0"/>
    <n v="483"/>
    <m/>
    <n v="4.79"/>
    <n v="2313.5700000000002"/>
    <n v="4.79"/>
    <n v="1376"/>
    <n v="2.8488612836438922"/>
  </r>
  <r>
    <n v="190211"/>
    <x v="160"/>
    <x v="24"/>
    <s v="TATITA FERNÃO DIAS"/>
    <n v="91012"/>
    <m/>
    <x v="0"/>
    <n v="78.570999999999998"/>
    <m/>
    <n v="4.8899999999999997"/>
    <n v="384.21218999999996"/>
    <n v="4.8899999999999997"/>
    <n v="356"/>
    <n v="4.5309338050934826"/>
  </r>
  <r>
    <n v="190140"/>
    <x v="160"/>
    <x v="22"/>
    <s v="TATITA FERNÃO DIAS"/>
    <n v="144638"/>
    <m/>
    <x v="0"/>
    <n v="93.338999999999999"/>
    <m/>
    <n v="4.8899999999999997"/>
    <n v="456.42770999999999"/>
    <n v="4.8899999999999997"/>
    <n v="361"/>
    <n v="3.8676223229303934"/>
  </r>
  <r>
    <n v="701347"/>
    <x v="160"/>
    <x v="6"/>
    <s v="AUTO POSTO RVM MAX"/>
    <n v="627854"/>
    <m/>
    <x v="0"/>
    <n v="100"/>
    <m/>
    <n v="4.99"/>
    <n v="499"/>
    <n v="4.99"/>
    <n v="417"/>
    <n v="4.17"/>
  </r>
  <r>
    <n v="116181"/>
    <x v="160"/>
    <x v="33"/>
    <s v="ULTRAMARINO"/>
    <n v="79375"/>
    <m/>
    <x v="0"/>
    <n v="140.80000000000001"/>
    <n v="14.08"/>
    <n v="4.83"/>
    <n v="665.98400000000004"/>
    <n v="4.7299999999999995"/>
    <n v="496"/>
    <n v="3.5227272727272725"/>
  </r>
  <r>
    <n v="286236"/>
    <x v="160"/>
    <x v="34"/>
    <s v="DOM PEDRO ITAPEVA"/>
    <n v="483098"/>
    <m/>
    <x v="0"/>
    <n v="320"/>
    <m/>
    <n v="4.79"/>
    <n v="1532.8"/>
    <n v="4.79"/>
    <n v="797"/>
    <n v="2.4906250000000001"/>
  </r>
  <r>
    <n v="189405"/>
    <x v="160"/>
    <x v="1"/>
    <s v="TATITA FERNÃO DIAS"/>
    <n v="327913"/>
    <m/>
    <x v="0"/>
    <n v="122.59099999999999"/>
    <m/>
    <n v="4.8899999999999997"/>
    <n v="599.46998999999994"/>
    <n v="4.8899999999999997"/>
    <n v="504"/>
    <n v="4.1112316564837554"/>
  </r>
  <r>
    <n v="188822"/>
    <x v="160"/>
    <x v="1"/>
    <s v="TATITA FERNÃO DIAS"/>
    <n v="328414"/>
    <m/>
    <x v="0"/>
    <n v="135.77099999999999"/>
    <m/>
    <n v="4.8899999999999997"/>
    <n v="663.92018999999993"/>
    <n v="4.8899999999999997"/>
    <n v="501"/>
    <n v="3.6900369003690039"/>
  </r>
  <r>
    <n v="1090073"/>
    <x v="160"/>
    <x v="27"/>
    <s v="SIM REDE DE POSTOS"/>
    <n v="123832"/>
    <m/>
    <x v="0"/>
    <n v="200"/>
    <m/>
    <n v="4.75"/>
    <n v="950"/>
    <n v="4.75"/>
    <n v="747"/>
    <n v="3.7349999999999999"/>
  </r>
  <r>
    <n v="686289"/>
    <x v="160"/>
    <x v="6"/>
    <s v="GAVIÃO DA ANHANGUERA"/>
    <n v="628173"/>
    <m/>
    <x v="0"/>
    <n v="65.498999999999995"/>
    <m/>
    <n v="5.08"/>
    <n v="332.73491999999999"/>
    <n v="5.08"/>
    <n v="319"/>
    <n v="4.8703033634101285"/>
  </r>
  <r>
    <n v="624741"/>
    <x v="160"/>
    <x v="5"/>
    <s v="DOM PEDRO POUSO ALEGRE"/>
    <n v="609041"/>
    <m/>
    <x v="0"/>
    <n v="116.29"/>
    <m/>
    <n v="4.79"/>
    <n v="557.02910000000008"/>
    <n v="4.79"/>
    <n v="440"/>
    <n v="3.783644337432281"/>
  </r>
  <r>
    <n v="210137"/>
    <x v="165"/>
    <x v="17"/>
    <s v="DOM PEDRO ATIBAIA"/>
    <n v="210125"/>
    <m/>
    <x v="2"/>
    <n v="67"/>
    <m/>
    <n v="2.99"/>
    <n v="200.33"/>
    <n v="2.99"/>
    <m/>
    <n v="0"/>
  </r>
  <r>
    <n v="4559"/>
    <x v="165"/>
    <x v="27"/>
    <s v="POSTO PELANDA "/>
    <n v="123927"/>
    <m/>
    <x v="0"/>
    <n v="22.4"/>
    <m/>
    <n v="4.82"/>
    <n v="107.968"/>
    <n v="4.82"/>
    <n v="95"/>
    <n v="4.2410714285714288"/>
  </r>
  <r>
    <s v="Ajuste M."/>
    <x v="165"/>
    <x v="13"/>
    <m/>
    <n v="131593"/>
    <m/>
    <x v="0"/>
    <n v="36.299999999999997"/>
    <m/>
    <m/>
    <n v="0"/>
    <n v="0"/>
    <n v="287"/>
    <n v="7.906336088154271"/>
  </r>
  <r>
    <n v="625129"/>
    <x v="165"/>
    <x v="13"/>
    <s v="DOM PEDRO POUSO ALEGRE"/>
    <n v="131741"/>
    <m/>
    <x v="0"/>
    <n v="20.82"/>
    <m/>
    <n v="4.79"/>
    <n v="99.727800000000002"/>
    <n v="4.79"/>
    <n v="148"/>
    <n v="7.1085494716618634"/>
  </r>
  <r>
    <n v="210116"/>
    <x v="165"/>
    <x v="14"/>
    <s v="DOM PEDRO ATIBAIA"/>
    <n v="108610"/>
    <m/>
    <x v="2"/>
    <n v="51.59"/>
    <m/>
    <n v="2.99"/>
    <n v="154.25410000000002"/>
    <n v="2.99"/>
    <m/>
    <n v="0"/>
  </r>
  <r>
    <n v="308980"/>
    <x v="165"/>
    <x v="8"/>
    <s v="POSTO ZÉ RAMOS"/>
    <n v="944173"/>
    <m/>
    <x v="2"/>
    <n v="40.005000000000003"/>
    <m/>
    <n v="3.69"/>
    <n v="147.61845"/>
    <n v="3.6899999999999995"/>
    <m/>
    <n v="0"/>
  </r>
  <r>
    <n v="190371"/>
    <x v="165"/>
    <x v="35"/>
    <s v="TATITA FERNÃO DIAS"/>
    <n v="366280"/>
    <m/>
    <x v="0"/>
    <n v="107.681"/>
    <m/>
    <n v="4.8899999999999997"/>
    <n v="526.56008999999995"/>
    <n v="4.8899999999999997"/>
    <n v="528"/>
    <n v="4.9033719969168192"/>
  </r>
  <r>
    <n v="544402"/>
    <x v="165"/>
    <x v="15"/>
    <s v="COMBO AUTO POSTO"/>
    <n v="298162"/>
    <m/>
    <x v="0"/>
    <n v="118.75"/>
    <m/>
    <n v="5.32"/>
    <n v="631.75"/>
    <n v="5.32"/>
    <n v="707"/>
    <n v="5.9536842105263155"/>
  </r>
  <r>
    <n v="403114"/>
    <x v="165"/>
    <x v="25"/>
    <s v="BEIRA MINHO"/>
    <n v="395053"/>
    <m/>
    <x v="0"/>
    <n v="106.34"/>
    <n v="31.9"/>
    <n v="5.49"/>
    <n v="551.90660000000003"/>
    <n v="5.1900188075982694"/>
    <n v="725"/>
    <n v="6.8177543727665979"/>
  </r>
  <r>
    <n v="361093"/>
    <x v="165"/>
    <x v="29"/>
    <s v="GRAAL ALEMÃO"/>
    <n v="312636"/>
    <m/>
    <x v="0"/>
    <n v="142.00200000000001"/>
    <n v="126.38"/>
    <n v="5.71"/>
    <n v="684.4514200000001"/>
    <n v="4.820012535034718"/>
    <n v="456"/>
    <n v="3.2112223771496176"/>
  </r>
  <r>
    <n v="210136"/>
    <x v="165"/>
    <x v="17"/>
    <s v="DOM PEDRO ATIBAIA"/>
    <n v="210125"/>
    <m/>
    <x v="0"/>
    <n v="662.33"/>
    <m/>
    <n v="4.79"/>
    <n v="3172.5607"/>
    <n v="4.79"/>
    <n v="1802"/>
    <n v="2.720698141409871"/>
  </r>
  <r>
    <n v="686718"/>
    <x v="165"/>
    <x v="22"/>
    <s v="GAVIÃO DA ANHANGUERA"/>
    <n v="145103"/>
    <m/>
    <x v="0"/>
    <n v="111.23399999999999"/>
    <m/>
    <n v="4.8899999999999997"/>
    <n v="543.93425999999999"/>
    <n v="4.8900000000000006"/>
    <n v="465"/>
    <n v="4.1803765035870333"/>
  </r>
  <r>
    <n v="308833"/>
    <x v="165"/>
    <x v="11"/>
    <s v="POSTO ZÉ RAMOS"/>
    <n v="664105"/>
    <m/>
    <x v="0"/>
    <n v="188.2"/>
    <m/>
    <n v="4.8899999999999997"/>
    <n v="920.29799999999989"/>
    <n v="4.8899999999999997"/>
    <n v="799"/>
    <n v="4.2454835281615306"/>
  </r>
  <r>
    <n v="210115"/>
    <x v="165"/>
    <x v="14"/>
    <s v="DOM PEDRO ATIBAIA"/>
    <n v="108610"/>
    <s v="DIESEL"/>
    <x v="0"/>
    <n v="600"/>
    <m/>
    <n v="4.79"/>
    <n v="2874"/>
    <n v="4.79"/>
    <n v="1865"/>
    <n v="3.1083333333333334"/>
  </r>
  <r>
    <n v="404363"/>
    <x v="166"/>
    <x v="29"/>
    <s v="BEIRA MINHO"/>
    <n v="312963"/>
    <m/>
    <x v="0"/>
    <n v="101.62"/>
    <n v="30.49"/>
    <n v="5.49"/>
    <n v="527.40380000000005"/>
    <n v="5.18996063766975"/>
    <n v="327"/>
    <n v="3.2178704979334776"/>
  </r>
  <r>
    <n v="544588"/>
    <x v="166"/>
    <x v="31"/>
    <s v="COMBO AUTO POSTO"/>
    <n v="312775"/>
    <m/>
    <x v="0"/>
    <n v="83.611000000000004"/>
    <m/>
    <n v="5.32"/>
    <n v="444.81052000000005"/>
    <n v="5.32"/>
    <n v="486"/>
    <n v="5.8126323091459255"/>
  </r>
  <r>
    <n v="698124"/>
    <x v="166"/>
    <x v="13"/>
    <s v="AUTO POSTO SACI"/>
    <n v="131935"/>
    <m/>
    <x v="0"/>
    <n v="22.8"/>
    <m/>
    <n v="5.09"/>
    <n v="116.05200000000001"/>
    <n v="5.09"/>
    <n v="194"/>
    <n v="8.5087719298245617"/>
  </r>
  <r>
    <s v="Ajuste M."/>
    <x v="166"/>
    <x v="13"/>
    <m/>
    <n v="132025"/>
    <m/>
    <x v="0"/>
    <n v="32.1"/>
    <m/>
    <m/>
    <n v="0"/>
    <n v="0"/>
    <n v="90"/>
    <n v="2.8037383177570092"/>
  </r>
  <r>
    <n v="286809"/>
    <x v="166"/>
    <x v="13"/>
    <s v="DOM PEDRO ITAPEVA"/>
    <n v="132310"/>
    <m/>
    <x v="0"/>
    <n v="40.479999999999997"/>
    <m/>
    <n v="4.79"/>
    <n v="193.89919999999998"/>
    <n v="4.79"/>
    <n v="285"/>
    <n v="7.0405138339920956"/>
  </r>
  <r>
    <n v="404363"/>
    <x v="166"/>
    <x v="29"/>
    <s v="BEIRA MINHO"/>
    <n v="313263"/>
    <m/>
    <x v="2"/>
    <n v="20.111000000000001"/>
    <m/>
    <n v="3.49"/>
    <n v="70.187390000000008"/>
    <n v="3.49"/>
    <m/>
    <n v="0"/>
  </r>
  <r>
    <n v="190506"/>
    <x v="166"/>
    <x v="24"/>
    <s v="TATITA FERNÃO DIAS"/>
    <n v="91465"/>
    <m/>
    <x v="0"/>
    <n v="78.45"/>
    <m/>
    <n v="4.8899999999999997"/>
    <n v="383.62049999999999"/>
    <n v="4.8899999999999997"/>
    <n v="453"/>
    <n v="5.7743785850860423"/>
  </r>
  <r>
    <n v="190528"/>
    <x v="166"/>
    <x v="10"/>
    <s v="TATITA FERNÃO DIAS"/>
    <n v="256543"/>
    <m/>
    <x v="0"/>
    <n v="69.37"/>
    <m/>
    <n v="4.8899999999999997"/>
    <n v="339.21929999999998"/>
    <n v="4.8899999999999997"/>
    <n v="607"/>
    <n v="8.7501801931670737"/>
  </r>
  <r>
    <n v="117282"/>
    <x v="166"/>
    <x v="33"/>
    <s v="ULTRAMARINO"/>
    <n v="79894"/>
    <m/>
    <x v="0"/>
    <n v="154.04"/>
    <n v="15.41"/>
    <n v="4.83"/>
    <n v="728.60320000000002"/>
    <n v="4.7299610490781623"/>
    <n v="519"/>
    <n v="3.3692547390288237"/>
  </r>
  <r>
    <n v="286847"/>
    <x v="166"/>
    <x v="34"/>
    <s v="DOM PEDRO ITAPEVA"/>
    <n v="483894"/>
    <m/>
    <x v="0"/>
    <n v="337"/>
    <m/>
    <n v="4.79"/>
    <n v="1614.23"/>
    <n v="4.79"/>
    <n v="796"/>
    <n v="2.3620178041543025"/>
  </r>
  <r>
    <n v="625724"/>
    <x v="166"/>
    <x v="5"/>
    <s v="DOM PEDRO POUSO ALEGRE"/>
    <n v="609483"/>
    <m/>
    <x v="0"/>
    <n v="110"/>
    <m/>
    <n v="4.79"/>
    <n v="526.9"/>
    <n v="4.79"/>
    <n v="442"/>
    <n v="4.0181818181818185"/>
  </r>
  <r>
    <n v="190613"/>
    <x v="166"/>
    <x v="24"/>
    <s v="TATITA FERNÃO DIAS"/>
    <n v="91630"/>
    <m/>
    <x v="0"/>
    <n v="27.699000000000002"/>
    <m/>
    <n v="4.8899999999999997"/>
    <n v="135.44810999999999"/>
    <n v="4.8899999999999988"/>
    <n v="165"/>
    <n v="5.9568937506769197"/>
  </r>
  <r>
    <s v="Ajuste M."/>
    <x v="167"/>
    <x v="21"/>
    <m/>
    <n v="131650"/>
    <m/>
    <x v="1"/>
    <n v="49"/>
    <m/>
    <m/>
    <n v="0"/>
    <n v="0"/>
    <n v="452"/>
    <n v="9.2244897959183678"/>
  </r>
  <r>
    <n v="544923"/>
    <x v="168"/>
    <x v="21"/>
    <s v="COMBO AUTO POSTO"/>
    <n v="132182"/>
    <m/>
    <x v="1"/>
    <n v="51.451000000000001"/>
    <m/>
    <n v="5.53"/>
    <n v="284.52403000000004"/>
    <n v="5.5300000000000011"/>
    <n v="532"/>
    <n v="10.339935083866203"/>
  </r>
  <r>
    <n v="625657"/>
    <x v="166"/>
    <x v="28"/>
    <s v="DOM PEDRO POUSO ALEGRE"/>
    <n v="61050"/>
    <m/>
    <x v="0"/>
    <n v="72.400000000000006"/>
    <m/>
    <n v="4.79"/>
    <n v="346.79600000000005"/>
    <n v="4.79"/>
    <n v="538"/>
    <n v="7.4309392265193361"/>
  </r>
  <r>
    <n v="309106"/>
    <x v="166"/>
    <x v="2"/>
    <s v="POSTO ZÉ RAMOS"/>
    <n v="894601"/>
    <m/>
    <x v="0"/>
    <n v="486.57900000000001"/>
    <m/>
    <n v="4.99"/>
    <n v="2428.0292100000001"/>
    <n v="4.99"/>
    <n v="1179"/>
    <n v="2.4230392187085754"/>
  </r>
  <r>
    <s v="Ajuste M."/>
    <x v="166"/>
    <x v="27"/>
    <m/>
    <n v="124426"/>
    <m/>
    <x v="0"/>
    <n v="116.3"/>
    <m/>
    <m/>
    <n v="0"/>
    <n v="0"/>
    <n v="499"/>
    <n v="4.2906276870163369"/>
  </r>
  <r>
    <n v="405002"/>
    <x v="168"/>
    <x v="11"/>
    <s v="BEIRA MINHO"/>
    <n v="664698"/>
    <m/>
    <x v="0"/>
    <n v="141.25"/>
    <n v="42.3"/>
    <n v="5.49"/>
    <n v="733.16250000000002"/>
    <n v="5.1905309734513274"/>
    <n v="593"/>
    <n v="4.198230088495575"/>
  </r>
  <r>
    <n v="703817"/>
    <x v="168"/>
    <x v="6"/>
    <s v="AUTO POSTO RVM MAX"/>
    <n v="628869"/>
    <m/>
    <x v="0"/>
    <n v="154"/>
    <m/>
    <n v="4.99"/>
    <n v="768.46"/>
    <n v="4.99"/>
    <n v="696"/>
    <n v="4.5194805194805197"/>
  </r>
  <r>
    <n v="190663"/>
    <x v="168"/>
    <x v="22"/>
    <s v="TATITA FERNÃO DIAS"/>
    <n v="145469"/>
    <m/>
    <x v="0"/>
    <n v="79.760999999999996"/>
    <m/>
    <n v="4.8899999999999997"/>
    <n v="390.03128999999996"/>
    <n v="4.8899999999999997"/>
    <n v="366"/>
    <n v="4.5887087674427356"/>
  </r>
  <r>
    <n v="354505"/>
    <x v="168"/>
    <x v="9"/>
    <s v="DOM PEDRO POUSO ALEGRE"/>
    <n v="370770"/>
    <m/>
    <x v="0"/>
    <n v="114"/>
    <m/>
    <n v="4.79"/>
    <n v="546.06000000000006"/>
    <n v="4.7900000000000009"/>
    <n v="746"/>
    <n v="6.5438596491228074"/>
  </r>
  <r>
    <n v="190830"/>
    <x v="168"/>
    <x v="12"/>
    <s v="TATITA FERNÃO DIAS"/>
    <n v="231970"/>
    <m/>
    <x v="0"/>
    <n v="125.58"/>
    <m/>
    <n v="4.8899999999999997"/>
    <n v="614.08619999999996"/>
    <n v="4.8899999999999997"/>
    <n v="571"/>
    <n v="4.5469023729893294"/>
  </r>
  <r>
    <s v="Ajuste M."/>
    <x v="168"/>
    <x v="13"/>
    <m/>
    <n v="132531"/>
    <m/>
    <x v="0"/>
    <n v="25.6"/>
    <m/>
    <m/>
    <n v="0"/>
    <n v="0"/>
    <n v="221"/>
    <n v="8.6328125"/>
  </r>
  <r>
    <n v="405616"/>
    <x v="169"/>
    <x v="30"/>
    <s v="BEIRA MINHO"/>
    <n v="314872"/>
    <m/>
    <x v="2"/>
    <n v="17.108000000000001"/>
    <m/>
    <n v="3.49"/>
    <n v="59.706920000000004"/>
    <n v="3.49"/>
    <m/>
    <n v="0"/>
  </r>
  <r>
    <s v="Ajuste M."/>
    <x v="168"/>
    <x v="28"/>
    <m/>
    <n v="61546"/>
    <m/>
    <x v="0"/>
    <n v="63.23"/>
    <m/>
    <m/>
    <n v="0"/>
    <n v="0"/>
    <n v="496"/>
    <n v="7.8443776688280886"/>
  </r>
  <r>
    <n v="190289"/>
    <x v="169"/>
    <x v="13"/>
    <s v="TATITA FERNÃO DIAS"/>
    <n v="132580"/>
    <m/>
    <x v="0"/>
    <n v="8.9"/>
    <m/>
    <n v="4.8899999999999997"/>
    <n v="43.521000000000001"/>
    <n v="4.8899999999999997"/>
    <n v="49"/>
    <n v="5.5056179775280896"/>
  </r>
  <r>
    <n v="405886"/>
    <x v="169"/>
    <x v="13"/>
    <s v="BEIRA MINHO"/>
    <n v="132653"/>
    <m/>
    <x v="0"/>
    <n v="20.5"/>
    <m/>
    <n v="5.19"/>
    <n v="106.39500000000001"/>
    <n v="5.19"/>
    <n v="73"/>
    <n v="3.5609756097560976"/>
  </r>
  <r>
    <n v="405984"/>
    <x v="169"/>
    <x v="4"/>
    <s v="BEIRA MINHO"/>
    <n v="875373"/>
    <m/>
    <x v="0"/>
    <n v="113.01"/>
    <m/>
    <n v="5.19"/>
    <n v="586.52190000000007"/>
    <n v="5.19"/>
    <n v="443"/>
    <n v="3.9200070790195558"/>
  </r>
  <r>
    <n v="405616"/>
    <x v="169"/>
    <x v="30"/>
    <s v="BEIRA MINHO"/>
    <n v="314872"/>
    <m/>
    <x v="0"/>
    <n v="110.41"/>
    <m/>
    <n v="5.19"/>
    <n v="573.02790000000005"/>
    <n v="5.19"/>
    <n v="765"/>
    <n v="6.9287202246173356"/>
  </r>
  <r>
    <n v="287414"/>
    <x v="169"/>
    <x v="34"/>
    <s v="DOM PEDRO ITAPEVA"/>
    <n v="484687"/>
    <m/>
    <x v="0"/>
    <n v="312"/>
    <m/>
    <n v="4.79"/>
    <n v="1494.48"/>
    <n v="4.79"/>
    <n v="793"/>
    <n v="2.5416666666666665"/>
  </r>
  <r>
    <n v="81384"/>
    <x v="169"/>
    <x v="33"/>
    <s v="ULTRAMARINO"/>
    <n v="80452"/>
    <m/>
    <x v="0"/>
    <n v="158.05099999999999"/>
    <n v="15.81"/>
    <n v="4.78"/>
    <n v="739.67378000000008"/>
    <n v="4.6799689973489578"/>
    <n v="558"/>
    <n v="3.5305059759191657"/>
  </r>
  <r>
    <n v="226050"/>
    <x v="169"/>
    <x v="6"/>
    <s v="POSTO 7 SÃO CARLOS"/>
    <n v="629316"/>
    <m/>
    <x v="0"/>
    <n v="101.57"/>
    <m/>
    <n v="4.79"/>
    <n v="486.52029999999996"/>
    <n v="4.79"/>
    <n v="447"/>
    <n v="4.4009057792655311"/>
  </r>
  <r>
    <n v="287386"/>
    <x v="169"/>
    <x v="8"/>
    <s v="DOM PEDRO ITAPEVA"/>
    <n v="945494"/>
    <m/>
    <x v="0"/>
    <n v="617"/>
    <m/>
    <n v="4.79"/>
    <n v="2955.43"/>
    <n v="4.79"/>
    <n v="1657"/>
    <n v="2.6855753646677472"/>
  </r>
  <r>
    <n v="190918"/>
    <x v="169"/>
    <x v="18"/>
    <s v="TATITA FERNÃO DIAS"/>
    <n v="669445"/>
    <m/>
    <x v="0"/>
    <n v="155.661"/>
    <m/>
    <n v="4.8899999999999997"/>
    <n v="761.18228999999997"/>
    <n v="4.8899999999999997"/>
    <n v="574"/>
    <n v="3.6875004015135455"/>
  </r>
  <r>
    <n v="307284"/>
    <x v="159"/>
    <x v="3"/>
    <s v="POSTO ZÉ RAMOS"/>
    <n v="146455"/>
    <s v="GASOLINA"/>
    <x v="1"/>
    <n v="47.31"/>
    <m/>
    <n v="5.39"/>
    <n v="255.0009"/>
    <n v="5.39"/>
    <n v="321"/>
    <n v="6.7850348763474946"/>
  </r>
  <r>
    <n v="190924"/>
    <x v="169"/>
    <x v="2"/>
    <s v="TATITA FERNÃO DIAS"/>
    <n v="895380"/>
    <m/>
    <x v="0"/>
    <n v="336.36"/>
    <m/>
    <n v="4.8899999999999997"/>
    <n v="1644.8003999999999"/>
    <n v="4.8899999999999997"/>
    <n v="779"/>
    <n v="2.3159709834700917"/>
  </r>
  <r>
    <n v="6632"/>
    <x v="170"/>
    <x v="27"/>
    <s v="POSTO PELANDA "/>
    <n v="125426"/>
    <s v="DIESEL"/>
    <x v="0"/>
    <n v="116"/>
    <m/>
    <n v="4.82"/>
    <n v="559.12"/>
    <n v="4.82"/>
    <n v="1000"/>
    <n v="8.6206896551724146"/>
  </r>
  <r>
    <n v="191126"/>
    <x v="170"/>
    <x v="31"/>
    <s v="TATITA FERNÃO DIAS"/>
    <n v="313414"/>
    <s v="DIESEL"/>
    <x v="0"/>
    <n v="84.671000000000006"/>
    <m/>
    <n v="4.8899999999999997"/>
    <n v="414.04119000000003"/>
    <n v="4.8899999999999997"/>
    <n v="639"/>
    <n v="7.5468578379846694"/>
  </r>
  <r>
    <n v="545389"/>
    <x v="170"/>
    <x v="15"/>
    <s v="COMBO AUTO POSTO"/>
    <n v="298419"/>
    <s v="DIESEL"/>
    <x v="0"/>
    <n v="47.51"/>
    <m/>
    <n v="5.32"/>
    <n v="252.75319999999999"/>
    <n v="5.32"/>
    <n v="257"/>
    <n v="5.4093874973689751"/>
  </r>
  <r>
    <n v="1094944"/>
    <x v="171"/>
    <x v="27"/>
    <s v="SIM REDE DE POSTOS"/>
    <n v="126248"/>
    <s v="DIESEL"/>
    <x v="0"/>
    <n v="195.78"/>
    <m/>
    <n v="4.75"/>
    <n v="929.95500000000004"/>
    <n v="4.75"/>
    <n v="822"/>
    <n v="4.1985902543671472"/>
  </r>
  <r>
    <n v="627673"/>
    <x v="171"/>
    <x v="5"/>
    <s v="DOM PEDRO POUSO ALEGRE"/>
    <n v="609921"/>
    <s v="DIESEL"/>
    <x v="0"/>
    <n v="113.65"/>
    <m/>
    <n v="4.79"/>
    <n v="544.38350000000003"/>
    <n v="4.79"/>
    <n v="438"/>
    <n v="3.8539375274967003"/>
  </r>
  <r>
    <n v="4020"/>
    <x v="171"/>
    <x v="16"/>
    <s v="TATITA FERNÃO DIAS"/>
    <n v="357363"/>
    <s v="DIESEL"/>
    <x v="0"/>
    <n v="115.98"/>
    <m/>
    <n v="4.8899999999999997"/>
    <n v="567.1422"/>
    <n v="4.8899999999999997"/>
    <n v="491"/>
    <n v="4.2334885325056044"/>
  </r>
  <r>
    <n v="190187"/>
    <x v="172"/>
    <x v="0"/>
    <s v="TATITA FERNÃO DIAS"/>
    <n v="399799"/>
    <s v="DIESEL"/>
    <x v="0"/>
    <n v="40.9"/>
    <m/>
    <n v="4.8899999999999997"/>
    <n v="200.00099999999998"/>
    <n v="4.8899999999999997"/>
    <n v="327"/>
    <n v="7.9951100244498781"/>
  </r>
  <r>
    <n v="190874"/>
    <x v="172"/>
    <x v="13"/>
    <s v="TATITA FERNÃO DIAS"/>
    <n v="132762"/>
    <s v="DIESEL"/>
    <x v="0"/>
    <n v="19.228999999999999"/>
    <m/>
    <n v="4.8899999999999997"/>
    <n v="94.029809999999983"/>
    <n v="4.8899999999999997"/>
    <n v="109"/>
    <n v="5.6685215039783658"/>
  </r>
  <r>
    <n v="190289"/>
    <x v="172"/>
    <x v="13"/>
    <s v="TATITA FERNÃO DIAS"/>
    <n v="132880"/>
    <s v="DIESEL"/>
    <x v="0"/>
    <n v="21.5"/>
    <m/>
    <n v="4.8899999999999997"/>
    <n v="105.13499999999999"/>
    <n v="4.8899999999999997"/>
    <n v="118"/>
    <n v="5.4883720930232558"/>
  </r>
  <r>
    <s v="Ajuste M."/>
    <x v="172"/>
    <x v="0"/>
    <m/>
    <n v="399994"/>
    <m/>
    <x v="0"/>
    <n v="25.63"/>
    <m/>
    <m/>
    <n v="0"/>
    <n v="0"/>
    <n v="195"/>
    <n v="7.6082715567694112"/>
  </r>
  <r>
    <n v="190677"/>
    <x v="172"/>
    <x v="0"/>
    <s v="TATITA FERNÃO DIAS"/>
    <n v="400161"/>
    <s v="DIESEL"/>
    <x v="0"/>
    <n v="20.100000000000001"/>
    <m/>
    <n v="4.8899999999999997"/>
    <n v="98.289000000000001"/>
    <n v="4.8899999999999997"/>
    <n v="167"/>
    <n v="8.3084577114427862"/>
  </r>
  <r>
    <n v="5946"/>
    <x v="172"/>
    <x v="13"/>
    <s v="REDETUKAS"/>
    <n v="132914"/>
    <s v="DIESEL"/>
    <x v="0"/>
    <n v="5.4"/>
    <m/>
    <n v="4.45"/>
    <n v="24.03"/>
    <n v="4.45"/>
    <n v="34"/>
    <n v="6.2962962962962958"/>
  </r>
  <r>
    <n v="5946"/>
    <x v="172"/>
    <x v="22"/>
    <s v="REDETUKAS"/>
    <n v="145980"/>
    <s v="DIESEL"/>
    <x v="0"/>
    <n v="110"/>
    <m/>
    <n v="4.45"/>
    <n v="489.5"/>
    <n v="4.45"/>
    <n v="511"/>
    <n v="4.6454545454545455"/>
  </r>
  <r>
    <n v="707659"/>
    <x v="172"/>
    <x v="6"/>
    <s v="AUTO POSTO RVM MAX"/>
    <n v="629831"/>
    <s v="DIESEL"/>
    <x v="0"/>
    <n v="117.48099999999999"/>
    <m/>
    <n v="4.99"/>
    <n v="586.23018999999999"/>
    <n v="4.99"/>
    <n v="515"/>
    <n v="4.3836875750121296"/>
  </r>
  <r>
    <n v="190704"/>
    <x v="172"/>
    <x v="1"/>
    <s v="TATITA FERNÃO DIAS"/>
    <n v="328915"/>
    <s v="DIESEL"/>
    <x v="0"/>
    <n v="129.96899999999999"/>
    <m/>
    <n v="4.8899999999999997"/>
    <n v="635.54840999999988"/>
    <n v="4.8899999999999997"/>
    <n v="501"/>
    <n v="3.8547653671260069"/>
  </r>
  <r>
    <n v="407881"/>
    <x v="172"/>
    <x v="35"/>
    <s v="BEIRA MINHO"/>
    <n v="366761"/>
    <s v="DIESEL"/>
    <x v="0"/>
    <n v="73.099999999999994"/>
    <m/>
    <n v="5.19"/>
    <n v="379.38900000000001"/>
    <n v="5.19"/>
    <n v="481"/>
    <n v="6.5800273597811225"/>
  </r>
  <r>
    <n v="5946"/>
    <x v="172"/>
    <x v="29"/>
    <s v="REDETUKAS"/>
    <n v="314001"/>
    <s v="DIESEL"/>
    <x v="0"/>
    <n v="160"/>
    <m/>
    <n v="4.45"/>
    <n v="712"/>
    <n v="4.45"/>
    <n v="1038"/>
    <n v="6.4874999999999998"/>
  </r>
  <r>
    <n v="5946"/>
    <x v="172"/>
    <x v="33"/>
    <s v="REDETUKAS"/>
    <n v="81007"/>
    <s v="DIESEL"/>
    <x v="0"/>
    <n v="163.5"/>
    <m/>
    <n v="4.45"/>
    <n v="727.57500000000005"/>
    <n v="4.45"/>
    <n v="555"/>
    <n v="3.3944954128440368"/>
  </r>
  <r>
    <s v="Ajuste M."/>
    <x v="172"/>
    <x v="0"/>
    <m/>
    <n v="400462"/>
    <m/>
    <x v="0"/>
    <n v="40.35"/>
    <m/>
    <m/>
    <n v="0"/>
    <n v="0"/>
    <n v="301"/>
    <n v="7.4597273853779429"/>
  </r>
  <r>
    <s v="Ajuste M."/>
    <x v="172"/>
    <x v="0"/>
    <m/>
    <n v="400773"/>
    <m/>
    <x v="0"/>
    <n v="41"/>
    <m/>
    <m/>
    <n v="0"/>
    <n v="0"/>
    <n v="311"/>
    <n v="7.5853658536585362"/>
  </r>
  <r>
    <n v="5946"/>
    <x v="172"/>
    <x v="0"/>
    <s v="REDETUKAS"/>
    <n v="400905"/>
    <s v="DIESEL"/>
    <x v="0"/>
    <n v="13.5"/>
    <m/>
    <n v="4.45"/>
    <n v="60.075000000000003"/>
    <n v="4.45"/>
    <n v="132"/>
    <n v="9.7777777777777786"/>
  </r>
  <r>
    <n v="5946"/>
    <x v="172"/>
    <x v="1"/>
    <s v="REDETUKAS"/>
    <n v="329232"/>
    <s v="DIESEL"/>
    <x v="0"/>
    <n v="138.5"/>
    <m/>
    <n v="4.45"/>
    <n v="616.32500000000005"/>
    <n v="4.45"/>
    <n v="317"/>
    <n v="2.2888086642599279"/>
  </r>
  <r>
    <n v="408158"/>
    <x v="172"/>
    <x v="12"/>
    <s v="BEIRA MINHO"/>
    <n v="232633"/>
    <s v="DIESEL"/>
    <x v="0"/>
    <n v="148.62"/>
    <m/>
    <n v="5.19"/>
    <n v="771.33780000000013"/>
    <n v="5.19"/>
    <n v="663"/>
    <n v="4.461041582559548"/>
  </r>
  <r>
    <n v="545949"/>
    <x v="172"/>
    <x v="15"/>
    <s v="COMBO AUTO POSTO"/>
    <n v="298894"/>
    <s v="DIESEL"/>
    <x v="0"/>
    <n v="101.7"/>
    <m/>
    <n v="5.32"/>
    <n v="541.0440000000001"/>
    <n v="5.3200000000000012"/>
    <n v="475"/>
    <n v="4.6705998033431664"/>
  </r>
  <r>
    <n v="408145"/>
    <x v="172"/>
    <x v="10"/>
    <s v="BEIRA MINHO"/>
    <n v="257130"/>
    <s v="DIESEL"/>
    <x v="0"/>
    <n v="72.86"/>
    <m/>
    <n v="5.19"/>
    <n v="378.14340000000004"/>
    <n v="5.19"/>
    <n v="587"/>
    <n v="8.0565468020861921"/>
  </r>
  <r>
    <n v="91568"/>
    <x v="172"/>
    <x v="24"/>
    <s v="TATITA FERNÃO DIAS"/>
    <n v="92182"/>
    <s v="DIESEL"/>
    <x v="0"/>
    <n v="111.941"/>
    <m/>
    <n v="4.8899999999999997"/>
    <n v="547.39148999999998"/>
    <n v="4.8899999999999997"/>
    <n v="552"/>
    <n v="4.9311690980069853"/>
  </r>
  <r>
    <n v="252882"/>
    <x v="173"/>
    <x v="13"/>
    <s v="POSTO 7 SÃO CARLOS"/>
    <n v="133139"/>
    <s v="DIESEL"/>
    <x v="0"/>
    <n v="27.780999999999999"/>
    <m/>
    <n v="5.01"/>
    <n v="139.18280999999999"/>
    <n v="5.01"/>
    <n v="225"/>
    <n v="8.0990605089809584"/>
  </r>
  <r>
    <n v="708647"/>
    <x v="173"/>
    <x v="13"/>
    <s v="AUTO POSTO RVM MAX"/>
    <n v="133458"/>
    <s v="DIESEL"/>
    <x v="0"/>
    <n v="48.05"/>
    <m/>
    <n v="4.99"/>
    <n v="239.76949999999999"/>
    <n v="4.99"/>
    <n v="319"/>
    <n v="6.6389177939646205"/>
  </r>
  <r>
    <n v="5946"/>
    <x v="173"/>
    <x v="28"/>
    <s v="REDETUKAS"/>
    <n v="62056"/>
    <s v="DIESEL"/>
    <x v="0"/>
    <n v="64"/>
    <m/>
    <n v="4.45"/>
    <n v="284.8"/>
    <n v="4.45"/>
    <n v="510"/>
    <n v="7.96875"/>
  </r>
  <r>
    <n v="408803"/>
    <x v="173"/>
    <x v="0"/>
    <s v="BEIRA MINHO"/>
    <n v="401167"/>
    <s v="DIESEL"/>
    <x v="0"/>
    <n v="34.85"/>
    <m/>
    <n v="5.19"/>
    <n v="180.87150000000003"/>
    <n v="5.19"/>
    <n v="262"/>
    <n v="7.5179340028694401"/>
  </r>
  <r>
    <n v="288260"/>
    <x v="173"/>
    <x v="6"/>
    <s v="DOM PEDRO ITAPEVA"/>
    <n v="630491"/>
    <s v="DIESEL"/>
    <x v="0"/>
    <n v="140.57"/>
    <m/>
    <n v="4.79"/>
    <n v="673.33029999999997"/>
    <n v="4.79"/>
    <n v="660"/>
    <n v="4.6951696663583986"/>
  </r>
  <r>
    <n v="214489"/>
    <x v="173"/>
    <x v="27"/>
    <s v="DOM PEDRO ATIBAIA"/>
    <n v="127324"/>
    <s v="DIESEL"/>
    <x v="0"/>
    <n v="224.43100000000001"/>
    <m/>
    <n v="4.79"/>
    <n v="1075.02449"/>
    <n v="4.79"/>
    <n v="1076"/>
    <n v="4.7943465920483357"/>
  </r>
  <r>
    <n v="588237"/>
    <x v="173"/>
    <x v="17"/>
    <s v="POSTO ITASUL"/>
    <n v="211585"/>
    <s v="DIESEL"/>
    <x v="0"/>
    <n v="583.48099999999999"/>
    <m/>
    <n v="4.79"/>
    <n v="2794.87399"/>
    <n v="4.79"/>
    <n v="1460"/>
    <n v="2.5022237227947439"/>
  </r>
  <r>
    <n v="5946"/>
    <x v="173"/>
    <x v="11"/>
    <s v="REDETUKAS"/>
    <n v="665209"/>
    <s v="DIESEL"/>
    <x v="0"/>
    <n v="120"/>
    <m/>
    <n v="4.45"/>
    <n v="534"/>
    <n v="4.45"/>
    <n v="511"/>
    <n v="4.2583333333333337"/>
  </r>
  <r>
    <n v="835513"/>
    <x v="173"/>
    <x v="9"/>
    <s v="RODOPOSTO MARIPORÃ"/>
    <n v="371211"/>
    <s v="DIESEL"/>
    <x v="0"/>
    <n v="76.241"/>
    <m/>
    <n v="4.74"/>
    <n v="361.38234"/>
    <n v="4.74"/>
    <n v="441"/>
    <n v="5.7842892931624714"/>
  </r>
  <r>
    <n v="5946"/>
    <x v="173"/>
    <x v="2"/>
    <s v="REDETUKAS"/>
    <n v="896396"/>
    <s v="DIESEL"/>
    <x v="0"/>
    <n v="371"/>
    <m/>
    <n v="4.45"/>
    <n v="1650.95"/>
    <n v="4.45"/>
    <n v="1016"/>
    <n v="2.7385444743935312"/>
  </r>
  <r>
    <n v="5946"/>
    <x v="173"/>
    <x v="14"/>
    <s v="REDETUKAS"/>
    <n v="110325"/>
    <s v="DIESEL"/>
    <x v="0"/>
    <n v="607"/>
    <m/>
    <n v="4.45"/>
    <n v="2701.15"/>
    <n v="4.45"/>
    <n v="1715"/>
    <n v="2.8253706754530477"/>
  </r>
  <r>
    <s v="Ajuste M."/>
    <x v="173"/>
    <x v="24"/>
    <m/>
    <n v="92337"/>
    <m/>
    <x v="0"/>
    <n v="26.5"/>
    <m/>
    <m/>
    <n v="0"/>
    <n v="0"/>
    <n v="155"/>
    <n v="5.8490566037735849"/>
  </r>
  <r>
    <n v="546546"/>
    <x v="174"/>
    <x v="31"/>
    <s v="COMBO AUTO POSTO"/>
    <n v="319086"/>
    <s v="DIESEL"/>
    <x v="0"/>
    <n v="97.081000000000003"/>
    <m/>
    <n v="5.32"/>
    <n v="516.47092000000009"/>
    <n v="5.3200000000000012"/>
    <n v="5672"/>
    <n v="58.425438551312823"/>
  </r>
  <r>
    <n v="409421"/>
    <x v="174"/>
    <x v="25"/>
    <s v="BEIRA MINHO"/>
    <n v="395614"/>
    <s v="DIESEL"/>
    <x v="0"/>
    <n v="91.91"/>
    <m/>
    <n v="5.19"/>
    <n v="477.0129"/>
    <n v="5.19"/>
    <n v="561"/>
    <n v="6.1037971929061037"/>
  </r>
  <r>
    <n v="5946"/>
    <x v="174"/>
    <x v="24"/>
    <s v="REDETUKAS"/>
    <n v="92669"/>
    <s v="DIESEL"/>
    <x v="0"/>
    <n v="51"/>
    <m/>
    <n v="4.45"/>
    <n v="226.95000000000002"/>
    <n v="4.45"/>
    <n v="332"/>
    <n v="6.5098039215686274"/>
  </r>
  <r>
    <n v="5946"/>
    <x v="174"/>
    <x v="29"/>
    <s v="REDETUKAS"/>
    <n v="314390"/>
    <s v="DIESEL"/>
    <x v="0"/>
    <n v="98"/>
    <m/>
    <n v="4.45"/>
    <n v="436.1"/>
    <n v="4.45"/>
    <n v="389"/>
    <n v="3.9693877551020407"/>
  </r>
  <r>
    <n v="5946"/>
    <x v="174"/>
    <x v="22"/>
    <s v="REDETUKAS"/>
    <n v="146381"/>
    <s v="DIESEL"/>
    <x v="0"/>
    <n v="125"/>
    <m/>
    <n v="4.45"/>
    <n v="556.25"/>
    <n v="4.45"/>
    <n v="401"/>
    <n v="3.2080000000000002"/>
  </r>
  <r>
    <n v="288468"/>
    <x v="174"/>
    <x v="5"/>
    <s v="DOM PEDRO ITAPEVA"/>
    <n v="610495"/>
    <s v="DIESEL"/>
    <x v="0"/>
    <n v="131.75"/>
    <m/>
    <n v="4.79"/>
    <n v="631.08249999999998"/>
    <n v="4.79"/>
    <n v="574"/>
    <n v="4.3567362428842502"/>
  </r>
  <r>
    <n v="409410"/>
    <x v="174"/>
    <x v="12"/>
    <s v="BEIRA MINHO"/>
    <n v="233167"/>
    <s v="DIESEL"/>
    <x v="0"/>
    <n v="128.02000000000001"/>
    <m/>
    <n v="5.19"/>
    <n v="664.42380000000014"/>
    <n v="5.19"/>
    <n v="534"/>
    <n v="4.171223246367755"/>
  </r>
  <r>
    <n v="5946"/>
    <x v="174"/>
    <x v="18"/>
    <s v="REDETUKAS"/>
    <n v="670114"/>
    <s v="DIESEL"/>
    <x v="0"/>
    <n v="174"/>
    <m/>
    <n v="4.45"/>
    <n v="774.30000000000007"/>
    <n v="4.45"/>
    <n v="669"/>
    <n v="3.8448275862068964"/>
  </r>
  <r>
    <n v="691736"/>
    <x v="174"/>
    <x v="6"/>
    <s v="GAVIÃO DA ANHANGUERA"/>
    <n v="630934"/>
    <s v="DIESEL"/>
    <x v="0"/>
    <n v="102.874"/>
    <m/>
    <n v="5.05"/>
    <n v="519.51369999999997"/>
    <n v="5.05"/>
    <n v="443"/>
    <n v="4.3062386997686488"/>
  </r>
  <r>
    <n v="5946"/>
    <x v="174"/>
    <x v="10"/>
    <s v="REDETUKAS"/>
    <n v="257404"/>
    <s v="DIESEL"/>
    <x v="0"/>
    <n v="33"/>
    <m/>
    <n v="4.45"/>
    <n v="146.85"/>
    <n v="4.45"/>
    <n v="274"/>
    <n v="8.3030303030303028"/>
  </r>
  <r>
    <s v="Ajuste M."/>
    <x v="174"/>
    <x v="16"/>
    <m/>
    <n v="357675"/>
    <m/>
    <x v="0"/>
    <n v="92.3"/>
    <m/>
    <m/>
    <n v="0"/>
    <n v="0"/>
    <n v="312"/>
    <n v="3.380281690140845"/>
  </r>
  <r>
    <n v="5946"/>
    <x v="175"/>
    <x v="16"/>
    <s v="REDETUKAS"/>
    <n v="357995"/>
    <s v="DIESEL"/>
    <x v="0"/>
    <n v="74"/>
    <m/>
    <n v="4.45"/>
    <n v="329.3"/>
    <n v="4.45"/>
    <n v="320"/>
    <n v="4.3243243243243246"/>
  </r>
  <r>
    <n v="5946"/>
    <x v="175"/>
    <x v="13"/>
    <s v="REDETUKAS"/>
    <n v="133653"/>
    <s v="DIESEL"/>
    <x v="0"/>
    <n v="31"/>
    <m/>
    <n v="4.45"/>
    <n v="137.95000000000002"/>
    <n v="4.45"/>
    <n v="195"/>
    <n v="6.290322580645161"/>
  </r>
  <r>
    <n v="5946"/>
    <x v="175"/>
    <x v="33"/>
    <s v="REDETUKAS"/>
    <n v="81534"/>
    <s v="DIESEL"/>
    <x v="0"/>
    <n v="151"/>
    <m/>
    <n v="4.45"/>
    <n v="671.95"/>
    <n v="4.45"/>
    <n v="527"/>
    <n v="3.4900662251655628"/>
  </r>
  <r>
    <n v="5946"/>
    <x v="175"/>
    <x v="0"/>
    <s v="REDETUKAS"/>
    <n v="401422"/>
    <s v="DIESEL"/>
    <x v="0"/>
    <n v="38"/>
    <m/>
    <n v="4.45"/>
    <n v="169.1"/>
    <n v="4.45"/>
    <n v="255"/>
    <n v="6.7105263157894735"/>
  </r>
  <r>
    <n v="5946"/>
    <x v="175"/>
    <x v="13"/>
    <s v="REDETUKAS"/>
    <n v="133817"/>
    <s v="DIESEL"/>
    <x v="0"/>
    <n v="20"/>
    <m/>
    <n v="4.45"/>
    <n v="89"/>
    <n v="4.45"/>
    <n v="164"/>
    <n v="8.1999999999999993"/>
  </r>
  <r>
    <n v="288839"/>
    <x v="175"/>
    <x v="5"/>
    <s v="DOM PEDRO ITAPEVA"/>
    <n v="610947"/>
    <s v="DIESEL"/>
    <x v="0"/>
    <n v="116"/>
    <m/>
    <n v="4.79"/>
    <n v="555.64"/>
    <n v="4.79"/>
    <n v="452"/>
    <n v="3.896551724137931"/>
  </r>
  <r>
    <n v="5946"/>
    <x v="175"/>
    <x v="24"/>
    <s v="REDETUKAS"/>
    <n v="93112"/>
    <s v="DIESEL"/>
    <x v="0"/>
    <n v="70"/>
    <m/>
    <n v="4.45"/>
    <n v="311.5"/>
    <n v="4.45"/>
    <n v="443"/>
    <n v="6.3285714285714283"/>
  </r>
  <r>
    <n v="5946"/>
    <x v="175"/>
    <x v="2"/>
    <s v="REDETUKAS"/>
    <n v="897194"/>
    <s v="DIESEL"/>
    <x v="0"/>
    <n v="370"/>
    <m/>
    <n v="4.45"/>
    <n v="1646.5"/>
    <n v="4.45"/>
    <n v="798"/>
    <n v="2.1567567567567569"/>
  </r>
  <r>
    <s v="Ajuste M."/>
    <x v="175"/>
    <x v="28"/>
    <m/>
    <n v="62766"/>
    <m/>
    <x v="0"/>
    <n v="84.63"/>
    <m/>
    <m/>
    <n v="0"/>
    <n v="0"/>
    <n v="710"/>
    <n v="8.3894600023632293"/>
  </r>
  <r>
    <n v="5946"/>
    <x v="176"/>
    <x v="13"/>
    <s v="REDETUKAS"/>
    <n v="134127"/>
    <s v="DIESEL"/>
    <x v="0"/>
    <n v="40"/>
    <m/>
    <n v="4.45"/>
    <n v="178"/>
    <n v="4.45"/>
    <n v="310"/>
    <n v="7.75"/>
  </r>
  <r>
    <n v="5946"/>
    <x v="176"/>
    <x v="28"/>
    <s v="REDETUKAS"/>
    <n v="62902"/>
    <s v="DIESEL"/>
    <x v="0"/>
    <n v="17"/>
    <m/>
    <n v="4.45"/>
    <n v="75.650000000000006"/>
    <n v="4.45"/>
    <n v="136"/>
    <n v="8"/>
  </r>
  <r>
    <n v="5946"/>
    <x v="176"/>
    <x v="34"/>
    <s v="REDETUKAS"/>
    <n v="485543"/>
    <s v="DIESEL"/>
    <x v="0"/>
    <n v="310"/>
    <m/>
    <n v="4.45"/>
    <n v="1379.5"/>
    <n v="4.45"/>
    <n v="856"/>
    <n v="2.7612903225806451"/>
  </r>
  <r>
    <n v="5946"/>
    <x v="176"/>
    <x v="29"/>
    <s v="REDETUKAS"/>
    <n v="315129"/>
    <s v="DIESEL"/>
    <x v="0"/>
    <n v="170"/>
    <m/>
    <n v="4.45"/>
    <n v="756.5"/>
    <n v="4.45"/>
    <n v="739"/>
    <n v="4.3470588235294114"/>
  </r>
  <r>
    <n v="5946"/>
    <x v="176"/>
    <x v="0"/>
    <s v="REDETUKAS"/>
    <n v="401687"/>
    <s v="DIESEL"/>
    <x v="0"/>
    <n v="50"/>
    <m/>
    <n v="4.45"/>
    <n v="222.5"/>
    <n v="4.45"/>
    <n v="265"/>
    <n v="5.3"/>
  </r>
  <r>
    <n v="411296"/>
    <x v="176"/>
    <x v="12"/>
    <s v="BEIRA MINHO"/>
    <n v="233760"/>
    <s v="DIESEL"/>
    <x v="0"/>
    <n v="133.78"/>
    <m/>
    <n v="5.19"/>
    <n v="694.31820000000005"/>
    <n v="5.19"/>
    <n v="593"/>
    <n v="4.4326506204215876"/>
  </r>
  <r>
    <n v="5946"/>
    <x v="176"/>
    <x v="11"/>
    <s v="REDETUKAS"/>
    <n v="665674"/>
    <s v="DIESEL"/>
    <x v="0"/>
    <n v="118"/>
    <m/>
    <n v="4.45"/>
    <n v="525.1"/>
    <n v="4.45"/>
    <n v="465"/>
    <n v="3.9406779661016951"/>
  </r>
  <r>
    <s v="Ajuste M."/>
    <x v="177"/>
    <x v="18"/>
    <m/>
    <n v="670686"/>
    <m/>
    <x v="0"/>
    <n v="103"/>
    <m/>
    <m/>
    <n v="0"/>
    <n v="0"/>
    <n v="572"/>
    <n v="5.5533980582524274"/>
  </r>
  <r>
    <n v="5946"/>
    <x v="178"/>
    <x v="6"/>
    <s v="REDETUKAS"/>
    <n v="631022"/>
    <s v="DIESEL"/>
    <x v="2"/>
    <n v="80"/>
    <m/>
    <n v="4.45"/>
    <n v="356"/>
    <n v="4.45"/>
    <n v="373618"/>
    <n v="4670.2250000000004"/>
  </r>
  <r>
    <s v="Ajuste M."/>
    <x v="177"/>
    <x v="10"/>
    <m/>
    <n v="258000"/>
    <m/>
    <x v="0"/>
    <n v="79"/>
    <m/>
    <m/>
    <n v="0"/>
    <n v="0"/>
    <n v="596"/>
    <n v="7.5443037974683547"/>
  </r>
  <r>
    <s v="Ajuste M."/>
    <x v="177"/>
    <x v="9"/>
    <m/>
    <n v="372009"/>
    <m/>
    <x v="0"/>
    <n v="122.53"/>
    <m/>
    <m/>
    <n v="0"/>
    <n v="0"/>
    <n v="798"/>
    <n v="6.5126907696074428"/>
  </r>
  <r>
    <n v="853657"/>
    <x v="179"/>
    <x v="6"/>
    <s v="POSTO MOCOCÃO"/>
    <n v="631542"/>
    <s v="DIESEL"/>
    <x v="0"/>
    <n v="141.483"/>
    <m/>
    <n v="4.99"/>
    <n v="706.00017000000003"/>
    <n v="4.99"/>
    <n v="608"/>
    <n v="4.297336075712276"/>
  </r>
  <r>
    <s v="Ajuste M."/>
    <x v="179"/>
    <x v="0"/>
    <m/>
    <n v="401855"/>
    <m/>
    <x v="0"/>
    <n v="25.63"/>
    <m/>
    <m/>
    <n v="0"/>
    <n v="0"/>
    <n v="168"/>
    <n v="6.5548185719859546"/>
  </r>
  <r>
    <n v="191568"/>
    <x v="178"/>
    <x v="24"/>
    <s v="TATITA FERNÃO DIAS"/>
    <n v="93396"/>
    <s v="DIESEL"/>
    <x v="0"/>
    <n v="61.23"/>
    <m/>
    <n v="4.8899999999999997"/>
    <n v="299.41469999999998"/>
    <n v="4.8899999999999997"/>
    <n v="284"/>
    <n v="4.6382492242364854"/>
  </r>
  <r>
    <n v="5946"/>
    <x v="178"/>
    <x v="24"/>
    <s v="REDETUKAS"/>
    <n v="93738"/>
    <s v="DIESEL"/>
    <x v="0"/>
    <n v="87.5"/>
    <m/>
    <n v="4.45"/>
    <n v="389.375"/>
    <n v="4.45"/>
    <n v="342"/>
    <n v="3.9085714285714284"/>
  </r>
  <r>
    <n v="142283"/>
    <x v="178"/>
    <x v="13"/>
    <s v="RODOPOSTO MIRANTE"/>
    <n v="134369"/>
    <s v="DIESEL"/>
    <x v="0"/>
    <n v="25.460999999999999"/>
    <n v="23.42"/>
    <n v="5.71"/>
    <n v="121.96230999999999"/>
    <n v="4.7901618161109143"/>
    <n v="242"/>
    <n v="9.5047327284867063"/>
  </r>
  <r>
    <n v="6114"/>
    <x v="178"/>
    <x v="26"/>
    <s v="REDETUKAS"/>
    <n v="718738"/>
    <s v="DIESEL"/>
    <x v="0"/>
    <n v="30"/>
    <m/>
    <n v="4.45"/>
    <n v="133.5"/>
    <n v="4.45"/>
    <n v="877"/>
    <n v="29.233333333333334"/>
  </r>
  <r>
    <n v="5946"/>
    <x v="178"/>
    <x v="8"/>
    <s v="REDETUKAS"/>
    <n v="947236"/>
    <s v="DIESEL"/>
    <x v="0"/>
    <n v="590"/>
    <m/>
    <n v="4.45"/>
    <n v="2625.5"/>
    <n v="4.45"/>
    <n v="1742"/>
    <n v="2.9525423728813558"/>
  </r>
  <r>
    <n v="5946"/>
    <x v="178"/>
    <x v="1"/>
    <s v="REDETUKAS"/>
    <n v="329741"/>
    <s v="DIESEL"/>
    <x v="0"/>
    <n v="137"/>
    <m/>
    <n v="4.45"/>
    <n v="609.65"/>
    <n v="4.45"/>
    <n v="509"/>
    <n v="3.7153284671532845"/>
  </r>
  <r>
    <n v="5946"/>
    <x v="178"/>
    <x v="17"/>
    <s v="REDETUKAS"/>
    <n v="213034"/>
    <s v="DIESEL"/>
    <x v="0"/>
    <n v="500"/>
    <m/>
    <n v="4.45"/>
    <n v="2225"/>
    <n v="4.45"/>
    <n v="1449"/>
    <n v="2.8980000000000001"/>
  </r>
  <r>
    <n v="120729"/>
    <x v="178"/>
    <x v="0"/>
    <s v="ULTRAMARINO"/>
    <n v="402034"/>
    <s v="DIESEL"/>
    <x v="0"/>
    <n v="27.670999999999999"/>
    <n v="2.77"/>
    <n v="4.88"/>
    <n v="132.26447999999999"/>
    <n v="4.7798951971377974"/>
    <n v="179"/>
    <n v="6.4688663221423148"/>
  </r>
  <r>
    <n v="413426"/>
    <x v="178"/>
    <x v="35"/>
    <s v="BEIRA MINHO"/>
    <n v="367349"/>
    <s v="DIESEL"/>
    <x v="0"/>
    <n v="95.65"/>
    <m/>
    <n v="5.19"/>
    <n v="496.42350000000005"/>
    <n v="5.19"/>
    <n v="588"/>
    <n v="6.1474124411918449"/>
  </r>
  <r>
    <n v="413429"/>
    <x v="178"/>
    <x v="5"/>
    <s v="BEIRA MINHO"/>
    <n v="611560"/>
    <s v="DIESEL"/>
    <x v="0"/>
    <n v="150"/>
    <m/>
    <n v="5.19"/>
    <n v="778.50000000000011"/>
    <n v="5.19"/>
    <n v="613"/>
    <n v="4.0866666666666669"/>
  </r>
  <r>
    <n v="413158"/>
    <x v="178"/>
    <x v="30"/>
    <s v="BEIRA MINHO"/>
    <n v="315472"/>
    <s v="DIESEL"/>
    <x v="0"/>
    <n v="109.34"/>
    <m/>
    <n v="5.19"/>
    <n v="567.47460000000001"/>
    <n v="5.1899999999999995"/>
    <n v="600"/>
    <n v="5.4874702762026706"/>
  </r>
  <r>
    <n v="547865"/>
    <x v="178"/>
    <x v="15"/>
    <s v="COMBO AUTO POSTO"/>
    <n v="299400"/>
    <s v="DIESEL"/>
    <x v="0"/>
    <n v="91.930999999999997"/>
    <m/>
    <n v="5.32"/>
    <n v="489.07292000000001"/>
    <n v="5.32"/>
    <n v="506"/>
    <n v="5.504128096072054"/>
  </r>
  <r>
    <n v="6114"/>
    <x v="178"/>
    <x v="27"/>
    <s v="REDETUKAS"/>
    <n v="128035"/>
    <s v="DIESEL"/>
    <x v="0"/>
    <n v="170"/>
    <m/>
    <n v="4.45"/>
    <n v="756.5"/>
    <n v="4.45"/>
    <n v="711"/>
    <n v="4.1823529411764708"/>
  </r>
  <r>
    <s v="Ajuste M."/>
    <x v="178"/>
    <x v="20"/>
    <m/>
    <n v="670846"/>
    <m/>
    <x v="0"/>
    <n v="106"/>
    <m/>
    <m/>
    <n v="0"/>
    <n v="0"/>
    <n v="542811"/>
    <n v="5120.8584905660373"/>
  </r>
  <r>
    <n v="413853"/>
    <x v="180"/>
    <x v="12"/>
    <s v="BEIRA MINHO"/>
    <n v="234269"/>
    <s v="DIESEL"/>
    <x v="0"/>
    <n v="157.71"/>
    <m/>
    <n v="5.19"/>
    <n v="818.51490000000013"/>
    <n v="5.19"/>
    <n v="509"/>
    <n v="3.2274427747130807"/>
  </r>
  <r>
    <n v="6114"/>
    <x v="180"/>
    <x v="18"/>
    <s v="REDETUKAS"/>
    <n v="671232"/>
    <s v="DIESEL"/>
    <x v="0"/>
    <n v="100"/>
    <m/>
    <n v="4.45"/>
    <n v="445"/>
    <n v="4.45"/>
    <n v="546"/>
    <n v="5.46"/>
  </r>
  <r>
    <n v="193371"/>
    <x v="180"/>
    <x v="10"/>
    <s v="TATITA FERNÃO DIAS"/>
    <n v="258638"/>
    <s v="DIESEL"/>
    <x v="0"/>
    <n v="76"/>
    <m/>
    <n v="4.79"/>
    <n v="364.04"/>
    <n v="4.79"/>
    <n v="638"/>
    <n v="8.3947368421052637"/>
  </r>
  <r>
    <n v="6114"/>
    <x v="180"/>
    <x v="9"/>
    <s v="REDETUKAS"/>
    <n v="372803"/>
    <s v="DIESEL"/>
    <x v="0"/>
    <n v="120"/>
    <m/>
    <n v="4.45"/>
    <n v="534"/>
    <n v="4.45"/>
    <n v="794"/>
    <n v="6.6166666666666663"/>
  </r>
  <r>
    <n v="6114"/>
    <x v="180"/>
    <x v="0"/>
    <s v="REDETUKAS"/>
    <n v="402447"/>
    <s v="DIESEL"/>
    <x v="0"/>
    <n v="50"/>
    <m/>
    <n v="4.45"/>
    <n v="222.5"/>
    <n v="4.45"/>
    <n v="413"/>
    <n v="8.26"/>
  </r>
  <r>
    <n v="414236"/>
    <x v="180"/>
    <x v="0"/>
    <s v="BEIRA MINHO"/>
    <n v="402834"/>
    <s v="DIESEL"/>
    <x v="0"/>
    <n v="45.82"/>
    <m/>
    <n v="5.19"/>
    <n v="237.80580000000003"/>
    <n v="5.19"/>
    <n v="387"/>
    <n v="8.4460934089917075"/>
  </r>
  <r>
    <n v="1828"/>
    <x v="180"/>
    <x v="6"/>
    <s v="AUTO POSTO CLARISTELA"/>
    <n v="631879"/>
    <s v="DIESEL"/>
    <x v="0"/>
    <n v="121.55"/>
    <m/>
    <n v="4.9800000000000004"/>
    <n v="605.31900000000007"/>
    <n v="4.9800000000000004"/>
    <n v="337"/>
    <n v="2.7725215960510079"/>
  </r>
  <r>
    <n v="6114"/>
    <x v="180"/>
    <x v="28"/>
    <s v="REDETUKAS"/>
    <n v="63573"/>
    <s v="DIESEL"/>
    <x v="0"/>
    <n v="80"/>
    <m/>
    <n v="4.45"/>
    <n v="356"/>
    <n v="4.45"/>
    <n v="671"/>
    <n v="8.3874999999999993"/>
  </r>
  <r>
    <n v="6114"/>
    <x v="180"/>
    <x v="2"/>
    <s v="REDETUKAS"/>
    <n v="897977"/>
    <s v="DIESEL"/>
    <x v="0"/>
    <n v="340"/>
    <m/>
    <n v="4.45"/>
    <n v="1513"/>
    <n v="4.45"/>
    <n v="783"/>
    <n v="2.302941176470588"/>
  </r>
  <r>
    <n v="6114"/>
    <x v="181"/>
    <x v="22"/>
    <s v="REDETUKAS"/>
    <n v="147175"/>
    <s v="DIESEL"/>
    <x v="0"/>
    <n v="190"/>
    <m/>
    <n v="4.45"/>
    <n v="845.5"/>
    <n v="4.45"/>
    <n v="794"/>
    <n v="4.1789473684210527"/>
  </r>
  <r>
    <n v="6148"/>
    <x v="181"/>
    <x v="6"/>
    <s v="REDETUKAS"/>
    <n v="632113"/>
    <s v="DIESEL"/>
    <x v="0"/>
    <n v="48"/>
    <m/>
    <n v="4.45"/>
    <n v="213.60000000000002"/>
    <n v="4.45"/>
    <n v="234"/>
    <n v="4.875"/>
  </r>
  <r>
    <n v="6148"/>
    <x v="181"/>
    <x v="11"/>
    <s v="REDETUKAS"/>
    <n v="666593"/>
    <s v="DIESEL"/>
    <x v="0"/>
    <n v="203"/>
    <m/>
    <n v="4.45"/>
    <n v="903.35"/>
    <n v="4.45"/>
    <n v="919"/>
    <n v="4.527093596059113"/>
  </r>
  <r>
    <n v="6114"/>
    <x v="181"/>
    <x v="34"/>
    <s v="REDETUKAS"/>
    <n v="486293"/>
    <s v="DIESEL"/>
    <x v="0"/>
    <n v="288"/>
    <m/>
    <n v="4.45"/>
    <n v="1281.6000000000001"/>
    <n v="4.45"/>
    <n v="750"/>
    <n v="2.6041666666666665"/>
  </r>
  <r>
    <n v="6114"/>
    <x v="181"/>
    <x v="29"/>
    <s v="REDETUKAS"/>
    <n v="315642"/>
    <s v="DIESEL"/>
    <x v="0"/>
    <n v="85"/>
    <m/>
    <n v="4.45"/>
    <n v="378.25"/>
    <n v="4.45"/>
    <n v="513"/>
    <n v="6.0352941176470587"/>
  </r>
  <r>
    <n v="6148"/>
    <x v="181"/>
    <x v="33"/>
    <s v="REDETUKAS"/>
    <n v="82245"/>
    <s v="DIESEL"/>
    <x v="0"/>
    <n v="216"/>
    <m/>
    <n v="4.45"/>
    <n v="961.2"/>
    <n v="4.45"/>
    <n v="711"/>
    <n v="3.2916666666666665"/>
  </r>
  <r>
    <n v="6148"/>
    <x v="181"/>
    <x v="0"/>
    <s v="REDETUKAS"/>
    <n v="403007"/>
    <s v="DIESEL"/>
    <x v="0"/>
    <n v="24"/>
    <m/>
    <n v="4.45"/>
    <n v="106.80000000000001"/>
    <n v="4.45"/>
    <n v="173"/>
    <n v="7.208333333333333"/>
  </r>
  <r>
    <n v="6148"/>
    <x v="181"/>
    <x v="27"/>
    <s v="REDETUKAS"/>
    <n v="128388"/>
    <s v="DIESEL"/>
    <x v="0"/>
    <n v="90"/>
    <m/>
    <n v="4.45"/>
    <n v="400.5"/>
    <n v="4.45"/>
    <n v="353"/>
    <n v="3.9222222222222221"/>
  </r>
  <r>
    <n v="6148"/>
    <x v="181"/>
    <x v="17"/>
    <s v="REDETUKAS"/>
    <n v="213979"/>
    <s v="DIESEL"/>
    <x v="0"/>
    <n v="465"/>
    <m/>
    <n v="4.45"/>
    <n v="2069.25"/>
    <n v="4.45"/>
    <n v="945"/>
    <n v="2.032258064516129"/>
  </r>
  <r>
    <n v="2198"/>
    <x v="181"/>
    <x v="5"/>
    <s v="DOM PEDRO BRAGANÇA "/>
    <n v="612112"/>
    <s v="DIESEL"/>
    <x v="0"/>
    <n v="142.01"/>
    <m/>
    <n v="4.74"/>
    <n v="673.12739999999997"/>
    <n v="4.74"/>
    <n v="552"/>
    <n v="3.8870502077318503"/>
  </r>
  <r>
    <n v="548221"/>
    <x v="181"/>
    <x v="31"/>
    <s v="COMBO AUTO POSTO"/>
    <n v="320073"/>
    <s v="DIESEL"/>
    <x v="0"/>
    <n v="61.42"/>
    <m/>
    <n v="5.32"/>
    <n v="326.75440000000003"/>
    <n v="5.32"/>
    <n v="987"/>
    <n v="16.069684141973298"/>
  </r>
  <r>
    <n v="6114"/>
    <x v="181"/>
    <x v="10"/>
    <s v="REDETUKAS"/>
    <n v="259183"/>
    <s v="DIESEL"/>
    <x v="0"/>
    <n v="73"/>
    <m/>
    <n v="4.45"/>
    <n v="324.85000000000002"/>
    <n v="4.45"/>
    <n v="545"/>
    <n v="7.4657534246575343"/>
  </r>
  <r>
    <n v="370907"/>
    <x v="181"/>
    <x v="2"/>
    <s v="GRAAL ALEMÃO"/>
    <n v="898699"/>
    <s v="DIESEL"/>
    <x v="0"/>
    <n v="321.00799999999998"/>
    <n v="333.84"/>
    <n v="5.71"/>
    <n v="1499.1156799999999"/>
    <n v="4.6700259183571751"/>
    <n v="722"/>
    <n v="2.2491651298410011"/>
  </r>
  <r>
    <n v="6148"/>
    <x v="181"/>
    <x v="14"/>
    <s v="REDETUKAS"/>
    <n v="111903"/>
    <s v="DIESEL"/>
    <x v="0"/>
    <n v="540"/>
    <m/>
    <n v="4.45"/>
    <n v="2403"/>
    <n v="4.45"/>
    <n v="1578"/>
    <n v="2.9222222222222221"/>
  </r>
  <r>
    <s v="Ajuste M."/>
    <x v="181"/>
    <x v="16"/>
    <m/>
    <n v="359001"/>
    <m/>
    <x v="0"/>
    <n v="265"/>
    <m/>
    <m/>
    <n v="0"/>
    <n v="0"/>
    <n v="1006"/>
    <n v="3.7962264150943397"/>
  </r>
  <r>
    <n v="415382"/>
    <x v="182"/>
    <x v="13"/>
    <s v="BEIRA MINHO"/>
    <n v="134612"/>
    <s v="DIESEL"/>
    <x v="0"/>
    <n v="28.84"/>
    <m/>
    <n v="5.19"/>
    <n v="149.67960000000002"/>
    <n v="5.19"/>
    <n v="243"/>
    <n v="8.4257975034674057"/>
  </r>
  <r>
    <n v="415742"/>
    <x v="182"/>
    <x v="13"/>
    <s v="BEIRA MINHO"/>
    <n v="134701"/>
    <s v="DIESEL"/>
    <x v="0"/>
    <n v="13.33"/>
    <m/>
    <n v="5.19"/>
    <n v="69.182700000000011"/>
    <n v="5.19"/>
    <n v="89"/>
    <n v="6.6766691672918226"/>
  </r>
  <r>
    <n v="6148"/>
    <x v="182"/>
    <x v="28"/>
    <s v="REDETUKAS"/>
    <n v="64060"/>
    <s v="DIESEL"/>
    <x v="0"/>
    <n v="58"/>
    <m/>
    <n v="4.42"/>
    <n v="256.36"/>
    <n v="4.42"/>
    <n v="487"/>
    <n v="8.3965517241379306"/>
  </r>
  <r>
    <n v="6148"/>
    <x v="182"/>
    <x v="0"/>
    <s v="REDETUKAS"/>
    <n v="403137"/>
    <s v="DIESEL"/>
    <x v="0"/>
    <n v="19"/>
    <m/>
    <n v="4.42"/>
    <n v="83.98"/>
    <n v="4.42"/>
    <n v="130"/>
    <n v="6.8421052631578947"/>
  </r>
  <r>
    <n v="254151"/>
    <x v="183"/>
    <x v="28"/>
    <s v="DOM PEDRO DE LEME"/>
    <n v="64655"/>
    <s v="DIESEL"/>
    <x v="0"/>
    <n v="87.875"/>
    <m/>
    <n v="4.6900000000000004"/>
    <n v="412.13375000000002"/>
    <n v="4.6900000000000004"/>
    <n v="595"/>
    <n v="6.7709815078236133"/>
  </r>
  <r>
    <n v="220679"/>
    <x v="183"/>
    <x v="5"/>
    <s v="DOM PEDRO ATIBAIA"/>
    <n v="612675"/>
    <s v="DIESEL"/>
    <x v="0"/>
    <n v="143"/>
    <m/>
    <n v="4.79"/>
    <n v="684.97"/>
    <n v="4.79"/>
    <n v="563"/>
    <n v="3.9370629370629371"/>
  </r>
  <r>
    <n v="416441"/>
    <x v="183"/>
    <x v="12"/>
    <s v="BEIRA MINHO"/>
    <n v="234942"/>
    <s v="DIESEL"/>
    <x v="0"/>
    <n v="106.52"/>
    <m/>
    <n v="5.19"/>
    <n v="552.83879999999999"/>
    <n v="5.19"/>
    <n v="673"/>
    <n v="6.3180623357116037"/>
  </r>
  <r>
    <n v="6148"/>
    <x v="183"/>
    <x v="1"/>
    <s v="REDETUKAS"/>
    <n v="330224"/>
    <s v="DIESEL"/>
    <x v="0"/>
    <n v="126"/>
    <m/>
    <n v="4.42"/>
    <n v="556.91999999999996"/>
    <n v="4.42"/>
    <n v="483"/>
    <n v="3.8333333333333335"/>
  </r>
  <r>
    <n v="6148"/>
    <x v="183"/>
    <x v="13"/>
    <s v="REDETUKAS"/>
    <n v="134859"/>
    <s v="DIESEL"/>
    <x v="0"/>
    <n v="20"/>
    <m/>
    <n v="4.42"/>
    <n v="88.4"/>
    <n v="4.42"/>
    <n v="158"/>
    <n v="7.9"/>
  </r>
  <r>
    <n v="6148"/>
    <x v="183"/>
    <x v="27"/>
    <s v="REDETUKAS"/>
    <n v="128836"/>
    <s v="DIESEL"/>
    <x v="0"/>
    <n v="113"/>
    <m/>
    <n v="4.42"/>
    <n v="499.46"/>
    <n v="4.42"/>
    <n v="448"/>
    <n v="3.9646017699115044"/>
  </r>
  <r>
    <n v="6148"/>
    <x v="183"/>
    <x v="18"/>
    <s v="REDETUKAS"/>
    <n v="671787"/>
    <s v="DIESEL"/>
    <x v="0"/>
    <n v="144"/>
    <m/>
    <n v="4.42"/>
    <n v="636.48"/>
    <n v="4.42"/>
    <n v="555"/>
    <n v="3.8541666666666665"/>
  </r>
  <r>
    <n v="254018"/>
    <x v="183"/>
    <x v="6"/>
    <s v="DOM PEDRO DE LEME"/>
    <n v="632681"/>
    <s v="DIESEL"/>
    <x v="0"/>
    <n v="142.02199999999999"/>
    <m/>
    <n v="4.75"/>
    <n v="674.60449999999992"/>
    <n v="4.75"/>
    <n v="568"/>
    <n v="3.9993803776879639"/>
  </r>
  <r>
    <n v="6211"/>
    <x v="183"/>
    <x v="9"/>
    <s v="REDETUKAS"/>
    <n v="373402"/>
    <s v="DIESEL"/>
    <x v="0"/>
    <n v="108"/>
    <m/>
    <n v="4.42"/>
    <n v="477.36"/>
    <n v="4.42"/>
    <n v="599"/>
    <n v="5.5462962962962967"/>
  </r>
  <r>
    <n v="6148"/>
    <x v="183"/>
    <x v="2"/>
    <s v="REDETUKAS"/>
    <n v="899432"/>
    <s v="DIESEL"/>
    <x v="0"/>
    <n v="290"/>
    <m/>
    <n v="4.42"/>
    <n v="1281.8"/>
    <n v="4.42"/>
    <n v="733"/>
    <n v="2.5275862068965518"/>
  </r>
  <r>
    <s v="Ajuste M."/>
    <x v="184"/>
    <x v="10"/>
    <m/>
    <n v="259672"/>
    <m/>
    <x v="0"/>
    <n v="65"/>
    <m/>
    <m/>
    <n v="0"/>
    <n v="0"/>
    <n v="489"/>
    <n v="7.523076923076923"/>
  </r>
  <r>
    <s v="Ajuste M."/>
    <x v="184"/>
    <x v="33"/>
    <m/>
    <n v="82697"/>
    <m/>
    <x v="0"/>
    <n v="109"/>
    <m/>
    <m/>
    <n v="0"/>
    <n v="0"/>
    <n v="452"/>
    <n v="4.1467889908256881"/>
  </r>
  <r>
    <s v="Ajuste M."/>
    <x v="184"/>
    <x v="25"/>
    <m/>
    <n v="396201"/>
    <m/>
    <x v="0"/>
    <n v="88"/>
    <m/>
    <m/>
    <n v="0"/>
    <n v="0"/>
    <n v="587"/>
    <n v="6.6704545454545459"/>
  </r>
  <r>
    <s v="Ajuste M."/>
    <x v="185"/>
    <x v="13"/>
    <m/>
    <n v="135046"/>
    <m/>
    <x v="0"/>
    <n v="24"/>
    <m/>
    <m/>
    <n v="0"/>
    <n v="0"/>
    <n v="187"/>
    <n v="7.791666666666667"/>
  </r>
  <r>
    <n v="698532"/>
    <x v="186"/>
    <x v="6"/>
    <s v="GAVIÃO DA ANHANGUERA"/>
    <n v="633352"/>
    <m/>
    <x v="0"/>
    <n v="133.24299999999999"/>
    <m/>
    <n v="4.99"/>
    <n v="664.88256999999999"/>
    <n v="4.99"/>
    <n v="671"/>
    <n v="5.0359118302650048"/>
  </r>
  <r>
    <n v="6211"/>
    <x v="186"/>
    <x v="6"/>
    <s v="REDETUKAS"/>
    <n v="633739"/>
    <s v="DIESEL"/>
    <x v="0"/>
    <n v="102"/>
    <m/>
    <n v="4.42"/>
    <n v="450.84"/>
    <n v="4.42"/>
    <n v="387"/>
    <n v="3.7941176470588234"/>
  </r>
  <r>
    <n v="6211"/>
    <x v="186"/>
    <x v="28"/>
    <s v="REDETUKAS"/>
    <n v="64955"/>
    <s v="DIESEL"/>
    <x v="0"/>
    <n v="37"/>
    <m/>
    <n v="4.42"/>
    <n v="163.54"/>
    <n v="4.42"/>
    <n v="300"/>
    <n v="8.1081081081081088"/>
  </r>
  <r>
    <n v="194818"/>
    <x v="186"/>
    <x v="0"/>
    <s v="TATITA FERNÃO DIAS"/>
    <n v="403504"/>
    <s v="DIESEL"/>
    <x v="0"/>
    <n v="48.970999999999997"/>
    <m/>
    <n v="4.79"/>
    <n v="234.57109"/>
    <n v="4.79"/>
    <n v="367"/>
    <n v="7.4942312797369874"/>
  </r>
  <r>
    <n v="6211"/>
    <x v="186"/>
    <x v="10"/>
    <s v="REDETUKAS"/>
    <n v="260319"/>
    <s v="DIESEL"/>
    <x v="0"/>
    <n v="79"/>
    <m/>
    <n v="4.42"/>
    <n v="349.18"/>
    <n v="4.42"/>
    <n v="647"/>
    <n v="8.1898734177215182"/>
  </r>
  <r>
    <n v="6211"/>
    <x v="186"/>
    <x v="34"/>
    <s v="REDETUKAS"/>
    <n v="487083"/>
    <s v="DIESEL"/>
    <x v="0"/>
    <n v="325"/>
    <m/>
    <n v="4.42"/>
    <n v="1436.5"/>
    <n v="4.42"/>
    <n v="790"/>
    <n v="2.4307692307692306"/>
  </r>
  <r>
    <n v="6211"/>
    <x v="186"/>
    <x v="4"/>
    <s v="REDETUKAS"/>
    <n v="875558"/>
    <s v="DIESEL"/>
    <x v="0"/>
    <n v="64"/>
    <m/>
    <n v="4.42"/>
    <n v="282.88"/>
    <n v="4.42"/>
    <n v="185"/>
    <n v="2.890625"/>
  </r>
  <r>
    <n v="6211"/>
    <x v="186"/>
    <x v="13"/>
    <s v="REDETUKAS"/>
    <n v="135215"/>
    <s v="DIESEL"/>
    <x v="0"/>
    <n v="26"/>
    <m/>
    <n v="4.42"/>
    <n v="114.92"/>
    <n v="4.42"/>
    <n v="169"/>
    <n v="6.5"/>
  </r>
  <r>
    <n v="6211"/>
    <x v="186"/>
    <x v="11"/>
    <s v="REDETUKAS"/>
    <n v="666717"/>
    <s v="DIESEL"/>
    <x v="0"/>
    <n v="34.6"/>
    <m/>
    <n v="4.42"/>
    <n v="152.93200000000002"/>
    <n v="4.42"/>
    <n v="124"/>
    <n v="3.5838150289017339"/>
  </r>
  <r>
    <n v="6211"/>
    <x v="186"/>
    <x v="22"/>
    <s v="REDETUKAS"/>
    <n v="147563"/>
    <s v="DIESEL"/>
    <x v="0"/>
    <n v="103"/>
    <m/>
    <n v="4.42"/>
    <n v="455.26"/>
    <n v="4.42"/>
    <n v="388"/>
    <n v="3.766990291262136"/>
  </r>
  <r>
    <n v="418498"/>
    <x v="186"/>
    <x v="30"/>
    <s v="BEIRA MINHO"/>
    <n v="316018"/>
    <s v="DIESEL"/>
    <x v="0"/>
    <n v="100.32"/>
    <m/>
    <n v="5.19"/>
    <n v="520.66079999999999"/>
    <n v="5.19"/>
    <n v="546"/>
    <n v="5.4425837320574164"/>
  </r>
  <r>
    <n v="418468"/>
    <x v="186"/>
    <x v="35"/>
    <s v="BEIRA MINHO"/>
    <n v="367887"/>
    <s v="DIESEL"/>
    <x v="0"/>
    <n v="80.489999999999995"/>
    <m/>
    <n v="5.19"/>
    <n v="417.74310000000003"/>
    <n v="5.19"/>
    <n v="538"/>
    <n v="6.6840601316933785"/>
  </r>
  <r>
    <n v="6211"/>
    <x v="186"/>
    <x v="0"/>
    <s v="REDETUKAS"/>
    <n v="403834"/>
    <s v="DIESEL"/>
    <x v="0"/>
    <n v="43"/>
    <m/>
    <n v="4.42"/>
    <n v="190.06"/>
    <n v="4.42"/>
    <n v="330"/>
    <n v="7.6744186046511631"/>
  </r>
  <r>
    <s v="Ajuste M."/>
    <x v="186"/>
    <x v="9"/>
    <m/>
    <n v="374129"/>
    <m/>
    <x v="0"/>
    <n v="119"/>
    <m/>
    <m/>
    <n v="0"/>
    <n v="0"/>
    <n v="727"/>
    <n v="6.1092436974789912"/>
  </r>
  <r>
    <n v="6211"/>
    <x v="187"/>
    <x v="16"/>
    <s v="REDETUKAS"/>
    <n v="360007"/>
    <s v="DIESEL"/>
    <x v="0"/>
    <n v="250"/>
    <m/>
    <n v="4.42"/>
    <n v="1105"/>
    <n v="4.42"/>
    <n v="1006"/>
    <n v="4.024"/>
  </r>
  <r>
    <n v="6211"/>
    <x v="187"/>
    <x v="26"/>
    <s v="REDETUKAS"/>
    <n v="718837"/>
    <s v="DIESEL"/>
    <x v="0"/>
    <n v="32"/>
    <m/>
    <n v="4.42"/>
    <n v="141.44"/>
    <n v="4.42"/>
    <n v="99"/>
    <n v="3.09375"/>
  </r>
  <r>
    <n v="6211"/>
    <x v="187"/>
    <x v="18"/>
    <s v="REDETUKAS"/>
    <n v="672209"/>
    <s v="DIESEL"/>
    <x v="0"/>
    <n v="110"/>
    <m/>
    <n v="4.42"/>
    <n v="486.2"/>
    <n v="4.42"/>
    <n v="422"/>
    <n v="3.8363636363636364"/>
  </r>
  <r>
    <n v="6211"/>
    <x v="187"/>
    <x v="33"/>
    <s v="REDETUKAS"/>
    <n v="83231"/>
    <s v="DIESEL"/>
    <x v="0"/>
    <n v="117"/>
    <m/>
    <n v="4.42"/>
    <n v="517.14"/>
    <n v="4.42"/>
    <n v="534"/>
    <n v="4.5641025641025639"/>
  </r>
  <r>
    <n v="6211"/>
    <x v="187"/>
    <x v="27"/>
    <s v="REDETUKAS"/>
    <n v="129394"/>
    <s v="DIESEL"/>
    <x v="0"/>
    <n v="127"/>
    <m/>
    <n v="4.42"/>
    <n v="561.34"/>
    <n v="4.42"/>
    <n v="558"/>
    <n v="4.393700787401575"/>
  </r>
  <r>
    <n v="549952"/>
    <x v="187"/>
    <x v="15"/>
    <s v="COMBO AUTO POSTO"/>
    <n v="299939"/>
    <s v="DIESEL"/>
    <x v="0"/>
    <n v="112.79"/>
    <m/>
    <n v="5.32"/>
    <n v="600.04280000000006"/>
    <n v="5.32"/>
    <n v="539"/>
    <n v="4.7787924461388416"/>
  </r>
  <r>
    <n v="6211"/>
    <x v="187"/>
    <x v="13"/>
    <s v="REDETUKAS"/>
    <n v="135444"/>
    <s v="DIESEL"/>
    <x v="0"/>
    <n v="29"/>
    <m/>
    <n v="4.42"/>
    <n v="128.18"/>
    <n v="4.42"/>
    <n v="229"/>
    <n v="7.8965517241379306"/>
  </r>
  <r>
    <n v="6211"/>
    <x v="187"/>
    <x v="2"/>
    <s v="REDETUKAS"/>
    <n v="900243"/>
    <s v="DIESEL"/>
    <x v="0"/>
    <n v="350"/>
    <m/>
    <n v="4.42"/>
    <n v="1547"/>
    <n v="4.42"/>
    <n v="811"/>
    <n v="2.3171428571428572"/>
  </r>
  <r>
    <s v="Ajuste M."/>
    <x v="187"/>
    <x v="10"/>
    <m/>
    <n v="260369"/>
    <m/>
    <x v="0"/>
    <n v="8"/>
    <m/>
    <m/>
    <n v="0"/>
    <n v="0"/>
    <n v="50"/>
    <n v="6.25"/>
  </r>
  <r>
    <n v="6267"/>
    <x v="188"/>
    <x v="28"/>
    <s v="REDETUKAS"/>
    <n v="65469"/>
    <s v="DIESEL"/>
    <x v="0"/>
    <n v="62"/>
    <m/>
    <n v="4.45"/>
    <n v="275.90000000000003"/>
    <n v="4.45"/>
    <n v="514"/>
    <n v="8.2903225806451619"/>
  </r>
  <r>
    <n v="6211"/>
    <x v="188"/>
    <x v="8"/>
    <s v="REDETUKAS"/>
    <n v="948577"/>
    <s v="DIESEL"/>
    <x v="0"/>
    <n v="451"/>
    <m/>
    <n v="4.42"/>
    <n v="1993.42"/>
    <n v="4.42"/>
    <n v="1341"/>
    <n v="2.9733924611973395"/>
  </r>
  <r>
    <n v="6211"/>
    <x v="188"/>
    <x v="29"/>
    <s v="REDETUKAS"/>
    <n v="316411"/>
    <s v="DIESEL"/>
    <x v="0"/>
    <n v="183"/>
    <m/>
    <n v="4.42"/>
    <n v="808.86"/>
    <n v="4.42"/>
    <n v="769"/>
    <n v="4.2021857923497263"/>
  </r>
  <r>
    <n v="6211"/>
    <x v="188"/>
    <x v="36"/>
    <s v="REDETUKAS"/>
    <n v="1032310"/>
    <s v="DIESEL"/>
    <x v="0"/>
    <n v="406"/>
    <m/>
    <n v="4.42"/>
    <n v="1794.52"/>
    <n v="4.42"/>
    <m/>
    <m/>
  </r>
  <r>
    <n v="6267"/>
    <x v="188"/>
    <x v="24"/>
    <s v="REDETUKAS"/>
    <n v="94252"/>
    <s v="DIESEL"/>
    <x v="0"/>
    <n v="103"/>
    <m/>
    <n v="4.45"/>
    <n v="458.35"/>
    <n v="4.45"/>
    <n v="514"/>
    <n v="4.9902912621359219"/>
  </r>
  <r>
    <n v="223972"/>
    <x v="188"/>
    <x v="13"/>
    <s v="DOM PEDRO ATIBAIA"/>
    <n v="135760"/>
    <s v="DIESEL"/>
    <x v="0"/>
    <n v="35.35"/>
    <m/>
    <n v="4.79"/>
    <n v="169.32650000000001"/>
    <n v="4.79"/>
    <n v="316"/>
    <n v="8.9391796322489387"/>
  </r>
  <r>
    <n v="6267"/>
    <x v="188"/>
    <x v="10"/>
    <s v="REDETUKAS"/>
    <n v="260742"/>
    <s v="DIESEL"/>
    <x v="0"/>
    <n v="42"/>
    <m/>
    <n v="4.45"/>
    <n v="186.9"/>
    <n v="4.45"/>
    <n v="373"/>
    <n v="8.8809523809523814"/>
  </r>
  <r>
    <n v="575230"/>
    <x v="188"/>
    <x v="17"/>
    <s v="POSTO ITASUL"/>
    <n v="215657"/>
    <s v="DIESEL"/>
    <x v="0"/>
    <n v="706.351"/>
    <m/>
    <n v="4.79"/>
    <n v="3383.4212900000002"/>
    <n v="4.79"/>
    <n v="1678"/>
    <n v="2.3755894732222367"/>
  </r>
  <r>
    <n v="857181"/>
    <x v="188"/>
    <x v="30"/>
    <s v="BEIRA MINHO"/>
    <n v="316528"/>
    <s v="DIESEL"/>
    <x v="0"/>
    <n v="75.59"/>
    <m/>
    <n v="5.19"/>
    <n v="392.31210000000004"/>
    <n v="5.19"/>
    <n v="510"/>
    <n v="6.7469241963222641"/>
  </r>
  <r>
    <n v="6267"/>
    <x v="188"/>
    <x v="22"/>
    <s v="REDETUKAS"/>
    <n v="147918"/>
    <s v="DIESEL"/>
    <x v="0"/>
    <n v="80"/>
    <m/>
    <n v="4.45"/>
    <n v="356"/>
    <n v="4.45"/>
    <n v="355"/>
    <n v="4.4375"/>
  </r>
  <r>
    <n v="550071"/>
    <x v="188"/>
    <x v="12"/>
    <s v="COMBO AUTO POSTO"/>
    <n v="235440"/>
    <s v="DIESEL"/>
    <x v="0"/>
    <n v="125.511"/>
    <m/>
    <n v="5.09"/>
    <n v="638.85098999999991"/>
    <n v="5.09"/>
    <n v="498"/>
    <n v="3.9677797165188711"/>
  </r>
  <r>
    <n v="6267"/>
    <x v="188"/>
    <x v="14"/>
    <s v="REDETUKAS"/>
    <n v="112703"/>
    <s v="DIESEL"/>
    <x v="0"/>
    <n v="250"/>
    <m/>
    <n v="4.45"/>
    <n v="1112.5"/>
    <n v="4.45"/>
    <n v="800"/>
    <n v="3.2"/>
  </r>
  <r>
    <s v="Ajuste M."/>
    <x v="188"/>
    <x v="6"/>
    <m/>
    <n v="634359"/>
    <m/>
    <x v="0"/>
    <n v="126.59"/>
    <m/>
    <m/>
    <n v="0"/>
    <n v="0"/>
    <n v="620"/>
    <n v="4.8977012402243458"/>
  </r>
  <r>
    <s v="Ajuste M."/>
    <x v="188"/>
    <x v="11"/>
    <m/>
    <n v="667079"/>
    <m/>
    <x v="0"/>
    <n v="85"/>
    <m/>
    <m/>
    <n v="0"/>
    <n v="0"/>
    <n v="362"/>
    <n v="4.2588235294117647"/>
  </r>
  <r>
    <s v="Ajuste M."/>
    <x v="189"/>
    <x v="26"/>
    <m/>
    <n v="718641"/>
    <m/>
    <x v="0"/>
    <n v="201"/>
    <m/>
    <m/>
    <n v="0"/>
    <n v="0"/>
    <n v="-196"/>
    <n v="-0.97512437810945274"/>
  </r>
  <r>
    <n v="1082274"/>
    <x v="189"/>
    <x v="17"/>
    <s v="TIGRÃO DA DUTRA"/>
    <n v="216111"/>
    <s v="DIESEL"/>
    <x v="0"/>
    <n v="176.00800000000001"/>
    <n v="158.4"/>
    <n v="5.71"/>
    <n v="846.60568000000012"/>
    <n v="4.8100409072314898"/>
    <n v="454"/>
    <n v="2.5794282078087356"/>
  </r>
  <r>
    <n v="827731"/>
    <x v="189"/>
    <x v="9"/>
    <s v="G e G AUTOPOSTO"/>
    <n v="374824"/>
    <s v="DIESEL"/>
    <x v="0"/>
    <n v="101.46"/>
    <m/>
    <n v="5.29"/>
    <n v="536.72339999999997"/>
    <n v="5.29"/>
    <n v="695"/>
    <n v="6.849990143899074"/>
  </r>
  <r>
    <n v="420739"/>
    <x v="189"/>
    <x v="35"/>
    <s v="BEIRA MINHO"/>
    <n v="368160"/>
    <s v="DIESEL"/>
    <x v="0"/>
    <n v="50.24"/>
    <m/>
    <n v="5.19"/>
    <n v="260.74560000000002"/>
    <n v="5.19"/>
    <n v="273"/>
    <n v="5.4339171974522289"/>
  </r>
  <r>
    <n v="6267"/>
    <x v="189"/>
    <x v="1"/>
    <s v="REDETUKAS"/>
    <n v="330713"/>
    <s v="DIESEL"/>
    <x v="0"/>
    <n v="126"/>
    <m/>
    <n v="4.45"/>
    <n v="560.70000000000005"/>
    <n v="4.45"/>
    <n v="489"/>
    <n v="3.8809523809523809"/>
  </r>
  <r>
    <n v="6267"/>
    <x v="189"/>
    <x v="6"/>
    <s v="REDETUKAS"/>
    <n v="634629"/>
    <s v="DIESEL"/>
    <x v="0"/>
    <n v="62"/>
    <m/>
    <n v="4.45"/>
    <n v="275.90000000000003"/>
    <n v="4.45"/>
    <n v="270"/>
    <n v="4.354838709677419"/>
  </r>
  <r>
    <n v="6267"/>
    <x v="189"/>
    <x v="34"/>
    <s v="REDETUKAS"/>
    <n v="488270"/>
    <s v="DIESEL"/>
    <x v="0"/>
    <n v="412"/>
    <m/>
    <n v="4.45"/>
    <n v="1833.4"/>
    <n v="4.45"/>
    <n v="1187"/>
    <n v="2.8810679611650487"/>
  </r>
  <r>
    <n v="6267"/>
    <x v="189"/>
    <x v="11"/>
    <s v="REDETUKAS"/>
    <n v="667630"/>
    <s v="DIESEL"/>
    <x v="0"/>
    <n v="120"/>
    <m/>
    <n v="4.45"/>
    <n v="534"/>
    <n v="4.45"/>
    <n v="551"/>
    <n v="4.5916666666666668"/>
  </r>
  <r>
    <n v="6267"/>
    <x v="189"/>
    <x v="13"/>
    <s v="REDETUKAS"/>
    <n v="135904"/>
    <s v="DIESEL"/>
    <x v="0"/>
    <n v="20"/>
    <m/>
    <n v="4.45"/>
    <n v="89"/>
    <n v="4.45"/>
    <n v="144"/>
    <n v="7.2"/>
  </r>
  <r>
    <n v="6267"/>
    <x v="189"/>
    <x v="10"/>
    <s v="REDETUKAS"/>
    <n v="261220"/>
    <s v="DIESEL"/>
    <x v="0"/>
    <n v="65"/>
    <m/>
    <n v="4.45"/>
    <n v="289.25"/>
    <n v="4.45"/>
    <n v="478"/>
    <n v="7.3538461538461535"/>
  </r>
  <r>
    <s v="Ajuste M."/>
    <x v="189"/>
    <x v="12"/>
    <m/>
    <n v="235792"/>
    <m/>
    <x v="0"/>
    <n v="82.36"/>
    <m/>
    <m/>
    <n v="0"/>
    <n v="0"/>
    <n v="352"/>
    <n v="4.2739193783389995"/>
  </r>
  <r>
    <s v="Ajuste M."/>
    <x v="189"/>
    <x v="28"/>
    <m/>
    <n v="65971"/>
    <m/>
    <x v="0"/>
    <n v="63.52"/>
    <m/>
    <m/>
    <n v="0"/>
    <n v="0"/>
    <n v="502"/>
    <n v="7.9030226700251882"/>
  </r>
  <r>
    <s v="Ajuste M."/>
    <x v="189"/>
    <x v="25"/>
    <m/>
    <n v="396776"/>
    <m/>
    <x v="0"/>
    <n v="89"/>
    <m/>
    <m/>
    <n v="0"/>
    <n v="0"/>
    <n v="575"/>
    <n v="6.4606741573033704"/>
  </r>
  <r>
    <n v="701221"/>
    <x v="190"/>
    <x v="6"/>
    <s v="GAVIÃO DA ANHANGUERA"/>
    <n v="635087"/>
    <s v="DIESEL"/>
    <x v="0"/>
    <n v="96.662000000000006"/>
    <m/>
    <n v="4.99"/>
    <n v="482.34338000000002"/>
    <n v="4.99"/>
    <n v="458"/>
    <n v="4.7381597732304312"/>
  </r>
  <r>
    <n v="421510"/>
    <x v="190"/>
    <x v="30"/>
    <s v="BEIRA MINHO"/>
    <n v="316940"/>
    <s v="DIESEL"/>
    <x v="0"/>
    <n v="60.8"/>
    <m/>
    <n v="5.19"/>
    <n v="315.55200000000002"/>
    <n v="5.19"/>
    <n v="412"/>
    <n v="6.776315789473685"/>
  </r>
  <r>
    <n v="6267"/>
    <x v="190"/>
    <x v="24"/>
    <s v="REDETUKAS"/>
    <n v="94686"/>
    <s v="DIESEL"/>
    <x v="0"/>
    <n v="80"/>
    <m/>
    <n v="4.45"/>
    <n v="356"/>
    <n v="4.45"/>
    <n v="434"/>
    <n v="5.4249999999999998"/>
  </r>
  <r>
    <n v="6267"/>
    <x v="190"/>
    <x v="18"/>
    <s v="REDETUKAS"/>
    <n v="672636"/>
    <s v="DIESEL"/>
    <x v="0"/>
    <n v="115"/>
    <m/>
    <n v="4.45"/>
    <n v="511.75"/>
    <n v="4.45"/>
    <n v="427"/>
    <n v="3.7130434782608694"/>
  </r>
  <r>
    <n v="6267"/>
    <x v="190"/>
    <x v="22"/>
    <s v="REDETUKAS"/>
    <n v="148246"/>
    <s v="DIESEL"/>
    <x v="0"/>
    <n v="75"/>
    <m/>
    <n v="4.45"/>
    <n v="333.75"/>
    <n v="4.45"/>
    <n v="328"/>
    <n v="4.3733333333333331"/>
  </r>
  <r>
    <n v="6267"/>
    <x v="190"/>
    <x v="16"/>
    <s v="REDETUKAS"/>
    <n v="360395"/>
    <s v="DIESEL"/>
    <x v="0"/>
    <n v="107"/>
    <m/>
    <n v="4.45"/>
    <n v="476.15000000000003"/>
    <n v="4.45"/>
    <n v="388"/>
    <n v="3.6261682242990654"/>
  </r>
  <r>
    <n v="6267"/>
    <x v="190"/>
    <x v="29"/>
    <s v="REDETUKAS"/>
    <n v="317052"/>
    <s v="DIESEL"/>
    <x v="0"/>
    <n v="120"/>
    <m/>
    <n v="4.45"/>
    <n v="534"/>
    <n v="4.45"/>
    <n v="641"/>
    <n v="5.3416666666666668"/>
  </r>
  <r>
    <n v="6267"/>
    <x v="190"/>
    <x v="33"/>
    <s v="REDETUKAS"/>
    <n v="83565"/>
    <s v="DIESEL"/>
    <x v="0"/>
    <n v="97"/>
    <m/>
    <n v="4.45"/>
    <n v="431.65000000000003"/>
    <n v="4.45"/>
    <n v="334"/>
    <n v="3.4432989690721651"/>
  </r>
  <r>
    <n v="6267"/>
    <x v="190"/>
    <x v="9"/>
    <s v="REDETUKAS"/>
    <n v="375215"/>
    <s v="DIESEL"/>
    <x v="0"/>
    <n v="60"/>
    <m/>
    <n v="4.45"/>
    <n v="267"/>
    <n v="4.45"/>
    <n v="391"/>
    <n v="6.5166666666666666"/>
  </r>
  <r>
    <n v="379081"/>
    <x v="191"/>
    <x v="29"/>
    <s v="TIGRÃO DA DUTRA"/>
    <n v="317266"/>
    <s v="DIESEL"/>
    <x v="0"/>
    <n v="42.036999999999999"/>
    <m/>
    <n v="4.66"/>
    <n v="195.89242000000002"/>
    <n v="4.66"/>
    <n v="214"/>
    <n v="5.090753383923686"/>
  </r>
  <r>
    <n v="6267"/>
    <x v="191"/>
    <x v="17"/>
    <s v="REDETUKAS"/>
    <n v="216462"/>
    <s v="DIESEL"/>
    <x v="0"/>
    <n v="129"/>
    <m/>
    <n v="4.45"/>
    <n v="574.05000000000007"/>
    <n v="4.45"/>
    <n v="351"/>
    <n v="2.7209302325581395"/>
  </r>
  <r>
    <n v="6267"/>
    <x v="192"/>
    <x v="6"/>
    <s v="REDETUKAS"/>
    <n v="635482"/>
    <m/>
    <x v="0"/>
    <n v="102"/>
    <m/>
    <n v="4.45"/>
    <n v="453.90000000000003"/>
    <n v="4.45"/>
    <n v="395"/>
    <n v="3.8725490196078431"/>
  </r>
  <r>
    <n v="477110"/>
    <x v="192"/>
    <x v="6"/>
    <s v="POSTO MORADA DO SOL "/>
    <n v="635832"/>
    <s v="DIESEL"/>
    <x v="0"/>
    <n v="73.61"/>
    <m/>
    <n v="4.9400000000000004"/>
    <n v="363.63340000000005"/>
    <n v="4.9400000000000004"/>
    <n v="350"/>
    <n v="4.7547887515283254"/>
  </r>
  <r>
    <n v="196507"/>
    <x v="192"/>
    <x v="13"/>
    <s v="TATITA FERNÃO DIAS"/>
    <n v="136045"/>
    <s v="DIESEL"/>
    <x v="0"/>
    <n v="18.23"/>
    <m/>
    <n v="4.79"/>
    <n v="87.321700000000007"/>
    <n v="4.79"/>
    <n v="141"/>
    <n v="7.7345035655512886"/>
  </r>
  <r>
    <n v="578121"/>
    <x v="192"/>
    <x v="17"/>
    <s v="POSTO ITASUL"/>
    <n v="216989"/>
    <s v="DIESEL"/>
    <x v="0"/>
    <n v="195"/>
    <m/>
    <n v="4.79"/>
    <n v="934.05"/>
    <n v="4.79"/>
    <n v="527"/>
    <n v="2.7025641025641027"/>
  </r>
  <r>
    <n v="6267"/>
    <x v="192"/>
    <x v="27"/>
    <s v="REDETUKAS"/>
    <n v="130139"/>
    <s v="DIESEL"/>
    <x v="0"/>
    <n v="170"/>
    <m/>
    <n v="4.45"/>
    <n v="756.5"/>
    <n v="4.45"/>
    <n v="745"/>
    <n v="4.382352941176471"/>
  </r>
  <r>
    <n v="6267"/>
    <x v="192"/>
    <x v="13"/>
    <s v="REDETUKAS"/>
    <n v="136487"/>
    <s v="DIESEL"/>
    <x v="0"/>
    <n v="48"/>
    <m/>
    <n v="4.45"/>
    <n v="213.60000000000002"/>
    <n v="4.45"/>
    <n v="442"/>
    <n v="9.2083333333333339"/>
  </r>
  <r>
    <n v="6267"/>
    <x v="192"/>
    <x v="12"/>
    <s v="REDETUKAS"/>
    <n v="236401"/>
    <s v="DIESEL"/>
    <x v="0"/>
    <n v="137"/>
    <m/>
    <n v="4.45"/>
    <n v="609.65"/>
    <n v="4.45"/>
    <n v="609"/>
    <n v="4.445255474452555"/>
  </r>
  <r>
    <n v="6267"/>
    <x v="192"/>
    <x v="2"/>
    <s v="REDETUKAS"/>
    <n v="901408"/>
    <s v="DIESEL"/>
    <x v="0"/>
    <n v="492"/>
    <m/>
    <n v="4.45"/>
    <n v="2189.4"/>
    <n v="4.45"/>
    <n v="1165"/>
    <n v="2.3678861788617884"/>
  </r>
  <r>
    <s v="Ajuste M."/>
    <x v="192"/>
    <x v="13"/>
    <m/>
    <n v="136787"/>
    <m/>
    <x v="0"/>
    <n v="41"/>
    <m/>
    <m/>
    <n v="0"/>
    <n v="0"/>
    <n v="300"/>
    <n v="7.3170731707317076"/>
  </r>
  <r>
    <s v="Ajuste M."/>
    <x v="192"/>
    <x v="28"/>
    <m/>
    <n v="66320"/>
    <m/>
    <x v="0"/>
    <n v="41.56"/>
    <m/>
    <m/>
    <n v="0"/>
    <n v="0"/>
    <n v="349"/>
    <n v="8.3974975938402299"/>
  </r>
  <r>
    <n v="361446"/>
    <x v="193"/>
    <x v="0"/>
    <s v="DOM PEDRO POUSO ALEGRE"/>
    <n v="404116"/>
    <s v="DIESEL"/>
    <x v="0"/>
    <n v="37.93"/>
    <m/>
    <n v="4.79"/>
    <n v="181.68469999999999"/>
    <n v="4.79"/>
    <n v="282"/>
    <n v="7.4347482204060107"/>
  </r>
  <r>
    <n v="551636"/>
    <x v="193"/>
    <x v="15"/>
    <s v="COMBO AUTO POSTO"/>
    <n v="300516"/>
    <s v="DIESEL"/>
    <x v="0"/>
    <n v="119.37"/>
    <m/>
    <n v="5.09"/>
    <n v="607.5933"/>
    <n v="5.09"/>
    <n v="577"/>
    <n v="4.833710312473821"/>
  </r>
  <r>
    <n v="6267"/>
    <x v="193"/>
    <x v="22"/>
    <s v="REDETUKAS"/>
    <n v="148543"/>
    <s v="DIESEL"/>
    <x v="0"/>
    <n v="73"/>
    <m/>
    <n v="4.45"/>
    <n v="324.85000000000002"/>
    <n v="4.45"/>
    <n v="297"/>
    <n v="4.0684931506849313"/>
  </r>
  <r>
    <n v="551609"/>
    <x v="193"/>
    <x v="10"/>
    <s v="COMBO AUTO POSTO"/>
    <n v="261753"/>
    <s v="DIESEL"/>
    <x v="0"/>
    <n v="67.260000000000005"/>
    <m/>
    <n v="5.32"/>
    <n v="357.82320000000004"/>
    <n v="5.32"/>
    <n v="533"/>
    <n v="7.9244721974427588"/>
  </r>
  <r>
    <n v="6267"/>
    <x v="193"/>
    <x v="34"/>
    <s v="REDETUKAS"/>
    <n v="489069"/>
    <s v="DIESEL"/>
    <x v="0"/>
    <n v="290"/>
    <m/>
    <n v="4.45"/>
    <n v="1290.5"/>
    <n v="4.45"/>
    <n v="799"/>
    <n v="2.7551724137931033"/>
  </r>
  <r>
    <n v="6267"/>
    <x v="193"/>
    <x v="33"/>
    <s v="REDETUKAS"/>
    <n v="84094"/>
    <s v="DIESEL"/>
    <x v="0"/>
    <n v="156"/>
    <m/>
    <n v="4.45"/>
    <n v="694.2"/>
    <n v="4.45"/>
    <n v="529"/>
    <n v="3.391025641025641"/>
  </r>
  <r>
    <n v="6267"/>
    <x v="193"/>
    <x v="13"/>
    <s v="REDETUKAS"/>
    <n v="137093"/>
    <s v="DIESEL"/>
    <x v="0"/>
    <n v="39"/>
    <m/>
    <n v="4.45"/>
    <n v="173.55"/>
    <n v="4.45"/>
    <n v="306"/>
    <n v="7.8461538461538458"/>
  </r>
  <r>
    <s v="Ajuste M."/>
    <x v="193"/>
    <x v="36"/>
    <m/>
    <n v="1033710"/>
    <m/>
    <x v="0"/>
    <n v="500"/>
    <m/>
    <m/>
    <n v="0"/>
    <n v="0"/>
    <n v="1400"/>
    <n v="2.8"/>
  </r>
  <r>
    <n v="6267"/>
    <x v="194"/>
    <x v="6"/>
    <s v="REDETUKAS"/>
    <n v="636390"/>
    <m/>
    <x v="0"/>
    <n v="125"/>
    <m/>
    <n v="4.45"/>
    <n v="556.25"/>
    <n v="4.45"/>
    <n v="558"/>
    <n v="4.4640000000000004"/>
  </r>
  <r>
    <n v="704650"/>
    <x v="194"/>
    <x v="6"/>
    <s v="GAVIÃO DA ANHANGUERA"/>
    <n v="636801"/>
    <s v="DIESEL"/>
    <x v="0"/>
    <n v="89.216999999999999"/>
    <m/>
    <n v="4.99"/>
    <n v="445.19283000000001"/>
    <n v="4.99"/>
    <n v="411"/>
    <n v="4.6067453512223011"/>
  </r>
  <r>
    <n v="6267"/>
    <x v="194"/>
    <x v="1"/>
    <s v="REDETUKAS"/>
    <n v="331249"/>
    <s v="DIESEL"/>
    <x v="0"/>
    <n v="134"/>
    <m/>
    <n v="4.45"/>
    <n v="596.30000000000007"/>
    <n v="4.45"/>
    <n v="536"/>
    <n v="4"/>
  </r>
  <r>
    <n v="6387"/>
    <x v="194"/>
    <x v="9"/>
    <s v="REDETUKAS"/>
    <n v="375894"/>
    <s v="DIESEL"/>
    <x v="0"/>
    <n v="112"/>
    <m/>
    <n v="4.45"/>
    <n v="498.40000000000003"/>
    <n v="4.45"/>
    <n v="679"/>
    <n v="6.0625"/>
  </r>
  <r>
    <n v="6387"/>
    <x v="194"/>
    <x v="0"/>
    <s v="REDETUKAS"/>
    <n v="404570"/>
    <s v="DIESEL"/>
    <x v="0"/>
    <n v="53"/>
    <m/>
    <n v="4.45"/>
    <n v="235.85000000000002"/>
    <n v="4.45"/>
    <n v="454"/>
    <n v="8.566037735849056"/>
  </r>
  <r>
    <n v="6387"/>
    <x v="194"/>
    <x v="29"/>
    <s v="REDETUKAS"/>
    <n v="318028"/>
    <s v="DIESEL"/>
    <x v="0"/>
    <n v="132"/>
    <m/>
    <n v="4.45"/>
    <n v="587.4"/>
    <n v="4.45"/>
    <n v="762"/>
    <n v="5.7727272727272725"/>
  </r>
  <r>
    <n v="6387"/>
    <x v="194"/>
    <x v="8"/>
    <s v="REDETUKAS"/>
    <n v="949731"/>
    <s v="DIESEL"/>
    <x v="0"/>
    <n v="415"/>
    <m/>
    <n v="4.45"/>
    <n v="1846.75"/>
    <n v="4.45"/>
    <n v="1154"/>
    <n v="2.7807228915662652"/>
  </r>
  <r>
    <n v="6387"/>
    <x v="194"/>
    <x v="26"/>
    <s v="REDETUKAS"/>
    <n v="719465"/>
    <s v="DIESEL"/>
    <x v="0"/>
    <n v="175"/>
    <m/>
    <n v="4.45"/>
    <n v="778.75"/>
    <n v="4.45"/>
    <n v="824"/>
    <n v="4.7085714285714282"/>
  </r>
  <r>
    <n v="6387"/>
    <x v="194"/>
    <x v="28"/>
    <s v="REDETUKAS"/>
    <n v="66553"/>
    <s v="DIESEL"/>
    <x v="0"/>
    <n v="30"/>
    <m/>
    <n v="4.45"/>
    <n v="133.5"/>
    <n v="4.45"/>
    <n v="233"/>
    <n v="7.7666666666666666"/>
  </r>
  <r>
    <n v="6387"/>
    <x v="194"/>
    <x v="13"/>
    <s v="REDETUKAS"/>
    <n v="137485"/>
    <s v="DIESEL"/>
    <x v="0"/>
    <n v="45.6"/>
    <m/>
    <n v="4.45"/>
    <n v="202.92000000000002"/>
    <n v="4.45"/>
    <n v="392"/>
    <n v="8.5964912280701746"/>
  </r>
  <r>
    <n v="6387"/>
    <x v="194"/>
    <x v="0"/>
    <s v="REDETUKAS"/>
    <n v="404690"/>
    <s v="DIESEL"/>
    <x v="0"/>
    <n v="19"/>
    <m/>
    <n v="4.45"/>
    <n v="84.55"/>
    <n v="4.45"/>
    <n v="120"/>
    <n v="6.3157894736842106"/>
  </r>
  <r>
    <n v="6267"/>
    <x v="194"/>
    <x v="14"/>
    <s v="REDETUKAS"/>
    <n v="114003"/>
    <s v="DIESEL"/>
    <x v="0"/>
    <n v="406"/>
    <m/>
    <n v="4.45"/>
    <n v="1806.7"/>
    <n v="4.45"/>
    <n v="1300"/>
    <n v="3.2019704433497536"/>
  </r>
  <r>
    <n v="6387"/>
    <x v="195"/>
    <x v="18"/>
    <s v="REDETUKAS"/>
    <n v="673060"/>
    <s v="DIESEL"/>
    <x v="0"/>
    <n v="109"/>
    <m/>
    <n v="4.45"/>
    <n v="485.05"/>
    <n v="4.45"/>
    <n v="424"/>
    <n v="3.8899082568807342"/>
  </r>
  <r>
    <n v="6387"/>
    <x v="195"/>
    <x v="0"/>
    <s v="REDETUKAS"/>
    <n v="405009"/>
    <s v="DIESEL"/>
    <x v="0"/>
    <n v="45"/>
    <m/>
    <n v="4.45"/>
    <n v="200.25"/>
    <n v="4.45"/>
    <n v="319"/>
    <n v="7.0888888888888886"/>
  </r>
  <r>
    <n v="6387"/>
    <x v="195"/>
    <x v="16"/>
    <s v="REDETUKAS"/>
    <n v="361097"/>
    <s v="DIESEL"/>
    <x v="0"/>
    <n v="173"/>
    <m/>
    <n v="4.45"/>
    <n v="769.85"/>
    <n v="4.45"/>
    <n v="702"/>
    <n v="4.0578034682080926"/>
  </r>
  <r>
    <n v="6387"/>
    <x v="195"/>
    <x v="11"/>
    <s v="REDETUKAS"/>
    <n v="668516"/>
    <s v="DIESEL"/>
    <x v="0"/>
    <n v="183"/>
    <m/>
    <n v="4.45"/>
    <n v="814.35"/>
    <n v="4.45"/>
    <n v="886"/>
    <n v="4.8415300546448083"/>
  </r>
  <r>
    <n v="6387"/>
    <x v="195"/>
    <x v="6"/>
    <s v="REDETUKAS"/>
    <n v="637202"/>
    <s v="DIESEL"/>
    <x v="0"/>
    <n v="83"/>
    <m/>
    <n v="4.45"/>
    <n v="369.35"/>
    <n v="4.45"/>
    <n v="401"/>
    <n v="4.831325301204819"/>
  </r>
  <r>
    <n v="6387"/>
    <x v="195"/>
    <x v="33"/>
    <s v="REDETUKAS"/>
    <n v="84555"/>
    <s v="DIESEL"/>
    <x v="0"/>
    <n v="131"/>
    <m/>
    <n v="4.45"/>
    <n v="582.95000000000005"/>
    <n v="4.45"/>
    <n v="461"/>
    <n v="3.5190839694656488"/>
  </r>
  <r>
    <n v="426704"/>
    <x v="195"/>
    <x v="35"/>
    <s v="BEIRA MINHO"/>
    <n v="368546"/>
    <s v="DIESEL"/>
    <x v="0"/>
    <n v="68.97"/>
    <m/>
    <n v="5.19"/>
    <n v="357.95430000000005"/>
    <n v="5.19"/>
    <n v="386"/>
    <n v="5.5966362186457879"/>
  </r>
  <r>
    <n v="6387"/>
    <x v="195"/>
    <x v="2"/>
    <s v="REDETUKAS"/>
    <n v="902571"/>
    <s v="DIESEL"/>
    <x v="0"/>
    <n v="440"/>
    <m/>
    <n v="4.45"/>
    <n v="1958"/>
    <n v="4.45"/>
    <n v="1163"/>
    <n v="2.6431818181818181"/>
  </r>
  <r>
    <s v="Ajuste M."/>
    <x v="195"/>
    <x v="13"/>
    <m/>
    <n v="137789"/>
    <m/>
    <x v="0"/>
    <n v="42"/>
    <m/>
    <m/>
    <n v="0"/>
    <n v="4.45"/>
    <n v="304"/>
    <n v="7.2380952380952381"/>
  </r>
  <r>
    <s v="Ajuste M."/>
    <x v="195"/>
    <x v="29"/>
    <m/>
    <n v="318156"/>
    <m/>
    <x v="0"/>
    <n v="29"/>
    <m/>
    <m/>
    <n v="0"/>
    <n v="0"/>
    <n v="128"/>
    <n v="4.4137931034482758"/>
  </r>
  <r>
    <s v="Ajuste M."/>
    <x v="195"/>
    <x v="28"/>
    <m/>
    <n v="66757"/>
    <m/>
    <x v="0"/>
    <n v="26.3"/>
    <m/>
    <m/>
    <n v="0"/>
    <n v="0"/>
    <n v="204"/>
    <n v="7.756653992395437"/>
  </r>
  <r>
    <n v="552588"/>
    <x v="196"/>
    <x v="10"/>
    <s v="COMBO AUTO POSTO"/>
    <n v="262378"/>
    <s v="DIESEL"/>
    <x v="0"/>
    <n v="85.400999999999996"/>
    <m/>
    <n v="5.32"/>
    <n v="454.33332000000001"/>
    <n v="5.32"/>
    <n v="625"/>
    <n v="7.3184154752286279"/>
  </r>
  <r>
    <n v="729235"/>
    <x v="196"/>
    <x v="6"/>
    <s v="AUTO POSTO RVM MAX"/>
    <n v="637879"/>
    <s v="DIESEL"/>
    <x v="0"/>
    <n v="133.66900000000001"/>
    <m/>
    <n v="4.99"/>
    <n v="667.00831000000005"/>
    <n v="4.99"/>
    <n v="677"/>
    <n v="5.064749493150992"/>
  </r>
  <r>
    <n v="197356"/>
    <x v="196"/>
    <x v="0"/>
    <s v="TATITA FERNÃO DIAS"/>
    <n v="405140"/>
    <s v="DIESEL"/>
    <x v="0"/>
    <n v="22.359000000000002"/>
    <m/>
    <n v="4.79"/>
    <n v="107.09961000000001"/>
    <n v="4.79"/>
    <n v="131"/>
    <n v="5.8589382351625741"/>
  </r>
  <r>
    <n v="6387"/>
    <x v="196"/>
    <x v="9"/>
    <s v="REDETUKAS"/>
    <n v="376457"/>
    <s v="DIESEL"/>
    <x v="0"/>
    <n v="96"/>
    <m/>
    <n v="4.45"/>
    <n v="427.20000000000005"/>
    <n v="4.45"/>
    <n v="563"/>
    <n v="5.864583333333333"/>
  </r>
  <r>
    <s v="Ajuste M."/>
    <x v="161"/>
    <x v="19"/>
    <m/>
    <n v="224878"/>
    <m/>
    <x v="1"/>
    <n v="38.9"/>
    <m/>
    <m/>
    <n v="0"/>
    <n v="0"/>
    <n v="492"/>
    <n v="12.647814910025707"/>
  </r>
  <r>
    <s v="Ajuste M."/>
    <x v="170"/>
    <x v="19"/>
    <m/>
    <n v="225308"/>
    <m/>
    <x v="1"/>
    <n v="39.9"/>
    <m/>
    <m/>
    <n v="0"/>
    <n v="0"/>
    <n v="430"/>
    <n v="10.776942355889725"/>
  </r>
  <r>
    <s v="Ajuste M."/>
    <x v="173"/>
    <x v="19"/>
    <m/>
    <n v="225863"/>
    <m/>
    <x v="1"/>
    <n v="40"/>
    <m/>
    <m/>
    <n v="0"/>
    <n v="0"/>
    <n v="555"/>
    <n v="13.875"/>
  </r>
  <r>
    <n v="197382"/>
    <x v="196"/>
    <x v="19"/>
    <s v="TATITA FERNÃO DIAS"/>
    <n v="226112"/>
    <s v="GASOLINA"/>
    <x v="1"/>
    <n v="25.75"/>
    <m/>
    <n v="5.39"/>
    <n v="138.79249999999999"/>
    <n v="5.39"/>
    <n v="249"/>
    <n v="9.6699029126213585"/>
  </r>
  <r>
    <n v="6387"/>
    <x v="196"/>
    <x v="13"/>
    <s v="REDETUKAS"/>
    <n v="138056"/>
    <s v="DIESEL"/>
    <x v="0"/>
    <n v="34"/>
    <m/>
    <n v="4.45"/>
    <n v="151.30000000000001"/>
    <n v="4.45"/>
    <n v="267"/>
    <n v="7.8529411764705879"/>
  </r>
  <r>
    <n v="6387"/>
    <x v="196"/>
    <x v="29"/>
    <s v="REDETUKAS"/>
    <n v="318336"/>
    <s v="DIESEL"/>
    <x v="0"/>
    <n v="34"/>
    <m/>
    <n v="4.45"/>
    <n v="151.30000000000001"/>
    <n v="4.45"/>
    <n v="180"/>
    <n v="5.2941176470588234"/>
  </r>
  <r>
    <n v="6387"/>
    <x v="196"/>
    <x v="22"/>
    <s v="REDETUKAS"/>
    <n v="149064"/>
    <s v="DIESEL"/>
    <x v="0"/>
    <n v="117"/>
    <m/>
    <n v="4.45"/>
    <n v="520.65"/>
    <n v="4.45"/>
    <n v="521"/>
    <n v="4.4529914529914532"/>
  </r>
  <r>
    <s v="Ajuste M."/>
    <x v="196"/>
    <x v="16"/>
    <m/>
    <n v="362099"/>
    <m/>
    <x v="0"/>
    <n v="203"/>
    <m/>
    <m/>
    <n v="0"/>
    <n v="0"/>
    <n v="1002"/>
    <n v="4.9359605911330053"/>
  </r>
  <r>
    <s v="Ajuste M."/>
    <x v="197"/>
    <x v="28"/>
    <m/>
    <n v="67255"/>
    <m/>
    <x v="0"/>
    <n v="58.6"/>
    <m/>
    <m/>
    <n v="0"/>
    <n v="0"/>
    <n v="498"/>
    <n v="8.4982935153583608"/>
  </r>
  <r>
    <s v="Ajuste M."/>
    <x v="197"/>
    <x v="12"/>
    <m/>
    <n v="236810"/>
    <m/>
    <x v="0"/>
    <n v="99"/>
    <m/>
    <m/>
    <n v="0"/>
    <n v="0"/>
    <n v="409"/>
    <n v="4.1313131313131315"/>
  </r>
  <r>
    <s v="Ajuste M."/>
    <x v="198"/>
    <x v="26"/>
    <m/>
    <n v="720251"/>
    <m/>
    <x v="0"/>
    <n v="207.3"/>
    <m/>
    <m/>
    <n v="0"/>
    <n v="0"/>
    <n v="786"/>
    <n v="3.7916063675832126"/>
  </r>
  <r>
    <s v="Ajuste M."/>
    <x v="198"/>
    <x v="16"/>
    <m/>
    <n v="363104"/>
    <m/>
    <x v="0"/>
    <n v="209"/>
    <m/>
    <m/>
    <n v="0"/>
    <n v="0"/>
    <n v="1005"/>
    <n v="4.8086124401913874"/>
  </r>
  <r>
    <n v="317983"/>
    <x v="198"/>
    <x v="23"/>
    <s v="POSTO ZÉ RAMOS"/>
    <n v="288068"/>
    <s v="GASOLINA"/>
    <x v="1"/>
    <n v="20.539000000000001"/>
    <m/>
    <n v="5.49"/>
    <n v="112.75911000000001"/>
    <n v="5.49"/>
    <m/>
    <s v="Hiato"/>
  </r>
  <r>
    <n v="581452"/>
    <x v="199"/>
    <x v="17"/>
    <s v="POSTO ITASUL"/>
    <n v="217736"/>
    <s v="DIESEL"/>
    <x v="0"/>
    <n v="356.26"/>
    <m/>
    <n v="4.79"/>
    <n v="1706.4854"/>
    <n v="4.79"/>
    <n v="747"/>
    <n v="2.0967832481895248"/>
  </r>
  <r>
    <n v="6387"/>
    <x v="199"/>
    <x v="6"/>
    <s v="REDETUKAS"/>
    <n v="638080"/>
    <m/>
    <x v="0"/>
    <n v="46"/>
    <m/>
    <m/>
    <n v="0"/>
    <n v="0"/>
    <n v="201"/>
    <n v="4.3695652173913047"/>
  </r>
  <r>
    <n v="706710"/>
    <x v="199"/>
    <x v="6"/>
    <s v="GAVIÃO DA ANHANGUERA"/>
    <n v="638586"/>
    <s v="DIESEL"/>
    <x v="0"/>
    <n v="94.790999999999997"/>
    <m/>
    <n v="4.99"/>
    <n v="473.00709000000001"/>
    <n v="4.99"/>
    <n v="506"/>
    <n v="5.3380595204186054"/>
  </r>
  <r>
    <n v="6387"/>
    <x v="199"/>
    <x v="34"/>
    <s v="REDETUKAS"/>
    <n v="489908"/>
    <s v="DIESEL"/>
    <x v="0"/>
    <n v="315"/>
    <m/>
    <n v="4.45"/>
    <n v="1401.75"/>
    <n v="4.45"/>
    <n v="839"/>
    <n v="2.6634920634920634"/>
  </r>
  <r>
    <n v="6387"/>
    <x v="199"/>
    <x v="8"/>
    <m/>
    <n v="950587"/>
    <s v="DIESEL"/>
    <x v="0"/>
    <n v="293"/>
    <m/>
    <n v="4.45"/>
    <n v="1303.8500000000001"/>
    <n v="4.45"/>
    <n v="856"/>
    <n v="2.9215017064846416"/>
  </r>
  <r>
    <n v="6387"/>
    <x v="199"/>
    <x v="18"/>
    <s v="REDETUKAS"/>
    <n v="673506"/>
    <s v="DIESEL"/>
    <x v="0"/>
    <n v="130"/>
    <m/>
    <n v="4.45"/>
    <n v="578.5"/>
    <n v="4.45"/>
    <n v="446"/>
    <n v="3.4307692307692306"/>
  </r>
  <r>
    <n v="6387"/>
    <x v="199"/>
    <x v="27"/>
    <s v="REDETUKAS"/>
    <n v="131309"/>
    <s v="DIESEL"/>
    <x v="0"/>
    <n v="137"/>
    <m/>
    <n v="4.45"/>
    <n v="609.65"/>
    <n v="4.45"/>
    <n v="1170"/>
    <n v="8.540145985401459"/>
  </r>
  <r>
    <n v="6387"/>
    <x v="199"/>
    <x v="0"/>
    <s v="REDETUKAS"/>
    <n v="405613"/>
    <s v="DIESEL"/>
    <x v="0"/>
    <n v="53"/>
    <m/>
    <n v="4.45"/>
    <n v="235.85000000000002"/>
    <n v="4.45"/>
    <n v="473"/>
    <n v="8.9245283018867916"/>
  </r>
  <r>
    <n v="6387"/>
    <x v="199"/>
    <x v="4"/>
    <s v="REDETUKAS"/>
    <n v="875663"/>
    <s v="DIESEL"/>
    <x v="0"/>
    <n v="25"/>
    <m/>
    <n v="4.45"/>
    <n v="111.25"/>
    <n v="4.45"/>
    <n v="105"/>
    <n v="4.2"/>
  </r>
  <r>
    <n v="553242"/>
    <x v="199"/>
    <x v="31"/>
    <s v="COMBO AUTO POSTO"/>
    <n v="321775"/>
    <s v="DIESEL"/>
    <x v="0"/>
    <n v="65.081000000000003"/>
    <m/>
    <n v="5.32"/>
    <n v="346.23092000000003"/>
    <n v="5.32"/>
    <n v="1702"/>
    <n v="26.152025936909389"/>
  </r>
  <r>
    <n v="6387"/>
    <x v="199"/>
    <x v="11"/>
    <s v="REDETUKAS"/>
    <n v="668931"/>
    <s v="DIESEL"/>
    <x v="0"/>
    <n v="93"/>
    <m/>
    <n v="4.45"/>
    <n v="413.85"/>
    <n v="4.45"/>
    <n v="415"/>
    <n v="4.4623655913978491"/>
  </r>
  <r>
    <s v="Ajuste M."/>
    <x v="199"/>
    <x v="12"/>
    <m/>
    <n v="237489"/>
    <m/>
    <x v="0"/>
    <n v="142"/>
    <m/>
    <m/>
    <n v="0"/>
    <n v="0"/>
    <n v="679"/>
    <n v="4.78169014084507"/>
  </r>
  <r>
    <s v="Ajuste M."/>
    <x v="199"/>
    <x v="12"/>
    <m/>
    <n v="238254"/>
    <m/>
    <x v="0"/>
    <n v="155"/>
    <m/>
    <m/>
    <n v="0"/>
    <n v="0"/>
    <n v="765"/>
    <n v="4.935483870967742"/>
  </r>
  <r>
    <n v="5838"/>
    <x v="200"/>
    <x v="17"/>
    <s v="POSTO BCA MARIALVA"/>
    <n v="218198"/>
    <s v="DIESEL"/>
    <x v="0"/>
    <n v="200"/>
    <m/>
    <n v="4.79"/>
    <n v="958"/>
    <n v="4.79"/>
    <n v="462"/>
    <n v="2.31"/>
  </r>
  <r>
    <n v="6387"/>
    <x v="200"/>
    <x v="33"/>
    <s v="REDETUKAS"/>
    <n v="85062"/>
    <s v="DIESEL"/>
    <x v="0"/>
    <n v="153"/>
    <m/>
    <n v="4.45"/>
    <n v="680.85"/>
    <n v="4.45"/>
    <n v="507"/>
    <n v="3.3137254901960786"/>
  </r>
  <r>
    <n v="6387"/>
    <x v="200"/>
    <x v="1"/>
    <s v="REDETUKAS"/>
    <n v="331746"/>
    <s v="DIESEL"/>
    <x v="0"/>
    <n v="127"/>
    <m/>
    <n v="4.45"/>
    <n v="565.15"/>
    <n v="4.45"/>
    <n v="497"/>
    <n v="3.9133858267716537"/>
  </r>
  <r>
    <n v="6387"/>
    <x v="200"/>
    <x v="9"/>
    <s v="REDETUKAS"/>
    <n v="376897"/>
    <s v="DIESEL"/>
    <x v="0"/>
    <n v="81"/>
    <m/>
    <n v="4.45"/>
    <n v="360.45"/>
    <n v="4.45"/>
    <n v="440"/>
    <n v="5.4320987654320989"/>
  </r>
  <r>
    <n v="6387"/>
    <x v="200"/>
    <x v="29"/>
    <s v="REDETUKAS"/>
    <n v="319176"/>
    <s v="DIESEL"/>
    <x v="0"/>
    <n v="157"/>
    <m/>
    <n v="4.45"/>
    <n v="698.65"/>
    <n v="4.45"/>
    <n v="840"/>
    <n v="5.3503184713375793"/>
  </r>
  <r>
    <n v="6387"/>
    <x v="200"/>
    <x v="24"/>
    <s v="REDETUKAS"/>
    <n v="95126"/>
    <s v="DIESEL"/>
    <x v="0"/>
    <n v="86"/>
    <m/>
    <n v="4.45"/>
    <n v="382.7"/>
    <n v="4.45"/>
    <n v="440"/>
    <n v="5.1162790697674421"/>
  </r>
  <r>
    <n v="6387"/>
    <x v="200"/>
    <x v="13"/>
    <s v="REDETUKAS"/>
    <n v="138174"/>
    <s v="DIESEL"/>
    <x v="0"/>
    <n v="14"/>
    <m/>
    <n v="4.45"/>
    <n v="62.300000000000004"/>
    <n v="4.45"/>
    <n v="118"/>
    <n v="8.4285714285714288"/>
  </r>
  <r>
    <n v="6387"/>
    <x v="200"/>
    <x v="22"/>
    <s v="REDETUKAS"/>
    <n v="149378"/>
    <s v="DIESEL"/>
    <x v="0"/>
    <n v="82"/>
    <m/>
    <n v="4.45"/>
    <n v="364.90000000000003"/>
    <n v="4.45"/>
    <n v="314"/>
    <n v="3.8292682926829267"/>
  </r>
  <r>
    <n v="6506"/>
    <x v="200"/>
    <x v="36"/>
    <s v="REDETUKAS"/>
    <n v="1033816"/>
    <s v="DIESEL"/>
    <x v="0"/>
    <n v="45"/>
    <m/>
    <n v="4.45"/>
    <n v="200.25"/>
    <n v="4.45"/>
    <n v="106"/>
    <n v="2.3555555555555556"/>
  </r>
  <r>
    <n v="6506"/>
    <x v="200"/>
    <x v="4"/>
    <s v="REDETUKAS"/>
    <n v="875678"/>
    <s v="DIESEL"/>
    <x v="0"/>
    <n v="4.5999999999999996"/>
    <m/>
    <n v="4.45"/>
    <n v="20.47"/>
    <n v="4.45"/>
    <n v="15"/>
    <n v="3.2608695652173916"/>
  </r>
  <r>
    <n v="6506"/>
    <x v="200"/>
    <x v="10"/>
    <s v="REDETUKAS"/>
    <n v="262929"/>
    <s v="DIESEL"/>
    <x v="0"/>
    <n v="66"/>
    <m/>
    <n v="4.45"/>
    <n v="293.7"/>
    <n v="4.45"/>
    <n v="551"/>
    <n v="8.3484848484848477"/>
  </r>
  <r>
    <n v="6506"/>
    <x v="200"/>
    <x v="2"/>
    <s v="REDETUKAS"/>
    <n v="903431"/>
    <s v="DIESEL"/>
    <x v="0"/>
    <n v="353"/>
    <m/>
    <n v="4.45"/>
    <n v="1570.8500000000001"/>
    <n v="4.45"/>
    <n v="860"/>
    <n v="2.4362606232294617"/>
  </r>
  <r>
    <s v="Ajuste M."/>
    <x v="200"/>
    <x v="0"/>
    <m/>
    <n v="405893"/>
    <m/>
    <x v="0"/>
    <n v="38.5"/>
    <m/>
    <m/>
    <n v="0"/>
    <n v="0"/>
    <n v="280"/>
    <n v="7.2727272727272725"/>
  </r>
  <r>
    <s v="Ajuste M."/>
    <x v="165"/>
    <x v="7"/>
    <m/>
    <n v="99822"/>
    <m/>
    <x v="1"/>
    <n v="40.520000000000003"/>
    <m/>
    <m/>
    <n v="0"/>
    <n v="0"/>
    <n v="580"/>
    <n v="14.313919052319841"/>
  </r>
  <r>
    <s v="Ajuste M."/>
    <x v="169"/>
    <x v="7"/>
    <m/>
    <n v="100372"/>
    <m/>
    <x v="1"/>
    <n v="42"/>
    <m/>
    <m/>
    <n v="0"/>
    <n v="0"/>
    <n v="550"/>
    <n v="13.095238095238095"/>
  </r>
  <r>
    <s v="Ajuste M."/>
    <x v="172"/>
    <x v="7"/>
    <m/>
    <n v="100895"/>
    <m/>
    <x v="1"/>
    <n v="41.36"/>
    <m/>
    <m/>
    <n v="0"/>
    <n v="0"/>
    <n v="523"/>
    <n v="12.645067698259188"/>
  </r>
  <r>
    <s v="Ajuste M."/>
    <x v="174"/>
    <x v="7"/>
    <m/>
    <n v="101464"/>
    <m/>
    <x v="1"/>
    <n v="44.52"/>
    <m/>
    <m/>
    <n v="0"/>
    <n v="0"/>
    <n v="569"/>
    <n v="12.780772686433062"/>
  </r>
  <r>
    <s v="Ajuste M."/>
    <x v="176"/>
    <x v="7"/>
    <m/>
    <n v="101987"/>
    <m/>
    <x v="1"/>
    <n v="43.58"/>
    <m/>
    <m/>
    <n v="0"/>
    <n v="0"/>
    <n v="523"/>
    <n v="12.000917852225792"/>
  </r>
  <r>
    <s v="Ajuste M."/>
    <x v="178"/>
    <x v="7"/>
    <m/>
    <n v="102576"/>
    <m/>
    <x v="1"/>
    <n v="44.25"/>
    <m/>
    <m/>
    <n v="0"/>
    <n v="0"/>
    <n v="589"/>
    <n v="13.310734463276836"/>
  </r>
  <r>
    <s v="Ajuste M."/>
    <x v="181"/>
    <x v="7"/>
    <m/>
    <n v="103100"/>
    <m/>
    <x v="1"/>
    <n v="40.25"/>
    <m/>
    <m/>
    <n v="0"/>
    <n v="0"/>
    <n v="524"/>
    <n v="13.018633540372671"/>
  </r>
  <r>
    <s v="Ajuste M."/>
    <x v="184"/>
    <x v="7"/>
    <m/>
    <n v="103682"/>
    <m/>
    <x v="1"/>
    <n v="44.75"/>
    <m/>
    <m/>
    <n v="0"/>
    <n v="0"/>
    <n v="582"/>
    <n v="13.005586592178771"/>
  </r>
  <r>
    <s v="Ajuste M."/>
    <x v="201"/>
    <x v="7"/>
    <m/>
    <n v="104457"/>
    <m/>
    <x v="1"/>
    <n v="48.52"/>
    <m/>
    <m/>
    <n v="0"/>
    <n v="0"/>
    <n v="775"/>
    <n v="15.972794723825226"/>
  </r>
  <r>
    <n v="318296"/>
    <x v="200"/>
    <x v="7"/>
    <s v="POSTO ZÉ RAMOS"/>
    <n v="105047"/>
    <s v="GASOLINA"/>
    <x v="1"/>
    <n v="41.460999999999999"/>
    <m/>
    <n v="5.49"/>
    <n v="227.62089"/>
    <n v="5.49"/>
    <n v="590"/>
    <n v="14.23024046694484"/>
  </r>
  <r>
    <n v="2311"/>
    <x v="202"/>
    <x v="35"/>
    <s v="BEIRA MINHO"/>
    <n v="368764"/>
    <s v="DIESEL"/>
    <x v="0"/>
    <n v="38.03"/>
    <m/>
    <n v="5.09"/>
    <n v="193.5727"/>
    <n v="5.09"/>
    <n v="218"/>
    <n v="5.7323165921640804"/>
  </r>
  <r>
    <n v="703079"/>
    <x v="202"/>
    <x v="6"/>
    <s v="GAVIÃO DA ANHANGUERA"/>
    <n v="639487"/>
    <s v="DIESEL"/>
    <x v="0"/>
    <n v="113.01300000000001"/>
    <m/>
    <n v="4.99"/>
    <n v="563.93487000000005"/>
    <n v="4.99"/>
    <n v="901"/>
    <n v="7.9725341332413082"/>
  </r>
  <r>
    <n v="6506"/>
    <x v="202"/>
    <x v="6"/>
    <s v="REDETUKAS"/>
    <n v="639872"/>
    <s v="DIESEL"/>
    <x v="0"/>
    <n v="85"/>
    <m/>
    <n v="4.45"/>
    <n v="378.25"/>
    <n v="4.45"/>
    <n v="385"/>
    <n v="4.5294117647058822"/>
  </r>
  <r>
    <n v="6506"/>
    <x v="202"/>
    <x v="11"/>
    <s v="REDETUKAS"/>
    <n v="669494"/>
    <s v="DIESEL"/>
    <x v="0"/>
    <n v="117"/>
    <m/>
    <n v="4.45"/>
    <n v="520.65"/>
    <n v="4.45"/>
    <n v="563"/>
    <n v="4.8119658119658117"/>
  </r>
  <r>
    <n v="6506"/>
    <x v="202"/>
    <x v="18"/>
    <s v="REDETUKAS"/>
    <n v="673934"/>
    <s v="DIESEL"/>
    <x v="0"/>
    <n v="103"/>
    <m/>
    <n v="4.45"/>
    <n v="458.35"/>
    <n v="4.45"/>
    <n v="428"/>
    <n v="4.1553398058252426"/>
  </r>
  <r>
    <n v="6506"/>
    <x v="202"/>
    <x v="26"/>
    <s v="REDETUKAS"/>
    <n v="720674"/>
    <s v="DIESEL"/>
    <x v="0"/>
    <n v="120"/>
    <m/>
    <n v="4.45"/>
    <n v="534"/>
    <n v="4.45"/>
    <n v="423"/>
    <n v="3.5249999999999999"/>
  </r>
  <r>
    <n v="6506"/>
    <x v="202"/>
    <x v="5"/>
    <s v="REDETUKAS"/>
    <n v="613056"/>
    <s v="DIESEL"/>
    <x v="0"/>
    <n v="108.9"/>
    <m/>
    <n v="4.45"/>
    <n v="484.60500000000002"/>
    <n v="4.45"/>
    <n v="381"/>
    <n v="3.49862258953168"/>
  </r>
  <r>
    <n v="6506"/>
    <x v="202"/>
    <x v="28"/>
    <s v="REDETUKAS"/>
    <n v="67842"/>
    <s v="DIESEL"/>
    <x v="0"/>
    <n v="71"/>
    <m/>
    <n v="4.45"/>
    <n v="315.95"/>
    <n v="4.45"/>
    <n v="587"/>
    <n v="8.2676056338028161"/>
  </r>
  <r>
    <n v="6506"/>
    <x v="202"/>
    <x v="13"/>
    <s v="REDETUKAS"/>
    <n v="138303"/>
    <s v="DIESEL"/>
    <x v="0"/>
    <n v="17"/>
    <m/>
    <n v="4.45"/>
    <n v="75.650000000000006"/>
    <n v="4.45"/>
    <n v="129"/>
    <n v="7.5882352941176467"/>
  </r>
  <r>
    <n v="2441"/>
    <x v="202"/>
    <x v="25"/>
    <s v="BEIRA MINHO"/>
    <n v="397377"/>
    <s v="DIESEL"/>
    <x v="0"/>
    <n v="95.68"/>
    <m/>
    <n v="5.09"/>
    <n v="487.01120000000003"/>
    <n v="5.09"/>
    <n v="601"/>
    <n v="6.2813545150501664"/>
  </r>
  <r>
    <n v="6506"/>
    <x v="202"/>
    <x v="14"/>
    <s v="REDETUKAS"/>
    <n v="115580"/>
    <s v="DIESEL"/>
    <x v="0"/>
    <n v="472"/>
    <m/>
    <n v="4.45"/>
    <n v="2100.4"/>
    <n v="4.45"/>
    <n v="1577"/>
    <n v="3.3411016949152543"/>
  </r>
  <r>
    <n v="38977"/>
    <x v="203"/>
    <x v="13"/>
    <s v="FRANGO ASSADO ATIBAIA"/>
    <n v="138605"/>
    <s v="DIESEL"/>
    <x v="0"/>
    <n v="47.07"/>
    <m/>
    <n v="5.29"/>
    <n v="249.00030000000001"/>
    <n v="5.29"/>
    <n v="302"/>
    <n v="6.415976205651158"/>
  </r>
  <r>
    <n v="6506"/>
    <x v="203"/>
    <x v="0"/>
    <s v="REDETUKAS"/>
    <n v="406270"/>
    <s v="DIESEL"/>
    <x v="0"/>
    <n v="51"/>
    <m/>
    <n v="4.45"/>
    <n v="226.95000000000002"/>
    <n v="4.45"/>
    <n v="377"/>
    <n v="7.3921568627450984"/>
  </r>
  <r>
    <n v="6506"/>
    <x v="203"/>
    <x v="29"/>
    <s v="REDETUKAS"/>
    <n v="319562"/>
    <s v="DIESEL"/>
    <x v="0"/>
    <n v="75"/>
    <m/>
    <n v="4.45"/>
    <n v="333.75"/>
    <n v="4.45"/>
    <n v="386"/>
    <n v="5.1466666666666665"/>
  </r>
  <r>
    <n v="6506"/>
    <x v="203"/>
    <x v="22"/>
    <s v="REDETUKAS"/>
    <n v="149862"/>
    <s v="DIESEL"/>
    <x v="0"/>
    <n v="108"/>
    <m/>
    <n v="4.45"/>
    <n v="480.6"/>
    <n v="4.45"/>
    <n v="484"/>
    <n v="4.4814814814814818"/>
  </r>
  <r>
    <n v="6506"/>
    <x v="203"/>
    <x v="12"/>
    <s v="REDETUKAS"/>
    <n v="238448"/>
    <s v="DIESEL"/>
    <x v="0"/>
    <n v="40"/>
    <m/>
    <n v="4.45"/>
    <n v="178"/>
    <n v="4.45"/>
    <n v="194"/>
    <n v="4.8499999999999996"/>
  </r>
  <r>
    <n v="6506"/>
    <x v="203"/>
    <x v="27"/>
    <s v="REDETUKAS"/>
    <n v="132024"/>
    <s v="DIESEL"/>
    <x v="0"/>
    <n v="147"/>
    <m/>
    <n v="4.45"/>
    <n v="654.15"/>
    <n v="4.45"/>
    <n v="715"/>
    <n v="4.8639455782312924"/>
  </r>
  <r>
    <n v="6506"/>
    <x v="203"/>
    <x v="16"/>
    <s v="REDETUKAS"/>
    <n v="363897"/>
    <s v="DIESEL"/>
    <x v="0"/>
    <n v="158"/>
    <m/>
    <n v="4.45"/>
    <n v="703.1"/>
    <n v="4.45"/>
    <n v="793"/>
    <n v="5.018987341772152"/>
  </r>
  <r>
    <n v="6506"/>
    <x v="203"/>
    <x v="34"/>
    <s v="REDETUKAS"/>
    <n v="490499"/>
    <s v="DIESEL"/>
    <x v="0"/>
    <n v="201"/>
    <m/>
    <n v="4.45"/>
    <n v="894.45"/>
    <n v="4.45"/>
    <n v="591"/>
    <n v="2.9402985074626864"/>
  </r>
  <r>
    <n v="4122"/>
    <x v="204"/>
    <x v="30"/>
    <s v="BEIRA MINHO"/>
    <n v="318028"/>
    <s v="DIESEL"/>
    <x v="0"/>
    <n v="85.24"/>
    <m/>
    <n v="5.09"/>
    <n v="433.87159999999994"/>
    <n v="5.09"/>
    <n v="1088"/>
    <n v="12.763960581886439"/>
  </r>
  <r>
    <n v="554503"/>
    <x v="204"/>
    <x v="15"/>
    <s v="COMBO AUTO POSTO"/>
    <n v="301113"/>
    <s v="DIESEL"/>
    <x v="0"/>
    <n v="122.181"/>
    <m/>
    <n v="5.3230000000000004"/>
    <n v="650.369463"/>
    <n v="5.3230000000000004"/>
    <n v="597"/>
    <n v="4.8861934343310338"/>
  </r>
  <r>
    <n v="6506"/>
    <x v="204"/>
    <x v="1"/>
    <s v="REDETUKAS"/>
    <n v="332232"/>
    <s v="DIESEL"/>
    <x v="0"/>
    <n v="124"/>
    <m/>
    <n v="4.45"/>
    <n v="551.80000000000007"/>
    <n v="4.45"/>
    <n v="486"/>
    <n v="3.9193548387096775"/>
  </r>
  <r>
    <n v="6506"/>
    <x v="204"/>
    <x v="10"/>
    <s v="REDETUKAS"/>
    <n v="263546"/>
    <s v="DIESEL"/>
    <x v="0"/>
    <n v="77"/>
    <m/>
    <n v="4.45"/>
    <n v="342.65000000000003"/>
    <n v="4.45"/>
    <n v="617"/>
    <n v="8.0129870129870131"/>
  </r>
  <r>
    <n v="6506"/>
    <x v="204"/>
    <x v="24"/>
    <s v="REDETUKAS"/>
    <n v="95836"/>
    <s v="DIESEL"/>
    <x v="0"/>
    <n v="116"/>
    <m/>
    <n v="4.45"/>
    <n v="516.20000000000005"/>
    <n v="4.45"/>
    <n v="710"/>
    <n v="6.1206896551724137"/>
  </r>
  <r>
    <n v="6506"/>
    <x v="204"/>
    <x v="18"/>
    <s v="REDETUKAS"/>
    <n v="674372"/>
    <s v="DIESEL"/>
    <x v="0"/>
    <n v="107"/>
    <m/>
    <n v="4.45"/>
    <n v="476.15000000000003"/>
    <n v="4.45"/>
    <n v="438"/>
    <n v="4.0934579439252339"/>
  </r>
  <r>
    <n v="6506"/>
    <x v="204"/>
    <x v="9"/>
    <s v="REDETUKAS"/>
    <n v="377201"/>
    <s v="DIESEL"/>
    <x v="0"/>
    <n v="51"/>
    <m/>
    <n v="4.45"/>
    <n v="226.95000000000002"/>
    <n v="4.45"/>
    <n v="304"/>
    <n v="5.9607843137254903"/>
  </r>
  <r>
    <n v="6506"/>
    <x v="204"/>
    <x v="13"/>
    <s v="REDETUKAS"/>
    <n v="138895"/>
    <s v="DIESEL"/>
    <x v="0"/>
    <n v="36.1"/>
    <m/>
    <n v="4.45"/>
    <n v="160.64500000000001"/>
    <n v="4.45"/>
    <n v="290"/>
    <n v="8.0332409972299175"/>
  </r>
  <r>
    <n v="6506"/>
    <x v="204"/>
    <x v="26"/>
    <s v="REDETUKAS"/>
    <n v="721018"/>
    <s v="DIESEL"/>
    <x v="0"/>
    <n v="97"/>
    <m/>
    <n v="4.45"/>
    <n v="431.65000000000003"/>
    <n v="4.45"/>
    <n v="344"/>
    <n v="3.5463917525773194"/>
  </r>
  <r>
    <n v="6506"/>
    <x v="204"/>
    <x v="28"/>
    <s v="REDETUKAS"/>
    <n v="68209"/>
    <s v="DIESEL"/>
    <x v="0"/>
    <n v="43"/>
    <m/>
    <n v="4.45"/>
    <n v="191.35"/>
    <n v="4.45"/>
    <n v="367"/>
    <n v="8.5348837209302317"/>
  </r>
  <r>
    <n v="43111"/>
    <x v="204"/>
    <x v="33"/>
    <s v="BEIRA MINHO"/>
    <n v="85775"/>
    <s v="DIESEL"/>
    <x v="0"/>
    <n v="212.51"/>
    <m/>
    <n v="5.09"/>
    <n v="1081.6759"/>
    <n v="5.09"/>
    <n v="713"/>
    <n v="3.3551362288833468"/>
  </r>
  <r>
    <n v="6506"/>
    <x v="204"/>
    <x v="6"/>
    <s v="REDETUKAS"/>
    <n v="639891"/>
    <s v="DIESEL"/>
    <x v="0"/>
    <n v="103"/>
    <m/>
    <n v="4.45"/>
    <n v="458.35"/>
    <n v="4.45"/>
    <n v="19"/>
    <n v="0.18446601941747573"/>
  </r>
  <r>
    <n v="319196"/>
    <x v="204"/>
    <x v="7"/>
    <s v="POSTO ZÉ RAMOS"/>
    <n v="105428"/>
    <s v="GASOLINA"/>
    <x v="1"/>
    <n v="31"/>
    <m/>
    <n v="5.49"/>
    <n v="170.19"/>
    <n v="5.49"/>
    <n v="381"/>
    <n v="12.290322580645162"/>
  </r>
  <r>
    <s v="Ajuste M."/>
    <x v="205"/>
    <x v="0"/>
    <m/>
    <n v="406670"/>
    <m/>
    <x v="4"/>
    <n v="48.5"/>
    <m/>
    <m/>
    <n v="0"/>
    <n v="0"/>
    <n v="-314004"/>
    <n v="-6474.3092783505153"/>
  </r>
  <r>
    <s v="Ajuste M."/>
    <x v="205"/>
    <x v="11"/>
    <m/>
    <n v="669993"/>
    <m/>
    <x v="0"/>
    <n v="109"/>
    <m/>
    <m/>
    <n v="0"/>
    <n v="0"/>
    <n v="499"/>
    <n v="4.5779816513761471"/>
  </r>
  <r>
    <s v="Ajuste M."/>
    <x v="206"/>
    <x v="0"/>
    <m/>
    <n v="407327"/>
    <m/>
    <x v="4"/>
    <n v="42.5"/>
    <m/>
    <m/>
    <n v="0"/>
    <n v="0"/>
    <n v="-262666"/>
    <n v="-6180.376470588235"/>
  </r>
  <r>
    <n v="319456"/>
    <x v="205"/>
    <x v="34"/>
    <s v="POSTO ZÉ RAMOS"/>
    <m/>
    <s v="ARLA"/>
    <x v="2"/>
    <n v="43"/>
    <m/>
    <n v="3.69"/>
    <n v="158.66999999999999"/>
    <n v="3.6899999999999995"/>
    <m/>
    <n v="0"/>
  </r>
  <r>
    <s v="Ajuste M."/>
    <x v="204"/>
    <x v="0"/>
    <m/>
    <n v="406689"/>
    <m/>
    <x v="0"/>
    <n v="50"/>
    <m/>
    <m/>
    <n v="0"/>
    <n v="0"/>
    <n v="419"/>
    <n v="8.3800000000000008"/>
  </r>
  <r>
    <n v="348429"/>
    <x v="207"/>
    <x v="0"/>
    <s v="RODO POSTO ESTIVA"/>
    <n v="406977"/>
    <s v="DIESEL"/>
    <x v="0"/>
    <n v="36"/>
    <m/>
    <n v="4.7699999999999996"/>
    <n v="171.71999999999997"/>
    <n v="4.7699999999999996"/>
    <n v="288"/>
    <n v="8"/>
  </r>
  <r>
    <s v="Ajuste M."/>
    <x v="207"/>
    <x v="35"/>
    <m/>
    <n v="369105"/>
    <m/>
    <x v="0"/>
    <n v="55"/>
    <m/>
    <m/>
    <n v="0"/>
    <n v="0"/>
    <n v="341"/>
    <n v="6.2"/>
  </r>
  <r>
    <s v="Ajuste M."/>
    <x v="207"/>
    <x v="10"/>
    <m/>
    <n v="264050"/>
    <m/>
    <x v="0"/>
    <n v="65.3"/>
    <m/>
    <m/>
    <n v="0"/>
    <n v="0"/>
    <n v="504"/>
    <n v="7.7182235834609498"/>
  </r>
  <r>
    <s v="Ajuste M."/>
    <x v="207"/>
    <x v="36"/>
    <m/>
    <n v="1035398"/>
    <m/>
    <x v="0"/>
    <n v="510"/>
    <m/>
    <m/>
    <n v="0"/>
    <n v="0"/>
    <n v="1582"/>
    <n v="3.1019607843137256"/>
  </r>
  <r>
    <n v="199540"/>
    <x v="206"/>
    <x v="13"/>
    <s v="TATITA FERNÃO DIAS"/>
    <n v="138978"/>
    <s v="DIESEL"/>
    <x v="0"/>
    <n v="13.82"/>
    <m/>
    <n v="4.79"/>
    <n v="66.197800000000001"/>
    <n v="4.79"/>
    <n v="83"/>
    <n v="6.0057887120115776"/>
  </r>
  <r>
    <n v="199600"/>
    <x v="206"/>
    <x v="17"/>
    <s v="TATITA FERNÃO DIAS"/>
    <n v="219418"/>
    <s v="DIESEL"/>
    <x v="0"/>
    <n v="547"/>
    <m/>
    <n v="4.79"/>
    <n v="2620.13"/>
    <n v="4.79"/>
    <n v="1220"/>
    <n v="2.2303473491773307"/>
  </r>
  <r>
    <n v="503299"/>
    <x v="206"/>
    <x v="0"/>
    <s v="POSTO ABOLICAO"/>
    <n v="407795"/>
    <s v="DIESEL"/>
    <x v="0"/>
    <n v="63.603000000000002"/>
    <m/>
    <n v="4.8899999999999997"/>
    <n v="311.01866999999999"/>
    <n v="4.8899999999999997"/>
    <n v="818"/>
    <n v="12.86102856783485"/>
  </r>
  <r>
    <n v="6506"/>
    <x v="206"/>
    <x v="8"/>
    <s v="REDETUKAS"/>
    <n v="952164"/>
    <s v="DIESEL"/>
    <x v="0"/>
    <n v="550"/>
    <m/>
    <n v="4.45"/>
    <n v="2447.5"/>
    <n v="4.45"/>
    <n v="1577"/>
    <n v="2.8672727272727272"/>
  </r>
  <r>
    <n v="6506"/>
    <x v="206"/>
    <x v="16"/>
    <s v="REDETUKAS"/>
    <n v="364283"/>
    <s v="DIESEL"/>
    <x v="0"/>
    <n v="92"/>
    <m/>
    <n v="4.45"/>
    <n v="409.40000000000003"/>
    <n v="4.45"/>
    <n v="386"/>
    <n v="4.1956521739130439"/>
  </r>
  <r>
    <n v="6506"/>
    <x v="206"/>
    <x v="11"/>
    <s v="REDETUKAS"/>
    <n v="670384"/>
    <s v="DIESEL"/>
    <x v="0"/>
    <n v="83"/>
    <m/>
    <n v="4.45"/>
    <n v="369.35"/>
    <n v="4.45"/>
    <n v="391"/>
    <n v="4.7108433734939759"/>
  </r>
  <r>
    <n v="6506"/>
    <x v="206"/>
    <x v="29"/>
    <s v="REDETUKAS"/>
    <n v="320012"/>
    <s v="DIESEL"/>
    <x v="0"/>
    <n v="96"/>
    <m/>
    <n v="4.45"/>
    <n v="427.20000000000005"/>
    <n v="4.45"/>
    <n v="450"/>
    <n v="4.6875"/>
  </r>
  <r>
    <n v="6506"/>
    <x v="206"/>
    <x v="13"/>
    <s v="REDETUKAS"/>
    <n v="139325"/>
    <s v="DIESEL"/>
    <x v="0"/>
    <n v="43"/>
    <m/>
    <n v="4.45"/>
    <n v="191.35"/>
    <n v="4.45"/>
    <n v="347"/>
    <n v="8.0697674418604652"/>
  </r>
  <r>
    <n v="6506"/>
    <x v="206"/>
    <x v="28"/>
    <s v="REDETUKAS"/>
    <n v="68665"/>
    <s v="DIESEL"/>
    <x v="0"/>
    <n v="58"/>
    <m/>
    <n v="4.45"/>
    <n v="258.10000000000002"/>
    <n v="4.45"/>
    <n v="456"/>
    <n v="7.8620689655172411"/>
  </r>
  <r>
    <n v="6506"/>
    <x v="206"/>
    <x v="26"/>
    <s v="REDETUKAS"/>
    <n v="721383"/>
    <s v="DIESEL"/>
    <x v="0"/>
    <n v="86"/>
    <m/>
    <n v="4.45"/>
    <n v="382.7"/>
    <n v="4.45"/>
    <n v="365"/>
    <n v="4.2441860465116283"/>
  </r>
  <r>
    <n v="320088"/>
    <x v="206"/>
    <x v="28"/>
    <s v="POSTO ZÉ RAMOS"/>
    <n v="68670"/>
    <s v="ARLA"/>
    <x v="2"/>
    <n v="8.5329999999999995"/>
    <m/>
    <n v="3.69"/>
    <n v="31.486769999999996"/>
    <n v="3.69"/>
    <m/>
    <n v="0"/>
  </r>
  <r>
    <n v="320157"/>
    <x v="206"/>
    <x v="14"/>
    <s v="POSTO ZÉ RAMOS"/>
    <n v="116504"/>
    <s v="ARLA"/>
    <x v="2"/>
    <n v="75.106999999999999"/>
    <m/>
    <n v="3.69"/>
    <n v="277.14483000000001"/>
    <n v="3.6900000000000004"/>
    <m/>
    <n v="0"/>
  </r>
  <r>
    <n v="6506"/>
    <x v="208"/>
    <x v="12"/>
    <s v="REDETUKAS"/>
    <n v="238815"/>
    <s v="DIESEL"/>
    <x v="0"/>
    <n v="80"/>
    <m/>
    <n v="4.45"/>
    <n v="356"/>
    <n v="4.45"/>
    <n v="367"/>
    <n v="4.5875000000000004"/>
  </r>
  <r>
    <n v="7295"/>
    <x v="208"/>
    <x v="35"/>
    <s v="BEIRA MINHO"/>
    <n v="369411"/>
    <s v="DIESEL"/>
    <x v="0"/>
    <n v="62.27"/>
    <m/>
    <n v="5.09"/>
    <n v="316.95429999999999"/>
    <n v="5.09"/>
    <n v="306"/>
    <n v="4.9140838284888391"/>
  </r>
  <r>
    <n v="7273"/>
    <x v="208"/>
    <x v="25"/>
    <s v="BEIRA MINHO"/>
    <n v="397823"/>
    <s v="DIESEL"/>
    <x v="0"/>
    <n v="92.69"/>
    <m/>
    <n v="5.09"/>
    <n v="471.79209999999995"/>
    <n v="5.09"/>
    <n v="446"/>
    <n v="4.8117380515697485"/>
  </r>
  <r>
    <n v="7478"/>
    <x v="208"/>
    <x v="33"/>
    <s v="BEIRA MINHO"/>
    <n v="86345"/>
    <s v="DIESEL"/>
    <x v="0"/>
    <n v="163.92"/>
    <m/>
    <n v="5.09"/>
    <n v="834.35279999999989"/>
    <n v="5.09"/>
    <n v="570"/>
    <n v="3.4773060029282581"/>
  </r>
  <r>
    <n v="555461"/>
    <x v="208"/>
    <x v="31"/>
    <s v="COMBO AUTO POSTO"/>
    <n v="322971"/>
    <s v="DIESEL"/>
    <x v="0"/>
    <n v="72.070999999999998"/>
    <m/>
    <n v="5.09"/>
    <n v="366.84138999999999"/>
    <n v="5.09"/>
    <n v="1196"/>
    <n v="16.594746846859348"/>
  </r>
  <r>
    <n v="6506"/>
    <x v="208"/>
    <x v="34"/>
    <s v="REDETUKAS"/>
    <n v="491336"/>
    <s v="DIESEL"/>
    <x v="0"/>
    <n v="322"/>
    <m/>
    <n v="4.45"/>
    <n v="1432.9"/>
    <n v="4.45"/>
    <n v="837"/>
    <n v="2.5993788819875778"/>
  </r>
  <r>
    <n v="6605"/>
    <x v="208"/>
    <x v="18"/>
    <s v="REDETUKAS"/>
    <n v="674687"/>
    <s v="DIESEL"/>
    <x v="0"/>
    <n v="80"/>
    <m/>
    <m/>
    <n v="0"/>
    <n v="0"/>
    <n v="315"/>
    <n v="3.9375"/>
  </r>
  <r>
    <n v="6605"/>
    <x v="208"/>
    <x v="0"/>
    <s v="REDETUKAS"/>
    <n v="407954"/>
    <s v="DIESEL"/>
    <x v="0"/>
    <n v="24"/>
    <m/>
    <m/>
    <n v="0"/>
    <n v="0"/>
    <n v="159"/>
    <n v="6.625"/>
  </r>
  <r>
    <n v="6605"/>
    <x v="208"/>
    <x v="9"/>
    <s v="REDETUKAS"/>
    <n v="377613"/>
    <s v="DIESEL"/>
    <x v="0"/>
    <n v="66"/>
    <m/>
    <m/>
    <n v="0"/>
    <n v="0"/>
    <n v="412"/>
    <n v="6.2424242424242422"/>
  </r>
  <r>
    <n v="6605"/>
    <x v="208"/>
    <x v="1"/>
    <s v="REDETUKAS"/>
    <n v="332476"/>
    <s v="DIESEL"/>
    <x v="0"/>
    <n v="58"/>
    <m/>
    <m/>
    <n v="0"/>
    <n v="0"/>
    <n v="244"/>
    <n v="4.2068965517241379"/>
  </r>
  <r>
    <n v="6605"/>
    <x v="208"/>
    <x v="27"/>
    <s v="REDETUKAS"/>
    <n v="132783"/>
    <s v="DIESEL"/>
    <x v="0"/>
    <n v="160"/>
    <m/>
    <m/>
    <n v="0"/>
    <n v="0"/>
    <n v="759"/>
    <n v="4.7437500000000004"/>
  </r>
  <r>
    <n v="6605"/>
    <x v="209"/>
    <x v="0"/>
    <s v="REDETUKAS"/>
    <n v="408073"/>
    <m/>
    <x v="4"/>
    <n v="15"/>
    <m/>
    <m/>
    <n v="0"/>
    <n v="0"/>
    <n v="169258"/>
    <n v="11283.866666666667"/>
  </r>
  <r>
    <n v="6605"/>
    <x v="208"/>
    <x v="17"/>
    <s v="REDETUKAS"/>
    <n v="219730"/>
    <s v="DIESEL"/>
    <x v="0"/>
    <n v="120"/>
    <m/>
    <m/>
    <n v="0"/>
    <n v="0"/>
    <n v="312"/>
    <n v="2.6"/>
  </r>
  <r>
    <n v="6605"/>
    <x v="208"/>
    <x v="24"/>
    <s v="REDETUKAS"/>
    <n v="96217"/>
    <s v="DIESEL"/>
    <x v="0"/>
    <n v="70"/>
    <m/>
    <m/>
    <n v="0"/>
    <n v="0"/>
    <n v="381"/>
    <n v="5.4428571428571431"/>
  </r>
  <r>
    <n v="6605"/>
    <x v="208"/>
    <x v="22"/>
    <s v="REDETUKAS"/>
    <n v="150321"/>
    <s v="DIESEL"/>
    <x v="0"/>
    <n v="103"/>
    <m/>
    <m/>
    <n v="0"/>
    <n v="0"/>
    <n v="459"/>
    <n v="4.4563106796116507"/>
  </r>
  <r>
    <n v="6605"/>
    <x v="208"/>
    <x v="10"/>
    <s v="REDETUKAS"/>
    <n v="264575"/>
    <s v="DIESEL"/>
    <x v="0"/>
    <n v="63"/>
    <m/>
    <m/>
    <n v="0"/>
    <n v="0"/>
    <n v="525"/>
    <n v="8.3333333333333339"/>
  </r>
  <r>
    <s v="Ajuste M."/>
    <x v="208"/>
    <x v="13"/>
    <m/>
    <n v="139571"/>
    <m/>
    <x v="0"/>
    <n v="28"/>
    <m/>
    <m/>
    <n v="0"/>
    <n v="0"/>
    <n v="246"/>
    <n v="8.7857142857142865"/>
  </r>
  <r>
    <s v="Ajuste M."/>
    <x v="208"/>
    <x v="29"/>
    <m/>
    <n v="320452"/>
    <m/>
    <x v="0"/>
    <n v="115"/>
    <m/>
    <m/>
    <n v="0"/>
    <n v="0"/>
    <n v="440"/>
    <n v="3.8260869565217392"/>
  </r>
  <r>
    <n v="320423"/>
    <x v="208"/>
    <x v="18"/>
    <s v="POSTO ZÉ RAMOS"/>
    <m/>
    <s v="ARLA"/>
    <x v="2"/>
    <n v="10.007999999999999"/>
    <m/>
    <n v="3.69"/>
    <n v="36.929519999999997"/>
    <n v="3.69"/>
    <m/>
    <n v="0"/>
  </r>
  <r>
    <s v="Ajuste M."/>
    <x v="207"/>
    <x v="7"/>
    <m/>
    <n v="105954"/>
    <m/>
    <x v="1"/>
    <n v="44.52"/>
    <m/>
    <m/>
    <n v="0"/>
    <n v="0"/>
    <n v="526"/>
    <n v="11.814914645103324"/>
  </r>
  <r>
    <n v="320443"/>
    <x v="208"/>
    <x v="7"/>
    <s v="POSTO ZÉ RAMOS"/>
    <n v="106505"/>
    <s v="GASOLINA"/>
    <x v="1"/>
    <n v="48.850999999999999"/>
    <m/>
    <n v="5.49"/>
    <n v="268.19199000000003"/>
    <n v="5.4900000000000011"/>
    <n v="551"/>
    <n v="11.279195922294324"/>
  </r>
  <r>
    <n v="585516"/>
    <x v="209"/>
    <x v="36"/>
    <s v="POSTO ITASUL"/>
    <n v="1036780"/>
    <s v="DIESEL"/>
    <x v="0"/>
    <n v="500.18"/>
    <m/>
    <n v="4.8899999999999997"/>
    <n v="2445.8802000000001"/>
    <n v="4.8899999999999997"/>
    <n v="1382"/>
    <n v="2.7630053180854892"/>
  </r>
  <r>
    <n v="875603"/>
    <x v="209"/>
    <x v="0"/>
    <s v="BEIRA MINHO"/>
    <n v="408497"/>
    <s v="DIESEL"/>
    <x v="0"/>
    <n v="54.97"/>
    <m/>
    <n v="5.09"/>
    <n v="279.79730000000001"/>
    <n v="5.09"/>
    <n v="543"/>
    <n v="9.8781153356376201"/>
  </r>
  <r>
    <n v="6605"/>
    <x v="209"/>
    <x v="2"/>
    <s v="REDETUKAS"/>
    <n v="904520"/>
    <s v="DIESEL"/>
    <x v="0"/>
    <n v="395"/>
    <m/>
    <n v="4.5199999999999996"/>
    <n v="1785.3999999999999"/>
    <n v="4.5199999999999996"/>
    <n v="1089"/>
    <n v="2.7569620253164557"/>
  </r>
  <r>
    <n v="6605"/>
    <x v="209"/>
    <x v="12"/>
    <s v="REDETUKAS"/>
    <n v="238829"/>
    <s v="DIESEL"/>
    <x v="0"/>
    <n v="6"/>
    <m/>
    <m/>
    <n v="0"/>
    <n v="0"/>
    <n v="14"/>
    <n v="2.3333333333333335"/>
  </r>
  <r>
    <n v="6605"/>
    <x v="209"/>
    <x v="13"/>
    <s v="REDETUKAS"/>
    <n v="139869"/>
    <s v="DIESEL"/>
    <x v="0"/>
    <n v="33"/>
    <m/>
    <m/>
    <n v="0"/>
    <n v="0"/>
    <n v="298"/>
    <n v="9.0303030303030312"/>
  </r>
  <r>
    <n v="6605"/>
    <x v="209"/>
    <x v="26"/>
    <s v="REDETUKAS"/>
    <n v="721821"/>
    <s v="DIESEL"/>
    <x v="0"/>
    <n v="117"/>
    <m/>
    <m/>
    <n v="0"/>
    <n v="0"/>
    <n v="438"/>
    <n v="3.7435897435897436"/>
  </r>
  <r>
    <n v="6605"/>
    <x v="209"/>
    <x v="29"/>
    <s v="REDETUKAS"/>
    <n v="320902"/>
    <s v="DIESEL"/>
    <x v="0"/>
    <n v="116"/>
    <m/>
    <m/>
    <n v="0"/>
    <n v="0"/>
    <n v="450"/>
    <n v="3.8793103448275863"/>
  </r>
  <r>
    <n v="6605"/>
    <x v="209"/>
    <x v="16"/>
    <s v="REDETUKAS"/>
    <n v="364902"/>
    <s v="DIESEL"/>
    <x v="0"/>
    <n v="96"/>
    <m/>
    <m/>
    <n v="0"/>
    <n v="0"/>
    <n v="619"/>
    <n v="6.447916666666667"/>
  </r>
  <r>
    <n v="6605"/>
    <x v="209"/>
    <x v="6"/>
    <s v="REDETUKAS"/>
    <n v="640244"/>
    <s v="DIESEL"/>
    <x v="0"/>
    <n v="94"/>
    <m/>
    <m/>
    <n v="0"/>
    <n v="0"/>
    <n v="353"/>
    <n v="3.7553191489361701"/>
  </r>
  <r>
    <n v="6605"/>
    <x v="209"/>
    <x v="28"/>
    <s v="REDETUKAS"/>
    <n v="69245"/>
    <s v="DIESEL"/>
    <x v="0"/>
    <n v="69"/>
    <m/>
    <m/>
    <n v="0"/>
    <n v="0"/>
    <n v="580"/>
    <n v="8.4057971014492754"/>
  </r>
  <r>
    <n v="6605"/>
    <x v="209"/>
    <x v="10"/>
    <s v="REDETUKAS"/>
    <n v="264971"/>
    <s v="DIESEL"/>
    <x v="0"/>
    <n v="62"/>
    <m/>
    <m/>
    <n v="0"/>
    <n v="0"/>
    <n v="396"/>
    <n v="6.387096774193548"/>
  </r>
  <r>
    <n v="6605"/>
    <x v="209"/>
    <x v="11"/>
    <s v="REDETUKAS"/>
    <n v="670797"/>
    <s v="DIESEL"/>
    <x v="0"/>
    <n v="84"/>
    <m/>
    <m/>
    <n v="0"/>
    <n v="0"/>
    <n v="413"/>
    <n v="4.916666666666667"/>
  </r>
  <r>
    <s v="Ajuste M."/>
    <x v="209"/>
    <x v="18"/>
    <m/>
    <n v="675088"/>
    <m/>
    <x v="0"/>
    <n v="102"/>
    <m/>
    <m/>
    <n v="0"/>
    <n v="0"/>
    <n v="401"/>
    <n v="3.9313725490196076"/>
  </r>
  <r>
    <s v="Ajuste M."/>
    <x v="202"/>
    <x v="19"/>
    <m/>
    <n v="226489"/>
    <m/>
    <x v="1"/>
    <n v="35.450000000000003"/>
    <m/>
    <m/>
    <n v="0"/>
    <n v="0"/>
    <n v="377"/>
    <n v="10.634696755994357"/>
  </r>
  <r>
    <n v="320608"/>
    <x v="209"/>
    <x v="19"/>
    <s v="POSTO ZÉ RAMOS"/>
    <n v="226868"/>
    <s v="GASOLINA"/>
    <x v="1"/>
    <n v="36.630000000000003"/>
    <m/>
    <n v="5.49"/>
    <n v="201.09870000000001"/>
    <n v="5.49"/>
    <n v="379"/>
    <n v="10.346710346710346"/>
  </r>
  <r>
    <n v="713171"/>
    <x v="210"/>
    <x v="6"/>
    <s v="GAVIÃO DA ANHANGUERA"/>
    <n v="640803"/>
    <s v="DIESEL"/>
    <x v="0"/>
    <n v="135.28299999999999"/>
    <m/>
    <n v="5.09"/>
    <n v="688.59046999999987"/>
    <n v="5.09"/>
    <n v="559"/>
    <n v="4.132078679508882"/>
  </r>
  <r>
    <n v="162017"/>
    <x v="210"/>
    <x v="27"/>
    <s v="POSTO SCARIOT"/>
    <n v="133624"/>
    <s v="DIESEL"/>
    <x v="0"/>
    <n v="183"/>
    <n v="225.09"/>
    <n v="6.42"/>
    <n v="949.76999999999987"/>
    <n v="5.1899999999999995"/>
    <n v="841"/>
    <n v="4.5956284153005464"/>
  </r>
  <r>
    <n v="875603"/>
    <x v="210"/>
    <x v="33"/>
    <s v="BEIRA MINHO"/>
    <n v="86921"/>
    <s v="DIESEL"/>
    <x v="0"/>
    <n v="161.97999999999999"/>
    <m/>
    <n v="5.09"/>
    <n v="824.4781999999999"/>
    <n v="5.09"/>
    <n v="576"/>
    <n v="3.5559945672305227"/>
  </r>
  <r>
    <n v="6605"/>
    <x v="210"/>
    <x v="14"/>
    <s v="REDETUKAS"/>
    <n v="117125"/>
    <s v="DIESEL"/>
    <x v="0"/>
    <n v="471"/>
    <m/>
    <m/>
    <n v="0"/>
    <n v="0"/>
    <n v="1545"/>
    <n v="3.2802547770700636"/>
  </r>
  <r>
    <n v="6605"/>
    <x v="210"/>
    <x v="12"/>
    <s v="REDETUKAS"/>
    <n v="239179"/>
    <s v="DIESEL"/>
    <x v="0"/>
    <n v="73"/>
    <m/>
    <m/>
    <n v="0"/>
    <n v="0"/>
    <n v="350"/>
    <n v="4.7945205479452051"/>
  </r>
  <r>
    <n v="6605"/>
    <x v="210"/>
    <x v="0"/>
    <s v="REDETUKAS"/>
    <n v="408668"/>
    <s v="DIESEL"/>
    <x v="0"/>
    <n v="23"/>
    <m/>
    <m/>
    <n v="0"/>
    <n v="0"/>
    <n v="171"/>
    <n v="7.4347826086956523"/>
  </r>
  <r>
    <n v="647804"/>
    <x v="211"/>
    <x v="6"/>
    <s v="DOM PEDRO POUSO ALEGRE"/>
    <n v="641273"/>
    <s v="DIESEL"/>
    <x v="0"/>
    <n v="79.010999999999996"/>
    <m/>
    <n v="4.8899999999999997"/>
    <n v="386.36378999999994"/>
    <n v="4.8899999999999997"/>
    <n v="470"/>
    <n v="5.948538811051626"/>
  </r>
  <r>
    <n v="162408"/>
    <x v="211"/>
    <x v="27"/>
    <s v="POSTO SCARIOT"/>
    <n v="134355"/>
    <s v="DIESEL"/>
    <x v="0"/>
    <n v="160"/>
    <n v="171.2"/>
    <n v="6.42"/>
    <n v="856"/>
    <n v="5.35"/>
    <n v="731"/>
    <n v="4.5687499999999996"/>
  </r>
  <r>
    <n v="6605"/>
    <x v="211"/>
    <x v="2"/>
    <s v="REDETUKAS"/>
    <n v="905295"/>
    <s v="DIESEL"/>
    <x v="0"/>
    <n v="307"/>
    <m/>
    <n v="4.5199999999999996"/>
    <n v="1387.6399999999999"/>
    <n v="4.5199999999999996"/>
    <n v="775"/>
    <n v="2.5244299674267099"/>
  </r>
  <r>
    <n v="6605"/>
    <x v="211"/>
    <x v="29"/>
    <s v="REDETUKAS"/>
    <n v="321230"/>
    <s v="DIESEL"/>
    <x v="0"/>
    <n v="77"/>
    <m/>
    <m/>
    <n v="0"/>
    <n v="0"/>
    <n v="328"/>
    <n v="4.2597402597402594"/>
  </r>
  <r>
    <n v="6605"/>
    <x v="211"/>
    <x v="10"/>
    <s v="REDETUKAS"/>
    <n v="265081"/>
    <s v="DIESEL"/>
    <x v="0"/>
    <n v="18.5"/>
    <m/>
    <m/>
    <n v="0"/>
    <n v="0"/>
    <n v="110"/>
    <n v="5.9459459459459456"/>
  </r>
  <r>
    <n v="6605"/>
    <x v="211"/>
    <x v="34"/>
    <s v="REDETUKAS"/>
    <n v="492319"/>
    <s v="DIESEL"/>
    <x v="0"/>
    <n v="330"/>
    <m/>
    <m/>
    <n v="0"/>
    <n v="0"/>
    <n v="983"/>
    <n v="2.978787878787879"/>
  </r>
  <r>
    <n v="6605"/>
    <x v="211"/>
    <x v="16"/>
    <s v="REDETUKAS"/>
    <n v="365126"/>
    <s v="DIESEL"/>
    <x v="0"/>
    <n v="90"/>
    <m/>
    <m/>
    <n v="0"/>
    <n v="0"/>
    <n v="224"/>
    <n v="2.4888888888888889"/>
  </r>
  <r>
    <s v="Ajuste M."/>
    <x v="211"/>
    <x v="9"/>
    <m/>
    <n v="378392"/>
    <m/>
    <x v="0"/>
    <n v="124"/>
    <m/>
    <m/>
    <n v="0"/>
    <n v="0"/>
    <n v="779"/>
    <n v="6.282258064516129"/>
  </r>
  <r>
    <s v="Ajuste M."/>
    <x v="212"/>
    <x v="13"/>
    <m/>
    <n v="140293"/>
    <m/>
    <x v="0"/>
    <n v="45.23"/>
    <m/>
    <m/>
    <n v="0"/>
    <n v="0"/>
    <n v="424"/>
    <n v="9.3743090868892338"/>
  </r>
  <r>
    <n v="345732"/>
    <x v="213"/>
    <x v="29"/>
    <s v="GRAAL ALEMÃO"/>
    <n v="321451"/>
    <s v="DIESEL"/>
    <x v="0"/>
    <n v="40"/>
    <n v="42"/>
    <n v="5.86"/>
    <n v="192.4"/>
    <n v="4.8100000000000005"/>
    <n v="221"/>
    <n v="5.5250000000000004"/>
  </r>
  <r>
    <s v="Ajuste M."/>
    <x v="213"/>
    <x v="18"/>
    <m/>
    <n v="675629"/>
    <m/>
    <x v="0"/>
    <n v="142"/>
    <m/>
    <m/>
    <n v="0"/>
    <n v="0"/>
    <n v="541"/>
    <n v="3.8098591549295775"/>
  </r>
  <r>
    <s v="Ajuste M."/>
    <x v="213"/>
    <x v="17"/>
    <m/>
    <n v="220899"/>
    <m/>
    <x v="0"/>
    <n v="509"/>
    <m/>
    <m/>
    <n v="0"/>
    <n v="0"/>
    <n v="1169"/>
    <n v="2.2966601178781927"/>
  </r>
  <r>
    <n v="12289"/>
    <x v="214"/>
    <x v="0"/>
    <s v="BEIRA MINHO"/>
    <n v="409051"/>
    <s v="DIESEL"/>
    <x v="0"/>
    <n v="49.5"/>
    <m/>
    <n v="5.19"/>
    <n v="256.90500000000003"/>
    <n v="5.19"/>
    <n v="383"/>
    <n v="7.737373737373737"/>
  </r>
  <r>
    <n v="12504"/>
    <x v="214"/>
    <x v="33"/>
    <s v="BEIRA MINHO"/>
    <n v="87448"/>
    <s v="DIESEL"/>
    <x v="0"/>
    <n v="160.47999999999999"/>
    <m/>
    <n v="5.19"/>
    <n v="832.89120000000003"/>
    <n v="5.19"/>
    <n v="527"/>
    <n v="3.2838983050847461"/>
  </r>
  <r>
    <n v="200893"/>
    <x v="214"/>
    <x v="24"/>
    <s v="TATITA FERNÃO DIAS"/>
    <n v="96832"/>
    <s v="DIESEL"/>
    <x v="0"/>
    <n v="101"/>
    <m/>
    <n v="4.83"/>
    <n v="487.83"/>
    <n v="4.83"/>
    <n v="615"/>
    <n v="6.0891089108910892"/>
  </r>
  <r>
    <n v="12443"/>
    <x v="214"/>
    <x v="30"/>
    <s v="BEIRA MINHO"/>
    <n v="318556"/>
    <s v="DIESEL"/>
    <x v="0"/>
    <n v="110.02"/>
    <m/>
    <n v="5.19"/>
    <n v="571.00380000000007"/>
    <n v="5.19"/>
    <n v="528"/>
    <n v="4.7991274313761139"/>
  </r>
  <r>
    <n v="6693"/>
    <x v="214"/>
    <x v="1"/>
    <s v="REDETUKAS"/>
    <n v="333030"/>
    <s v="DIESEL"/>
    <x v="0"/>
    <n v="142"/>
    <m/>
    <m/>
    <n v="0"/>
    <n v="0"/>
    <n v="554"/>
    <n v="3.9014084507042255"/>
  </r>
  <r>
    <n v="6693"/>
    <x v="214"/>
    <x v="13"/>
    <s v="REDETUKAS"/>
    <n v="140609"/>
    <s v="DIESEL"/>
    <x v="0"/>
    <n v="38"/>
    <m/>
    <m/>
    <n v="0"/>
    <n v="0"/>
    <n v="316"/>
    <n v="8.3157894736842106"/>
  </r>
  <r>
    <n v="6693"/>
    <x v="214"/>
    <x v="27"/>
    <s v="REDETUKAS"/>
    <n v="135184"/>
    <s v="DIESEL"/>
    <x v="0"/>
    <n v="148"/>
    <m/>
    <m/>
    <n v="0"/>
    <n v="0"/>
    <n v="829"/>
    <n v="5.6013513513513518"/>
  </r>
  <r>
    <n v="6693"/>
    <x v="214"/>
    <x v="12"/>
    <s v="REDETUKAS"/>
    <n v="239629"/>
    <s v="DIESEL"/>
    <x v="0"/>
    <n v="86"/>
    <m/>
    <m/>
    <n v="0"/>
    <n v="0"/>
    <n v="450"/>
    <n v="5.2325581395348841"/>
  </r>
  <r>
    <n v="6693"/>
    <x v="214"/>
    <x v="28"/>
    <s v="REDETUKAS"/>
    <n v="69951"/>
    <s v="DIESEL"/>
    <x v="0"/>
    <n v="84"/>
    <m/>
    <m/>
    <n v="0"/>
    <n v="0"/>
    <n v="706"/>
    <n v="8.4047619047619051"/>
  </r>
  <r>
    <n v="6693"/>
    <x v="214"/>
    <x v="26"/>
    <s v="REDETUKAS"/>
    <n v="722182"/>
    <s v="DIESEL"/>
    <x v="0"/>
    <n v="106"/>
    <m/>
    <m/>
    <n v="0"/>
    <n v="0"/>
    <n v="361"/>
    <n v="3.4056603773584904"/>
  </r>
  <r>
    <n v="6693"/>
    <x v="214"/>
    <x v="11"/>
    <s v="REDETUKAS"/>
    <n v="671164"/>
    <s v="DIESEL"/>
    <x v="0"/>
    <n v="86"/>
    <m/>
    <m/>
    <n v="0"/>
    <n v="0"/>
    <n v="367"/>
    <n v="4.2674418604651159"/>
  </r>
  <r>
    <n v="6693"/>
    <x v="214"/>
    <x v="10"/>
    <s v="REDETUKAS"/>
    <n v="265529"/>
    <s v="DIESEL"/>
    <x v="0"/>
    <n v="64"/>
    <m/>
    <m/>
    <n v="0"/>
    <n v="0"/>
    <n v="448"/>
    <n v="7"/>
  </r>
  <r>
    <n v="6693"/>
    <x v="214"/>
    <x v="24"/>
    <s v="REDETUKAS"/>
    <n v="97188"/>
    <s v="DIESEL"/>
    <x v="0"/>
    <n v="66"/>
    <m/>
    <m/>
    <n v="0"/>
    <n v="0"/>
    <n v="356"/>
    <n v="5.3939393939393936"/>
  </r>
  <r>
    <n v="249261"/>
    <x v="214"/>
    <x v="8"/>
    <s v="DOM PEDRO ESTIVA"/>
    <n v="953936"/>
    <s v="DIESEL"/>
    <x v="0"/>
    <n v="611"/>
    <m/>
    <n v="5.09"/>
    <n v="3109.99"/>
    <n v="5.09"/>
    <n v="1772"/>
    <n v="2.900163666121113"/>
  </r>
  <r>
    <s v="Ajuste M."/>
    <x v="214"/>
    <x v="6"/>
    <m/>
    <n v="641655"/>
    <m/>
    <x v="0"/>
    <n v="93"/>
    <m/>
    <m/>
    <n v="0"/>
    <n v="0"/>
    <n v="382"/>
    <n v="4.10752688172043"/>
  </r>
  <r>
    <n v="6873"/>
    <x v="215"/>
    <x v="36"/>
    <s v="REDETUKAS"/>
    <n v="1036875"/>
    <m/>
    <x v="0"/>
    <n v="456"/>
    <m/>
    <m/>
    <n v="0"/>
    <n v="0"/>
    <n v="95"/>
    <n v="0.20833333333333334"/>
  </r>
  <r>
    <s v="Ajuste M."/>
    <x v="216"/>
    <x v="36"/>
    <m/>
    <n v="1038325"/>
    <m/>
    <x v="0"/>
    <n v="509"/>
    <m/>
    <m/>
    <n v="0"/>
    <n v="0"/>
    <n v="1450"/>
    <n v="2.8487229862475441"/>
  </r>
  <r>
    <s v="Ajuste M."/>
    <x v="210"/>
    <x v="7"/>
    <m/>
    <n v="106951"/>
    <m/>
    <x v="1"/>
    <n v="41.25"/>
    <m/>
    <m/>
    <n v="0"/>
    <n v="0"/>
    <n v="446"/>
    <n v="10.812121212121212"/>
  </r>
  <r>
    <s v="Ajuste M."/>
    <x v="212"/>
    <x v="7"/>
    <m/>
    <n v="107401"/>
    <m/>
    <x v="1"/>
    <n v="38.520000000000003"/>
    <m/>
    <m/>
    <n v="0"/>
    <n v="0"/>
    <n v="450"/>
    <n v="11.682242990654204"/>
  </r>
  <r>
    <n v="322092"/>
    <x v="214"/>
    <x v="7"/>
    <s v="POSTO ZÉ RAMOS"/>
    <n v="107844"/>
    <s v="GASOLINA"/>
    <x v="1"/>
    <n v="43.831000000000003"/>
    <m/>
    <n v="5.49"/>
    <n v="240.63219000000004"/>
    <n v="5.49"/>
    <n v="443"/>
    <n v="10.107001893636923"/>
  </r>
  <r>
    <n v="321988"/>
    <x v="214"/>
    <x v="9"/>
    <s v="POSTO ZÉ RAMOS"/>
    <n v="378422"/>
    <s v="DIESEL"/>
    <x v="0"/>
    <n v="131.97999999999999"/>
    <m/>
    <n v="4.99"/>
    <n v="658.58019999999999"/>
    <n v="4.99"/>
    <n v="30"/>
    <n v="0.22730716775268983"/>
  </r>
  <r>
    <n v="637102"/>
    <x v="214"/>
    <x v="6"/>
    <s v="DOM PEDRO DE LEME"/>
    <n v="641570"/>
    <s v="DIESEL"/>
    <x v="0"/>
    <n v="97.45"/>
    <m/>
    <n v="5.09"/>
    <n v="496.02050000000003"/>
    <n v="5.09"/>
    <n v="-85"/>
    <n v="-0.87224217547460237"/>
  </r>
  <r>
    <n v="322432"/>
    <x v="216"/>
    <x v="22"/>
    <s v="POSTO ZÉ RAMOS"/>
    <n v="151120"/>
    <s v="DIESEL"/>
    <x v="0"/>
    <n v="209.68"/>
    <m/>
    <n v="5.09"/>
    <n v="1067.2711999999999"/>
    <n v="5.089999999999999"/>
    <n v="799"/>
    <n v="3.81056848531095"/>
  </r>
  <r>
    <n v="322487"/>
    <x v="216"/>
    <x v="13"/>
    <s v="POSTO ZÉ RAMOS"/>
    <n v="140833"/>
    <s v="DIESEL"/>
    <x v="0"/>
    <n v="28.379000000000001"/>
    <m/>
    <n v="5.09"/>
    <n v="144.44910999999999"/>
    <n v="5.09"/>
    <n v="224"/>
    <n v="7.8931604355333169"/>
  </r>
  <r>
    <n v="322475"/>
    <x v="216"/>
    <x v="10"/>
    <s v="POSTO ZÉ RAMOS"/>
    <n v="266099"/>
    <s v="DIESEL"/>
    <x v="0"/>
    <n v="78.98"/>
    <m/>
    <n v="5.09"/>
    <n v="402.00819999999999"/>
    <n v="5.09"/>
    <n v="570"/>
    <n v="7.2170169663205872"/>
  </r>
  <r>
    <n v="557534"/>
    <x v="216"/>
    <x v="15"/>
    <s v="COMBO AUTO POSTO"/>
    <n v="301704"/>
    <s v="DIESEL"/>
    <x v="0"/>
    <n v="111.721"/>
    <m/>
    <n v="5.69"/>
    <n v="635.69249000000002"/>
    <n v="5.69"/>
    <n v="591"/>
    <n v="5.2899633909470909"/>
  </r>
  <r>
    <n v="13030"/>
    <x v="216"/>
    <x v="25"/>
    <s v="BEIRA MINHO"/>
    <n v="398358"/>
    <s v="DIESEL"/>
    <x v="0"/>
    <n v="96.65"/>
    <m/>
    <n v="5.19"/>
    <n v="501.61350000000004"/>
    <n v="5.19"/>
    <n v="535"/>
    <n v="5.5354371443352299"/>
  </r>
  <r>
    <n v="6693"/>
    <x v="216"/>
    <x v="2"/>
    <s v="REDETUKAS"/>
    <n v="906079"/>
    <s v="DIESEL"/>
    <x v="0"/>
    <n v="306"/>
    <m/>
    <n v="4.9000000000000004"/>
    <n v="1499.4"/>
    <n v="4.9000000000000004"/>
    <n v="784"/>
    <n v="2.5620915032679736"/>
  </r>
  <r>
    <n v="6693"/>
    <x v="216"/>
    <x v="34"/>
    <s v="REDETUKAS"/>
    <n v="493153"/>
    <s v="DIESEL"/>
    <x v="0"/>
    <n v="297"/>
    <m/>
    <m/>
    <n v="0"/>
    <n v="0"/>
    <n v="834"/>
    <n v="2.808080808080808"/>
  </r>
  <r>
    <n v="6693"/>
    <x v="216"/>
    <x v="18"/>
    <s v="REDETUKAS"/>
    <n v="675891"/>
    <s v="DIESEL"/>
    <x v="0"/>
    <n v="72"/>
    <m/>
    <m/>
    <n v="0"/>
    <n v="0"/>
    <n v="262"/>
    <n v="3.6388888888888888"/>
  </r>
  <r>
    <n v="557516"/>
    <x v="216"/>
    <x v="33"/>
    <s v="COMBO AUTO POSTO"/>
    <n v="87734"/>
    <s v="DIESEL"/>
    <x v="0"/>
    <n v="89.12"/>
    <m/>
    <n v="5.95"/>
    <n v="530.26400000000001"/>
    <n v="5.95"/>
    <n v="286"/>
    <n v="3.2091561938958706"/>
  </r>
  <r>
    <s v="Ajuste M."/>
    <x v="216"/>
    <x v="24"/>
    <m/>
    <n v="97943"/>
    <m/>
    <x v="0"/>
    <n v="125"/>
    <m/>
    <m/>
    <n v="0"/>
    <n v="0"/>
    <n v="755"/>
    <n v="6.04"/>
  </r>
  <r>
    <n v="579890"/>
    <x v="217"/>
    <x v="27"/>
    <s v="AUTO POSTO GRUTA"/>
    <n v="135632"/>
    <s v="DIESEL"/>
    <x v="0"/>
    <n v="100.771"/>
    <m/>
    <n v="5.89"/>
    <n v="593.54119000000003"/>
    <n v="5.8900000000000006"/>
    <n v="448"/>
    <n v="4.445723472030644"/>
  </r>
  <r>
    <n v="6605"/>
    <x v="217"/>
    <x v="2"/>
    <s v="REDETUKAS"/>
    <n v="906861"/>
    <s v="DIESEL"/>
    <x v="0"/>
    <n v="341"/>
    <m/>
    <n v="4.8"/>
    <n v="1636.8"/>
    <n v="4.8"/>
    <n v="782"/>
    <n v="2.2932551319648096"/>
  </r>
  <r>
    <n v="6693"/>
    <x v="217"/>
    <x v="14"/>
    <s v="REDETUKAS"/>
    <n v="118377"/>
    <s v="DIESEL"/>
    <x v="0"/>
    <n v="384"/>
    <m/>
    <m/>
    <n v="0"/>
    <n v="0"/>
    <n v="1252"/>
    <n v="3.2604166666666665"/>
  </r>
  <r>
    <n v="6693"/>
    <x v="217"/>
    <x v="9"/>
    <s v="REDETUKAS"/>
    <n v="379108"/>
    <s v="DIESEL"/>
    <x v="0"/>
    <n v="111"/>
    <m/>
    <m/>
    <n v="0"/>
    <n v="0"/>
    <n v="686"/>
    <n v="6.1801801801801801"/>
  </r>
  <r>
    <n v="6693"/>
    <x v="217"/>
    <x v="16"/>
    <s v="REDETUKAS"/>
    <n v="365899"/>
    <s v="DIESEL"/>
    <x v="0"/>
    <n v="175"/>
    <m/>
    <m/>
    <n v="0"/>
    <n v="0"/>
    <n v="773"/>
    <n v="4.4171428571428573"/>
  </r>
  <r>
    <n v="6693"/>
    <x v="217"/>
    <x v="6"/>
    <s v="REDETUKAS"/>
    <n v="642126"/>
    <s v="DIESEL"/>
    <x v="0"/>
    <n v="119"/>
    <m/>
    <m/>
    <n v="0"/>
    <n v="0"/>
    <n v="556"/>
    <n v="4.6722689075630255"/>
  </r>
  <r>
    <n v="6693"/>
    <x v="217"/>
    <x v="29"/>
    <s v="REDETUKAS"/>
    <n v="322326"/>
    <s v="DIESEL"/>
    <x v="0"/>
    <n v="159"/>
    <m/>
    <m/>
    <n v="0"/>
    <n v="0"/>
    <n v="875"/>
    <n v="5.5031446540880502"/>
  </r>
  <r>
    <n v="6693"/>
    <x v="217"/>
    <x v="0"/>
    <s v="REDETUKAS"/>
    <n v="409246"/>
    <s v="DIESEL"/>
    <x v="0"/>
    <n v="27"/>
    <m/>
    <m/>
    <n v="0"/>
    <n v="0"/>
    <n v="195"/>
    <n v="7.2222222222222223"/>
  </r>
  <r>
    <n v="6693"/>
    <x v="217"/>
    <x v="13"/>
    <s v="REDETUKAS"/>
    <n v="141159"/>
    <s v="DIESEL"/>
    <x v="0"/>
    <n v="44"/>
    <m/>
    <m/>
    <n v="0"/>
    <n v="0"/>
    <n v="326"/>
    <n v="7.4090909090909092"/>
  </r>
  <r>
    <n v="6693"/>
    <x v="217"/>
    <x v="11"/>
    <s v="REDETUKAS"/>
    <n v="671716"/>
    <s v="DIESEL"/>
    <x v="0"/>
    <n v="118"/>
    <m/>
    <m/>
    <n v="0"/>
    <n v="0"/>
    <n v="552"/>
    <n v="4.6779661016949152"/>
  </r>
  <r>
    <n v="6693"/>
    <x v="217"/>
    <x v="18"/>
    <s v="REDETUKAS"/>
    <n v="676290"/>
    <s v="DIESEL"/>
    <x v="0"/>
    <n v="107"/>
    <m/>
    <m/>
    <n v="0"/>
    <n v="0"/>
    <n v="399"/>
    <n v="3.7289719626168223"/>
  </r>
  <r>
    <n v="6693"/>
    <x v="217"/>
    <x v="0"/>
    <s v="REDETUKAS"/>
    <n v="409366"/>
    <s v="DIESEL"/>
    <x v="0"/>
    <n v="17"/>
    <m/>
    <m/>
    <n v="0"/>
    <n v="0"/>
    <n v="120"/>
    <n v="7.0588235294117645"/>
  </r>
  <r>
    <n v="557729"/>
    <x v="217"/>
    <x v="5"/>
    <s v="COMBO AUTO POSTO"/>
    <n v="616288"/>
    <s v="DIESEL"/>
    <x v="0"/>
    <n v="109.35"/>
    <m/>
    <n v="5.95"/>
    <n v="650.63249999999994"/>
    <n v="5.9499999999999993"/>
    <n v="3232"/>
    <n v="29.556470050297211"/>
  </r>
  <r>
    <s v="Ajuste M."/>
    <x v="217"/>
    <x v="24"/>
    <m/>
    <n v="98595"/>
    <m/>
    <x v="0"/>
    <n v="104"/>
    <m/>
    <m/>
    <n v="0"/>
    <n v="0"/>
    <n v="652"/>
    <n v="6.2692307692307692"/>
  </r>
  <r>
    <n v="14984"/>
    <x v="218"/>
    <x v="35"/>
    <s v="BEIRA MINHO"/>
    <n v="370139"/>
    <s v="DIESEL"/>
    <x v="0"/>
    <n v="91.69"/>
    <m/>
    <n v="5.69"/>
    <n v="521.71609999999998"/>
    <n v="5.69"/>
    <n v="728"/>
    <n v="7.939797142545534"/>
  </r>
  <r>
    <n v="557968"/>
    <x v="218"/>
    <x v="33"/>
    <s v="COMBO AUTO POSTO"/>
    <n v="88226"/>
    <s v="DIESEL"/>
    <x v="0"/>
    <n v="154.25"/>
    <m/>
    <n v="6.16"/>
    <n v="950.18000000000006"/>
    <n v="6.16"/>
    <n v="492"/>
    <n v="3.1896272285251217"/>
  </r>
  <r>
    <n v="717810"/>
    <x v="218"/>
    <x v="6"/>
    <s v="GAVIÃO DA ANHANGUERA"/>
    <n v="642777"/>
    <s v="DIESEL"/>
    <x v="0"/>
    <n v="127.17100000000001"/>
    <m/>
    <n v="6.01"/>
    <n v="764.29771000000005"/>
    <n v="6.01"/>
    <n v="651"/>
    <n v="5.1190916167994276"/>
  </r>
  <r>
    <n v="201778"/>
    <x v="219"/>
    <x v="10"/>
    <s v="TATITA FERNÃO DIAS"/>
    <n v="266586"/>
    <s v="DIESEL"/>
    <x v="0"/>
    <n v="55.25"/>
    <m/>
    <n v="5.89"/>
    <n v="325.42249999999996"/>
    <n v="5.8899999999999988"/>
    <n v="487"/>
    <n v="8.8144796380090504"/>
  </r>
  <r>
    <n v="323253"/>
    <x v="219"/>
    <x v="28"/>
    <s v="POSTO ZÉ RAMOS"/>
    <n v="70581"/>
    <s v="DIESEL"/>
    <x v="0"/>
    <n v="79.459999999999994"/>
    <m/>
    <n v="5.89"/>
    <n v="468.01939999999996"/>
    <n v="5.89"/>
    <n v="630"/>
    <n v="7.9285174930782789"/>
  </r>
  <r>
    <n v="201809"/>
    <x v="219"/>
    <x v="26"/>
    <s v="TATITA FERNÃO DIAS"/>
    <n v="722524"/>
    <s v="DIESEL"/>
    <x v="0"/>
    <n v="93.760999999999996"/>
    <m/>
    <n v="5.89"/>
    <n v="552.2522899999999"/>
    <n v="5.8899999999999988"/>
    <n v="342"/>
    <n v="3.6475720182165294"/>
  </r>
  <r>
    <n v="201767"/>
    <x v="219"/>
    <x v="27"/>
    <s v="TATITA FERNÃO DIAS"/>
    <n v="136413"/>
    <s v="DIESEL"/>
    <x v="0"/>
    <n v="185.9"/>
    <m/>
    <n v="5.89"/>
    <n v="1094.951"/>
    <n v="5.89"/>
    <n v="781"/>
    <n v="4.2011834319526624"/>
  </r>
  <r>
    <n v="296656"/>
    <x v="220"/>
    <x v="27"/>
    <s v="POSTO SCARIOT"/>
    <n v="137985"/>
    <s v="ARLA"/>
    <x v="2"/>
    <n v="21.097000000000001"/>
    <m/>
    <n v="3.19"/>
    <n v="67.299430000000001"/>
    <n v="3.19"/>
    <m/>
    <n v="0"/>
  </r>
  <r>
    <n v="166576"/>
    <x v="219"/>
    <x v="13"/>
    <s v="RODOPOSTO MIRANTE"/>
    <n v="141441"/>
    <s v="DIESEL"/>
    <x v="0"/>
    <n v="35.965000000000003"/>
    <n v="33.08"/>
    <n v="6.81"/>
    <n v="211.84165000000002"/>
    <n v="5.8902168775198112"/>
    <n v="282"/>
    <n v="7.8409564854719855"/>
  </r>
  <r>
    <n v="323349"/>
    <x v="219"/>
    <x v="16"/>
    <s v="POSTO ZÉ RAMOS"/>
    <n v="366444"/>
    <s v="DIESEL"/>
    <x v="0"/>
    <n v="122.32899999999999"/>
    <m/>
    <n v="5.89"/>
    <n v="720.51780999999994"/>
    <n v="5.89"/>
    <n v="545"/>
    <n v="4.4551986855120207"/>
  </r>
  <r>
    <n v="201709"/>
    <x v="219"/>
    <x v="0"/>
    <s v="TATITA FERNÃO DIAS"/>
    <n v="409487"/>
    <s v="DIESEL"/>
    <x v="0"/>
    <n v="17.829999999999998"/>
    <m/>
    <n v="5.89"/>
    <n v="105.01869999999998"/>
    <n v="5.89"/>
    <n v="121"/>
    <n v="6.7863151991026367"/>
  </r>
  <r>
    <n v="15800"/>
    <x v="219"/>
    <x v="0"/>
    <s v="BEIRA MINHO"/>
    <n v="409809"/>
    <s v="DIESEL"/>
    <x v="0"/>
    <n v="33.020000000000003"/>
    <m/>
    <n v="5.99"/>
    <n v="197.78980000000001"/>
    <n v="5.99"/>
    <n v="322"/>
    <n v="9.7516656571774671"/>
  </r>
  <r>
    <n v="15413"/>
    <x v="219"/>
    <x v="12"/>
    <s v="BEIRA MINHO"/>
    <n v="240329"/>
    <s v="DIESEL"/>
    <x v="0"/>
    <n v="140.80000000000001"/>
    <m/>
    <n v="5.69"/>
    <n v="801.15200000000016"/>
    <n v="5.69"/>
    <n v="700"/>
    <n v="4.9715909090909083"/>
  </r>
  <r>
    <n v="201831"/>
    <x v="219"/>
    <x v="13"/>
    <s v="TATITA FERNÃO DIAS"/>
    <n v="141746"/>
    <s v="DIESEL"/>
    <x v="0"/>
    <n v="38.01"/>
    <m/>
    <n v="5.89"/>
    <n v="223.87889999999999"/>
    <n v="5.89"/>
    <n v="305"/>
    <n v="8.0242041568008418"/>
  </r>
  <r>
    <n v="6693"/>
    <x v="219"/>
    <x v="34"/>
    <s v="REDETUKAS"/>
    <n v="493968"/>
    <s v="DIESEL"/>
    <x v="0"/>
    <n v="300"/>
    <m/>
    <m/>
    <n v="0"/>
    <n v="0"/>
    <n v="815"/>
    <n v="2.7166666666666668"/>
  </r>
  <r>
    <n v="6693"/>
    <x v="219"/>
    <x v="24"/>
    <s v="REDETUKAS"/>
    <n v="99059"/>
    <s v="DIESEL"/>
    <x v="0"/>
    <n v="70"/>
    <m/>
    <m/>
    <n v="0"/>
    <n v="0"/>
    <n v="464"/>
    <n v="6.628571428571429"/>
  </r>
  <r>
    <s v="Ajuste M."/>
    <x v="219"/>
    <x v="1"/>
    <m/>
    <n v="333452"/>
    <m/>
    <x v="0"/>
    <n v="95"/>
    <m/>
    <m/>
    <n v="0"/>
    <n v="0"/>
    <n v="422"/>
    <n v="4.4421052631578943"/>
  </r>
  <r>
    <n v="323253"/>
    <x v="219"/>
    <x v="28"/>
    <s v="POSTO ZÉ RAMOS"/>
    <n v="70581"/>
    <s v="ARLA"/>
    <x v="2"/>
    <n v="1.8540000000000001"/>
    <m/>
    <n v="3.69"/>
    <n v="6.8412600000000001"/>
    <n v="3.69"/>
    <m/>
    <n v="0"/>
  </r>
  <r>
    <n v="202007"/>
    <x v="221"/>
    <x v="2"/>
    <s v="TATITA FERNÃO DIAS"/>
    <n v="907646"/>
    <s v="DIESEL"/>
    <x v="0"/>
    <n v="324.959"/>
    <m/>
    <n v="5.89"/>
    <n v="1914.0085099999999"/>
    <n v="5.89"/>
    <n v="785"/>
    <n v="2.4156893638889829"/>
  </r>
  <r>
    <n v="348393"/>
    <x v="222"/>
    <x v="2"/>
    <s v="TIGRÃO DA DUTRA"/>
    <n v="907972"/>
    <s v="DIESEL"/>
    <x v="0"/>
    <n v="152"/>
    <n v="162.63"/>
    <n v="7.01"/>
    <n v="902.89"/>
    <n v="5.9400657894736844"/>
    <n v="326"/>
    <n v="2.1447368421052633"/>
  </r>
  <r>
    <n v="296082"/>
    <x v="222"/>
    <x v="27"/>
    <s v="POSTO SCARIOT"/>
    <n v="137324"/>
    <s v="DIESEL"/>
    <x v="0"/>
    <n v="184.01900000000001"/>
    <n v="241.07"/>
    <n v="7.3"/>
    <n v="1102.2687000000001"/>
    <n v="5.9899722311283075"/>
    <n v="911"/>
    <n v="4.9505757557643504"/>
  </r>
  <r>
    <s v="Ajuste M."/>
    <x v="161"/>
    <x v="3"/>
    <m/>
    <n v="146932"/>
    <m/>
    <x v="1"/>
    <n v="38.6"/>
    <m/>
    <m/>
    <n v="0"/>
    <n v="0"/>
    <n v="477"/>
    <n v="12.357512953367875"/>
  </r>
  <r>
    <s v="Ajuste M."/>
    <x v="163"/>
    <x v="3"/>
    <m/>
    <n v="147410"/>
    <m/>
    <x v="1"/>
    <n v="39.42"/>
    <m/>
    <m/>
    <n v="0"/>
    <n v="0"/>
    <n v="478"/>
    <n v="12.125824454591577"/>
  </r>
  <r>
    <s v="Ajuste M."/>
    <x v="165"/>
    <x v="3"/>
    <m/>
    <n v="147890"/>
    <m/>
    <x v="1"/>
    <n v="41.2"/>
    <m/>
    <m/>
    <n v="0"/>
    <n v="0"/>
    <n v="480"/>
    <n v="11.650485436893202"/>
  </r>
  <r>
    <s v="Ajuste M."/>
    <x v="169"/>
    <x v="3"/>
    <m/>
    <n v="148362"/>
    <m/>
    <x v="1"/>
    <n v="40.520000000000003"/>
    <m/>
    <m/>
    <n v="0"/>
    <n v="0"/>
    <n v="472"/>
    <n v="11.648568608094767"/>
  </r>
  <r>
    <s v="Ajuste M."/>
    <x v="171"/>
    <x v="3"/>
    <m/>
    <n v="148837"/>
    <m/>
    <x v="1"/>
    <n v="40.58"/>
    <m/>
    <m/>
    <n v="0"/>
    <n v="0"/>
    <n v="475"/>
    <n v="11.705273533760474"/>
  </r>
  <r>
    <s v="Ajuste M."/>
    <x v="173"/>
    <x v="3"/>
    <m/>
    <n v="149309"/>
    <m/>
    <x v="1"/>
    <n v="39.630000000000003"/>
    <m/>
    <m/>
    <n v="0"/>
    <n v="0"/>
    <n v="472"/>
    <n v="11.910169063840524"/>
  </r>
  <r>
    <s v="Ajuste M."/>
    <x v="179"/>
    <x v="3"/>
    <m/>
    <n v="149786"/>
    <m/>
    <x v="1"/>
    <n v="39.9"/>
    <m/>
    <m/>
    <n v="0"/>
    <n v="0"/>
    <n v="477"/>
    <n v="11.954887218045114"/>
  </r>
  <r>
    <s v="Ajuste M."/>
    <x v="178"/>
    <x v="3"/>
    <m/>
    <n v="150260"/>
    <m/>
    <x v="1"/>
    <n v="39.78"/>
    <m/>
    <m/>
    <n v="0"/>
    <n v="0"/>
    <n v="474"/>
    <n v="11.91553544494721"/>
  </r>
  <r>
    <s v="Ajuste M."/>
    <x v="181"/>
    <x v="3"/>
    <m/>
    <n v="150737"/>
    <m/>
    <x v="1"/>
    <n v="40.56"/>
    <m/>
    <m/>
    <n v="0"/>
    <n v="0"/>
    <n v="477"/>
    <n v="11.760355029585797"/>
  </r>
  <r>
    <s v="Ajuste M."/>
    <x v="184"/>
    <x v="3"/>
    <m/>
    <n v="151215"/>
    <m/>
    <x v="1"/>
    <n v="41.78"/>
    <m/>
    <m/>
    <n v="0"/>
    <n v="0"/>
    <n v="478"/>
    <n v="11.440880804212542"/>
  </r>
  <r>
    <s v="Ajuste M."/>
    <x v="193"/>
    <x v="3"/>
    <m/>
    <n v="151691"/>
    <m/>
    <x v="1"/>
    <n v="40.58"/>
    <m/>
    <m/>
    <n v="0"/>
    <n v="0"/>
    <n v="476"/>
    <n v="11.729916214884179"/>
  </r>
  <r>
    <s v="Ajuste M."/>
    <x v="197"/>
    <x v="3"/>
    <m/>
    <n v="152168"/>
    <m/>
    <x v="1"/>
    <n v="40.86"/>
    <m/>
    <m/>
    <n v="0"/>
    <n v="0"/>
    <n v="477"/>
    <n v="11.674008810572687"/>
  </r>
  <r>
    <s v="Ajuste M."/>
    <x v="204"/>
    <x v="3"/>
    <m/>
    <n v="152647"/>
    <m/>
    <x v="1"/>
    <n v="39.630000000000003"/>
    <m/>
    <m/>
    <n v="0"/>
    <n v="0"/>
    <n v="479"/>
    <n v="12.086802927075446"/>
  </r>
  <r>
    <s v="Ajuste M."/>
    <x v="210"/>
    <x v="3"/>
    <m/>
    <n v="153120"/>
    <m/>
    <x v="1"/>
    <n v="38.520000000000003"/>
    <m/>
    <m/>
    <n v="0"/>
    <n v="0"/>
    <n v="473"/>
    <n v="12.279335410176531"/>
  </r>
  <r>
    <n v="202651"/>
    <x v="223"/>
    <x v="3"/>
    <s v="TATITA FERNÃO DIAS"/>
    <n v="153623"/>
    <s v="GASOLINA"/>
    <x v="1"/>
    <n v="45.238999999999997"/>
    <m/>
    <n v="5.89"/>
    <n v="266.45770999999996"/>
    <n v="5.89"/>
    <n v="503"/>
    <n v="11.118724993921175"/>
  </r>
  <r>
    <n v="652376"/>
    <x v="222"/>
    <x v="5"/>
    <s v="DOM PEDRO POUSO ALEGRE"/>
    <n v="618774"/>
    <s v="DIESEL"/>
    <x v="0"/>
    <n v="126"/>
    <m/>
    <n v="6.11"/>
    <n v="769.86"/>
    <n v="6.11"/>
    <n v="2486"/>
    <n v="19.730158730158731"/>
  </r>
  <r>
    <s v="Ajuste M."/>
    <x v="222"/>
    <x v="34"/>
    <m/>
    <n v="494694"/>
    <m/>
    <x v="0"/>
    <n v="245.2"/>
    <m/>
    <m/>
    <n v="0"/>
    <n v="0"/>
    <n v="726"/>
    <n v="2.9608482871125612"/>
  </r>
  <r>
    <n v="904102"/>
    <x v="220"/>
    <x v="28"/>
    <s v="POSTO BELA VISTA "/>
    <n v="70702"/>
    <s v="DIESEL"/>
    <x v="0"/>
    <n v="13.125999999999999"/>
    <n v="12.46"/>
    <n v="7"/>
    <n v="79.421999999999997"/>
    <n v="6.0507389913149474"/>
    <n v="121"/>
    <n v="9.2183452689318912"/>
  </r>
  <r>
    <n v="132289"/>
    <x v="223"/>
    <x v="7"/>
    <s v="TATITA CENTRO"/>
    <n v="108383"/>
    <s v="GASOLINA"/>
    <x v="1"/>
    <n v="39.799999999999997"/>
    <m/>
    <n v="5.79"/>
    <n v="230.44199999999998"/>
    <n v="5.79"/>
    <n v="539"/>
    <n v="13.542713567839197"/>
  </r>
  <r>
    <n v="697542"/>
    <x v="220"/>
    <x v="13"/>
    <s v="DOM PEDRO I 124 SUL"/>
    <n v="142049"/>
    <s v="DIESEL"/>
    <x v="0"/>
    <n v="39.151000000000003"/>
    <m/>
    <n v="5.79"/>
    <n v="226.68429000000003"/>
    <n v="5.79"/>
    <n v="303"/>
    <n v="7.7392659191336106"/>
  </r>
  <r>
    <n v="6693"/>
    <x v="220"/>
    <x v="6"/>
    <s v="REDETUKAS"/>
    <n v="643088"/>
    <s v="DIESEL"/>
    <x v="0"/>
    <n v="93"/>
    <m/>
    <m/>
    <n v="0"/>
    <n v="0"/>
    <n v="311"/>
    <n v="3.3440860215053765"/>
  </r>
  <r>
    <n v="6693"/>
    <x v="220"/>
    <x v="0"/>
    <s v="REDETUKAS"/>
    <n v="410081"/>
    <s v="DIESEL"/>
    <x v="0"/>
    <n v="33"/>
    <m/>
    <m/>
    <n v="0"/>
    <n v="0"/>
    <n v="272"/>
    <n v="8.2424242424242422"/>
  </r>
  <r>
    <n v="296654"/>
    <x v="220"/>
    <x v="27"/>
    <s v="POSTO SCARIOT"/>
    <n v="137985"/>
    <s v="DIESEL"/>
    <x v="0"/>
    <n v="172.48099999999999"/>
    <n v="184.55"/>
    <n v="7.3"/>
    <n v="1074.5613000000001"/>
    <n v="6.2300270754459914"/>
    <n v="661"/>
    <n v="3.8323061670560818"/>
  </r>
  <r>
    <n v="189033"/>
    <x v="220"/>
    <x v="8"/>
    <s v="TATITA FERNÃO DIAS"/>
    <n v="954591"/>
    <s v="DIESEL"/>
    <x v="0"/>
    <n v="506.65"/>
    <m/>
    <n v="4.8899999999999997"/>
    <n v="2477.5184999999997"/>
    <n v="4.8899999999999997"/>
    <n v="655"/>
    <n v="1.2928056843975131"/>
  </r>
  <r>
    <n v="244247"/>
    <x v="220"/>
    <x v="8"/>
    <s v="DOM PEDRO ATIBAIA"/>
    <n v="955825"/>
    <s v="DIESEL"/>
    <x v="0"/>
    <n v="660"/>
    <m/>
    <n v="6.09"/>
    <n v="4019.4"/>
    <n v="6.09"/>
    <n v="1234"/>
    <n v="1.8696969696969696"/>
  </r>
  <r>
    <n v="558972"/>
    <x v="220"/>
    <x v="15"/>
    <s v="COMBO AUTO POSTO"/>
    <n v="302201"/>
    <s v="DIESEL"/>
    <x v="0"/>
    <n v="99.361000000000004"/>
    <m/>
    <n v="6.58"/>
    <n v="653.79538000000002"/>
    <n v="6.58"/>
    <n v="497"/>
    <n v="5.0019625406346551"/>
  </r>
  <r>
    <n v="324196"/>
    <x v="220"/>
    <x v="16"/>
    <s v="POSTO ZÉ RAMOS"/>
    <n v="366679"/>
    <s v="ARLA"/>
    <x v="2"/>
    <n v="27.567"/>
    <m/>
    <n v="3.69"/>
    <n v="101.72223"/>
    <n v="3.69"/>
    <m/>
    <n v="0"/>
  </r>
  <r>
    <n v="133040"/>
    <x v="223"/>
    <x v="2"/>
    <s v="ULTRAMARINO"/>
    <n v="908805"/>
    <s v="DIESEL"/>
    <x v="0"/>
    <n v="296.53100000000001"/>
    <n v="29.66"/>
    <n v="6.05"/>
    <n v="1764.3525499999998"/>
    <n v="5.9499767309320095"/>
    <n v="833"/>
    <n v="2.809149802212922"/>
  </r>
  <r>
    <n v="6693"/>
    <x v="223"/>
    <x v="14"/>
    <s v="REDETUKAS"/>
    <n v="119371"/>
    <s v="DIESEL"/>
    <x v="0"/>
    <n v="260"/>
    <m/>
    <m/>
    <n v="0"/>
    <n v="0"/>
    <n v="994"/>
    <n v="3.8230769230769233"/>
  </r>
  <r>
    <n v="6693"/>
    <x v="223"/>
    <x v="0"/>
    <s v="REDETUKAS"/>
    <n v="410406"/>
    <s v="DIESEL"/>
    <x v="0"/>
    <n v="41"/>
    <m/>
    <m/>
    <n v="0"/>
    <n v="0"/>
    <n v="325"/>
    <n v="7.9268292682926829"/>
  </r>
  <r>
    <s v="Ajuste M."/>
    <x v="199"/>
    <x v="23"/>
    <m/>
    <n v="288618"/>
    <m/>
    <x v="1"/>
    <n v="37"/>
    <m/>
    <m/>
    <n v="0"/>
    <n v="0"/>
    <n v="550"/>
    <n v="14.864864864864865"/>
  </r>
  <r>
    <s v="Ajuste M."/>
    <x v="210"/>
    <x v="23"/>
    <m/>
    <n v="289231"/>
    <m/>
    <x v="1"/>
    <n v="39"/>
    <m/>
    <m/>
    <n v="0"/>
    <n v="0"/>
    <n v="613"/>
    <n v="15.717948717948717"/>
  </r>
  <r>
    <s v="Ajuste M."/>
    <x v="211"/>
    <x v="23"/>
    <m/>
    <n v="289870"/>
    <m/>
    <x v="1"/>
    <n v="41"/>
    <m/>
    <m/>
    <n v="0"/>
    <n v="0"/>
    <n v="639"/>
    <n v="15.585365853658537"/>
  </r>
  <r>
    <s v="Ajuste M."/>
    <x v="212"/>
    <x v="23"/>
    <m/>
    <n v="290303"/>
    <m/>
    <x v="1"/>
    <n v="35"/>
    <m/>
    <m/>
    <n v="0"/>
    <n v="0"/>
    <n v="433"/>
    <n v="12.371428571428572"/>
  </r>
  <r>
    <s v="Ajuste M."/>
    <x v="214"/>
    <x v="23"/>
    <m/>
    <n v="291058"/>
    <m/>
    <x v="1"/>
    <n v="42"/>
    <m/>
    <m/>
    <n v="0"/>
    <n v="0"/>
    <n v="755"/>
    <n v="17.976190476190474"/>
  </r>
  <r>
    <s v="Ajuste M."/>
    <x v="216"/>
    <x v="23"/>
    <m/>
    <n v="291264"/>
    <m/>
    <x v="1"/>
    <n v="14"/>
    <m/>
    <m/>
    <n v="0"/>
    <n v="0"/>
    <n v="206"/>
    <n v="14.714285714285714"/>
  </r>
  <r>
    <n v="202784"/>
    <x v="224"/>
    <x v="23"/>
    <s v="TATITA FERNÃO DIAS"/>
    <n v="291557"/>
    <s v="GASOLINA"/>
    <x v="1"/>
    <n v="19.920000000000002"/>
    <m/>
    <n v="5.89"/>
    <n v="117.3288"/>
    <n v="5.89"/>
    <n v="293"/>
    <n v="14.708835341365461"/>
  </r>
  <r>
    <n v="6693"/>
    <x v="223"/>
    <x v="16"/>
    <s v="REDETUKAS"/>
    <n v="366898"/>
    <s v="DIESEL"/>
    <x v="0"/>
    <n v="103"/>
    <m/>
    <m/>
    <n v="0"/>
    <n v="0"/>
    <n v="454"/>
    <n v="4.407766990291262"/>
  </r>
  <r>
    <n v="202799"/>
    <x v="224"/>
    <x v="34"/>
    <s v="TATITA FERNÃO DIAS"/>
    <n v="494818"/>
    <s v="ARLA"/>
    <x v="2"/>
    <n v="44.530999999999999"/>
    <n v="16.03"/>
    <n v="3.69"/>
    <n v="148.28939"/>
    <n v="3.3300260492690485"/>
    <n v="127920"/>
    <n v="2872.6056005928453"/>
  </r>
  <r>
    <n v="6693"/>
    <x v="223"/>
    <x v="9"/>
    <s v="REDETUKAS"/>
    <n v="379814"/>
    <s v="DIESEL"/>
    <x v="0"/>
    <n v="110"/>
    <m/>
    <m/>
    <n v="0"/>
    <n v="0"/>
    <n v="706"/>
    <n v="6.418181818181818"/>
  </r>
  <r>
    <n v="6693"/>
    <x v="223"/>
    <x v="10"/>
    <s v="REDETUKAS"/>
    <n v="267128"/>
    <s v="DIESEL"/>
    <x v="0"/>
    <n v="66"/>
    <m/>
    <m/>
    <n v="0"/>
    <n v="0"/>
    <n v="542"/>
    <n v="8.2121212121212128"/>
  </r>
  <r>
    <n v="6693"/>
    <x v="223"/>
    <x v="37"/>
    <s v="REDETUKAS"/>
    <n v="513"/>
    <s v="DIESEL"/>
    <x v="0"/>
    <n v="33"/>
    <m/>
    <m/>
    <n v="0"/>
    <n v="0"/>
    <m/>
    <m/>
  </r>
  <r>
    <n v="6693"/>
    <x v="223"/>
    <x v="28"/>
    <s v="REDETUKAS"/>
    <n v="71072"/>
    <s v="DIESEL"/>
    <x v="0"/>
    <n v="47"/>
    <m/>
    <m/>
    <n v="0"/>
    <n v="0"/>
    <n v="370"/>
    <n v="7.8723404255319149"/>
  </r>
  <r>
    <n v="6693"/>
    <x v="223"/>
    <x v="29"/>
    <s v="REDETUKAS"/>
    <n v="323043"/>
    <s v="DIESEL"/>
    <x v="0"/>
    <n v="150"/>
    <m/>
    <m/>
    <n v="0"/>
    <n v="0"/>
    <n v="717"/>
    <n v="4.78"/>
  </r>
  <r>
    <n v="6693"/>
    <x v="223"/>
    <x v="17"/>
    <s v="REDETUKAS"/>
    <n v="221589"/>
    <s v="DIESEL"/>
    <x v="0"/>
    <n v="592"/>
    <m/>
    <m/>
    <n v="0"/>
    <n v="0"/>
    <n v="690"/>
    <n v="1.1655405405405406"/>
  </r>
  <r>
    <n v="132692"/>
    <x v="223"/>
    <x v="18"/>
    <s v="ULTRAMARINO"/>
    <n v="676784"/>
    <s v="DIESEL"/>
    <x v="0"/>
    <n v="116.87"/>
    <n v="11.69"/>
    <n v="5.99"/>
    <n v="688.36130000000003"/>
    <n v="5.88997433045264"/>
    <n v="494"/>
    <n v="4.2269187986651833"/>
  </r>
  <r>
    <n v="654050"/>
    <x v="225"/>
    <x v="23"/>
    <s v="DOM PEDRO POUSO ALEGRE"/>
    <n v="292151"/>
    <s v="GASOLINA"/>
    <x v="1"/>
    <n v="35.090000000000003"/>
    <m/>
    <n v="5.89"/>
    <n v="206.68010000000001"/>
    <n v="5.89"/>
    <n v="594"/>
    <n v="16.927899686520373"/>
  </r>
  <r>
    <s v="Ajuste M."/>
    <x v="223"/>
    <x v="13"/>
    <m/>
    <n v="142234"/>
    <m/>
    <x v="0"/>
    <n v="24"/>
    <m/>
    <m/>
    <n v="0"/>
    <n v="0"/>
    <n v="185"/>
    <n v="7.708333333333333"/>
  </r>
  <r>
    <s v="Ajuste M."/>
    <x v="170"/>
    <x v="21"/>
    <m/>
    <n v="132719"/>
    <m/>
    <x v="1"/>
    <n v="49.2"/>
    <m/>
    <m/>
    <n v="0"/>
    <n v="0"/>
    <n v="537"/>
    <n v="10.914634146341463"/>
  </r>
  <r>
    <s v="Ajuste M."/>
    <x v="177"/>
    <x v="21"/>
    <m/>
    <n v="133257"/>
    <m/>
    <x v="1"/>
    <n v="51.52"/>
    <m/>
    <m/>
    <n v="0"/>
    <n v="0"/>
    <n v="538"/>
    <n v="10.44254658385093"/>
  </r>
  <r>
    <s v="Ajuste M."/>
    <x v="178"/>
    <x v="21"/>
    <m/>
    <n v="133797"/>
    <m/>
    <x v="1"/>
    <n v="52.36"/>
    <m/>
    <m/>
    <n v="0"/>
    <n v="0"/>
    <n v="540"/>
    <n v="10.313216195569137"/>
  </r>
  <r>
    <s v="Ajuste M."/>
    <x v="181"/>
    <x v="21"/>
    <m/>
    <n v="134326"/>
    <m/>
    <x v="1"/>
    <n v="49.9"/>
    <m/>
    <m/>
    <n v="0"/>
    <n v="0"/>
    <n v="529"/>
    <n v="10.601202404809619"/>
  </r>
  <r>
    <s v="Ajuste M."/>
    <x v="186"/>
    <x v="21"/>
    <m/>
    <n v="134859"/>
    <m/>
    <x v="1"/>
    <n v="50"/>
    <m/>
    <m/>
    <n v="0"/>
    <n v="0"/>
    <n v="533"/>
    <n v="10.66"/>
  </r>
  <r>
    <s v="Ajuste M."/>
    <x v="193"/>
    <x v="21"/>
    <m/>
    <n v="135396"/>
    <m/>
    <x v="1"/>
    <n v="49.87"/>
    <m/>
    <m/>
    <n v="0"/>
    <n v="0"/>
    <n v="537"/>
    <n v="10.767996791658312"/>
  </r>
  <r>
    <n v="559961"/>
    <x v="225"/>
    <x v="21"/>
    <s v="COMBO AUTO POSTO"/>
    <n v="135946"/>
    <s v="GASOLINA"/>
    <x v="1"/>
    <n v="49.180999999999997"/>
    <m/>
    <n v="5.94"/>
    <n v="292.13513999999998"/>
    <n v="5.9399999999999995"/>
    <n v="550"/>
    <n v="11.183180496533215"/>
  </r>
  <r>
    <n v="13822"/>
    <x v="223"/>
    <x v="13"/>
    <s v="BORTOLETO CIA"/>
    <n v="142572"/>
    <s v="DIESEL"/>
    <x v="0"/>
    <n v="44.54"/>
    <m/>
    <n v="5.99"/>
    <n v="266.7946"/>
    <n v="5.99"/>
    <n v="338"/>
    <n v="7.5886843286933097"/>
  </r>
  <r>
    <n v="132846"/>
    <x v="223"/>
    <x v="22"/>
    <s v="ULTRAMARINO"/>
    <n v="151856"/>
    <s v="DIESEL"/>
    <x v="0"/>
    <n v="182.29"/>
    <n v="18.23"/>
    <n v="5.69"/>
    <n v="1019.0001"/>
    <n v="5.5899945142355589"/>
    <n v="736"/>
    <n v="4.0375226287783201"/>
  </r>
  <r>
    <n v="18542"/>
    <x v="223"/>
    <x v="30"/>
    <s v="BEIRA MINHO"/>
    <n v="319143"/>
    <s v="DIESEL"/>
    <x v="0"/>
    <n v="99.48"/>
    <m/>
    <n v="5.99"/>
    <n v="595.88520000000005"/>
    <n v="5.99"/>
    <n v="587"/>
    <n v="5.9006835544833134"/>
  </r>
  <r>
    <n v="559410"/>
    <x v="223"/>
    <x v="31"/>
    <s v="COMBO AUTO POSTO"/>
    <n v="325206"/>
    <s v="DIESEL"/>
    <x v="0"/>
    <n v="57.621000000000002"/>
    <m/>
    <n v="6.58"/>
    <n v="379.14618000000002"/>
    <n v="6.58"/>
    <n v="2235"/>
    <n v="38.787941896183682"/>
  </r>
  <r>
    <n v="653213"/>
    <x v="223"/>
    <x v="5"/>
    <s v="DOM PEDRO POUSO ALEGRE"/>
    <n v="619302"/>
    <s v="DIESEL"/>
    <x v="0"/>
    <n v="138.96"/>
    <m/>
    <n v="5.99"/>
    <n v="832.37040000000013"/>
    <n v="5.99"/>
    <n v="528"/>
    <n v="3.799654576856649"/>
  </r>
  <r>
    <n v="329727"/>
    <x v="223"/>
    <x v="6"/>
    <s v="POSTO CRISTAL"/>
    <n v="643678"/>
    <s v="DIESEL"/>
    <x v="0"/>
    <n v="130.22999999999999"/>
    <n v="35.159999999999997"/>
    <n v="5.92"/>
    <n v="735.80160000000001"/>
    <n v="5.650016125316748"/>
    <n v="590"/>
    <n v="4.5304461337633422"/>
  </r>
  <r>
    <n v="18864"/>
    <x v="223"/>
    <x v="33"/>
    <s v="BEIRA MINHO"/>
    <n v="88944"/>
    <s v="DIESEL"/>
    <x v="0"/>
    <n v="200.59"/>
    <m/>
    <n v="5.99"/>
    <n v="1201.5341000000001"/>
    <n v="5.99"/>
    <n v="718"/>
    <n v="3.5794406500822573"/>
  </r>
  <r>
    <n v="6873"/>
    <x v="224"/>
    <x v="27"/>
    <s v="REDETUKAS"/>
    <n v="138804"/>
    <s v="DIESEL"/>
    <x v="0"/>
    <n v="148"/>
    <m/>
    <m/>
    <n v="0"/>
    <n v="0"/>
    <n v="819"/>
    <n v="5.5337837837837842"/>
  </r>
  <r>
    <n v="6873"/>
    <x v="224"/>
    <x v="24"/>
    <s v="REDETUKAS"/>
    <n v="99298"/>
    <s v="DIESEL"/>
    <x v="0"/>
    <n v="99"/>
    <m/>
    <m/>
    <n v="0"/>
    <n v="0"/>
    <n v="239"/>
    <n v="2.4141414141414139"/>
  </r>
  <r>
    <n v="6873"/>
    <x v="224"/>
    <x v="6"/>
    <s v="REDETUKAS"/>
    <n v="643951"/>
    <s v="DIESEL"/>
    <x v="0"/>
    <n v="62"/>
    <m/>
    <m/>
    <n v="0"/>
    <n v="0"/>
    <n v="273"/>
    <n v="4.403225806451613"/>
  </r>
  <r>
    <n v="325404"/>
    <x v="226"/>
    <x v="7"/>
    <s v="POSTO ZÉ RAMOS"/>
    <n v="109066"/>
    <s v="GASOLINA"/>
    <x v="1"/>
    <n v="51.670999999999999"/>
    <m/>
    <n v="5.89"/>
    <n v="304.34218999999996"/>
    <n v="5.89"/>
    <n v="683"/>
    <n v="13.21824621160806"/>
  </r>
  <r>
    <n v="6873"/>
    <x v="224"/>
    <x v="13"/>
    <s v="REDETUKAS"/>
    <n v="142804"/>
    <s v="DIESEL"/>
    <x v="0"/>
    <n v="27"/>
    <m/>
    <m/>
    <n v="0"/>
    <n v="0"/>
    <n v="232"/>
    <n v="8.5925925925925934"/>
  </r>
  <r>
    <n v="203236"/>
    <x v="226"/>
    <x v="23"/>
    <s v="TATITA FERNÃO DIAS"/>
    <n v="292701"/>
    <s v="GASOLINA"/>
    <x v="1"/>
    <n v="38.65"/>
    <m/>
    <n v="5.69"/>
    <n v="219.91849999999999"/>
    <n v="5.69"/>
    <n v="550"/>
    <n v="14.23027166882277"/>
  </r>
  <r>
    <n v="6873"/>
    <x v="224"/>
    <x v="11"/>
    <s v="REDETUKAS"/>
    <n v="672583"/>
    <s v="DIESEL"/>
    <x v="0"/>
    <n v="184"/>
    <m/>
    <m/>
    <n v="0"/>
    <n v="0"/>
    <n v="867"/>
    <n v="4.7119565217391308"/>
  </r>
  <r>
    <n v="203217"/>
    <x v="226"/>
    <x v="27"/>
    <s v="TATITA FERNÃO DIAS"/>
    <n v="139258"/>
    <s v="ARLA"/>
    <x v="2"/>
    <n v="14.646000000000001"/>
    <n v="5.27"/>
    <n v="3.69"/>
    <n v="48.773740000000004"/>
    <n v="3.3301747917520141"/>
    <m/>
    <n v="0"/>
  </r>
  <r>
    <n v="875603"/>
    <x v="224"/>
    <x v="12"/>
    <s v="BEIRA MINHO"/>
    <n v="240980"/>
    <s v="DIESEL"/>
    <x v="0"/>
    <n v="126.82"/>
    <m/>
    <n v="5.99"/>
    <n v="759.65179999999998"/>
    <n v="5.99"/>
    <n v="651"/>
    <n v="5.1332597382116392"/>
  </r>
  <r>
    <n v="1331018"/>
    <x v="226"/>
    <x v="6"/>
    <s v="AUTO POSTO CLARISTELA"/>
    <n v="644775"/>
    <s v="ARLA"/>
    <x v="2"/>
    <n v="25"/>
    <m/>
    <n v="3.19"/>
    <n v="79.75"/>
    <n v="3.19"/>
    <n v="403795"/>
    <n v="16151.8"/>
  </r>
  <r>
    <n v="591653"/>
    <x v="224"/>
    <x v="17"/>
    <s v="POSTO ITASUL"/>
    <n v="221859"/>
    <s v="DIESEL"/>
    <x v="0"/>
    <n v="510.46"/>
    <m/>
    <n v="5.89"/>
    <n v="3006.6093999999998"/>
    <n v="5.89"/>
    <n v="270"/>
    <n v="0.52893468636132124"/>
  </r>
  <r>
    <n v="298599"/>
    <x v="227"/>
    <x v="27"/>
    <s v="POSTO SCARIOT"/>
    <n v="140101"/>
    <s v="ARLA"/>
    <x v="2"/>
    <n v="11.409000000000001"/>
    <m/>
    <n v="3.19"/>
    <n v="36.394710000000003"/>
    <n v="3.19"/>
    <m/>
    <n v="0"/>
  </r>
  <r>
    <n v="202805"/>
    <x v="224"/>
    <x v="9"/>
    <s v="TATITA FERNÃO DIAS"/>
    <n v="379825"/>
    <s v="ARLA"/>
    <x v="2"/>
    <n v="16.594999999999999"/>
    <n v="5.98"/>
    <n v="3.69"/>
    <n v="55.255549999999999"/>
    <n v="3.3296504971376923"/>
    <m/>
    <n v="0"/>
  </r>
  <r>
    <n v="6873"/>
    <x v="225"/>
    <x v="1"/>
    <s v="REDETUKAS"/>
    <n v="334038"/>
    <s v="DIESEL"/>
    <x v="0"/>
    <n v="99"/>
    <m/>
    <m/>
    <n v="0"/>
    <n v="0"/>
    <n v="586"/>
    <n v="5.9191919191919196"/>
  </r>
  <r>
    <n v="6873"/>
    <x v="225"/>
    <x v="26"/>
    <s v="REDETUKAS"/>
    <n v="723031"/>
    <s v="DIESEL"/>
    <x v="0"/>
    <n v="147"/>
    <m/>
    <m/>
    <n v="0"/>
    <n v="0"/>
    <n v="507"/>
    <n v="3.4489795918367347"/>
  </r>
  <r>
    <n v="126891"/>
    <x v="225"/>
    <x v="8"/>
    <s v="GRAAL ALEMÃO"/>
    <n v="956598"/>
    <s v="DIESEL"/>
    <x v="0"/>
    <n v="266.00200000000001"/>
    <m/>
    <n v="6.24"/>
    <n v="1659.85248"/>
    <n v="6.24"/>
    <n v="773"/>
    <n v="2.9059931880211427"/>
  </r>
  <r>
    <n v="1152169"/>
    <x v="225"/>
    <x v="28"/>
    <s v="POSTO OURO VERDE"/>
    <n v="71505"/>
    <s v="DIESEL"/>
    <x v="0"/>
    <n v="44.12"/>
    <m/>
    <n v="5.86"/>
    <n v="258.54320000000001"/>
    <n v="5.86"/>
    <n v="433"/>
    <n v="9.8141432456935629"/>
  </r>
  <r>
    <n v="210267"/>
    <x v="225"/>
    <x v="28"/>
    <s v="DOM PEDRO CAMBUÍ"/>
    <n v="71592"/>
    <s v="DIESEL"/>
    <x v="0"/>
    <n v="10.19"/>
    <m/>
    <n v="5.99"/>
    <n v="61.0381"/>
    <n v="5.99"/>
    <n v="87"/>
    <n v="8.5377821393523075"/>
  </r>
  <r>
    <n v="20584"/>
    <x v="225"/>
    <x v="35"/>
    <s v="BEIRA MINHO"/>
    <n v="370636"/>
    <s v="DIESEL"/>
    <x v="0"/>
    <n v="81.599999999999994"/>
    <m/>
    <n v="5.99"/>
    <n v="488.78399999999999"/>
    <n v="5.99"/>
    <n v="497"/>
    <n v="6.090686274509804"/>
  </r>
  <r>
    <n v="654150"/>
    <x v="225"/>
    <x v="5"/>
    <s v="DOM PEDRO POUSO ALEGRE"/>
    <n v="619787"/>
    <s v="DIESEL"/>
    <x v="0"/>
    <n v="115"/>
    <m/>
    <n v="5.99"/>
    <n v="688.85"/>
    <n v="5.99"/>
    <n v="485"/>
    <n v="4.2173913043478262"/>
  </r>
  <r>
    <n v="722268"/>
    <x v="225"/>
    <x v="6"/>
    <s v="GAVIÃO DA ANHANGUERA"/>
    <n v="644545"/>
    <s v="DIESEL"/>
    <x v="0"/>
    <n v="100.00700000000001"/>
    <m/>
    <n v="6.01"/>
    <n v="601.04206999999997"/>
    <n v="6.01"/>
    <n v="594"/>
    <n v="5.9395842291039624"/>
  </r>
  <r>
    <n v="126891"/>
    <x v="225"/>
    <x v="2"/>
    <s v="TIGRÃO DA DUTRA"/>
    <n v="909811"/>
    <s v="DIESEL"/>
    <x v="0"/>
    <n v="407.01600000000002"/>
    <n v="374.45"/>
    <n v="7.01"/>
    <n v="2478.73216"/>
    <n v="6.0900115965957111"/>
    <n v="1006"/>
    <n v="2.471647306248403"/>
  </r>
  <r>
    <n v="6873"/>
    <x v="226"/>
    <x v="10"/>
    <s v="REDETUKAS"/>
    <n v="267619"/>
    <s v="DIESEL"/>
    <x v="0"/>
    <n v="56"/>
    <m/>
    <m/>
    <n v="0"/>
    <n v="0"/>
    <n v="491"/>
    <n v="8.7678571428571423"/>
  </r>
  <r>
    <n v="203761"/>
    <x v="215"/>
    <x v="29"/>
    <s v="TATITA FERNÃO DIAS"/>
    <n v="323454"/>
    <m/>
    <x v="2"/>
    <n v="16.001999999999999"/>
    <n v="5.76"/>
    <n v="3.69"/>
    <n v="53.287379999999999"/>
    <n v="3.3300449943757031"/>
    <n v="-320224"/>
    <n v="-20011.498562679666"/>
  </r>
  <r>
    <n v="6873"/>
    <x v="226"/>
    <x v="18"/>
    <s v="REDETUKAS"/>
    <n v="677055"/>
    <s v="DIESEL"/>
    <x v="0"/>
    <n v="73"/>
    <m/>
    <m/>
    <n v="0"/>
    <n v="0"/>
    <n v="271"/>
    <n v="3.7123287671232879"/>
  </r>
  <r>
    <n v="6873"/>
    <x v="226"/>
    <x v="29"/>
    <s v="REDETUKAS"/>
    <n v="323446"/>
    <s v="DIESEL"/>
    <x v="0"/>
    <n v="95"/>
    <m/>
    <m/>
    <n v="0"/>
    <n v="0"/>
    <n v="403"/>
    <n v="4.242105263157895"/>
  </r>
  <r>
    <n v="6873"/>
    <x v="226"/>
    <x v="22"/>
    <s v="REDETUKAS"/>
    <n v="152420"/>
    <s v="DIESEL"/>
    <x v="0"/>
    <n v="137"/>
    <m/>
    <m/>
    <n v="0"/>
    <n v="0"/>
    <n v="564"/>
    <n v="4.1167883211678831"/>
  </r>
  <r>
    <n v="6873"/>
    <x v="226"/>
    <x v="34"/>
    <s v="REDETUKAS"/>
    <n v="495661"/>
    <s v="DIESEL"/>
    <x v="0"/>
    <n v="342"/>
    <m/>
    <m/>
    <n v="0"/>
    <n v="0"/>
    <n v="967"/>
    <n v="2.827485380116959"/>
  </r>
  <r>
    <n v="6873"/>
    <x v="226"/>
    <x v="1"/>
    <s v="REDETUKAS"/>
    <n v="334272"/>
    <s v="DIESEL"/>
    <x v="0"/>
    <n v="35"/>
    <m/>
    <m/>
    <n v="0"/>
    <n v="0"/>
    <n v="234"/>
    <n v="6.6857142857142859"/>
  </r>
  <r>
    <n v="204338"/>
    <x v="228"/>
    <x v="3"/>
    <s v="TATITA FERNÃO DIAS"/>
    <n v="154559"/>
    <m/>
    <x v="4"/>
    <n v="27.81"/>
    <m/>
    <n v="5.69"/>
    <n v="158.2389"/>
    <n v="5.69"/>
    <e v="#REF!"/>
    <e v="#REF!"/>
  </r>
  <r>
    <n v="203831"/>
    <x v="215"/>
    <x v="3"/>
    <s v="TATITA FERNÃO DIAS"/>
    <n v="154709"/>
    <s v="GASOLINA"/>
    <x v="1"/>
    <n v="12.63"/>
    <m/>
    <n v="5.69"/>
    <n v="71.864700000000013"/>
    <n v="5.69"/>
    <n v="150"/>
    <n v="11.87648456057007"/>
  </r>
  <r>
    <s v="Ajuste M."/>
    <x v="216"/>
    <x v="19"/>
    <m/>
    <n v="227222"/>
    <m/>
    <x v="1"/>
    <n v="37.56"/>
    <m/>
    <m/>
    <n v="0"/>
    <n v="0"/>
    <n v="354"/>
    <n v="9.4249201277955272"/>
  </r>
  <r>
    <n v="203943"/>
    <x v="215"/>
    <x v="19"/>
    <s v="TATITA FERNÃO DIAS"/>
    <n v="227624"/>
    <s v="GASOLINA"/>
    <x v="1"/>
    <n v="39.1"/>
    <m/>
    <n v="5.69"/>
    <n v="222.47900000000001"/>
    <n v="5.69"/>
    <n v="402"/>
    <n v="10.281329923273656"/>
  </r>
  <r>
    <n v="6873"/>
    <x v="226"/>
    <x v="27"/>
    <s v="REDETUKAS"/>
    <n v="139263"/>
    <s v="DIESEL"/>
    <x v="0"/>
    <n v="90"/>
    <m/>
    <m/>
    <n v="0"/>
    <n v="0"/>
    <n v="459"/>
    <n v="5.0999999999999996"/>
  </r>
  <r>
    <n v="34235"/>
    <x v="226"/>
    <x v="28"/>
    <s v="DOM PEDRO DE MIRACATU"/>
    <n v="71959"/>
    <s v="DIESEL"/>
    <x v="0"/>
    <n v="66"/>
    <m/>
    <n v="5.99"/>
    <n v="395.34000000000003"/>
    <n v="5.99"/>
    <n v="367"/>
    <n v="5.5606060606060606"/>
  </r>
  <r>
    <n v="1311976"/>
    <x v="226"/>
    <x v="12"/>
    <s v="AUTO POSTO RVM MAX"/>
    <n v="241330"/>
    <s v="DIESEL"/>
    <x v="0"/>
    <n v="98.63"/>
    <m/>
    <n v="6.29"/>
    <n v="620.3827"/>
    <n v="6.29"/>
    <n v="350"/>
    <n v="3.5486160397444997"/>
  </r>
  <r>
    <n v="203886"/>
    <x v="215"/>
    <x v="14"/>
    <s v="TATITA FERNÃO DIAS"/>
    <n v="120742"/>
    <s v="ARLA"/>
    <x v="2"/>
    <n v="57.296999999999997"/>
    <n v="20.63"/>
    <n v="3.69"/>
    <n v="190.79593"/>
    <n v="3.3299462450041015"/>
    <m/>
    <n v="0"/>
  </r>
  <r>
    <n v="1331018"/>
    <x v="226"/>
    <x v="6"/>
    <s v="AUTO POSTO CLARISTELA"/>
    <n v="644775"/>
    <s v="DIESEL"/>
    <x v="0"/>
    <n v="55.02"/>
    <m/>
    <n v="6.29"/>
    <n v="346.07580000000002"/>
    <n v="6.29"/>
    <n v="230"/>
    <n v="4.1802980734278439"/>
  </r>
  <r>
    <n v="1817359"/>
    <x v="229"/>
    <x v="8"/>
    <s v="POSTO MORADA DO SOL "/>
    <n v="957667"/>
    <s v="DIESEL"/>
    <x v="0"/>
    <n v="308.80099999999999"/>
    <n v="419.96"/>
    <n v="7.32"/>
    <n v="1840.4633199999998"/>
    <n v="5.9600303107826722"/>
    <n v="1069"/>
    <n v="3.4617763543511844"/>
  </r>
  <r>
    <n v="298597"/>
    <x v="227"/>
    <x v="27"/>
    <s v="POSTO SCARIOT"/>
    <n v="140101"/>
    <s v="DIESEL"/>
    <x v="0"/>
    <n v="192.143"/>
    <n v="251.7"/>
    <n v="7.3"/>
    <n v="1150.9439"/>
    <n v="5.9900381486705214"/>
    <n v="838"/>
    <n v="4.3613350473345376"/>
  </r>
  <r>
    <s v="Ajuste M."/>
    <x v="227"/>
    <x v="28"/>
    <m/>
    <n v="72268"/>
    <m/>
    <x v="0"/>
    <n v="38.53"/>
    <m/>
    <m/>
    <n v="0"/>
    <n v="0"/>
    <n v="309"/>
    <n v="8.0197248896963398"/>
  </r>
  <r>
    <s v="Ajuste M."/>
    <x v="227"/>
    <x v="18"/>
    <m/>
    <n v="677099"/>
    <m/>
    <x v="0"/>
    <n v="12"/>
    <m/>
    <m/>
    <n v="0"/>
    <n v="0"/>
    <n v="44"/>
    <n v="3.6666666666666665"/>
  </r>
  <r>
    <n v="204022"/>
    <x v="230"/>
    <x v="24"/>
    <s v="TATITA FERNÃO DIAS"/>
    <n v="99361"/>
    <s v="ARLA"/>
    <x v="2"/>
    <n v="20.265000000000001"/>
    <n v="7.3"/>
    <n v="3.69"/>
    <n v="67.477850000000004"/>
    <n v="-32.33269923513447"/>
    <n v="-267318"/>
    <n v="-13191.117690599556"/>
  </r>
  <r>
    <s v="Ajuste M."/>
    <x v="215"/>
    <x v="30"/>
    <m/>
    <n v="319489"/>
    <m/>
    <x v="0"/>
    <n v="86.32"/>
    <m/>
    <m/>
    <n v="0"/>
    <n v="0"/>
    <n v="346"/>
    <n v="4.008341056533828"/>
  </r>
  <r>
    <s v="Ajuste M."/>
    <x v="215"/>
    <x v="20"/>
    <m/>
    <n v="370714"/>
    <m/>
    <x v="0"/>
    <n v="14"/>
    <m/>
    <m/>
    <n v="0"/>
    <n v="0"/>
    <n v="-273831"/>
    <n v="-19559.357142857141"/>
  </r>
  <r>
    <n v="6873"/>
    <x v="215"/>
    <x v="35"/>
    <s v="REDETUKAS"/>
    <n v="370879"/>
    <s v="DIESEL"/>
    <x v="0"/>
    <n v="27"/>
    <m/>
    <m/>
    <n v="0"/>
    <n v="0"/>
    <n v="165"/>
    <n v="6.1111111111111107"/>
  </r>
  <r>
    <n v="6873"/>
    <x v="215"/>
    <x v="11"/>
    <s v="REDETUKAS"/>
    <n v="673074"/>
    <s v="DIESEL"/>
    <x v="0"/>
    <n v="111"/>
    <m/>
    <m/>
    <n v="0"/>
    <n v="0"/>
    <n v="491"/>
    <n v="4.4234234234234231"/>
  </r>
  <r>
    <n v="6873"/>
    <x v="215"/>
    <x v="16"/>
    <s v="REDETUKAS"/>
    <n v="367916"/>
    <s v="DIESEL"/>
    <x v="0"/>
    <n v="231"/>
    <m/>
    <m/>
    <n v="0"/>
    <n v="0"/>
    <n v="1018"/>
    <n v="4.4069264069264067"/>
  </r>
  <r>
    <n v="6873"/>
    <x v="215"/>
    <x v="26"/>
    <s v="REDETUKAS"/>
    <n v="723409"/>
    <s v="DIESEL"/>
    <x v="0"/>
    <n v="121"/>
    <m/>
    <m/>
    <n v="0"/>
    <n v="0"/>
    <n v="378"/>
    <n v="3.1239669421487601"/>
  </r>
  <r>
    <n v="6873"/>
    <x v="215"/>
    <x v="6"/>
    <s v="REDETUKAS"/>
    <n v="644787"/>
    <s v="DIESEL"/>
    <x v="0"/>
    <n v="40"/>
    <m/>
    <m/>
    <n v="0"/>
    <n v="0"/>
    <n v="12"/>
    <n v="0.3"/>
  </r>
  <r>
    <n v="6873"/>
    <x v="215"/>
    <x v="28"/>
    <s v="REDETUKAS"/>
    <n v="72444"/>
    <s v="DIESEL"/>
    <x v="0"/>
    <n v="27"/>
    <m/>
    <m/>
    <n v="0"/>
    <n v="0"/>
    <n v="176"/>
    <n v="6.5185185185185182"/>
  </r>
  <r>
    <n v="6873"/>
    <x v="215"/>
    <x v="29"/>
    <s v="REDETUKAS"/>
    <n v="323820"/>
    <s v="DIESEL"/>
    <x v="0"/>
    <n v="80"/>
    <m/>
    <m/>
    <n v="0"/>
    <n v="0"/>
    <n v="374"/>
    <n v="4.6749999999999998"/>
  </r>
  <r>
    <n v="204237"/>
    <x v="231"/>
    <x v="23"/>
    <s v="TATITA FERNÃO DIAS"/>
    <n v="293187"/>
    <s v="GASOLINA"/>
    <x v="1"/>
    <n v="40.6"/>
    <m/>
    <n v="5.69"/>
    <n v="231.01400000000001"/>
    <n v="5.69"/>
    <n v="486"/>
    <n v="11.970443349753694"/>
  </r>
  <r>
    <n v="698124"/>
    <x v="215"/>
    <x v="13"/>
    <s v="AUTO POSTO SACI"/>
    <n v="143086"/>
    <s v="DIESEL"/>
    <x v="0"/>
    <n v="33.93"/>
    <m/>
    <n v="5.96"/>
    <n v="202.22280000000001"/>
    <n v="5.96"/>
    <n v="282"/>
    <n v="8.3112290008841736"/>
  </r>
  <r>
    <n v="135416"/>
    <x v="231"/>
    <x v="34"/>
    <s v="ULTRAMARINO"/>
    <n v="496964"/>
    <s v="ARLA"/>
    <x v="2"/>
    <n v="38"/>
    <m/>
    <n v="3.49"/>
    <n v="132.62"/>
    <n v="3.49"/>
    <n v="356863"/>
    <n v="9391.1315789473683"/>
  </r>
  <r>
    <n v="875603"/>
    <x v="215"/>
    <x v="35"/>
    <s v="BEIRA MINHO"/>
    <n v="371023"/>
    <s v="DIESEL"/>
    <x v="0"/>
    <n v="35.770000000000003"/>
    <m/>
    <n v="5.99"/>
    <n v="214.26230000000004"/>
    <n v="5.99"/>
    <n v="144"/>
    <n v="4.025719876991892"/>
  </r>
  <r>
    <n v="211454"/>
    <x v="215"/>
    <x v="28"/>
    <s v="DOM PEDRO CAMBUÍ"/>
    <n v="72725"/>
    <s v="DIESEL"/>
    <x v="0"/>
    <n v="36.42"/>
    <m/>
    <n v="5.99"/>
    <n v="218.15580000000003"/>
    <n v="5.99"/>
    <n v="281"/>
    <n v="7.7155409115870395"/>
  </r>
  <r>
    <n v="203942"/>
    <x v="215"/>
    <x v="10"/>
    <s v="TATITA FERNÃO DIAS"/>
    <n v="268046"/>
    <s v="DIESEL"/>
    <x v="0"/>
    <n v="63.79"/>
    <m/>
    <n v="5.99"/>
    <n v="382.10210000000001"/>
    <n v="5.99"/>
    <n v="427"/>
    <n v="6.6938391597429066"/>
  </r>
  <r>
    <n v="560888"/>
    <x v="215"/>
    <x v="15"/>
    <s v="COMBO AUTO POSTO"/>
    <n v="302671"/>
    <s v="DIESEL"/>
    <x v="0"/>
    <n v="105.751"/>
    <m/>
    <n v="6.58"/>
    <n v="695.84158000000002"/>
    <n v="6.58"/>
    <n v="470"/>
    <n v="4.4444024169984209"/>
  </r>
  <r>
    <n v="299086"/>
    <x v="215"/>
    <x v="27"/>
    <s v="POSTO SCARIOT"/>
    <n v="140736"/>
    <s v="DIESEL"/>
    <x v="0"/>
    <n v="142"/>
    <n v="186.02"/>
    <n v="7.3"/>
    <n v="850.57999999999993"/>
    <n v="5.9899999999999993"/>
    <n v="635"/>
    <n v="4.471830985915493"/>
  </r>
  <r>
    <n v="203941"/>
    <x v="215"/>
    <x v="13"/>
    <s v="TATITA FERNÃO DIAS"/>
    <n v="143397"/>
    <s v="DIESEL"/>
    <x v="0"/>
    <n v="36.691000000000003"/>
    <m/>
    <n v="5.99"/>
    <n v="219.77909000000002"/>
    <n v="5.99"/>
    <n v="311"/>
    <n v="8.476193071870485"/>
  </r>
  <r>
    <n v="326082"/>
    <x v="215"/>
    <x v="33"/>
    <s v="POSTO ZÉ RAMOS"/>
    <n v="89695"/>
    <s v="DIESEL"/>
    <x v="0"/>
    <n v="225.87"/>
    <m/>
    <n v="5.99"/>
    <n v="1352.9613000000002"/>
    <n v="5.99"/>
    <n v="751"/>
    <n v="3.3249214149732147"/>
  </r>
  <r>
    <n v="655941"/>
    <x v="215"/>
    <x v="5"/>
    <s v="DOM PEDRO POUSO ALEGRE"/>
    <n v="620213"/>
    <s v="DIESEL"/>
    <x v="0"/>
    <n v="132.62"/>
    <m/>
    <n v="5.58"/>
    <n v="740.01960000000008"/>
    <n v="5.58"/>
    <n v="426"/>
    <n v="3.2121851907706227"/>
  </r>
  <r>
    <n v="203991"/>
    <x v="230"/>
    <x v="18"/>
    <s v="TATITA FERNÃO DIAS"/>
    <n v="677461"/>
    <s v="ARLA"/>
    <x v="2"/>
    <n v="23.263000000000002"/>
    <n v="8.3699999999999992"/>
    <n v="3.69"/>
    <n v="77.470470000000006"/>
    <n v="3.3302011778360487"/>
    <n v="362"/>
    <n v="15.561191591798133"/>
  </r>
  <r>
    <n v="302946"/>
    <x v="230"/>
    <x v="34"/>
    <s v="DOM PEDRO ITAPEVA"/>
    <n v="496493"/>
    <s v="DIESEL"/>
    <x v="0"/>
    <n v="200.57"/>
    <m/>
    <n v="5.99"/>
    <n v="1201.4142999999999"/>
    <n v="5.9899999999999993"/>
    <n v="832"/>
    <n v="4.1481776935733166"/>
  </r>
  <r>
    <n v="31907"/>
    <x v="230"/>
    <x v="13"/>
    <s v="DOM PEDRO BRAGANÇA "/>
    <n v="143771"/>
    <s v="DIESEL"/>
    <x v="0"/>
    <n v="50.4"/>
    <m/>
    <n v="5.99"/>
    <n v="301.89600000000002"/>
    <n v="5.99"/>
    <n v="374"/>
    <n v="7.4206349206349209"/>
  </r>
  <r>
    <n v="24014"/>
    <x v="230"/>
    <x v="25"/>
    <s v="BEIRA MINHO"/>
    <n v="399583"/>
    <s v="DIESEL"/>
    <x v="0"/>
    <n v="102.92"/>
    <m/>
    <n v="5.99"/>
    <n v="616.49080000000004"/>
    <n v="5.99"/>
    <n v="1225"/>
    <n v="11.902448503692188"/>
  </r>
  <r>
    <n v="204642"/>
    <x v="232"/>
    <x v="27"/>
    <s v="TATITA FERNÃO DIAS"/>
    <n v="142125"/>
    <s v="ARLA"/>
    <x v="2"/>
    <n v="23.638999999999999"/>
    <n v="8.51"/>
    <n v="3.69"/>
    <n v="78.717909999999989"/>
    <n v="3.3300016921189557"/>
    <m/>
    <n v="0"/>
  </r>
  <r>
    <n v="204662"/>
    <x v="232"/>
    <x v="28"/>
    <s v="TATITA FERNÃO DIAS"/>
    <m/>
    <s v="ARLA"/>
    <x v="2"/>
    <n v="2.484"/>
    <n v="0.9"/>
    <n v="3.6989999999999998"/>
    <n v="8.288316"/>
    <n v="3.3366811594202899"/>
    <n v="-677461"/>
    <n v="-272729.87117552332"/>
  </r>
  <r>
    <n v="204534"/>
    <x v="232"/>
    <x v="3"/>
    <s v="TATITA FERNÃO DIAS"/>
    <n v="155582"/>
    <s v="GASOLINA"/>
    <x v="1"/>
    <n v="33.06"/>
    <m/>
    <n v="5.69"/>
    <n v="188.11140000000003"/>
    <n v="5.69"/>
    <e v="#REF!"/>
    <e v="#REF!"/>
  </r>
  <r>
    <n v="6873"/>
    <x v="230"/>
    <x v="1"/>
    <s v="REDETUKAS"/>
    <n v="334724"/>
    <s v="DIESEL"/>
    <x v="0"/>
    <n v="105"/>
    <m/>
    <m/>
    <n v="0"/>
    <n v="0"/>
    <n v="452"/>
    <n v="4.3047619047619046"/>
  </r>
  <r>
    <n v="6873"/>
    <x v="230"/>
    <x v="17"/>
    <s v="REDETUKAS"/>
    <n v="221028"/>
    <s v="DIESEL"/>
    <x v="0"/>
    <n v="590"/>
    <m/>
    <m/>
    <n v="0"/>
    <n v="0"/>
    <n v="-831"/>
    <n v="-1.4084745762711866"/>
  </r>
  <r>
    <n v="6873"/>
    <x v="230"/>
    <x v="24"/>
    <s v="REDETUKAS"/>
    <n v="99357"/>
    <s v="DIESEL"/>
    <x v="0"/>
    <n v="60"/>
    <m/>
    <m/>
    <n v="0"/>
    <n v="0"/>
    <n v="59"/>
    <n v="0.98333333333333328"/>
  </r>
  <r>
    <n v="205250"/>
    <x v="233"/>
    <x v="3"/>
    <s v="TATITA CENTRO"/>
    <n v="156114"/>
    <s v="GASOLINA"/>
    <x v="1"/>
    <n v="39.048999999999999"/>
    <m/>
    <n v="5.69"/>
    <n v="222.18881000000002"/>
    <n v="5.69"/>
    <n v="532"/>
    <n v="13.623908422750903"/>
  </r>
  <r>
    <n v="328546"/>
    <x v="234"/>
    <x v="3"/>
    <s v="POSTO ZÉ RAMOS"/>
    <n v="156747"/>
    <s v="GASOLINA"/>
    <x v="1"/>
    <n v="44.55"/>
    <m/>
    <n v="5.89"/>
    <n v="262.39949999999999"/>
    <n v="5.8900000000000006"/>
    <n v="633"/>
    <n v="14.208754208754209"/>
  </r>
  <r>
    <n v="6873"/>
    <x v="230"/>
    <x v="12"/>
    <s v="REDETUKAS"/>
    <n v="241805"/>
    <s v="DIESEL"/>
    <x v="0"/>
    <n v="98"/>
    <m/>
    <m/>
    <n v="0"/>
    <n v="0"/>
    <n v="475"/>
    <n v="4.8469387755102042"/>
  </r>
  <r>
    <n v="6873"/>
    <x v="230"/>
    <x v="18"/>
    <s v="REDETUKAS"/>
    <n v="677469"/>
    <s v="DIESEL"/>
    <x v="0"/>
    <n v="116"/>
    <m/>
    <m/>
    <n v="0"/>
    <n v="0"/>
    <n v="370"/>
    <n v="3.1896551724137931"/>
  </r>
  <r>
    <n v="6873"/>
    <x v="230"/>
    <x v="2"/>
    <s v="REDETUKAS"/>
    <n v="910932"/>
    <s v="DIESEL"/>
    <x v="0"/>
    <n v="376"/>
    <m/>
    <m/>
    <n v="0"/>
    <n v="0"/>
    <n v="1121"/>
    <n v="2.9813829787234041"/>
  </r>
  <r>
    <n v="6873"/>
    <x v="230"/>
    <x v="6"/>
    <s v="REDETUKAS"/>
    <n v="645185"/>
    <s v="DIESEL"/>
    <x v="0"/>
    <n v="90"/>
    <m/>
    <m/>
    <n v="0"/>
    <n v="0"/>
    <n v="398"/>
    <n v="4.4222222222222225"/>
  </r>
  <r>
    <n v="6873"/>
    <x v="230"/>
    <x v="28"/>
    <s v="REDETUKAS"/>
    <n v="72986"/>
    <s v="DIESEL"/>
    <x v="0"/>
    <n v="56"/>
    <m/>
    <m/>
    <n v="0"/>
    <n v="0"/>
    <n v="261"/>
    <n v="4.6607142857142856"/>
  </r>
  <r>
    <n v="6873"/>
    <x v="230"/>
    <x v="0"/>
    <s v="REDETUKAS"/>
    <n v="410548"/>
    <s v="DIESEL"/>
    <x v="0"/>
    <n v="21"/>
    <m/>
    <m/>
    <n v="0"/>
    <n v="0"/>
    <n v="142"/>
    <n v="6.7619047619047619"/>
  </r>
  <r>
    <n v="331401"/>
    <x v="231"/>
    <x v="6"/>
    <s v="POSTO CRISTAL"/>
    <n v="645610"/>
    <s v="DIESEL"/>
    <x v="0"/>
    <n v="83.53"/>
    <n v="22.49"/>
    <n v="6.02"/>
    <n v="480.36059999999998"/>
    <n v="5.7507554172153714"/>
    <n v="425"/>
    <n v="5.0879923380821257"/>
  </r>
  <r>
    <n v="656657"/>
    <x v="231"/>
    <x v="10"/>
    <s v="DOM PEDRO POUSO ALEGRE"/>
    <n v="268677"/>
    <s v="DIESEL"/>
    <x v="0"/>
    <n v="70.25"/>
    <m/>
    <n v="5.99"/>
    <n v="420.79750000000001"/>
    <n v="5.99"/>
    <n v="631"/>
    <n v="8.982206405693951"/>
  </r>
  <r>
    <n v="135416"/>
    <x v="231"/>
    <x v="34"/>
    <s v="ULTRAMARINO"/>
    <n v="497964"/>
    <s v="DIESEL"/>
    <x v="0"/>
    <n v="326.08100000000002"/>
    <n v="32.61"/>
    <n v="6.09"/>
    <n v="1953.2232900000001"/>
    <n v="5.989994173226898"/>
    <n v="1471"/>
    <n v="4.5111490703230173"/>
  </r>
  <r>
    <n v="25064"/>
    <x v="231"/>
    <x v="30"/>
    <s v="BEIRA MINHO"/>
    <n v="319776"/>
    <s v="DIESEL"/>
    <x v="0"/>
    <n v="118.4"/>
    <m/>
    <n v="5.99"/>
    <n v="709.21600000000001"/>
    <n v="5.99"/>
    <n v="287"/>
    <n v="2.4239864864864864"/>
  </r>
  <r>
    <n v="25163"/>
    <x v="231"/>
    <x v="33"/>
    <s v="BEIRA MINHO"/>
    <n v="90366"/>
    <s v="DIESEL"/>
    <x v="0"/>
    <n v="194.6"/>
    <m/>
    <n v="5.99"/>
    <n v="1165.654"/>
    <n v="5.99"/>
    <n v="671"/>
    <n v="3.4480986639260021"/>
  </r>
  <r>
    <n v="6873"/>
    <x v="231"/>
    <x v="14"/>
    <s v="REDETUKAS"/>
    <n v="121055"/>
    <s v="DIESEL"/>
    <x v="0"/>
    <n v="530"/>
    <m/>
    <m/>
    <n v="0"/>
    <n v="0"/>
    <n v="1684"/>
    <n v="3.1773584905660379"/>
  </r>
  <r>
    <n v="6873"/>
    <x v="231"/>
    <x v="27"/>
    <s v="REDETUKAS"/>
    <n v="141566"/>
    <s v="DIESEL"/>
    <x v="0"/>
    <n v="160"/>
    <m/>
    <m/>
    <n v="0"/>
    <n v="0"/>
    <n v="830"/>
    <n v="5.1875"/>
  </r>
  <r>
    <n v="6873"/>
    <x v="231"/>
    <x v="13"/>
    <s v="REDETUKAS"/>
    <n v="143887"/>
    <m/>
    <x v="0"/>
    <n v="15"/>
    <m/>
    <m/>
    <n v="0"/>
    <n v="0"/>
    <n v="116"/>
    <n v="7.7333333333333334"/>
  </r>
  <r>
    <s v="Ajuste M."/>
    <x v="231"/>
    <x v="13"/>
    <m/>
    <n v="143896"/>
    <m/>
    <x v="0"/>
    <n v="15"/>
    <m/>
    <m/>
    <n v="0"/>
    <n v="0"/>
    <n v="125"/>
    <n v="8.3333333333333339"/>
  </r>
  <r>
    <n v="656876"/>
    <x v="231"/>
    <x v="5"/>
    <s v="DOM PEDRO POUSO ALEGRE"/>
    <n v="620713"/>
    <s v="DIESEL"/>
    <x v="0"/>
    <n v="124"/>
    <m/>
    <n v="6.01"/>
    <n v="745.24"/>
    <n v="6.01"/>
    <n v="500"/>
    <n v="4.032258064516129"/>
  </r>
  <r>
    <n v="135596"/>
    <x v="228"/>
    <x v="2"/>
    <s v="ULTRAMARINO"/>
    <n v="911818"/>
    <s v="DIESEL"/>
    <x v="0"/>
    <n v="352"/>
    <n v="35.200000000000003"/>
    <n v="6.09"/>
    <n v="2108.48"/>
    <n v="5.99"/>
    <n v="886"/>
    <n v="2.5170454545454546"/>
  </r>
  <r>
    <n v="135463"/>
    <x v="228"/>
    <x v="13"/>
    <s v="ULTRAMARINO"/>
    <n v="144098"/>
    <s v="DIESEL"/>
    <x v="0"/>
    <n v="26.440999999999999"/>
    <n v="2.64"/>
    <n v="6.09"/>
    <n v="158.38569000000001"/>
    <n v="5.89"/>
    <n v="202"/>
    <n v="7.6396505427177495"/>
  </r>
  <r>
    <n v="501064"/>
    <x v="228"/>
    <x v="13"/>
    <s v="DOM PEDRO I 124 SUL"/>
    <n v="144324"/>
    <s v="DIESEL"/>
    <x v="0"/>
    <n v="30"/>
    <m/>
    <n v="5.89"/>
    <n v="176.7"/>
    <n v="5.9901550622139865"/>
    <n v="226"/>
    <n v="7.5333333333333332"/>
  </r>
  <r>
    <n v="1508"/>
    <x v="228"/>
    <x v="28"/>
    <s v="AUTO POSTO RVM MAX"/>
    <n v="73424"/>
    <s v="DIESEL"/>
    <x v="0"/>
    <n v="70.510000000000005"/>
    <m/>
    <n v="6.29"/>
    <n v="443.50790000000001"/>
    <n v="6.29"/>
    <n v="438"/>
    <n v="6.2118848390299242"/>
  </r>
  <r>
    <n v="1313982"/>
    <x v="228"/>
    <x v="30"/>
    <s v="POSTO PELANDA "/>
    <n v="320196"/>
    <s v="DIESEL"/>
    <x v="0"/>
    <n v="85"/>
    <m/>
    <n v="5.82"/>
    <n v="494.70000000000005"/>
    <n v="5.82"/>
    <n v="420"/>
    <n v="4.9411764705882355"/>
  </r>
  <r>
    <n v="6873"/>
    <x v="228"/>
    <x v="18"/>
    <s v="REDETUKAS"/>
    <n v="677930"/>
    <m/>
    <x v="0"/>
    <n v="113"/>
    <m/>
    <m/>
    <n v="0"/>
    <n v="0"/>
    <n v="461"/>
    <n v="4.0796460176991154"/>
  </r>
  <r>
    <s v="Ajuste M."/>
    <x v="231"/>
    <x v="12"/>
    <m/>
    <n v="242209"/>
    <m/>
    <x v="0"/>
    <n v="84.56"/>
    <m/>
    <m/>
    <n v="0"/>
    <n v="0"/>
    <n v="404"/>
    <n v="4.7776726584673606"/>
  </r>
  <r>
    <n v="6873"/>
    <x v="228"/>
    <x v="12"/>
    <s v="REDETUKAS"/>
    <n v="242659"/>
    <m/>
    <x v="0"/>
    <n v="93"/>
    <m/>
    <m/>
    <n v="0"/>
    <n v="0"/>
    <n v="450"/>
    <n v="4.838709677419355"/>
  </r>
  <r>
    <n v="6873"/>
    <x v="228"/>
    <x v="11"/>
    <s v="REDETUKAS"/>
    <n v="673558"/>
    <m/>
    <x v="0"/>
    <n v="103"/>
    <m/>
    <m/>
    <n v="0"/>
    <n v="0"/>
    <n v="484"/>
    <n v="4.6990291262135919"/>
  </r>
  <r>
    <n v="6981"/>
    <x v="228"/>
    <x v="9"/>
    <s v="REDETUKAS"/>
    <n v="380568"/>
    <m/>
    <x v="0"/>
    <n v="80"/>
    <m/>
    <m/>
    <n v="0"/>
    <n v="0"/>
    <n v="754"/>
    <n v="9.4250000000000007"/>
  </r>
  <r>
    <n v="6981"/>
    <x v="228"/>
    <x v="10"/>
    <s v="REDETUKAS"/>
    <n v="269096"/>
    <m/>
    <x v="0"/>
    <n v="43"/>
    <m/>
    <m/>
    <n v="0"/>
    <n v="0"/>
    <n v="419"/>
    <n v="9.7441860465116275"/>
  </r>
  <r>
    <n v="6981"/>
    <x v="228"/>
    <x v="6"/>
    <s v="REDETUKAS"/>
    <n v="645899"/>
    <m/>
    <x v="0"/>
    <n v="75"/>
    <m/>
    <m/>
    <n v="0"/>
    <n v="0"/>
    <n v="289"/>
    <n v="3.8533333333333335"/>
  </r>
  <r>
    <n v="6981"/>
    <x v="228"/>
    <x v="0"/>
    <s v="REDETUKAS"/>
    <n v="411255"/>
    <m/>
    <x v="0"/>
    <n v="12"/>
    <m/>
    <m/>
    <n v="0"/>
    <n v="0"/>
    <n v="707"/>
    <n v="58.916666666666664"/>
  </r>
  <r>
    <n v="135511"/>
    <x v="228"/>
    <x v="29"/>
    <s v="ULTRAMARINO"/>
    <n v="324398"/>
    <s v="DIESEL"/>
    <x v="0"/>
    <n v="125.16"/>
    <n v="12.522"/>
    <n v="6.09"/>
    <n v="749.7023999999999"/>
    <n v="5.989952061361457"/>
    <n v="578"/>
    <n v="4.6180888462767662"/>
  </r>
  <r>
    <n v="126891"/>
    <x v="228"/>
    <x v="8"/>
    <s v="GRAAL ALEMÃO"/>
    <n v="959167"/>
    <s v="DIESEL"/>
    <x v="0"/>
    <n v="478.00700000000001"/>
    <m/>
    <n v="6.14"/>
    <n v="2934.9629799999998"/>
    <n v="6.14"/>
    <n v="1500"/>
    <n v="3.1380293594026867"/>
  </r>
  <r>
    <n v="204525"/>
    <x v="232"/>
    <x v="36"/>
    <s v="TATITA FERNÃO DIAS"/>
    <n v="1041033"/>
    <s v="DIESEL"/>
    <x v="0"/>
    <n v="375.62900000000002"/>
    <m/>
    <n v="5.99"/>
    <n v="2250.0177100000001"/>
    <n v="5.99"/>
    <n v="2708"/>
    <n v="7.2092410330405796"/>
  </r>
  <r>
    <n v="303622"/>
    <x v="232"/>
    <x v="0"/>
    <s v="DOM PEDRO ITAPEVA"/>
    <n v="411668"/>
    <s v="DIESEL"/>
    <x v="0"/>
    <n v="53.58"/>
    <m/>
    <n v="5.99"/>
    <n v="320.94420000000002"/>
    <n v="5.99"/>
    <n v="413"/>
    <n v="7.7081000373273616"/>
  </r>
  <r>
    <n v="26657"/>
    <x v="232"/>
    <x v="35"/>
    <s v="BEIRA MINHO"/>
    <n v="371402"/>
    <s v="DIESEL"/>
    <x v="0"/>
    <n v="73.84"/>
    <m/>
    <n v="5.99"/>
    <n v="442.30160000000006"/>
    <n v="5.99"/>
    <n v="379"/>
    <n v="5.1327193932827733"/>
  </r>
  <r>
    <n v="79599"/>
    <x v="232"/>
    <x v="9"/>
    <s v="DOM PEDRO LORENA"/>
    <n v="381263"/>
    <s v="DIESEL"/>
    <x v="0"/>
    <n v="118.01"/>
    <m/>
    <n v="5.89"/>
    <n v="695.07889999999998"/>
    <n v="5.89"/>
    <n v="695"/>
    <n v="5.8893314125921528"/>
  </r>
  <r>
    <n v="6981"/>
    <x v="232"/>
    <x v="12"/>
    <s v="REDETUKAS"/>
    <n v="243341"/>
    <m/>
    <x v="0"/>
    <n v="126"/>
    <m/>
    <m/>
    <n v="0"/>
    <n v="0"/>
    <n v="682"/>
    <n v="5.412698412698413"/>
  </r>
  <r>
    <n v="6981"/>
    <x v="232"/>
    <x v="27"/>
    <s v="REDETUKAS"/>
    <n v="142129"/>
    <m/>
    <x v="0"/>
    <n v="116"/>
    <m/>
    <m/>
    <n v="0"/>
    <n v="0"/>
    <n v="563"/>
    <n v="4.8534482758620694"/>
  </r>
  <r>
    <n v="6981"/>
    <x v="232"/>
    <x v="36"/>
    <s v="REDETUKAS"/>
    <n v="1041447"/>
    <m/>
    <x v="0"/>
    <n v="150"/>
    <m/>
    <m/>
    <n v="0"/>
    <n v="0"/>
    <n v="414"/>
    <n v="2.76"/>
  </r>
  <r>
    <n v="6981"/>
    <x v="232"/>
    <x v="16"/>
    <s v="REDETUKAS"/>
    <n v="369658"/>
    <m/>
    <x v="0"/>
    <n v="220"/>
    <m/>
    <m/>
    <n v="0"/>
    <n v="0"/>
    <n v="1742"/>
    <n v="7.918181818181818"/>
  </r>
  <r>
    <n v="6981"/>
    <x v="232"/>
    <x v="28"/>
    <s v="REDETUKAS"/>
    <n v="74041"/>
    <m/>
    <x v="0"/>
    <n v="70"/>
    <m/>
    <m/>
    <n v="0"/>
    <n v="0"/>
    <n v="617"/>
    <n v="8.8142857142857149"/>
  </r>
  <r>
    <n v="6981"/>
    <x v="232"/>
    <x v="22"/>
    <s v="REDETUKAS"/>
    <n v="153133"/>
    <m/>
    <x v="0"/>
    <n v="185"/>
    <m/>
    <m/>
    <n v="0"/>
    <n v="0"/>
    <n v="713"/>
    <n v="3.8540540540540542"/>
  </r>
  <r>
    <n v="6981"/>
    <x v="232"/>
    <x v="10"/>
    <s v="REDETUKAS"/>
    <n v="269578"/>
    <m/>
    <x v="0"/>
    <n v="56"/>
    <m/>
    <m/>
    <n v="0"/>
    <n v="0"/>
    <n v="482"/>
    <n v="8.6071428571428577"/>
  </r>
  <r>
    <n v="875603"/>
    <x v="232"/>
    <x v="33"/>
    <s v="BEIRA MINHO"/>
    <n v="90485"/>
    <s v="DIESEL"/>
    <x v="0"/>
    <n v="154.41"/>
    <m/>
    <n v="5.99"/>
    <n v="924.91589999999997"/>
    <n v="5.99"/>
    <n v="119"/>
    <n v="0.77067547438637396"/>
  </r>
  <r>
    <n v="303909"/>
    <x v="235"/>
    <x v="34"/>
    <s v="DOM PEDRO ITAPEVA"/>
    <n v="498021"/>
    <s v="DIESEL"/>
    <x v="0"/>
    <n v="401.81"/>
    <m/>
    <n v="5.99"/>
    <n v="2406.8418999999999"/>
    <n v="5.9899999999999993"/>
    <n v="57"/>
    <n v="0.14185809213309772"/>
  </r>
  <r>
    <n v="205196"/>
    <x v="236"/>
    <x v="8"/>
    <s v="TATITA FERNÃO DIAS"/>
    <m/>
    <s v="ARLA"/>
    <x v="2"/>
    <n v="35.290999999999997"/>
    <n v="12.7"/>
    <n v="3.69"/>
    <n v="117.52378999999998"/>
    <n v="3.330134878580941"/>
    <m/>
    <n v="0"/>
  </r>
  <r>
    <n v="205195"/>
    <x v="236"/>
    <x v="5"/>
    <s v="TATITA FERNÃO DIAS"/>
    <n v="621265"/>
    <s v="DIESEL"/>
    <x v="0"/>
    <n v="138.42099999999999"/>
    <m/>
    <n v="5.99"/>
    <n v="829.14179000000001"/>
    <n v="5.99"/>
    <n v="552"/>
    <n v="3.9878342159065463"/>
  </r>
  <r>
    <n v="102908"/>
    <x v="236"/>
    <x v="27"/>
    <s v="POSTO SCARIOT"/>
    <n v="142295"/>
    <s v="DIESEL"/>
    <x v="0"/>
    <n v="179.00700000000001"/>
    <n v="234.5"/>
    <n v="7.3"/>
    <n v="1072.2511"/>
    <n v="5.9899953633098146"/>
    <n v="166"/>
    <n v="0.92733803706000317"/>
  </r>
  <r>
    <n v="875603"/>
    <x v="233"/>
    <x v="30"/>
    <s v="BEIRA MINHO"/>
    <n v="321050"/>
    <s v="DIESEL"/>
    <x v="0"/>
    <n v="104.19"/>
    <m/>
    <n v="5.99"/>
    <n v="624.09810000000004"/>
    <n v="5.99"/>
    <n v="854"/>
    <n v="8.1965639696707946"/>
  </r>
  <r>
    <n v="189863"/>
    <x v="233"/>
    <x v="8"/>
    <s v="POSTO ROTA SUL "/>
    <n v="960563"/>
    <s v="DIESEL"/>
    <x v="0"/>
    <n v="408.02100000000002"/>
    <m/>
    <n v="5.89"/>
    <n v="2403.2436899999998"/>
    <n v="5.89"/>
    <n v="1396"/>
    <n v="3.4213925263650644"/>
  </r>
  <r>
    <n v="103106"/>
    <x v="233"/>
    <x v="27"/>
    <s v="POSTO SCARIOT"/>
    <n v="143574"/>
    <s v="DIESEL"/>
    <x v="0"/>
    <n v="137.417"/>
    <n v="180.01"/>
    <n v="7.3"/>
    <n v="823.13409999999999"/>
    <n v="5.9900456275424441"/>
    <n v="1279"/>
    <n v="9.3074364889351386"/>
  </r>
  <r>
    <n v="103107"/>
    <x v="233"/>
    <x v="27"/>
    <s v="POSTO SCARIOT"/>
    <n v="143574"/>
    <s v="ARLA"/>
    <x v="2"/>
    <n v="19.501000000000001"/>
    <m/>
    <n v="3.19"/>
    <n v="62.208190000000002"/>
    <n v="3.19"/>
    <m/>
    <n v="0"/>
  </r>
  <r>
    <n v="6981"/>
    <x v="233"/>
    <x v="26"/>
    <s v="REDETUKAS"/>
    <n v="724106"/>
    <m/>
    <x v="0"/>
    <n v="206"/>
    <m/>
    <m/>
    <n v="0"/>
    <n v="0"/>
    <n v="697"/>
    <n v="3.383495145631068"/>
  </r>
  <r>
    <n v="6981"/>
    <x v="233"/>
    <x v="1"/>
    <s v="REDETUKAS"/>
    <n v="335195"/>
    <m/>
    <x v="0"/>
    <n v="123"/>
    <m/>
    <m/>
    <n v="0"/>
    <n v="0"/>
    <n v="471"/>
    <n v="3.8292682926829267"/>
  </r>
  <r>
    <n v="6981"/>
    <x v="233"/>
    <x v="11"/>
    <s v="REDETUKAS"/>
    <n v="673921"/>
    <m/>
    <x v="0"/>
    <n v="92"/>
    <m/>
    <m/>
    <n v="0"/>
    <n v="0"/>
    <n v="363"/>
    <n v="3.9456521739130435"/>
  </r>
  <r>
    <n v="6981"/>
    <x v="233"/>
    <x v="2"/>
    <s v="REDETUKAS"/>
    <n v="912896"/>
    <m/>
    <x v="0"/>
    <n v="435"/>
    <m/>
    <m/>
    <n v="0"/>
    <n v="0"/>
    <n v="1078"/>
    <n v="2.4781609195402301"/>
  </r>
  <r>
    <n v="6981"/>
    <x v="233"/>
    <x v="13"/>
    <s v="REDETUKAS"/>
    <n v="144481"/>
    <m/>
    <x v="0"/>
    <n v="23"/>
    <m/>
    <m/>
    <n v="0"/>
    <n v="0"/>
    <n v="157"/>
    <n v="6.8260869565217392"/>
  </r>
  <r>
    <n v="6981"/>
    <x v="233"/>
    <x v="6"/>
    <s v="REDETUKAS"/>
    <n v="646290"/>
    <m/>
    <x v="0"/>
    <n v="83"/>
    <m/>
    <m/>
    <n v="0"/>
    <n v="0"/>
    <n v="391"/>
    <n v="4.7108433734939759"/>
  </r>
  <r>
    <n v="6981"/>
    <x v="233"/>
    <x v="17"/>
    <s v="REDETUKAS"/>
    <n v="225645"/>
    <m/>
    <x v="0"/>
    <n v="544"/>
    <m/>
    <m/>
    <n v="0"/>
    <n v="0"/>
    <n v="4617"/>
    <n v="8.4871323529411757"/>
  </r>
  <r>
    <n v="6981"/>
    <x v="233"/>
    <x v="18"/>
    <s v="REDETUKAS"/>
    <n v="678518"/>
    <m/>
    <x v="0"/>
    <n v="137"/>
    <m/>
    <m/>
    <n v="0"/>
    <n v="0"/>
    <n v="588"/>
    <n v="4.2919708029197077"/>
  </r>
  <r>
    <n v="6981"/>
    <x v="233"/>
    <x v="13"/>
    <s v="REDETUKAS"/>
    <n v="144686"/>
    <m/>
    <x v="0"/>
    <n v="26"/>
    <m/>
    <m/>
    <n v="0"/>
    <n v="0"/>
    <n v="205"/>
    <n v="7.884615384615385"/>
  </r>
  <r>
    <n v="659688"/>
    <x v="234"/>
    <x v="0"/>
    <s v="DOM PEDRO POUSO ALEGRE"/>
    <n v="412295"/>
    <s v="DIESEL"/>
    <x v="0"/>
    <n v="41.37"/>
    <m/>
    <n v="5.99"/>
    <n v="247.80629999999999"/>
    <n v="5.99"/>
    <n v="627"/>
    <n v="15.155910079767949"/>
  </r>
  <r>
    <n v="205537"/>
    <x v="234"/>
    <x v="28"/>
    <s v="TATITA FERNÃO DIAS"/>
    <n v="74902"/>
    <s v="ARLA"/>
    <x v="2"/>
    <n v="2.7240000000000002"/>
    <n v="0.98"/>
    <n v="3.69"/>
    <n v="9.0715599999999998"/>
    <n v="3.3302349486049923"/>
    <m/>
    <n v="0"/>
  </r>
  <r>
    <s v="Ajuste M."/>
    <x v="234"/>
    <x v="13"/>
    <m/>
    <n v="144838"/>
    <m/>
    <x v="0"/>
    <n v="24.3"/>
    <m/>
    <m/>
    <n v="0"/>
    <n v="0"/>
    <n v="152"/>
    <n v="6.2551440329218106"/>
  </r>
  <r>
    <n v="304667"/>
    <x v="234"/>
    <x v="13"/>
    <s v="DOM PEDRO ITAPEVA"/>
    <n v="145066"/>
    <s v="DIESEL"/>
    <x v="0"/>
    <n v="25.04"/>
    <m/>
    <n v="5.99"/>
    <n v="149.9896"/>
    <n v="5.99"/>
    <n v="228"/>
    <n v="9.1054313099041533"/>
  </r>
  <r>
    <n v="10826"/>
    <x v="234"/>
    <x v="6"/>
    <s v="AUTO POSTO CLARISTELA"/>
    <n v="646881"/>
    <s v="DIESEL"/>
    <x v="0"/>
    <n v="134.02000000000001"/>
    <m/>
    <n v="6.29"/>
    <n v="842.98580000000004"/>
    <n v="6.29"/>
    <n v="591"/>
    <n v="4.4097895836442316"/>
  </r>
  <r>
    <n v="30244"/>
    <x v="234"/>
    <x v="33"/>
    <s v="BEIRA MINHO"/>
    <n v="91324"/>
    <s v="DIESEL"/>
    <x v="0"/>
    <n v="146.09"/>
    <m/>
    <n v="5.99"/>
    <n v="875.07910000000004"/>
    <n v="5.99"/>
    <n v="839"/>
    <n v="5.7430351153398584"/>
  </r>
  <r>
    <n v="1166632"/>
    <x v="234"/>
    <x v="0"/>
    <s v="RODOPOSTO MIRANTE"/>
    <n v="412924"/>
    <s v="DIESEL"/>
    <x v="0"/>
    <n v="32.835000000000001"/>
    <n v="26.92"/>
    <n v="6.71"/>
    <n v="193.40285"/>
    <n v="5.8901431399421345"/>
    <n v="629"/>
    <n v="19.156388000609105"/>
  </r>
  <r>
    <n v="6981"/>
    <x v="234"/>
    <x v="34"/>
    <s v="REDETUKAS"/>
    <n v="498450"/>
    <m/>
    <x v="0"/>
    <n v="155"/>
    <m/>
    <m/>
    <n v="0"/>
    <n v="0"/>
    <n v="429"/>
    <n v="2.7677419354838708"/>
  </r>
  <r>
    <n v="6981"/>
    <x v="234"/>
    <x v="28"/>
    <s v="REDETUKAS"/>
    <n v="74873"/>
    <m/>
    <x v="0"/>
    <n v="100"/>
    <m/>
    <m/>
    <n v="0"/>
    <n v="0"/>
    <n v="832"/>
    <n v="8.32"/>
  </r>
  <r>
    <n v="6981"/>
    <x v="234"/>
    <x v="29"/>
    <s v="REDETUKAS"/>
    <n v="325044"/>
    <m/>
    <x v="0"/>
    <n v="132"/>
    <m/>
    <m/>
    <n v="0"/>
    <n v="0"/>
    <n v="646"/>
    <n v="4.8939393939393936"/>
  </r>
  <r>
    <n v="6981"/>
    <x v="234"/>
    <x v="16"/>
    <s v="REDETUKAS"/>
    <n v="370126"/>
    <m/>
    <x v="0"/>
    <n v="110"/>
    <m/>
    <m/>
    <n v="0"/>
    <n v="0"/>
    <n v="468"/>
    <n v="4.2545454545454549"/>
  </r>
  <r>
    <n v="563151"/>
    <x v="234"/>
    <x v="31"/>
    <s v="COMBO AUTO POSTO"/>
    <n v="326923"/>
    <m/>
    <x v="0"/>
    <n v="84.021000000000001"/>
    <m/>
    <n v="6.89"/>
    <n v="578.90468999999996"/>
    <n v="6.89"/>
    <n v="1717"/>
    <n v="20.43536734863903"/>
  </r>
  <r>
    <n v="7069"/>
    <x v="234"/>
    <x v="22"/>
    <s v="REDETUKAS"/>
    <n v="153502"/>
    <m/>
    <x v="0"/>
    <n v="87"/>
    <m/>
    <m/>
    <n v="0"/>
    <n v="0"/>
    <n v="369"/>
    <n v="4.2413793103448274"/>
  </r>
  <r>
    <n v="563237"/>
    <x v="234"/>
    <x v="5"/>
    <s v="COMBO AUTO POSTO"/>
    <n v="621726"/>
    <s v="DIESEL"/>
    <x v="0"/>
    <n v="53"/>
    <m/>
    <n v="6.89"/>
    <n v="365.16999999999996"/>
    <n v="6.8899999999999988"/>
    <n v="461"/>
    <n v="8.6981132075471699"/>
  </r>
  <r>
    <n v="563056"/>
    <x v="234"/>
    <x v="21"/>
    <s v="COMBO AUTO POSTO"/>
    <n v="136400"/>
    <s v="GASOLINA"/>
    <x v="1"/>
    <n v="52.26"/>
    <m/>
    <n v="5.94"/>
    <n v="310.42439999999999"/>
    <n v="5.94"/>
    <n v="454"/>
    <n v="8.6873325679295839"/>
  </r>
  <r>
    <n v="328862"/>
    <x v="237"/>
    <x v="23"/>
    <s v="POSTO ZÉ RAMOS"/>
    <n v="293728"/>
    <s v="GASOLINA"/>
    <x v="1"/>
    <n v="39.520000000000003"/>
    <m/>
    <n v="5.89"/>
    <n v="232.77280000000002"/>
    <n v="5.89"/>
    <n v="541"/>
    <n v="13.689271255060728"/>
  </r>
  <r>
    <n v="269060"/>
    <x v="237"/>
    <x v="34"/>
    <s v="ULTRAMARINO"/>
    <n v="498947"/>
    <s v="ARLA"/>
    <x v="2"/>
    <n v="39"/>
    <m/>
    <n v="3.49"/>
    <n v="136.11000000000001"/>
    <n v="3.49"/>
    <m/>
    <n v="0"/>
  </r>
  <r>
    <n v="305001"/>
    <x v="237"/>
    <x v="34"/>
    <s v="DOM PEDRO ITAPEVA"/>
    <n v="499211"/>
    <s v="DIESEL"/>
    <x v="0"/>
    <n v="309"/>
    <m/>
    <n v="6.09"/>
    <n v="1881.81"/>
    <n v="6.09"/>
    <n v="1190"/>
    <n v="3.8511326860841426"/>
  </r>
  <r>
    <n v="597427"/>
    <x v="237"/>
    <x v="17"/>
    <s v="POSTO ITASUL"/>
    <n v="221780"/>
    <s v="DIESEL"/>
    <x v="0"/>
    <n v="399.65"/>
    <m/>
    <n v="6.12"/>
    <n v="2445.8579999999997"/>
    <n v="6.1199999999999992"/>
    <n v="-3865"/>
    <n v="-9.6709620918303525"/>
  </r>
  <r>
    <n v="7069"/>
    <x v="237"/>
    <x v="6"/>
    <s v="REDETUKAS"/>
    <n v="647134"/>
    <m/>
    <x v="0"/>
    <n v="53"/>
    <m/>
    <m/>
    <n v="0"/>
    <n v="0"/>
    <n v="253"/>
    <n v="4.7735849056603774"/>
  </r>
  <r>
    <n v="7069"/>
    <x v="237"/>
    <x v="27"/>
    <s v="REDETUKAS"/>
    <n v="144419"/>
    <m/>
    <x v="0"/>
    <n v="170"/>
    <m/>
    <m/>
    <n v="0"/>
    <n v="0"/>
    <n v="845"/>
    <n v="4.9705882352941178"/>
  </r>
  <r>
    <n v="7069"/>
    <x v="237"/>
    <x v="14"/>
    <s v="REDETUKAS"/>
    <n v="122310"/>
    <m/>
    <x v="0"/>
    <n v="378"/>
    <m/>
    <m/>
    <n v="0"/>
    <n v="0"/>
    <n v="1255"/>
    <n v="3.32010582010582"/>
  </r>
  <r>
    <n v="7069"/>
    <x v="237"/>
    <x v="10"/>
    <s v="REDETUKAS"/>
    <n v="270208"/>
    <m/>
    <x v="0"/>
    <n v="66"/>
    <m/>
    <m/>
    <n v="0"/>
    <n v="0"/>
    <n v="630"/>
    <n v="9.545454545454545"/>
  </r>
  <r>
    <n v="7069"/>
    <x v="237"/>
    <x v="26"/>
    <s v="REDETUKAS"/>
    <n v="724501"/>
    <m/>
    <x v="0"/>
    <n v="113"/>
    <m/>
    <m/>
    <n v="0"/>
    <n v="0"/>
    <n v="395"/>
    <n v="3.4955752212389379"/>
  </r>
  <r>
    <n v="7069"/>
    <x v="237"/>
    <x v="18"/>
    <s v="REDETUKAS"/>
    <n v="678869"/>
    <m/>
    <x v="0"/>
    <n v="90"/>
    <m/>
    <m/>
    <n v="0"/>
    <n v="0"/>
    <n v="351"/>
    <n v="3.9"/>
  </r>
  <r>
    <n v="7069"/>
    <x v="237"/>
    <x v="2"/>
    <s v="REDETUKAS"/>
    <n v="913673"/>
    <m/>
    <x v="0"/>
    <n v="305"/>
    <m/>
    <m/>
    <n v="0"/>
    <n v="0"/>
    <n v="777"/>
    <n v="2.5475409836065572"/>
  </r>
  <r>
    <n v="7069"/>
    <x v="237"/>
    <x v="13"/>
    <s v="REDETUKAS"/>
    <n v="145157"/>
    <m/>
    <x v="0"/>
    <n v="13"/>
    <m/>
    <m/>
    <n v="0"/>
    <n v="0"/>
    <n v="91"/>
    <n v="7"/>
  </r>
  <r>
    <n v="31293"/>
    <x v="237"/>
    <x v="25"/>
    <s v="BEIRA MINHO"/>
    <n v="400184"/>
    <m/>
    <x v="0"/>
    <n v="99.5"/>
    <m/>
    <n v="6.09"/>
    <n v="605.95500000000004"/>
    <n v="6.0900000000000007"/>
    <n v="601"/>
    <n v="6.0402010050251258"/>
  </r>
  <r>
    <n v="7069"/>
    <x v="237"/>
    <x v="12"/>
    <s v="REDETUKAS"/>
    <n v="243991"/>
    <m/>
    <x v="0"/>
    <n v="134"/>
    <m/>
    <m/>
    <n v="0"/>
    <n v="0"/>
    <n v="650"/>
    <n v="4.8507462686567164"/>
  </r>
  <r>
    <n v="730738"/>
    <x v="237"/>
    <x v="28"/>
    <s v="GAVIÃO DA ANHANGUERA"/>
    <n v="75067"/>
    <s v="DIESEL"/>
    <x v="0"/>
    <n v="104.64"/>
    <m/>
    <n v="6.22"/>
    <n v="650.86079999999993"/>
    <n v="6.2199999999999989"/>
    <n v="194"/>
    <n v="1.8539755351681957"/>
  </r>
  <r>
    <n v="329085"/>
    <x v="238"/>
    <x v="3"/>
    <s v="POSTO ZÉ RAMOS"/>
    <n v="157214"/>
    <s v="GASOLINA"/>
    <x v="1"/>
    <n v="33.47"/>
    <m/>
    <n v="5.89"/>
    <n v="197.13829999999999"/>
    <n v="5.89"/>
    <n v="467"/>
    <n v="13.952793546459516"/>
  </r>
  <r>
    <n v="206025"/>
    <x v="238"/>
    <x v="22"/>
    <s v="TATITA FERNÃO DIAS"/>
    <n v="153944"/>
    <s v="DIESEL"/>
    <x v="0"/>
    <n v="108.04900000000001"/>
    <m/>
    <n v="6.09"/>
    <n v="658.01841000000002"/>
    <n v="6.09"/>
    <n v="442"/>
    <n v="4.0907366102416498"/>
  </r>
  <r>
    <n v="126891"/>
    <x v="238"/>
    <x v="17"/>
    <s v="GRAAL ALEMÃO"/>
    <n v="222018"/>
    <s v="DIESEL"/>
    <x v="0"/>
    <n v="329.99700000000001"/>
    <m/>
    <n v="6.02"/>
    <n v="1986.58194"/>
    <n v="6.02"/>
    <n v="238"/>
    <n v="0.72121867774555526"/>
  </r>
  <r>
    <n v="31821"/>
    <x v="238"/>
    <x v="24"/>
    <s v="BEIRA MINHO"/>
    <n v="100575"/>
    <s v="DIESEL"/>
    <x v="0"/>
    <n v="82.76"/>
    <m/>
    <n v="6.09"/>
    <n v="504.00839999999999"/>
    <n v="6.09"/>
    <n v="1218"/>
    <n v="14.717254712421459"/>
  </r>
  <r>
    <n v="205956"/>
    <x v="238"/>
    <x v="27"/>
    <s v="TATITA FERNÃO DIAS"/>
    <n v="144440"/>
    <s v="ARLA"/>
    <x v="2"/>
    <n v="8.2059999999999995"/>
    <n v="2.95"/>
    <n v="3.69"/>
    <n v="27.33014"/>
    <n v="3.330506946136973"/>
    <m/>
    <n v="0"/>
  </r>
  <r>
    <n v="331190"/>
    <x v="239"/>
    <x v="28"/>
    <s v="DOM PEDRO POUSO ALEGRE"/>
    <n v="76037"/>
    <s v="DIESEL"/>
    <x v="0"/>
    <n v="51.57"/>
    <m/>
    <n v="5.99"/>
    <n v="308.90430000000003"/>
    <n v="5.99"/>
    <n v="970"/>
    <n v="18.809385301531897"/>
  </r>
  <r>
    <n v="373239"/>
    <x v="239"/>
    <x v="6"/>
    <s v="DOM PEDRO POUSO ALEGRE"/>
    <n v="647488"/>
    <s v="DIESEL"/>
    <x v="0"/>
    <n v="90.49"/>
    <m/>
    <n v="6.09"/>
    <n v="551.08409999999992"/>
    <n v="6.09"/>
    <n v="354"/>
    <n v="3.9120344789479504"/>
  </r>
  <r>
    <n v="504330"/>
    <x v="239"/>
    <x v="6"/>
    <s v="DOM PEDRO ITATIAIUÇU"/>
    <n v="647972"/>
    <s v="DIESEL"/>
    <x v="0"/>
    <n v="110.68"/>
    <m/>
    <n v="6.09"/>
    <n v="674.0412"/>
    <n v="6.09"/>
    <n v="484"/>
    <n v="4.3729671123960969"/>
  </r>
  <r>
    <n v="7069"/>
    <x v="239"/>
    <x v="4"/>
    <s v="REDETUKAS"/>
    <n v="875912"/>
    <m/>
    <x v="0"/>
    <n v="56"/>
    <m/>
    <m/>
    <n v="0"/>
    <n v="0"/>
    <n v="234"/>
    <n v="4.1785714285714288"/>
  </r>
  <r>
    <n v="7069"/>
    <x v="239"/>
    <x v="0"/>
    <s v="REDETUKAS"/>
    <n v="412991"/>
    <m/>
    <x v="0"/>
    <n v="51"/>
    <m/>
    <m/>
    <n v="0"/>
    <n v="0"/>
    <n v="67"/>
    <n v="1.3137254901960784"/>
  </r>
  <r>
    <n v="7069"/>
    <x v="239"/>
    <x v="13"/>
    <s v="REDETUKAS"/>
    <n v="145596"/>
    <m/>
    <x v="0"/>
    <n v="49"/>
    <m/>
    <m/>
    <n v="0"/>
    <n v="0"/>
    <n v="439"/>
    <n v="8.9591836734693882"/>
  </r>
  <r>
    <n v="33031"/>
    <x v="239"/>
    <x v="33"/>
    <s v="BEIRA MINHO"/>
    <n v="91743"/>
    <s v="DIESEL"/>
    <x v="0"/>
    <n v="149.41999999999999"/>
    <m/>
    <n v="6.09"/>
    <n v="909.9677999999999"/>
    <n v="6.09"/>
    <n v="419"/>
    <n v="2.8041761477713831"/>
  </r>
  <r>
    <n v="255697"/>
    <x v="240"/>
    <x v="7"/>
    <s v="DOM PEDRO ATIBAIA"/>
    <n v="110683"/>
    <s v="GASOLINA"/>
    <x v="1"/>
    <n v="45.82"/>
    <m/>
    <n v="5.45"/>
    <n v="249.71900000000002"/>
    <n v="5.45"/>
    <n v="1617"/>
    <n v="35.290266259275427"/>
  </r>
  <r>
    <n v="662557"/>
    <x v="241"/>
    <x v="5"/>
    <s v="DOM PEDRO POUSO ALEGRE"/>
    <n v="622243"/>
    <s v="DIESEL"/>
    <x v="0"/>
    <n v="141"/>
    <m/>
    <n v="6.01"/>
    <n v="847.41"/>
    <n v="6.01"/>
    <n v="517"/>
    <n v="3.6666666666666665"/>
  </r>
  <r>
    <n v="182017"/>
    <x v="241"/>
    <x v="27"/>
    <s v="POSTO SCARIOT"/>
    <n v="145266"/>
    <s v="DIESEL"/>
    <x v="0"/>
    <n v="187.00299999999999"/>
    <n v="248.71"/>
    <n v="7.42"/>
    <n v="1138.8522599999999"/>
    <n v="6.0900213365560978"/>
    <n v="847"/>
    <n v="4.5293391015117406"/>
  </r>
  <r>
    <n v="1166632"/>
    <x v="242"/>
    <x v="13"/>
    <s v="RODOPOSTO MIRANTE"/>
    <n v="145819"/>
    <s v="DIESEL"/>
    <x v="0"/>
    <n v="27.736000000000001"/>
    <n v="22.74"/>
    <n v="6.18"/>
    <n v="148.66847999999999"/>
    <n v="5.3601269108739542"/>
    <n v="223"/>
    <n v="8.0400922988174219"/>
  </r>
  <r>
    <n v="206831"/>
    <x v="242"/>
    <x v="19"/>
    <s v="TATITA FERNÃO DIAS"/>
    <n v="228099"/>
    <s v="GASOLINA"/>
    <x v="1"/>
    <n v="39.500999999999998"/>
    <m/>
    <n v="5.69"/>
    <n v="224.76069000000001"/>
    <n v="5.69"/>
    <n v="475"/>
    <n v="12.025012025012026"/>
  </r>
  <r>
    <n v="564486"/>
    <x v="242"/>
    <x v="31"/>
    <s v="COMBO AUTO POSTO"/>
    <n v="327399"/>
    <s v="DIESEL"/>
    <x v="0"/>
    <n v="68.180000000000007"/>
    <m/>
    <n v="6.89"/>
    <n v="469.7602"/>
    <n v="6.89"/>
    <n v="476"/>
    <n v="6.9815195071868574"/>
  </r>
  <r>
    <n v="7069"/>
    <x v="242"/>
    <x v="1"/>
    <s v="REDETUKAS"/>
    <n v="335759"/>
    <m/>
    <x v="0"/>
    <n v="149"/>
    <m/>
    <m/>
    <n v="0"/>
    <n v="0"/>
    <n v="564"/>
    <n v="3.7852348993288589"/>
  </r>
  <r>
    <n v="7069"/>
    <x v="242"/>
    <x v="26"/>
    <s v="REDETUKAS"/>
    <n v="724948"/>
    <m/>
    <x v="0"/>
    <n v="110"/>
    <m/>
    <m/>
    <n v="0"/>
    <n v="0"/>
    <n v="447"/>
    <n v="4.0636363636363635"/>
  </r>
  <r>
    <n v="7069"/>
    <x v="242"/>
    <x v="10"/>
    <s v="REDETUKAS"/>
    <n v="270318"/>
    <m/>
    <x v="0"/>
    <n v="17"/>
    <m/>
    <m/>
    <n v="0"/>
    <n v="0"/>
    <n v="110"/>
    <n v="6.4705882352941178"/>
  </r>
  <r>
    <n v="7069"/>
    <x v="242"/>
    <x v="22"/>
    <s v="REDETUKAS"/>
    <n v="154815"/>
    <m/>
    <x v="0"/>
    <n v="188"/>
    <m/>
    <m/>
    <n v="0"/>
    <n v="0"/>
    <n v="871"/>
    <n v="4.6329787234042552"/>
  </r>
  <r>
    <n v="7069"/>
    <x v="242"/>
    <x v="6"/>
    <s v="REDETUKAS"/>
    <n v="648367"/>
    <m/>
    <x v="0"/>
    <n v="85"/>
    <m/>
    <m/>
    <n v="0"/>
    <n v="0"/>
    <n v="395"/>
    <n v="4.6470588235294121"/>
  </r>
  <r>
    <n v="7069"/>
    <x v="242"/>
    <x v="18"/>
    <s v="REDETUKAS"/>
    <n v="679341"/>
    <m/>
    <x v="0"/>
    <n v="112"/>
    <m/>
    <m/>
    <n v="0"/>
    <n v="0"/>
    <n v="472"/>
    <n v="4.2142857142857144"/>
  </r>
  <r>
    <n v="7069"/>
    <x v="242"/>
    <x v="28"/>
    <s v="REDETUKAS"/>
    <n v="76398"/>
    <m/>
    <x v="0"/>
    <n v="37"/>
    <m/>
    <m/>
    <n v="0"/>
    <n v="0"/>
    <n v="361"/>
    <n v="9.7567567567567561"/>
  </r>
  <r>
    <n v="7069"/>
    <x v="242"/>
    <x v="13"/>
    <s v="REDETUKAS"/>
    <n v="146029"/>
    <m/>
    <x v="0"/>
    <n v="23"/>
    <m/>
    <m/>
    <n v="0"/>
    <n v="0"/>
    <n v="210"/>
    <n v="9.1304347826086953"/>
  </r>
  <r>
    <n v="7069"/>
    <x v="242"/>
    <x v="34"/>
    <s v="REDETUKAS"/>
    <n v="499683"/>
    <m/>
    <x v="0"/>
    <n v="160"/>
    <m/>
    <m/>
    <n v="0"/>
    <n v="0"/>
    <n v="472"/>
    <n v="2.95"/>
  </r>
  <r>
    <n v="7140"/>
    <x v="242"/>
    <x v="12"/>
    <s v="REDETUKAS"/>
    <n v="244512"/>
    <m/>
    <x v="0"/>
    <n v="102"/>
    <m/>
    <m/>
    <n v="0"/>
    <n v="0"/>
    <n v="521"/>
    <n v="5.1078431372549016"/>
  </r>
  <r>
    <n v="7140"/>
    <x v="242"/>
    <x v="0"/>
    <s v="REDETUKAS"/>
    <n v="413114"/>
    <m/>
    <x v="0"/>
    <n v="23"/>
    <m/>
    <m/>
    <n v="0"/>
    <n v="0"/>
    <n v="123"/>
    <n v="5.3478260869565215"/>
  </r>
  <r>
    <n v="7140"/>
    <x v="242"/>
    <x v="10"/>
    <s v="REDETUKAS"/>
    <n v="270746"/>
    <m/>
    <x v="0"/>
    <n v="43"/>
    <m/>
    <m/>
    <n v="0"/>
    <n v="0"/>
    <n v="428"/>
    <n v="9.9534883720930232"/>
  </r>
  <r>
    <n v="7140"/>
    <x v="242"/>
    <x v="29"/>
    <s v="BEIRA MINHO"/>
    <n v="325960"/>
    <s v="DIESEL"/>
    <x v="0"/>
    <n v="190.3"/>
    <m/>
    <n v="6.09"/>
    <n v="1158.9270000000001"/>
    <n v="6.0900000000000007"/>
    <n v="916"/>
    <n v="4.813452443510247"/>
  </r>
  <r>
    <n v="7140"/>
    <x v="242"/>
    <x v="29"/>
    <s v="BEIRA MINHO"/>
    <n v="325960"/>
    <s v="ARLA"/>
    <x v="2"/>
    <n v="24.76"/>
    <m/>
    <n v="3.49"/>
    <n v="86.412400000000005"/>
    <n v="3.4899999999999998"/>
    <m/>
    <n v="0"/>
  </r>
  <r>
    <n v="7140"/>
    <x v="242"/>
    <x v="1"/>
    <s v="REDETUKAS"/>
    <n v="335759"/>
    <m/>
    <x v="0"/>
    <n v="149"/>
    <m/>
    <m/>
    <n v="0"/>
    <n v="0"/>
    <n v="564"/>
    <n v="3.7852348993288589"/>
  </r>
  <r>
    <n v="7140"/>
    <x v="242"/>
    <x v="8"/>
    <s v="GRAAL ALEMÃO"/>
    <n v="962473"/>
    <s v="DIESEL"/>
    <x v="0"/>
    <n v="586"/>
    <n v="773.52"/>
    <n v="7.14"/>
    <n v="3410.52"/>
    <n v="5.82"/>
    <n v="1910"/>
    <n v="3.2593856655290101"/>
  </r>
  <r>
    <n v="7140"/>
    <x v="243"/>
    <x v="0"/>
    <s v="DOM PEDRO ATIBAIA"/>
    <n v="413383"/>
    <s v="DIESEL"/>
    <x v="0"/>
    <n v="35.28"/>
    <m/>
    <n v="5.99"/>
    <n v="211.3272"/>
    <n v="5.99"/>
    <n v="269"/>
    <n v="7.6247165532879819"/>
  </r>
  <r>
    <n v="1331018"/>
    <x v="243"/>
    <x v="6"/>
    <s v="AUTO POSTO CLARISTELA"/>
    <n v="648933"/>
    <m/>
    <x v="0"/>
    <n v="122.42"/>
    <m/>
    <n v="6.29"/>
    <n v="770.02179999999998"/>
    <n v="6.29"/>
    <n v="566"/>
    <n v="4.6234275445188695"/>
  </r>
  <r>
    <n v="7140"/>
    <x v="243"/>
    <x v="33"/>
    <s v="BEIRA MINHO"/>
    <n v="92292"/>
    <s v="DIESEL"/>
    <x v="0"/>
    <n v="136.99"/>
    <m/>
    <n v="6.09"/>
    <n v="834.26909999999998"/>
    <n v="6.09"/>
    <n v="549"/>
    <n v="4.0075917950215345"/>
  </r>
  <r>
    <n v="7140"/>
    <x v="238"/>
    <x v="36"/>
    <s v="GRAAL ALEMÃO"/>
    <n v="1042304"/>
    <m/>
    <x v="0"/>
    <n v="329.99700000000001"/>
    <m/>
    <n v="6.02"/>
    <n v="1986.58194"/>
    <n v="6.02"/>
    <n v="857"/>
    <n v="2.5969933059997512"/>
  </r>
  <r>
    <n v="7140"/>
    <x v="239"/>
    <x v="36"/>
    <m/>
    <n v="1043054"/>
    <m/>
    <x v="0"/>
    <n v="285"/>
    <m/>
    <m/>
    <n v="0"/>
    <n v="0"/>
    <n v="750"/>
    <n v="2.6315789473684212"/>
  </r>
  <r>
    <n v="7140"/>
    <x v="241"/>
    <x v="36"/>
    <m/>
    <n v="1043893"/>
    <m/>
    <x v="0"/>
    <n v="315"/>
    <m/>
    <m/>
    <n v="0"/>
    <n v="0"/>
    <n v="839"/>
    <n v="2.6634920634920634"/>
  </r>
  <r>
    <n v="7140"/>
    <x v="243"/>
    <x v="36"/>
    <s v="TATITA FERNÃO DIAS"/>
    <n v="1044162"/>
    <s v="DIESEL"/>
    <x v="0"/>
    <n v="100"/>
    <m/>
    <n v="6.09"/>
    <n v="609"/>
    <n v="6.09"/>
    <n v="269"/>
    <n v="2.69"/>
  </r>
  <r>
    <n v="7140"/>
    <x v="243"/>
    <x v="5"/>
    <s v="DOM PEDRO ALIANÇA"/>
    <n v="622749"/>
    <s v="DIESEL"/>
    <x v="0"/>
    <n v="130.71299999999999"/>
    <m/>
    <n v="6.09"/>
    <n v="796.04216999999994"/>
    <n v="6.09"/>
    <n v="506"/>
    <n v="3.871076327526719"/>
  </r>
  <r>
    <n v="7140"/>
    <x v="243"/>
    <x v="27"/>
    <s v="POSTO SCARIOT"/>
    <n v="146020"/>
    <s v="ARLA"/>
    <x v="2"/>
    <n v="20.003"/>
    <m/>
    <n v="33.19"/>
    <n v="663.89956999999993"/>
    <n v="33.19"/>
    <m/>
    <n v="0"/>
  </r>
  <r>
    <n v="7140"/>
    <x v="243"/>
    <x v="14"/>
    <s v="REDETUKAS"/>
    <n v="123247"/>
    <m/>
    <x v="0"/>
    <n v="285"/>
    <m/>
    <m/>
    <n v="0"/>
    <n v="0"/>
    <n v="937"/>
    <n v="3.287719298245614"/>
  </r>
  <r>
    <n v="7140"/>
    <x v="243"/>
    <x v="11"/>
    <s v="REDETUKAS"/>
    <n v="675089"/>
    <m/>
    <x v="0"/>
    <n v="110"/>
    <m/>
    <m/>
    <n v="0"/>
    <n v="0"/>
    <n v="1168"/>
    <n v="10.618181818181819"/>
  </r>
  <r>
    <n v="7140"/>
    <x v="243"/>
    <x v="26"/>
    <s v="REDETUKAS"/>
    <n v="725443"/>
    <m/>
    <x v="0"/>
    <n v="128"/>
    <m/>
    <m/>
    <n v="0"/>
    <n v="0"/>
    <n v="495"/>
    <n v="3.8671875"/>
  </r>
  <r>
    <n v="7140"/>
    <x v="243"/>
    <x v="9"/>
    <s v="REDETUKAS"/>
    <n v="382818"/>
    <m/>
    <x v="0"/>
    <n v="108"/>
    <m/>
    <m/>
    <n v="0"/>
    <n v="0"/>
    <n v="1555"/>
    <n v="14.398148148148149"/>
  </r>
  <r>
    <n v="7140"/>
    <x v="243"/>
    <x v="10"/>
    <s v="REDETUKAS"/>
    <n v="271029"/>
    <m/>
    <x v="0"/>
    <n v="36"/>
    <m/>
    <m/>
    <n v="0"/>
    <n v="0"/>
    <n v="283"/>
    <n v="7.8611111111111107"/>
  </r>
  <r>
    <n v="7140"/>
    <x v="243"/>
    <x v="18"/>
    <s v="REDETUKAS"/>
    <n v="679652"/>
    <m/>
    <x v="0"/>
    <n v="75"/>
    <m/>
    <m/>
    <n v="0"/>
    <n v="0"/>
    <n v="311"/>
    <n v="4.1466666666666665"/>
  </r>
  <r>
    <n v="7140"/>
    <x v="243"/>
    <x v="27"/>
    <s v="POSTO SCARIOT"/>
    <n v="146020"/>
    <s v="DIESEL"/>
    <x v="0"/>
    <n v="175.126"/>
    <n v="187.38"/>
    <n v="7.42"/>
    <n v="1112.05492"/>
    <n v="6.3500275230405538"/>
    <n v="754"/>
    <n v="4.3054714890992773"/>
  </r>
  <r>
    <n v="7140"/>
    <x v="244"/>
    <x v="18"/>
    <s v="TATITA FERNÃO DIAS"/>
    <n v="679984"/>
    <s v="ARLA"/>
    <x v="2"/>
    <n v="22.681999999999999"/>
    <n v="8.17"/>
    <n v="3.69"/>
    <n v="75.526579999999996"/>
    <n v="3.3298024865532141"/>
    <m/>
    <n v="0"/>
  </r>
  <r>
    <n v="7140"/>
    <x v="244"/>
    <x v="34"/>
    <s v="TATITA FERNÃO DIAS"/>
    <n v="500478"/>
    <s v="ARLA"/>
    <x v="2"/>
    <n v="30.260999999999999"/>
    <n v="10.89"/>
    <n v="3.69"/>
    <n v="100.77309"/>
    <n v="3.3301308615049074"/>
    <m/>
    <n v="0"/>
  </r>
  <r>
    <n v="7140"/>
    <x v="244"/>
    <x v="17"/>
    <s v="ULTRAMARINO"/>
    <n v="227403"/>
    <s v="DIESEL"/>
    <x v="0"/>
    <n v="613.45100000000002"/>
    <n v="61.35"/>
    <n v="6.19"/>
    <n v="3735.9116900000004"/>
    <n v="6.0899920124019689"/>
    <n v="5385"/>
    <n v="8.7782072243748885"/>
  </r>
  <r>
    <n v="7140"/>
    <x v="244"/>
    <x v="3"/>
    <s v="TATITA FERNÃO DIAS"/>
    <n v="157992"/>
    <s v="GASOLINA"/>
    <x v="1"/>
    <n v="41.84"/>
    <m/>
    <n v="5.69"/>
    <n v="238.06960000000004"/>
    <n v="5.69"/>
    <n v="778"/>
    <n v="18.594646271510516"/>
  </r>
  <r>
    <n v="7140"/>
    <x v="244"/>
    <x v="24"/>
    <s v="BEIRA MINHO"/>
    <n v="101203"/>
    <s v="DIESEL"/>
    <x v="0"/>
    <n v="104.93"/>
    <m/>
    <n v="6.09"/>
    <n v="639.02370000000008"/>
    <n v="6.0900000000000007"/>
    <n v="628"/>
    <n v="5.9849423425140564"/>
  </r>
  <r>
    <n v="7140"/>
    <x v="244"/>
    <x v="24"/>
    <s v="BEIRA MINHO"/>
    <n v="101203"/>
    <s v="ARLA"/>
    <x v="2"/>
    <n v="19.829999999999998"/>
    <m/>
    <n v="3.49"/>
    <n v="69.206699999999998"/>
    <n v="3.49"/>
    <m/>
    <n v="0"/>
  </r>
  <r>
    <n v="875603"/>
    <x v="244"/>
    <x v="35"/>
    <s v="BEIRA MINHO"/>
    <n v="371987"/>
    <s v="DIESEL"/>
    <x v="0"/>
    <n v="60.51"/>
    <m/>
    <n v="6.09"/>
    <n v="368.5059"/>
    <n v="6.09"/>
    <n v="585"/>
    <n v="9.6678235002478932"/>
  </r>
  <r>
    <n v="545580"/>
    <x v="245"/>
    <x v="9"/>
    <s v="FRANGO ASSADO ATIBAIA"/>
    <n v="38361"/>
    <s v="ARLA"/>
    <x v="2"/>
    <n v="16.55"/>
    <m/>
    <n v="3.79"/>
    <n v="62.724500000000006"/>
    <n v="3.79"/>
    <m/>
    <n v="0"/>
  </r>
  <r>
    <n v="207433"/>
    <x v="245"/>
    <x v="28"/>
    <s v="TATITA FERNÃO DIAS"/>
    <m/>
    <s v="ARLA"/>
    <x v="2"/>
    <n v="7.5220000000000002"/>
    <n v="2.71"/>
    <n v="3.69"/>
    <n v="25.04618"/>
    <n v="3.3297234777984577"/>
    <m/>
    <n v="0"/>
  </r>
  <r>
    <n v="581"/>
    <x v="244"/>
    <x v="8"/>
    <s v="DOM PEDRO BARRA MANSA"/>
    <n v="963449"/>
    <m/>
    <x v="0"/>
    <n v="286.23"/>
    <m/>
    <n v="5.14"/>
    <n v="1471.2221999999999"/>
    <n v="5.14"/>
    <n v="976"/>
    <n v="3.4098452293610033"/>
  </r>
  <r>
    <n v="7140"/>
    <x v="244"/>
    <x v="13"/>
    <s v="REDETUKAS"/>
    <n v="146632"/>
    <m/>
    <x v="0"/>
    <n v="42"/>
    <m/>
    <m/>
    <n v="0"/>
    <n v="0"/>
    <n v="603"/>
    <n v="14.357142857142858"/>
  </r>
  <r>
    <n v="7140"/>
    <x v="244"/>
    <x v="2"/>
    <s v="REDETUKAS"/>
    <n v="915244"/>
    <m/>
    <x v="0"/>
    <n v="400"/>
    <m/>
    <m/>
    <n v="0"/>
    <n v="0"/>
    <n v="1571"/>
    <n v="3.9275000000000002"/>
  </r>
  <r>
    <n v="7140"/>
    <x v="244"/>
    <x v="12"/>
    <s v="REDETUKAS"/>
    <n v="244967"/>
    <m/>
    <x v="0"/>
    <n v="94"/>
    <m/>
    <m/>
    <n v="0"/>
    <n v="0"/>
    <n v="455"/>
    <n v="4.8404255319148932"/>
  </r>
  <r>
    <n v="7140"/>
    <x v="244"/>
    <x v="24"/>
    <s v="REDETUKAS"/>
    <n v="101359"/>
    <m/>
    <x v="0"/>
    <n v="30"/>
    <m/>
    <m/>
    <n v="0"/>
    <n v="0"/>
    <n v="156"/>
    <n v="5.2"/>
  </r>
  <r>
    <n v="7140"/>
    <x v="244"/>
    <x v="34"/>
    <s v="REDETUKAS"/>
    <n v="500482"/>
    <m/>
    <x v="0"/>
    <n v="276"/>
    <m/>
    <m/>
    <n v="0"/>
    <n v="0"/>
    <n v="799"/>
    <n v="2.8949275362318843"/>
  </r>
  <r>
    <n v="7140"/>
    <x v="244"/>
    <x v="26"/>
    <s v="REDETUKAS"/>
    <n v="725925"/>
    <m/>
    <x v="0"/>
    <n v="136"/>
    <m/>
    <m/>
    <n v="0"/>
    <n v="0"/>
    <n v="482"/>
    <n v="3.5441176470588234"/>
  </r>
  <r>
    <n v="7140"/>
    <x v="244"/>
    <x v="36"/>
    <s v="REDETUKAS"/>
    <n v="1044571"/>
    <m/>
    <x v="0"/>
    <n v="481"/>
    <m/>
    <m/>
    <n v="0"/>
    <n v="0"/>
    <n v="409"/>
    <n v="0.8503118503118503"/>
  </r>
  <r>
    <n v="7140"/>
    <x v="244"/>
    <x v="0"/>
    <s v="REDETUKAS"/>
    <n v="413590"/>
    <m/>
    <x v="0"/>
    <n v="29"/>
    <m/>
    <m/>
    <n v="0"/>
    <n v="0"/>
    <n v="207"/>
    <n v="7.1379310344827589"/>
  </r>
  <r>
    <n v="7140"/>
    <x v="244"/>
    <x v="27"/>
    <s v="REDETUKAS"/>
    <n v="146913"/>
    <m/>
    <x v="0"/>
    <n v="174"/>
    <m/>
    <m/>
    <n v="0"/>
    <n v="0"/>
    <n v="893"/>
    <n v="5.1321839080459766"/>
  </r>
  <r>
    <n v="7140"/>
    <x v="245"/>
    <x v="9"/>
    <s v="FRANGO ASSADO ATIBAIA"/>
    <n v="383461"/>
    <s v="DIESEL"/>
    <x v="0"/>
    <n v="104.544"/>
    <m/>
    <n v="5.99"/>
    <n v="626.21856000000002"/>
    <n v="5.99"/>
    <n v="643"/>
    <n v="6.1505203550658099"/>
  </r>
  <r>
    <n v="7140"/>
    <x v="245"/>
    <x v="3"/>
    <s v="TATITA FERNÃO DIAS"/>
    <n v="158329"/>
    <s v="GASOLINA"/>
    <x v="1"/>
    <n v="25.32"/>
    <m/>
    <n v="5.69"/>
    <n v="144.07080000000002"/>
    <n v="5.69"/>
    <n v="337"/>
    <n v="13.309636650868878"/>
  </r>
  <r>
    <n v="7140"/>
    <x v="245"/>
    <x v="1"/>
    <s v="REDETUKAS"/>
    <n v="336256"/>
    <m/>
    <x v="0"/>
    <n v="125"/>
    <m/>
    <m/>
    <n v="0"/>
    <n v="0"/>
    <n v="497"/>
    <n v="3.976"/>
  </r>
  <r>
    <n v="7140"/>
    <x v="245"/>
    <x v="28"/>
    <s v="REDETUKAS"/>
    <n v="76543"/>
    <m/>
    <x v="0"/>
    <n v="20"/>
    <m/>
    <m/>
    <n v="0"/>
    <n v="0"/>
    <n v="145"/>
    <n v="7.25"/>
  </r>
  <r>
    <n v="7140"/>
    <x v="245"/>
    <x v="10"/>
    <s v="REDETUKAS"/>
    <n v="271557"/>
    <m/>
    <x v="0"/>
    <n v="55"/>
    <m/>
    <m/>
    <n v="0"/>
    <n v="0"/>
    <n v="528"/>
    <n v="9.6"/>
  </r>
  <r>
    <n v="7140"/>
    <x v="245"/>
    <x v="13"/>
    <s v="REDETUKAS"/>
    <n v="146733"/>
    <m/>
    <x v="0"/>
    <n v="14"/>
    <m/>
    <m/>
    <n v="0"/>
    <n v="0"/>
    <n v="101"/>
    <n v="7.2142857142857144"/>
  </r>
  <r>
    <n v="7140"/>
    <x v="245"/>
    <x v="18"/>
    <s v="REDETUKAS"/>
    <n v="680102"/>
    <m/>
    <x v="0"/>
    <n v="108"/>
    <m/>
    <m/>
    <n v="0"/>
    <n v="0"/>
    <n v="450"/>
    <n v="4.166666666666667"/>
  </r>
  <r>
    <n v="7140"/>
    <x v="245"/>
    <x v="6"/>
    <s v="REDETUKAS"/>
    <n v="649172"/>
    <m/>
    <x v="0"/>
    <n v="51"/>
    <m/>
    <m/>
    <n v="0"/>
    <n v="0"/>
    <n v="239"/>
    <n v="4.6862745098039218"/>
  </r>
  <r>
    <n v="7140"/>
    <x v="245"/>
    <x v="8"/>
    <s v="REDETUKAS"/>
    <n v="963961"/>
    <m/>
    <x v="0"/>
    <n v="150"/>
    <m/>
    <m/>
    <n v="0"/>
    <n v="0"/>
    <n v="512"/>
    <n v="3.4133333333333336"/>
  </r>
  <r>
    <n v="328050"/>
    <x v="245"/>
    <x v="31"/>
    <s v="COMBO AUTO POSTO"/>
    <n v="327889"/>
    <m/>
    <x v="0"/>
    <n v="92.671000000000006"/>
    <m/>
    <n v="6.89"/>
    <n v="638.50319000000002"/>
    <n v="6.89"/>
    <n v="490"/>
    <n v="5.2875225259250467"/>
  </r>
  <r>
    <n v="7140"/>
    <x v="245"/>
    <x v="14"/>
    <s v="REDETUKAS"/>
    <n v="123937"/>
    <m/>
    <x v="0"/>
    <n v="212"/>
    <m/>
    <m/>
    <n v="0"/>
    <n v="0"/>
    <n v="690"/>
    <n v="3.2547169811320753"/>
  </r>
  <r>
    <n v="37689"/>
    <x v="245"/>
    <x v="25"/>
    <s v="BEIRA MINHO"/>
    <n v="400640"/>
    <m/>
    <x v="0"/>
    <n v="107.06"/>
    <m/>
    <n v="6.09"/>
    <n v="651.99540000000002"/>
    <n v="6.09"/>
    <n v="456"/>
    <n v="4.2592938539136931"/>
  </r>
  <r>
    <n v="7140"/>
    <x v="245"/>
    <x v="37"/>
    <s v="REDETUKAS"/>
    <n v="1083"/>
    <m/>
    <x v="0"/>
    <n v="37"/>
    <m/>
    <m/>
    <n v="0"/>
    <n v="0"/>
    <m/>
    <n v="0"/>
  </r>
  <r>
    <n v="7140"/>
    <x v="245"/>
    <x v="29"/>
    <s v="REDETUKAS"/>
    <n v="326785"/>
    <m/>
    <x v="0"/>
    <n v="93"/>
    <m/>
    <m/>
    <n v="0"/>
    <n v="0"/>
    <n v="825"/>
    <n v="8.870967741935484"/>
  </r>
  <r>
    <n v="306923"/>
    <x v="245"/>
    <x v="5"/>
    <s v="DOM PEDRO ITAPEVA"/>
    <n v="623272"/>
    <s v="DIESEL"/>
    <x v="0"/>
    <n v="135"/>
    <m/>
    <n v="5.99"/>
    <n v="808.65"/>
    <n v="5.99"/>
    <n v="523"/>
    <n v="3.8740740740740742"/>
  </r>
  <r>
    <n v="207636"/>
    <x v="246"/>
    <x v="7"/>
    <s v="TATITA FERNÃO DIAS"/>
    <n v="111316"/>
    <s v="GASOLINA"/>
    <x v="1"/>
    <n v="48.68"/>
    <m/>
    <n v="5.69"/>
    <n v="276.98920000000004"/>
    <n v="5.6900000000000013"/>
    <n v="633"/>
    <n v="13.00328677074774"/>
  </r>
  <r>
    <n v="207658"/>
    <x v="246"/>
    <x v="27"/>
    <s v="TATITA FERNÃO DIAS"/>
    <n v="147363"/>
    <s v="ARLA"/>
    <x v="2"/>
    <n v="15.489000000000001"/>
    <n v="5.57"/>
    <n v="3.69"/>
    <n v="51.584409999999998"/>
    <n v="3.3303899541610171"/>
    <m/>
    <n v="0"/>
  </r>
  <r>
    <n v="207680"/>
    <x v="246"/>
    <x v="3"/>
    <s v="TATITA FERNÃO DIAS"/>
    <n v="158949"/>
    <s v="GASOLINA"/>
    <x v="1"/>
    <n v="33.26"/>
    <m/>
    <n v="5.69"/>
    <n v="189.24940000000001"/>
    <n v="5.69"/>
    <n v="620"/>
    <n v="18.641010222489477"/>
  </r>
  <r>
    <n v="7211"/>
    <x v="246"/>
    <x v="26"/>
    <s v="REDETUKAS"/>
    <n v="726255"/>
    <m/>
    <x v="0"/>
    <n v="92"/>
    <m/>
    <m/>
    <n v="0"/>
    <n v="0"/>
    <n v="330"/>
    <n v="3.5869565217391304"/>
  </r>
  <r>
    <n v="7211"/>
    <x v="246"/>
    <x v="2"/>
    <s v="REDETUKAS"/>
    <n v="916029"/>
    <m/>
    <x v="0"/>
    <n v="310"/>
    <m/>
    <m/>
    <n v="0"/>
    <n v="0"/>
    <n v="785"/>
    <n v="2.532258064516129"/>
  </r>
  <r>
    <n v="7211"/>
    <x v="246"/>
    <x v="10"/>
    <s v="REDETUKAS"/>
    <n v="271986"/>
    <m/>
    <x v="0"/>
    <n v="477"/>
    <m/>
    <m/>
    <n v="0"/>
    <n v="0"/>
    <n v="429"/>
    <n v="0.89937106918238996"/>
  </r>
  <r>
    <n v="7211"/>
    <x v="246"/>
    <x v="23"/>
    <s v="BEIRA MINHO"/>
    <n v="294643"/>
    <m/>
    <x v="1"/>
    <n v="42.79"/>
    <m/>
    <n v="5.67"/>
    <n v="242.61929999999998"/>
    <n v="5.67"/>
    <m/>
    <n v="0"/>
  </r>
  <r>
    <n v="7211"/>
    <x v="246"/>
    <x v="30"/>
    <s v="TATITA FERNÃO DIAS"/>
    <n v="321628"/>
    <m/>
    <x v="2"/>
    <n v="14.577999999999999"/>
    <n v="5.25"/>
    <n v="3.69"/>
    <n v="48.542819999999999"/>
    <n v="3.3298682946906299"/>
    <m/>
    <n v="0"/>
  </r>
  <r>
    <n v="7211"/>
    <x v="246"/>
    <x v="30"/>
    <s v="REDETUKAS"/>
    <n v="321390"/>
    <m/>
    <x v="0"/>
    <n v="58"/>
    <m/>
    <m/>
    <n v="0"/>
    <n v="0"/>
    <n v="340"/>
    <n v="5.8620689655172411"/>
  </r>
  <r>
    <n v="7211"/>
    <x v="246"/>
    <x v="27"/>
    <s v="REDETUKAS"/>
    <n v="147360"/>
    <m/>
    <x v="0"/>
    <n v="91"/>
    <m/>
    <m/>
    <n v="0"/>
    <n v="0"/>
    <n v="447"/>
    <n v="4.9120879120879124"/>
  </r>
  <r>
    <n v="7211"/>
    <x v="246"/>
    <x v="9"/>
    <s v="REDETUKAS"/>
    <n v="383955"/>
    <m/>
    <x v="0"/>
    <n v="76"/>
    <m/>
    <m/>
    <n v="0"/>
    <n v="0"/>
    <n v="494"/>
    <n v="6.5"/>
  </r>
  <r>
    <n v="7211"/>
    <x v="246"/>
    <x v="13"/>
    <s v="REDETUKAS"/>
    <n v="146966"/>
    <m/>
    <x v="0"/>
    <n v="26"/>
    <m/>
    <m/>
    <n v="0"/>
    <n v="0"/>
    <n v="233"/>
    <n v="8.9615384615384617"/>
  </r>
  <r>
    <n v="7211"/>
    <x v="246"/>
    <x v="11"/>
    <s v="REDETUKAS"/>
    <n v="675559"/>
    <m/>
    <x v="0"/>
    <n v="108"/>
    <m/>
    <m/>
    <n v="0"/>
    <n v="0"/>
    <n v="470"/>
    <n v="4.3518518518518521"/>
  </r>
  <r>
    <n v="7211"/>
    <x v="246"/>
    <x v="18"/>
    <s v="REDETUKAS"/>
    <n v="680676"/>
    <m/>
    <x v="0"/>
    <n v="130"/>
    <m/>
    <m/>
    <n v="0"/>
    <n v="0"/>
    <n v="574"/>
    <n v="4.4153846153846157"/>
  </r>
  <r>
    <n v="7211"/>
    <x v="246"/>
    <x v="13"/>
    <s v="BEIRA MINHO"/>
    <n v="147282"/>
    <s v="DIESEL"/>
    <x v="0"/>
    <n v="37.229999999999997"/>
    <m/>
    <n v="6.09"/>
    <n v="226.73069999999998"/>
    <n v="6.09"/>
    <n v="316"/>
    <n v="8.4877786731130822"/>
  </r>
  <r>
    <n v="7211"/>
    <x v="247"/>
    <x v="27"/>
    <s v="POSTO SCARIOT"/>
    <n v="148198"/>
    <m/>
    <x v="4"/>
    <n v="178.00899999999999"/>
    <n v="236.76"/>
    <n v="7.42"/>
    <n v="1084.0667799999999"/>
    <n v="6.0899548899212963"/>
    <m/>
    <n v="0"/>
  </r>
  <r>
    <n v="7211"/>
    <x v="247"/>
    <x v="34"/>
    <s v="REDETUKAS"/>
    <n v="501645"/>
    <m/>
    <x v="0"/>
    <n v="383"/>
    <m/>
    <m/>
    <n v="0"/>
    <n v="0"/>
    <n v="1163"/>
    <n v="3.0365535248041775"/>
  </r>
  <r>
    <n v="7211"/>
    <x v="248"/>
    <x v="13"/>
    <s v="TATITA FERNÃO DIAS"/>
    <n v="147552"/>
    <s v="DIESEL"/>
    <x v="0"/>
    <n v="38.621000000000002"/>
    <m/>
    <n v="6.09"/>
    <n v="235.20189000000002"/>
    <n v="6.09"/>
    <n v="270"/>
    <n v="6.9910152507703058"/>
  </r>
  <r>
    <n v="7211"/>
    <x v="248"/>
    <x v="3"/>
    <s v="TATITA FERNÃO DIAS"/>
    <n v="159281"/>
    <s v="GASOLINA"/>
    <x v="1"/>
    <n v="35.430999999999997"/>
    <m/>
    <n v="5.69"/>
    <n v="201.60238999999999"/>
    <n v="5.69"/>
    <n v="332"/>
    <n v="9.3703254212412865"/>
  </r>
  <r>
    <n v="7211"/>
    <x v="248"/>
    <x v="12"/>
    <s v="TATITA FERNÃO DIAS"/>
    <n v="245999"/>
    <s v="ARLA"/>
    <x v="2"/>
    <n v="25.03"/>
    <n v="9.01"/>
    <n v="3.69"/>
    <n v="83.350700000000003"/>
    <n v="3.3300319616460246"/>
    <m/>
    <n v="0"/>
  </r>
  <r>
    <n v="7211"/>
    <x v="248"/>
    <x v="14"/>
    <s v="TATITA FERNÃO DIAS"/>
    <n v="124565"/>
    <s v="ARLA"/>
    <x v="2"/>
    <n v="49.625"/>
    <n v="17.87"/>
    <n v="3.69"/>
    <n v="165.24625"/>
    <n v="3.329899244332494"/>
    <m/>
    <n v="0"/>
  </r>
  <r>
    <n v="7211"/>
    <x v="248"/>
    <x v="12"/>
    <s v="REDETUKAS"/>
    <n v="245991"/>
    <m/>
    <x v="0"/>
    <n v="94"/>
    <m/>
    <m/>
    <n v="0"/>
    <n v="0"/>
    <n v="1024"/>
    <n v="10.893617021276595"/>
  </r>
  <r>
    <n v="7211"/>
    <x v="248"/>
    <x v="33"/>
    <s v="BEIRA MINHO"/>
    <n v="93186"/>
    <m/>
    <x v="4"/>
    <n v="155.16999999999999"/>
    <m/>
    <n v="6.09"/>
    <n v="944.98529999999994"/>
    <n v="6.09"/>
    <m/>
    <n v="0"/>
  </r>
  <r>
    <n v="7211"/>
    <x v="248"/>
    <x v="29"/>
    <s v="REDETUKAS"/>
    <n v="327176"/>
    <m/>
    <x v="0"/>
    <n v="160"/>
    <m/>
    <m/>
    <n v="0"/>
    <n v="0"/>
    <n v="391"/>
    <n v="2.4437500000000001"/>
  </r>
  <r>
    <n v="7211"/>
    <x v="248"/>
    <x v="10"/>
    <s v="REDETUKAS"/>
    <n v="272404"/>
    <m/>
    <x v="0"/>
    <n v="43"/>
    <m/>
    <m/>
    <n v="0"/>
    <n v="0"/>
    <n v="418"/>
    <n v="9.720930232558139"/>
  </r>
  <r>
    <n v="7211"/>
    <x v="248"/>
    <x v="24"/>
    <s v="REDETUKAS"/>
    <n v="101980"/>
    <m/>
    <x v="0"/>
    <n v="44"/>
    <m/>
    <m/>
    <n v="0"/>
    <n v="0"/>
    <n v="621"/>
    <n v="14.113636363636363"/>
  </r>
  <r>
    <n v="666144"/>
    <x v="248"/>
    <x v="5"/>
    <s v="DOM PEDRO POUSO ALEGRE"/>
    <n v="623858"/>
    <m/>
    <x v="0"/>
    <n v="155.02000000000001"/>
    <m/>
    <n v="5.99"/>
    <n v="928.5698000000001"/>
    <n v="5.99"/>
    <n v="586"/>
    <n v="3.7801573990452844"/>
  </r>
  <r>
    <n v="7211"/>
    <x v="248"/>
    <x v="28"/>
    <s v="REDETUKAS"/>
    <n v="77154"/>
    <m/>
    <x v="0"/>
    <n v="75"/>
    <m/>
    <m/>
    <n v="0"/>
    <n v="0"/>
    <n v="611"/>
    <n v="8.1466666666666665"/>
  </r>
  <r>
    <n v="7211"/>
    <x v="248"/>
    <x v="36"/>
    <s v="POSTO ITASUL"/>
    <n v="1045379"/>
    <s v="DIESEL"/>
    <x v="0"/>
    <n v="444.76"/>
    <m/>
    <n v="6.12"/>
    <n v="2721.9312"/>
    <n v="6.12"/>
    <n v="808"/>
    <n v="1.8167101358035795"/>
  </r>
  <r>
    <n v="7211"/>
    <x v="249"/>
    <x v="0"/>
    <s v="REDETUKAS"/>
    <n v="413955"/>
    <m/>
    <x v="0"/>
    <n v="48"/>
    <m/>
    <m/>
    <n v="0"/>
    <n v="0"/>
    <n v="572"/>
    <n v="11.916666666666666"/>
  </r>
  <r>
    <n v="7211"/>
    <x v="249"/>
    <x v="1"/>
    <s v="REDETUKAS"/>
    <n v="336668"/>
    <m/>
    <x v="0"/>
    <n v="101"/>
    <m/>
    <m/>
    <n v="0"/>
    <n v="0"/>
    <n v="412"/>
    <n v="4.0792079207920793"/>
  </r>
  <r>
    <n v="7211"/>
    <x v="249"/>
    <x v="6"/>
    <s v="REDETUKAS"/>
    <n v="649736"/>
    <m/>
    <x v="0"/>
    <n v="121"/>
    <m/>
    <m/>
    <n v="0"/>
    <n v="0"/>
    <n v="564"/>
    <n v="4.661157024793388"/>
  </r>
  <r>
    <n v="7211"/>
    <x v="249"/>
    <x v="13"/>
    <s v="REDETUKAS"/>
    <n v="147876"/>
    <m/>
    <x v="0"/>
    <n v="35"/>
    <m/>
    <m/>
    <n v="0"/>
    <n v="0"/>
    <n v="324"/>
    <n v="9.257142857142858"/>
  </r>
  <r>
    <n v="7211"/>
    <x v="249"/>
    <x v="18"/>
    <s v="REDETUKAS"/>
    <n v="681124"/>
    <m/>
    <x v="0"/>
    <n v="108"/>
    <m/>
    <m/>
    <n v="0"/>
    <n v="0"/>
    <n v="448"/>
    <n v="4.1481481481481479"/>
  </r>
  <r>
    <n v="7211"/>
    <x v="249"/>
    <x v="2"/>
    <s v="REDETUKAS"/>
    <n v="916922"/>
    <m/>
    <x v="0"/>
    <n v="320"/>
    <m/>
    <m/>
    <n v="0"/>
    <n v="0"/>
    <n v="893"/>
    <n v="2.7906249999999999"/>
  </r>
  <r>
    <n v="7211"/>
    <x v="249"/>
    <x v="34"/>
    <s v="REDETUKAS"/>
    <n v="502887"/>
    <m/>
    <x v="0"/>
    <n v="329"/>
    <m/>
    <m/>
    <n v="0"/>
    <n v="0"/>
    <n v="1242"/>
    <n v="3.7750759878419453"/>
  </r>
  <r>
    <n v="332576"/>
    <x v="249"/>
    <x v="7"/>
    <s v="POSTO ZÉ RAMOS"/>
    <n v="111819"/>
    <m/>
    <x v="1"/>
    <n v="38.200000000000003"/>
    <m/>
    <n v="5.89"/>
    <n v="224.99799999999999"/>
    <n v="5.89"/>
    <m/>
    <n v="0"/>
  </r>
  <r>
    <n v="173662"/>
    <x v="249"/>
    <x v="27"/>
    <s v="POSTO SCARIOT"/>
    <n v="149208"/>
    <m/>
    <x v="2"/>
    <n v="24.004000000000001"/>
    <m/>
    <n v="3.19"/>
    <n v="76.572760000000002"/>
    <n v="3.19"/>
    <m/>
    <n v="0"/>
  </r>
  <r>
    <n v="173660"/>
    <x v="249"/>
    <x v="27"/>
    <s v="POSTO SCARIOT"/>
    <n v="149208"/>
    <m/>
    <x v="0"/>
    <n v="242"/>
    <n v="321.86"/>
    <n v="7.42"/>
    <n v="1473.7799999999997"/>
    <n v="6.089999999999999"/>
    <n v="1848"/>
    <n v="7.6363636363636367"/>
  </r>
  <r>
    <n v="42449"/>
    <x v="249"/>
    <x v="24"/>
    <s v="BEIRA MINHO"/>
    <n v="102518"/>
    <m/>
    <x v="0"/>
    <n v="87.84"/>
    <m/>
    <n v="6.09"/>
    <n v="534.94560000000001"/>
    <n v="6.09"/>
    <n v="538"/>
    <n v="6.1247723132969032"/>
  </r>
  <r>
    <n v="208441"/>
    <x v="249"/>
    <x v="23"/>
    <s v="TATITA FERNÃO DIAS"/>
    <n v="294914"/>
    <m/>
    <x v="1"/>
    <n v="25.49"/>
    <m/>
    <n v="5.69"/>
    <n v="145.03810000000001"/>
    <n v="5.6900000000000013"/>
    <m/>
    <n v="0"/>
  </r>
  <r>
    <n v="208604"/>
    <x v="249"/>
    <x v="9"/>
    <s v="TATITA FERNÃO DIAS"/>
    <n v="384923"/>
    <m/>
    <x v="0"/>
    <n v="77.31"/>
    <m/>
    <n v="6.09"/>
    <n v="470.81790000000001"/>
    <n v="6.09"/>
    <n v="968"/>
    <n v="12.521019273056526"/>
  </r>
  <r>
    <n v="208600"/>
    <x v="249"/>
    <x v="13"/>
    <s v="TATITA FERNÃO DIAS"/>
    <n v="148033"/>
    <m/>
    <x v="0"/>
    <n v="19.719000000000001"/>
    <m/>
    <n v="6.09"/>
    <n v="120.08871000000001"/>
    <n v="6.09"/>
    <n v="157"/>
    <n v="7.9618641918961401"/>
  </r>
  <r>
    <n v="7211"/>
    <x v="249"/>
    <x v="14"/>
    <s v="REDETUKAS"/>
    <n v="124949"/>
    <m/>
    <x v="0"/>
    <n v="334"/>
    <m/>
    <m/>
    <n v="0"/>
    <n v="0"/>
    <n v="1012"/>
    <n v="3.0299401197604792"/>
  </r>
  <r>
    <n v="566648"/>
    <x v="249"/>
    <x v="31"/>
    <s v="COMBO AUTO POSTO"/>
    <n v="328659"/>
    <m/>
    <x v="0"/>
    <n v="86.17"/>
    <m/>
    <n v="6.89"/>
    <n v="593.71129999999994"/>
    <n v="6.8899999999999988"/>
    <n v="770"/>
    <n v="8.9358245329000816"/>
  </r>
  <r>
    <n v="566770"/>
    <x v="249"/>
    <x v="21"/>
    <s v="COMBO AUTO POSTO"/>
    <n v="136800"/>
    <m/>
    <x v="1"/>
    <n v="51.66"/>
    <m/>
    <n v="5.94"/>
    <n v="306.86040000000003"/>
    <n v="5.9400000000000013"/>
    <e v="#NAME?"/>
    <e v="#NAME?"/>
  </r>
  <r>
    <n v="7211"/>
    <x v="249"/>
    <x v="8"/>
    <s v="REDETUKAS"/>
    <n v="964926"/>
    <m/>
    <x v="0"/>
    <n v="270"/>
    <m/>
    <m/>
    <n v="0"/>
    <n v="0"/>
    <n v="965"/>
    <n v="3.574074074074074"/>
  </r>
  <r>
    <n v="7211"/>
    <x v="249"/>
    <x v="17"/>
    <s v="REDETUKAS"/>
    <n v="228591"/>
    <m/>
    <x v="0"/>
    <n v="443"/>
    <m/>
    <m/>
    <n v="0"/>
    <n v="0"/>
    <n v="1188"/>
    <n v="2.6817155756207676"/>
  </r>
  <r>
    <n v="7211"/>
    <x v="250"/>
    <x v="6"/>
    <s v="REDETUKAS"/>
    <n v="649900"/>
    <m/>
    <x v="0"/>
    <n v="34"/>
    <m/>
    <m/>
    <n v="0"/>
    <n v="0"/>
    <n v="164"/>
    <n v="4.8235294117647056"/>
  </r>
  <r>
    <n v="7211"/>
    <x v="250"/>
    <x v="11"/>
    <s v="REDETUKAS"/>
    <n v="676017"/>
    <m/>
    <x v="0"/>
    <n v="92"/>
    <m/>
    <m/>
    <n v="0"/>
    <n v="0"/>
    <n v="458"/>
    <n v="4.9782608695652177"/>
  </r>
  <r>
    <n v="43368"/>
    <x v="250"/>
    <x v="33"/>
    <s v="BEIRA MINHO"/>
    <n v="93657"/>
    <m/>
    <x v="0"/>
    <n v="154.41999999999999"/>
    <m/>
    <n v="6.09"/>
    <n v="940.41779999999994"/>
    <n v="6.09"/>
    <n v="1365"/>
    <n v="8.8395285584768821"/>
  </r>
  <r>
    <n v="208631"/>
    <x v="250"/>
    <x v="23"/>
    <s v="TATITA FERNÃO DIAS"/>
    <n v="295456"/>
    <m/>
    <x v="1"/>
    <n v="39.698999999999998"/>
    <m/>
    <n v="5.69"/>
    <n v="225.88731000000001"/>
    <n v="5.69"/>
    <m/>
    <n v="0"/>
  </r>
  <r>
    <n v="900363"/>
    <x v="250"/>
    <x v="6"/>
    <s v="POSTO PICA PAU"/>
    <n v="650277"/>
    <m/>
    <x v="0"/>
    <n v="100.21"/>
    <n v="27.05"/>
    <n v="6.16"/>
    <n v="590.24360000000001"/>
    <n v="5.8900668595948513"/>
    <n v="377"/>
    <n v="3.7620995908591959"/>
  </r>
  <r>
    <n v="975861"/>
    <x v="250"/>
    <x v="13"/>
    <s v="POSTO MALAGUETA"/>
    <n v="148395"/>
    <m/>
    <x v="0"/>
    <n v="46.81"/>
    <m/>
    <n v="6.09"/>
    <n v="285.0729"/>
    <n v="6.09"/>
    <n v="362"/>
    <n v="7.7333903012176881"/>
  </r>
  <r>
    <n v="667160"/>
    <x v="250"/>
    <x v="5"/>
    <s v="DOM PEDRO POUSO ALEGRE"/>
    <n v="624350"/>
    <m/>
    <x v="0"/>
    <n v="120"/>
    <m/>
    <n v="5.99"/>
    <n v="718.80000000000007"/>
    <n v="5.99"/>
    <n v="492"/>
    <n v="4.0999999999999996"/>
  </r>
  <r>
    <n v="208780"/>
    <x v="250"/>
    <x v="10"/>
    <s v="TATITA FERNÃO DIAS"/>
    <n v="272918"/>
    <m/>
    <x v="0"/>
    <n v="60.94"/>
    <m/>
    <n v="6.19"/>
    <n v="377.21860000000004"/>
    <n v="6.1900000000000013"/>
    <n v="514"/>
    <n v="8.4345257630456185"/>
  </r>
  <r>
    <n v="208800"/>
    <x v="250"/>
    <x v="34"/>
    <s v="TATITA FERNÃO DIAS"/>
    <n v="503316"/>
    <m/>
    <x v="2"/>
    <n v="44.018999999999998"/>
    <n v="15.85"/>
    <n v="3.69"/>
    <n v="146.58010999999999"/>
    <n v="3.3299282128171925"/>
    <m/>
    <n v="0"/>
  </r>
  <r>
    <n v="43430"/>
    <x v="250"/>
    <x v="35"/>
    <s v="BEIRA MINHO"/>
    <n v="372424"/>
    <m/>
    <x v="0"/>
    <n v="100.96"/>
    <m/>
    <n v="6.09"/>
    <n v="614.8463999999999"/>
    <n v="6.09"/>
    <n v="437"/>
    <n v="4.3284469096671954"/>
  </r>
  <r>
    <n v="262777"/>
    <x v="250"/>
    <x v="3"/>
    <s v="DOM PEDRO ATIBAIA"/>
    <n v="159963"/>
    <m/>
    <x v="1"/>
    <n v="42.51"/>
    <m/>
    <n v="5.39"/>
    <n v="229.12889999999999"/>
    <n v="5.39"/>
    <m/>
    <n v="0"/>
  </r>
  <r>
    <n v="7211"/>
    <x v="250"/>
    <x v="26"/>
    <s v="REDETUKAS"/>
    <n v="726752"/>
    <m/>
    <x v="0"/>
    <n v="138"/>
    <m/>
    <m/>
    <n v="0"/>
    <n v="0"/>
    <n v="497"/>
    <n v="3.6014492753623188"/>
  </r>
  <r>
    <n v="7211"/>
    <x v="250"/>
    <x v="29"/>
    <s v="REDETUKAS"/>
    <n v="327567"/>
    <m/>
    <x v="0"/>
    <n v="89"/>
    <m/>
    <m/>
    <n v="0"/>
    <n v="0"/>
    <n v="391"/>
    <n v="4.393258426966292"/>
  </r>
  <r>
    <n v="7211"/>
    <x v="250"/>
    <x v="12"/>
    <s v="REDETUKAS"/>
    <n v="246566"/>
    <m/>
    <x v="0"/>
    <n v="107"/>
    <m/>
    <m/>
    <n v="0"/>
    <n v="0"/>
    <n v="575"/>
    <n v="5.3738317757009346"/>
  </r>
  <r>
    <n v="7211"/>
    <x v="250"/>
    <x v="18"/>
    <s v="REDETUKAS"/>
    <n v="681528"/>
    <m/>
    <x v="0"/>
    <n v="100"/>
    <m/>
    <m/>
    <n v="0"/>
    <n v="0"/>
    <n v="404"/>
    <n v="4.04"/>
  </r>
  <r>
    <n v="603748"/>
    <x v="250"/>
    <x v="36"/>
    <s v="POSTO ITASUL"/>
    <n v="1046280"/>
    <m/>
    <x v="0"/>
    <n v="457.86"/>
    <m/>
    <n v="6.12"/>
    <n v="2802.1032"/>
    <n v="6.12"/>
    <n v="901"/>
    <n v="1.9678504346306731"/>
  </r>
  <r>
    <n v="208863"/>
    <x v="251"/>
    <x v="23"/>
    <s v="TATITA FERNÃO DIAS"/>
    <n v="295796"/>
    <m/>
    <x v="1"/>
    <n v="23.919"/>
    <m/>
    <n v="5.69"/>
    <n v="136.09911000000002"/>
    <n v="5.6900000000000013"/>
    <n v="-207091"/>
    <n v="-8658.0124587148293"/>
  </r>
  <r>
    <n v="7211"/>
    <x v="251"/>
    <x v="24"/>
    <s v="REDETUKAS"/>
    <n v="102822"/>
    <m/>
    <x v="0"/>
    <n v="52"/>
    <m/>
    <m/>
    <n v="0"/>
    <n v="0"/>
    <n v="304"/>
    <n v="5.8461538461538458"/>
  </r>
  <r>
    <n v="567140"/>
    <x v="251"/>
    <x v="31"/>
    <s v="COMBO AUTO POSTO"/>
    <n v="328939"/>
    <m/>
    <x v="0"/>
    <n v="57.32"/>
    <m/>
    <n v="6.89"/>
    <n v="394.9348"/>
    <n v="6.89"/>
    <n v="280"/>
    <n v="4.8848569434752269"/>
  </r>
  <r>
    <n v="7339"/>
    <x v="251"/>
    <x v="27"/>
    <s v="REDETUKAS"/>
    <n v="150184"/>
    <m/>
    <x v="0"/>
    <n v="210"/>
    <m/>
    <m/>
    <n v="0"/>
    <n v="0"/>
    <n v="976"/>
    <n v="4.647619047619048"/>
  </r>
  <r>
    <n v="7339"/>
    <x v="251"/>
    <x v="10"/>
    <s v="REDETUKAS"/>
    <n v="273346"/>
    <m/>
    <x v="0"/>
    <n v="41"/>
    <m/>
    <m/>
    <n v="0"/>
    <n v="0"/>
    <n v="428"/>
    <n v="10.439024390243903"/>
  </r>
  <r>
    <n v="7339"/>
    <x v="251"/>
    <x v="0"/>
    <s v="REDETUKAS"/>
    <n v="414106"/>
    <m/>
    <x v="0"/>
    <n v="22"/>
    <m/>
    <m/>
    <n v="0"/>
    <n v="0"/>
    <n v="151"/>
    <n v="6.8636363636363633"/>
  </r>
  <r>
    <n v="209096"/>
    <x v="252"/>
    <x v="2"/>
    <s v="TATITA FERNÃO DIAS"/>
    <n v="917706"/>
    <m/>
    <x v="0"/>
    <n v="342.82100000000003"/>
    <m/>
    <n v="6.19"/>
    <n v="2122.0619900000002"/>
    <n v="6.19"/>
    <n v="784"/>
    <n v="2.2869077448581034"/>
  </r>
  <r>
    <n v="45363"/>
    <x v="252"/>
    <x v="33"/>
    <s v="BEIRA MINHO"/>
    <n v="94736"/>
    <m/>
    <x v="0"/>
    <n v="145.13"/>
    <m/>
    <n v="6.09"/>
    <n v="883.84169999999995"/>
    <n v="6.09"/>
    <n v="1079"/>
    <n v="7.4347137049541789"/>
  </r>
  <r>
    <n v="209142"/>
    <x v="252"/>
    <x v="29"/>
    <s v="TATITA FERNÃO DIAS"/>
    <m/>
    <m/>
    <x v="2"/>
    <n v="21.472999999999999"/>
    <n v="7.73"/>
    <n v="3.69"/>
    <n v="71.505369999999985"/>
    <n v="3.3300130396311642"/>
    <n v="-124949"/>
    <n v="-5818.8888371443209"/>
  </r>
  <r>
    <n v="209254"/>
    <x v="252"/>
    <x v="32"/>
    <s v="TATITA FERNÃO DIAS"/>
    <n v="64334"/>
    <m/>
    <x v="1"/>
    <n v="11.691000000000001"/>
    <m/>
    <n v="5.69"/>
    <n v="66.52179000000001"/>
    <n v="5.69"/>
    <n v="-900592"/>
    <n v="-77032.931314686502"/>
  </r>
  <r>
    <n v="7339"/>
    <x v="252"/>
    <x v="13"/>
    <s v="REDETUKAS"/>
    <n v="148554"/>
    <m/>
    <x v="0"/>
    <n v="23"/>
    <m/>
    <m/>
    <n v="0"/>
    <n v="0"/>
    <n v="159"/>
    <n v="6.9130434782608692"/>
  </r>
  <r>
    <n v="7339"/>
    <x v="252"/>
    <x v="29"/>
    <s v="REDETUKAS"/>
    <n v="328117"/>
    <m/>
    <x v="0"/>
    <n v="106"/>
    <m/>
    <m/>
    <n v="0"/>
    <n v="0"/>
    <n v="550"/>
    <n v="5.1886792452830193"/>
  </r>
  <r>
    <n v="7339"/>
    <x v="252"/>
    <x v="28"/>
    <s v="REDETUKAS"/>
    <n v="77917"/>
    <m/>
    <x v="0"/>
    <n v="96"/>
    <m/>
    <m/>
    <n v="0"/>
    <n v="0"/>
    <n v="763"/>
    <n v="7.947916666666667"/>
  </r>
  <r>
    <n v="7339"/>
    <x v="252"/>
    <x v="6"/>
    <s v="REDETUKAS"/>
    <n v="650877"/>
    <m/>
    <x v="0"/>
    <n v="115"/>
    <m/>
    <m/>
    <n v="0"/>
    <n v="0"/>
    <n v="600"/>
    <n v="5.2173913043478262"/>
  </r>
  <r>
    <n v="7339"/>
    <x v="252"/>
    <x v="11"/>
    <s v="REDETUKAS"/>
    <n v="676356"/>
    <m/>
    <x v="0"/>
    <n v="74"/>
    <m/>
    <m/>
    <n v="0"/>
    <n v="0"/>
    <n v="339"/>
    <n v="4.5810810810810807"/>
  </r>
  <r>
    <n v="7339"/>
    <x v="252"/>
    <x v="0"/>
    <s v="REDETUKAS"/>
    <n v="414547"/>
    <m/>
    <x v="0"/>
    <n v="49"/>
    <m/>
    <m/>
    <n v="0"/>
    <n v="0"/>
    <n v="441"/>
    <n v="9"/>
  </r>
  <r>
    <n v="7339"/>
    <x v="252"/>
    <x v="18"/>
    <s v="REDETUKAS"/>
    <n v="681990"/>
    <m/>
    <x v="0"/>
    <n v="116"/>
    <m/>
    <m/>
    <n v="0"/>
    <n v="0"/>
    <n v="462"/>
    <n v="3.9827586206896552"/>
  </r>
  <r>
    <n v="7339"/>
    <x v="252"/>
    <x v="26"/>
    <s v="REDETUKAS"/>
    <n v="727167"/>
    <m/>
    <x v="0"/>
    <n v="112"/>
    <m/>
    <m/>
    <n v="0"/>
    <n v="0"/>
    <n v="415"/>
    <n v="3.7053571428571428"/>
  </r>
  <r>
    <n v="209133"/>
    <x v="252"/>
    <x v="28"/>
    <s v="TATITA FERNÃO DIAS"/>
    <n v="77939"/>
    <m/>
    <x v="2"/>
    <n v="5.1630000000000003"/>
    <n v="1.86"/>
    <n v="3.69"/>
    <n v="17.191470000000002"/>
    <n v="3.3297443346891344"/>
    <n v="-294485"/>
    <n v="-57037.575053263601"/>
  </r>
  <r>
    <n v="209271"/>
    <x v="252"/>
    <x v="13"/>
    <s v="TATITA FERNÃO DIAS"/>
    <n v="148769"/>
    <m/>
    <x v="0"/>
    <n v="30.709"/>
    <m/>
    <n v="6.19"/>
    <n v="190.08871000000002"/>
    <n v="6.19"/>
    <n v="374"/>
    <n v="12.178840079455535"/>
  </r>
  <r>
    <n v="45009"/>
    <x v="252"/>
    <x v="25"/>
    <s v="BEIRA MINHO"/>
    <n v="401176"/>
    <m/>
    <x v="0"/>
    <n v="106.05"/>
    <m/>
    <n v="6.09"/>
    <n v="645.84449999999993"/>
    <n v="6.09"/>
    <n v="536"/>
    <n v="5.0542197076850544"/>
  </r>
  <r>
    <n v="209123"/>
    <x v="252"/>
    <x v="23"/>
    <s v="TATITA FERNÃO DIAS"/>
    <n v="296282"/>
    <m/>
    <x v="1"/>
    <n v="34.880000000000003"/>
    <m/>
    <n v="5.69"/>
    <n v="198.46720000000002"/>
    <n v="5.69"/>
    <n v="-31285"/>
    <n v="-896.93233944954125"/>
  </r>
  <r>
    <n v="45103"/>
    <x v="252"/>
    <x v="30"/>
    <s v="BEIRA MINHO"/>
    <n v="322031"/>
    <m/>
    <x v="0"/>
    <n v="103.58"/>
    <m/>
    <n v="6.09"/>
    <n v="630.80219999999997"/>
    <n v="6.09"/>
    <n v="641"/>
    <n v="6.1884533693763277"/>
  </r>
  <r>
    <n v="362119"/>
    <x v="253"/>
    <x v="12"/>
    <s v="GRAAL ALEMÃO"/>
    <n v="246900"/>
    <m/>
    <x v="0"/>
    <n v="48.002000000000002"/>
    <m/>
    <n v="5.99"/>
    <n v="287.53198000000003"/>
    <n v="5.99"/>
    <n v="334"/>
    <n v="6.9580434148577135"/>
  </r>
  <r>
    <n v="266349"/>
    <x v="254"/>
    <x v="22"/>
    <s v="DOM PEDRO ATIBAIA"/>
    <n v="155436"/>
    <m/>
    <x v="0"/>
    <n v="153"/>
    <m/>
    <n v="5.99"/>
    <n v="916.47"/>
    <n v="5.99"/>
    <n v="621"/>
    <n v="4.0588235294117645"/>
  </r>
  <r>
    <n v="669577"/>
    <x v="254"/>
    <x v="9"/>
    <s v="DOM PEDRO POUSO ALEGRE"/>
    <n v="385564"/>
    <m/>
    <x v="0"/>
    <n v="107.17"/>
    <m/>
    <n v="5.99"/>
    <n v="641.94830000000002"/>
    <n v="5.99"/>
    <n v="641"/>
    <n v="5.9811514416347862"/>
  </r>
  <r>
    <n v="209826"/>
    <x v="254"/>
    <x v="7"/>
    <s v="TATITA FERNÃO DIAS"/>
    <n v="112517"/>
    <m/>
    <x v="1"/>
    <n v="53.56"/>
    <m/>
    <n v="5.69"/>
    <n v="304.75640000000004"/>
    <n v="5.69"/>
    <n v="9695"/>
    <n v="181.01194921583271"/>
  </r>
  <r>
    <n v="7339"/>
    <x v="254"/>
    <x v="13"/>
    <s v="REDETUKAS"/>
    <n v="149143"/>
    <m/>
    <x v="0"/>
    <n v="46"/>
    <m/>
    <m/>
    <n v="0"/>
    <n v="0"/>
    <n v="374"/>
    <n v="8.1304347826086953"/>
  </r>
  <r>
    <n v="669580"/>
    <x v="254"/>
    <x v="13"/>
    <s v="DOM PEDRO POUSO ALEGRE"/>
    <n v="149292"/>
    <m/>
    <x v="0"/>
    <n v="20.13"/>
    <m/>
    <n v="5.99"/>
    <n v="120.5787"/>
    <n v="5.99"/>
    <n v="149"/>
    <n v="7.4018877297565826"/>
  </r>
  <r>
    <n v="7339"/>
    <x v="254"/>
    <x v="1"/>
    <s v="REDETUKAS"/>
    <n v="337221"/>
    <m/>
    <x v="0"/>
    <n v="135"/>
    <m/>
    <m/>
    <n v="0"/>
    <n v="0"/>
    <n v="553"/>
    <n v="4.0962962962962965"/>
  </r>
  <r>
    <n v="7339"/>
    <x v="254"/>
    <x v="6"/>
    <s v="REDETUKAS"/>
    <n v="651196"/>
    <m/>
    <x v="0"/>
    <n v="82"/>
    <m/>
    <m/>
    <n v="0"/>
    <n v="0"/>
    <n v="319"/>
    <n v="3.8902439024390243"/>
  </r>
  <r>
    <n v="7339"/>
    <x v="254"/>
    <x v="34"/>
    <s v="REDETUKAS"/>
    <n v="504121"/>
    <m/>
    <x v="0"/>
    <n v="452"/>
    <m/>
    <m/>
    <n v="0"/>
    <n v="0"/>
    <n v="1234"/>
    <n v="2.7300884955752212"/>
  </r>
  <r>
    <n v="7339"/>
    <x v="254"/>
    <x v="33"/>
    <s v="REDETUKAS"/>
    <n v="94927"/>
    <m/>
    <x v="0"/>
    <n v="73"/>
    <m/>
    <m/>
    <n v="0"/>
    <n v="0"/>
    <n v="191"/>
    <n v="2.6164383561643834"/>
  </r>
  <r>
    <n v="242666"/>
    <x v="254"/>
    <x v="6"/>
    <s v="POSTO PICA PAU"/>
    <n v="651650"/>
    <m/>
    <x v="0"/>
    <n v="84.8"/>
    <n v="27.13"/>
    <n v="6.16"/>
    <n v="495.23799999999994"/>
    <n v="5.8400707547169803"/>
    <n v="454"/>
    <n v="5.3537735849056602"/>
  </r>
  <r>
    <n v="7339"/>
    <x v="254"/>
    <x v="10"/>
    <s v="REDETUKAS"/>
    <n v="273685"/>
    <m/>
    <x v="0"/>
    <n v="43"/>
    <m/>
    <m/>
    <n v="0"/>
    <n v="0"/>
    <n v="339"/>
    <n v="7.8837209302325579"/>
  </r>
  <r>
    <n v="7339"/>
    <x v="254"/>
    <x v="28"/>
    <s v="REDETUKAS"/>
    <n v="78473"/>
    <m/>
    <x v="0"/>
    <n v="67"/>
    <m/>
    <m/>
    <n v="0"/>
    <n v="0"/>
    <n v="556"/>
    <n v="8.2985074626865671"/>
  </r>
  <r>
    <n v="180769"/>
    <x v="254"/>
    <x v="24"/>
    <s v="FRANGO ASSADO ATIBAIA"/>
    <n v="103400"/>
    <m/>
    <x v="0"/>
    <n v="99.734999999999999"/>
    <m/>
    <n v="5.99"/>
    <n v="597.41264999999999"/>
    <n v="5.99"/>
    <n v="578"/>
    <n v="5.7953576978994334"/>
  </r>
  <r>
    <n v="7339"/>
    <x v="254"/>
    <x v="24"/>
    <s v="REDETUKAS"/>
    <n v="103805"/>
    <m/>
    <x v="0"/>
    <n v="56"/>
    <m/>
    <m/>
    <n v="0"/>
    <n v="0"/>
    <n v="405"/>
    <n v="7.2321428571428568"/>
  </r>
  <r>
    <n v="24267"/>
    <x v="254"/>
    <x v="6"/>
    <s v="POSTO PICA PAU"/>
    <n v="651650"/>
    <m/>
    <x v="2"/>
    <n v="20.41"/>
    <m/>
    <n v="3.45"/>
    <n v="70.414500000000004"/>
    <n v="3.45"/>
    <e v="#NAME?"/>
    <e v="#NAME?"/>
  </r>
  <r>
    <n v="143595"/>
    <x v="254"/>
    <x v="19"/>
    <s v="ULTRAMARINO"/>
    <n v="228596"/>
    <m/>
    <x v="1"/>
    <n v="38.970999999999997"/>
    <m/>
    <n v="5.74"/>
    <n v="223.69353999999998"/>
    <n v="5.74"/>
    <n v="-422281"/>
    <n v="-10835.775320109826"/>
  </r>
  <r>
    <n v="568305"/>
    <x v="254"/>
    <x v="31"/>
    <s v="COMBO AUTO POSTO"/>
    <n v="329652"/>
    <m/>
    <x v="0"/>
    <n v="84.021000000000001"/>
    <m/>
    <n v="6.89"/>
    <n v="578.90468999999996"/>
    <n v="6.89"/>
    <n v="713"/>
    <n v="8.4859737446590735"/>
  </r>
  <r>
    <n v="209925"/>
    <x v="254"/>
    <x v="0"/>
    <s v="TATITA FERNÃO DIAS"/>
    <n v="414674"/>
    <m/>
    <x v="0"/>
    <n v="16.510999999999999"/>
    <m/>
    <n v="6.19"/>
    <n v="102.20309"/>
    <n v="6.19"/>
    <n v="127"/>
    <n v="7.691841802434741"/>
  </r>
  <r>
    <n v="209949"/>
    <x v="255"/>
    <x v="23"/>
    <s v="TATITA FERNÃO DIAS"/>
    <n v="396798"/>
    <m/>
    <x v="1"/>
    <n v="39.850999999999999"/>
    <m/>
    <n v="5.69"/>
    <n v="226.75219000000001"/>
    <n v="5.69"/>
    <n v="-285192"/>
    <n v="-7156.4578053248351"/>
  </r>
  <r>
    <n v="210104"/>
    <x v="255"/>
    <x v="28"/>
    <s v="TATITA FERNÃO DIAS"/>
    <m/>
    <m/>
    <x v="2"/>
    <n v="7.7210000000000001"/>
    <n v="2.78"/>
    <n v="3.69"/>
    <n v="25.71049"/>
    <n v="3.3299430125631395"/>
    <n v="-727167"/>
    <n v="-94180.417044424292"/>
  </r>
  <r>
    <n v="670121"/>
    <x v="255"/>
    <x v="5"/>
    <s v="DOM PEDRO POUSO ALEGRE"/>
    <n v="625374"/>
    <m/>
    <x v="0"/>
    <n v="131.02000000000001"/>
    <m/>
    <n v="5.99"/>
    <n v="784.80980000000011"/>
    <n v="5.99"/>
    <n v="1024"/>
    <n v="7.8156006716531818"/>
  </r>
  <r>
    <n v="7339"/>
    <x v="255"/>
    <x v="29"/>
    <s v="REDETUKAS"/>
    <n v="328398"/>
    <m/>
    <x v="4"/>
    <n v="124"/>
    <m/>
    <m/>
    <n v="0"/>
    <n v="0"/>
    <n v="281"/>
    <n v="2.2661290322580645"/>
  </r>
  <r>
    <n v="742932"/>
    <x v="255"/>
    <x v="29"/>
    <s v="GAVIÃO DA ANHANGUERA"/>
    <n v="329414"/>
    <m/>
    <x v="0"/>
    <n v="81.975999999999999"/>
    <m/>
    <n v="6.22"/>
    <n v="509.89071999999999"/>
    <n v="6.22"/>
    <n v="1016"/>
    <n v="12.393871376988386"/>
  </r>
  <r>
    <n v="1119021"/>
    <x v="255"/>
    <x v="7"/>
    <s v="IMPERADOR DOM PEDRO I"/>
    <n v="113083"/>
    <m/>
    <x v="1"/>
    <n v="43.23"/>
    <m/>
    <n v="5.69"/>
    <n v="245.9787"/>
    <n v="5.69"/>
    <e v="#NAME?"/>
    <e v="#NAME?"/>
  </r>
  <r>
    <n v="48941"/>
    <x v="255"/>
    <x v="13"/>
    <s v="BEIRA MINHO"/>
    <n v="149731"/>
    <m/>
    <x v="0"/>
    <n v="44.38"/>
    <m/>
    <n v="6.09"/>
    <n v="270.27420000000001"/>
    <n v="6.09"/>
    <n v="439"/>
    <n v="9.8918431726002698"/>
  </r>
  <r>
    <n v="7339"/>
    <x v="255"/>
    <x v="14"/>
    <s v="REDETUKAS"/>
    <n v="126355"/>
    <m/>
    <x v="0"/>
    <n v="437"/>
    <m/>
    <m/>
    <n v="0"/>
    <n v="0"/>
    <n v="1406"/>
    <n v="3.2173913043478262"/>
  </r>
  <r>
    <n v="7433"/>
    <x v="255"/>
    <x v="18"/>
    <s v="REDETUKAS"/>
    <n v="682454"/>
    <m/>
    <x v="0"/>
    <n v="107"/>
    <m/>
    <m/>
    <n v="0"/>
    <n v="0"/>
    <n v="464"/>
    <n v="4.3364485981308407"/>
  </r>
  <r>
    <n v="7433"/>
    <x v="255"/>
    <x v="0"/>
    <s v="REDETUKAS"/>
    <n v="415430"/>
    <m/>
    <x v="0"/>
    <n v="48"/>
    <m/>
    <m/>
    <n v="0"/>
    <n v="0"/>
    <n v="756"/>
    <n v="15.75"/>
  </r>
  <r>
    <n v="7433"/>
    <x v="255"/>
    <x v="28"/>
    <s v="REDETUKAS"/>
    <n v="79118"/>
    <m/>
    <x v="0"/>
    <n v="80"/>
    <m/>
    <m/>
    <n v="0"/>
    <n v="0"/>
    <n v="645"/>
    <n v="8.0625"/>
  </r>
  <r>
    <n v="7433"/>
    <x v="255"/>
    <x v="17"/>
    <s v="REDETUKAS"/>
    <n v="229933"/>
    <m/>
    <x v="0"/>
    <n v="395"/>
    <m/>
    <m/>
    <n v="0"/>
    <n v="0"/>
    <n v="74497"/>
    <n v="188.6"/>
  </r>
  <r>
    <n v="7433"/>
    <x v="255"/>
    <x v="8"/>
    <s v="REDETUKAS"/>
    <n v="966208"/>
    <m/>
    <x v="0"/>
    <n v="385"/>
    <m/>
    <m/>
    <n v="0"/>
    <n v="0"/>
    <n v="1282"/>
    <n v="3.3298701298701299"/>
  </r>
  <r>
    <n v="7433"/>
    <x v="256"/>
    <x v="2"/>
    <s v="REDETUKAS"/>
    <n v="918544"/>
    <m/>
    <x v="0"/>
    <n v="317"/>
    <m/>
    <m/>
    <n v="0"/>
    <n v="0"/>
    <n v="838"/>
    <n v="2.6435331230283912"/>
  </r>
  <r>
    <n v="7433"/>
    <x v="256"/>
    <x v="12"/>
    <s v="REDETUKAS"/>
    <n v="247295"/>
    <m/>
    <x v="0"/>
    <n v="86"/>
    <m/>
    <m/>
    <n v="0"/>
    <n v="0"/>
    <n v="395"/>
    <n v="4.5930232558139537"/>
  </r>
  <r>
    <n v="7433"/>
    <x v="256"/>
    <x v="27"/>
    <s v="REDETUKAS"/>
    <n v="150302"/>
    <m/>
    <x v="0"/>
    <n v="211"/>
    <m/>
    <m/>
    <n v="0"/>
    <n v="0"/>
    <n v="118"/>
    <n v="0.55924170616113744"/>
  </r>
  <r>
    <n v="7433"/>
    <x v="256"/>
    <x v="26"/>
    <s v="REDETUKAS"/>
    <n v="727663"/>
    <m/>
    <x v="0"/>
    <n v="140"/>
    <m/>
    <m/>
    <n v="0"/>
    <n v="0"/>
    <n v="496"/>
    <n v="3.5428571428571427"/>
  </r>
  <r>
    <n v="210182"/>
    <x v="256"/>
    <x v="18"/>
    <s v="TATITA FERNÃO DIAS"/>
    <n v="682455"/>
    <m/>
    <x v="2"/>
    <n v="22.31"/>
    <n v="8.0299999999999994"/>
    <n v="3.69"/>
    <n v="74.293899999999994"/>
    <n v="3.33007171671896"/>
    <e v="#NAME?"/>
    <e v="#NAME?"/>
  </r>
  <r>
    <n v="670573"/>
    <x v="256"/>
    <x v="9"/>
    <s v="DOM PEDRO POUSO ALEGRE"/>
    <n v="386158"/>
    <m/>
    <x v="0"/>
    <n v="100.73"/>
    <m/>
    <n v="5.99"/>
    <n v="603.37270000000001"/>
    <n v="5.99"/>
    <n v="594"/>
    <n v="5.8969522485853272"/>
  </r>
  <r>
    <n v="210244"/>
    <x v="256"/>
    <x v="0"/>
    <s v="TATITA FERNÃO DIAS"/>
    <n v="151162"/>
    <m/>
    <x v="2"/>
    <n v="23.4"/>
    <n v="8.43"/>
    <n v="3.69"/>
    <n v="77.915999999999997"/>
    <n v="3.3297435897435896"/>
    <e v="#NAME?"/>
    <e v="#NAME?"/>
  </r>
  <r>
    <n v="976899"/>
    <x v="256"/>
    <x v="22"/>
    <s v="PV BANDEIRANTES"/>
    <n v="155951"/>
    <m/>
    <x v="0"/>
    <n v="124.67"/>
    <m/>
    <n v="6.09"/>
    <n v="759.24030000000005"/>
    <n v="6.09"/>
    <n v="515"/>
    <n v="4.1309055907596051"/>
  </r>
  <r>
    <n v="334733"/>
    <x v="256"/>
    <x v="24"/>
    <s v="POSTO ZÉ RAMOS"/>
    <n v="104448"/>
    <m/>
    <x v="2"/>
    <n v="17.212"/>
    <m/>
    <n v="3.69"/>
    <n v="63.512279999999997"/>
    <n v="3.69"/>
    <e v="#NAME?"/>
    <e v="#NAME?"/>
  </r>
  <r>
    <n v="7433"/>
    <x v="256"/>
    <x v="28"/>
    <s v="REDETUKAS"/>
    <n v="79606"/>
    <m/>
    <x v="0"/>
    <n v="56"/>
    <m/>
    <m/>
    <n v="0"/>
    <n v="0"/>
    <n v="488"/>
    <n v="8.7142857142857135"/>
  </r>
  <r>
    <n v="7433"/>
    <x v="257"/>
    <x v="6"/>
    <s v="REDETUKAS"/>
    <n v="652137"/>
    <m/>
    <x v="0"/>
    <n v="120"/>
    <m/>
    <m/>
    <n v="0"/>
    <n v="0"/>
    <n v="487"/>
    <n v="4.0583333333333336"/>
  </r>
  <r>
    <n v="7433"/>
    <x v="257"/>
    <x v="18"/>
    <s v="REDETUKAS"/>
    <n v="682853"/>
    <m/>
    <x v="0"/>
    <n v="100"/>
    <m/>
    <m/>
    <n v="0"/>
    <n v="0"/>
    <n v="399"/>
    <n v="3.99"/>
  </r>
  <r>
    <n v="7433"/>
    <x v="257"/>
    <x v="29"/>
    <s v="REDETUKAS"/>
    <n v="329800"/>
    <m/>
    <x v="0"/>
    <n v="82"/>
    <m/>
    <m/>
    <n v="0"/>
    <n v="0"/>
    <n v="386"/>
    <n v="4.7073170731707314"/>
  </r>
  <r>
    <n v="50532"/>
    <x v="257"/>
    <x v="33"/>
    <s v="BEIRA MINHO"/>
    <n v="95095"/>
    <m/>
    <x v="0"/>
    <n v="199.15"/>
    <m/>
    <n v="6.09"/>
    <n v="1212.8235"/>
    <n v="6.09"/>
    <n v="168"/>
    <n v="0.843585237258348"/>
  </r>
  <r>
    <n v="671092"/>
    <x v="257"/>
    <x v="5"/>
    <s v="DOM PEDRO POUSO ALEGRE"/>
    <n v="625882"/>
    <m/>
    <x v="0"/>
    <n v="145"/>
    <m/>
    <n v="5.99"/>
    <n v="868.55000000000007"/>
    <n v="5.99"/>
    <n v="508"/>
    <n v="3.5034482758620689"/>
  </r>
  <r>
    <n v="7433"/>
    <x v="257"/>
    <x v="11"/>
    <s v="REDETUKAS"/>
    <n v="677099"/>
    <m/>
    <x v="0"/>
    <n v="160"/>
    <m/>
    <m/>
    <n v="0"/>
    <n v="0"/>
    <n v="743"/>
    <n v="4.6437499999999998"/>
  </r>
  <r>
    <n v="126891"/>
    <x v="257"/>
    <x v="29"/>
    <s v="TIGRÃO DA DUTRA"/>
    <n v="330026"/>
    <m/>
    <x v="0"/>
    <n v="47.73"/>
    <n v="59.66"/>
    <n v="7.14"/>
    <n v="281.13220000000001"/>
    <n v="5.8900523779593552"/>
    <n v="226"/>
    <n v="4.7349675256652004"/>
  </r>
  <r>
    <n v="7433"/>
    <x v="257"/>
    <x v="13"/>
    <s v="REDETUKAS"/>
    <n v="150020"/>
    <m/>
    <x v="0"/>
    <n v="39"/>
    <m/>
    <m/>
    <n v="0"/>
    <n v="0"/>
    <n v="289"/>
    <n v="7.4102564102564106"/>
  </r>
  <r>
    <n v="7433"/>
    <x v="257"/>
    <x v="24"/>
    <s v="REDETUKAS"/>
    <n v="104493"/>
    <m/>
    <x v="0"/>
    <n v="110"/>
    <m/>
    <m/>
    <n v="0"/>
    <n v="0"/>
    <n v="688"/>
    <n v="6.2545454545454549"/>
  </r>
  <r>
    <n v="210533"/>
    <x v="257"/>
    <x v="12"/>
    <s v="TATITA FERNÃO DIAS"/>
    <n v="247638"/>
    <m/>
    <x v="0"/>
    <n v="67.031000000000006"/>
    <m/>
    <n v="6.19"/>
    <n v="414.92189000000008"/>
    <n v="6.19"/>
    <n v="343"/>
    <n v="5.117035401530635"/>
  </r>
  <r>
    <n v="210533"/>
    <x v="257"/>
    <x v="12"/>
    <s v="TATITA FERNÃO DIAS"/>
    <n v="247638"/>
    <m/>
    <x v="2"/>
    <n v="7.9779999999999998"/>
    <n v="2.87"/>
    <n v="3.69"/>
    <n v="26.568819999999999"/>
    <n v="3.3302607169716723"/>
    <e v="#NAME?"/>
    <e v="#NAME?"/>
  </r>
  <r>
    <n v="568969"/>
    <x v="257"/>
    <x v="31"/>
    <s v="COMBO AUTO POSTO"/>
    <n v="330048"/>
    <m/>
    <x v="0"/>
    <n v="51.951000000000001"/>
    <m/>
    <n v="6.89"/>
    <n v="357.94238999999999"/>
    <n v="6.89"/>
    <n v="396"/>
    <n v="7.6225674192989548"/>
  </r>
  <r>
    <n v="144745"/>
    <x v="257"/>
    <x v="8"/>
    <s v="ULTRAMARINO"/>
    <m/>
    <m/>
    <x v="2"/>
    <n v="34"/>
    <m/>
    <n v="3.49"/>
    <n v="118.66000000000001"/>
    <n v="3.49"/>
    <e v="#NAME?"/>
    <e v="#NAME?"/>
  </r>
  <r>
    <n v="7433"/>
    <x v="257"/>
    <x v="16"/>
    <s v="REDETUKAS"/>
    <n v="370867"/>
    <m/>
    <x v="0"/>
    <n v="184"/>
    <m/>
    <m/>
    <n v="0"/>
    <n v="0"/>
    <n v="741"/>
    <n v="4.0271739130434785"/>
  </r>
  <r>
    <n v="7433"/>
    <x v="257"/>
    <x v="36"/>
    <s v="REDETUKAS"/>
    <n v="1047814"/>
    <m/>
    <x v="0"/>
    <n v="350"/>
    <m/>
    <m/>
    <n v="0"/>
    <n v="0"/>
    <n v="1534"/>
    <n v="4.3828571428571426"/>
  </r>
  <r>
    <n v="7433"/>
    <x v="258"/>
    <x v="1"/>
    <s v="REDETUKAS"/>
    <n v="337700"/>
    <m/>
    <x v="0"/>
    <n v="116"/>
    <m/>
    <m/>
    <n v="0"/>
    <n v="0"/>
    <n v="479"/>
    <n v="4.1293103448275863"/>
  </r>
  <r>
    <n v="569268"/>
    <x v="258"/>
    <x v="21"/>
    <s v="COMBO AUTO POSTO"/>
    <n v="137241"/>
    <m/>
    <x v="1"/>
    <n v="52.26"/>
    <m/>
    <n v="6.94"/>
    <n v="362.68439999999998"/>
    <n v="6.9399999999999995"/>
    <e v="#NAME?"/>
    <e v="#NAME?"/>
  </r>
  <r>
    <n v="7433"/>
    <x v="258"/>
    <x v="0"/>
    <s v="REDETUKAS"/>
    <n v="415965"/>
    <m/>
    <x v="0"/>
    <n v="29"/>
    <m/>
    <m/>
    <n v="0"/>
    <n v="0"/>
    <n v="535"/>
    <n v="18.448275862068964"/>
  </r>
  <r>
    <n v="7433"/>
    <x v="258"/>
    <x v="22"/>
    <s v="REDETUKAS"/>
    <n v="156405"/>
    <m/>
    <x v="0"/>
    <n v="112"/>
    <m/>
    <m/>
    <n v="0"/>
    <n v="0"/>
    <n v="454"/>
    <n v="4.0535714285714288"/>
  </r>
  <r>
    <n v="569464"/>
    <x v="258"/>
    <x v="31"/>
    <s v="COMBO AUTO POSTO"/>
    <n v="330579"/>
    <m/>
    <x v="0"/>
    <n v="74.290999999999997"/>
    <m/>
    <n v="6.89"/>
    <n v="511.86498999999998"/>
    <n v="6.89"/>
    <n v="531"/>
    <n v="7.1475683460984509"/>
  </r>
  <r>
    <n v="7433"/>
    <x v="258"/>
    <x v="34"/>
    <s v="REDETUKAS"/>
    <n v="505361"/>
    <m/>
    <x v="0"/>
    <n v="455"/>
    <m/>
    <m/>
    <n v="0"/>
    <n v="0"/>
    <n v="1240"/>
    <n v="2.7252747252747254"/>
  </r>
  <r>
    <n v="698124"/>
    <x v="258"/>
    <x v="27"/>
    <s v="AUTO POSTO SACI"/>
    <n v="151167"/>
    <m/>
    <x v="0"/>
    <n v="28.64"/>
    <m/>
    <n v="6.19"/>
    <n v="177.28160000000003"/>
    <n v="6.19"/>
    <n v="865"/>
    <n v="30.202513966480446"/>
  </r>
  <r>
    <n v="7433"/>
    <x v="258"/>
    <x v="2"/>
    <s v="REDETUKAS"/>
    <n v="919335"/>
    <m/>
    <x v="0"/>
    <n v="320"/>
    <m/>
    <m/>
    <n v="0"/>
    <n v="0"/>
    <n v="791"/>
    <n v="2.4718749999999998"/>
  </r>
  <r>
    <n v="853657"/>
    <x v="258"/>
    <x v="6"/>
    <s v="POSTO MOCOCÃO"/>
    <n v="652721"/>
    <m/>
    <x v="0"/>
    <n v="46.948399999999999"/>
    <m/>
    <n v="6.39"/>
    <n v="300.00027599999999"/>
    <n v="6.39"/>
    <n v="584"/>
    <n v="12.439188555946529"/>
  </r>
  <r>
    <n v="7433"/>
    <x v="258"/>
    <x v="6"/>
    <s v="REDETUKAS"/>
    <n v="652931"/>
    <m/>
    <x v="0"/>
    <n v="125"/>
    <m/>
    <m/>
    <n v="0"/>
    <n v="0"/>
    <n v="794"/>
    <n v="6.3520000000000003"/>
  </r>
  <r>
    <n v="210593"/>
    <x v="258"/>
    <x v="24"/>
    <s v="TATITA FERNÃO DIAS"/>
    <n v="104616"/>
    <m/>
    <x v="0"/>
    <n v="21.228999999999999"/>
    <m/>
    <n v="6.19"/>
    <n v="131.40751"/>
    <n v="6.19"/>
    <n v="123"/>
    <n v="5.7939610909604786"/>
  </r>
  <r>
    <n v="7433"/>
    <x v="258"/>
    <x v="27"/>
    <s v="REDETUKAS"/>
    <n v="151616"/>
    <m/>
    <x v="0"/>
    <n v="95"/>
    <m/>
    <m/>
    <n v="0"/>
    <n v="0"/>
    <n v="449"/>
    <n v="4.7263157894736842"/>
  </r>
  <r>
    <n v="51675"/>
    <x v="258"/>
    <x v="23"/>
    <s v="BEIRA MINHO"/>
    <n v="297782"/>
    <m/>
    <x v="1"/>
    <n v="32.96"/>
    <m/>
    <n v="5.67"/>
    <n v="186.88320000000002"/>
    <n v="5.67"/>
    <e v="#NAME?"/>
    <e v="#NAME?"/>
  </r>
  <r>
    <n v="139745"/>
    <x v="258"/>
    <x v="7"/>
    <s v="TATITA CENTRO"/>
    <n v="113680"/>
    <m/>
    <x v="1"/>
    <n v="48.359000000000002"/>
    <m/>
    <n v="5.79"/>
    <n v="279.99860999999999"/>
    <n v="5.7899999999999991"/>
    <e v="#NAME?"/>
    <e v="#NAME?"/>
  </r>
  <r>
    <n v="7433"/>
    <x v="258"/>
    <x v="37"/>
    <s v="REDETUKAS"/>
    <n v="1213"/>
    <m/>
    <x v="0"/>
    <n v="14"/>
    <m/>
    <m/>
    <n v="0"/>
    <n v="0"/>
    <n v="130"/>
    <n v="9.2857142857142865"/>
  </r>
  <r>
    <n v="210649"/>
    <x v="258"/>
    <x v="34"/>
    <s v="TATITA FERNÃO DIAS"/>
    <n v="505364"/>
    <m/>
    <x v="2"/>
    <n v="39.426000000000002"/>
    <n v="14.19"/>
    <n v="3.69"/>
    <n v="131.29194000000001"/>
    <n v="3.330085222949323"/>
    <e v="#NAME?"/>
    <e v="#NAME?"/>
  </r>
  <r>
    <n v="139"/>
    <x v="259"/>
    <x v="14"/>
    <s v="DOM PEDRO BARRA MANSA"/>
    <n v="127225"/>
    <m/>
    <x v="0"/>
    <n v="259.33999999999997"/>
    <m/>
    <n v="5.99"/>
    <n v="1553.4466"/>
    <n v="5.99"/>
    <n v="870"/>
    <n v="3.3546695457700317"/>
  </r>
  <r>
    <n v="53825"/>
    <x v="260"/>
    <x v="33"/>
    <s v="BEIRA MINHO"/>
    <n v="95660"/>
    <m/>
    <x v="0"/>
    <n v="190.65"/>
    <m/>
    <n v="6.09"/>
    <n v="1161.0585000000001"/>
    <n v="6.0900000000000007"/>
    <n v="565"/>
    <n v="2.9635457644899028"/>
  </r>
  <r>
    <n v="211218"/>
    <x v="260"/>
    <x v="0"/>
    <s v="TATITA FERNÃO DIAS"/>
    <n v="416198"/>
    <m/>
    <x v="0"/>
    <n v="35.6"/>
    <m/>
    <n v="6.19"/>
    <n v="220.36400000000003"/>
    <n v="6.19"/>
    <n v="1524"/>
    <n v="42.80898876404494"/>
  </r>
  <r>
    <n v="855467"/>
    <x v="260"/>
    <x v="0"/>
    <s v="ECO POSTO BELLA CITTA"/>
    <n v="416493"/>
    <m/>
    <x v="0"/>
    <n v="42.35"/>
    <m/>
    <n v="6.59"/>
    <n v="279.0865"/>
    <n v="6.59"/>
    <n v="295"/>
    <n v="6.9657615112160567"/>
  </r>
  <r>
    <n v="379801"/>
    <x v="260"/>
    <x v="13"/>
    <s v="RODO POSTO ESTIVA"/>
    <n v="150636"/>
    <m/>
    <x v="0"/>
    <n v="43.26"/>
    <m/>
    <n v="6.02"/>
    <n v="260.42519999999996"/>
    <n v="6.02"/>
    <n v="616"/>
    <n v="14.239482200647251"/>
  </r>
  <r>
    <n v="697320"/>
    <x v="260"/>
    <x v="13"/>
    <s v="GAVIÃO DA ANHANGUERA"/>
    <n v="150978"/>
    <m/>
    <x v="0"/>
    <n v="43.12"/>
    <m/>
    <n v="6.22"/>
    <n v="268.20639999999997"/>
    <n v="6.22"/>
    <n v="342"/>
    <n v="7.9313543599257894"/>
  </r>
  <r>
    <n v="608663"/>
    <x v="260"/>
    <x v="36"/>
    <s v="DOM PEDRO ITAPEVA"/>
    <n v="1048571"/>
    <m/>
    <x v="0"/>
    <n v="360.64"/>
    <m/>
    <n v="6.19"/>
    <n v="2232.3616000000002"/>
    <n v="6.19"/>
    <n v="757"/>
    <n v="2.0990461401952087"/>
  </r>
  <r>
    <n v="7515"/>
    <x v="260"/>
    <x v="29"/>
    <s v="REDETUKAS"/>
    <n v="330815"/>
    <m/>
    <x v="0"/>
    <n v="155"/>
    <m/>
    <m/>
    <n v="0"/>
    <n v="0"/>
    <n v="789"/>
    <n v="5.0903225806451609"/>
  </r>
  <r>
    <n v="929249"/>
    <x v="260"/>
    <x v="24"/>
    <s v="POSTO BELA VISTA "/>
    <n v="105337"/>
    <m/>
    <x v="0"/>
    <n v="100"/>
    <n v="95"/>
    <n v="7"/>
    <n v="605"/>
    <n v="6.05"/>
    <n v="721"/>
    <n v="7.21"/>
  </r>
  <r>
    <n v="211212"/>
    <x v="260"/>
    <x v="28"/>
    <s v="TATITA FERNÃO DIAS"/>
    <n v="80126"/>
    <m/>
    <x v="0"/>
    <n v="59.79"/>
    <m/>
    <n v="6.19"/>
    <n v="370.1001"/>
    <n v="6.19"/>
    <n v="520"/>
    <n v="8.6971065395551097"/>
  </r>
  <r>
    <n v="211212"/>
    <x v="260"/>
    <x v="28"/>
    <s v="TATITA FERNÃO DIAS"/>
    <n v="80126"/>
    <m/>
    <x v="2"/>
    <n v="1825"/>
    <n v="0.65"/>
    <n v="3.69"/>
    <n v="6733.6"/>
    <n v="3.6896438356164385"/>
    <e v="#NAME?"/>
    <e v="#NAME?"/>
  </r>
  <r>
    <n v="7515"/>
    <x v="260"/>
    <x v="22"/>
    <s v="REDETUKAS"/>
    <n v="156721"/>
    <m/>
    <x v="0"/>
    <n v="88"/>
    <m/>
    <m/>
    <n v="0"/>
    <n v="0"/>
    <n v="316"/>
    <n v="3.5909090909090908"/>
  </r>
  <r>
    <n v="672963"/>
    <x v="260"/>
    <x v="5"/>
    <s v="DOM PEDRO POUSO ALEGRE"/>
    <n v="626486"/>
    <m/>
    <x v="0"/>
    <n v="153"/>
    <m/>
    <n v="5.99"/>
    <n v="916.47"/>
    <n v="5.99"/>
    <n v="604"/>
    <n v="3.9477124183006538"/>
  </r>
  <r>
    <n v="7515"/>
    <x v="260"/>
    <x v="28"/>
    <s v="REDETUKAS"/>
    <n v="80464"/>
    <m/>
    <x v="0"/>
    <n v="37"/>
    <m/>
    <m/>
    <n v="0"/>
    <n v="0"/>
    <n v="338"/>
    <n v="9.1351351351351351"/>
  </r>
  <r>
    <n v="53761"/>
    <x v="260"/>
    <x v="30"/>
    <s v="BEIRA MINHO"/>
    <n v="322506"/>
    <m/>
    <x v="0"/>
    <n v="95.8"/>
    <m/>
    <n v="6.09"/>
    <n v="583.42200000000003"/>
    <n v="6.0900000000000007"/>
    <n v="475"/>
    <n v="4.9582463465553239"/>
  </r>
  <r>
    <n v="54045"/>
    <x v="260"/>
    <x v="35"/>
    <s v="BEIRA MINHO"/>
    <n v="373252"/>
    <m/>
    <x v="0"/>
    <n v="116.41"/>
    <m/>
    <n v="6.09"/>
    <n v="708.93689999999992"/>
    <n v="6.09"/>
    <n v="828"/>
    <n v="7.1127909973369992"/>
  </r>
  <r>
    <n v="7515"/>
    <x v="260"/>
    <x v="11"/>
    <s v="REDETUKAS"/>
    <n v="677507"/>
    <m/>
    <x v="0"/>
    <n v="88"/>
    <m/>
    <m/>
    <n v="0"/>
    <n v="0"/>
    <n v="408"/>
    <n v="4.6363636363636367"/>
  </r>
  <r>
    <n v="1821553"/>
    <x v="261"/>
    <x v="27"/>
    <s v="SIM REDE DE POSTOS"/>
    <n v="173156"/>
    <m/>
    <x v="2"/>
    <n v="26.614000000000001"/>
    <m/>
    <n v="3.09"/>
    <n v="82.237259999999992"/>
    <n v="3.0899999999999994"/>
    <m/>
    <n v="0"/>
  </r>
  <r>
    <n v="54540"/>
    <x v="261"/>
    <x v="12"/>
    <s v="BEIRA MINHO"/>
    <n v="248299"/>
    <m/>
    <x v="0"/>
    <n v="124.48"/>
    <m/>
    <n v="6.09"/>
    <n v="758.08320000000003"/>
    <n v="6.09"/>
    <n v="661"/>
    <n v="5.3100899742930592"/>
  </r>
  <r>
    <n v="177618"/>
    <x v="261"/>
    <x v="27"/>
    <s v="POSTO SCARIOT"/>
    <n v="153359"/>
    <m/>
    <x v="0"/>
    <n v="208.845"/>
    <n v="277.76"/>
    <n v="7.59"/>
    <n v="1307.37355"/>
    <n v="6.2600184347243175"/>
    <n v="1743"/>
    <n v="8.3459024635495229"/>
  </r>
  <r>
    <n v="146340"/>
    <x v="261"/>
    <x v="7"/>
    <s v="ULTRAMARINO"/>
    <n v="114196"/>
    <m/>
    <x v="1"/>
    <n v="39.320999999999998"/>
    <m/>
    <n v="5.74"/>
    <n v="225.70254"/>
    <n v="5.74"/>
    <e v="#NAME?"/>
    <e v="#NAME?"/>
  </r>
  <r>
    <n v="211458"/>
    <x v="261"/>
    <x v="24"/>
    <s v="TATITA FERNÃO DIAS"/>
    <n v="105396"/>
    <m/>
    <x v="2"/>
    <n v="12.15"/>
    <n v="4.37"/>
    <n v="3.69"/>
    <n v="40.463500000000003"/>
    <n v="3.3303292181069959"/>
    <e v="#NAME?"/>
    <e v="#NAME?"/>
  </r>
  <r>
    <n v="673391"/>
    <x v="261"/>
    <x v="28"/>
    <s v="DOM PEDRO POUSO ALEGRE"/>
    <n v="81193"/>
    <m/>
    <x v="0"/>
    <n v="88.32"/>
    <m/>
    <n v="5.99"/>
    <n v="529.03679999999997"/>
    <n v="5.99"/>
    <n v="729"/>
    <n v="8.2540760869565215"/>
  </r>
  <r>
    <n v="211473"/>
    <x v="261"/>
    <x v="3"/>
    <s v="TATITA FERNÃO DIAS"/>
    <n v="160868"/>
    <m/>
    <x v="1"/>
    <n v="39.32"/>
    <m/>
    <n v="5.69"/>
    <n v="223.73080000000002"/>
    <n v="5.69"/>
    <e v="#NAME?"/>
    <e v="#NAME?"/>
  </r>
  <r>
    <n v="211607"/>
    <x v="261"/>
    <x v="37"/>
    <s v="TATITA FERNÃO DIAS"/>
    <n v="2135"/>
    <m/>
    <x v="0"/>
    <n v="39.090000000000003"/>
    <m/>
    <n v="6.19"/>
    <n v="241.96710000000004"/>
    <n v="6.19"/>
    <n v="922"/>
    <n v="23.586595037093883"/>
  </r>
  <r>
    <n v="211451"/>
    <x v="261"/>
    <x v="37"/>
    <s v="TATITA FERNÃO DIAS"/>
    <n v="2135"/>
    <m/>
    <x v="2"/>
    <n v="3.2589999999999999"/>
    <n v="1.18"/>
    <n v="3.69"/>
    <n v="10.84571"/>
    <n v="3.3279257440932803"/>
    <e v="#NAME?"/>
    <e v="#NAME?"/>
  </r>
  <r>
    <n v="211431"/>
    <x v="261"/>
    <x v="23"/>
    <s v="TATITA FERNÃO DIAS"/>
    <n v="200985"/>
    <m/>
    <x v="1"/>
    <n v="27.431000000000001"/>
    <m/>
    <n v="5.69"/>
    <n v="156.08239"/>
    <n v="5.6899999999999995"/>
    <e v="#NAME?"/>
    <e v="#NAME?"/>
  </r>
  <r>
    <n v="673473"/>
    <x v="262"/>
    <x v="5"/>
    <s v="DOM PEDRO POUSO ALEGRE"/>
    <n v="626982"/>
    <m/>
    <x v="0"/>
    <n v="118"/>
    <m/>
    <n v="5.99"/>
    <n v="706.82"/>
    <n v="5.99"/>
    <n v="496"/>
    <n v="4.2033898305084749"/>
  </r>
  <r>
    <n v="673809"/>
    <x v="262"/>
    <x v="23"/>
    <s v="DOM PEDRO POUSO ALEGRE"/>
    <n v="298949"/>
    <m/>
    <x v="1"/>
    <n v="30.26"/>
    <m/>
    <n v="5.59"/>
    <n v="169.1534"/>
    <n v="5.59"/>
    <e v="#NAME?"/>
    <e v="#NAME?"/>
  </r>
  <r>
    <n v="673803"/>
    <x v="262"/>
    <x v="28"/>
    <s v="DOM PEDRO POUSO ALEGRE"/>
    <n v="81659"/>
    <m/>
    <x v="0"/>
    <n v="53.9"/>
    <m/>
    <n v="5.99"/>
    <n v="322.86099999999999"/>
    <n v="5.99"/>
    <n v="466"/>
    <n v="8.6456400742115029"/>
  </r>
  <r>
    <n v="211710"/>
    <x v="262"/>
    <x v="28"/>
    <s v="TATITA FERNÃO DIAS"/>
    <n v="81572"/>
    <m/>
    <x v="2"/>
    <n v="6.5529999999999999"/>
    <n v="2.36"/>
    <n v="3.69"/>
    <n v="21.82057"/>
    <n v="3.3298596062871968"/>
    <e v="#NAME?"/>
    <e v="#NAME?"/>
  </r>
  <r>
    <n v="211798"/>
    <x v="262"/>
    <x v="37"/>
    <s v="TATITA FERNÃO DIAS"/>
    <n v="2436"/>
    <m/>
    <x v="0"/>
    <n v="22.63"/>
    <m/>
    <n v="6.19"/>
    <n v="140.0797"/>
    <n v="6.19"/>
    <n v="301"/>
    <n v="13.300927971718957"/>
  </r>
  <r>
    <n v="55107"/>
    <x v="262"/>
    <x v="0"/>
    <s v="GAVIÃO DA ANHANGUERA"/>
    <n v="417594"/>
    <m/>
    <x v="0"/>
    <n v="48.4"/>
    <m/>
    <n v="6.09"/>
    <n v="294.75599999999997"/>
    <n v="6.09"/>
    <n v="1101"/>
    <n v="22.74793388429752"/>
  </r>
  <r>
    <n v="211640"/>
    <x v="262"/>
    <x v="14"/>
    <s v="TATITA FERNÃO DIAS"/>
    <n v="127761"/>
    <m/>
    <x v="2"/>
    <n v="40.018000000000001"/>
    <n v="14.41"/>
    <n v="3.69"/>
    <n v="133.25641999999999"/>
    <n v="3.329912039582188"/>
    <e v="#NAME?"/>
    <e v="#NAME?"/>
  </r>
  <r>
    <n v="336687"/>
    <x v="262"/>
    <x v="7"/>
    <s v="POSTO ZÉ RAMOS"/>
    <n v="114601"/>
    <m/>
    <x v="1"/>
    <n v="32.01"/>
    <m/>
    <n v="5.89"/>
    <n v="188.53889999999998"/>
    <n v="5.89"/>
    <e v="#NAME?"/>
    <e v="#NAME?"/>
  </r>
  <r>
    <n v="258512"/>
    <x v="263"/>
    <x v="5"/>
    <s v="DOM PEDRO ESTIVA"/>
    <n v="627494"/>
    <m/>
    <x v="0"/>
    <n v="130.01"/>
    <m/>
    <n v="5.99"/>
    <n v="778.75990000000002"/>
    <n v="5.99"/>
    <n v="512"/>
    <n v="3.9381586031843705"/>
  </r>
  <r>
    <n v="380510"/>
    <x v="263"/>
    <x v="13"/>
    <s v="DOM PEDRO POUSO ALEGRE"/>
    <n v="151947"/>
    <m/>
    <x v="0"/>
    <n v="35.520000000000003"/>
    <m/>
    <n v="5.99"/>
    <n v="212.76480000000004"/>
    <n v="5.99"/>
    <n v="969"/>
    <n v="27.280405405405403"/>
  </r>
  <r>
    <n v="211947"/>
    <x v="263"/>
    <x v="3"/>
    <s v="TATITA FERNÃO DIAS"/>
    <n v="161558"/>
    <m/>
    <x v="1"/>
    <n v="32.64"/>
    <m/>
    <n v="5.69"/>
    <n v="185.72160000000002"/>
    <n v="5.69"/>
    <e v="#NAME?"/>
    <e v="#NAME?"/>
  </r>
  <r>
    <n v="748271"/>
    <x v="263"/>
    <x v="9"/>
    <s v="GAVIÃO DA ANHANGUERA"/>
    <n v="388505"/>
    <m/>
    <x v="0"/>
    <n v="124.95399999999999"/>
    <m/>
    <n v="6.13"/>
    <n v="765.96801999999991"/>
    <n v="6.13"/>
    <n v="2347"/>
    <n v="18.78291211165709"/>
  </r>
  <r>
    <n v="272929"/>
    <x v="263"/>
    <x v="34"/>
    <s v="DOM PEDRO ATIBAIA"/>
    <n v="506528"/>
    <m/>
    <x v="0"/>
    <n v="100"/>
    <m/>
    <n v="5.99"/>
    <n v="599"/>
    <n v="5.99"/>
    <n v="1167"/>
    <n v="11.67"/>
  </r>
  <r>
    <n v="336867"/>
    <x v="263"/>
    <x v="3"/>
    <s v="POSTO ZÉ RAMOS"/>
    <n v="161139"/>
    <m/>
    <x v="1"/>
    <n v="25.54"/>
    <m/>
    <n v="5.89"/>
    <n v="150.4306"/>
    <n v="5.8900000000000006"/>
    <e v="#NAME?"/>
    <e v="#NAME?"/>
  </r>
  <r>
    <n v="211876"/>
    <x v="263"/>
    <x v="23"/>
    <s v="TATITA FERNÃO DIAS"/>
    <n v="295344"/>
    <m/>
    <x v="1"/>
    <n v="35.880000000000003"/>
    <m/>
    <n v="5.69"/>
    <n v="204.15720000000002"/>
    <n v="5.69"/>
    <e v="#NAME?"/>
    <e v="#NAME?"/>
  </r>
  <r>
    <n v="212011"/>
    <x v="263"/>
    <x v="18"/>
    <s v="TATITA FERNÃO DIAS"/>
    <n v="683904"/>
    <m/>
    <x v="0"/>
    <n v="125.69"/>
    <m/>
    <n v="6.19"/>
    <n v="778.02110000000005"/>
    <n v="6.19"/>
    <n v="1051"/>
    <n v="8.361842628689633"/>
  </r>
  <r>
    <n v="212021"/>
    <x v="264"/>
    <x v="13"/>
    <s v="TATITA FERNÃO DIAS"/>
    <n v="152036"/>
    <m/>
    <x v="0"/>
    <n v="10.74"/>
    <m/>
    <n v="6.19"/>
    <n v="66.48060000000001"/>
    <n v="6.19"/>
    <n v="89"/>
    <n v="8.2867783985102417"/>
  </r>
  <r>
    <n v="212049"/>
    <x v="264"/>
    <x v="23"/>
    <s v="TATITA FERNÃO DIAS"/>
    <n v="299660"/>
    <m/>
    <x v="1"/>
    <n v="19.178999999999998"/>
    <m/>
    <n v="5.69"/>
    <n v="109.12851000000001"/>
    <n v="5.69"/>
    <e v="#NAME?"/>
    <e v="#NAME?"/>
  </r>
  <r>
    <n v="212059"/>
    <x v="264"/>
    <x v="19"/>
    <s v="TATITA FERNÃO DIAS"/>
    <n v="229111"/>
    <m/>
    <x v="1"/>
    <n v="38.090000000000003"/>
    <m/>
    <n v="5.69"/>
    <n v="216.73210000000003"/>
    <n v="5.69"/>
    <e v="#NAME?"/>
    <e v="#NAME?"/>
  </r>
  <r>
    <n v="212020"/>
    <x v="264"/>
    <x v="28"/>
    <s v="TATITA FERNÃO DIAS"/>
    <n v="82187"/>
    <m/>
    <x v="0"/>
    <n v="57.179000000000002"/>
    <m/>
    <n v="6.19"/>
    <n v="353.93801000000002"/>
    <n v="6.19"/>
    <n v="528"/>
    <n v="9.2341593941831785"/>
  </r>
  <r>
    <n v="674842"/>
    <x v="264"/>
    <x v="0"/>
    <s v="DOM PEDRO POUSO ALEGRE"/>
    <n v="417963"/>
    <m/>
    <x v="0"/>
    <n v="36.229999999999997"/>
    <m/>
    <n v="5.99"/>
    <n v="217.01769999999999"/>
    <n v="5.99"/>
    <n v="369"/>
    <n v="10.184929616340051"/>
  </r>
  <r>
    <n v="674583"/>
    <x v="264"/>
    <x v="3"/>
    <s v="DOM PEDRO POUSO ALEGRE"/>
    <n v="161957"/>
    <m/>
    <x v="1"/>
    <n v="25.61"/>
    <m/>
    <n v="5.59"/>
    <n v="143.15989999999999"/>
    <n v="5.59"/>
    <e v="#NAME?"/>
    <e v="#NAME?"/>
  </r>
  <r>
    <n v="230074"/>
    <x v="265"/>
    <x v="2"/>
    <s v="DOM PEDRO OLIVEIRA"/>
    <n v="921195"/>
    <m/>
    <x v="0"/>
    <n v="145.80000000000001"/>
    <m/>
    <n v="5.95"/>
    <n v="867.5100000000001"/>
    <n v="5.95"/>
    <n v="1860"/>
    <n v="12.757201646090534"/>
  </r>
  <r>
    <n v="147986"/>
    <x v="266"/>
    <x v="9"/>
    <s v="ULTRAMARINO"/>
    <n v="389375"/>
    <m/>
    <x v="0"/>
    <n v="141.37"/>
    <m/>
    <n v="6.19"/>
    <n v="875.08030000000008"/>
    <n v="6.19"/>
    <n v="870"/>
    <n v="6.1540638042017397"/>
  </r>
  <r>
    <n v="259232"/>
    <x v="266"/>
    <x v="5"/>
    <s v="DOM PEDRO ESTIVA"/>
    <n v="627977"/>
    <m/>
    <x v="0"/>
    <n v="126.79"/>
    <m/>
    <n v="5.99"/>
    <n v="759.47210000000007"/>
    <n v="5.99"/>
    <n v="483"/>
    <n v="3.8094486946920103"/>
  </r>
  <r>
    <n v="211835"/>
    <x v="266"/>
    <x v="13"/>
    <s v="TATITA FERNÃO DIAS"/>
    <n v="152637"/>
    <m/>
    <x v="0"/>
    <n v="32.030999999999999"/>
    <m/>
    <n v="6.19"/>
    <n v="198.27189000000001"/>
    <n v="6.19"/>
    <n v="601"/>
    <n v="18.763073272767009"/>
  </r>
  <r>
    <n v="212651"/>
    <x v="266"/>
    <x v="29"/>
    <s v="TATITA FERNÃO DIAS"/>
    <n v="331690"/>
    <m/>
    <x v="0"/>
    <n v="193.87100000000001"/>
    <m/>
    <n v="6.19"/>
    <n v="1200.06149"/>
    <n v="6.19"/>
    <n v="875"/>
    <n v="4.5133103971197341"/>
  </r>
  <r>
    <n v="357972"/>
    <x v="266"/>
    <x v="2"/>
    <s v="COMERCIAL OLIVEIRA"/>
    <n v="921752"/>
    <m/>
    <x v="0"/>
    <n v="280.08"/>
    <m/>
    <n v="6.49"/>
    <n v="1817.7192"/>
    <n v="6.49"/>
    <n v="557"/>
    <n v="1.988717509283062"/>
  </r>
  <r>
    <n v="212739"/>
    <x v="266"/>
    <x v="28"/>
    <s v="TATITA FERNÃO DIAS"/>
    <n v="82756"/>
    <m/>
    <x v="0"/>
    <n v="72.338999999999999"/>
    <m/>
    <n v="6.19"/>
    <n v="447.77841000000001"/>
    <n v="6.19"/>
    <n v="569"/>
    <n v="7.8657432367049589"/>
  </r>
  <r>
    <n v="170863"/>
    <x v="266"/>
    <x v="2"/>
    <s v="DOM PEDRO CACHOEIRA"/>
    <n v="922152"/>
    <m/>
    <x v="0"/>
    <n v="241"/>
    <m/>
    <n v="6.09"/>
    <n v="1467.69"/>
    <n v="6.09"/>
    <n v="400"/>
    <n v="1.6597510373443984"/>
  </r>
  <r>
    <n v="60811"/>
    <x v="267"/>
    <x v="30"/>
    <s v="BEIRA MINHO"/>
    <n v="323015"/>
    <m/>
    <x v="0"/>
    <n v="95.45"/>
    <m/>
    <n v="6.09"/>
    <n v="581.29049999999995"/>
    <n v="6.089999999999999"/>
    <n v="509"/>
    <n v="5.3326348873755895"/>
  </r>
  <r>
    <n v="60255"/>
    <x v="267"/>
    <x v="8"/>
    <s v="DOM PEDRO BRAGANÇA "/>
    <n v="968937"/>
    <m/>
    <x v="0"/>
    <n v="485.13"/>
    <m/>
    <n v="5.79"/>
    <n v="2808.9027000000001"/>
    <n v="5.79"/>
    <n v="2729"/>
    <n v="5.6252963123286541"/>
  </r>
  <r>
    <n v="313652"/>
    <x v="267"/>
    <x v="24"/>
    <s v="DOM PEDRO ITAPEVA"/>
    <n v="107373"/>
    <m/>
    <x v="0"/>
    <n v="106.4"/>
    <m/>
    <n v="5.95"/>
    <n v="633.08000000000004"/>
    <n v="5.95"/>
    <n v="2036"/>
    <n v="19.13533834586466"/>
  </r>
  <r>
    <n v="60582"/>
    <x v="267"/>
    <x v="5"/>
    <s v="BEIRA MINHO"/>
    <n v="373886"/>
    <m/>
    <x v="0"/>
    <n v="110.95"/>
    <m/>
    <n v="6.09"/>
    <n v="675.68550000000005"/>
    <n v="6.09"/>
    <m/>
    <n v="0"/>
  </r>
  <r>
    <n v="122646"/>
    <x v="267"/>
    <x v="0"/>
    <s v="AUTO POSTO GIGIO"/>
    <n v="419088"/>
    <m/>
    <x v="0"/>
    <n v="27.1"/>
    <m/>
    <n v="6.15"/>
    <n v="166.66500000000002"/>
    <n v="6.15"/>
    <n v="1125"/>
    <n v="41.512915129151288"/>
  </r>
  <r>
    <n v="676599"/>
    <x v="267"/>
    <x v="23"/>
    <s v="DOM PEDRO POUSO ALEGRE"/>
    <n v="300558"/>
    <m/>
    <x v="1"/>
    <n v="41.76"/>
    <m/>
    <n v="5.59"/>
    <n v="233.43839999999997"/>
    <n v="5.59"/>
    <e v="#NAME?"/>
    <e v="#NAME?"/>
  </r>
  <r>
    <n v="59909"/>
    <x v="267"/>
    <x v="10"/>
    <s v="DOM PEDRO BRAGANÇA "/>
    <n v="275051"/>
    <m/>
    <x v="0"/>
    <n v="62.44"/>
    <m/>
    <n v="5.79"/>
    <n v="361.52760000000001"/>
    <n v="5.79"/>
    <n v="1366"/>
    <n v="21.877001921844972"/>
  </r>
  <r>
    <n v="23554"/>
    <x v="267"/>
    <x v="2"/>
    <s v="DOM PEDRO SANTO ESTEVÃO"/>
    <n v="922639"/>
    <m/>
    <x v="0"/>
    <n v="258.01"/>
    <m/>
    <n v="6.09"/>
    <n v="1571.2809"/>
    <n v="6.09"/>
    <n v="487"/>
    <n v="1.8875237393899462"/>
  </r>
  <r>
    <n v="213282"/>
    <x v="268"/>
    <x v="28"/>
    <s v="IMPERADOR DOM PEDRO I"/>
    <n v="83580"/>
    <m/>
    <x v="0"/>
    <n v="106.45"/>
    <m/>
    <n v="5.89"/>
    <n v="626.9905"/>
    <n v="5.89"/>
    <n v="824"/>
    <n v="7.7407233442930954"/>
  </r>
  <r>
    <n v="276779"/>
    <x v="268"/>
    <x v="34"/>
    <s v="DOM PEDRO ATIBAIA"/>
    <n v="507707"/>
    <m/>
    <x v="0"/>
    <n v="452"/>
    <m/>
    <n v="5.99"/>
    <n v="2707.48"/>
    <n v="5.99"/>
    <n v="1179"/>
    <n v="2.6084070796460175"/>
  </r>
  <r>
    <n v="420089"/>
    <x v="268"/>
    <x v="2"/>
    <s v="DOM PEDRO DIVISA ALEGRE"/>
    <n v="923436"/>
    <m/>
    <x v="0"/>
    <n v="268"/>
    <m/>
    <n v="6.09"/>
    <n v="1632.12"/>
    <n v="6.09"/>
    <n v="797"/>
    <n v="2.9738805970149254"/>
  </r>
  <r>
    <n v="213183"/>
    <x v="268"/>
    <x v="34"/>
    <s v="TATITA FERNÃO DIAS"/>
    <n v="507404"/>
    <m/>
    <x v="2"/>
    <n v="41.521999999999998"/>
    <n v="14.95"/>
    <n v="3.69"/>
    <n v="138.26617999999999"/>
    <n v="3.3299499060738884"/>
    <e v="#NAME?"/>
    <e v="#NAME?"/>
  </r>
  <r>
    <n v="213102"/>
    <x v="268"/>
    <x v="9"/>
    <s v="TATITA FERNÃO DIAS"/>
    <n v="390256"/>
    <m/>
    <x v="2"/>
    <n v="16.651"/>
    <n v="5.96"/>
    <n v="3.69"/>
    <n v="55.482189999999996"/>
    <n v="3.3320635397273435"/>
    <e v="#NAME?"/>
    <e v="#NAME?"/>
  </r>
  <r>
    <n v="213102"/>
    <x v="268"/>
    <x v="9"/>
    <s v="TATITA FERNÃO DIAS"/>
    <n v="390256"/>
    <m/>
    <x v="0"/>
    <n v="67.459999999999994"/>
    <m/>
    <n v="6.19"/>
    <n v="417.57740000000001"/>
    <n v="6.19"/>
    <n v="881"/>
    <n v="13.059590868662912"/>
  </r>
  <r>
    <n v="213093"/>
    <x v="268"/>
    <x v="3"/>
    <s v="TATITA FERNÃO DIAS"/>
    <n v="162379"/>
    <m/>
    <x v="1"/>
    <n v="36.03"/>
    <m/>
    <n v="5.69"/>
    <n v="205.01070000000001"/>
    <n v="5.69"/>
    <e v="#NAME?"/>
    <e v="#NAME?"/>
  </r>
  <r>
    <n v="516101"/>
    <x v="269"/>
    <x v="2"/>
    <s v="DOM PEDRO ITATIAIUÇU"/>
    <n v="924298"/>
    <m/>
    <x v="0"/>
    <n v="246.91"/>
    <m/>
    <n v="5.99"/>
    <n v="1478.9909"/>
    <n v="5.99"/>
    <n v="862"/>
    <n v="3.4911506216840147"/>
  </r>
  <r>
    <n v="122901"/>
    <x v="269"/>
    <x v="10"/>
    <s v="AUTO POSTO GIGIO"/>
    <n v="275986"/>
    <m/>
    <x v="0"/>
    <n v="54.22"/>
    <m/>
    <n v="6.15"/>
    <n v="333.45300000000003"/>
    <n v="6.15"/>
    <n v="935"/>
    <n v="17.244559203246034"/>
  </r>
  <r>
    <n v="84604"/>
    <x v="270"/>
    <x v="17"/>
    <s v="POSTO NACIONAL"/>
    <n v="3410"/>
    <m/>
    <x v="0"/>
    <n v="45.83"/>
    <m/>
    <n v="6.29"/>
    <n v="288.27069999999998"/>
    <n v="6.29"/>
    <e v="#NAME?"/>
    <e v="#NAME?"/>
  </r>
  <r>
    <n v="62137"/>
    <x v="270"/>
    <x v="26"/>
    <s v="DOM PEDRO BRAGANÇA "/>
    <n v="729647"/>
    <m/>
    <x v="0"/>
    <n v="209"/>
    <m/>
    <n v="5.79"/>
    <n v="1210.1099999999999"/>
    <n v="5.7899999999999991"/>
    <n v="1984"/>
    <n v="9.4928229665071768"/>
  </r>
  <r>
    <n v="213599"/>
    <x v="270"/>
    <x v="3"/>
    <s v="TATITA FERNÃO DIAS"/>
    <n v="163216"/>
    <m/>
    <x v="1"/>
    <n v="27.768999999999998"/>
    <m/>
    <n v="5.59"/>
    <n v="155.22870999999998"/>
    <n v="5.59"/>
    <e v="#NAME?"/>
    <e v="#NAME?"/>
  </r>
  <r>
    <n v="213487"/>
    <x v="270"/>
    <x v="3"/>
    <s v="TATITA FERNÃO DIAS"/>
    <n v="162730"/>
    <m/>
    <x v="1"/>
    <n v="25.81"/>
    <m/>
    <n v="5.59"/>
    <n v="144.27789999999999"/>
    <n v="5.59"/>
    <e v="#NAME?"/>
    <e v="#NAME?"/>
  </r>
  <r>
    <n v="213494"/>
    <x v="270"/>
    <x v="18"/>
    <s v="TATITA FERNÃO DIAS"/>
    <n v="684561"/>
    <m/>
    <x v="2"/>
    <n v="16"/>
    <n v="5.76"/>
    <n v="3.69"/>
    <n v="53.28"/>
    <n v="3.33"/>
    <e v="#NAME?"/>
    <e v="#NAME?"/>
  </r>
  <r>
    <n v="213493"/>
    <x v="270"/>
    <x v="18"/>
    <s v="TATITA FERNÃO DIAS"/>
    <n v="684561"/>
    <m/>
    <x v="0"/>
    <n v="105.339"/>
    <m/>
    <n v="6.19"/>
    <n v="652.04840999999999"/>
    <n v="6.19"/>
    <n v="657"/>
    <n v="6.2370062370062369"/>
  </r>
  <r>
    <n v="238848"/>
    <x v="271"/>
    <x v="8"/>
    <s v="DOM PEDRO PINDAMONHANGABA"/>
    <n v="969894"/>
    <m/>
    <x v="0"/>
    <n v="356.51900000000001"/>
    <m/>
    <n v="5.99"/>
    <n v="2135.5488100000002"/>
    <n v="5.99"/>
    <n v="957"/>
    <n v="2.6842889158782559"/>
  </r>
  <r>
    <n v="214430"/>
    <x v="272"/>
    <x v="12"/>
    <s v="TATITA FERNÃO DIAS"/>
    <n v="250234"/>
    <m/>
    <x v="0"/>
    <n v="125.21"/>
    <m/>
    <n v="6.19"/>
    <n v="775.04989999999998"/>
    <n v="6.19"/>
    <n v="1935"/>
    <n v="15.454037217474644"/>
  </r>
  <r>
    <n v="238848"/>
    <x v="272"/>
    <x v="8"/>
    <s v="DOM PEDRO PINDAMONHANGABA"/>
    <n v="696894"/>
    <m/>
    <x v="2"/>
    <n v="33.799999999999997"/>
    <m/>
    <n v="2.99"/>
    <n v="101.062"/>
    <n v="2.99"/>
    <e v="#NAME?"/>
    <e v="#NAME?"/>
  </r>
  <r>
    <n v="214555"/>
    <x v="273"/>
    <x v="3"/>
    <s v="TATITA FERNÃO DIAS"/>
    <n v="163606"/>
    <m/>
    <x v="1"/>
    <n v="32.988999999999997"/>
    <m/>
    <n v="5.59"/>
    <n v="184.40850999999998"/>
    <n v="5.59"/>
    <e v="#NAME?"/>
    <e v="#NAME?"/>
  </r>
  <r>
    <n v="214441"/>
    <x v="273"/>
    <x v="13"/>
    <s v="TATITA FERNÃO DIAS"/>
    <n v="154048"/>
    <m/>
    <x v="0"/>
    <n v="13.74"/>
    <m/>
    <n v="6.19"/>
    <n v="85.050600000000003"/>
    <n v="6.19"/>
    <n v="1411"/>
    <n v="102.69286754002911"/>
  </r>
  <r>
    <n v="214795"/>
    <x v="274"/>
    <x v="3"/>
    <s v="TATITA FERNÃO DIAS"/>
    <n v="164205"/>
    <m/>
    <x v="1"/>
    <n v="39.960999999999999"/>
    <m/>
    <n v="5.59"/>
    <n v="223.38198999999997"/>
    <n v="5.59"/>
    <e v="#NAME?"/>
    <e v="#NAME?"/>
  </r>
  <r>
    <n v="214971"/>
    <x v="274"/>
    <x v="13"/>
    <s v="TATITA FERNÃO DIAS"/>
    <n v="154567"/>
    <m/>
    <x v="0"/>
    <n v="13.95"/>
    <m/>
    <n v="6.19"/>
    <n v="86.350499999999997"/>
    <n v="6.19"/>
    <n v="519"/>
    <n v="37.204301075268816"/>
  </r>
  <r>
    <n v="280927"/>
    <x v="274"/>
    <x v="13"/>
    <s v="DOM PEDRO ATIBAIA"/>
    <n v="155009"/>
    <m/>
    <x v="0"/>
    <n v="16.690000000000001"/>
    <m/>
    <n v="5.99"/>
    <n v="99.973100000000017"/>
    <n v="5.99"/>
    <n v="442"/>
    <n v="26.4829239065308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DFE3A-83D2-4623-B875-125EC2AA38F4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38" firstHeaderRow="1" firstDataRow="1" firstDataCol="1" rowPageCount="2" colPageCount="1"/>
  <pivotFields count="16">
    <pivotField showAll="0"/>
    <pivotField axis="axisPage" multipleItemSelectionAllowed="1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3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82"/>
        <item x="74"/>
        <item x="75"/>
        <item x="76"/>
        <item x="77"/>
        <item x="78"/>
        <item x="79"/>
        <item x="83"/>
        <item x="81"/>
        <item x="80"/>
        <item x="84"/>
        <item x="85"/>
        <item x="86"/>
        <item x="87"/>
        <item x="89"/>
        <item x="90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5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6"/>
        <item x="118"/>
        <item x="119"/>
        <item x="120"/>
        <item x="121"/>
        <item x="124"/>
        <item x="122"/>
        <item x="123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5"/>
        <item x="138"/>
        <item x="139"/>
        <item x="140"/>
        <item x="141"/>
        <item x="142"/>
        <item x="143"/>
        <item x="145"/>
        <item x="144"/>
        <item x="147"/>
        <item x="146"/>
        <item x="148"/>
        <item x="150"/>
        <item x="152"/>
        <item x="149"/>
        <item x="151"/>
        <item x="153"/>
        <item x="154"/>
        <item x="155"/>
        <item x="167"/>
        <item x="156"/>
        <item x="157"/>
        <item x="158"/>
        <item x="159"/>
        <item x="161"/>
        <item x="162"/>
        <item x="163"/>
        <item x="164"/>
        <item x="160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1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1"/>
        <item x="222"/>
        <item x="220"/>
        <item x="223"/>
        <item x="224"/>
        <item x="225"/>
        <item x="226"/>
        <item x="229"/>
        <item x="227"/>
        <item x="215"/>
        <item x="230"/>
        <item x="231"/>
        <item x="228"/>
        <item x="232"/>
        <item x="235"/>
        <item x="236"/>
        <item x="233"/>
        <item x="234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axis="axisRow" showAll="0">
      <items count="62">
        <item x="2"/>
        <item x="13"/>
        <item x="4"/>
        <item x="5"/>
        <item x="35"/>
        <item x="34"/>
        <item x="18"/>
        <item x="19"/>
        <item x="1"/>
        <item x="24"/>
        <item x="17"/>
        <item x="7"/>
        <item x="0"/>
        <item x="27"/>
        <item x="14"/>
        <item x="33"/>
        <item x="22"/>
        <item x="32"/>
        <item x="11"/>
        <item x="26"/>
        <item x="25"/>
        <item x="36"/>
        <item x="8"/>
        <item x="30"/>
        <item m="1" x="60"/>
        <item x="6"/>
        <item x="23"/>
        <item x="9"/>
        <item x="15"/>
        <item x="16"/>
        <item x="31"/>
        <item x="29"/>
        <item x="10"/>
        <item x="21"/>
        <item x="12"/>
        <item x="3"/>
        <item x="28"/>
        <item x="37"/>
        <item x="20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2"/>
        <item x="0"/>
        <item h="1" x="3"/>
        <item h="1" x="1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2">
    <pageField fld="1" hier="-1"/>
    <pageField fld="6" hier="-1"/>
  </pageFields>
  <dataFields count="1">
    <dataField name="Soma de KM Rodados " fld="12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75F22-0121-4505-A138-8A91FC9916C9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43" firstHeaderRow="1" firstDataRow="1" firstDataCol="1" rowPageCount="2" colPageCount="1"/>
  <pivotFields count="16">
    <pivotField showAll="0"/>
    <pivotField axis="axisPage" numFmtId="14" multipleItemSelectionAllowed="1" showAll="0">
      <items count="2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3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1"/>
        <item x="63"/>
        <item x="64"/>
        <item x="65"/>
        <item x="66"/>
        <item x="67"/>
        <item x="68"/>
        <item x="69"/>
        <item x="70"/>
        <item x="71"/>
        <item x="72"/>
        <item x="73"/>
        <item x="82"/>
        <item x="74"/>
        <item x="75"/>
        <item x="76"/>
        <item x="77"/>
        <item x="78"/>
        <item x="79"/>
        <item x="83"/>
        <item x="81"/>
        <item x="80"/>
        <item x="84"/>
        <item x="85"/>
        <item x="86"/>
        <item x="87"/>
        <item x="89"/>
        <item x="90"/>
        <item x="88"/>
        <item x="91"/>
        <item x="92"/>
        <item x="93"/>
        <item x="94"/>
        <item x="95"/>
        <item x="96"/>
        <item x="97"/>
        <item x="98"/>
        <item x="99"/>
        <item x="100"/>
        <item x="101"/>
        <item x="105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6"/>
        <item x="118"/>
        <item x="119"/>
        <item x="120"/>
        <item x="121"/>
        <item x="124"/>
        <item x="122"/>
        <item x="123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7"/>
        <item x="135"/>
        <item x="138"/>
        <item x="139"/>
        <item x="140"/>
        <item x="141"/>
        <item x="142"/>
        <item x="143"/>
        <item x="145"/>
        <item x="144"/>
        <item x="147"/>
        <item x="146"/>
        <item x="148"/>
        <item x="150"/>
        <item x="152"/>
        <item x="149"/>
        <item x="151"/>
        <item x="153"/>
        <item x="154"/>
        <item x="155"/>
        <item x="167"/>
        <item x="156"/>
        <item x="157"/>
        <item x="158"/>
        <item x="159"/>
        <item x="161"/>
        <item x="162"/>
        <item x="163"/>
        <item x="164"/>
        <item x="160"/>
        <item x="165"/>
        <item x="166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1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6"/>
        <item x="217"/>
        <item x="218"/>
        <item x="219"/>
        <item x="221"/>
        <item x="222"/>
        <item x="220"/>
        <item x="223"/>
        <item x="224"/>
        <item x="225"/>
        <item x="226"/>
        <item x="229"/>
        <item x="227"/>
        <item x="215"/>
        <item x="230"/>
        <item x="231"/>
        <item x="228"/>
        <item x="232"/>
        <item x="235"/>
        <item x="236"/>
        <item x="233"/>
        <item x="234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axis="axisRow" showAll="0">
      <items count="62">
        <item x="2"/>
        <item x="13"/>
        <item m="1" x="41"/>
        <item x="4"/>
        <item x="5"/>
        <item x="35"/>
        <item x="34"/>
        <item m="1" x="50"/>
        <item x="18"/>
        <item m="1" x="46"/>
        <item x="19"/>
        <item x="1"/>
        <item m="1" x="48"/>
        <item x="24"/>
        <item m="1" x="52"/>
        <item x="17"/>
        <item m="1" x="54"/>
        <item x="7"/>
        <item x="0"/>
        <item x="27"/>
        <item m="1" x="40"/>
        <item m="1" x="38"/>
        <item x="14"/>
        <item m="1" x="53"/>
        <item x="33"/>
        <item m="1" x="51"/>
        <item x="22"/>
        <item m="1" x="58"/>
        <item x="32"/>
        <item x="11"/>
        <item m="1" x="45"/>
        <item x="26"/>
        <item m="1" x="47"/>
        <item x="25"/>
        <item x="36"/>
        <item m="1" x="57"/>
        <item x="8"/>
        <item m="1" x="55"/>
        <item x="30"/>
        <item m="1" x="60"/>
        <item x="6"/>
        <item m="1" x="44"/>
        <item x="23"/>
        <item x="9"/>
        <item x="15"/>
        <item x="16"/>
        <item m="1" x="56"/>
        <item x="31"/>
        <item x="29"/>
        <item m="1" x="42"/>
        <item x="10"/>
        <item m="1" x="39"/>
        <item x="21"/>
        <item x="12"/>
        <item m="1" x="49"/>
        <item x="3"/>
        <item x="28"/>
        <item m="1" x="43"/>
        <item x="37"/>
        <item m="1" x="59"/>
        <item x="20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39">
    <i>
      <x/>
    </i>
    <i>
      <x v="1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5"/>
    </i>
    <i>
      <x v="17"/>
    </i>
    <i>
      <x v="18"/>
    </i>
    <i>
      <x v="19"/>
    </i>
    <i>
      <x v="22"/>
    </i>
    <i>
      <x v="24"/>
    </i>
    <i>
      <x v="26"/>
    </i>
    <i>
      <x v="28"/>
    </i>
    <i>
      <x v="29"/>
    </i>
    <i>
      <x v="31"/>
    </i>
    <i>
      <x v="33"/>
    </i>
    <i>
      <x v="34"/>
    </i>
    <i>
      <x v="36"/>
    </i>
    <i>
      <x v="38"/>
    </i>
    <i>
      <x v="40"/>
    </i>
    <i>
      <x v="42"/>
    </i>
    <i>
      <x v="43"/>
    </i>
    <i>
      <x v="44"/>
    </i>
    <i>
      <x v="45"/>
    </i>
    <i>
      <x v="47"/>
    </i>
    <i>
      <x v="48"/>
    </i>
    <i>
      <x v="50"/>
    </i>
    <i>
      <x v="52"/>
    </i>
    <i>
      <x v="53"/>
    </i>
    <i>
      <x v="55"/>
    </i>
    <i>
      <x v="56"/>
    </i>
    <i>
      <x v="58"/>
    </i>
    <i>
      <x v="60"/>
    </i>
    <i t="grand">
      <x/>
    </i>
  </rowItems>
  <colItems count="1">
    <i/>
  </colItems>
  <pageFields count="2">
    <pageField fld="6" hier="-1"/>
    <pageField fld="1" hier="-1"/>
  </pageFields>
  <dataFields count="1">
    <dataField name="Contagem de KM Rodados 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33C37E-255F-453A-A9FA-1964C5A1A01C}" name="Tabela6" displayName="Tabela6" ref="A1:N6443" totalsRowShown="0" headerRowDxfId="91" headerRowBorderDxfId="90" tableBorderDxfId="89" totalsRowBorderDxfId="88">
  <autoFilter ref="A1:N6443" xr:uid="{77370840-CECC-431C-8B67-382701C498AA}"/>
  <sortState ref="A2:N6443">
    <sortCondition ref="B1:B6443"/>
  </sortState>
  <tableColumns count="14">
    <tableColumn id="15" xr3:uid="{5FAC8FF0-8B6D-49ED-9B3B-75B6332BCA66}" name="CUPOM" dataDxfId="87" totalsRowDxfId="86"/>
    <tableColumn id="1" xr3:uid="{81257CBA-6CC0-4756-B53B-9CFCE68E14FB}" name="DATA" dataDxfId="85" totalsRowDxfId="84"/>
    <tableColumn id="2" xr3:uid="{DB5352B6-2D64-4B42-8674-6B2DB000D791}" name="PLACA" dataDxfId="83" totalsRowDxfId="82"/>
    <tableColumn id="3" xr3:uid="{6879962C-B6F2-4896-92E0-BEC11ABE3C53}" name="POSTO" dataDxfId="81" totalsRowDxfId="80"/>
    <tableColumn id="4" xr3:uid="{43201EB9-E67D-45EC-80DD-53DCB3EB19C5}" name="KM ATUAL" dataDxfId="79" totalsRowDxfId="78"/>
    <tableColumn id="5" xr3:uid="{A4D72DD6-D4FC-46B5-BEA4-31C3213BB7D1}" name="KM FINAL" dataDxfId="77" totalsRowDxfId="76"/>
    <tableColumn id="9" xr3:uid="{61ECEA1D-3E68-4C63-9932-50BD2CAB10D9}" name="DESCRIÇÃO DO ABASTECIMENTO" dataDxfId="75" totalsRowDxfId="74"/>
    <tableColumn id="6" xr3:uid="{D7DB5DD6-D708-4363-B039-F0DBF6EA90AA}" name="CONSUMO" dataDxfId="73" totalsRowDxfId="72"/>
    <tableColumn id="11" xr3:uid="{AA8419F3-C6AF-48F0-8462-07E04F011316}" name="DESCONTO" dataDxfId="71" totalsRowDxfId="70"/>
    <tableColumn id="13" xr3:uid="{6156324F-376E-4720-958E-A423AE6CC321}" name="VALOR UNIT" dataDxfId="69" totalsRowDxfId="68"/>
    <tableColumn id="7" xr3:uid="{8267FE31-FB77-4D6D-A2BC-B05C439FD992}" name="CUSTO TOTAL" dataDxfId="67" totalsRowDxfId="66">
      <calculatedColumnFormula>Tabela6[[#This Row],[CONSUMO]]*Tabela6[[#This Row],[VALOR UNIT]]-Tabela6[[#This Row],[DESCONTO]]</calculatedColumnFormula>
    </tableColumn>
    <tableColumn id="8" xr3:uid="{E2C01E60-A1AA-40D4-930E-1B1A34B782ED}" name="C/ DESC" dataDxfId="65" totalsRowDxfId="64">
      <calculatedColumnFormula>Tabela6[[#This Row],[CUSTO TOTAL]]/Tabela6[[#This Row],[CONSUMO]]</calculatedColumnFormula>
    </tableColumn>
    <tableColumn id="10" xr3:uid="{85BFB4EF-82F8-4D92-8A30-824668F6032A}" name="KM Rodados " dataDxfId="63">
      <calculatedColumnFormula array="1">SE</calculatedColumnFormula>
    </tableColumn>
    <tableColumn id="12" xr3:uid="{45B61203-FE93-4D25-8938-5206DF926565}" name="KM/Litro" dataDxfId="62">
      <calculatedColumnFormula>Tabela6[[#This Row],[KM Rodados ]]/Tabela6[[#This Row],[CONSUMO]]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1910B8E-E130-4407-96BE-B81D82B5ED3C}" name="Tabela16" displayName="Tabela16" ref="A1:G18776" totalsRowShown="0" headerRowDxfId="61" dataDxfId="60">
  <autoFilter ref="A1:G18776" xr:uid="{C1910B8E-E130-4407-96BE-B81D82B5ED3C}">
    <filterColumn colId="0">
      <filters>
        <dateGroupItem year="2023" month="4" dateTimeGrouping="month"/>
      </filters>
    </filterColumn>
  </autoFilter>
  <sortState ref="A2:G18776">
    <sortCondition ref="A1:A18776"/>
  </sortState>
  <tableColumns count="7">
    <tableColumn id="1" xr3:uid="{B0E171E8-CADF-4C58-A1A2-3D7DA258C8E0}" name="DATA" dataDxfId="59" totalsRowDxfId="58"/>
    <tableColumn id="2" xr3:uid="{4185AB01-EAD3-4514-844B-2A3B46AE67C1}" name="CATEGORIA" dataDxfId="57" totalsRowDxfId="56"/>
    <tableColumn id="3" xr3:uid="{9C1B9E3A-1600-4802-973A-F74C693E12B4}" name="DESCRIÇÃO DOS CUSTOS" dataDxfId="55" totalsRowDxfId="54"/>
    <tableColumn id="4" xr3:uid="{814685B5-94DC-4DD6-8767-4B706DFC1D40}" name="TIPO DE CUSTOS" dataDxfId="53" totalsRowDxfId="52"/>
    <tableColumn id="5" xr3:uid="{2A87FE60-1A79-45A2-946E-04CCD306F941}" name="VEÍCULO" dataDxfId="51" totalsRowDxfId="50"/>
    <tableColumn id="6" xr3:uid="{4CA13E0C-F472-4F64-897A-D674032FD3E3}" name="KM RODADO" dataDxfId="49" totalsRowDxfId="48"/>
    <tableColumn id="7" xr3:uid="{8E38B671-A643-40DD-B835-105B61793189}" name="CUSTO" dataDxfId="47" totalsRowDxfId="4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856F3F-D05D-4BEE-8A95-F30D97A70999}" name="Tabela162" displayName="Tabela162" ref="A1:W69" totalsRowShown="0" headerRowDxfId="45" dataDxfId="44">
  <autoFilter ref="A1:W69" xr:uid="{C1910B8E-E130-4407-96BE-B81D82B5ED3C}"/>
  <tableColumns count="23">
    <tableColumn id="2" xr3:uid="{9E4BA662-CC33-4D68-BAE5-1F733CEE571C}" name="AQUISIÇÃO" dataDxfId="43"/>
    <tableColumn id="8" xr3:uid="{87B4333E-0FB1-43B1-B2BD-4227F53EAB7C}" name="VEÍCULO" dataDxfId="42"/>
    <tableColumn id="10" xr3:uid="{B390C2BA-F033-4369-93D4-F1CE71E9F7DD}" name="QTDE ACUMULADA" dataDxfId="41"/>
    <tableColumn id="7" xr3:uid="{25B86D12-3E22-4643-9FA4-314A19C75350}" name="PRÓPRIO" dataDxfId="40"/>
    <tableColumn id="3" xr3:uid="{C034A907-E539-4B00-85DD-8A7889E6B829}" name="N° CHASSIS" dataDxfId="39"/>
    <tableColumn id="4" xr3:uid="{5A318E16-2529-4538-A8D5-03DE21DE2FC4}" name="RENAVAN" dataDxfId="38"/>
    <tableColumn id="5" xr3:uid="{0608AD5E-FE01-45CE-BCED-A0468B573ADF}" name="ANO FABRICAÇÃO" dataDxfId="37"/>
    <tableColumn id="1" xr3:uid="{B6B70874-E553-4034-9AE5-BC8BE570C215}" name="ANO MODELO" dataDxfId="36"/>
    <tableColumn id="11" xr3:uid="{C61D307D-CC17-4462-9A41-654723B0E10F}" name="LIMITE DE CARGA" dataDxfId="35"/>
    <tableColumn id="12" xr3:uid="{2D03B736-62DB-44D6-8C3A-BA78F2A39BA1}" name="MARCA" dataDxfId="34"/>
    <tableColumn id="13" xr3:uid="{DDE11367-7ACB-4409-8B42-0D9FEF0A84A0}" name="MODELO" dataDxfId="33"/>
    <tableColumn id="14" xr3:uid="{12BC957D-811A-45D6-A970-F924764592D0}" name="MOTORIZAÇÃO" dataDxfId="32"/>
    <tableColumn id="15" xr3:uid="{20FB7375-4B23-43C8-AF1D-35E4A4D6F28F}" name="TIPO" dataDxfId="31"/>
    <tableColumn id="16" xr3:uid="{72245C55-3EEF-4463-B5FA-D7E566B27420}" name="COR" dataDxfId="30"/>
    <tableColumn id="17" xr3:uid="{C7BDC313-3CD7-4BC7-A381-55171682377C}" name="COMBUSTIVEL" dataDxfId="29"/>
    <tableColumn id="23" xr3:uid="{0E730DC1-278A-4F05-B56D-DE3FF341D420}" name="ARLA?" dataDxfId="28"/>
    <tableColumn id="18" xr3:uid="{5ECF137F-EF2B-406C-8955-2741A17A929D}" name="CAPACIDADE DO TANQUE (L)" dataDxfId="27"/>
    <tableColumn id="6" xr3:uid="{1A234AD2-73AA-49D8-93D3-42A2FCB87BE8}" name="VALOR DO VEÍCULO" dataDxfId="26"/>
    <tableColumn id="9" xr3:uid="{439D00B3-F2B7-47A3-834B-992D9087FC9D}" name="% DE DEPRECIAÇÃO" dataDxfId="25"/>
    <tableColumn id="19" xr3:uid="{054E43BF-1EF2-4F8F-BA5E-D097FE40D631}" name="DEPRECIAÇÃO ANUAL" dataDxfId="24"/>
    <tableColumn id="20" xr3:uid="{282CB16F-A44B-46E6-890B-C85AC8B19F7E}" name="DIVISÃO" dataDxfId="23"/>
    <tableColumn id="21" xr3:uid="{18226B43-C0A1-4DB6-85B5-C8B51DF552E4}" name="Valor Mensal" dataDxfId="22">
      <calculatedColumnFormula>IFERROR((T2/U2),"")</calculatedColumnFormula>
    </tableColumn>
    <tableColumn id="22" xr3:uid="{F5286BF2-6AAF-4311-901F-9BFFCAE47AED}" name="TEMPO DE DEPRECIAÇÃO" dataDxfId="21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BAAA6F-1DCB-427A-9363-22B863DAC1EA}" name="Tabela1634" displayName="Tabela1634" ref="A1:C13" totalsRowShown="0" headerRowDxfId="20" dataDxfId="19">
  <autoFilter ref="A1:C13" xr:uid="{C1910B8E-E130-4407-96BE-B81D82B5ED3C}"/>
  <tableColumns count="3">
    <tableColumn id="2" xr3:uid="{59D8E066-D075-4649-8E37-25E7ADD5CFC7}" name="NOME DO MÊS" dataDxfId="18"/>
    <tableColumn id="3" xr3:uid="{5059B47B-7AE6-4EB7-A81E-43C453E12A8E}" name="NÚMERO DO MÊS" dataDxfId="17"/>
    <tableColumn id="4" xr3:uid="{034E92FB-0C52-4BF3-A4DC-CF945EDFC222}" name="OBJETIVO CUSTO/KM RODADO" dataDxfId="16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919083-A662-47B2-9B0F-88FD160B36F0}" name="Tabela4" displayName="Tabela4" ref="E1:F3" totalsRowShown="0">
  <tableColumns count="2">
    <tableColumn id="1" xr3:uid="{1C3C59D4-8806-41B9-BF8C-94579DC78DEA}" name="TIPO DE CUSTOS" dataDxfId="15"/>
    <tableColumn id="2" xr3:uid="{3A6FF611-9943-4D2A-A165-0ADB8FB7FDDD}" name="OBETIVO">
      <calculatedColumnFormula>100%-F1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AF90C7-5CC2-47D8-96D5-C73D16BB43E6}" name="Tabela163" displayName="Tabela163" ref="A1:C20" totalsRowShown="0" headerRowDxfId="14" dataDxfId="13">
  <autoFilter ref="A1:C20" xr:uid="{C1910B8E-E130-4407-96BE-B81D82B5ED3C}"/>
  <tableColumns count="3">
    <tableColumn id="2" xr3:uid="{F6B8918F-4926-4F84-8D46-20313B26DB3F}" name="CATEGORIA" dataDxfId="12"/>
    <tableColumn id="3" xr3:uid="{ACD150BB-5875-4456-A8F8-8F1585A8A6FC}" name="DESCRIÇÃO DOS CUSTOS" dataDxfId="11"/>
    <tableColumn id="4" xr3:uid="{A9D15CD8-202D-4713-89BB-833DC03A7141}" name="TIPO DE CUSTOS" dataDxfId="10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443653-75D8-4274-8A1E-551B727EB073}" name="Tabela8" displayName="Tabela8" ref="F1:F1048576" totalsRowShown="0" headerRowDxfId="9" dataDxfId="8">
  <autoFilter ref="F1:F1048576" xr:uid="{4D443653-75D8-4274-8A1E-551B727EB073}"/>
  <tableColumns count="1">
    <tableColumn id="1" xr3:uid="{55B1A8F0-3698-42D7-8F37-D984D5B6EA9A}" name="POSTOS " dataDxfId="7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A85436C-6905-4989-A77C-01C73C2D074F}" name="Tabela7" displayName="Tabela7" ref="I1:I1048576" totalsRowShown="0" headerRowDxfId="6" dataDxfId="4" headerRowBorderDxfId="5">
  <autoFilter ref="I1:I1048576" xr:uid="{1A85436C-6905-4989-A77C-01C73C2D074F}"/>
  <tableColumns count="1">
    <tableColumn id="1" xr3:uid="{EB81A08D-E8F9-4E5D-8E15-7C117871CF86}" name="DESCRIÇÃO DO ABASTECIMENTO" dataDxfId="3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2E84926-14C8-487D-825B-A77BCAEF6CAE}" name="Tabela88" displayName="Tabela88" ref="K1:K1048576" totalsRowShown="0" headerRowDxfId="2" dataDxfId="1">
  <autoFilter ref="K1:K1048576" xr:uid="{C2E84926-14C8-487D-825B-A77BCAEF6CAE}"/>
  <tableColumns count="1">
    <tableColumn id="1" xr3:uid="{FCCAF902-DF18-4499-816D-DAAA99D6A1AD}" name="POSTOS 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/>
      </a:spPr>
      <a:bodyPr vertOverflow="clip" horzOverflow="clip" rtlCol="0" anchor="t"/>
      <a:lstStyle>
        <a:defPPr algn="l">
          <a:defRPr sz="1100"/>
        </a:defPPr>
      </a:lstStyle>
      <a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..\..\05%20-%20RELAT&#211;RIO%20BI\GEST&#195;O%20OPERACIONAL%20DA%20FROTA.pbix" TargetMode="External"/><Relationship Id="rId1" Type="http://schemas.openxmlformats.org/officeDocument/2006/relationships/hyperlink" Target="..\..\05%20-%20RELAT&#211;RIO%20BI\GEST&#195;O%20OPERACIONAL%20DA%20FROTA.pbix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pageSetUpPr fitToPage="1"/>
  </sheetPr>
  <dimension ref="A1:BE25"/>
  <sheetViews>
    <sheetView showGridLines="0" zoomScaleNormal="100" workbookViewId="0">
      <selection activeCell="J27" sqref="J27"/>
    </sheetView>
  </sheetViews>
  <sheetFormatPr defaultColWidth="2.5703125" defaultRowHeight="12.75" x14ac:dyDescent="0.25"/>
  <cols>
    <col min="1" max="1" width="2.5703125" style="1"/>
    <col min="2" max="2" width="0.85546875" style="1" customWidth="1"/>
    <col min="3" max="17" width="2.5703125" style="1"/>
    <col min="18" max="18" width="3.42578125" style="1" customWidth="1"/>
    <col min="19" max="21" width="2.5703125" style="1"/>
    <col min="22" max="22" width="0.85546875" style="1" customWidth="1"/>
    <col min="23" max="39" width="2.5703125" style="1"/>
    <col min="40" max="40" width="0.85546875" style="1" customWidth="1"/>
    <col min="41" max="55" width="2.5703125" style="1"/>
    <col min="56" max="56" width="0.85546875" style="1" customWidth="1"/>
    <col min="57" max="16384" width="2.5703125" style="1"/>
  </cols>
  <sheetData>
    <row r="1" spans="1:57" ht="15" customHeight="1" thickBot="1" x14ac:dyDescent="0.3">
      <c r="A1" s="9"/>
      <c r="B1" s="9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</row>
    <row r="2" spans="1:57" ht="31.7" customHeight="1" thickBot="1" x14ac:dyDescent="0.3">
      <c r="A2" s="9"/>
      <c r="B2" s="138" t="s">
        <v>219</v>
      </c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1" t="s">
        <v>31</v>
      </c>
      <c r="AY2" s="132"/>
      <c r="AZ2" s="132"/>
      <c r="BA2" s="132"/>
      <c r="BB2" s="132"/>
      <c r="BC2" s="132"/>
      <c r="BD2" s="133"/>
      <c r="BE2" s="9"/>
    </row>
    <row r="3" spans="1:57" ht="4.9000000000000004" customHeight="1" x14ac:dyDescent="0.25">
      <c r="A3" s="9"/>
      <c r="BE3" s="9"/>
    </row>
    <row r="4" spans="1:57" x14ac:dyDescent="0.25">
      <c r="A4" s="9"/>
      <c r="C4" s="140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6"/>
      <c r="W4" s="13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23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5"/>
      <c r="BE4" s="9"/>
    </row>
    <row r="5" spans="1:57" x14ac:dyDescent="0.25">
      <c r="A5" s="9"/>
      <c r="C5" s="142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7"/>
      <c r="W5" s="16"/>
      <c r="AN5" s="23"/>
      <c r="BC5" s="17"/>
      <c r="BE5" s="9"/>
    </row>
    <row r="6" spans="1:57" x14ac:dyDescent="0.25">
      <c r="A6" s="9"/>
      <c r="C6" s="142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7"/>
      <c r="W6" s="16"/>
      <c r="AN6" s="23"/>
      <c r="BC6" s="17"/>
      <c r="BE6" s="9"/>
    </row>
    <row r="7" spans="1:57" x14ac:dyDescent="0.25">
      <c r="A7" s="9"/>
      <c r="C7" s="142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7"/>
      <c r="W7" s="16"/>
      <c r="AN7" s="23"/>
      <c r="BC7" s="17"/>
      <c r="BE7" s="9"/>
    </row>
    <row r="8" spans="1:57" x14ac:dyDescent="0.25">
      <c r="A8" s="9"/>
      <c r="C8" s="142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7"/>
      <c r="W8" s="16"/>
      <c r="AN8" s="23"/>
      <c r="BC8" s="17"/>
      <c r="BE8" s="9"/>
    </row>
    <row r="9" spans="1:57" x14ac:dyDescent="0.25">
      <c r="A9" s="9"/>
      <c r="C9" s="142"/>
      <c r="D9" s="143"/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7"/>
      <c r="W9" s="16"/>
      <c r="AN9" s="23"/>
      <c r="BC9" s="17"/>
      <c r="BE9" s="9"/>
    </row>
    <row r="10" spans="1:57" x14ac:dyDescent="0.25">
      <c r="A10" s="9"/>
      <c r="C10" s="142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7"/>
      <c r="W10" s="16"/>
      <c r="AN10" s="23"/>
      <c r="BC10" s="17"/>
      <c r="BE10" s="9"/>
    </row>
    <row r="11" spans="1:57" x14ac:dyDescent="0.25">
      <c r="A11" s="9"/>
      <c r="C11" s="142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7"/>
      <c r="W11" s="16"/>
      <c r="AN11" s="23"/>
      <c r="BC11" s="17"/>
      <c r="BE11" s="9"/>
    </row>
    <row r="12" spans="1:57" x14ac:dyDescent="0.25">
      <c r="A12" s="9"/>
      <c r="C12" s="142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7"/>
      <c r="W12" s="16"/>
      <c r="AN12" s="23"/>
      <c r="BC12" s="17"/>
      <c r="BE12" s="9"/>
    </row>
    <row r="13" spans="1:57" x14ac:dyDescent="0.25">
      <c r="A13" s="9"/>
      <c r="C13" s="142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7"/>
      <c r="W13" s="16"/>
      <c r="AN13" s="23"/>
      <c r="BC13" s="17"/>
      <c r="BE13" s="9"/>
    </row>
    <row r="14" spans="1:57" x14ac:dyDescent="0.25">
      <c r="A14" s="9"/>
      <c r="C14" s="144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8"/>
      <c r="W14" s="18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23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20"/>
      <c r="BE14" s="9"/>
    </row>
    <row r="15" spans="1:57" ht="20.25" x14ac:dyDescent="0.25">
      <c r="A15" s="9"/>
      <c r="C15" s="152" t="s">
        <v>0</v>
      </c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5"/>
      <c r="W15" s="152" t="s">
        <v>29</v>
      </c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53"/>
      <c r="AN15" s="24"/>
      <c r="AO15" s="136" t="s">
        <v>30</v>
      </c>
      <c r="AP15" s="137"/>
      <c r="AQ15" s="137"/>
      <c r="AR15" s="137"/>
      <c r="AS15" s="137"/>
      <c r="AT15" s="137"/>
      <c r="AU15" s="137"/>
      <c r="AV15" s="137"/>
      <c r="AW15" s="137"/>
      <c r="AX15" s="137"/>
      <c r="AY15" s="137"/>
      <c r="AZ15" s="137"/>
      <c r="BA15" s="137"/>
      <c r="BB15" s="137"/>
      <c r="BC15" s="137"/>
      <c r="BD15" s="4"/>
      <c r="BE15" s="9"/>
    </row>
    <row r="16" spans="1:57" ht="4.9000000000000004" customHeight="1" x14ac:dyDescent="0.25">
      <c r="A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5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5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4"/>
      <c r="BE16" s="9"/>
    </row>
    <row r="17" spans="1:57" ht="18" customHeight="1" x14ac:dyDescent="0.25">
      <c r="A17" s="9"/>
      <c r="C17" s="154" t="s">
        <v>57</v>
      </c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0" t="s">
        <v>1</v>
      </c>
      <c r="U17" s="151"/>
      <c r="V17" s="3"/>
      <c r="W17" s="134" t="s">
        <v>27</v>
      </c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50" t="s">
        <v>1</v>
      </c>
      <c r="AM17" s="151"/>
      <c r="AN17" s="25"/>
      <c r="AO17" s="134" t="s">
        <v>28</v>
      </c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  <c r="AZ17" s="135"/>
      <c r="BA17" s="135"/>
      <c r="BB17" s="150" t="s">
        <v>1</v>
      </c>
      <c r="BC17" s="151"/>
      <c r="BD17" s="4"/>
      <c r="BE17" s="9"/>
    </row>
    <row r="18" spans="1:57" ht="4.9000000000000004" customHeight="1" x14ac:dyDescent="0.25">
      <c r="A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7"/>
      <c r="T18" s="7"/>
      <c r="U18" s="7"/>
      <c r="V18" s="3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3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4"/>
      <c r="BE18" s="9"/>
    </row>
    <row r="19" spans="1:57" ht="18" customHeight="1" x14ac:dyDescent="0.25">
      <c r="A19" s="9"/>
      <c r="C19" s="154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0"/>
      <c r="U19" s="151"/>
      <c r="V19" s="3"/>
      <c r="W19" s="134" t="s">
        <v>224</v>
      </c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50" t="s">
        <v>1</v>
      </c>
      <c r="AM19" s="151"/>
      <c r="AN19" s="25"/>
      <c r="AO19" s="21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129"/>
      <c r="BC19" s="149"/>
      <c r="BD19" s="2"/>
      <c r="BE19" s="9"/>
    </row>
    <row r="20" spans="1:57" ht="4.9000000000000004" customHeight="1" x14ac:dyDescent="0.25">
      <c r="A20" s="9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7"/>
      <c r="T20" s="7"/>
      <c r="U20" s="7"/>
      <c r="V20" s="3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3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"/>
      <c r="BE20" s="9"/>
    </row>
    <row r="21" spans="1:57" ht="18" customHeight="1" x14ac:dyDescent="0.25">
      <c r="A21" s="9"/>
      <c r="C21" s="154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0"/>
      <c r="U21" s="151"/>
      <c r="W21" s="21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3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129"/>
      <c r="BC21" s="149"/>
      <c r="BE21" s="9"/>
    </row>
    <row r="22" spans="1:57" ht="4.9000000000000004" customHeight="1" x14ac:dyDescent="0.25">
      <c r="A22" s="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BE22" s="9"/>
    </row>
    <row r="23" spans="1:57" ht="18" customHeight="1" x14ac:dyDescent="0.25">
      <c r="A23" s="9"/>
      <c r="C23" s="154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0"/>
      <c r="T23" s="129"/>
      <c r="U23" s="149"/>
      <c r="W23" s="21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3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129"/>
      <c r="BC23" s="130"/>
      <c r="BE23" s="9"/>
    </row>
    <row r="24" spans="1:57" ht="4.9000000000000004" customHeight="1" x14ac:dyDescent="0.25">
      <c r="A24" s="9"/>
      <c r="BE24" s="9"/>
    </row>
    <row r="25" spans="1:57" ht="15" customHeight="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</row>
  </sheetData>
  <mergeCells count="25">
    <mergeCell ref="AL17:AM17"/>
    <mergeCell ref="W17:AK17"/>
    <mergeCell ref="I23:R23"/>
    <mergeCell ref="C23:H23"/>
    <mergeCell ref="T23:U23"/>
    <mergeCell ref="T21:U21"/>
    <mergeCell ref="T17:U17"/>
    <mergeCell ref="W19:AK19"/>
    <mergeCell ref="AL19:AM19"/>
    <mergeCell ref="BB23:BC23"/>
    <mergeCell ref="AX2:BD2"/>
    <mergeCell ref="AO17:BA17"/>
    <mergeCell ref="AO15:BC15"/>
    <mergeCell ref="B2:AW2"/>
    <mergeCell ref="C4:R14"/>
    <mergeCell ref="S4:U14"/>
    <mergeCell ref="BB21:BC21"/>
    <mergeCell ref="BB17:BC17"/>
    <mergeCell ref="BB19:BC19"/>
    <mergeCell ref="W15:AM15"/>
    <mergeCell ref="T19:U19"/>
    <mergeCell ref="C15:U15"/>
    <mergeCell ref="C21:S21"/>
    <mergeCell ref="C17:S17"/>
    <mergeCell ref="C19:S19"/>
  </mergeCells>
  <hyperlinks>
    <hyperlink ref="AO17:BA17" location="'CUSTO MOD'!A1" display="CUSTO DA M.O.D" xr:uid="{00000000-0004-0000-0000-000000000000}"/>
    <hyperlink ref="W17:AK17" location="'CUSTO DA FROTA'!A1" display="CUSTO DA FROTA" xr:uid="{00000000-0004-0000-0000-000001000000}"/>
    <hyperlink ref="C17:S17" r:id="rId1" display="POWER BI" xr:uid="{00000000-0004-0000-0000-000004000000}"/>
    <hyperlink ref="T17:U17" r:id="rId2" display="Æ" xr:uid="{00000000-0004-0000-0000-000005000000}"/>
    <hyperlink ref="AL17:AM17" location="'CUSTO DA FROTA'!A1" display="Æ" xr:uid="{00000000-0004-0000-0000-00000E000000}"/>
    <hyperlink ref="BB17:BC17" location="'CUSTO MOD'!A1" display="Æ" xr:uid="{00000000-0004-0000-0000-00000F000000}"/>
    <hyperlink ref="W19:AK19" location="'CUSTO DA FROTA'!A1" display="CUSTO DA FROTA" xr:uid="{18614E74-D70D-4ADC-A87B-35F0E67F311A}"/>
    <hyperlink ref="AL19:AM19" location="ABASTECIMENTOS!A1" display="Æ" xr:uid="{0BF8E654-5E1D-4FB9-B6AD-20B325E2E3EB}"/>
  </hyperlinks>
  <printOptions horizontalCentered="1"/>
  <pageMargins left="0.19685039370078741" right="0.19685039370078741" top="0.19685039370078741" bottom="0.19685039370078741" header="0.31496062992125984" footer="0.31496062992125984"/>
  <pageSetup paperSize="9" scale="87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8D00-B4B0-4F91-8BDF-DA92608DE24D}">
  <dimension ref="A1:C38"/>
  <sheetViews>
    <sheetView workbookViewId="0">
      <selection activeCell="I7" sqref="H7:I7"/>
    </sheetView>
  </sheetViews>
  <sheetFormatPr defaultRowHeight="15" x14ac:dyDescent="0.25"/>
  <cols>
    <col min="1" max="1" width="28.42578125" bestFit="1" customWidth="1"/>
    <col min="2" max="2" width="20.140625" bestFit="1" customWidth="1"/>
    <col min="3" max="258" width="10.7109375" bestFit="1" customWidth="1"/>
    <col min="259" max="259" width="6.5703125" bestFit="1" customWidth="1"/>
    <col min="260" max="260" width="10" bestFit="1" customWidth="1"/>
  </cols>
  <sheetData>
    <row r="1" spans="1:3" x14ac:dyDescent="0.25">
      <c r="A1" s="90" t="s">
        <v>52</v>
      </c>
      <c r="B1" t="s">
        <v>338</v>
      </c>
    </row>
    <row r="2" spans="1:3" x14ac:dyDescent="0.25">
      <c r="A2" s="90" t="s">
        <v>242</v>
      </c>
      <c r="B2" t="s">
        <v>328</v>
      </c>
    </row>
    <row r="4" spans="1:3" x14ac:dyDescent="0.25">
      <c r="A4" s="90" t="s">
        <v>325</v>
      </c>
      <c r="B4" t="s">
        <v>327</v>
      </c>
      <c r="C4" t="s">
        <v>327</v>
      </c>
    </row>
    <row r="5" spans="1:3" x14ac:dyDescent="0.25">
      <c r="A5" s="91" t="s">
        <v>68</v>
      </c>
      <c r="B5">
        <v>73731</v>
      </c>
    </row>
    <row r="6" spans="1:3" x14ac:dyDescent="0.25">
      <c r="A6" s="91" t="s">
        <v>43</v>
      </c>
      <c r="B6">
        <v>58170</v>
      </c>
    </row>
    <row r="7" spans="1:3" x14ac:dyDescent="0.25">
      <c r="A7" s="91" t="s">
        <v>8</v>
      </c>
      <c r="B7">
        <v>9277</v>
      </c>
    </row>
    <row r="8" spans="1:3" x14ac:dyDescent="0.25">
      <c r="A8" s="91" t="s">
        <v>9</v>
      </c>
      <c r="B8">
        <v>45878</v>
      </c>
    </row>
    <row r="9" spans="1:3" x14ac:dyDescent="0.25">
      <c r="A9" s="91" t="s">
        <v>42</v>
      </c>
      <c r="B9">
        <v>14017</v>
      </c>
    </row>
    <row r="10" spans="1:3" x14ac:dyDescent="0.25">
      <c r="A10" s="91" t="s">
        <v>222</v>
      </c>
      <c r="B10">
        <v>44915</v>
      </c>
    </row>
    <row r="11" spans="1:3" x14ac:dyDescent="0.25">
      <c r="A11" s="91" t="s">
        <v>67</v>
      </c>
      <c r="B11">
        <v>35570</v>
      </c>
    </row>
    <row r="12" spans="1:3" x14ac:dyDescent="0.25">
      <c r="A12" s="91" t="s">
        <v>22</v>
      </c>
      <c r="B12">
        <v>26472</v>
      </c>
    </row>
    <row r="13" spans="1:3" x14ac:dyDescent="0.25">
      <c r="A13" s="91" t="s">
        <v>39</v>
      </c>
      <c r="B13">
        <v>29862</v>
      </c>
    </row>
    <row r="14" spans="1:3" x14ac:dyDescent="0.25">
      <c r="A14" s="91" t="s">
        <v>70</v>
      </c>
      <c r="B14" t="e">
        <v>#NAME?</v>
      </c>
    </row>
    <row r="15" spans="1:3" x14ac:dyDescent="0.25">
      <c r="A15" s="91" t="s">
        <v>72</v>
      </c>
      <c r="B15">
        <v>-350566</v>
      </c>
    </row>
    <row r="16" spans="1:3" x14ac:dyDescent="0.25">
      <c r="A16" s="91" t="s">
        <v>73</v>
      </c>
      <c r="B16">
        <v>46389</v>
      </c>
    </row>
    <row r="17" spans="1:2" x14ac:dyDescent="0.25">
      <c r="A17" s="91" t="s">
        <v>71</v>
      </c>
      <c r="B17">
        <v>52027</v>
      </c>
    </row>
    <row r="18" spans="1:2" x14ac:dyDescent="0.25">
      <c r="A18" s="91" t="s">
        <v>64</v>
      </c>
      <c r="B18">
        <v>95660</v>
      </c>
    </row>
    <row r="19" spans="1:2" x14ac:dyDescent="0.25">
      <c r="A19" s="91" t="s">
        <v>21</v>
      </c>
      <c r="B19">
        <v>36154</v>
      </c>
    </row>
    <row r="20" spans="1:2" x14ac:dyDescent="0.25">
      <c r="A20" s="91" t="s">
        <v>41</v>
      </c>
      <c r="B20">
        <v>35492</v>
      </c>
    </row>
    <row r="21" spans="1:2" x14ac:dyDescent="0.25">
      <c r="A21" s="91" t="s">
        <v>10</v>
      </c>
      <c r="B21">
        <v>31649</v>
      </c>
    </row>
    <row r="22" spans="1:2" x14ac:dyDescent="0.25">
      <c r="A22" s="91" t="s">
        <v>11</v>
      </c>
      <c r="B22">
        <v>18260</v>
      </c>
    </row>
    <row r="23" spans="1:2" x14ac:dyDescent="0.25">
      <c r="A23" s="91" t="s">
        <v>301</v>
      </c>
      <c r="B23">
        <v>16261</v>
      </c>
    </row>
    <row r="24" spans="1:2" x14ac:dyDescent="0.25">
      <c r="A24" s="91" t="s">
        <v>206</v>
      </c>
      <c r="B24">
        <v>63133</v>
      </c>
    </row>
    <row r="25" spans="1:2" x14ac:dyDescent="0.25">
      <c r="A25" s="91" t="s">
        <v>12</v>
      </c>
      <c r="B25">
        <v>18193</v>
      </c>
    </row>
    <row r="26" spans="1:2" x14ac:dyDescent="0.25">
      <c r="A26" s="91" t="s">
        <v>13</v>
      </c>
      <c r="B26">
        <v>69131</v>
      </c>
    </row>
    <row r="27" spans="1:2" x14ac:dyDescent="0.25">
      <c r="A27" s="91" t="s">
        <v>15</v>
      </c>
      <c r="B27">
        <v>49436</v>
      </c>
    </row>
    <row r="28" spans="1:2" x14ac:dyDescent="0.25">
      <c r="A28" s="91" t="s">
        <v>16</v>
      </c>
      <c r="B28">
        <v>14413</v>
      </c>
    </row>
    <row r="29" spans="1:2" x14ac:dyDescent="0.25">
      <c r="A29" s="91" t="s">
        <v>17</v>
      </c>
      <c r="B29">
        <v>38271</v>
      </c>
    </row>
    <row r="30" spans="1:2" x14ac:dyDescent="0.25">
      <c r="A30" s="91" t="s">
        <v>18</v>
      </c>
      <c r="B30">
        <v>14528</v>
      </c>
    </row>
    <row r="31" spans="1:2" x14ac:dyDescent="0.25">
      <c r="A31" s="91" t="s">
        <v>19</v>
      </c>
      <c r="B31">
        <v>45977</v>
      </c>
    </row>
    <row r="32" spans="1:2" x14ac:dyDescent="0.25">
      <c r="A32" s="91" t="s">
        <v>20</v>
      </c>
      <c r="B32">
        <v>52544</v>
      </c>
    </row>
    <row r="33" spans="1:2" x14ac:dyDescent="0.25">
      <c r="A33" s="91" t="s">
        <v>23</v>
      </c>
      <c r="B33">
        <v>49762</v>
      </c>
    </row>
    <row r="34" spans="1:2" x14ac:dyDescent="0.25">
      <c r="A34" s="91" t="s">
        <v>40</v>
      </c>
      <c r="B34" t="e">
        <v>#REF!</v>
      </c>
    </row>
    <row r="35" spans="1:2" x14ac:dyDescent="0.25">
      <c r="A35" s="91" t="s">
        <v>74</v>
      </c>
      <c r="B35">
        <v>56826</v>
      </c>
    </row>
    <row r="36" spans="1:2" x14ac:dyDescent="0.25">
      <c r="A36" s="91" t="s">
        <v>315</v>
      </c>
      <c r="B36">
        <v>1353</v>
      </c>
    </row>
    <row r="37" spans="1:2" x14ac:dyDescent="0.25">
      <c r="A37" s="91" t="s">
        <v>339</v>
      </c>
      <c r="B37">
        <v>875576</v>
      </c>
    </row>
    <row r="38" spans="1:2" x14ac:dyDescent="0.25">
      <c r="A38" s="91" t="s">
        <v>326</v>
      </c>
      <c r="B38" t="e"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83F9-8C4D-40D1-AEF2-F8C2BEC4609B}">
  <sheetPr codeName="Planilha2"/>
  <dimension ref="A1:Z6443"/>
  <sheetViews>
    <sheetView showGridLines="0" tabSelected="1" zoomScale="130" zoomScaleNormal="130" workbookViewId="0">
      <pane ySplit="1" topLeftCell="A6329" activePane="bottomLeft" state="frozen"/>
      <selection pane="bottomLeft" activeCell="D6333" sqref="D6333"/>
    </sheetView>
  </sheetViews>
  <sheetFormatPr defaultRowHeight="15" x14ac:dyDescent="0.25"/>
  <cols>
    <col min="1" max="1" width="21.7109375" style="47" bestFit="1" customWidth="1"/>
    <col min="2" max="2" width="12.85546875" style="49" customWidth="1"/>
    <col min="3" max="3" width="13.5703125" style="49" bestFit="1" customWidth="1"/>
    <col min="4" max="4" width="38.7109375" style="49" customWidth="1"/>
    <col min="5" max="5" width="13.7109375" style="47" customWidth="1"/>
    <col min="6" max="6" width="14.140625" style="49" hidden="1" customWidth="1"/>
    <col min="7" max="7" width="25.85546875" style="49" customWidth="1"/>
    <col min="8" max="8" width="12.42578125" style="51" customWidth="1"/>
    <col min="9" max="9" width="13.42578125" style="49" customWidth="1"/>
    <col min="10" max="10" width="12.7109375" style="51" customWidth="1"/>
    <col min="11" max="11" width="14.28515625" style="88" customWidth="1"/>
    <col min="12" max="12" width="13.42578125" style="47" customWidth="1"/>
    <col min="13" max="13" width="15.5703125" style="51" bestFit="1" customWidth="1"/>
    <col min="14" max="14" width="12.7109375" style="51" bestFit="1" customWidth="1"/>
  </cols>
  <sheetData>
    <row r="1" spans="1:14" s="71" customFormat="1" ht="22.5" customHeight="1" x14ac:dyDescent="0.2">
      <c r="A1" s="47" t="s">
        <v>321</v>
      </c>
      <c r="B1" s="68" t="s">
        <v>52</v>
      </c>
      <c r="C1" s="68" t="s">
        <v>225</v>
      </c>
      <c r="D1" s="68" t="s">
        <v>226</v>
      </c>
      <c r="E1" s="68" t="s">
        <v>227</v>
      </c>
      <c r="F1" s="46" t="s">
        <v>228</v>
      </c>
      <c r="G1" s="69" t="s">
        <v>242</v>
      </c>
      <c r="H1" s="69" t="s">
        <v>229</v>
      </c>
      <c r="I1" s="68" t="s">
        <v>230</v>
      </c>
      <c r="J1" s="69" t="s">
        <v>231</v>
      </c>
      <c r="K1" s="87" t="s">
        <v>243</v>
      </c>
      <c r="L1" s="68" t="s">
        <v>232</v>
      </c>
      <c r="M1" s="70" t="s">
        <v>298</v>
      </c>
      <c r="N1" s="70" t="s">
        <v>297</v>
      </c>
    </row>
    <row r="2" spans="1:14" x14ac:dyDescent="0.25">
      <c r="A2" s="47">
        <v>113597</v>
      </c>
      <c r="B2" s="78">
        <v>44907</v>
      </c>
      <c r="C2" s="47" t="s">
        <v>39</v>
      </c>
      <c r="D2" s="49" t="s">
        <v>253</v>
      </c>
      <c r="E2" s="47">
        <v>114208</v>
      </c>
      <c r="G2" s="50" t="s">
        <v>89</v>
      </c>
      <c r="H2" s="51">
        <v>84.19</v>
      </c>
      <c r="J2" s="51">
        <v>6.09</v>
      </c>
      <c r="K2" s="74">
        <f>Tabela6[[#This Row],[CONSUMO]]*Tabela6[[#This Row],[VALOR UNIT]]-Tabela6[[#This Row],[DESCONTO]]</f>
        <v>512.71709999999996</v>
      </c>
      <c r="L2" s="53">
        <f>Tabela6[[#This Row],[CUSTO TOTAL]]/Tabela6[[#This Row],[CONSUMO]]</f>
        <v>6.09</v>
      </c>
      <c r="M2" s="50" t="e">
        <f>Tabela6[[#This Row],[KM ATUAL]]-#REF!</f>
        <v>#REF!</v>
      </c>
      <c r="N2" s="51" t="e">
        <f>Tabela6[[#This Row],[KM Rodados ]]/Tabela6[[#This Row],[CONSUMO]]</f>
        <v>#REF!</v>
      </c>
    </row>
    <row r="3" spans="1:14" x14ac:dyDescent="0.25">
      <c r="A3" s="47">
        <v>155717</v>
      </c>
      <c r="B3" s="78">
        <v>44928</v>
      </c>
      <c r="C3" s="47" t="s">
        <v>72</v>
      </c>
      <c r="D3" s="49" t="s">
        <v>262</v>
      </c>
      <c r="E3" s="47">
        <v>363740</v>
      </c>
      <c r="G3" s="50" t="s">
        <v>89</v>
      </c>
      <c r="H3" s="51">
        <v>31.25</v>
      </c>
      <c r="J3" s="51">
        <v>6.59</v>
      </c>
      <c r="K3" s="51">
        <f>Tabela6[[#This Row],[CONSUMO]]*Tabela6[[#This Row],[VALOR UNIT]]-Tabela6[[#This Row],[DESCONTO]]</f>
        <v>205.9375</v>
      </c>
      <c r="L3" s="53">
        <f>Tabela6[[#This Row],[CUSTO TOTAL]]/Tabela6[[#This Row],[CONSUMO]]</f>
        <v>6.59</v>
      </c>
      <c r="M3" s="47"/>
    </row>
    <row r="4" spans="1:14" x14ac:dyDescent="0.25">
      <c r="A4" s="47">
        <v>27201</v>
      </c>
      <c r="B4" s="78">
        <v>44929</v>
      </c>
      <c r="C4" s="47" t="s">
        <v>68</v>
      </c>
      <c r="D4" s="49" t="s">
        <v>263</v>
      </c>
      <c r="E4" s="47">
        <v>850567</v>
      </c>
      <c r="G4" s="50" t="s">
        <v>89</v>
      </c>
      <c r="H4" s="51">
        <v>465.46100000000001</v>
      </c>
      <c r="I4" s="49">
        <v>46.55</v>
      </c>
      <c r="J4" s="51">
        <v>6.36</v>
      </c>
      <c r="K4" s="51">
        <f>Tabela6[[#This Row],[CONSUMO]]*Tabela6[[#This Row],[VALOR UNIT]]-Tabela6[[#This Row],[DESCONTO]]</f>
        <v>2913.7819600000003</v>
      </c>
      <c r="L4" s="53">
        <f>Tabela6[[#This Row],[CUSTO TOTAL]]/Tabela6[[#This Row],[CONSUMO]]</f>
        <v>6.2599916212099407</v>
      </c>
      <c r="M4" s="50"/>
    </row>
    <row r="5" spans="1:14" x14ac:dyDescent="0.25">
      <c r="A5" s="47">
        <v>246114</v>
      </c>
      <c r="B5" s="78">
        <v>44929</v>
      </c>
      <c r="C5" s="47" t="s">
        <v>8</v>
      </c>
      <c r="D5" s="49" t="s">
        <v>270</v>
      </c>
      <c r="E5" s="47">
        <v>866635</v>
      </c>
      <c r="G5" s="50" t="s">
        <v>89</v>
      </c>
      <c r="H5" s="51">
        <v>100.02</v>
      </c>
      <c r="J5" s="51">
        <v>6.19</v>
      </c>
      <c r="K5" s="51">
        <f>Tabela6[[#This Row],[CONSUMO]]*Tabela6[[#This Row],[VALOR UNIT]]-Tabela6[[#This Row],[DESCONTO]]</f>
        <v>619.12379999999996</v>
      </c>
      <c r="L5" s="53">
        <f>Tabela6[[#This Row],[CUSTO TOTAL]]/Tabela6[[#This Row],[CONSUMO]]</f>
        <v>6.1899999999999995</v>
      </c>
      <c r="M5" s="47"/>
    </row>
    <row r="6" spans="1:14" x14ac:dyDescent="0.25">
      <c r="A6" s="47">
        <v>511532</v>
      </c>
      <c r="B6" s="78">
        <v>44929</v>
      </c>
      <c r="C6" s="47" t="s">
        <v>9</v>
      </c>
      <c r="D6" s="49" t="s">
        <v>271</v>
      </c>
      <c r="E6" s="47">
        <v>582523</v>
      </c>
      <c r="G6" s="50" t="s">
        <v>89</v>
      </c>
      <c r="H6" s="51">
        <v>126.39</v>
      </c>
      <c r="J6" s="51">
        <v>6.09</v>
      </c>
      <c r="K6" s="51">
        <f>Tabela6[[#This Row],[CONSUMO]]*Tabela6[[#This Row],[VALOR UNIT]]-Tabela6[[#This Row],[DESCONTO]]</f>
        <v>769.71510000000001</v>
      </c>
      <c r="L6" s="53">
        <f>Tabela6[[#This Row],[CUSTO TOTAL]]/Tabela6[[#This Row],[CONSUMO]]</f>
        <v>6.09</v>
      </c>
      <c r="M6" s="50"/>
    </row>
    <row r="7" spans="1:14" x14ac:dyDescent="0.25">
      <c r="A7" s="47">
        <v>155742</v>
      </c>
      <c r="B7" s="78">
        <v>44929</v>
      </c>
      <c r="C7" s="47" t="s">
        <v>22</v>
      </c>
      <c r="D7" s="49" t="s">
        <v>262</v>
      </c>
      <c r="E7" s="47">
        <v>313701</v>
      </c>
      <c r="G7" s="50" t="s">
        <v>89</v>
      </c>
      <c r="H7" s="51">
        <v>66.56</v>
      </c>
      <c r="J7" s="51">
        <v>6.29</v>
      </c>
      <c r="K7" s="74">
        <f>Tabela6[[#This Row],[CONSUMO]]*Tabela6[[#This Row],[VALOR UNIT]]-Tabela6[[#This Row],[DESCONTO]]</f>
        <v>418.66239999999999</v>
      </c>
      <c r="L7" s="53">
        <f>Tabela6[[#This Row],[CUSTO TOTAL]]/Tabela6[[#This Row],[CONSUMO]]</f>
        <v>6.29</v>
      </c>
      <c r="M7" s="50"/>
    </row>
    <row r="8" spans="1:14" x14ac:dyDescent="0.25">
      <c r="A8" s="47">
        <v>216808</v>
      </c>
      <c r="B8" s="78">
        <v>44929</v>
      </c>
      <c r="C8" s="47" t="s">
        <v>40</v>
      </c>
      <c r="D8" s="49" t="s">
        <v>263</v>
      </c>
      <c r="E8" s="47">
        <v>115217</v>
      </c>
      <c r="G8" s="50" t="s">
        <v>244</v>
      </c>
      <c r="H8" s="51">
        <v>16.850000000000001</v>
      </c>
      <c r="J8" s="51">
        <v>4.99</v>
      </c>
      <c r="K8" s="74">
        <f>Tabela6[[#This Row],[CONSUMO]]*Tabela6[[#This Row],[VALOR UNIT]]-Tabela6[[#This Row],[DESCONTO]]</f>
        <v>84.081500000000005</v>
      </c>
      <c r="L8" s="53">
        <f>Tabela6[[#This Row],[CUSTO TOTAL]]/Tabela6[[#This Row],[CONSUMO]]</f>
        <v>4.99</v>
      </c>
      <c r="M8" s="50"/>
    </row>
    <row r="9" spans="1:14" x14ac:dyDescent="0.25">
      <c r="A9" s="47">
        <v>156046</v>
      </c>
      <c r="B9" s="78">
        <v>44930</v>
      </c>
      <c r="C9" s="47" t="s">
        <v>203</v>
      </c>
      <c r="D9" s="49" t="s">
        <v>262</v>
      </c>
      <c r="E9" s="47">
        <v>72738</v>
      </c>
      <c r="G9" s="50" t="s">
        <v>244</v>
      </c>
      <c r="H9" s="51">
        <v>49.04</v>
      </c>
      <c r="J9" s="51">
        <v>4.99</v>
      </c>
      <c r="K9" s="51">
        <f>Tabela6[[#This Row],[CONSUMO]]*Tabela6[[#This Row],[VALOR UNIT]]-Tabela6[[#This Row],[DESCONTO]]</f>
        <v>244.70959999999999</v>
      </c>
      <c r="L9" s="53">
        <f>Tabela6[[#This Row],[CUSTO TOTAL]]/Tabela6[[#This Row],[CONSUMO]]</f>
        <v>4.99</v>
      </c>
      <c r="M9" s="47"/>
    </row>
    <row r="10" spans="1:14" x14ac:dyDescent="0.25">
      <c r="A10" s="47">
        <v>364060</v>
      </c>
      <c r="B10" s="78">
        <v>44930</v>
      </c>
      <c r="C10" s="47" t="s">
        <v>72</v>
      </c>
      <c r="D10" s="49" t="s">
        <v>276</v>
      </c>
      <c r="E10" s="47">
        <v>434347</v>
      </c>
      <c r="G10" s="50" t="s">
        <v>89</v>
      </c>
      <c r="H10" s="51">
        <v>53.53</v>
      </c>
      <c r="J10" s="51">
        <v>6.09</v>
      </c>
      <c r="K10" s="74">
        <f>Tabela6[[#This Row],[CONSUMO]]*Tabela6[[#This Row],[VALOR UNIT]]-Tabela6[[#This Row],[DESCONTO]]</f>
        <v>325.99770000000001</v>
      </c>
      <c r="L10" s="53">
        <f>Tabela6[[#This Row],[CUSTO TOTAL]]/Tabela6[[#This Row],[CONSUMO]]</f>
        <v>6.09</v>
      </c>
      <c r="M10" s="50" t="e">
        <f>Tabela6[[#This Row],[KM ATUAL]]-#REF!</f>
        <v>#REF!</v>
      </c>
      <c r="N10" s="51" t="e">
        <f>Tabela6[[#This Row],[KM Rodados ]]/Tabela6[[#This Row],[CONSUMO]]</f>
        <v>#REF!</v>
      </c>
    </row>
    <row r="11" spans="1:14" x14ac:dyDescent="0.25">
      <c r="A11" s="47">
        <v>270150</v>
      </c>
      <c r="B11" s="78">
        <v>44930</v>
      </c>
      <c r="C11" s="47" t="s">
        <v>206</v>
      </c>
      <c r="D11" s="49" t="s">
        <v>253</v>
      </c>
      <c r="E11" s="47">
        <v>906556</v>
      </c>
      <c r="G11" s="50" t="s">
        <v>241</v>
      </c>
      <c r="H11" s="51">
        <v>36.954999999999998</v>
      </c>
      <c r="J11" s="51">
        <v>4.99</v>
      </c>
      <c r="K11" s="51">
        <f>Tabela6[[#This Row],[CONSUMO]]*Tabela6[[#This Row],[VALOR UNIT]]-Tabela6[[#This Row],[DESCONTO]]</f>
        <v>184.40545</v>
      </c>
      <c r="L11" s="53">
        <f>Tabela6[[#This Row],[CUSTO TOTAL]]/Tabela6[[#This Row],[CONSUMO]]</f>
        <v>4.99</v>
      </c>
      <c r="M11" s="53"/>
      <c r="N11"/>
    </row>
    <row r="12" spans="1:14" x14ac:dyDescent="0.25">
      <c r="A12" s="47">
        <v>2770150</v>
      </c>
      <c r="B12" s="78">
        <v>44930</v>
      </c>
      <c r="C12" s="47" t="s">
        <v>206</v>
      </c>
      <c r="D12" s="49" t="s">
        <v>253</v>
      </c>
      <c r="E12" s="47">
        <v>906558</v>
      </c>
      <c r="G12" s="50" t="s">
        <v>241</v>
      </c>
      <c r="H12" s="51">
        <v>36.954999999999998</v>
      </c>
      <c r="J12" s="51">
        <v>4.99</v>
      </c>
      <c r="K12" s="51">
        <f>Tabela6[[#This Row],[CONSUMO]]*Tabela6[[#This Row],[VALOR UNIT]]-Tabela6[[#This Row],[DESCONTO]]</f>
        <v>184.40545</v>
      </c>
      <c r="L12" s="53">
        <f>Tabela6[[#This Row],[CUSTO TOTAL]]/Tabela6[[#This Row],[CONSUMO]]</f>
        <v>4.99</v>
      </c>
      <c r="M12" s="53"/>
      <c r="N12" s="49"/>
    </row>
    <row r="13" spans="1:14" x14ac:dyDescent="0.25">
      <c r="A13" s="47">
        <v>564005</v>
      </c>
      <c r="B13" s="78">
        <v>44930</v>
      </c>
      <c r="C13" s="47" t="s">
        <v>13</v>
      </c>
      <c r="D13" s="49" t="s">
        <v>250</v>
      </c>
      <c r="E13" s="47">
        <v>584785</v>
      </c>
      <c r="G13" s="50" t="s">
        <v>89</v>
      </c>
      <c r="H13" s="51">
        <v>126</v>
      </c>
      <c r="J13" s="51">
        <v>6.19</v>
      </c>
      <c r="K13" s="51">
        <f>Tabela6[[#This Row],[CONSUMO]]*Tabela6[[#This Row],[VALOR UNIT]]-Tabela6[[#This Row],[DESCONTO]]</f>
        <v>779.94</v>
      </c>
      <c r="L13" s="53">
        <f>Tabela6[[#This Row],[CUSTO TOTAL]]/Tabela6[[#This Row],[CONSUMO]]</f>
        <v>6.19</v>
      </c>
      <c r="M13" s="50"/>
    </row>
    <row r="14" spans="1:14" x14ac:dyDescent="0.25">
      <c r="A14" s="47" t="s">
        <v>314</v>
      </c>
      <c r="B14" s="78">
        <v>44930</v>
      </c>
      <c r="C14" s="47" t="s">
        <v>13</v>
      </c>
      <c r="E14" s="47">
        <v>584907</v>
      </c>
      <c r="G14" s="50" t="s">
        <v>89</v>
      </c>
      <c r="H14" s="51">
        <v>24.5</v>
      </c>
      <c r="K14" s="52">
        <f>Tabela6[[#This Row],[CONSUMO]]*Tabela6[[#This Row],[VALOR UNIT]]-Tabela6[[#This Row],[DESCONTO]]</f>
        <v>0</v>
      </c>
      <c r="L14" s="53">
        <f>Tabela6[[#This Row],[CUSTO TOTAL]]/Tabela6[[#This Row],[CONSUMO]]</f>
        <v>0</v>
      </c>
      <c r="M14" s="50">
        <f>Tabela6[[#This Row],[KM ATUAL]]-E10</f>
        <v>150560</v>
      </c>
      <c r="N14" s="51">
        <f>Tabela6[[#This Row],[KM Rodados ]]/Tabela6[[#This Row],[CONSUMO]]</f>
        <v>6145.3061224489793</v>
      </c>
    </row>
    <row r="15" spans="1:14" x14ac:dyDescent="0.25">
      <c r="A15" s="47">
        <v>581186</v>
      </c>
      <c r="B15" s="78">
        <v>44930</v>
      </c>
      <c r="C15" s="47" t="s">
        <v>13</v>
      </c>
      <c r="D15" s="49" t="s">
        <v>264</v>
      </c>
      <c r="E15" s="47">
        <v>585100</v>
      </c>
      <c r="G15" s="50" t="s">
        <v>89</v>
      </c>
      <c r="H15" s="51">
        <v>40.268000000000001</v>
      </c>
      <c r="J15" s="51">
        <v>6.4</v>
      </c>
      <c r="K15" s="51">
        <f>Tabela6[[#This Row],[CONSUMO]]*Tabela6[[#This Row],[VALOR UNIT]]-Tabela6[[#This Row],[DESCONTO]]</f>
        <v>257.71520000000004</v>
      </c>
      <c r="L15" s="53">
        <f>Tabela6[[#This Row],[CUSTO TOTAL]]/Tabela6[[#This Row],[CONSUMO]]</f>
        <v>6.4000000000000012</v>
      </c>
      <c r="M15" s="50">
        <f>Tabela6[[#This Row],[KM ATUAL]]-E14</f>
        <v>193</v>
      </c>
      <c r="N15" s="51">
        <f>Tabela6[[#This Row],[KM Rodados ]]/Tabela6[[#This Row],[CONSUMO]]</f>
        <v>4.7928876527267308</v>
      </c>
    </row>
    <row r="16" spans="1:14" x14ac:dyDescent="0.25">
      <c r="A16" s="47">
        <v>269983</v>
      </c>
      <c r="B16" s="78">
        <v>44930</v>
      </c>
      <c r="C16" s="47" t="s">
        <v>15</v>
      </c>
      <c r="D16" s="49" t="s">
        <v>253</v>
      </c>
      <c r="E16" s="47">
        <v>340820</v>
      </c>
      <c r="G16" s="50" t="s">
        <v>89</v>
      </c>
      <c r="H16" s="51">
        <v>85.49</v>
      </c>
      <c r="I16" s="49">
        <v>25.65</v>
      </c>
      <c r="J16" s="51">
        <v>6.89</v>
      </c>
      <c r="K16" s="51">
        <f>Tabela6[[#This Row],[CONSUMO]]*Tabela6[[#This Row],[VALOR UNIT]]-Tabela6[[#This Row],[DESCONTO]]</f>
        <v>563.37609999999995</v>
      </c>
      <c r="L16" s="53">
        <f>Tabela6[[#This Row],[CUSTO TOTAL]]/Tabela6[[#This Row],[CONSUMO]]</f>
        <v>6.5899649081763947</v>
      </c>
      <c r="M16" s="50"/>
    </row>
    <row r="17" spans="1:14" x14ac:dyDescent="0.25">
      <c r="A17" s="47">
        <v>246448</v>
      </c>
      <c r="B17" s="78">
        <v>44931</v>
      </c>
      <c r="C17" s="47" t="s">
        <v>8</v>
      </c>
      <c r="D17" s="49" t="s">
        <v>270</v>
      </c>
      <c r="E17" s="47">
        <v>866748</v>
      </c>
      <c r="G17" s="50" t="s">
        <v>89</v>
      </c>
      <c r="H17" s="51">
        <v>35</v>
      </c>
      <c r="J17" s="51">
        <v>6.19</v>
      </c>
      <c r="K17" s="51">
        <f>Tabela6[[#This Row],[CONSUMO]]*Tabela6[[#This Row],[VALOR UNIT]]-Tabela6[[#This Row],[DESCONTO]]</f>
        <v>216.65</v>
      </c>
      <c r="L17" s="53">
        <f>Tabela6[[#This Row],[CUSTO TOTAL]]/Tabela6[[#This Row],[CONSUMO]]</f>
        <v>6.19</v>
      </c>
      <c r="M17" s="50">
        <f>Tabela6[[#This Row],[KM ATUAL]]-E4</f>
        <v>16181</v>
      </c>
      <c r="N17" s="51">
        <f>Tabela6[[#This Row],[KM Rodados ]]/Tabela6[[#This Row],[CONSUMO]]</f>
        <v>462.31428571428569</v>
      </c>
    </row>
    <row r="18" spans="1:14" x14ac:dyDescent="0.25">
      <c r="A18" s="47">
        <v>270553</v>
      </c>
      <c r="B18" s="78">
        <v>44931</v>
      </c>
      <c r="C18" s="47" t="s">
        <v>41</v>
      </c>
      <c r="D18" s="49" t="s">
        <v>253</v>
      </c>
      <c r="E18" s="47">
        <v>642015</v>
      </c>
      <c r="G18" s="50" t="s">
        <v>89</v>
      </c>
      <c r="H18" s="51">
        <v>86.63</v>
      </c>
      <c r="I18" s="49">
        <v>25.99</v>
      </c>
      <c r="J18" s="51">
        <v>6.89</v>
      </c>
      <c r="K18" s="51">
        <f>Tabela6[[#This Row],[CONSUMO]]*Tabela6[[#This Row],[VALOR UNIT]]-Tabela6[[#This Row],[DESCONTO]]</f>
        <v>570.89069999999992</v>
      </c>
      <c r="L18" s="53">
        <f>Tabela6[[#This Row],[CUSTO TOTAL]]/Tabela6[[#This Row],[CONSUMO]]</f>
        <v>6.589988456654738</v>
      </c>
      <c r="M18" s="50"/>
    </row>
    <row r="19" spans="1:14" x14ac:dyDescent="0.25">
      <c r="A19" s="47">
        <v>217277</v>
      </c>
      <c r="B19" s="78">
        <v>44931</v>
      </c>
      <c r="C19" s="47" t="s">
        <v>206</v>
      </c>
      <c r="D19" s="49" t="s">
        <v>263</v>
      </c>
      <c r="E19" s="47">
        <v>906761</v>
      </c>
      <c r="G19" s="50" t="s">
        <v>89</v>
      </c>
      <c r="H19" s="51">
        <v>531.45000000000005</v>
      </c>
      <c r="I19" s="49">
        <v>53.15</v>
      </c>
      <c r="J19" s="51">
        <v>6.36</v>
      </c>
      <c r="K19" s="51">
        <f>Tabela6[[#This Row],[CONSUMO]]*Tabela6[[#This Row],[VALOR UNIT]]-Tabela6[[#This Row],[DESCONTO]]</f>
        <v>3326.8720000000003</v>
      </c>
      <c r="L19" s="53">
        <f>Tabela6[[#This Row],[CUSTO TOTAL]]/Tabela6[[#This Row],[CONSUMO]]</f>
        <v>6.2599905917772132</v>
      </c>
      <c r="M19" s="50"/>
    </row>
    <row r="20" spans="1:14" x14ac:dyDescent="0.25">
      <c r="A20" s="47">
        <v>156080</v>
      </c>
      <c r="B20" s="78">
        <v>44931</v>
      </c>
      <c r="C20" s="47" t="s">
        <v>20</v>
      </c>
      <c r="D20" s="49" t="s">
        <v>262</v>
      </c>
      <c r="E20" s="47">
        <v>223863</v>
      </c>
      <c r="G20" s="50" t="s">
        <v>89</v>
      </c>
      <c r="H20" s="51">
        <v>64.069999999999993</v>
      </c>
      <c r="J20" s="51">
        <v>6.29</v>
      </c>
      <c r="K20" s="51">
        <f>Tabela6[[#This Row],[CONSUMO]]*Tabela6[[#This Row],[VALOR UNIT]]-Tabela6[[#This Row],[DESCONTO]]</f>
        <v>403.00029999999998</v>
      </c>
      <c r="L20" s="53">
        <f>Tabela6[[#This Row],[CUSTO TOTAL]]/Tabela6[[#This Row],[CONSUMO]]</f>
        <v>6.29</v>
      </c>
      <c r="M20" s="50"/>
    </row>
    <row r="21" spans="1:14" x14ac:dyDescent="0.25">
      <c r="A21" s="47">
        <v>270901</v>
      </c>
      <c r="B21" s="78">
        <v>44931</v>
      </c>
      <c r="C21" s="47" t="s">
        <v>23</v>
      </c>
      <c r="D21" s="47" t="s">
        <v>249</v>
      </c>
      <c r="E21" s="47">
        <v>200472</v>
      </c>
      <c r="G21" s="50" t="s">
        <v>89</v>
      </c>
      <c r="H21" s="51">
        <v>150</v>
      </c>
      <c r="I21" s="49">
        <v>75</v>
      </c>
      <c r="J21" s="51">
        <v>6.99</v>
      </c>
      <c r="K21" s="51">
        <f>Tabela6[[#This Row],[CONSUMO]]*Tabela6[[#This Row],[VALOR UNIT]]-Tabela6[[#This Row],[DESCONTO]]</f>
        <v>973.5</v>
      </c>
      <c r="L21" s="53">
        <f>Tabela6[[#This Row],[CUSTO TOTAL]]/Tabela6[[#This Row],[CONSUMO]]</f>
        <v>6.49</v>
      </c>
      <c r="M21" s="50"/>
    </row>
    <row r="22" spans="1:14" x14ac:dyDescent="0.25">
      <c r="A22" s="47">
        <v>548656</v>
      </c>
      <c r="B22" s="78">
        <v>44931</v>
      </c>
      <c r="C22" s="47" t="s">
        <v>23</v>
      </c>
      <c r="D22" s="49" t="s">
        <v>271</v>
      </c>
      <c r="E22" s="47">
        <v>201241</v>
      </c>
      <c r="G22" s="50" t="s">
        <v>89</v>
      </c>
      <c r="H22" s="51">
        <v>159</v>
      </c>
      <c r="J22" s="51">
        <v>6.2896000000000001</v>
      </c>
      <c r="K22" s="51">
        <f>Tabela6[[#This Row],[CONSUMO]]*Tabela6[[#This Row],[VALOR UNIT]]-Tabela6[[#This Row],[DESCONTO]]</f>
        <v>1000.0464000000001</v>
      </c>
      <c r="L22" s="53">
        <f>Tabela6[[#This Row],[CUSTO TOTAL]]/Tabela6[[#This Row],[CONSUMO]]</f>
        <v>6.2896000000000001</v>
      </c>
      <c r="M22" s="50">
        <f>Tabela6[[#This Row],[KM ATUAL]]-E19</f>
        <v>-705520</v>
      </c>
      <c r="N22" s="51">
        <f>Tabela6[[#This Row],[KM Rodados ]]/Tabela6[[#This Row],[CONSUMO]]</f>
        <v>-4437.232704402516</v>
      </c>
    </row>
    <row r="23" spans="1:14" x14ac:dyDescent="0.25">
      <c r="A23" s="47" t="s">
        <v>314</v>
      </c>
      <c r="B23" s="78">
        <v>44932</v>
      </c>
      <c r="C23" s="47" t="s">
        <v>68</v>
      </c>
      <c r="E23" s="47">
        <v>851503</v>
      </c>
      <c r="G23" s="50" t="s">
        <v>89</v>
      </c>
      <c r="H23" s="51">
        <v>385</v>
      </c>
      <c r="K23" s="52">
        <f>Tabela6[[#This Row],[CONSUMO]]*Tabela6[[#This Row],[VALOR UNIT]]-Tabela6[[#This Row],[DESCONTO]]</f>
        <v>0</v>
      </c>
      <c r="L23" s="53">
        <f>Tabela6[[#This Row],[CUSTO TOTAL]]/Tabela6[[#This Row],[CONSUMO]]</f>
        <v>0</v>
      </c>
      <c r="M23" s="50" t="e">
        <f>Tabela6[[#This Row],[KM ATUAL]]-E1</f>
        <v>#VALUE!</v>
      </c>
      <c r="N23" s="51" t="e">
        <f>Tabela6[[#This Row],[KM Rodados ]]/Tabela6[[#This Row],[CONSUMO]]</f>
        <v>#VALUE!</v>
      </c>
    </row>
    <row r="24" spans="1:14" x14ac:dyDescent="0.25">
      <c r="A24" s="80">
        <v>156178</v>
      </c>
      <c r="B24" s="78">
        <v>44932</v>
      </c>
      <c r="C24" s="47" t="s">
        <v>43</v>
      </c>
      <c r="D24" s="49" t="s">
        <v>262</v>
      </c>
      <c r="E24" s="47">
        <v>96679</v>
      </c>
      <c r="G24" s="50" t="s">
        <v>89</v>
      </c>
      <c r="H24" s="51">
        <v>29.048999999999999</v>
      </c>
      <c r="J24" s="51">
        <v>6.29</v>
      </c>
      <c r="K24" s="52">
        <f>Tabela6[[#This Row],[CONSUMO]]*Tabela6[[#This Row],[VALOR UNIT]]-Tabela6[[#This Row],[DESCONTO]]</f>
        <v>182.71821</v>
      </c>
      <c r="L24" s="53">
        <f>Tabela6[[#This Row],[CUSTO TOTAL]]/Tabela6[[#This Row],[CONSUMO]]</f>
        <v>6.29</v>
      </c>
      <c r="M24" s="50"/>
      <c r="N24" s="72"/>
    </row>
    <row r="25" spans="1:14" x14ac:dyDescent="0.25">
      <c r="A25" s="47">
        <v>217513</v>
      </c>
      <c r="B25" s="78">
        <v>44932</v>
      </c>
      <c r="C25" s="47" t="s">
        <v>203</v>
      </c>
      <c r="D25" s="49" t="s">
        <v>263</v>
      </c>
      <c r="E25" s="47">
        <v>73204</v>
      </c>
      <c r="G25" s="50" t="s">
        <v>244</v>
      </c>
      <c r="H25" s="51">
        <v>33.35</v>
      </c>
      <c r="J25" s="51">
        <v>4.8899999999999997</v>
      </c>
      <c r="K25" s="51">
        <f>Tabela6[[#This Row],[CONSUMO]]*Tabela6[[#This Row],[VALOR UNIT]]-Tabela6[[#This Row],[DESCONTO]]</f>
        <v>163.08150000000001</v>
      </c>
      <c r="L25" s="53">
        <f>Tabela6[[#This Row],[CUSTO TOTAL]]/Tabela6[[#This Row],[CONSUMO]]</f>
        <v>4.8899999999999997</v>
      </c>
      <c r="M25" s="47">
        <f>Tabela6[[#This Row],[KM ATUAL]]-E11</f>
        <v>-833352</v>
      </c>
      <c r="N25" s="51">
        <f>Tabela6[[#This Row],[KM Rodados ]]/Tabela6[[#This Row],[CONSUMO]]</f>
        <v>-24988.06596701649</v>
      </c>
    </row>
    <row r="26" spans="1:14" x14ac:dyDescent="0.25">
      <c r="A26" s="47">
        <v>217515</v>
      </c>
      <c r="B26" s="78">
        <v>44932</v>
      </c>
      <c r="C26" s="47" t="s">
        <v>71</v>
      </c>
      <c r="D26" s="49" t="s">
        <v>263</v>
      </c>
      <c r="E26" s="47">
        <v>75198</v>
      </c>
      <c r="G26" s="50" t="s">
        <v>89</v>
      </c>
      <c r="H26" s="51">
        <v>401.601</v>
      </c>
      <c r="I26" s="49">
        <v>40.159999999999997</v>
      </c>
      <c r="J26" s="51">
        <v>6.36</v>
      </c>
      <c r="K26" s="51">
        <f>Tabela6[[#This Row],[CONSUMO]]*Tabela6[[#This Row],[VALOR UNIT]]-Tabela6[[#This Row],[DESCONTO]]</f>
        <v>2514.0223600000004</v>
      </c>
      <c r="L26" s="53">
        <f>Tabela6[[#This Row],[CUSTO TOTAL]]/Tabela6[[#This Row],[CONSUMO]]</f>
        <v>6.2600002490033653</v>
      </c>
      <c r="M26" s="50"/>
    </row>
    <row r="27" spans="1:14" x14ac:dyDescent="0.25">
      <c r="A27" s="47">
        <v>505187</v>
      </c>
      <c r="B27" s="78">
        <v>44932</v>
      </c>
      <c r="C27" s="47" t="s">
        <v>16</v>
      </c>
      <c r="D27" s="49" t="s">
        <v>255</v>
      </c>
      <c r="E27" s="47">
        <v>288258</v>
      </c>
      <c r="G27" s="50" t="s">
        <v>89</v>
      </c>
      <c r="H27" s="51">
        <v>74.02</v>
      </c>
      <c r="J27" s="51">
        <v>6.69</v>
      </c>
      <c r="K27" s="51">
        <f>Tabela6[[#This Row],[CONSUMO]]*Tabela6[[#This Row],[VALOR UNIT]]-Tabela6[[#This Row],[DESCONTO]]</f>
        <v>495.19380000000001</v>
      </c>
      <c r="L27" s="53">
        <f>Tabela6[[#This Row],[CUSTO TOTAL]]/Tabela6[[#This Row],[CONSUMO]]</f>
        <v>6.69</v>
      </c>
      <c r="M27" s="50"/>
    </row>
    <row r="28" spans="1:14" x14ac:dyDescent="0.25">
      <c r="A28" s="47">
        <v>156239</v>
      </c>
      <c r="B28" s="78">
        <v>44932</v>
      </c>
      <c r="C28" s="47" t="s">
        <v>20</v>
      </c>
      <c r="D28" s="49" t="s">
        <v>262</v>
      </c>
      <c r="E28" s="47">
        <v>224456</v>
      </c>
      <c r="G28" s="50" t="s">
        <v>89</v>
      </c>
      <c r="H28" s="51">
        <v>75.570999999999998</v>
      </c>
      <c r="J28" s="51">
        <v>6.29</v>
      </c>
      <c r="K28" s="52">
        <f>Tabela6[[#This Row],[CONSUMO]]*Tabela6[[#This Row],[VALOR UNIT]]-Tabela6[[#This Row],[DESCONTO]]</f>
        <v>475.34159</v>
      </c>
      <c r="L28" s="53">
        <f>Tabela6[[#This Row],[CUSTO TOTAL]]/Tabela6[[#This Row],[CONSUMO]]</f>
        <v>6.29</v>
      </c>
      <c r="M28" s="50">
        <f>Tabela6[[#This Row],[KM ATUAL]]-E22</f>
        <v>23215</v>
      </c>
      <c r="N28" s="51">
        <f>Tabela6[[#This Row],[KM Rodados ]]/Tabela6[[#This Row],[CONSUMO]]</f>
        <v>307.19455875931243</v>
      </c>
    </row>
    <row r="29" spans="1:14" x14ac:dyDescent="0.25">
      <c r="A29" s="47" t="s">
        <v>314</v>
      </c>
      <c r="B29" s="78">
        <v>44932</v>
      </c>
      <c r="C29" s="47" t="s">
        <v>40</v>
      </c>
      <c r="E29" s="47">
        <v>115738</v>
      </c>
      <c r="G29" s="50" t="s">
        <v>244</v>
      </c>
      <c r="H29" s="51">
        <v>42.36</v>
      </c>
      <c r="K29" s="52">
        <f>Tabela6[[#This Row],[CONSUMO]]*Tabela6[[#This Row],[VALOR UNIT]]-Tabela6[[#This Row],[DESCONTO]]</f>
        <v>0</v>
      </c>
      <c r="L29" s="53">
        <f>Tabela6[[#This Row],[CUSTO TOTAL]]/Tabela6[[#This Row],[CONSUMO]]</f>
        <v>0</v>
      </c>
      <c r="M29" s="50">
        <f>Tabela6[[#This Row],[KM ATUAL]]-E4</f>
        <v>-734829</v>
      </c>
      <c r="N29" s="72">
        <f>Tabela6[[#This Row],[KM Rodados ]]/Tabela6[[#This Row],[CONSUMO]]</f>
        <v>-17347.237960339942</v>
      </c>
    </row>
    <row r="30" spans="1:14" x14ac:dyDescent="0.25">
      <c r="A30" s="47">
        <v>272856</v>
      </c>
      <c r="B30" s="78">
        <v>44935</v>
      </c>
      <c r="C30" s="47" t="s">
        <v>43</v>
      </c>
      <c r="D30" s="49" t="s">
        <v>253</v>
      </c>
      <c r="E30" s="47">
        <v>96977</v>
      </c>
      <c r="G30" s="50" t="s">
        <v>89</v>
      </c>
      <c r="H30" s="51">
        <v>35.229999999999997</v>
      </c>
      <c r="I30" s="49">
        <v>10.57</v>
      </c>
      <c r="J30" s="51">
        <v>6.89</v>
      </c>
      <c r="K30" s="52">
        <f>Tabela6[[#This Row],[CONSUMO]]*Tabela6[[#This Row],[VALOR UNIT]]-Tabela6[[#This Row],[DESCONTO]]</f>
        <v>232.16469999999998</v>
      </c>
      <c r="L30" s="53">
        <f>Tabela6[[#This Row],[CUSTO TOTAL]]/Tabela6[[#This Row],[CONSUMO]]</f>
        <v>6.5899716151007661</v>
      </c>
      <c r="M30" s="50">
        <f>Tabela6[[#This Row],[KM ATUAL]]-E23</f>
        <v>-754526</v>
      </c>
      <c r="N30" s="72">
        <f>Tabela6[[#This Row],[KM Rodados ]]/Tabela6[[#This Row],[CONSUMO]]</f>
        <v>-21417.1444791371</v>
      </c>
    </row>
    <row r="31" spans="1:14" x14ac:dyDescent="0.25">
      <c r="A31" s="47">
        <v>156568</v>
      </c>
      <c r="B31" s="78">
        <v>44935</v>
      </c>
      <c r="C31" s="47" t="s">
        <v>22</v>
      </c>
      <c r="D31" s="49" t="s">
        <v>262</v>
      </c>
      <c r="E31" s="47">
        <v>314040</v>
      </c>
      <c r="G31" s="50" t="s">
        <v>89</v>
      </c>
      <c r="H31" s="51">
        <v>93.75</v>
      </c>
      <c r="J31" s="51">
        <v>6.29</v>
      </c>
      <c r="K31" s="74">
        <f>Tabela6[[#This Row],[CONSUMO]]*Tabela6[[#This Row],[VALOR UNIT]]-Tabela6[[#This Row],[DESCONTO]]</f>
        <v>589.6875</v>
      </c>
      <c r="L31" s="53">
        <f>Tabela6[[#This Row],[CUSTO TOTAL]]/Tabela6[[#This Row],[CONSUMO]]</f>
        <v>6.29</v>
      </c>
      <c r="M31" s="50">
        <f>Tabela6[[#This Row],[KM ATUAL]]-E7</f>
        <v>339</v>
      </c>
      <c r="N31" s="51">
        <f>Tabela6[[#This Row],[KM Rodados ]]/Tabela6[[#This Row],[CONSUMO]]</f>
        <v>3.6160000000000001</v>
      </c>
    </row>
    <row r="32" spans="1:14" x14ac:dyDescent="0.25">
      <c r="A32" s="47">
        <v>218483</v>
      </c>
      <c r="B32" s="78">
        <v>44935</v>
      </c>
      <c r="C32" s="47" t="s">
        <v>70</v>
      </c>
      <c r="D32" s="49" t="s">
        <v>263</v>
      </c>
      <c r="E32" s="47">
        <v>170613</v>
      </c>
      <c r="G32" s="50" t="s">
        <v>89</v>
      </c>
      <c r="H32" s="51">
        <v>706.77099999999996</v>
      </c>
      <c r="I32" s="49">
        <v>70.680000000000007</v>
      </c>
      <c r="J32" s="51">
        <v>6.36</v>
      </c>
      <c r="K32" s="51">
        <f>Tabela6[[#This Row],[CONSUMO]]*Tabela6[[#This Row],[VALOR UNIT]]-Tabela6[[#This Row],[DESCONTO]]</f>
        <v>4424.3835599999993</v>
      </c>
      <c r="L32" s="53">
        <f>Tabela6[[#This Row],[CUSTO TOTAL]]/Tabela6[[#This Row],[CONSUMO]]</f>
        <v>6.259995896832212</v>
      </c>
      <c r="M32" s="50"/>
    </row>
    <row r="33" spans="1:14" x14ac:dyDescent="0.25">
      <c r="A33" s="47">
        <v>272838</v>
      </c>
      <c r="B33" s="78">
        <v>44935</v>
      </c>
      <c r="C33" s="47" t="s">
        <v>17</v>
      </c>
      <c r="D33" s="49" t="s">
        <v>253</v>
      </c>
      <c r="E33" s="47">
        <v>333061</v>
      </c>
      <c r="G33" s="50" t="s">
        <v>89</v>
      </c>
      <c r="H33" s="51">
        <v>200.44</v>
      </c>
      <c r="I33" s="49">
        <v>60.13</v>
      </c>
      <c r="J33" s="51">
        <v>6.89</v>
      </c>
      <c r="K33" s="51">
        <f>Tabela6[[#This Row],[CONSUMO]]*Tabela6[[#This Row],[VALOR UNIT]]-Tabela6[[#This Row],[DESCONTO]]</f>
        <v>1320.9015999999999</v>
      </c>
      <c r="L33" s="53">
        <f>Tabela6[[#This Row],[CUSTO TOTAL]]/Tabela6[[#This Row],[CONSUMO]]</f>
        <v>6.5900099780482932</v>
      </c>
      <c r="M33" s="50"/>
    </row>
    <row r="34" spans="1:14" x14ac:dyDescent="0.25">
      <c r="A34" s="47">
        <v>546244</v>
      </c>
      <c r="B34" s="78">
        <v>44936</v>
      </c>
      <c r="C34" s="47" t="s">
        <v>9</v>
      </c>
      <c r="D34" s="49" t="s">
        <v>271</v>
      </c>
      <c r="E34" s="47">
        <v>583867</v>
      </c>
      <c r="G34" s="50" t="s">
        <v>89</v>
      </c>
      <c r="H34" s="51">
        <v>105</v>
      </c>
      <c r="J34" s="51">
        <v>6.09</v>
      </c>
      <c r="K34" s="52">
        <f>Tabela6[[#This Row],[CONSUMO]]*Tabela6[[#This Row],[VALOR UNIT]]-Tabela6[[#This Row],[DESCONTO]]</f>
        <v>639.44999999999993</v>
      </c>
      <c r="L34" s="53">
        <f>Tabela6[[#This Row],[CUSTO TOTAL]]/Tabela6[[#This Row],[CONSUMO]]</f>
        <v>6.089999999999999</v>
      </c>
      <c r="M34" s="47" t="e">
        <f>Tabela6[[#This Row],[KM ATUAL]]-#REF!</f>
        <v>#REF!</v>
      </c>
      <c r="N34" s="51" t="e">
        <f>Tabela6[[#This Row],[KM Rodados ]]/Tabela6[[#This Row],[CONSUMO]]</f>
        <v>#REF!</v>
      </c>
    </row>
    <row r="35" spans="1:14" x14ac:dyDescent="0.25">
      <c r="A35" s="47">
        <v>156643</v>
      </c>
      <c r="B35" s="78">
        <v>44936</v>
      </c>
      <c r="C35" s="47" t="s">
        <v>67</v>
      </c>
      <c r="D35" s="49" t="s">
        <v>262</v>
      </c>
      <c r="E35" s="47">
        <v>648486</v>
      </c>
      <c r="G35" s="50" t="s">
        <v>89</v>
      </c>
      <c r="H35" s="51">
        <v>107.99</v>
      </c>
      <c r="J35" s="51">
        <v>6.29</v>
      </c>
      <c r="K35" s="51">
        <f>Tabela6[[#This Row],[CONSUMO]]*Tabela6[[#This Row],[VALOR UNIT]]-Tabela6[[#This Row],[DESCONTO]]</f>
        <v>679.25709999999992</v>
      </c>
      <c r="L35" s="53">
        <f>Tabela6[[#This Row],[CUSTO TOTAL]]/Tabela6[[#This Row],[CONSUMO]]</f>
        <v>6.2899999999999991</v>
      </c>
      <c r="M35" s="50"/>
    </row>
    <row r="36" spans="1:14" x14ac:dyDescent="0.25">
      <c r="A36" s="47">
        <v>30443</v>
      </c>
      <c r="B36" s="78">
        <v>44936</v>
      </c>
      <c r="C36" s="47" t="s">
        <v>215</v>
      </c>
      <c r="D36" s="49" t="s">
        <v>263</v>
      </c>
      <c r="E36" s="47">
        <v>215911</v>
      </c>
      <c r="G36" s="50" t="s">
        <v>244</v>
      </c>
      <c r="H36" s="51">
        <v>37.850999999999999</v>
      </c>
      <c r="J36" s="51">
        <v>4.8899999999999997</v>
      </c>
      <c r="K36" s="51">
        <f>Tabela6[[#This Row],[CONSUMO]]*Tabela6[[#This Row],[VALOR UNIT]]-Tabela6[[#This Row],[DESCONTO]]</f>
        <v>185.09138999999999</v>
      </c>
      <c r="L36" s="53">
        <f>Tabela6[[#This Row],[CUSTO TOTAL]]/Tabela6[[#This Row],[CONSUMO]]</f>
        <v>4.8899999999999997</v>
      </c>
      <c r="M36" s="53"/>
    </row>
    <row r="37" spans="1:14" x14ac:dyDescent="0.25">
      <c r="A37" s="47" t="s">
        <v>314</v>
      </c>
      <c r="B37" s="78">
        <v>44936</v>
      </c>
      <c r="C37" s="47" t="s">
        <v>72</v>
      </c>
      <c r="E37" s="47">
        <v>364009</v>
      </c>
      <c r="G37" s="50" t="s">
        <v>89</v>
      </c>
      <c r="H37" s="51">
        <v>35.1</v>
      </c>
      <c r="K37" s="52">
        <f>Tabela6[[#This Row],[CONSUMO]]*Tabela6[[#This Row],[VALOR UNIT]]-Tabela6[[#This Row],[DESCONTO]]</f>
        <v>0</v>
      </c>
      <c r="L37" s="53">
        <f>Tabela6[[#This Row],[CUSTO TOTAL]]/Tabela6[[#This Row],[CONSUMO]]</f>
        <v>0</v>
      </c>
      <c r="M37" s="50">
        <f>Tabela6[[#This Row],[KM ATUAL]]-E5</f>
        <v>-502626</v>
      </c>
      <c r="N37" s="51">
        <f>Tabela6[[#This Row],[KM Rodados ]]/Tabela6[[#This Row],[CONSUMO]]</f>
        <v>-14319.829059829059</v>
      </c>
    </row>
    <row r="38" spans="1:14" x14ac:dyDescent="0.25">
      <c r="A38" s="47" t="s">
        <v>314</v>
      </c>
      <c r="B38" s="78">
        <v>44936</v>
      </c>
      <c r="C38" s="47" t="s">
        <v>72</v>
      </c>
      <c r="E38" s="47">
        <v>364201</v>
      </c>
      <c r="G38" s="50" t="s">
        <v>89</v>
      </c>
      <c r="H38" s="51">
        <v>25.14</v>
      </c>
      <c r="K38" s="52">
        <f>Tabela6[[#This Row],[CONSUMO]]*Tabela6[[#This Row],[VALOR UNIT]]-Tabela6[[#This Row],[DESCONTO]]</f>
        <v>0</v>
      </c>
      <c r="L38" s="53">
        <f>Tabela6[[#This Row],[CUSTO TOTAL]]/Tabela6[[#This Row],[CONSUMO]]</f>
        <v>0</v>
      </c>
      <c r="M38" s="50">
        <f>Tabela6[[#This Row],[KM ATUAL]]-E37</f>
        <v>192</v>
      </c>
      <c r="N38" s="51">
        <f>Tabela6[[#This Row],[KM Rodados ]]/Tabela6[[#This Row],[CONSUMO]]</f>
        <v>7.6372315035799518</v>
      </c>
    </row>
    <row r="39" spans="1:14" x14ac:dyDescent="0.25">
      <c r="A39" s="47">
        <v>273572</v>
      </c>
      <c r="B39" s="78">
        <v>44936</v>
      </c>
      <c r="C39" s="47" t="s">
        <v>72</v>
      </c>
      <c r="D39" s="49" t="s">
        <v>253</v>
      </c>
      <c r="E39" s="47">
        <v>364549</v>
      </c>
      <c r="G39" s="50" t="s">
        <v>89</v>
      </c>
      <c r="H39" s="51">
        <v>46.24</v>
      </c>
      <c r="I39" s="49">
        <v>13.87</v>
      </c>
      <c r="J39" s="51">
        <v>6.89</v>
      </c>
      <c r="K39" s="52">
        <f>Tabela6[[#This Row],[CONSUMO]]*Tabela6[[#This Row],[VALOR UNIT]]-Tabela6[[#This Row],[DESCONTO]]</f>
        <v>304.72359999999998</v>
      </c>
      <c r="L39" s="53">
        <f>Tabela6[[#This Row],[CUSTO TOTAL]]/Tabela6[[#This Row],[CONSUMO]]</f>
        <v>6.5900432525951551</v>
      </c>
      <c r="M39" s="50">
        <f>Tabela6[[#This Row],[KM ATUAL]]-E37</f>
        <v>540</v>
      </c>
      <c r="N39" s="51">
        <f>Tabela6[[#This Row],[KM Rodados ]]/Tabela6[[#This Row],[CONSUMO]]</f>
        <v>11.678200692041521</v>
      </c>
    </row>
    <row r="40" spans="1:14" x14ac:dyDescent="0.25">
      <c r="A40" s="47">
        <v>218788</v>
      </c>
      <c r="B40" s="78">
        <v>44936</v>
      </c>
      <c r="C40" s="47" t="s">
        <v>206</v>
      </c>
      <c r="D40" s="49" t="s">
        <v>263</v>
      </c>
      <c r="E40" s="47">
        <v>907982</v>
      </c>
      <c r="G40" s="50" t="s">
        <v>89</v>
      </c>
      <c r="H40" s="51">
        <v>440.79</v>
      </c>
      <c r="I40" s="49">
        <v>44.08</v>
      </c>
      <c r="J40" s="51">
        <v>6.36</v>
      </c>
      <c r="K40" s="51">
        <f>Tabela6[[#This Row],[CONSUMO]]*Tabela6[[#This Row],[VALOR UNIT]]-Tabela6[[#This Row],[DESCONTO]]</f>
        <v>2759.3444000000004</v>
      </c>
      <c r="L40" s="53">
        <f>Tabela6[[#This Row],[CUSTO TOTAL]]/Tabela6[[#This Row],[CONSUMO]]</f>
        <v>6.2599977313459929</v>
      </c>
      <c r="M40" s="50">
        <f>Tabela6[[#This Row],[KM ATUAL]]-E20</f>
        <v>684119</v>
      </c>
      <c r="N40" s="51">
        <f>Tabela6[[#This Row],[KM Rodados ]]/Tabela6[[#This Row],[CONSUMO]]</f>
        <v>1552.0293110097778</v>
      </c>
    </row>
    <row r="41" spans="1:14" x14ac:dyDescent="0.25">
      <c r="A41" s="47">
        <v>506035</v>
      </c>
      <c r="B41" s="78">
        <v>44936</v>
      </c>
      <c r="C41" s="47" t="s">
        <v>38</v>
      </c>
      <c r="D41" s="49" t="s">
        <v>255</v>
      </c>
      <c r="E41" s="47">
        <v>123251</v>
      </c>
      <c r="G41" s="50" t="s">
        <v>244</v>
      </c>
      <c r="H41" s="51">
        <v>51.34</v>
      </c>
      <c r="J41" s="51">
        <v>5.22</v>
      </c>
      <c r="K41" s="51">
        <f>Tabela6[[#This Row],[CONSUMO]]*Tabela6[[#This Row],[VALOR UNIT]]-Tabela6[[#This Row],[DESCONTO]]</f>
        <v>267.9948</v>
      </c>
      <c r="L41" s="53">
        <f>Tabela6[[#This Row],[CUSTO TOTAL]]/Tabela6[[#This Row],[CONSUMO]]</f>
        <v>5.22</v>
      </c>
      <c r="M41" s="53"/>
    </row>
    <row r="42" spans="1:14" x14ac:dyDescent="0.25">
      <c r="A42" s="47">
        <v>261287</v>
      </c>
      <c r="B42" s="78">
        <v>44936</v>
      </c>
      <c r="C42" s="47" t="s">
        <v>40</v>
      </c>
      <c r="D42" s="49" t="s">
        <v>276</v>
      </c>
      <c r="E42" s="47">
        <v>116079</v>
      </c>
      <c r="G42" s="50" t="s">
        <v>244</v>
      </c>
      <c r="H42" s="51">
        <v>24.2</v>
      </c>
      <c r="J42" s="51">
        <v>4.99</v>
      </c>
      <c r="K42" s="74">
        <f>Tabela6[[#This Row],[CONSUMO]]*Tabela6[[#This Row],[VALOR UNIT]]-Tabela6[[#This Row],[DESCONTO]]</f>
        <v>120.758</v>
      </c>
      <c r="L42" s="53">
        <f>Tabela6[[#This Row],[CUSTO TOTAL]]/Tabela6[[#This Row],[CONSUMO]]</f>
        <v>4.99</v>
      </c>
      <c r="M42" s="50">
        <f>Tabela6[[#This Row],[KM ATUAL]]-E41</f>
        <v>-7172</v>
      </c>
      <c r="N42" s="51">
        <f>Tabela6[[#This Row],[KM Rodados ]]/Tabela6[[#This Row],[CONSUMO]]</f>
        <v>-296.36363636363637</v>
      </c>
    </row>
    <row r="43" spans="1:14" x14ac:dyDescent="0.25">
      <c r="A43" s="47" t="s">
        <v>314</v>
      </c>
      <c r="B43" s="78">
        <v>44936</v>
      </c>
      <c r="C43" s="47"/>
      <c r="E43" s="47">
        <v>582971</v>
      </c>
      <c r="G43" s="50" t="s">
        <v>89</v>
      </c>
      <c r="H43" s="51">
        <v>107.6</v>
      </c>
      <c r="K43" s="52">
        <f>Tabela6[[#This Row],[CONSUMO]]*Tabela6[[#This Row],[VALOR UNIT]]-Tabela6[[#This Row],[DESCONTO]]</f>
        <v>0</v>
      </c>
      <c r="L43" s="53">
        <f>Tabela6[[#This Row],[CUSTO TOTAL]]/Tabela6[[#This Row],[CONSUMO]]</f>
        <v>0</v>
      </c>
      <c r="M43" s="50">
        <f>Tabela6[[#This Row],[KM ATUAL]]-E12</f>
        <v>-323587</v>
      </c>
      <c r="N43" s="51">
        <f>Tabela6[[#This Row],[KM Rodados ]]/Tabela6[[#This Row],[CONSUMO]]</f>
        <v>-3007.314126394052</v>
      </c>
    </row>
    <row r="44" spans="1:14" x14ac:dyDescent="0.25">
      <c r="A44" s="47" t="s">
        <v>314</v>
      </c>
      <c r="B44" s="78">
        <v>44936</v>
      </c>
      <c r="C44" s="47"/>
      <c r="E44" s="47">
        <v>583443</v>
      </c>
      <c r="G44" s="50" t="s">
        <v>89</v>
      </c>
      <c r="H44" s="51">
        <v>106.89</v>
      </c>
      <c r="K44" s="52">
        <f>Tabela6[[#This Row],[CONSUMO]]*Tabela6[[#This Row],[VALOR UNIT]]-Tabela6[[#This Row],[DESCONTO]]</f>
        <v>0</v>
      </c>
      <c r="L44" s="53">
        <f>Tabela6[[#This Row],[CUSTO TOTAL]]/Tabela6[[#This Row],[CONSUMO]]</f>
        <v>0</v>
      </c>
      <c r="M44" s="50">
        <f>Tabela6[[#This Row],[KM ATUAL]]-E43</f>
        <v>472</v>
      </c>
      <c r="N44" s="51">
        <f>Tabela6[[#This Row],[KM Rodados ]]/Tabela6[[#This Row],[CONSUMO]]</f>
        <v>4.4157545139863412</v>
      </c>
    </row>
    <row r="45" spans="1:14" x14ac:dyDescent="0.25">
      <c r="A45" s="47">
        <v>345754</v>
      </c>
      <c r="B45" s="78">
        <v>44937</v>
      </c>
      <c r="C45" s="47" t="s">
        <v>68</v>
      </c>
      <c r="D45" s="49" t="s">
        <v>258</v>
      </c>
      <c r="E45" s="47">
        <v>852578</v>
      </c>
      <c r="G45" s="50" t="s">
        <v>89</v>
      </c>
      <c r="H45" s="51">
        <v>369.01499999999999</v>
      </c>
      <c r="J45" s="51">
        <v>6.09</v>
      </c>
      <c r="K45" s="51">
        <f>Tabela6[[#This Row],[CONSUMO]]*Tabela6[[#This Row],[VALOR UNIT]]-Tabela6[[#This Row],[DESCONTO]]</f>
        <v>2247.3013499999997</v>
      </c>
      <c r="L45" s="53">
        <f>Tabela6[[#This Row],[CUSTO TOTAL]]/Tabela6[[#This Row],[CONSUMO]]</f>
        <v>6.09</v>
      </c>
      <c r="M45" s="50">
        <f>Tabela6[[#This Row],[KM ATUAL]]-E24</f>
        <v>755899</v>
      </c>
      <c r="N45" s="51">
        <f>Tabela6[[#This Row],[KM Rodados ]]/Tabela6[[#This Row],[CONSUMO]]</f>
        <v>2048.4235058195468</v>
      </c>
    </row>
    <row r="46" spans="1:14" x14ac:dyDescent="0.25">
      <c r="A46" s="47" t="s">
        <v>314</v>
      </c>
      <c r="B46" s="78">
        <v>44937</v>
      </c>
      <c r="C46" s="47" t="s">
        <v>72</v>
      </c>
      <c r="E46" s="47">
        <v>364862</v>
      </c>
      <c r="G46" s="50" t="s">
        <v>89</v>
      </c>
      <c r="H46" s="51">
        <v>38.11</v>
      </c>
      <c r="K46" s="52">
        <f>Tabela6[[#This Row],[CONSUMO]]*Tabela6[[#This Row],[VALOR UNIT]]-Tabela6[[#This Row],[DESCONTO]]</f>
        <v>0</v>
      </c>
      <c r="L46" s="53">
        <f>Tabela6[[#This Row],[CUSTO TOTAL]]/Tabela6[[#This Row],[CONSUMO]]</f>
        <v>0</v>
      </c>
      <c r="M46" s="50">
        <f>Tabela6[[#This Row],[KM ATUAL]]-E35</f>
        <v>-283624</v>
      </c>
      <c r="N46" s="51">
        <f>Tabela6[[#This Row],[KM Rodados ]]/Tabela6[[#This Row],[CONSUMO]]</f>
        <v>-7442.2461296247702</v>
      </c>
    </row>
    <row r="47" spans="1:14" x14ac:dyDescent="0.25">
      <c r="A47" s="47">
        <v>219082</v>
      </c>
      <c r="B47" s="78">
        <v>44937</v>
      </c>
      <c r="C47" s="47" t="s">
        <v>71</v>
      </c>
      <c r="D47" s="49" t="s">
        <v>263</v>
      </c>
      <c r="E47" s="47">
        <v>76223</v>
      </c>
      <c r="G47" s="50" t="s">
        <v>89</v>
      </c>
      <c r="H47" s="51">
        <v>334.63099999999997</v>
      </c>
      <c r="I47" s="49">
        <v>33.46</v>
      </c>
      <c r="J47" s="51">
        <v>6.36</v>
      </c>
      <c r="K47" s="51">
        <f>Tabela6[[#This Row],[CONSUMO]]*Tabela6[[#This Row],[VALOR UNIT]]-Tabela6[[#This Row],[DESCONTO]]</f>
        <v>2094.7931599999997</v>
      </c>
      <c r="L47" s="53">
        <f>Tabela6[[#This Row],[CUSTO TOTAL]]/Tabela6[[#This Row],[CONSUMO]]</f>
        <v>6.2600092639354985</v>
      </c>
      <c r="M47" s="50">
        <f>Tabela6[[#This Row],[KM ATUAL]]-E26</f>
        <v>1025</v>
      </c>
      <c r="N47" s="51">
        <f>Tabela6[[#This Row],[KM Rodados ]]/Tabela6[[#This Row],[CONSUMO]]</f>
        <v>3.0630754472837247</v>
      </c>
    </row>
    <row r="48" spans="1:14" x14ac:dyDescent="0.25">
      <c r="A48" s="47">
        <v>156788</v>
      </c>
      <c r="B48" s="78">
        <v>44937</v>
      </c>
      <c r="C48" s="47" t="s">
        <v>21</v>
      </c>
      <c r="D48" s="49" t="s">
        <v>262</v>
      </c>
      <c r="E48" s="47">
        <v>121154</v>
      </c>
      <c r="G48" s="50" t="s">
        <v>89</v>
      </c>
      <c r="H48" s="51">
        <v>143.09100000000001</v>
      </c>
      <c r="J48" s="51">
        <v>6.29</v>
      </c>
      <c r="K48" s="52">
        <f>Tabela6[[#This Row],[CONSUMO]]*Tabela6[[#This Row],[VALOR UNIT]]-Tabela6[[#This Row],[DESCONTO]]</f>
        <v>900.04239000000007</v>
      </c>
      <c r="L48" s="53">
        <f>Tabela6[[#This Row],[CUSTO TOTAL]]/Tabela6[[#This Row],[CONSUMO]]</f>
        <v>6.29</v>
      </c>
      <c r="M48" s="50"/>
    </row>
    <row r="49" spans="1:14" x14ac:dyDescent="0.25">
      <c r="A49" s="47">
        <v>585188</v>
      </c>
      <c r="B49" s="78">
        <v>44937</v>
      </c>
      <c r="C49" s="47" t="s">
        <v>21</v>
      </c>
      <c r="D49" s="49" t="s">
        <v>264</v>
      </c>
      <c r="E49" s="47">
        <v>121723</v>
      </c>
      <c r="G49" s="50" t="s">
        <v>89</v>
      </c>
      <c r="H49" s="51">
        <v>133.78200000000001</v>
      </c>
      <c r="J49" s="51">
        <v>6.4</v>
      </c>
      <c r="K49" s="52">
        <f>Tabela6[[#This Row],[CONSUMO]]*Tabela6[[#This Row],[VALOR UNIT]]-Tabela6[[#This Row],[DESCONTO]]</f>
        <v>856.20480000000009</v>
      </c>
      <c r="L49" s="53">
        <f>Tabela6[[#This Row],[CUSTO TOTAL]]/Tabela6[[#This Row],[CONSUMO]]</f>
        <v>6.4</v>
      </c>
      <c r="M49" s="50">
        <f>Tabela6[[#This Row],[KM ATUAL]]-E46</f>
        <v>-243139</v>
      </c>
      <c r="N49" s="51">
        <f>Tabela6[[#This Row],[KM Rodados ]]/Tabela6[[#This Row],[CONSUMO]]</f>
        <v>-1817.4268586207411</v>
      </c>
    </row>
    <row r="50" spans="1:14" x14ac:dyDescent="0.25">
      <c r="A50" s="47">
        <v>274191</v>
      </c>
      <c r="B50" s="78">
        <v>44937</v>
      </c>
      <c r="C50" s="47" t="s">
        <v>41</v>
      </c>
      <c r="D50" s="49" t="s">
        <v>253</v>
      </c>
      <c r="E50" s="47">
        <v>642734</v>
      </c>
      <c r="G50" s="50" t="s">
        <v>89</v>
      </c>
      <c r="H50" s="51">
        <v>165.51</v>
      </c>
      <c r="I50" s="49">
        <v>49.65</v>
      </c>
      <c r="J50" s="51">
        <v>6.89</v>
      </c>
      <c r="K50" s="52">
        <f>Tabela6[[#This Row],[CONSUMO]]*Tabela6[[#This Row],[VALOR UNIT]]-Tabela6[[#This Row],[DESCONTO]]</f>
        <v>1090.7138999999997</v>
      </c>
      <c r="L50" s="53">
        <f>Tabela6[[#This Row],[CUSTO TOTAL]]/Tabela6[[#This Row],[CONSUMO]]</f>
        <v>6.5900181257930024</v>
      </c>
      <c r="M50" s="50">
        <f>Tabela6[[#This Row],[KM ATUAL]]-E22</f>
        <v>441493</v>
      </c>
      <c r="N50" s="51">
        <f>Tabela6[[#This Row],[KM Rodados ]]/Tabela6[[#This Row],[CONSUMO]]</f>
        <v>2667.4702434898195</v>
      </c>
    </row>
    <row r="51" spans="1:14" x14ac:dyDescent="0.25">
      <c r="A51" s="47">
        <v>547402</v>
      </c>
      <c r="B51" s="78">
        <v>44938</v>
      </c>
      <c r="C51" s="47" t="s">
        <v>9</v>
      </c>
      <c r="D51" s="49" t="s">
        <v>271</v>
      </c>
      <c r="E51" s="47">
        <v>584439</v>
      </c>
      <c r="G51" s="50" t="s">
        <v>89</v>
      </c>
      <c r="H51" s="51">
        <v>139.04</v>
      </c>
      <c r="J51" s="51">
        <v>6.09</v>
      </c>
      <c r="K51" s="51">
        <f>Tabela6[[#This Row],[CONSUMO]]*Tabela6[[#This Row],[VALOR UNIT]]-Tabela6[[#This Row],[DESCONTO]]</f>
        <v>846.75359999999989</v>
      </c>
      <c r="L51" s="53">
        <f>Tabela6[[#This Row],[CUSTO TOTAL]]/Tabela6[[#This Row],[CONSUMO]]</f>
        <v>6.09</v>
      </c>
      <c r="M51" s="50">
        <f>Tabela6[[#This Row],[KM ATUAL]]-E35</f>
        <v>-64047</v>
      </c>
      <c r="N51" s="51">
        <f>Tabela6[[#This Row],[KM Rodados ]]/Tabela6[[#This Row],[CONSUMO]]</f>
        <v>-460.6372266973533</v>
      </c>
    </row>
    <row r="52" spans="1:14" x14ac:dyDescent="0.25">
      <c r="A52" s="47">
        <v>156961</v>
      </c>
      <c r="B52" s="78">
        <v>44938</v>
      </c>
      <c r="C52" s="47" t="s">
        <v>22</v>
      </c>
      <c r="D52" s="49" t="s">
        <v>262</v>
      </c>
      <c r="E52" s="47">
        <v>314406</v>
      </c>
      <c r="G52" s="50" t="s">
        <v>89</v>
      </c>
      <c r="H52" s="51">
        <v>99.06</v>
      </c>
      <c r="J52" s="51">
        <v>6.29</v>
      </c>
      <c r="K52" s="74">
        <f>Tabela6[[#This Row],[CONSUMO]]*Tabela6[[#This Row],[VALOR UNIT]]-Tabela6[[#This Row],[DESCONTO]]</f>
        <v>623.0874</v>
      </c>
      <c r="L52" s="53">
        <f>Tabela6[[#This Row],[CUSTO TOTAL]]/Tabela6[[#This Row],[CONSUMO]]</f>
        <v>6.29</v>
      </c>
      <c r="M52" s="50">
        <f>Tabela6[[#This Row],[KM ATUAL]]-E28</f>
        <v>89950</v>
      </c>
      <c r="N52" s="51">
        <f>Tabela6[[#This Row],[KM Rodados ]]/Tabela6[[#This Row],[CONSUMO]]</f>
        <v>908.03553401978593</v>
      </c>
    </row>
    <row r="53" spans="1:14" x14ac:dyDescent="0.25">
      <c r="A53" s="47">
        <v>274974</v>
      </c>
      <c r="B53" s="78">
        <v>44938</v>
      </c>
      <c r="C53" s="47" t="s">
        <v>39</v>
      </c>
      <c r="D53" s="49" t="s">
        <v>253</v>
      </c>
      <c r="E53" s="47">
        <v>76107</v>
      </c>
      <c r="G53" s="50" t="s">
        <v>241</v>
      </c>
      <c r="H53" s="51">
        <v>22.303000000000001</v>
      </c>
      <c r="J53" s="51">
        <v>4.99</v>
      </c>
      <c r="K53" s="51">
        <f>Tabela6[[#This Row],[CONSUMO]]*Tabela6[[#This Row],[VALOR UNIT]]-Tabela6[[#This Row],[DESCONTO]]</f>
        <v>111.29197000000001</v>
      </c>
      <c r="L53" s="53">
        <f>Tabela6[[#This Row],[CUSTO TOTAL]]/Tabela6[[#This Row],[CONSUMO]]</f>
        <v>4.99</v>
      </c>
      <c r="M53" s="50"/>
      <c r="N53"/>
    </row>
    <row r="54" spans="1:14" x14ac:dyDescent="0.25">
      <c r="A54" s="47" t="s">
        <v>314</v>
      </c>
      <c r="B54" s="78">
        <v>44938</v>
      </c>
      <c r="C54" s="47" t="s">
        <v>72</v>
      </c>
      <c r="E54" s="47">
        <v>365172</v>
      </c>
      <c r="G54" s="50" t="s">
        <v>89</v>
      </c>
      <c r="H54" s="51">
        <v>39.630000000000003</v>
      </c>
      <c r="K54" s="52">
        <f>Tabela6[[#This Row],[CONSUMO]]*Tabela6[[#This Row],[VALOR UNIT]]-Tabela6[[#This Row],[DESCONTO]]</f>
        <v>0</v>
      </c>
      <c r="L54" s="53">
        <f>Tabela6[[#This Row],[CUSTO TOTAL]]/Tabela6[[#This Row],[CONSUMO]]</f>
        <v>0</v>
      </c>
      <c r="M54" s="50">
        <f>Tabela6[[#This Row],[KM ATUAL]]-E53</f>
        <v>289065</v>
      </c>
      <c r="N54" s="51">
        <f>Tabela6[[#This Row],[KM Rodados ]]/Tabela6[[#This Row],[CONSUMO]]</f>
        <v>7294.0953822861466</v>
      </c>
    </row>
    <row r="55" spans="1:14" x14ac:dyDescent="0.25">
      <c r="A55" s="47">
        <v>261835</v>
      </c>
      <c r="B55" s="78">
        <v>44938</v>
      </c>
      <c r="C55" s="47" t="s">
        <v>72</v>
      </c>
      <c r="D55" s="49" t="s">
        <v>276</v>
      </c>
      <c r="E55" s="47">
        <v>365489</v>
      </c>
      <c r="G55" s="50" t="s">
        <v>89</v>
      </c>
      <c r="H55" s="51">
        <v>40.271000000000001</v>
      </c>
      <c r="J55" s="51">
        <v>6.39</v>
      </c>
      <c r="K55" s="52">
        <f>Tabela6[[#This Row],[CONSUMO]]*Tabela6[[#This Row],[VALOR UNIT]]-Tabela6[[#This Row],[DESCONTO]]</f>
        <v>257.33168999999998</v>
      </c>
      <c r="L55" s="53">
        <f>Tabela6[[#This Row],[CUSTO TOTAL]]/Tabela6[[#This Row],[CONSUMO]]</f>
        <v>6.39</v>
      </c>
      <c r="M55" s="50">
        <f>Tabela6[[#This Row],[KM ATUAL]]-E54</f>
        <v>317</v>
      </c>
      <c r="N55" s="51">
        <f>Tabela6[[#This Row],[KM Rodados ]]/Tabela6[[#This Row],[CONSUMO]]</f>
        <v>7.8716694395470688</v>
      </c>
    </row>
    <row r="56" spans="1:14" x14ac:dyDescent="0.25">
      <c r="A56" s="47">
        <v>274888</v>
      </c>
      <c r="B56" s="78">
        <v>44938</v>
      </c>
      <c r="C56" s="47" t="s">
        <v>11</v>
      </c>
      <c r="D56" s="49" t="s">
        <v>253</v>
      </c>
      <c r="E56" s="47">
        <v>382916</v>
      </c>
      <c r="G56" s="50" t="s">
        <v>89</v>
      </c>
      <c r="H56" s="51">
        <v>36.25</v>
      </c>
      <c r="I56" s="49">
        <v>10.87</v>
      </c>
      <c r="J56" s="51">
        <v>6.89</v>
      </c>
      <c r="K56" s="51">
        <f>Tabela6[[#This Row],[CONSUMO]]*Tabela6[[#This Row],[VALOR UNIT]]-Tabela6[[#This Row],[DESCONTO]]</f>
        <v>238.89249999999998</v>
      </c>
      <c r="L56" s="53">
        <f>Tabela6[[#This Row],[CUSTO TOTAL]]/Tabela6[[#This Row],[CONSUMO]]</f>
        <v>6.5901379310344828</v>
      </c>
      <c r="M56" s="50"/>
    </row>
    <row r="57" spans="1:14" x14ac:dyDescent="0.25">
      <c r="A57" s="47">
        <v>156939</v>
      </c>
      <c r="B57" s="78">
        <v>44938</v>
      </c>
      <c r="C57" s="47" t="s">
        <v>14</v>
      </c>
      <c r="D57" s="49" t="s">
        <v>262</v>
      </c>
      <c r="E57" s="47">
        <v>278891</v>
      </c>
      <c r="G57" s="50" t="s">
        <v>244</v>
      </c>
      <c r="H57" s="51">
        <v>44.86</v>
      </c>
      <c r="J57" s="51">
        <v>4.99</v>
      </c>
      <c r="K57" s="52">
        <f>Tabela6[[#This Row],[CONSUMO]]*Tabela6[[#This Row],[VALOR UNIT]]-Tabela6[[#This Row],[DESCONTO]]</f>
        <v>223.85140000000001</v>
      </c>
      <c r="L57" s="53">
        <f>Tabela6[[#This Row],[CUSTO TOTAL]]/Tabela6[[#This Row],[CONSUMO]]</f>
        <v>4.99</v>
      </c>
      <c r="M57" s="50"/>
    </row>
    <row r="58" spans="1:14" x14ac:dyDescent="0.25">
      <c r="A58" s="47">
        <v>506406</v>
      </c>
      <c r="B58" s="78">
        <v>44938</v>
      </c>
      <c r="C58" s="47" t="s">
        <v>16</v>
      </c>
      <c r="D58" s="49" t="s">
        <v>255</v>
      </c>
      <c r="E58" s="47">
        <v>288696</v>
      </c>
      <c r="G58" s="50" t="s">
        <v>89</v>
      </c>
      <c r="H58" s="51">
        <v>89</v>
      </c>
      <c r="J58" s="51">
        <v>6.4</v>
      </c>
      <c r="K58" s="51">
        <f>Tabela6[[#This Row],[CONSUMO]]*Tabela6[[#This Row],[VALOR UNIT]]-Tabela6[[#This Row],[DESCONTO]]</f>
        <v>569.6</v>
      </c>
      <c r="L58" s="53">
        <f>Tabela6[[#This Row],[CUSTO TOTAL]]/Tabela6[[#This Row],[CONSUMO]]</f>
        <v>6.4</v>
      </c>
      <c r="M58" s="50">
        <f>Tabela6[[#This Row],[KM ATUAL]]-E26</f>
        <v>213498</v>
      </c>
      <c r="N58" s="51">
        <f>Tabela6[[#This Row],[KM Rodados ]]/Tabela6[[#This Row],[CONSUMO]]</f>
        <v>2398.8539325842698</v>
      </c>
    </row>
    <row r="59" spans="1:14" x14ac:dyDescent="0.25">
      <c r="A59" s="47">
        <v>274781</v>
      </c>
      <c r="B59" s="78">
        <v>44938</v>
      </c>
      <c r="C59" s="47" t="s">
        <v>23</v>
      </c>
      <c r="D59" s="49" t="s">
        <v>253</v>
      </c>
      <c r="E59" s="47">
        <v>201751</v>
      </c>
      <c r="G59" s="50" t="s">
        <v>89</v>
      </c>
      <c r="H59" s="51">
        <v>107.33</v>
      </c>
      <c r="I59" s="49">
        <v>32.200000000000003</v>
      </c>
      <c r="J59" s="51">
        <v>6.89</v>
      </c>
      <c r="K59" s="51">
        <f>Tabela6[[#This Row],[CONSUMO]]*Tabela6[[#This Row],[VALOR UNIT]]-Tabela6[[#This Row],[DESCONTO]]</f>
        <v>707.30369999999994</v>
      </c>
      <c r="L59" s="53">
        <f>Tabela6[[#This Row],[CUSTO TOTAL]]/Tabela6[[#This Row],[CONSUMO]]</f>
        <v>6.5899906829404635</v>
      </c>
      <c r="M59" s="50">
        <f>Tabela6[[#This Row],[KM ATUAL]]-E24</f>
        <v>105072</v>
      </c>
      <c r="N59" s="51">
        <f>Tabela6[[#This Row],[KM Rodados ]]/Tabela6[[#This Row],[CONSUMO]]</f>
        <v>978.96207956768842</v>
      </c>
    </row>
    <row r="60" spans="1:14" x14ac:dyDescent="0.25">
      <c r="A60" s="47" t="s">
        <v>314</v>
      </c>
      <c r="B60" s="78">
        <v>44939</v>
      </c>
      <c r="C60" s="47" t="s">
        <v>43</v>
      </c>
      <c r="E60" s="47">
        <v>97233</v>
      </c>
      <c r="G60" s="50" t="s">
        <v>89</v>
      </c>
      <c r="H60" s="51">
        <v>32.299999999999997</v>
      </c>
      <c r="K60" s="52">
        <f>Tabela6[[#This Row],[CONSUMO]]*Tabela6[[#This Row],[VALOR UNIT]]-Tabela6[[#This Row],[DESCONTO]]</f>
        <v>0</v>
      </c>
      <c r="L60" s="53">
        <f>Tabela6[[#This Row],[CUSTO TOTAL]]/Tabela6[[#This Row],[CONSUMO]]</f>
        <v>0</v>
      </c>
      <c r="M60" s="50">
        <f>Tabela6[[#This Row],[KM ATUAL]]-E27</f>
        <v>-191025</v>
      </c>
      <c r="N60" s="51">
        <f>Tabela6[[#This Row],[KM Rodados ]]/Tabela6[[#This Row],[CONSUMO]]</f>
        <v>-5914.0866873065024</v>
      </c>
    </row>
    <row r="61" spans="1:14" x14ac:dyDescent="0.25">
      <c r="A61" s="47">
        <v>219440</v>
      </c>
      <c r="B61" s="78">
        <v>44939</v>
      </c>
      <c r="C61" s="47" t="s">
        <v>43</v>
      </c>
      <c r="D61" s="49" t="s">
        <v>263</v>
      </c>
      <c r="E61" s="47">
        <v>97489</v>
      </c>
      <c r="G61" s="50" t="s">
        <v>89</v>
      </c>
      <c r="H61" s="51">
        <v>29.550999999999998</v>
      </c>
      <c r="I61" s="49">
        <v>2.96</v>
      </c>
      <c r="J61" s="51">
        <v>6.32</v>
      </c>
      <c r="K61" s="52">
        <f>Tabela6[[#This Row],[CONSUMO]]*Tabela6[[#This Row],[VALOR UNIT]]-Tabela6[[#This Row],[DESCONTO]]</f>
        <v>183.80231999999998</v>
      </c>
      <c r="L61" s="53">
        <f>Tabela6[[#This Row],[CUSTO TOTAL]]/Tabela6[[#This Row],[CONSUMO]]</f>
        <v>6.2198341849683594</v>
      </c>
      <c r="M61" s="50">
        <f>Tabela6[[#This Row],[KM ATUAL]]-E60</f>
        <v>256</v>
      </c>
      <c r="N61" s="72">
        <f>Tabela6[[#This Row],[KM Rodados ]]/Tabela6[[#This Row],[CONSUMO]]</f>
        <v>8.6629894081418577</v>
      </c>
    </row>
    <row r="62" spans="1:14" x14ac:dyDescent="0.25">
      <c r="A62" s="47">
        <v>157075</v>
      </c>
      <c r="B62" s="78">
        <v>44939</v>
      </c>
      <c r="C62" s="47" t="s">
        <v>67</v>
      </c>
      <c r="D62" s="49" t="s">
        <v>262</v>
      </c>
      <c r="E62" s="47">
        <v>648903</v>
      </c>
      <c r="G62" s="50" t="s">
        <v>89</v>
      </c>
      <c r="H62" s="51">
        <v>117.39</v>
      </c>
      <c r="J62" s="51">
        <v>6.29</v>
      </c>
      <c r="K62" s="51">
        <f>Tabela6[[#This Row],[CONSUMO]]*Tabela6[[#This Row],[VALOR UNIT]]-Tabela6[[#This Row],[DESCONTO]]</f>
        <v>738.38310000000001</v>
      </c>
      <c r="L62" s="53">
        <f>Tabela6[[#This Row],[CUSTO TOTAL]]/Tabela6[[#This Row],[CONSUMO]]</f>
        <v>6.29</v>
      </c>
      <c r="M62" s="50">
        <f>Tabela6[[#This Row],[KM ATUAL]]-E35</f>
        <v>417</v>
      </c>
      <c r="N62" s="51">
        <f>Tabela6[[#This Row],[KM Rodados ]]/Tabela6[[#This Row],[CONSUMO]]</f>
        <v>3.5522616917965757</v>
      </c>
    </row>
    <row r="63" spans="1:14" x14ac:dyDescent="0.25">
      <c r="A63" s="47">
        <v>152115</v>
      </c>
      <c r="B63" s="78">
        <v>44939</v>
      </c>
      <c r="C63" s="47" t="s">
        <v>21</v>
      </c>
      <c r="D63" s="49" t="s">
        <v>262</v>
      </c>
      <c r="E63" s="47">
        <v>122231</v>
      </c>
      <c r="G63" s="50" t="s">
        <v>89</v>
      </c>
      <c r="H63" s="51">
        <v>111.13</v>
      </c>
      <c r="J63" s="51">
        <v>6.29</v>
      </c>
      <c r="K63" s="52">
        <f>Tabela6[[#This Row],[CONSUMO]]*Tabela6[[#This Row],[VALOR UNIT]]-Tabela6[[#This Row],[DESCONTO]]</f>
        <v>699.0077</v>
      </c>
      <c r="L63" s="53">
        <f>Tabela6[[#This Row],[CUSTO TOTAL]]/Tabela6[[#This Row],[CONSUMO]]</f>
        <v>6.29</v>
      </c>
      <c r="M63" s="50">
        <f>Tabela6[[#This Row],[KM ATUAL]]-E51</f>
        <v>-462208</v>
      </c>
      <c r="N63" s="51">
        <f>Tabela6[[#This Row],[KM Rodados ]]/Tabela6[[#This Row],[CONSUMO]]</f>
        <v>-4159.1649419598671</v>
      </c>
    </row>
    <row r="64" spans="1:14" x14ac:dyDescent="0.25">
      <c r="A64" s="47">
        <v>275725</v>
      </c>
      <c r="B64" s="78">
        <v>44939</v>
      </c>
      <c r="C64" s="47" t="s">
        <v>17</v>
      </c>
      <c r="D64" s="49" t="s">
        <v>253</v>
      </c>
      <c r="E64" s="47">
        <v>333877</v>
      </c>
      <c r="G64" s="50" t="s">
        <v>89</v>
      </c>
      <c r="H64" s="51">
        <v>192.12</v>
      </c>
      <c r="I64" s="49">
        <v>57.64</v>
      </c>
      <c r="J64" s="51">
        <v>6.89</v>
      </c>
      <c r="K64" s="51">
        <f>Tabela6[[#This Row],[CONSUMO]]*Tabela6[[#This Row],[VALOR UNIT]]-Tabela6[[#This Row],[DESCONTO]]</f>
        <v>1266.0667999999998</v>
      </c>
      <c r="L64" s="53">
        <f>Tabela6[[#This Row],[CUSTO TOTAL]]/Tabela6[[#This Row],[CONSUMO]]</f>
        <v>6.5899791796793661</v>
      </c>
      <c r="M64" s="50">
        <f>Tabela6[[#This Row],[KM ATUAL]]-E31</f>
        <v>19837</v>
      </c>
      <c r="N64" s="51">
        <f>Tabela6[[#This Row],[KM Rodados ]]/Tabela6[[#This Row],[CONSUMO]]</f>
        <v>103.25317509889652</v>
      </c>
    </row>
    <row r="65" spans="1:14" x14ac:dyDescent="0.25">
      <c r="A65" s="47">
        <v>157144</v>
      </c>
      <c r="B65" s="78">
        <v>44939</v>
      </c>
      <c r="C65" s="47" t="s">
        <v>23</v>
      </c>
      <c r="D65" s="49" t="s">
        <v>262</v>
      </c>
      <c r="E65" s="47">
        <v>201946</v>
      </c>
      <c r="G65" s="50" t="s">
        <v>89</v>
      </c>
      <c r="H65" s="51">
        <v>43.289000000000001</v>
      </c>
      <c r="J65" s="51">
        <v>6.29</v>
      </c>
      <c r="K65" s="52">
        <f>Tabela6[[#This Row],[CONSUMO]]*Tabela6[[#This Row],[VALOR UNIT]]-Tabela6[[#This Row],[DESCONTO]]</f>
        <v>272.28781000000004</v>
      </c>
      <c r="L65" s="53">
        <f>Tabela6[[#This Row],[CUSTO TOTAL]]/Tabela6[[#This Row],[CONSUMO]]</f>
        <v>6.2900000000000009</v>
      </c>
      <c r="M65" s="50">
        <f>Tabela6[[#This Row],[KM ATUAL]]-E61</f>
        <v>104457</v>
      </c>
      <c r="N65" s="51">
        <f>Tabela6[[#This Row],[KM Rodados ]]/Tabela6[[#This Row],[CONSUMO]]</f>
        <v>2413.0148536579732</v>
      </c>
    </row>
    <row r="66" spans="1:14" x14ac:dyDescent="0.25">
      <c r="A66" s="47" t="s">
        <v>314</v>
      </c>
      <c r="B66" s="78">
        <v>44939</v>
      </c>
      <c r="C66" s="47" t="s">
        <v>40</v>
      </c>
      <c r="E66" s="47">
        <v>116363</v>
      </c>
      <c r="G66" s="50" t="s">
        <v>244</v>
      </c>
      <c r="H66" s="51">
        <v>22.65</v>
      </c>
      <c r="K66" s="52">
        <f>Tabela6[[#This Row],[CONSUMO]]*Tabela6[[#This Row],[VALOR UNIT]]-Tabela6[[#This Row],[DESCONTO]]</f>
        <v>0</v>
      </c>
      <c r="L66" s="53">
        <f>Tabela6[[#This Row],[CUSTO TOTAL]]/Tabela6[[#This Row],[CONSUMO]]</f>
        <v>0</v>
      </c>
      <c r="M66" s="50">
        <f>Tabela6[[#This Row],[KM ATUAL]]-E30</f>
        <v>19386</v>
      </c>
      <c r="N66" s="51">
        <f>Tabela6[[#This Row],[KM Rodados ]]/Tabela6[[#This Row],[CONSUMO]]</f>
        <v>855.89403973509934</v>
      </c>
    </row>
    <row r="67" spans="1:14" x14ac:dyDescent="0.25">
      <c r="A67" s="47">
        <v>543100</v>
      </c>
      <c r="B67" s="78">
        <v>44940</v>
      </c>
      <c r="C67" s="47" t="s">
        <v>9</v>
      </c>
      <c r="D67" s="49" t="s">
        <v>271</v>
      </c>
      <c r="E67" s="47">
        <v>584571</v>
      </c>
      <c r="G67" s="50" t="s">
        <v>89</v>
      </c>
      <c r="H67" s="51">
        <v>36.9</v>
      </c>
      <c r="J67" s="51">
        <v>6.29</v>
      </c>
      <c r="K67" s="52">
        <f>Tabela6[[#This Row],[CONSUMO]]*Tabela6[[#This Row],[VALOR UNIT]]-Tabela6[[#This Row],[DESCONTO]]</f>
        <v>232.101</v>
      </c>
      <c r="L67" s="53">
        <f>Tabela6[[#This Row],[CUSTO TOTAL]]/Tabela6[[#This Row],[CONSUMO]]</f>
        <v>6.29</v>
      </c>
      <c r="M67" s="50">
        <f>Tabela6[[#This Row],[KM ATUAL]]-E57</f>
        <v>305680</v>
      </c>
      <c r="N67" s="51">
        <f>Tabela6[[#This Row],[KM Rodados ]]/Tabela6[[#This Row],[CONSUMO]]</f>
        <v>8284.0108401084017</v>
      </c>
    </row>
    <row r="68" spans="1:14" x14ac:dyDescent="0.25">
      <c r="A68" s="47">
        <v>157295</v>
      </c>
      <c r="B68" s="78">
        <v>44940</v>
      </c>
      <c r="C68" s="47" t="s">
        <v>10</v>
      </c>
      <c r="D68" s="49" t="s">
        <v>262</v>
      </c>
      <c r="E68" s="47">
        <v>697998</v>
      </c>
      <c r="G68" s="50" t="s">
        <v>89</v>
      </c>
      <c r="H68" s="51">
        <v>126.161</v>
      </c>
      <c r="J68" s="51">
        <v>6.29</v>
      </c>
      <c r="K68" s="51">
        <f>Tabela6[[#This Row],[CONSUMO]]*Tabela6[[#This Row],[VALOR UNIT]]-Tabela6[[#This Row],[DESCONTO]]</f>
        <v>793.55268999999998</v>
      </c>
      <c r="L68" s="53">
        <f>Tabela6[[#This Row],[CUSTO TOTAL]]/Tabela6[[#This Row],[CONSUMO]]</f>
        <v>6.29</v>
      </c>
      <c r="M68" s="50"/>
    </row>
    <row r="69" spans="1:14" x14ac:dyDescent="0.25">
      <c r="A69" s="47">
        <v>157218</v>
      </c>
      <c r="B69" s="78">
        <v>44940</v>
      </c>
      <c r="C69" s="47" t="s">
        <v>20</v>
      </c>
      <c r="D69" s="49" t="s">
        <v>262</v>
      </c>
      <c r="E69" s="47">
        <v>224900</v>
      </c>
      <c r="G69" s="50" t="s">
        <v>89</v>
      </c>
      <c r="H69" s="51">
        <v>60.42</v>
      </c>
      <c r="J69" s="51">
        <v>6.29</v>
      </c>
      <c r="K69" s="51">
        <f>Tabela6[[#This Row],[CONSUMO]]*Tabela6[[#This Row],[VALOR UNIT]]-Tabela6[[#This Row],[DESCONTO]]</f>
        <v>380.04180000000002</v>
      </c>
      <c r="L69" s="53">
        <f>Tabela6[[#This Row],[CUSTO TOTAL]]/Tabela6[[#This Row],[CONSUMO]]</f>
        <v>6.29</v>
      </c>
      <c r="M69" s="50">
        <f>Tabela6[[#This Row],[KM ATUAL]]-E25</f>
        <v>151696</v>
      </c>
      <c r="N69" s="51">
        <f>Tabela6[[#This Row],[KM Rodados ]]/Tabela6[[#This Row],[CONSUMO]]</f>
        <v>2510.6918238993708</v>
      </c>
    </row>
    <row r="70" spans="1:14" x14ac:dyDescent="0.25">
      <c r="A70" s="47" t="s">
        <v>314</v>
      </c>
      <c r="B70" s="78">
        <v>44941</v>
      </c>
      <c r="C70" s="47" t="s">
        <v>215</v>
      </c>
      <c r="E70" s="47">
        <v>216362</v>
      </c>
      <c r="G70" s="50" t="s">
        <v>244</v>
      </c>
      <c r="H70" s="51">
        <v>41</v>
      </c>
      <c r="K70" s="52">
        <f>Tabela6[[#This Row],[CONSUMO]]*Tabela6[[#This Row],[VALOR UNIT]]-Tabela6[[#This Row],[DESCONTO]]</f>
        <v>0</v>
      </c>
      <c r="L70" s="53">
        <f>Tabela6[[#This Row],[CUSTO TOTAL]]/Tabela6[[#This Row],[CONSUMO]]</f>
        <v>0</v>
      </c>
      <c r="M70" s="50" t="e">
        <f>Tabela6[[#This Row],[KM ATUAL]]-#REF!</f>
        <v>#REF!</v>
      </c>
      <c r="N70" s="72" t="e">
        <f>Tabela6[[#This Row],[KM Rodados ]]/Tabela6[[#This Row],[CONSUMO]]</f>
        <v>#REF!</v>
      </c>
    </row>
    <row r="71" spans="1:14" x14ac:dyDescent="0.25">
      <c r="A71" s="47">
        <v>538796</v>
      </c>
      <c r="B71" s="78">
        <v>44941</v>
      </c>
      <c r="C71" s="47" t="s">
        <v>10</v>
      </c>
      <c r="D71" s="47" t="s">
        <v>265</v>
      </c>
      <c r="E71" s="47">
        <v>698554</v>
      </c>
      <c r="G71" s="50" t="s">
        <v>89</v>
      </c>
      <c r="H71" s="51">
        <v>189.39</v>
      </c>
      <c r="J71" s="51">
        <v>6.29</v>
      </c>
      <c r="K71" s="51">
        <f>Tabela6[[#This Row],[CONSUMO]]*Tabela6[[#This Row],[VALOR UNIT]]-Tabela6[[#This Row],[DESCONTO]]</f>
        <v>1191.2630999999999</v>
      </c>
      <c r="L71" s="53">
        <f>Tabela6[[#This Row],[CUSTO TOTAL]]/Tabela6[[#This Row],[CONSUMO]]</f>
        <v>6.29</v>
      </c>
      <c r="M71" s="50">
        <f>Tabela6[[#This Row],[KM ATUAL]]-E66</f>
        <v>582191</v>
      </c>
      <c r="N71" s="51">
        <f>Tabela6[[#This Row],[KM Rodados ]]/Tabela6[[#This Row],[CONSUMO]]</f>
        <v>3074.0324198743338</v>
      </c>
    </row>
    <row r="72" spans="1:14" x14ac:dyDescent="0.25">
      <c r="A72" s="47" t="s">
        <v>314</v>
      </c>
      <c r="B72" s="78">
        <v>44941</v>
      </c>
      <c r="C72" s="47" t="s">
        <v>14</v>
      </c>
      <c r="E72" s="47">
        <v>279275</v>
      </c>
      <c r="G72" s="50" t="s">
        <v>244</v>
      </c>
      <c r="H72" s="51">
        <v>26</v>
      </c>
      <c r="K72" s="52">
        <f>Tabela6[[#This Row],[CONSUMO]]*Tabela6[[#This Row],[VALOR UNIT]]-Tabela6[[#This Row],[DESCONTO]]</f>
        <v>0</v>
      </c>
      <c r="L72" s="53">
        <f>Tabela6[[#This Row],[CUSTO TOTAL]]/Tabela6[[#This Row],[CONSUMO]]</f>
        <v>0</v>
      </c>
      <c r="M72" s="50" t="e">
        <f>Tabela6[[#This Row],[KM ATUAL]]-#REF!</f>
        <v>#REF!</v>
      </c>
      <c r="N72" s="72" t="e">
        <f>Tabela6[[#This Row],[KM Rodados ]]/Tabela6[[#This Row],[CONSUMO]]</f>
        <v>#REF!</v>
      </c>
    </row>
    <row r="73" spans="1:14" x14ac:dyDescent="0.25">
      <c r="A73" s="47">
        <v>262566</v>
      </c>
      <c r="B73" s="78">
        <v>44941</v>
      </c>
      <c r="C73" s="47" t="s">
        <v>40</v>
      </c>
      <c r="D73" s="49" t="s">
        <v>276</v>
      </c>
      <c r="E73" s="47">
        <v>116649</v>
      </c>
      <c r="G73" s="50" t="s">
        <v>244</v>
      </c>
      <c r="H73" s="51">
        <v>21.748999999999999</v>
      </c>
      <c r="J73" s="51">
        <v>4.99</v>
      </c>
      <c r="K73" s="74">
        <f>Tabela6[[#This Row],[CONSUMO]]*Tabela6[[#This Row],[VALOR UNIT]]-Tabela6[[#This Row],[DESCONTO]]</f>
        <v>108.52750999999999</v>
      </c>
      <c r="L73" s="53">
        <f>Tabela6[[#This Row],[CUSTO TOTAL]]/Tabela6[[#This Row],[CONSUMO]]</f>
        <v>4.99</v>
      </c>
      <c r="M73" s="50">
        <f>Tabela6[[#This Row],[KM ATUAL]]-E72</f>
        <v>-162626</v>
      </c>
      <c r="N73" s="51">
        <f>Tabela6[[#This Row],[KM Rodados ]]/Tabela6[[#This Row],[CONSUMO]]</f>
        <v>-7477.4012598280387</v>
      </c>
    </row>
    <row r="74" spans="1:14" x14ac:dyDescent="0.25">
      <c r="A74" s="47">
        <v>549434</v>
      </c>
      <c r="B74" s="78">
        <v>44942</v>
      </c>
      <c r="C74" s="47" t="s">
        <v>9</v>
      </c>
      <c r="D74" s="49" t="s">
        <v>271</v>
      </c>
      <c r="E74" s="47">
        <v>584944</v>
      </c>
      <c r="G74" s="50" t="s">
        <v>89</v>
      </c>
      <c r="H74" s="51">
        <v>101.2</v>
      </c>
      <c r="J74" s="51">
        <v>6.09</v>
      </c>
      <c r="K74" s="51">
        <f>Tabela6[[#This Row],[CONSUMO]]*Tabela6[[#This Row],[VALOR UNIT]]-Tabela6[[#This Row],[DESCONTO]]</f>
        <v>616.30799999999999</v>
      </c>
      <c r="L74" s="53">
        <f>Tabela6[[#This Row],[CUSTO TOTAL]]/Tabela6[[#This Row],[CONSUMO]]</f>
        <v>6.09</v>
      </c>
      <c r="M74" s="50">
        <f>Tabela6[[#This Row],[KM ATUAL]]-E55</f>
        <v>219455</v>
      </c>
      <c r="N74" s="51">
        <f>Tabela6[[#This Row],[KM Rodados ]]/Tabela6[[#This Row],[CONSUMO]]</f>
        <v>2168.5276679841895</v>
      </c>
    </row>
    <row r="75" spans="1:14" x14ac:dyDescent="0.25">
      <c r="A75" s="47">
        <v>277730</v>
      </c>
      <c r="B75" s="78">
        <v>44942</v>
      </c>
      <c r="C75" s="47" t="s">
        <v>67</v>
      </c>
      <c r="D75" s="49" t="s">
        <v>253</v>
      </c>
      <c r="E75" s="47">
        <v>649456</v>
      </c>
      <c r="G75" s="50" t="s">
        <v>89</v>
      </c>
      <c r="H75" s="51">
        <v>125.9</v>
      </c>
      <c r="I75" s="49">
        <v>37.770000000000003</v>
      </c>
      <c r="J75" s="51">
        <v>6.89</v>
      </c>
      <c r="K75" s="51">
        <f>Tabela6[[#This Row],[CONSUMO]]*Tabela6[[#This Row],[VALOR UNIT]]-Tabela6[[#This Row],[DESCONTO]]</f>
        <v>829.68100000000004</v>
      </c>
      <c r="L75" s="53">
        <f>Tabela6[[#This Row],[CUSTO TOTAL]]/Tabela6[[#This Row],[CONSUMO]]</f>
        <v>6.59</v>
      </c>
      <c r="M75" s="50">
        <f>Tabela6[[#This Row],[KM ATUAL]]-E54</f>
        <v>284284</v>
      </c>
      <c r="N75" s="51">
        <f>Tabela6[[#This Row],[KM Rodados ]]/Tabela6[[#This Row],[CONSUMO]]</f>
        <v>2258.0142970611596</v>
      </c>
    </row>
    <row r="76" spans="1:14" x14ac:dyDescent="0.25">
      <c r="A76" s="47">
        <v>32987</v>
      </c>
      <c r="B76" s="78">
        <v>44942</v>
      </c>
      <c r="C76" s="47" t="s">
        <v>70</v>
      </c>
      <c r="D76" s="49" t="s">
        <v>263</v>
      </c>
      <c r="E76" s="47">
        <v>172633</v>
      </c>
      <c r="G76" s="50" t="s">
        <v>89</v>
      </c>
      <c r="H76" s="51">
        <v>611.84100000000001</v>
      </c>
      <c r="I76" s="49">
        <v>61.12</v>
      </c>
      <c r="J76" s="51">
        <v>6.32</v>
      </c>
      <c r="K76" s="51">
        <f>Tabela6[[#This Row],[CONSUMO]]*Tabela6[[#This Row],[VALOR UNIT]]-Tabela6[[#This Row],[DESCONTO]]</f>
        <v>3805.7151200000003</v>
      </c>
      <c r="L76" s="53">
        <f>Tabela6[[#This Row],[CUSTO TOTAL]]/Tabela6[[#This Row],[CONSUMO]]</f>
        <v>6.2201047657806523</v>
      </c>
      <c r="M76" s="50">
        <f>Tabela6[[#This Row],[KM ATUAL]]-E25</f>
        <v>99429</v>
      </c>
      <c r="N76" s="51">
        <f>Tabela6[[#This Row],[KM Rodados ]]/Tabela6[[#This Row],[CONSUMO]]</f>
        <v>162.50790646589556</v>
      </c>
    </row>
    <row r="77" spans="1:14" x14ac:dyDescent="0.25">
      <c r="A77" s="47">
        <v>32787</v>
      </c>
      <c r="B77" s="78">
        <v>44942</v>
      </c>
      <c r="C77" s="47" t="s">
        <v>203</v>
      </c>
      <c r="D77" s="49" t="s">
        <v>263</v>
      </c>
      <c r="E77" s="47">
        <v>73721</v>
      </c>
      <c r="G77" s="50" t="s">
        <v>244</v>
      </c>
      <c r="H77" s="51">
        <v>39.801000000000002</v>
      </c>
      <c r="J77" s="51">
        <v>4.87</v>
      </c>
      <c r="K77" s="51">
        <f>Tabela6[[#This Row],[CONSUMO]]*Tabela6[[#This Row],[VALOR UNIT]]-Tabela6[[#This Row],[DESCONTO]]</f>
        <v>193.83087</v>
      </c>
      <c r="L77" s="53">
        <f>Tabela6[[#This Row],[CUSTO TOTAL]]/Tabela6[[#This Row],[CONSUMO]]</f>
        <v>4.87</v>
      </c>
      <c r="M77" s="50">
        <f>Tabela6[[#This Row],[KM ATUAL]]-E18</f>
        <v>-568294</v>
      </c>
      <c r="N77" s="51">
        <f>Tabela6[[#This Row],[KM Rodados ]]/Tabela6[[#This Row],[CONSUMO]]</f>
        <v>-14278.384965201878</v>
      </c>
    </row>
    <row r="78" spans="1:14" x14ac:dyDescent="0.25">
      <c r="A78" s="47">
        <v>220432</v>
      </c>
      <c r="B78" s="78">
        <v>44942</v>
      </c>
      <c r="C78" s="47" t="s">
        <v>203</v>
      </c>
      <c r="D78" s="49" t="s">
        <v>263</v>
      </c>
      <c r="E78" s="47">
        <v>73888</v>
      </c>
      <c r="G78" s="50" t="s">
        <v>244</v>
      </c>
      <c r="H78" s="51">
        <v>13.97</v>
      </c>
      <c r="J78" s="51">
        <v>4.87</v>
      </c>
      <c r="K78" s="51">
        <f>Tabela6[[#This Row],[CONSUMO]]*Tabela6[[#This Row],[VALOR UNIT]]-Tabela6[[#This Row],[DESCONTO]]</f>
        <v>68.033900000000003</v>
      </c>
      <c r="L78" s="53">
        <f>Tabela6[[#This Row],[CUSTO TOTAL]]/Tabela6[[#This Row],[CONSUMO]]</f>
        <v>4.87</v>
      </c>
      <c r="M78" s="50">
        <f>Tabela6[[#This Row],[KM ATUAL]]-E76</f>
        <v>-98745</v>
      </c>
      <c r="N78" s="51">
        <f>Tabela6[[#This Row],[KM Rodados ]]/Tabela6[[#This Row],[CONSUMO]]</f>
        <v>-7068.3607730851818</v>
      </c>
    </row>
    <row r="79" spans="1:14" x14ac:dyDescent="0.25">
      <c r="A79" s="47">
        <v>157548</v>
      </c>
      <c r="B79" s="78">
        <v>44942</v>
      </c>
      <c r="C79" s="47" t="s">
        <v>73</v>
      </c>
      <c r="D79" s="49" t="s">
        <v>262</v>
      </c>
      <c r="E79" s="47">
        <v>106970</v>
      </c>
      <c r="G79" s="50" t="s">
        <v>89</v>
      </c>
      <c r="H79" s="51">
        <v>204.76900000000001</v>
      </c>
      <c r="J79" s="51">
        <v>6.29</v>
      </c>
      <c r="K79" s="51">
        <f>Tabela6[[#This Row],[CONSUMO]]*Tabela6[[#This Row],[VALOR UNIT]]-Tabela6[[#This Row],[DESCONTO]]</f>
        <v>1287.99701</v>
      </c>
      <c r="L79" s="53">
        <f>Tabela6[[#This Row],[CUSTO TOTAL]]/Tabela6[[#This Row],[CONSUMO]]</f>
        <v>6.29</v>
      </c>
      <c r="M79" s="50"/>
    </row>
    <row r="80" spans="1:14" x14ac:dyDescent="0.25">
      <c r="A80" s="47">
        <v>262726</v>
      </c>
      <c r="B80" s="78">
        <v>44942</v>
      </c>
      <c r="C80" s="47" t="s">
        <v>41</v>
      </c>
      <c r="D80" s="49" t="s">
        <v>276</v>
      </c>
      <c r="E80" s="47">
        <v>643408</v>
      </c>
      <c r="G80" s="50" t="s">
        <v>89</v>
      </c>
      <c r="H80" s="51">
        <v>151.83000000000001</v>
      </c>
      <c r="J80" s="51">
        <v>6.29</v>
      </c>
      <c r="K80" s="51">
        <f>Tabela6[[#This Row],[CONSUMO]]*Tabela6[[#This Row],[VALOR UNIT]]-Tabela6[[#This Row],[DESCONTO]]</f>
        <v>955.01070000000004</v>
      </c>
      <c r="L80" s="53">
        <f>Tabela6[[#This Row],[CUSTO TOTAL]]/Tabela6[[#This Row],[CONSUMO]]</f>
        <v>6.29</v>
      </c>
      <c r="M80" s="50">
        <f>Tabela6[[#This Row],[KM ATUAL]]-E54</f>
        <v>278236</v>
      </c>
      <c r="N80" s="51">
        <f>Tabela6[[#This Row],[KM Rodados ]]/Tabela6[[#This Row],[CONSUMO]]</f>
        <v>1832.5495620101428</v>
      </c>
    </row>
    <row r="81" spans="1:14" x14ac:dyDescent="0.25">
      <c r="A81" s="47" t="s">
        <v>314</v>
      </c>
      <c r="B81" s="78">
        <v>44942</v>
      </c>
      <c r="C81" s="47" t="s">
        <v>13</v>
      </c>
      <c r="E81" s="47">
        <v>585782</v>
      </c>
      <c r="G81" s="50" t="s">
        <v>89</v>
      </c>
      <c r="H81" s="51">
        <v>146.21</v>
      </c>
      <c r="K81" s="52">
        <f>Tabela6[[#This Row],[CONSUMO]]*Tabela6[[#This Row],[VALOR UNIT]]-Tabela6[[#This Row],[DESCONTO]]</f>
        <v>0</v>
      </c>
      <c r="L81" s="53">
        <f>Tabela6[[#This Row],[CUSTO TOTAL]]/Tabela6[[#This Row],[CONSUMO]]</f>
        <v>0</v>
      </c>
      <c r="M81" s="50">
        <f>Tabela6[[#This Row],[KM ATUAL]]-E23</f>
        <v>-265721</v>
      </c>
      <c r="N81" s="51">
        <f>Tabela6[[#This Row],[KM Rodados ]]/Tabela6[[#This Row],[CONSUMO]]</f>
        <v>-1817.3927911907529</v>
      </c>
    </row>
    <row r="82" spans="1:14" x14ac:dyDescent="0.25">
      <c r="A82" s="47" t="s">
        <v>314</v>
      </c>
      <c r="B82" s="78">
        <v>44942</v>
      </c>
      <c r="C82" s="47" t="s">
        <v>13</v>
      </c>
      <c r="E82" s="47">
        <v>586457</v>
      </c>
      <c r="G82" s="50" t="s">
        <v>89</v>
      </c>
      <c r="H82" s="51">
        <v>146.30000000000001</v>
      </c>
      <c r="K82" s="52">
        <f>Tabela6[[#This Row],[CONSUMO]]*Tabela6[[#This Row],[VALOR UNIT]]-Tabela6[[#This Row],[DESCONTO]]</f>
        <v>0</v>
      </c>
      <c r="L82" s="53">
        <f>Tabela6[[#This Row],[CUSTO TOTAL]]/Tabela6[[#This Row],[CONSUMO]]</f>
        <v>0</v>
      </c>
      <c r="M82" s="50">
        <f>Tabela6[[#This Row],[KM ATUAL]]-E81</f>
        <v>675</v>
      </c>
      <c r="N82" s="51">
        <f>Tabela6[[#This Row],[KM Rodados ]]/Tabela6[[#This Row],[CONSUMO]]</f>
        <v>4.6138072453861927</v>
      </c>
    </row>
    <row r="83" spans="1:14" x14ac:dyDescent="0.25">
      <c r="A83" s="47" t="s">
        <v>314</v>
      </c>
      <c r="B83" s="78">
        <v>44942</v>
      </c>
      <c r="C83" s="47" t="s">
        <v>13</v>
      </c>
      <c r="E83" s="47">
        <v>587137</v>
      </c>
      <c r="G83" s="50" t="s">
        <v>89</v>
      </c>
      <c r="H83" s="51">
        <v>142.12</v>
      </c>
      <c r="K83" s="52">
        <f>Tabela6[[#This Row],[CONSUMO]]*Tabela6[[#This Row],[VALOR UNIT]]-Tabela6[[#This Row],[DESCONTO]]</f>
        <v>0</v>
      </c>
      <c r="L83" s="53">
        <f>Tabela6[[#This Row],[CUSTO TOTAL]]/Tabela6[[#This Row],[CONSUMO]]</f>
        <v>0</v>
      </c>
      <c r="M83" s="50">
        <f>Tabela6[[#This Row],[KM ATUAL]]-E82</f>
        <v>680</v>
      </c>
      <c r="N83" s="51">
        <f>Tabela6[[#This Row],[KM Rodados ]]/Tabela6[[#This Row],[CONSUMO]]</f>
        <v>4.7846889952153111</v>
      </c>
    </row>
    <row r="84" spans="1:14" x14ac:dyDescent="0.25">
      <c r="A84" s="47" t="s">
        <v>314</v>
      </c>
      <c r="B84" s="78">
        <v>44942</v>
      </c>
      <c r="C84" s="47" t="s">
        <v>13</v>
      </c>
      <c r="E84" s="47">
        <v>587563</v>
      </c>
      <c r="G84" s="50" t="s">
        <v>89</v>
      </c>
      <c r="H84" s="51">
        <v>98.52</v>
      </c>
      <c r="K84" s="52">
        <f>Tabela6[[#This Row],[CONSUMO]]*Tabela6[[#This Row],[VALOR UNIT]]-Tabela6[[#This Row],[DESCONTO]]</f>
        <v>0</v>
      </c>
      <c r="L84" s="53">
        <f>Tabela6[[#This Row],[CUSTO TOTAL]]/Tabela6[[#This Row],[CONSUMO]]</f>
        <v>0</v>
      </c>
      <c r="M84" s="50">
        <f>Tabela6[[#This Row],[KM ATUAL]]-E83</f>
        <v>426</v>
      </c>
      <c r="N84" s="51">
        <f>Tabela6[[#This Row],[KM Rodados ]]/Tabela6[[#This Row],[CONSUMO]]</f>
        <v>4.3239951278928137</v>
      </c>
    </row>
    <row r="85" spans="1:14" x14ac:dyDescent="0.25">
      <c r="A85" s="47">
        <v>796273</v>
      </c>
      <c r="B85" s="78">
        <v>44942</v>
      </c>
      <c r="C85" s="47" t="s">
        <v>13</v>
      </c>
      <c r="D85" s="49" t="s">
        <v>233</v>
      </c>
      <c r="E85" s="47">
        <v>587832</v>
      </c>
      <c r="G85" s="50" t="s">
        <v>89</v>
      </c>
      <c r="H85" s="51">
        <v>61.280999999999999</v>
      </c>
      <c r="J85" s="51">
        <v>6.39</v>
      </c>
      <c r="K85" s="52">
        <f>Tabela6[[#This Row],[CONSUMO]]*Tabela6[[#This Row],[VALOR UNIT]]-Tabela6[[#This Row],[DESCONTO]]</f>
        <v>391.58558999999997</v>
      </c>
      <c r="L85" s="53">
        <f>Tabela6[[#This Row],[CUSTO TOTAL]]/Tabela6[[#This Row],[CONSUMO]]</f>
        <v>6.39</v>
      </c>
      <c r="M85" s="50">
        <f>Tabela6[[#This Row],[KM ATUAL]]-E84</f>
        <v>269</v>
      </c>
      <c r="N85" s="51">
        <f>Tabela6[[#This Row],[KM Rodados ]]/Tabela6[[#This Row],[CONSUMO]]</f>
        <v>4.3896150519736947</v>
      </c>
    </row>
    <row r="86" spans="1:14" x14ac:dyDescent="0.25">
      <c r="A86" s="47" t="s">
        <v>314</v>
      </c>
      <c r="B86" s="78">
        <v>44942</v>
      </c>
      <c r="C86" s="47" t="s">
        <v>15</v>
      </c>
      <c r="E86" s="47">
        <v>341327</v>
      </c>
      <c r="G86" s="50" t="s">
        <v>89</v>
      </c>
      <c r="H86" s="51">
        <v>96.3</v>
      </c>
      <c r="K86" s="52">
        <f>Tabela6[[#This Row],[CONSUMO]]*Tabela6[[#This Row],[VALOR UNIT]]-Tabela6[[#This Row],[DESCONTO]]</f>
        <v>0</v>
      </c>
      <c r="L86" s="53">
        <f>Tabela6[[#This Row],[CUSTO TOTAL]]/Tabela6[[#This Row],[CONSUMO]]</f>
        <v>0</v>
      </c>
      <c r="M86" s="50">
        <f>Tabela6[[#This Row],[KM ATUAL]]-E20</f>
        <v>117464</v>
      </c>
      <c r="N86" s="51">
        <f>Tabela6[[#This Row],[KM Rodados ]]/Tabela6[[#This Row],[CONSUMO]]</f>
        <v>1219.7715472481827</v>
      </c>
    </row>
    <row r="87" spans="1:14" x14ac:dyDescent="0.25">
      <c r="A87" s="47" t="s">
        <v>314</v>
      </c>
      <c r="B87" s="78">
        <v>44942</v>
      </c>
      <c r="C87" s="47" t="s">
        <v>15</v>
      </c>
      <c r="E87" s="47">
        <v>341828</v>
      </c>
      <c r="G87" s="50" t="s">
        <v>89</v>
      </c>
      <c r="H87" s="51">
        <v>94.5</v>
      </c>
      <c r="K87" s="52">
        <f>Tabela6[[#This Row],[CONSUMO]]*Tabela6[[#This Row],[VALOR UNIT]]-Tabela6[[#This Row],[DESCONTO]]</f>
        <v>0</v>
      </c>
      <c r="L87" s="53">
        <f>Tabela6[[#This Row],[CUSTO TOTAL]]/Tabela6[[#This Row],[CONSUMO]]</f>
        <v>0</v>
      </c>
      <c r="M87" s="50">
        <f>Tabela6[[#This Row],[KM ATUAL]]-E86</f>
        <v>501</v>
      </c>
      <c r="N87" s="51">
        <f>Tabela6[[#This Row],[KM Rodados ]]/Tabela6[[#This Row],[CONSUMO]]</f>
        <v>5.3015873015873014</v>
      </c>
    </row>
    <row r="88" spans="1:14" x14ac:dyDescent="0.25">
      <c r="A88" s="47" t="s">
        <v>314</v>
      </c>
      <c r="B88" s="78">
        <v>44942</v>
      </c>
      <c r="C88" s="47" t="s">
        <v>15</v>
      </c>
      <c r="E88" s="47">
        <v>342425</v>
      </c>
      <c r="G88" s="50" t="s">
        <v>89</v>
      </c>
      <c r="H88" s="51">
        <v>102.3</v>
      </c>
      <c r="K88" s="52">
        <f>Tabela6[[#This Row],[CONSUMO]]*Tabela6[[#This Row],[VALOR UNIT]]-Tabela6[[#This Row],[DESCONTO]]</f>
        <v>0</v>
      </c>
      <c r="L88" s="53">
        <f>Tabela6[[#This Row],[CUSTO TOTAL]]/Tabela6[[#This Row],[CONSUMO]]</f>
        <v>0</v>
      </c>
      <c r="M88" s="50">
        <f>Tabela6[[#This Row],[KM ATUAL]]-E87</f>
        <v>597</v>
      </c>
      <c r="N88" s="51">
        <f>Tabela6[[#This Row],[KM Rodados ]]/Tabela6[[#This Row],[CONSUMO]]</f>
        <v>5.8357771260997069</v>
      </c>
    </row>
    <row r="89" spans="1:14" x14ac:dyDescent="0.25">
      <c r="A89" s="47">
        <v>157555</v>
      </c>
      <c r="B89" s="78">
        <v>44942</v>
      </c>
      <c r="C89" s="47" t="s">
        <v>15</v>
      </c>
      <c r="D89" s="49" t="s">
        <v>262</v>
      </c>
      <c r="E89" s="47">
        <v>342848</v>
      </c>
      <c r="G89" s="50" t="s">
        <v>89</v>
      </c>
      <c r="H89" s="51">
        <v>71.27</v>
      </c>
      <c r="J89" s="51">
        <v>6.29</v>
      </c>
      <c r="K89" s="52">
        <f>Tabela6[[#This Row],[CONSUMO]]*Tabela6[[#This Row],[VALOR UNIT]]-Tabela6[[#This Row],[DESCONTO]]</f>
        <v>448.28829999999999</v>
      </c>
      <c r="L89" s="53">
        <f>Tabela6[[#This Row],[CUSTO TOTAL]]/Tabela6[[#This Row],[CONSUMO]]</f>
        <v>6.29</v>
      </c>
      <c r="M89" s="50">
        <f>Tabela6[[#This Row],[KM ATUAL]]-E88</f>
        <v>423</v>
      </c>
      <c r="N89" s="51">
        <f>Tabela6[[#This Row],[KM Rodados ]]/Tabela6[[#This Row],[CONSUMO]]</f>
        <v>5.9351760909218472</v>
      </c>
    </row>
    <row r="90" spans="1:14" x14ac:dyDescent="0.25">
      <c r="A90" s="47">
        <v>157617</v>
      </c>
      <c r="B90" s="78">
        <v>44943</v>
      </c>
      <c r="C90" s="47" t="s">
        <v>72</v>
      </c>
      <c r="D90" s="49" t="s">
        <v>262</v>
      </c>
      <c r="E90" s="47">
        <v>365758</v>
      </c>
      <c r="G90" s="50" t="s">
        <v>89</v>
      </c>
      <c r="H90" s="51">
        <v>43.359000000000002</v>
      </c>
      <c r="J90" s="51">
        <v>6.29</v>
      </c>
      <c r="K90" s="51">
        <f>Tabela6[[#This Row],[CONSUMO]]*Tabela6[[#This Row],[VALOR UNIT]]-Tabela6[[#This Row],[DESCONTO]]</f>
        <v>272.72811000000002</v>
      </c>
      <c r="L90" s="53">
        <f>Tabela6[[#This Row],[CUSTO TOTAL]]/Tabela6[[#This Row],[CONSUMO]]</f>
        <v>6.29</v>
      </c>
      <c r="M90" s="50">
        <f>Tabela6[[#This Row],[KM ATUAL]]-E51</f>
        <v>-218681</v>
      </c>
      <c r="N90" s="51">
        <f>Tabela6[[#This Row],[KM Rodados ]]/Tabela6[[#This Row],[CONSUMO]]</f>
        <v>-5043.4973131299148</v>
      </c>
    </row>
    <row r="91" spans="1:14" x14ac:dyDescent="0.25">
      <c r="A91" s="47" t="s">
        <v>314</v>
      </c>
      <c r="B91" s="78">
        <v>44943</v>
      </c>
      <c r="C91" s="47" t="s">
        <v>10</v>
      </c>
      <c r="E91" s="47">
        <v>699122</v>
      </c>
      <c r="G91" s="50" t="s">
        <v>89</v>
      </c>
      <c r="H91" s="51">
        <v>179.52</v>
      </c>
      <c r="K91" s="52">
        <f>Tabela6[[#This Row],[CONSUMO]]*Tabela6[[#This Row],[VALOR UNIT]]-Tabela6[[#This Row],[DESCONTO]]</f>
        <v>0</v>
      </c>
      <c r="L91" s="53">
        <f>Tabela6[[#This Row],[CUSTO TOTAL]]/Tabela6[[#This Row],[CONSUMO]]</f>
        <v>0</v>
      </c>
      <c r="M91" s="50">
        <f>Tabela6[[#This Row],[KM ATUAL]]-E74</f>
        <v>114178</v>
      </c>
      <c r="N91" s="51">
        <f>Tabela6[[#This Row],[KM Rodados ]]/Tabela6[[#This Row],[CONSUMO]]</f>
        <v>636.01827094474152</v>
      </c>
    </row>
    <row r="92" spans="1:14" x14ac:dyDescent="0.25">
      <c r="A92" s="47">
        <v>1394555</v>
      </c>
      <c r="B92" s="78">
        <v>44943</v>
      </c>
      <c r="C92" s="47" t="s">
        <v>10</v>
      </c>
      <c r="D92" s="47" t="s">
        <v>252</v>
      </c>
      <c r="E92" s="47">
        <v>699690</v>
      </c>
      <c r="G92" s="50" t="s">
        <v>89</v>
      </c>
      <c r="H92" s="51">
        <v>176.47</v>
      </c>
      <c r="J92" s="51">
        <v>6.06</v>
      </c>
      <c r="K92" s="52">
        <f>Tabela6[[#This Row],[CONSUMO]]*Tabela6[[#This Row],[VALOR UNIT]]-Tabela6[[#This Row],[DESCONTO]]</f>
        <v>1069.4081999999999</v>
      </c>
      <c r="L92" s="53">
        <f>Tabela6[[#This Row],[CUSTO TOTAL]]/Tabela6[[#This Row],[CONSUMO]]</f>
        <v>6.06</v>
      </c>
      <c r="M92" s="50">
        <f>Tabela6[[#This Row],[KM ATUAL]]-E91</f>
        <v>568</v>
      </c>
      <c r="N92" s="51">
        <f>Tabela6[[#This Row],[KM Rodados ]]/Tabela6[[#This Row],[CONSUMO]]</f>
        <v>3.2186773955913188</v>
      </c>
    </row>
    <row r="93" spans="1:14" x14ac:dyDescent="0.25">
      <c r="A93" s="47" t="s">
        <v>314</v>
      </c>
      <c r="B93" s="78">
        <v>44943</v>
      </c>
      <c r="C93" s="47" t="s">
        <v>23</v>
      </c>
      <c r="E93" s="47">
        <v>202325</v>
      </c>
      <c r="G93" s="50" t="s">
        <v>89</v>
      </c>
      <c r="H93" s="51">
        <v>85.3</v>
      </c>
      <c r="K93" s="52">
        <f>Tabela6[[#This Row],[CONSUMO]]*Tabela6[[#This Row],[VALOR UNIT]]-Tabela6[[#This Row],[DESCONTO]]</f>
        <v>0</v>
      </c>
      <c r="L93" s="53">
        <f>Tabela6[[#This Row],[CUSTO TOTAL]]/Tabela6[[#This Row],[CONSUMO]]</f>
        <v>0</v>
      </c>
      <c r="M93" s="50">
        <f>Tabela6[[#This Row],[KM ATUAL]]-E62</f>
        <v>-446578</v>
      </c>
      <c r="N93" s="51">
        <f>Tabela6[[#This Row],[KM Rodados ]]/Tabela6[[#This Row],[CONSUMO]]</f>
        <v>-5235.381008206331</v>
      </c>
    </row>
    <row r="94" spans="1:14" x14ac:dyDescent="0.25">
      <c r="A94" s="47">
        <v>157658</v>
      </c>
      <c r="B94" s="78">
        <v>44943</v>
      </c>
      <c r="C94" s="47" t="s">
        <v>23</v>
      </c>
      <c r="D94" s="49" t="s">
        <v>262</v>
      </c>
      <c r="E94" s="47">
        <v>202812</v>
      </c>
      <c r="G94" s="50" t="s">
        <v>89</v>
      </c>
      <c r="H94" s="51">
        <v>119.24</v>
      </c>
      <c r="J94" s="51">
        <v>6.29</v>
      </c>
      <c r="K94" s="52">
        <f>Tabela6[[#This Row],[CONSUMO]]*Tabela6[[#This Row],[VALOR UNIT]]-Tabela6[[#This Row],[DESCONTO]]</f>
        <v>750.01959999999997</v>
      </c>
      <c r="L94" s="53">
        <f>Tabela6[[#This Row],[CUSTO TOTAL]]/Tabela6[[#This Row],[CONSUMO]]</f>
        <v>6.29</v>
      </c>
      <c r="M94" s="50">
        <f>Tabela6[[#This Row],[KM ATUAL]]-E93</f>
        <v>487</v>
      </c>
      <c r="N94" s="51">
        <f>Tabela6[[#This Row],[KM Rodados ]]/Tabela6[[#This Row],[CONSUMO]]</f>
        <v>4.0841999329084198</v>
      </c>
    </row>
    <row r="95" spans="1:14" x14ac:dyDescent="0.25">
      <c r="A95" s="47">
        <v>262983</v>
      </c>
      <c r="B95" s="78">
        <v>44943</v>
      </c>
      <c r="C95" s="47" t="s">
        <v>40</v>
      </c>
      <c r="D95" s="49" t="s">
        <v>276</v>
      </c>
      <c r="E95" s="47">
        <v>117047</v>
      </c>
      <c r="G95" s="50" t="s">
        <v>244</v>
      </c>
      <c r="H95" s="51">
        <v>33.350999999999999</v>
      </c>
      <c r="J95" s="51">
        <v>4.99</v>
      </c>
      <c r="K95" s="74">
        <f>Tabela6[[#This Row],[CONSUMO]]*Tabela6[[#This Row],[VALOR UNIT]]-Tabela6[[#This Row],[DESCONTO]]</f>
        <v>166.42149000000001</v>
      </c>
      <c r="L95" s="53">
        <f>Tabela6[[#This Row],[CUSTO TOTAL]]/Tabela6[[#This Row],[CONSUMO]]</f>
        <v>4.99</v>
      </c>
      <c r="M95" s="50">
        <f>Tabela6[[#This Row],[KM ATUAL]]-E75</f>
        <v>-532409</v>
      </c>
      <c r="N95" s="51">
        <f>Tabela6[[#This Row],[KM Rodados ]]/Tabela6[[#This Row],[CONSUMO]]</f>
        <v>-15963.809181134</v>
      </c>
    </row>
    <row r="96" spans="1:14" x14ac:dyDescent="0.25">
      <c r="A96" s="47">
        <v>33606</v>
      </c>
      <c r="B96" s="78">
        <v>44943</v>
      </c>
      <c r="C96" s="47" t="s">
        <v>74</v>
      </c>
      <c r="D96" s="49" t="s">
        <v>263</v>
      </c>
      <c r="E96" s="47">
        <v>26754</v>
      </c>
      <c r="G96" s="50" t="s">
        <v>89</v>
      </c>
      <c r="H96" s="51">
        <v>87.14</v>
      </c>
      <c r="I96" s="49">
        <v>8.7100000000000009</v>
      </c>
      <c r="J96" s="51">
        <v>6.32</v>
      </c>
      <c r="K96" s="51">
        <f>Tabela6[[#This Row],[CONSUMO]]*Tabela6[[#This Row],[VALOR UNIT]]-Tabela6[[#This Row],[DESCONTO]]</f>
        <v>542.01480000000004</v>
      </c>
      <c r="L96" s="53">
        <f>Tabela6[[#This Row],[CUSTO TOTAL]]/Tabela6[[#This Row],[CONSUMO]]</f>
        <v>6.2200459031443653</v>
      </c>
      <c r="M96" s="50"/>
    </row>
    <row r="97" spans="1:14" x14ac:dyDescent="0.25">
      <c r="A97" s="47">
        <v>279289</v>
      </c>
      <c r="B97" s="78">
        <v>44944</v>
      </c>
      <c r="C97" s="47" t="s">
        <v>67</v>
      </c>
      <c r="D97" s="49" t="s">
        <v>253</v>
      </c>
      <c r="E97" s="47">
        <v>649787</v>
      </c>
      <c r="G97" s="50" t="s">
        <v>89</v>
      </c>
      <c r="H97" s="51">
        <v>92.4</v>
      </c>
      <c r="I97" s="49">
        <v>27.72</v>
      </c>
      <c r="J97" s="51">
        <v>6.89</v>
      </c>
      <c r="K97" s="51">
        <f>Tabela6[[#This Row],[CONSUMO]]*Tabela6[[#This Row],[VALOR UNIT]]-Tabela6[[#This Row],[DESCONTO]]</f>
        <v>608.91599999999994</v>
      </c>
      <c r="L97" s="53">
        <f>Tabela6[[#This Row],[CUSTO TOTAL]]/Tabela6[[#This Row],[CONSUMO]]</f>
        <v>6.589999999999999</v>
      </c>
      <c r="M97" s="50">
        <f>Tabela6[[#This Row],[KM ATUAL]]-E80</f>
        <v>6379</v>
      </c>
      <c r="N97" s="51">
        <f>Tabela6[[#This Row],[KM Rodados ]]/Tabela6[[#This Row],[CONSUMO]]</f>
        <v>69.03679653679653</v>
      </c>
    </row>
    <row r="98" spans="1:14" x14ac:dyDescent="0.25">
      <c r="A98" s="47" t="s">
        <v>314</v>
      </c>
      <c r="B98" s="78">
        <v>44944</v>
      </c>
      <c r="C98" s="47" t="s">
        <v>72</v>
      </c>
      <c r="E98" s="47">
        <v>366064</v>
      </c>
      <c r="G98" s="50" t="s">
        <v>89</v>
      </c>
      <c r="H98" s="51">
        <v>38.119999999999997</v>
      </c>
      <c r="K98" s="52">
        <f>Tabela6[[#This Row],[CONSUMO]]*Tabela6[[#This Row],[VALOR UNIT]]-Tabela6[[#This Row],[DESCONTO]]</f>
        <v>0</v>
      </c>
      <c r="L98" s="53">
        <f>Tabela6[[#This Row],[CUSTO TOTAL]]/Tabela6[[#This Row],[CONSUMO]]</f>
        <v>0</v>
      </c>
      <c r="M98" s="50">
        <f>Tabela6[[#This Row],[KM ATUAL]]-E91</f>
        <v>-333058</v>
      </c>
      <c r="N98" s="51">
        <f>Tabela6[[#This Row],[KM Rodados ]]/Tabela6[[#This Row],[CONSUMO]]</f>
        <v>-8737.093389296957</v>
      </c>
    </row>
    <row r="99" spans="1:14" x14ac:dyDescent="0.25">
      <c r="A99" s="47">
        <v>157853</v>
      </c>
      <c r="B99" s="78">
        <v>44944</v>
      </c>
      <c r="C99" s="47" t="s">
        <v>72</v>
      </c>
      <c r="D99" s="49" t="s">
        <v>262</v>
      </c>
      <c r="E99" s="47">
        <v>366371</v>
      </c>
      <c r="G99" s="50" t="s">
        <v>89</v>
      </c>
      <c r="H99" s="51">
        <v>42.93</v>
      </c>
      <c r="J99" s="51">
        <v>6.29</v>
      </c>
      <c r="K99" s="52">
        <f>Tabela6[[#This Row],[CONSUMO]]*Tabela6[[#This Row],[VALOR UNIT]]-Tabela6[[#This Row],[DESCONTO]]</f>
        <v>270.02969999999999</v>
      </c>
      <c r="L99" s="53">
        <f>Tabela6[[#This Row],[CUSTO TOTAL]]/Tabela6[[#This Row],[CONSUMO]]</f>
        <v>6.29</v>
      </c>
      <c r="M99" s="50">
        <f>Tabela6[[#This Row],[KM ATUAL]]-E98</f>
        <v>307</v>
      </c>
      <c r="N99" s="51">
        <f>Tabela6[[#This Row],[KM Rodados ]]/Tabela6[[#This Row],[CONSUMO]]</f>
        <v>7.151176333566271</v>
      </c>
    </row>
    <row r="100" spans="1:14" x14ac:dyDescent="0.25">
      <c r="A100" s="47">
        <v>33871</v>
      </c>
      <c r="B100" s="78">
        <v>44944</v>
      </c>
      <c r="C100" s="47" t="s">
        <v>71</v>
      </c>
      <c r="D100" s="49" t="s">
        <v>263</v>
      </c>
      <c r="E100" s="47">
        <v>77866</v>
      </c>
      <c r="G100" s="50" t="s">
        <v>89</v>
      </c>
      <c r="H100" s="51">
        <v>563.13</v>
      </c>
      <c r="I100" s="49">
        <v>56.32</v>
      </c>
      <c r="J100" s="51">
        <v>6.32</v>
      </c>
      <c r="K100" s="51">
        <f>Tabela6[[#This Row],[CONSUMO]]*Tabela6[[#This Row],[VALOR UNIT]]-Tabela6[[#This Row],[DESCONTO]]</f>
        <v>3502.6615999999999</v>
      </c>
      <c r="L100" s="53">
        <f>Tabela6[[#This Row],[CUSTO TOTAL]]/Tabela6[[#This Row],[CONSUMO]]</f>
        <v>6.2199875694777402</v>
      </c>
      <c r="M100" s="50">
        <f>Tabela6[[#This Row],[KM ATUAL]]-E45</f>
        <v>-774712</v>
      </c>
      <c r="N100" s="51">
        <f>Tabela6[[#This Row],[KM Rodados ]]/Tabela6[[#This Row],[CONSUMO]]</f>
        <v>-1375.7249658160638</v>
      </c>
    </row>
    <row r="101" spans="1:14" x14ac:dyDescent="0.25">
      <c r="A101" s="47">
        <v>157769</v>
      </c>
      <c r="B101" s="78">
        <v>44944</v>
      </c>
      <c r="C101" s="47" t="s">
        <v>21</v>
      </c>
      <c r="D101" s="49" t="s">
        <v>262</v>
      </c>
      <c r="E101" s="47">
        <v>122714</v>
      </c>
      <c r="G101" s="50" t="s">
        <v>89</v>
      </c>
      <c r="H101" s="51">
        <v>118.289</v>
      </c>
      <c r="J101" s="51">
        <v>6.29</v>
      </c>
      <c r="K101" s="52">
        <f>Tabela6[[#This Row],[CONSUMO]]*Tabela6[[#This Row],[VALOR UNIT]]-Tabela6[[#This Row],[DESCONTO]]</f>
        <v>744.03781000000004</v>
      </c>
      <c r="L101" s="53">
        <f>Tabela6[[#This Row],[CUSTO TOTAL]]/Tabela6[[#This Row],[CONSUMO]]</f>
        <v>6.29</v>
      </c>
      <c r="M101" s="50">
        <f>Tabela6[[#This Row],[KM ATUAL]]-E66</f>
        <v>6351</v>
      </c>
      <c r="N101" s="51">
        <f>Tabela6[[#This Row],[KM Rodados ]]/Tabela6[[#This Row],[CONSUMO]]</f>
        <v>53.690537581685533</v>
      </c>
    </row>
    <row r="102" spans="1:14" x14ac:dyDescent="0.25">
      <c r="A102" s="47" t="s">
        <v>314</v>
      </c>
      <c r="B102" s="78">
        <v>44944</v>
      </c>
      <c r="C102" s="47" t="s">
        <v>206</v>
      </c>
      <c r="E102" s="47">
        <v>908983</v>
      </c>
      <c r="G102" s="50" t="s">
        <v>89</v>
      </c>
      <c r="H102" s="51">
        <v>395.3</v>
      </c>
      <c r="K102" s="52">
        <f>Tabela6[[#This Row],[CONSUMO]]*Tabela6[[#This Row],[VALOR UNIT]]-Tabela6[[#This Row],[DESCONTO]]</f>
        <v>0</v>
      </c>
      <c r="L102" s="53">
        <f>Tabela6[[#This Row],[CUSTO TOTAL]]/Tabela6[[#This Row],[CONSUMO]]</f>
        <v>0</v>
      </c>
      <c r="M102" s="50">
        <f>Tabela6[[#This Row],[KM ATUAL]]-E39</f>
        <v>544434</v>
      </c>
      <c r="N102" s="51">
        <f>Tabela6[[#This Row],[KM Rodados ]]/Tabela6[[#This Row],[CONSUMO]]</f>
        <v>1377.2678977991397</v>
      </c>
    </row>
    <row r="103" spans="1:14" x14ac:dyDescent="0.25">
      <c r="A103" s="47" t="s">
        <v>314</v>
      </c>
      <c r="B103" s="78">
        <v>44944</v>
      </c>
      <c r="C103" s="47" t="s">
        <v>206</v>
      </c>
      <c r="E103" s="47">
        <v>910356</v>
      </c>
      <c r="G103" s="50" t="s">
        <v>89</v>
      </c>
      <c r="H103" s="51">
        <v>542.29999999999995</v>
      </c>
      <c r="K103" s="52">
        <f>Tabela6[[#This Row],[CONSUMO]]*Tabela6[[#This Row],[VALOR UNIT]]-Tabela6[[#This Row],[DESCONTO]]</f>
        <v>0</v>
      </c>
      <c r="L103" s="53">
        <f>Tabela6[[#This Row],[CUSTO TOTAL]]/Tabela6[[#This Row],[CONSUMO]]</f>
        <v>0</v>
      </c>
      <c r="M103" s="50">
        <f>Tabela6[[#This Row],[KM ATUAL]]-E102</f>
        <v>1373</v>
      </c>
      <c r="N103" s="51">
        <f>Tabela6[[#This Row],[KM Rodados ]]/Tabela6[[#This Row],[CONSUMO]]</f>
        <v>2.5318089618292459</v>
      </c>
    </row>
    <row r="104" spans="1:14" x14ac:dyDescent="0.25">
      <c r="A104" s="47">
        <v>33803</v>
      </c>
      <c r="B104" s="78">
        <v>44944</v>
      </c>
      <c r="C104" s="47" t="s">
        <v>206</v>
      </c>
      <c r="D104" s="49" t="s">
        <v>263</v>
      </c>
      <c r="E104" s="47">
        <v>910987</v>
      </c>
      <c r="G104" s="50" t="s">
        <v>89</v>
      </c>
      <c r="H104" s="51">
        <v>236.12100000000001</v>
      </c>
      <c r="I104" s="49">
        <v>23.61</v>
      </c>
      <c r="J104" s="51">
        <v>6.32</v>
      </c>
      <c r="K104" s="52">
        <f>Tabela6[[#This Row],[CONSUMO]]*Tabela6[[#This Row],[VALOR UNIT]]-Tabela6[[#This Row],[DESCONTO]]</f>
        <v>1468.6747200000002</v>
      </c>
      <c r="L104" s="53">
        <f>Tabela6[[#This Row],[CUSTO TOTAL]]/Tabela6[[#This Row],[CONSUMO]]</f>
        <v>6.220008893745157</v>
      </c>
      <c r="M104" s="50">
        <f>Tabela6[[#This Row],[KM ATUAL]]-E103</f>
        <v>631</v>
      </c>
      <c r="N104" s="51">
        <f>Tabela6[[#This Row],[KM Rodados ]]/Tabela6[[#This Row],[CONSUMO]]</f>
        <v>2.6723586635665613</v>
      </c>
    </row>
    <row r="105" spans="1:14" x14ac:dyDescent="0.25">
      <c r="A105" s="47" t="s">
        <v>314</v>
      </c>
      <c r="B105" s="78">
        <v>44944</v>
      </c>
      <c r="C105" s="47" t="s">
        <v>14</v>
      </c>
      <c r="E105" s="47">
        <v>279695</v>
      </c>
      <c r="G105" s="50" t="s">
        <v>244</v>
      </c>
      <c r="H105" s="51">
        <v>36.5</v>
      </c>
      <c r="K105" s="52">
        <f>Tabela6[[#This Row],[CONSUMO]]*Tabela6[[#This Row],[VALOR UNIT]]-Tabela6[[#This Row],[DESCONTO]]</f>
        <v>0</v>
      </c>
      <c r="L105" s="53">
        <f>Tabela6[[#This Row],[CUSTO TOTAL]]/Tabela6[[#This Row],[CONSUMO]]</f>
        <v>0</v>
      </c>
      <c r="M105" s="50">
        <f>Tabela6[[#This Row],[KM ATUAL]]-E104</f>
        <v>-631292</v>
      </c>
      <c r="N105" s="72">
        <f>Tabela6[[#This Row],[KM Rodados ]]/Tabela6[[#This Row],[CONSUMO]]</f>
        <v>-17295.671232876713</v>
      </c>
    </row>
    <row r="106" spans="1:14" x14ac:dyDescent="0.25">
      <c r="A106" s="47">
        <v>157847</v>
      </c>
      <c r="B106" s="78">
        <v>44944</v>
      </c>
      <c r="C106" s="47" t="s">
        <v>15</v>
      </c>
      <c r="D106" s="49" t="s">
        <v>262</v>
      </c>
      <c r="E106" s="47">
        <v>343408</v>
      </c>
      <c r="G106" s="50" t="s">
        <v>89</v>
      </c>
      <c r="H106" s="51">
        <v>100.28</v>
      </c>
      <c r="J106" s="51">
        <v>6.29</v>
      </c>
      <c r="K106" s="51">
        <f>Tabela6[[#This Row],[CONSUMO]]*Tabela6[[#This Row],[VALOR UNIT]]-Tabela6[[#This Row],[DESCONTO]]</f>
        <v>630.76120000000003</v>
      </c>
      <c r="L106" s="53">
        <f>Tabela6[[#This Row],[CUSTO TOTAL]]/Tabela6[[#This Row],[CONSUMO]]</f>
        <v>6.29</v>
      </c>
      <c r="M106" s="50">
        <f>Tabela6[[#This Row],[KM ATUAL]]-E92</f>
        <v>-356282</v>
      </c>
      <c r="N106" s="51">
        <f>Tabela6[[#This Row],[KM Rodados ]]/Tabela6[[#This Row],[CONSUMO]]</f>
        <v>-3552.8719585161548</v>
      </c>
    </row>
    <row r="107" spans="1:14" x14ac:dyDescent="0.25">
      <c r="A107" s="47">
        <v>157851</v>
      </c>
      <c r="B107" s="78">
        <v>44944</v>
      </c>
      <c r="C107" s="47" t="s">
        <v>20</v>
      </c>
      <c r="D107" s="49" t="s">
        <v>262</v>
      </c>
      <c r="E107" s="47">
        <v>225249</v>
      </c>
      <c r="G107" s="50" t="s">
        <v>89</v>
      </c>
      <c r="H107" s="51">
        <v>47.58</v>
      </c>
      <c r="J107" s="51">
        <v>6.29</v>
      </c>
      <c r="K107" s="51">
        <f>Tabela6[[#This Row],[CONSUMO]]*Tabela6[[#This Row],[VALOR UNIT]]-Tabela6[[#This Row],[DESCONTO]]</f>
        <v>299.27819999999997</v>
      </c>
      <c r="L107" s="53">
        <f>Tabela6[[#This Row],[CUSTO TOTAL]]/Tabela6[[#This Row],[CONSUMO]]</f>
        <v>6.2899999999999991</v>
      </c>
      <c r="M107" s="50">
        <f>Tabela6[[#This Row],[KM ATUAL]]-E77</f>
        <v>151528</v>
      </c>
      <c r="N107" s="51">
        <f>Tabela6[[#This Row],[KM Rodados ]]/Tabela6[[#This Row],[CONSUMO]]</f>
        <v>3184.6994535519125</v>
      </c>
    </row>
    <row r="108" spans="1:14" x14ac:dyDescent="0.25">
      <c r="A108" s="47">
        <v>34054</v>
      </c>
      <c r="B108" s="78">
        <v>44944</v>
      </c>
      <c r="C108" s="47" t="s">
        <v>23</v>
      </c>
      <c r="D108" s="49" t="s">
        <v>263</v>
      </c>
      <c r="E108" s="47">
        <v>203317</v>
      </c>
      <c r="G108" s="50" t="s">
        <v>89</v>
      </c>
      <c r="H108" s="51">
        <v>109.66</v>
      </c>
      <c r="I108" s="49">
        <v>10.97</v>
      </c>
      <c r="J108" s="51">
        <v>6.32</v>
      </c>
      <c r="K108" s="51">
        <f>Tabela6[[#This Row],[CONSUMO]]*Tabela6[[#This Row],[VALOR UNIT]]-Tabela6[[#This Row],[DESCONTO]]</f>
        <v>682.08119999999997</v>
      </c>
      <c r="L108" s="53">
        <f>Tabela6[[#This Row],[CUSTO TOTAL]]/Tabela6[[#This Row],[CONSUMO]]</f>
        <v>6.2199635236184569</v>
      </c>
      <c r="M108" s="50">
        <f>Tabela6[[#This Row],[KM ATUAL]]-E100</f>
        <v>125451</v>
      </c>
      <c r="N108" s="51">
        <f>Tabela6[[#This Row],[KM Rodados ]]/Tabela6[[#This Row],[CONSUMO]]</f>
        <v>1143.9996352361845</v>
      </c>
    </row>
    <row r="109" spans="1:14" x14ac:dyDescent="0.25">
      <c r="A109" s="47">
        <v>345753</v>
      </c>
      <c r="B109" s="78">
        <v>44945</v>
      </c>
      <c r="C109" s="47" t="s">
        <v>68</v>
      </c>
      <c r="D109" s="49" t="s">
        <v>258</v>
      </c>
      <c r="E109" s="47">
        <v>852578</v>
      </c>
      <c r="G109" s="50" t="s">
        <v>241</v>
      </c>
      <c r="H109" s="51">
        <v>36</v>
      </c>
      <c r="J109" s="51">
        <v>3</v>
      </c>
      <c r="K109" s="51">
        <f>Tabela6[[#This Row],[CONSUMO]]*Tabela6[[#This Row],[VALOR UNIT]]-Tabela6[[#This Row],[DESCONTO]]</f>
        <v>108</v>
      </c>
      <c r="L109" s="53">
        <f>Tabela6[[#This Row],[CUSTO TOTAL]]/Tabela6[[#This Row],[CONSUMO]]</f>
        <v>3</v>
      </c>
      <c r="M109" s="50"/>
      <c r="N109" s="49"/>
    </row>
    <row r="110" spans="1:14" x14ac:dyDescent="0.25">
      <c r="A110" s="47" t="s">
        <v>314</v>
      </c>
      <c r="B110" s="78">
        <v>44945</v>
      </c>
      <c r="C110" s="47" t="s">
        <v>43</v>
      </c>
      <c r="E110" s="47">
        <v>97809</v>
      </c>
      <c r="G110" s="50" t="s">
        <v>89</v>
      </c>
      <c r="H110" s="51">
        <v>38</v>
      </c>
      <c r="K110" s="52">
        <f>Tabela6[[#This Row],[CONSUMO]]*Tabela6[[#This Row],[VALOR UNIT]]-Tabela6[[#This Row],[DESCONTO]]</f>
        <v>0</v>
      </c>
      <c r="L110" s="53">
        <f>Tabela6[[#This Row],[CUSTO TOTAL]]/Tabela6[[#This Row],[CONSUMO]]</f>
        <v>0</v>
      </c>
      <c r="M110" s="50">
        <f>Tabela6[[#This Row],[KM ATUAL]]-E57</f>
        <v>-181082</v>
      </c>
      <c r="N110" s="51">
        <f>Tabela6[[#This Row],[KM Rodados ]]/Tabela6[[#This Row],[CONSUMO]]</f>
        <v>-4765.3157894736842</v>
      </c>
    </row>
    <row r="111" spans="1:14" x14ac:dyDescent="0.25">
      <c r="A111" s="47" t="s">
        <v>314</v>
      </c>
      <c r="B111" s="78">
        <v>44945</v>
      </c>
      <c r="C111" s="47" t="s">
        <v>43</v>
      </c>
      <c r="E111" s="47">
        <v>98089</v>
      </c>
      <c r="G111" s="50" t="s">
        <v>89</v>
      </c>
      <c r="H111" s="51">
        <v>31.5</v>
      </c>
      <c r="K111" s="52">
        <f>Tabela6[[#This Row],[CONSUMO]]*Tabela6[[#This Row],[VALOR UNIT]]-Tabela6[[#This Row],[DESCONTO]]</f>
        <v>0</v>
      </c>
      <c r="L111" s="53">
        <f>Tabela6[[#This Row],[CUSTO TOTAL]]/Tabela6[[#This Row],[CONSUMO]]</f>
        <v>0</v>
      </c>
      <c r="M111" s="50">
        <f>Tabela6[[#This Row],[KM ATUAL]]-E110</f>
        <v>280</v>
      </c>
      <c r="N111" s="51">
        <f>Tabela6[[#This Row],[KM Rodados ]]/Tabela6[[#This Row],[CONSUMO]]</f>
        <v>8.8888888888888893</v>
      </c>
    </row>
    <row r="112" spans="1:14" x14ac:dyDescent="0.25">
      <c r="A112" s="47" t="s">
        <v>314</v>
      </c>
      <c r="B112" s="78">
        <v>44945</v>
      </c>
      <c r="C112" s="47" t="s">
        <v>8</v>
      </c>
      <c r="E112" s="47">
        <v>867224</v>
      </c>
      <c r="G112" s="50" t="s">
        <v>89</v>
      </c>
      <c r="H112" s="51">
        <v>125.8</v>
      </c>
      <c r="K112" s="52">
        <f>Tabela6[[#This Row],[CONSUMO]]*Tabela6[[#This Row],[VALOR UNIT]]-Tabela6[[#This Row],[DESCONTO]]</f>
        <v>0</v>
      </c>
      <c r="L112" s="53">
        <f>Tabela6[[#This Row],[CUSTO TOTAL]]/Tabela6[[#This Row],[CONSUMO]]</f>
        <v>0</v>
      </c>
      <c r="M112" s="50">
        <f>Tabela6[[#This Row],[KM ATUAL]]-E25</f>
        <v>794020</v>
      </c>
      <c r="N112" s="51">
        <f>Tabela6[[#This Row],[KM Rodados ]]/Tabela6[[#This Row],[CONSUMO]]</f>
        <v>6311.7647058823532</v>
      </c>
    </row>
    <row r="113" spans="1:14" x14ac:dyDescent="0.25">
      <c r="A113" s="47" t="s">
        <v>314</v>
      </c>
      <c r="B113" s="78">
        <v>44945</v>
      </c>
      <c r="C113" s="47" t="s">
        <v>8</v>
      </c>
      <c r="E113" s="47">
        <v>867700</v>
      </c>
      <c r="G113" s="50" t="s">
        <v>89</v>
      </c>
      <c r="H113" s="51">
        <v>135</v>
      </c>
      <c r="K113" s="52">
        <f>Tabela6[[#This Row],[CONSUMO]]*Tabela6[[#This Row],[VALOR UNIT]]-Tabela6[[#This Row],[DESCONTO]]</f>
        <v>0</v>
      </c>
      <c r="L113" s="53">
        <f>Tabela6[[#This Row],[CUSTO TOTAL]]/Tabela6[[#This Row],[CONSUMO]]</f>
        <v>0</v>
      </c>
      <c r="M113" s="50">
        <f>Tabela6[[#This Row],[KM ATUAL]]-E112</f>
        <v>476</v>
      </c>
      <c r="N113" s="51">
        <f>Tabela6[[#This Row],[KM Rodados ]]/Tabela6[[#This Row],[CONSUMO]]</f>
        <v>3.5259259259259261</v>
      </c>
    </row>
    <row r="114" spans="1:14" x14ac:dyDescent="0.25">
      <c r="A114" s="47" t="s">
        <v>314</v>
      </c>
      <c r="B114" s="78">
        <v>44945</v>
      </c>
      <c r="C114" s="47" t="s">
        <v>8</v>
      </c>
      <c r="E114" s="47">
        <v>868388</v>
      </c>
      <c r="G114" s="50" t="s">
        <v>89</v>
      </c>
      <c r="H114" s="51">
        <v>165.4</v>
      </c>
      <c r="K114" s="52">
        <f>Tabela6[[#This Row],[CONSUMO]]*Tabela6[[#This Row],[VALOR UNIT]]-Tabela6[[#This Row],[DESCONTO]]</f>
        <v>0</v>
      </c>
      <c r="L114" s="53">
        <f>Tabela6[[#This Row],[CUSTO TOTAL]]/Tabela6[[#This Row],[CONSUMO]]</f>
        <v>0</v>
      </c>
      <c r="M114" s="50">
        <f>Tabela6[[#This Row],[KM ATUAL]]-E113</f>
        <v>688</v>
      </c>
      <c r="N114" s="51">
        <f>Tabela6[[#This Row],[KM Rodados ]]/Tabela6[[#This Row],[CONSUMO]]</f>
        <v>4.1596130592503018</v>
      </c>
    </row>
    <row r="115" spans="1:14" x14ac:dyDescent="0.25">
      <c r="A115" s="47">
        <v>157873</v>
      </c>
      <c r="B115" s="78">
        <v>44945</v>
      </c>
      <c r="C115" s="47" t="s">
        <v>8</v>
      </c>
      <c r="D115" s="49" t="s">
        <v>262</v>
      </c>
      <c r="E115" s="47">
        <v>868653</v>
      </c>
      <c r="G115" s="50" t="s">
        <v>89</v>
      </c>
      <c r="H115" s="51">
        <v>83.59</v>
      </c>
      <c r="J115" s="51">
        <v>6.19</v>
      </c>
      <c r="K115" s="52">
        <f>Tabela6[[#This Row],[CONSUMO]]*Tabela6[[#This Row],[VALOR UNIT]]-Tabela6[[#This Row],[DESCONTO]]</f>
        <v>517.4221</v>
      </c>
      <c r="L115" s="53">
        <f>Tabela6[[#This Row],[CUSTO TOTAL]]/Tabela6[[#This Row],[CONSUMO]]</f>
        <v>6.1899999999999995</v>
      </c>
      <c r="M115" s="50">
        <f>Tabela6[[#This Row],[KM ATUAL]]-E114</f>
        <v>265</v>
      </c>
      <c r="N115" s="51">
        <f>Tabela6[[#This Row],[KM Rodados ]]/Tabela6[[#This Row],[CONSUMO]]</f>
        <v>3.170235674123699</v>
      </c>
    </row>
    <row r="116" spans="1:14" x14ac:dyDescent="0.25">
      <c r="A116" s="47">
        <v>551100</v>
      </c>
      <c r="B116" s="78">
        <v>44945</v>
      </c>
      <c r="C116" s="47" t="s">
        <v>9</v>
      </c>
      <c r="D116" s="49" t="s">
        <v>271</v>
      </c>
      <c r="E116" s="47">
        <v>585445</v>
      </c>
      <c r="G116" s="50" t="s">
        <v>89</v>
      </c>
      <c r="H116" s="51">
        <v>122.08</v>
      </c>
      <c r="J116" s="51">
        <v>6.09</v>
      </c>
      <c r="K116" s="51">
        <f>Tabela6[[#This Row],[CONSUMO]]*Tabela6[[#This Row],[VALOR UNIT]]-Tabela6[[#This Row],[DESCONTO]]</f>
        <v>743.46719999999993</v>
      </c>
      <c r="L116" s="53">
        <f>Tabela6[[#This Row],[CUSTO TOTAL]]/Tabela6[[#This Row],[CONSUMO]]</f>
        <v>6.09</v>
      </c>
      <c r="M116" s="50">
        <f>Tabela6[[#This Row],[KM ATUAL]]-E88</f>
        <v>243020</v>
      </c>
      <c r="N116" s="51">
        <f>Tabela6[[#This Row],[KM Rodados ]]/Tabela6[[#This Row],[CONSUMO]]</f>
        <v>1990.661861074705</v>
      </c>
    </row>
    <row r="117" spans="1:14" x14ac:dyDescent="0.25">
      <c r="A117" s="47">
        <v>263512</v>
      </c>
      <c r="B117" s="78">
        <v>44945</v>
      </c>
      <c r="C117" s="47" t="s">
        <v>72</v>
      </c>
      <c r="D117" s="49" t="s">
        <v>276</v>
      </c>
      <c r="E117" s="47">
        <v>366740</v>
      </c>
      <c r="G117" s="50" t="s">
        <v>89</v>
      </c>
      <c r="H117" s="51">
        <v>50.82</v>
      </c>
      <c r="J117" s="51">
        <v>6.39</v>
      </c>
      <c r="K117" s="51">
        <f>Tabela6[[#This Row],[CONSUMO]]*Tabela6[[#This Row],[VALOR UNIT]]-Tabela6[[#This Row],[DESCONTO]]</f>
        <v>324.7398</v>
      </c>
      <c r="L117" s="53">
        <f>Tabela6[[#This Row],[CUSTO TOTAL]]/Tabela6[[#This Row],[CONSUMO]]</f>
        <v>6.39</v>
      </c>
      <c r="M117" s="50">
        <f>Tabela6[[#This Row],[KM ATUAL]]-E110</f>
        <v>268931</v>
      </c>
      <c r="N117" s="51">
        <f>Tabela6[[#This Row],[KM Rodados ]]/Tabela6[[#This Row],[CONSUMO]]</f>
        <v>5291.8339236521051</v>
      </c>
    </row>
    <row r="118" spans="1:14" x14ac:dyDescent="0.25">
      <c r="A118" s="47">
        <v>157936</v>
      </c>
      <c r="B118" s="78">
        <v>44945</v>
      </c>
      <c r="C118" s="47" t="s">
        <v>41</v>
      </c>
      <c r="D118" s="49" t="s">
        <v>262</v>
      </c>
      <c r="E118" s="47">
        <v>644062</v>
      </c>
      <c r="G118" s="50" t="s">
        <v>89</v>
      </c>
      <c r="H118" s="51">
        <v>147.43</v>
      </c>
      <c r="J118" s="51">
        <v>6.19</v>
      </c>
      <c r="K118" s="51">
        <f>Tabela6[[#This Row],[CONSUMO]]*Tabela6[[#This Row],[VALOR UNIT]]-Tabela6[[#This Row],[DESCONTO]]</f>
        <v>912.59170000000006</v>
      </c>
      <c r="L118" s="53">
        <f>Tabela6[[#This Row],[CUSTO TOTAL]]/Tabela6[[#This Row],[CONSUMO]]</f>
        <v>6.19</v>
      </c>
      <c r="M118" s="50">
        <f>Tabela6[[#This Row],[KM ATUAL]]-E83</f>
        <v>56925</v>
      </c>
      <c r="N118" s="51">
        <f>Tabela6[[#This Row],[KM Rodados ]]/Tabela6[[#This Row],[CONSUMO]]</f>
        <v>386.1154446177847</v>
      </c>
    </row>
    <row r="119" spans="1:14" x14ac:dyDescent="0.25">
      <c r="A119" s="47">
        <v>279926</v>
      </c>
      <c r="B119" s="78">
        <v>44945</v>
      </c>
      <c r="C119" s="47" t="s">
        <v>10</v>
      </c>
      <c r="D119" s="49" t="s">
        <v>253</v>
      </c>
      <c r="E119" s="47">
        <v>700136</v>
      </c>
      <c r="G119" s="50" t="s">
        <v>89</v>
      </c>
      <c r="H119" s="51">
        <v>125.15</v>
      </c>
      <c r="I119" s="49">
        <v>37.54</v>
      </c>
      <c r="J119" s="51">
        <v>6.89</v>
      </c>
      <c r="K119" s="51">
        <f>Tabela6[[#This Row],[CONSUMO]]*Tabela6[[#This Row],[VALOR UNIT]]-Tabela6[[#This Row],[DESCONTO]]</f>
        <v>824.74350000000004</v>
      </c>
      <c r="L119" s="53">
        <f>Tabela6[[#This Row],[CUSTO TOTAL]]/Tabela6[[#This Row],[CONSUMO]]</f>
        <v>6.5900399520575306</v>
      </c>
      <c r="M119" s="50">
        <f>Tabela6[[#This Row],[KM ATUAL]]-E95</f>
        <v>583089</v>
      </c>
      <c r="N119" s="51">
        <f>Tabela6[[#This Row],[KM Rodados ]]/Tabela6[[#This Row],[CONSUMO]]</f>
        <v>4659.1210547343189</v>
      </c>
    </row>
    <row r="120" spans="1:14" x14ac:dyDescent="0.25">
      <c r="A120" s="47">
        <v>279961</v>
      </c>
      <c r="B120" s="78">
        <v>44945</v>
      </c>
      <c r="C120" s="47" t="s">
        <v>17</v>
      </c>
      <c r="D120" s="49" t="s">
        <v>253</v>
      </c>
      <c r="E120" s="47">
        <v>334627</v>
      </c>
      <c r="G120" s="50" t="s">
        <v>89</v>
      </c>
      <c r="H120" s="51">
        <v>185.71</v>
      </c>
      <c r="I120" s="49">
        <v>55.71</v>
      </c>
      <c r="J120" s="51">
        <v>6.89</v>
      </c>
      <c r="K120" s="51">
        <f>Tabela6[[#This Row],[CONSUMO]]*Tabela6[[#This Row],[VALOR UNIT]]-Tabela6[[#This Row],[DESCONTO]]</f>
        <v>1223.8318999999999</v>
      </c>
      <c r="L120" s="53">
        <f>Tabela6[[#This Row],[CUSTO TOTAL]]/Tabela6[[#This Row],[CONSUMO]]</f>
        <v>6.5900161542189428</v>
      </c>
      <c r="M120" s="50">
        <f>Tabela6[[#This Row],[KM ATUAL]]-E71</f>
        <v>-363927</v>
      </c>
      <c r="N120" s="51">
        <f>Tabela6[[#This Row],[KM Rodados ]]/Tabela6[[#This Row],[CONSUMO]]</f>
        <v>-1959.6521458187497</v>
      </c>
    </row>
    <row r="121" spans="1:14" x14ac:dyDescent="0.25">
      <c r="A121" s="47">
        <v>507989</v>
      </c>
      <c r="B121" s="78">
        <v>44945</v>
      </c>
      <c r="C121" s="47" t="s">
        <v>38</v>
      </c>
      <c r="D121" s="49" t="s">
        <v>255</v>
      </c>
      <c r="E121" s="47">
        <v>123691</v>
      </c>
      <c r="G121" s="50" t="s">
        <v>244</v>
      </c>
      <c r="H121" s="51">
        <v>50.56</v>
      </c>
      <c r="J121" s="51">
        <v>5.1100000000000003</v>
      </c>
      <c r="K121" s="51">
        <f>Tabela6[[#This Row],[CONSUMO]]*Tabela6[[#This Row],[VALOR UNIT]]-Tabela6[[#This Row],[DESCONTO]]</f>
        <v>258.36160000000001</v>
      </c>
      <c r="L121" s="53">
        <f>Tabela6[[#This Row],[CUSTO TOTAL]]/Tabela6[[#This Row],[CONSUMO]]</f>
        <v>5.1100000000000003</v>
      </c>
      <c r="M121" s="50">
        <f>Tabela6[[#This Row],[KM ATUAL]]-E47</f>
        <v>47468</v>
      </c>
      <c r="N121" s="51">
        <f>Tabela6[[#This Row],[KM Rodados ]]/Tabela6[[#This Row],[CONSUMO]]</f>
        <v>938.8449367088607</v>
      </c>
    </row>
    <row r="122" spans="1:14" x14ac:dyDescent="0.25">
      <c r="A122" s="47">
        <v>221045</v>
      </c>
      <c r="B122" s="78">
        <v>44945</v>
      </c>
      <c r="C122" s="47" t="s">
        <v>74</v>
      </c>
      <c r="D122" s="49" t="s">
        <v>263</v>
      </c>
      <c r="E122" s="47">
        <v>27046</v>
      </c>
      <c r="G122" s="50" t="s">
        <v>89</v>
      </c>
      <c r="H122" s="51">
        <v>37.82</v>
      </c>
      <c r="I122" s="49">
        <v>3.78</v>
      </c>
      <c r="J122" s="51">
        <v>6.32</v>
      </c>
      <c r="K122" s="51">
        <f>Tabela6[[#This Row],[CONSUMO]]*Tabela6[[#This Row],[VALOR UNIT]]-Tabela6[[#This Row],[DESCONTO]]</f>
        <v>235.2424</v>
      </c>
      <c r="L122" s="53">
        <f>Tabela6[[#This Row],[CUSTO TOTAL]]/Tabela6[[#This Row],[CONSUMO]]</f>
        <v>6.2200528820729772</v>
      </c>
      <c r="M122" s="50">
        <f>Tabela6[[#This Row],[KM ATUAL]]-E102</f>
        <v>-881937</v>
      </c>
      <c r="N122" s="51">
        <f>Tabela6[[#This Row],[KM Rodados ]]/Tabela6[[#This Row],[CONSUMO]]</f>
        <v>-23319.328397673187</v>
      </c>
    </row>
    <row r="123" spans="1:14" x14ac:dyDescent="0.25">
      <c r="A123" s="47">
        <v>34991</v>
      </c>
      <c r="B123" s="78">
        <v>44946</v>
      </c>
      <c r="C123" s="47" t="s">
        <v>68</v>
      </c>
      <c r="D123" s="49" t="s">
        <v>263</v>
      </c>
      <c r="E123" s="47">
        <v>854578</v>
      </c>
      <c r="G123" s="50" t="s">
        <v>89</v>
      </c>
      <c r="H123" s="51">
        <v>348.42</v>
      </c>
      <c r="I123" s="49">
        <v>34.840000000000003</v>
      </c>
      <c r="J123" s="51">
        <v>6.32</v>
      </c>
      <c r="K123" s="52">
        <f>Tabela6[[#This Row],[CONSUMO]]*Tabela6[[#This Row],[VALOR UNIT]]-Tabela6[[#This Row],[DESCONTO]]</f>
        <v>2167.1743999999999</v>
      </c>
      <c r="L123" s="53">
        <f>Tabela6[[#This Row],[CUSTO TOTAL]]/Tabela6[[#This Row],[CONSUMO]]</f>
        <v>6.2200057401986104</v>
      </c>
      <c r="M123" s="50" t="e">
        <f>Tabela6[[#This Row],[KM ATUAL]]-#REF!</f>
        <v>#REF!</v>
      </c>
      <c r="N123" s="51" t="e">
        <f>Tabela6[[#This Row],[KM Rodados ]]/Tabela6[[#This Row],[CONSUMO]]</f>
        <v>#REF!</v>
      </c>
    </row>
    <row r="124" spans="1:14" x14ac:dyDescent="0.25">
      <c r="A124" s="47" t="s">
        <v>314</v>
      </c>
      <c r="B124" s="78">
        <v>44946</v>
      </c>
      <c r="C124" s="47" t="s">
        <v>43</v>
      </c>
      <c r="E124" s="47">
        <v>98509</v>
      </c>
      <c r="G124" s="50" t="s">
        <v>89</v>
      </c>
      <c r="H124" s="51">
        <v>43.59</v>
      </c>
      <c r="K124" s="52">
        <f>Tabela6[[#This Row],[CONSUMO]]*Tabela6[[#This Row],[VALOR UNIT]]-Tabela6[[#This Row],[DESCONTO]]</f>
        <v>0</v>
      </c>
      <c r="L124" s="53">
        <f>Tabela6[[#This Row],[CUSTO TOTAL]]/Tabela6[[#This Row],[CONSUMO]]</f>
        <v>0</v>
      </c>
      <c r="M124" s="50">
        <f>Tabela6[[#This Row],[KM ATUAL]]-E123</f>
        <v>-756069</v>
      </c>
      <c r="N124" s="51">
        <f>Tabela6[[#This Row],[KM Rodados ]]/Tabela6[[#This Row],[CONSUMO]]</f>
        <v>-17345.010323468683</v>
      </c>
    </row>
    <row r="125" spans="1:14" x14ac:dyDescent="0.25">
      <c r="A125" s="47" t="s">
        <v>314</v>
      </c>
      <c r="B125" s="78">
        <v>44946</v>
      </c>
      <c r="C125" s="47" t="s">
        <v>43</v>
      </c>
      <c r="E125" s="47">
        <v>98799</v>
      </c>
      <c r="G125" s="50" t="s">
        <v>89</v>
      </c>
      <c r="H125" s="51">
        <v>36.79</v>
      </c>
      <c r="K125" s="52">
        <f>Tabela6[[#This Row],[CONSUMO]]*Tabela6[[#This Row],[VALOR UNIT]]-Tabela6[[#This Row],[DESCONTO]]</f>
        <v>0</v>
      </c>
      <c r="L125" s="53">
        <f>Tabela6[[#This Row],[CUSTO TOTAL]]/Tabela6[[#This Row],[CONSUMO]]</f>
        <v>0</v>
      </c>
      <c r="M125" s="50">
        <f>Tabela6[[#This Row],[KM ATUAL]]-E124</f>
        <v>290</v>
      </c>
      <c r="N125" s="51">
        <f>Tabela6[[#This Row],[KM Rodados ]]/Tabela6[[#This Row],[CONSUMO]]</f>
        <v>7.8825767871704269</v>
      </c>
    </row>
    <row r="126" spans="1:14" x14ac:dyDescent="0.25">
      <c r="A126" s="47">
        <v>157999</v>
      </c>
      <c r="B126" s="78">
        <v>44946</v>
      </c>
      <c r="C126" s="47" t="s">
        <v>43</v>
      </c>
      <c r="D126" s="49" t="s">
        <v>262</v>
      </c>
      <c r="E126" s="47">
        <v>99125</v>
      </c>
      <c r="G126" s="50" t="s">
        <v>89</v>
      </c>
      <c r="H126" s="51">
        <v>37</v>
      </c>
      <c r="J126" s="51">
        <v>6.29</v>
      </c>
      <c r="K126" s="52">
        <f>Tabela6[[#This Row],[CONSUMO]]*Tabela6[[#This Row],[VALOR UNIT]]-Tabela6[[#This Row],[DESCONTO]]</f>
        <v>232.73</v>
      </c>
      <c r="L126" s="53">
        <f>Tabela6[[#This Row],[CUSTO TOTAL]]/Tabela6[[#This Row],[CONSUMO]]</f>
        <v>6.29</v>
      </c>
      <c r="M126" s="50">
        <f>Tabela6[[#This Row],[KM ATUAL]]-E125</f>
        <v>326</v>
      </c>
      <c r="N126" s="72">
        <f>Tabela6[[#This Row],[KM Rodados ]]/Tabela6[[#This Row],[CONSUMO]]</f>
        <v>8.8108108108108105</v>
      </c>
    </row>
    <row r="127" spans="1:14" x14ac:dyDescent="0.25">
      <c r="A127" s="47">
        <v>280947</v>
      </c>
      <c r="B127" s="78">
        <v>44946</v>
      </c>
      <c r="C127" s="47" t="s">
        <v>43</v>
      </c>
      <c r="D127" s="49" t="s">
        <v>253</v>
      </c>
      <c r="E127" s="47">
        <v>99441</v>
      </c>
      <c r="G127" s="50" t="s">
        <v>89</v>
      </c>
      <c r="H127" s="51">
        <v>37.25</v>
      </c>
      <c r="I127" s="49">
        <v>11.17</v>
      </c>
      <c r="J127" s="51">
        <v>6.89</v>
      </c>
      <c r="K127" s="51">
        <f>Tabela6[[#This Row],[CONSUMO]]*Tabela6[[#This Row],[VALOR UNIT]]-Tabela6[[#This Row],[DESCONTO]]</f>
        <v>245.48249999999999</v>
      </c>
      <c r="L127" s="53">
        <f>Tabela6[[#This Row],[CUSTO TOTAL]]/Tabela6[[#This Row],[CONSUMO]]</f>
        <v>6.5901342281879192</v>
      </c>
      <c r="M127" s="50">
        <f>Tabela6[[#This Row],[KM ATUAL]]-E124</f>
        <v>932</v>
      </c>
      <c r="N127" s="72">
        <f>Tabela6[[#This Row],[KM Rodados ]]/Tabela6[[#This Row],[CONSUMO]]</f>
        <v>25.020134228187921</v>
      </c>
    </row>
    <row r="128" spans="1:14" x14ac:dyDescent="0.25">
      <c r="A128" s="47">
        <v>158130</v>
      </c>
      <c r="B128" s="78">
        <v>44946</v>
      </c>
      <c r="C128" s="47" t="s">
        <v>215</v>
      </c>
      <c r="D128" s="49" t="s">
        <v>262</v>
      </c>
      <c r="E128" s="47">
        <v>216813</v>
      </c>
      <c r="G128" s="50" t="s">
        <v>244</v>
      </c>
      <c r="H128" s="51">
        <v>40.08</v>
      </c>
      <c r="J128" s="51">
        <v>4.99</v>
      </c>
      <c r="K128" s="51">
        <f>Tabela6[[#This Row],[CONSUMO]]*Tabela6[[#This Row],[VALOR UNIT]]-Tabela6[[#This Row],[DESCONTO]]</f>
        <v>199.9992</v>
      </c>
      <c r="L128" s="53">
        <f>Tabela6[[#This Row],[CUSTO TOTAL]]/Tabela6[[#This Row],[CONSUMO]]</f>
        <v>4.99</v>
      </c>
      <c r="M128" s="50">
        <f>Tabela6[[#This Row],[KM ATUAL]]-E127</f>
        <v>117372</v>
      </c>
      <c r="N128" s="51">
        <f>Tabela6[[#This Row],[KM Rodados ]]/H42</f>
        <v>4850.0826446280989</v>
      </c>
    </row>
    <row r="129" spans="1:14" x14ac:dyDescent="0.25">
      <c r="A129" s="47">
        <v>34834</v>
      </c>
      <c r="B129" s="78">
        <v>44946</v>
      </c>
      <c r="C129" s="47" t="s">
        <v>74</v>
      </c>
      <c r="D129" s="49" t="s">
        <v>263</v>
      </c>
      <c r="E129" s="47">
        <v>27563</v>
      </c>
      <c r="G129" s="50" t="s">
        <v>89</v>
      </c>
      <c r="H129" s="51">
        <v>55.5</v>
      </c>
      <c r="I129" s="49">
        <v>5.55</v>
      </c>
      <c r="J129" s="51">
        <v>6.32</v>
      </c>
      <c r="K129" s="52">
        <f>Tabela6[[#This Row],[CONSUMO]]*Tabela6[[#This Row],[VALOR UNIT]]-Tabela6[[#This Row],[DESCONTO]]</f>
        <v>345.21</v>
      </c>
      <c r="L129" s="53">
        <f>Tabela6[[#This Row],[CUSTO TOTAL]]/Tabela6[[#This Row],[CONSUMO]]</f>
        <v>6.22</v>
      </c>
      <c r="M129" s="50">
        <f>Tabela6[[#This Row],[KM ATUAL]]-E117</f>
        <v>-339177</v>
      </c>
      <c r="N129" s="51">
        <f>Tabela6[[#This Row],[KM Rodados ]]/Tabela6[[#This Row],[CONSUMO]]</f>
        <v>-6111.2972972972975</v>
      </c>
    </row>
    <row r="130" spans="1:14" x14ac:dyDescent="0.25">
      <c r="A130" s="47">
        <v>35082</v>
      </c>
      <c r="B130" s="78">
        <v>44946</v>
      </c>
      <c r="C130" s="47" t="s">
        <v>74</v>
      </c>
      <c r="D130" s="49" t="s">
        <v>263</v>
      </c>
      <c r="E130" s="47">
        <v>27960</v>
      </c>
      <c r="G130" s="50" t="s">
        <v>89</v>
      </c>
      <c r="H130" s="51">
        <v>47.151000000000003</v>
      </c>
      <c r="I130" s="49">
        <v>4.72</v>
      </c>
      <c r="J130" s="51">
        <v>6.18</v>
      </c>
      <c r="K130" s="51">
        <f>Tabela6[[#This Row],[CONSUMO]]*Tabela6[[#This Row],[VALOR UNIT]]-Tabela6[[#This Row],[DESCONTO]]</f>
        <v>286.67318</v>
      </c>
      <c r="L130" s="53">
        <f>Tabela6[[#This Row],[CUSTO TOTAL]]/Tabela6[[#This Row],[CONSUMO]]</f>
        <v>6.0798960785561276</v>
      </c>
      <c r="M130" s="50">
        <f>Tabela6[[#This Row],[KM ATUAL]]-E129</f>
        <v>397</v>
      </c>
      <c r="N130" s="51">
        <f>Tabela6[[#This Row],[KM Rodados ]]/Tabela6[[#This Row],[CONSUMO]]</f>
        <v>8.4197577994104051</v>
      </c>
    </row>
    <row r="131" spans="1:14" x14ac:dyDescent="0.25">
      <c r="A131" s="47">
        <v>553184</v>
      </c>
      <c r="B131" s="78">
        <v>44949</v>
      </c>
      <c r="C131" s="47" t="s">
        <v>9</v>
      </c>
      <c r="D131" s="49" t="s">
        <v>271</v>
      </c>
      <c r="E131" s="47">
        <v>585887</v>
      </c>
      <c r="G131" s="50" t="s">
        <v>89</v>
      </c>
      <c r="H131" s="51">
        <v>120</v>
      </c>
      <c r="J131" s="51">
        <v>6.09</v>
      </c>
      <c r="K131" s="51">
        <f>Tabela6[[#This Row],[CONSUMO]]*Tabela6[[#This Row],[VALOR UNIT]]-Tabela6[[#This Row],[DESCONTO]]</f>
        <v>730.8</v>
      </c>
      <c r="L131" s="53">
        <f>Tabela6[[#This Row],[CUSTO TOTAL]]/Tabela6[[#This Row],[CONSUMO]]</f>
        <v>6.09</v>
      </c>
      <c r="M131" s="50">
        <f>Tabela6[[#This Row],[KM ATUAL]]-E109</f>
        <v>-266691</v>
      </c>
      <c r="N131" s="51">
        <f>Tabela6[[#This Row],[KM Rodados ]]/Tabela6[[#This Row],[CONSUMO]]</f>
        <v>-2222.4250000000002</v>
      </c>
    </row>
    <row r="132" spans="1:14" x14ac:dyDescent="0.25">
      <c r="A132" s="47">
        <v>36606</v>
      </c>
      <c r="B132" s="78">
        <v>44949</v>
      </c>
      <c r="C132" s="47" t="s">
        <v>70</v>
      </c>
      <c r="D132" s="49" t="s">
        <v>263</v>
      </c>
      <c r="E132" s="47">
        <v>174496</v>
      </c>
      <c r="G132" s="50" t="s">
        <v>89</v>
      </c>
      <c r="H132" s="51">
        <v>679.62</v>
      </c>
      <c r="I132" s="49">
        <v>67.97</v>
      </c>
      <c r="J132" s="51">
        <v>6.18</v>
      </c>
      <c r="K132" s="51">
        <f>Tabela6[[#This Row],[CONSUMO]]*Tabela6[[#This Row],[VALOR UNIT]]-Tabela6[[#This Row],[DESCONTO]]</f>
        <v>4132.0815999999995</v>
      </c>
      <c r="L132" s="53">
        <f>Tabela6[[#This Row],[CUSTO TOTAL]]/Tabela6[[#This Row],[CONSUMO]]</f>
        <v>6.0799882287160463</v>
      </c>
      <c r="M132" s="50">
        <f>Tabela6[[#This Row],[KM ATUAL]]-E82</f>
        <v>-411961</v>
      </c>
      <c r="N132" s="51">
        <f>Tabela6[[#This Row],[KM Rodados ]]/Tabela6[[#This Row],[CONSUMO]]</f>
        <v>-606.16373855978338</v>
      </c>
    </row>
    <row r="133" spans="1:14" x14ac:dyDescent="0.25">
      <c r="A133" s="47">
        <v>36584</v>
      </c>
      <c r="B133" s="78">
        <v>44949</v>
      </c>
      <c r="C133" s="47" t="s">
        <v>71</v>
      </c>
      <c r="D133" s="49" t="s">
        <v>263</v>
      </c>
      <c r="E133" s="47">
        <v>78764</v>
      </c>
      <c r="G133" s="50" t="s">
        <v>89</v>
      </c>
      <c r="H133" s="51">
        <v>292.12</v>
      </c>
      <c r="I133" s="49">
        <v>29.22</v>
      </c>
      <c r="J133" s="51">
        <v>6.18</v>
      </c>
      <c r="K133" s="51">
        <f>Tabela6[[#This Row],[CONSUMO]]*Tabela6[[#This Row],[VALOR UNIT]]-Tabela6[[#This Row],[DESCONTO]]</f>
        <v>1776.0816</v>
      </c>
      <c r="L133" s="53">
        <f>Tabela6[[#This Row],[CUSTO TOTAL]]/Tabela6[[#This Row],[CONSUMO]]</f>
        <v>6.0799726139942489</v>
      </c>
      <c r="M133" s="50">
        <f>Tabela6[[#This Row],[KM ATUAL]]-E101</f>
        <v>-43950</v>
      </c>
      <c r="N133" s="51">
        <f>Tabela6[[#This Row],[KM Rodados ]]/Tabela6[[#This Row],[CONSUMO]]</f>
        <v>-150.45186909489252</v>
      </c>
    </row>
    <row r="134" spans="1:14" x14ac:dyDescent="0.25">
      <c r="A134" s="47">
        <v>158431</v>
      </c>
      <c r="B134" s="78">
        <v>44949</v>
      </c>
      <c r="C134" s="47" t="s">
        <v>21</v>
      </c>
      <c r="D134" s="49" t="s">
        <v>262</v>
      </c>
      <c r="E134" s="47">
        <v>123186</v>
      </c>
      <c r="G134" s="50" t="s">
        <v>89</v>
      </c>
      <c r="H134" s="51">
        <v>102.8</v>
      </c>
      <c r="J134" s="51">
        <v>6.29</v>
      </c>
      <c r="K134" s="52">
        <f>Tabela6[[#This Row],[CONSUMO]]*Tabela6[[#This Row],[VALOR UNIT]]-Tabela6[[#This Row],[DESCONTO]]</f>
        <v>646.61199999999997</v>
      </c>
      <c r="L134" s="53">
        <f>Tabela6[[#This Row],[CUSTO TOTAL]]/Tabela6[[#This Row],[CONSUMO]]</f>
        <v>6.29</v>
      </c>
      <c r="M134" s="50">
        <f>Tabela6[[#This Row],[KM ATUAL]]-E100</f>
        <v>45320</v>
      </c>
      <c r="N134" s="51">
        <f>Tabela6[[#This Row],[KM Rodados ]]/Tabela6[[#This Row],[CONSUMO]]</f>
        <v>440.85603112840471</v>
      </c>
    </row>
    <row r="135" spans="1:14" x14ac:dyDescent="0.25">
      <c r="A135" s="47">
        <v>217376</v>
      </c>
      <c r="B135" s="78">
        <v>44949</v>
      </c>
      <c r="C135" s="47" t="s">
        <v>21</v>
      </c>
      <c r="D135" s="49" t="s">
        <v>272</v>
      </c>
      <c r="E135" s="47">
        <v>123797</v>
      </c>
      <c r="G135" s="50" t="s">
        <v>89</v>
      </c>
      <c r="H135" s="51">
        <v>144.56200000000001</v>
      </c>
      <c r="J135" s="51">
        <v>6.19</v>
      </c>
      <c r="K135" s="52">
        <f>Tabela6[[#This Row],[CONSUMO]]*Tabela6[[#This Row],[VALOR UNIT]]-Tabela6[[#This Row],[DESCONTO]]</f>
        <v>894.83878000000016</v>
      </c>
      <c r="L135" s="53">
        <f>Tabela6[[#This Row],[CUSTO TOTAL]]/Tabela6[[#This Row],[CONSUMO]]</f>
        <v>6.19</v>
      </c>
      <c r="M135" s="50">
        <f>Tabela6[[#This Row],[KM ATUAL]]-E128</f>
        <v>-93016</v>
      </c>
      <c r="N135" s="51">
        <f>Tabela6[[#This Row],[KM Rodados ]]/Tabela6[[#This Row],[CONSUMO]]</f>
        <v>-643.43326738700341</v>
      </c>
    </row>
    <row r="136" spans="1:14" x14ac:dyDescent="0.25">
      <c r="A136" s="47">
        <v>508816</v>
      </c>
      <c r="B136" s="78">
        <v>44949</v>
      </c>
      <c r="C136" s="47" t="s">
        <v>16</v>
      </c>
      <c r="D136" s="49" t="s">
        <v>255</v>
      </c>
      <c r="E136" s="47">
        <v>289157</v>
      </c>
      <c r="G136" s="50" t="s">
        <v>89</v>
      </c>
      <c r="H136" s="51">
        <v>93.290999999999997</v>
      </c>
      <c r="J136" s="51">
        <v>6.58</v>
      </c>
      <c r="K136" s="51">
        <f>Tabela6[[#This Row],[CONSUMO]]*Tabela6[[#This Row],[VALOR UNIT]]-Tabela6[[#This Row],[DESCONTO]]</f>
        <v>613.85478000000001</v>
      </c>
      <c r="L136" s="53">
        <f>Tabela6[[#This Row],[CUSTO TOTAL]]/Tabela6[[#This Row],[CONSUMO]]</f>
        <v>6.58</v>
      </c>
      <c r="M136" s="50">
        <f>Tabela6[[#This Row],[KM ATUAL]]-E57</f>
        <v>10266</v>
      </c>
      <c r="N136" s="51">
        <f>Tabela6[[#This Row],[KM Rodados ]]/Tabela6[[#This Row],[CONSUMO]]</f>
        <v>110.0427693989774</v>
      </c>
    </row>
    <row r="137" spans="1:14" x14ac:dyDescent="0.25">
      <c r="A137" s="47">
        <v>282695</v>
      </c>
      <c r="B137" s="78">
        <v>44949</v>
      </c>
      <c r="C137" s="47" t="s">
        <v>17</v>
      </c>
      <c r="D137" s="49" t="s">
        <v>253</v>
      </c>
      <c r="E137" s="47">
        <v>335262</v>
      </c>
      <c r="G137" s="50" t="s">
        <v>89</v>
      </c>
      <c r="H137" s="51">
        <v>152.41</v>
      </c>
      <c r="I137" s="49">
        <v>45.72</v>
      </c>
      <c r="J137" s="51">
        <v>6.89</v>
      </c>
      <c r="K137" s="51">
        <f>Tabela6[[#This Row],[CONSUMO]]*Tabela6[[#This Row],[VALOR UNIT]]-Tabela6[[#This Row],[DESCONTO]]</f>
        <v>1004.3848999999998</v>
      </c>
      <c r="L137" s="53">
        <f>Tabela6[[#This Row],[CUSTO TOTAL]]/Tabela6[[#This Row],[CONSUMO]]</f>
        <v>6.5900196837477845</v>
      </c>
      <c r="M137" s="50">
        <f>Tabela6[[#This Row],[KM ATUAL]]-E116</f>
        <v>-250183</v>
      </c>
      <c r="N137" s="51">
        <f>Tabela6[[#This Row],[KM Rodados ]]/Tabela6[[#This Row],[CONSUMO]]</f>
        <v>-1641.5130240797848</v>
      </c>
    </row>
    <row r="138" spans="1:14" x14ac:dyDescent="0.25">
      <c r="A138" s="47" t="s">
        <v>314</v>
      </c>
      <c r="B138" s="78">
        <v>44949</v>
      </c>
      <c r="C138" s="47" t="s">
        <v>20</v>
      </c>
      <c r="E138" s="47">
        <v>225762</v>
      </c>
      <c r="G138" s="50" t="s">
        <v>89</v>
      </c>
      <c r="H138" s="51">
        <v>67.5</v>
      </c>
      <c r="K138" s="52">
        <f>Tabela6[[#This Row],[CONSUMO]]*Tabela6[[#This Row],[VALOR UNIT]]-Tabela6[[#This Row],[DESCONTO]]</f>
        <v>0</v>
      </c>
      <c r="L138" s="53">
        <f>Tabela6[[#This Row],[CUSTO TOTAL]]/Tabela6[[#This Row],[CONSUMO]]</f>
        <v>0</v>
      </c>
      <c r="M138" s="50">
        <f>Tabela6[[#This Row],[KM ATUAL]]-E104</f>
        <v>-685225</v>
      </c>
      <c r="N138" s="49">
        <f>Tabela6[[#This Row],[KM Rodados ]]/Tabela6[[#This Row],[CONSUMO]]</f>
        <v>-10151.481481481482</v>
      </c>
    </row>
    <row r="139" spans="1:14" x14ac:dyDescent="0.25">
      <c r="A139" s="47">
        <v>158510</v>
      </c>
      <c r="B139" s="78">
        <v>44949</v>
      </c>
      <c r="C139" s="47" t="s">
        <v>20</v>
      </c>
      <c r="D139" s="49" t="s">
        <v>262</v>
      </c>
      <c r="E139" s="47">
        <v>226276</v>
      </c>
      <c r="G139" s="50" t="s">
        <v>89</v>
      </c>
      <c r="H139" s="51">
        <v>66.3</v>
      </c>
      <c r="J139" s="51">
        <v>6.29</v>
      </c>
      <c r="K139" s="52">
        <f>Tabela6[[#This Row],[CONSUMO]]*Tabela6[[#This Row],[VALOR UNIT]]-Tabela6[[#This Row],[DESCONTO]]</f>
        <v>417.02699999999999</v>
      </c>
      <c r="L139" s="53">
        <f>Tabela6[[#This Row],[CUSTO TOTAL]]/Tabela6[[#This Row],[CONSUMO]]</f>
        <v>6.29</v>
      </c>
      <c r="M139" s="50">
        <f>Tabela6[[#This Row],[KM ATUAL]]-E138</f>
        <v>514</v>
      </c>
      <c r="N139" s="51">
        <f>Tabela6[[#This Row],[KM Rodados ]]/Tabela6[[#This Row],[CONSUMO]]</f>
        <v>7.7526395173453997</v>
      </c>
    </row>
    <row r="140" spans="1:14" x14ac:dyDescent="0.25">
      <c r="A140" s="47">
        <v>158449</v>
      </c>
      <c r="B140" s="78">
        <v>44949</v>
      </c>
      <c r="C140" s="47" t="s">
        <v>23</v>
      </c>
      <c r="D140" s="49" t="s">
        <v>262</v>
      </c>
      <c r="E140" s="47">
        <v>203732</v>
      </c>
      <c r="G140" s="50" t="s">
        <v>89</v>
      </c>
      <c r="H140" s="51">
        <v>119.25</v>
      </c>
      <c r="J140" s="51">
        <v>6.29</v>
      </c>
      <c r="K140" s="51">
        <f>Tabela6[[#This Row],[CONSUMO]]*Tabela6[[#This Row],[VALOR UNIT]]-Tabela6[[#This Row],[DESCONTO]]</f>
        <v>750.08249999999998</v>
      </c>
      <c r="L140" s="53">
        <f>Tabela6[[#This Row],[CUSTO TOTAL]]/Tabela6[[#This Row],[CONSUMO]]</f>
        <v>6.29</v>
      </c>
      <c r="M140" s="50">
        <f>Tabela6[[#This Row],[KM ATUAL]]-E111</f>
        <v>105643</v>
      </c>
      <c r="N140" s="51">
        <f>Tabela6[[#This Row],[KM Rodados ]]/Tabela6[[#This Row],[CONSUMO]]</f>
        <v>885.89517819706498</v>
      </c>
    </row>
    <row r="141" spans="1:14" x14ac:dyDescent="0.25">
      <c r="A141" s="47" t="s">
        <v>314</v>
      </c>
      <c r="B141" s="78">
        <v>44950</v>
      </c>
      <c r="C141" s="47" t="s">
        <v>43</v>
      </c>
      <c r="E141" s="47">
        <v>99695</v>
      </c>
      <c r="G141" s="50" t="s">
        <v>89</v>
      </c>
      <c r="H141" s="51">
        <v>32.5</v>
      </c>
      <c r="K141" s="52">
        <f>Tabela6[[#This Row],[CONSUMO]]*Tabela6[[#This Row],[VALOR UNIT]]-Tabela6[[#This Row],[DESCONTO]]</f>
        <v>0</v>
      </c>
      <c r="L141" s="53">
        <f>Tabela6[[#This Row],[CUSTO TOTAL]]/Tabela6[[#This Row],[CONSUMO]]</f>
        <v>0</v>
      </c>
      <c r="M141" s="50">
        <f>Tabela6[[#This Row],[KM ATUAL]]-E123</f>
        <v>-754883</v>
      </c>
      <c r="N141" s="51">
        <f>Tabela6[[#This Row],[KM Rodados ]]/Tabela6[[#This Row],[CONSUMO]]</f>
        <v>-23227.169230769232</v>
      </c>
    </row>
    <row r="142" spans="1:14" x14ac:dyDescent="0.25">
      <c r="A142" s="47">
        <v>158680</v>
      </c>
      <c r="B142" s="78">
        <v>44950</v>
      </c>
      <c r="C142" s="47" t="s">
        <v>43</v>
      </c>
      <c r="D142" s="49" t="s">
        <v>262</v>
      </c>
      <c r="E142" s="47">
        <v>99961</v>
      </c>
      <c r="G142" s="50" t="s">
        <v>89</v>
      </c>
      <c r="H142" s="51">
        <v>33.01</v>
      </c>
      <c r="J142" s="51">
        <v>6.29</v>
      </c>
      <c r="K142" s="52">
        <f>Tabela6[[#This Row],[CONSUMO]]*Tabela6[[#This Row],[VALOR UNIT]]-Tabela6[[#This Row],[DESCONTO]]</f>
        <v>207.63289999999998</v>
      </c>
      <c r="L142" s="53">
        <f>Tabela6[[#This Row],[CUSTO TOTAL]]/Tabela6[[#This Row],[CONSUMO]]</f>
        <v>6.29</v>
      </c>
      <c r="M142" s="50">
        <f>Tabela6[[#This Row],[KM ATUAL]]-E141</f>
        <v>266</v>
      </c>
      <c r="N142" s="72">
        <f>Tabela6[[#This Row],[KM Rodados ]]/Tabela6[[#This Row],[CONSUMO]]</f>
        <v>8.0581641926688885</v>
      </c>
    </row>
    <row r="143" spans="1:14" x14ac:dyDescent="0.25">
      <c r="A143" s="47">
        <v>158580</v>
      </c>
      <c r="B143" s="78">
        <v>44950</v>
      </c>
      <c r="C143" s="47" t="s">
        <v>8</v>
      </c>
      <c r="D143" s="49" t="s">
        <v>262</v>
      </c>
      <c r="E143" s="47">
        <v>869524</v>
      </c>
      <c r="G143" s="50" t="s">
        <v>89</v>
      </c>
      <c r="H143" s="51">
        <v>164.83</v>
      </c>
      <c r="J143" s="51">
        <v>6.19</v>
      </c>
      <c r="K143" s="52">
        <f>Tabela6[[#This Row],[CONSUMO]]*Tabela6[[#This Row],[VALOR UNIT]]-Tabela6[[#This Row],[DESCONTO]]</f>
        <v>1020.2977000000002</v>
      </c>
      <c r="L143" s="53">
        <f>Tabela6[[#This Row],[CUSTO TOTAL]]/Tabela6[[#This Row],[CONSUMO]]</f>
        <v>6.19</v>
      </c>
      <c r="M143" s="50">
        <f>Tabela6[[#This Row],[KM ATUAL]]-E112</f>
        <v>2300</v>
      </c>
      <c r="N143" s="51">
        <f>Tabela6[[#This Row],[KM Rodados ]]/Tabela6[[#This Row],[CONSUMO]]</f>
        <v>13.953770551477279</v>
      </c>
    </row>
    <row r="144" spans="1:14" x14ac:dyDescent="0.25">
      <c r="A144" s="47">
        <v>158604</v>
      </c>
      <c r="B144" s="78">
        <v>44950</v>
      </c>
      <c r="C144" s="47" t="s">
        <v>41</v>
      </c>
      <c r="D144" s="49" t="s">
        <v>262</v>
      </c>
      <c r="E144" s="47">
        <v>644604</v>
      </c>
      <c r="G144" s="50" t="s">
        <v>89</v>
      </c>
      <c r="H144" s="51">
        <v>131.19999999999999</v>
      </c>
      <c r="J144" s="51">
        <v>6.19</v>
      </c>
      <c r="K144" s="51">
        <f>Tabela6[[#This Row],[CONSUMO]]*Tabela6[[#This Row],[VALOR UNIT]]-Tabela6[[#This Row],[DESCONTO]]</f>
        <v>812.12799999999993</v>
      </c>
      <c r="L144" s="53">
        <f>Tabela6[[#This Row],[CUSTO TOTAL]]/Tabela6[[#This Row],[CONSUMO]]</f>
        <v>6.19</v>
      </c>
      <c r="M144" s="50">
        <f>Tabela6[[#This Row],[KM ATUAL]]-E110</f>
        <v>546795</v>
      </c>
      <c r="N144" s="51">
        <f>Tabela6[[#This Row],[KM Rodados ]]/Tabela6[[#This Row],[CONSUMO]]</f>
        <v>4167.644817073171</v>
      </c>
    </row>
    <row r="145" spans="1:14" x14ac:dyDescent="0.25">
      <c r="A145" s="47">
        <v>36904</v>
      </c>
      <c r="B145" s="78">
        <v>44950</v>
      </c>
      <c r="C145" s="47" t="s">
        <v>14</v>
      </c>
      <c r="D145" s="49" t="s">
        <v>263</v>
      </c>
      <c r="E145" s="47">
        <v>280043</v>
      </c>
      <c r="G145" s="50" t="s">
        <v>244</v>
      </c>
      <c r="H145" s="51">
        <v>23.99</v>
      </c>
      <c r="J145" s="51">
        <v>4.84</v>
      </c>
      <c r="K145" s="52">
        <f>Tabela6[[#This Row],[CONSUMO]]*Tabela6[[#This Row],[VALOR UNIT]]-Tabela6[[#This Row],[DESCONTO]]</f>
        <v>116.1116</v>
      </c>
      <c r="L145" s="53">
        <f>Tabela6[[#This Row],[CUSTO TOTAL]]/Tabela6[[#This Row],[CONSUMO]]</f>
        <v>4.84</v>
      </c>
      <c r="M145" s="50">
        <f>Tabela6[[#This Row],[KM ATUAL]]-E144</f>
        <v>-364561</v>
      </c>
      <c r="N145" s="51">
        <f>Tabela6[[#This Row],[KM Rodados ]]/Tabela6[[#This Row],[CONSUMO]]</f>
        <v>-15196.373488953732</v>
      </c>
    </row>
    <row r="146" spans="1:14" x14ac:dyDescent="0.25">
      <c r="A146" s="47">
        <v>37114</v>
      </c>
      <c r="B146" s="78">
        <v>44950</v>
      </c>
      <c r="C146" s="47" t="s">
        <v>14</v>
      </c>
      <c r="D146" s="49" t="s">
        <v>263</v>
      </c>
      <c r="E146" s="47">
        <v>280338</v>
      </c>
      <c r="G146" s="50" t="s">
        <v>244</v>
      </c>
      <c r="H146" s="51">
        <v>23.890999999999998</v>
      </c>
      <c r="J146" s="51">
        <v>4.84</v>
      </c>
      <c r="K146" s="52">
        <f>Tabela6[[#This Row],[CONSUMO]]*Tabela6[[#This Row],[VALOR UNIT]]-Tabela6[[#This Row],[DESCONTO]]</f>
        <v>115.63243999999999</v>
      </c>
      <c r="L146" s="53">
        <f>Tabela6[[#This Row],[CUSTO TOTAL]]/Tabela6[[#This Row],[CONSUMO]]</f>
        <v>4.84</v>
      </c>
      <c r="M146" s="50">
        <f>Tabela6[[#This Row],[KM ATUAL]]-E145</f>
        <v>295</v>
      </c>
      <c r="N146" s="51">
        <f>Tabela6[[#This Row],[KM Rodados ]]/Tabela6[[#This Row],[CONSUMO]]</f>
        <v>12.347746013143025</v>
      </c>
    </row>
    <row r="147" spans="1:14" x14ac:dyDescent="0.25">
      <c r="A147" s="47">
        <v>158583</v>
      </c>
      <c r="B147" s="78">
        <v>44950</v>
      </c>
      <c r="C147" s="47" t="s">
        <v>15</v>
      </c>
      <c r="D147" s="49" t="s">
        <v>262</v>
      </c>
      <c r="E147" s="47">
        <v>343867</v>
      </c>
      <c r="G147" s="50" t="s">
        <v>89</v>
      </c>
      <c r="H147" s="51">
        <v>83.921000000000006</v>
      </c>
      <c r="J147" s="51">
        <v>6.29</v>
      </c>
      <c r="K147" s="51">
        <f>Tabela6[[#This Row],[CONSUMO]]*Tabela6[[#This Row],[VALOR UNIT]]-Tabela6[[#This Row],[DESCONTO]]</f>
        <v>527.86309000000006</v>
      </c>
      <c r="L147" s="53">
        <f>Tabela6[[#This Row],[CUSTO TOTAL]]/Tabela6[[#This Row],[CONSUMO]]</f>
        <v>6.29</v>
      </c>
      <c r="M147" s="50">
        <f>Tabela6[[#This Row],[KM ATUAL]]-E103</f>
        <v>-566489</v>
      </c>
      <c r="N147" s="51">
        <f>Tabela6[[#This Row],[KM Rodados ]]/Tabela6[[#This Row],[CONSUMO]]</f>
        <v>-6750.2651303011162</v>
      </c>
    </row>
    <row r="148" spans="1:14" x14ac:dyDescent="0.25">
      <c r="A148" s="47">
        <v>264867</v>
      </c>
      <c r="B148" s="78">
        <v>44950</v>
      </c>
      <c r="C148" s="47" t="s">
        <v>40</v>
      </c>
      <c r="D148" s="49" t="s">
        <v>276</v>
      </c>
      <c r="E148" s="47">
        <v>117538</v>
      </c>
      <c r="G148" s="50" t="s">
        <v>244</v>
      </c>
      <c r="H148" s="51">
        <v>39.79</v>
      </c>
      <c r="J148" s="51">
        <v>4.99</v>
      </c>
      <c r="K148" s="74">
        <f>Tabela6[[#This Row],[CONSUMO]]*Tabela6[[#This Row],[VALOR UNIT]]-Tabela6[[#This Row],[DESCONTO]]</f>
        <v>198.5521</v>
      </c>
      <c r="L148" s="53">
        <f>Tabela6[[#This Row],[CUSTO TOTAL]]/Tabela6[[#This Row],[CONSUMO]]</f>
        <v>4.99</v>
      </c>
      <c r="M148" s="50">
        <f>Tabela6[[#This Row],[KM ATUAL]]-E99</f>
        <v>-248833</v>
      </c>
      <c r="N148" s="51">
        <f>Tabela6[[#This Row],[KM Rodados ]]/Tabela6[[#This Row],[CONSUMO]]</f>
        <v>-6253.6566976627291</v>
      </c>
    </row>
    <row r="149" spans="1:14" x14ac:dyDescent="0.25">
      <c r="A149" s="47" t="s">
        <v>314</v>
      </c>
      <c r="B149" s="78">
        <v>44950</v>
      </c>
      <c r="C149" s="47" t="s">
        <v>40</v>
      </c>
      <c r="E149" s="47">
        <v>118040</v>
      </c>
      <c r="G149" s="50" t="s">
        <v>244</v>
      </c>
      <c r="H149" s="51">
        <v>38.520000000000003</v>
      </c>
      <c r="K149" s="52">
        <f>Tabela6[[#This Row],[CONSUMO]]*Tabela6[[#This Row],[VALOR UNIT]]-Tabela6[[#This Row],[DESCONTO]]</f>
        <v>0</v>
      </c>
      <c r="L149" s="53">
        <f>Tabela6[[#This Row],[CUSTO TOTAL]]/Tabela6[[#This Row],[CONSUMO]]</f>
        <v>0</v>
      </c>
      <c r="M149" s="50">
        <f>Tabela6[[#This Row],[KM ATUAL]]-E139</f>
        <v>-108236</v>
      </c>
      <c r="N149" s="51">
        <f>Tabela6[[#This Row],[KM Rodados ]]/Tabela6[[#This Row],[CONSUMO]]</f>
        <v>-2809.8650051921077</v>
      </c>
    </row>
    <row r="150" spans="1:14" x14ac:dyDescent="0.25">
      <c r="A150" s="47" t="s">
        <v>314</v>
      </c>
      <c r="B150" s="78">
        <v>44951</v>
      </c>
      <c r="C150" s="47" t="s">
        <v>68</v>
      </c>
      <c r="E150" s="47">
        <v>855319</v>
      </c>
      <c r="G150" s="50" t="s">
        <v>89</v>
      </c>
      <c r="H150" s="51">
        <v>325</v>
      </c>
      <c r="K150" s="52">
        <f>Tabela6[[#This Row],[CONSUMO]]*Tabela6[[#This Row],[VALOR UNIT]]-Tabela6[[#This Row],[DESCONTO]]</f>
        <v>0</v>
      </c>
      <c r="L150" s="53">
        <f>Tabela6[[#This Row],[CUSTO TOTAL]]/Tabela6[[#This Row],[CONSUMO]]</f>
        <v>0</v>
      </c>
      <c r="M150" s="50">
        <f>Tabela6[[#This Row],[KM ATUAL]]-E120</f>
        <v>520692</v>
      </c>
      <c r="N150" s="49">
        <f>Tabela6[[#This Row],[KM Rodados ]]/Tabela6[[#This Row],[CONSUMO]]</f>
        <v>1602.1292307692308</v>
      </c>
    </row>
    <row r="151" spans="1:14" x14ac:dyDescent="0.25">
      <c r="A151" s="47">
        <v>284420</v>
      </c>
      <c r="B151" s="78">
        <v>44951</v>
      </c>
      <c r="C151" s="47" t="s">
        <v>43</v>
      </c>
      <c r="D151" s="49" t="s">
        <v>253</v>
      </c>
      <c r="E151" s="47">
        <v>100246</v>
      </c>
      <c r="G151" s="50" t="s">
        <v>89</v>
      </c>
      <c r="H151" s="51">
        <v>34.32</v>
      </c>
      <c r="I151" s="49">
        <v>10.3</v>
      </c>
      <c r="J151" s="51">
        <v>6.69</v>
      </c>
      <c r="K151" s="51">
        <f>Tabela6[[#This Row],[CONSUMO]]*Tabela6[[#This Row],[VALOR UNIT]]-Tabela6[[#This Row],[DESCONTO]]</f>
        <v>219.30080000000001</v>
      </c>
      <c r="L151" s="53">
        <f>Tabela6[[#This Row],[CUSTO TOTAL]]/Tabela6[[#This Row],[CONSUMO]]</f>
        <v>6.3898834498834498</v>
      </c>
      <c r="M151" s="50">
        <f>Tabela6[[#This Row],[KM ATUAL]]-E141</f>
        <v>551</v>
      </c>
      <c r="N151" s="72">
        <f>Tabela6[[#This Row],[KM Rodados ]]/Tabela6[[#This Row],[CONSUMO]]</f>
        <v>16.054778554778554</v>
      </c>
    </row>
    <row r="152" spans="1:14" x14ac:dyDescent="0.25">
      <c r="A152" s="47">
        <v>594149</v>
      </c>
      <c r="B152" s="78">
        <v>44951</v>
      </c>
      <c r="C152" s="47" t="s">
        <v>9</v>
      </c>
      <c r="D152" s="49" t="s">
        <v>271</v>
      </c>
      <c r="E152" s="47">
        <v>586354</v>
      </c>
      <c r="G152" s="50" t="s">
        <v>89</v>
      </c>
      <c r="H152" s="51">
        <v>109.68</v>
      </c>
      <c r="J152" s="51">
        <v>6.09</v>
      </c>
      <c r="K152" s="51">
        <f>Tabela6[[#This Row],[CONSUMO]]*Tabela6[[#This Row],[VALOR UNIT]]-Tabela6[[#This Row],[DESCONTO]]</f>
        <v>667.95119999999997</v>
      </c>
      <c r="L152" s="53">
        <f>Tabela6[[#This Row],[CUSTO TOTAL]]/Tabela6[[#This Row],[CONSUMO]]</f>
        <v>6.089999999999999</v>
      </c>
      <c r="M152" s="50">
        <f>Tabela6[[#This Row],[KM ATUAL]]-E132</f>
        <v>411858</v>
      </c>
      <c r="N152" s="51">
        <f>Tabela6[[#This Row],[KM Rodados ]]/Tabela6[[#This Row],[CONSUMO]]</f>
        <v>3755.0875273522975</v>
      </c>
    </row>
    <row r="153" spans="1:14" x14ac:dyDescent="0.25">
      <c r="A153" s="47" t="s">
        <v>314</v>
      </c>
      <c r="B153" s="78">
        <v>44951</v>
      </c>
      <c r="C153" s="47" t="s">
        <v>72</v>
      </c>
      <c r="E153" s="47">
        <v>367123</v>
      </c>
      <c r="G153" s="50" t="s">
        <v>89</v>
      </c>
      <c r="H153" s="51">
        <v>46.32</v>
      </c>
      <c r="K153" s="52">
        <f>Tabela6[[#This Row],[CONSUMO]]*Tabela6[[#This Row],[VALOR UNIT]]-Tabela6[[#This Row],[DESCONTO]]</f>
        <v>0</v>
      </c>
      <c r="L153" s="53">
        <f>Tabela6[[#This Row],[CUSTO TOTAL]]/Tabela6[[#This Row],[CONSUMO]]</f>
        <v>0</v>
      </c>
      <c r="M153" s="50">
        <f>Tabela6[[#This Row],[KM ATUAL]]-E108</f>
        <v>163806</v>
      </c>
      <c r="N153" s="51">
        <f>Tabela6[[#This Row],[KM Rodados ]]/Tabela6[[#This Row],[CONSUMO]]</f>
        <v>3536.3989637305699</v>
      </c>
    </row>
    <row r="154" spans="1:14" x14ac:dyDescent="0.25">
      <c r="A154" s="47" t="s">
        <v>314</v>
      </c>
      <c r="B154" s="78">
        <v>44951</v>
      </c>
      <c r="C154" s="47" t="s">
        <v>72</v>
      </c>
      <c r="E154" s="47">
        <v>367563</v>
      </c>
      <c r="G154" s="50" t="s">
        <v>89</v>
      </c>
      <c r="H154" s="51">
        <v>50.12</v>
      </c>
      <c r="K154" s="52">
        <f>Tabela6[[#This Row],[CONSUMO]]*Tabela6[[#This Row],[VALOR UNIT]]-Tabela6[[#This Row],[DESCONTO]]</f>
        <v>0</v>
      </c>
      <c r="L154" s="53">
        <f>Tabela6[[#This Row],[CUSTO TOTAL]]/Tabela6[[#This Row],[CONSUMO]]</f>
        <v>0</v>
      </c>
      <c r="M154" s="50">
        <f>Tabela6[[#This Row],[KM ATUAL]]-E153</f>
        <v>440</v>
      </c>
      <c r="N154" s="51">
        <f>Tabela6[[#This Row],[KM Rodados ]]/Tabela6[[#This Row],[CONSUMO]]</f>
        <v>8.7789305666400637</v>
      </c>
    </row>
    <row r="155" spans="1:14" x14ac:dyDescent="0.25">
      <c r="A155" s="47">
        <v>158789</v>
      </c>
      <c r="B155" s="78">
        <v>44951</v>
      </c>
      <c r="C155" s="47" t="s">
        <v>72</v>
      </c>
      <c r="D155" s="49" t="s">
        <v>262</v>
      </c>
      <c r="E155" s="47">
        <v>367891</v>
      </c>
      <c r="G155" s="50" t="s">
        <v>89</v>
      </c>
      <c r="H155" s="51">
        <v>38.49</v>
      </c>
      <c r="J155" s="51">
        <v>6.29</v>
      </c>
      <c r="K155" s="52">
        <f>Tabela6[[#This Row],[CONSUMO]]*Tabela6[[#This Row],[VALOR UNIT]]-Tabela6[[#This Row],[DESCONTO]]</f>
        <v>242.10210000000001</v>
      </c>
      <c r="L155" s="53">
        <f>Tabela6[[#This Row],[CUSTO TOTAL]]/Tabela6[[#This Row],[CONSUMO]]</f>
        <v>6.29</v>
      </c>
      <c r="M155" s="50">
        <f>Tabela6[[#This Row],[KM ATUAL]]-E154</f>
        <v>328</v>
      </c>
      <c r="N155" s="51">
        <f>Tabela6[[#This Row],[KM Rodados ]]/Tabela6[[#This Row],[CONSUMO]]</f>
        <v>8.5216939464796049</v>
      </c>
    </row>
    <row r="156" spans="1:14" x14ac:dyDescent="0.25">
      <c r="A156" s="47">
        <v>222989</v>
      </c>
      <c r="B156" s="78">
        <v>44951</v>
      </c>
      <c r="C156" s="47" t="s">
        <v>14</v>
      </c>
      <c r="D156" s="49" t="s">
        <v>263</v>
      </c>
      <c r="E156" s="47">
        <v>280827</v>
      </c>
      <c r="G156" s="50" t="s">
        <v>244</v>
      </c>
      <c r="H156" s="51">
        <v>32.241</v>
      </c>
      <c r="J156" s="51">
        <v>4.99</v>
      </c>
      <c r="K156" s="52">
        <f>Tabela6[[#This Row],[CONSUMO]]*Tabela6[[#This Row],[VALOR UNIT]]-Tabela6[[#This Row],[DESCONTO]]</f>
        <v>160.88258999999999</v>
      </c>
      <c r="L156" s="53">
        <f>Tabela6[[#This Row],[CUSTO TOTAL]]/Tabela6[[#This Row],[CONSUMO]]</f>
        <v>4.99</v>
      </c>
      <c r="M156" s="50">
        <f>Tabela6[[#This Row],[KM ATUAL]]-E148</f>
        <v>163289</v>
      </c>
      <c r="N156" s="51">
        <f>Tabela6[[#This Row],[KM Rodados ]]/Tabela6[[#This Row],[CONSUMO]]</f>
        <v>5064.6381936044172</v>
      </c>
    </row>
    <row r="157" spans="1:14" x14ac:dyDescent="0.25">
      <c r="A157" s="47">
        <v>37412</v>
      </c>
      <c r="B157" s="78">
        <v>44951</v>
      </c>
      <c r="C157" s="47" t="s">
        <v>23</v>
      </c>
      <c r="D157" s="49" t="s">
        <v>263</v>
      </c>
      <c r="E157" s="47">
        <v>204315</v>
      </c>
      <c r="G157" s="50" t="s">
        <v>89</v>
      </c>
      <c r="H157" s="51">
        <v>129.59100000000001</v>
      </c>
      <c r="I157" s="49">
        <v>12.96</v>
      </c>
      <c r="J157" s="51">
        <v>6.18</v>
      </c>
      <c r="K157" s="51">
        <f>Tabela6[[#This Row],[CONSUMO]]*Tabela6[[#This Row],[VALOR UNIT]]-Tabela6[[#This Row],[DESCONTO]]</f>
        <v>787.91237999999998</v>
      </c>
      <c r="L157" s="53">
        <f>Tabela6[[#This Row],[CUSTO TOTAL]]/Tabela6[[#This Row],[CONSUMO]]</f>
        <v>6.0799930550732686</v>
      </c>
      <c r="M157" s="50">
        <f>Tabela6[[#This Row],[KM ATUAL]]-E132</f>
        <v>29819</v>
      </c>
      <c r="N157" s="51">
        <f>Tabela6[[#This Row],[KM Rodados ]]/Tabela6[[#This Row],[CONSUMO]]</f>
        <v>230.10085576930496</v>
      </c>
    </row>
    <row r="158" spans="1:14" x14ac:dyDescent="0.25">
      <c r="A158" s="47">
        <v>265101</v>
      </c>
      <c r="B158" s="78">
        <v>44951</v>
      </c>
      <c r="C158" s="47" t="s">
        <v>40</v>
      </c>
      <c r="D158" s="49" t="s">
        <v>276</v>
      </c>
      <c r="E158" s="47">
        <v>118573</v>
      </c>
      <c r="G158" s="50" t="s">
        <v>244</v>
      </c>
      <c r="H158" s="51">
        <v>41.25</v>
      </c>
      <c r="J158" s="51">
        <v>5.29</v>
      </c>
      <c r="K158" s="74">
        <f>Tabela6[[#This Row],[CONSUMO]]*Tabela6[[#This Row],[VALOR UNIT]]-Tabela6[[#This Row],[DESCONTO]]</f>
        <v>218.21250000000001</v>
      </c>
      <c r="L158" s="53">
        <f>Tabela6[[#This Row],[CUSTO TOTAL]]/Tabela6[[#This Row],[CONSUMO]]</f>
        <v>5.29</v>
      </c>
      <c r="M158" s="50">
        <f>Tabela6[[#This Row],[KM ATUAL]]-E157</f>
        <v>-85742</v>
      </c>
      <c r="N158" s="51">
        <f>Tabela6[[#This Row],[KM Rodados ]]/Tabela6[[#This Row],[CONSUMO]]</f>
        <v>-2078.5939393939393</v>
      </c>
    </row>
    <row r="159" spans="1:14" x14ac:dyDescent="0.25">
      <c r="A159" s="47" t="s">
        <v>314</v>
      </c>
      <c r="B159" s="78">
        <v>44952</v>
      </c>
      <c r="C159" s="47" t="s">
        <v>43</v>
      </c>
      <c r="E159" s="47">
        <v>100492</v>
      </c>
      <c r="G159" s="50" t="s">
        <v>89</v>
      </c>
      <c r="H159" s="51">
        <v>33.5</v>
      </c>
      <c r="K159" s="52">
        <f>Tabela6[[#This Row],[CONSUMO]]*Tabela6[[#This Row],[VALOR UNIT]]-Tabela6[[#This Row],[DESCONTO]]</f>
        <v>0</v>
      </c>
      <c r="L159" s="53">
        <f>Tabela6[[#This Row],[CUSTO TOTAL]]/Tabela6[[#This Row],[CONSUMO]]</f>
        <v>0</v>
      </c>
      <c r="M159" s="50">
        <f>Tabela6[[#This Row],[KM ATUAL]]-E146</f>
        <v>-179846</v>
      </c>
      <c r="N159" s="51">
        <f>Tabela6[[#This Row],[KM Rodados ]]/Tabela6[[#This Row],[CONSUMO]]</f>
        <v>-5368.5373134328356</v>
      </c>
    </row>
    <row r="160" spans="1:14" x14ac:dyDescent="0.25">
      <c r="A160" s="47">
        <v>285152</v>
      </c>
      <c r="B160" s="78">
        <v>44952</v>
      </c>
      <c r="C160" s="47" t="s">
        <v>72</v>
      </c>
      <c r="D160" s="49" t="s">
        <v>253</v>
      </c>
      <c r="E160" s="47">
        <v>368156</v>
      </c>
      <c r="G160" s="50" t="s">
        <v>89</v>
      </c>
      <c r="H160" s="51">
        <v>35.270000000000003</v>
      </c>
      <c r="I160" s="49">
        <v>10.58</v>
      </c>
      <c r="J160" s="51">
        <v>6.69</v>
      </c>
      <c r="K160" s="51">
        <f>Tabela6[[#This Row],[CONSUMO]]*Tabela6[[#This Row],[VALOR UNIT]]-Tabela6[[#This Row],[DESCONTO]]</f>
        <v>225.37630000000001</v>
      </c>
      <c r="L160" s="53">
        <f>Tabela6[[#This Row],[CUSTO TOTAL]]/Tabela6[[#This Row],[CONSUMO]]</f>
        <v>6.3900283527076835</v>
      </c>
      <c r="M160" s="50">
        <f>Tabela6[[#This Row],[KM ATUAL]]-E151</f>
        <v>267910</v>
      </c>
      <c r="N160" s="51">
        <f>Tabela6[[#This Row],[KM Rodados ]]/Tabela6[[#This Row],[CONSUMO]]</f>
        <v>7595.9739155089301</v>
      </c>
    </row>
    <row r="161" spans="1:14" x14ac:dyDescent="0.25">
      <c r="A161" s="47">
        <v>37823</v>
      </c>
      <c r="B161" s="78">
        <v>44952</v>
      </c>
      <c r="C161" s="47" t="s">
        <v>206</v>
      </c>
      <c r="D161" s="49" t="s">
        <v>263</v>
      </c>
      <c r="E161" s="47">
        <v>912448</v>
      </c>
      <c r="G161" s="50" t="s">
        <v>241</v>
      </c>
      <c r="H161" s="51">
        <v>35</v>
      </c>
      <c r="J161" s="51">
        <v>3.49</v>
      </c>
      <c r="K161" s="51">
        <f>Tabela6[[#This Row],[CONSUMO]]*Tabela6[[#This Row],[VALOR UNIT]]-Tabela6[[#This Row],[DESCONTO]]</f>
        <v>122.15</v>
      </c>
      <c r="L161" s="53">
        <f>Tabela6[[#This Row],[CUSTO TOTAL]]/Tabela6[[#This Row],[CONSUMO]]</f>
        <v>3.49</v>
      </c>
      <c r="M161" s="50"/>
      <c r="N161"/>
    </row>
    <row r="162" spans="1:14" x14ac:dyDescent="0.25">
      <c r="A162" s="47">
        <v>37823</v>
      </c>
      <c r="B162" s="78">
        <v>44952</v>
      </c>
      <c r="C162" s="47" t="s">
        <v>206</v>
      </c>
      <c r="D162" s="49" t="s">
        <v>263</v>
      </c>
      <c r="E162" s="47">
        <v>912448</v>
      </c>
      <c r="G162" s="50" t="s">
        <v>89</v>
      </c>
      <c r="H162" s="51">
        <v>531.36</v>
      </c>
      <c r="I162" s="49">
        <v>53.14</v>
      </c>
      <c r="J162" s="51">
        <v>6.18</v>
      </c>
      <c r="K162" s="52">
        <f>Tabela6[[#This Row],[CONSUMO]]*Tabela6[[#This Row],[VALOR UNIT]]-Tabela6[[#This Row],[DESCONTO]]</f>
        <v>3230.6648</v>
      </c>
      <c r="L162" s="53">
        <f>Tabela6[[#This Row],[CUSTO TOTAL]]/Tabela6[[#This Row],[CONSUMO]]</f>
        <v>6.0799924721469436</v>
      </c>
      <c r="M162" s="50">
        <f>Tabela6[[#This Row],[KM ATUAL]]-E102</f>
        <v>3465</v>
      </c>
      <c r="N162" s="51">
        <f>Tabela6[[#This Row],[KM Rodados ]]/Tabela6[[#This Row],[CONSUMO]]</f>
        <v>6.5210027100271004</v>
      </c>
    </row>
    <row r="163" spans="1:14" x14ac:dyDescent="0.25">
      <c r="A163" s="47" t="s">
        <v>314</v>
      </c>
      <c r="B163" s="78">
        <v>44952</v>
      </c>
      <c r="C163" s="47" t="s">
        <v>13</v>
      </c>
      <c r="E163" s="47">
        <v>588449</v>
      </c>
      <c r="G163" s="50" t="s">
        <v>89</v>
      </c>
      <c r="H163" s="51">
        <v>129.6</v>
      </c>
      <c r="K163" s="52">
        <f>Tabela6[[#This Row],[CONSUMO]]*Tabela6[[#This Row],[VALOR UNIT]]-Tabela6[[#This Row],[DESCONTO]]</f>
        <v>0</v>
      </c>
      <c r="L163" s="53">
        <f>Tabela6[[#This Row],[CUSTO TOTAL]]/Tabela6[[#This Row],[CONSUMO]]</f>
        <v>0</v>
      </c>
      <c r="M163" s="50">
        <f>Tabela6[[#This Row],[KM ATUAL]]-E81</f>
        <v>2667</v>
      </c>
      <c r="N163" s="51">
        <f>Tabela6[[#This Row],[KM Rodados ]]/Tabela6[[#This Row],[CONSUMO]]</f>
        <v>20.578703703703706</v>
      </c>
    </row>
    <row r="164" spans="1:14" x14ac:dyDescent="0.25">
      <c r="A164" s="47" t="s">
        <v>314</v>
      </c>
      <c r="B164" s="78">
        <v>44952</v>
      </c>
      <c r="C164" s="47" t="s">
        <v>13</v>
      </c>
      <c r="E164" s="47">
        <v>589152</v>
      </c>
      <c r="G164" s="50" t="s">
        <v>89</v>
      </c>
      <c r="H164" s="51">
        <v>156.19999999999999</v>
      </c>
      <c r="K164" s="52">
        <f>Tabela6[[#This Row],[CONSUMO]]*Tabela6[[#This Row],[VALOR UNIT]]-Tabela6[[#This Row],[DESCONTO]]</f>
        <v>0</v>
      </c>
      <c r="L164" s="53">
        <f>Tabela6[[#This Row],[CUSTO TOTAL]]/Tabela6[[#This Row],[CONSUMO]]</f>
        <v>0</v>
      </c>
      <c r="M164" s="50">
        <f>Tabela6[[#This Row],[KM ATUAL]]-E163</f>
        <v>703</v>
      </c>
      <c r="N164" s="51">
        <f>Tabela6[[#This Row],[KM Rodados ]]/Tabela6[[#This Row],[CONSUMO]]</f>
        <v>4.5006402048655572</v>
      </c>
    </row>
    <row r="165" spans="1:14" x14ac:dyDescent="0.25">
      <c r="A165" s="47">
        <v>158818</v>
      </c>
      <c r="B165" s="78">
        <v>44952</v>
      </c>
      <c r="C165" s="47" t="s">
        <v>13</v>
      </c>
      <c r="D165" s="49" t="s">
        <v>262</v>
      </c>
      <c r="E165" s="47">
        <v>589685</v>
      </c>
      <c r="G165" s="50" t="s">
        <v>89</v>
      </c>
      <c r="H165" s="51">
        <v>117.3</v>
      </c>
      <c r="J165" s="51">
        <v>6.29</v>
      </c>
      <c r="K165" s="52">
        <f>Tabela6[[#This Row],[CONSUMO]]*Tabela6[[#This Row],[VALOR UNIT]]-Tabela6[[#This Row],[DESCONTO]]</f>
        <v>737.81700000000001</v>
      </c>
      <c r="L165" s="53">
        <f>Tabela6[[#This Row],[CUSTO TOTAL]]/Tabela6[[#This Row],[CONSUMO]]</f>
        <v>6.29</v>
      </c>
      <c r="M165" s="50">
        <f>Tabela6[[#This Row],[KM ATUAL]]-E164</f>
        <v>533</v>
      </c>
      <c r="N165" s="51">
        <f>Tabela6[[#This Row],[KM Rodados ]]/Tabela6[[#This Row],[CONSUMO]]</f>
        <v>4.5439045183290707</v>
      </c>
    </row>
    <row r="166" spans="1:14" x14ac:dyDescent="0.25">
      <c r="A166" s="47">
        <v>593768</v>
      </c>
      <c r="B166" s="78">
        <v>44952</v>
      </c>
      <c r="C166" s="47" t="s">
        <v>13</v>
      </c>
      <c r="D166" s="49" t="s">
        <v>264</v>
      </c>
      <c r="E166" s="47">
        <v>590247</v>
      </c>
      <c r="G166" s="50" t="s">
        <v>89</v>
      </c>
      <c r="H166" s="51">
        <v>133.89099999999999</v>
      </c>
      <c r="J166" s="51">
        <v>6.24</v>
      </c>
      <c r="K166" s="51">
        <f>Tabela6[[#This Row],[CONSUMO]]*Tabela6[[#This Row],[VALOR UNIT]]-Tabela6[[#This Row],[DESCONTO]]</f>
        <v>835.47983999999997</v>
      </c>
      <c r="L166" s="53">
        <f>Tabela6[[#This Row],[CUSTO TOTAL]]/Tabela6[[#This Row],[CONSUMO]]</f>
        <v>6.24</v>
      </c>
      <c r="M166" s="50">
        <f>Tabela6[[#This Row],[KM ATUAL]]-E161</f>
        <v>-322201</v>
      </c>
      <c r="N166" s="51">
        <f>Tabela6[[#This Row],[KM Rodados ]]/Tabela6[[#This Row],[CONSUMO]]</f>
        <v>-2406.4425540178208</v>
      </c>
    </row>
    <row r="167" spans="1:14" x14ac:dyDescent="0.25">
      <c r="A167" s="47">
        <v>37927</v>
      </c>
      <c r="B167" s="78">
        <v>44952</v>
      </c>
      <c r="C167" s="47" t="s">
        <v>74</v>
      </c>
      <c r="D167" s="49" t="s">
        <v>263</v>
      </c>
      <c r="E167" s="47">
        <v>28551</v>
      </c>
      <c r="G167" s="50" t="s">
        <v>89</v>
      </c>
      <c r="H167" s="51">
        <v>65.06</v>
      </c>
      <c r="I167" s="49">
        <v>6.51</v>
      </c>
      <c r="J167" s="51">
        <v>6.18</v>
      </c>
      <c r="K167" s="52">
        <f>Tabela6[[#This Row],[CONSUMO]]*Tabela6[[#This Row],[VALOR UNIT]]-Tabela6[[#This Row],[DESCONTO]]</f>
        <v>395.56080000000003</v>
      </c>
      <c r="L167" s="53">
        <f>Tabela6[[#This Row],[CUSTO TOTAL]]/Tabela6[[#This Row],[CONSUMO]]</f>
        <v>6.0799385182908088</v>
      </c>
      <c r="M167" s="50">
        <f>Tabela6[[#This Row],[KM ATUAL]]-E131</f>
        <v>-557336</v>
      </c>
      <c r="N167" s="51">
        <f>Tabela6[[#This Row],[KM Rodados ]]/Tabela6[[#This Row],[CONSUMO]]</f>
        <v>-8566.4924684906237</v>
      </c>
    </row>
    <row r="168" spans="1:14" x14ac:dyDescent="0.25">
      <c r="A168" s="47" t="s">
        <v>314</v>
      </c>
      <c r="B168" s="78">
        <v>44953</v>
      </c>
      <c r="C168" s="47" t="s">
        <v>43</v>
      </c>
      <c r="E168" s="47">
        <v>100737</v>
      </c>
      <c r="G168" s="50" t="s">
        <v>89</v>
      </c>
      <c r="H168" s="51">
        <v>31.2</v>
      </c>
      <c r="K168" s="52">
        <f>Tabela6[[#This Row],[CONSUMO]]*Tabela6[[#This Row],[VALOR UNIT]]-Tabela6[[#This Row],[DESCONTO]]</f>
        <v>0</v>
      </c>
      <c r="L168" s="53">
        <f>Tabela6[[#This Row],[CUSTO TOTAL]]/Tabela6[[#This Row],[CONSUMO]]</f>
        <v>0</v>
      </c>
      <c r="M168" s="50">
        <f>Tabela6[[#This Row],[KM ATUAL]]-E167</f>
        <v>72186</v>
      </c>
      <c r="N168" s="51">
        <f>Tabela6[[#This Row],[KM Rodados ]]/Tabela6[[#This Row],[CONSUMO]]</f>
        <v>2313.6538461538462</v>
      </c>
    </row>
    <row r="169" spans="1:14" x14ac:dyDescent="0.25">
      <c r="A169" s="47">
        <v>805809</v>
      </c>
      <c r="B169" s="78">
        <v>44953</v>
      </c>
      <c r="C169" s="47" t="s">
        <v>43</v>
      </c>
      <c r="D169" s="49" t="s">
        <v>233</v>
      </c>
      <c r="E169" s="47">
        <v>100986</v>
      </c>
      <c r="G169" s="50" t="s">
        <v>89</v>
      </c>
      <c r="H169" s="51">
        <v>33.49</v>
      </c>
      <c r="J169" s="51">
        <v>6.39</v>
      </c>
      <c r="K169" s="52">
        <f>Tabela6[[#This Row],[CONSUMO]]*Tabela6[[#This Row],[VALOR UNIT]]-Tabela6[[#This Row],[DESCONTO]]</f>
        <v>214.00110000000001</v>
      </c>
      <c r="L169" s="53">
        <f>Tabela6[[#This Row],[CUSTO TOTAL]]/Tabela6[[#This Row],[CONSUMO]]</f>
        <v>6.39</v>
      </c>
      <c r="M169" s="50">
        <f>Tabela6[[#This Row],[KM ATUAL]]-E168</f>
        <v>249</v>
      </c>
      <c r="N169" s="72">
        <f>Tabela6[[#This Row],[KM Rodados ]]/Tabela6[[#This Row],[CONSUMO]]</f>
        <v>7.435055240370259</v>
      </c>
    </row>
    <row r="170" spans="1:14" x14ac:dyDescent="0.25">
      <c r="A170" s="47">
        <v>158996</v>
      </c>
      <c r="B170" s="78">
        <v>44953</v>
      </c>
      <c r="C170" s="47" t="s">
        <v>8</v>
      </c>
      <c r="D170" s="49" t="s">
        <v>262</v>
      </c>
      <c r="E170" s="47">
        <v>870063</v>
      </c>
      <c r="G170" s="50" t="s">
        <v>89</v>
      </c>
      <c r="H170" s="51">
        <v>122.06</v>
      </c>
      <c r="J170" s="51">
        <v>6.19</v>
      </c>
      <c r="K170" s="52">
        <f>Tabela6[[#This Row],[CONSUMO]]*Tabela6[[#This Row],[VALOR UNIT]]-Tabela6[[#This Row],[DESCONTO]]</f>
        <v>755.55140000000006</v>
      </c>
      <c r="L170" s="53">
        <f>Tabela6[[#This Row],[CUSTO TOTAL]]/Tabela6[[#This Row],[CONSUMO]]</f>
        <v>6.19</v>
      </c>
      <c r="M170" s="50">
        <f>Tabela6[[#This Row],[KM ATUAL]]-E142</f>
        <v>770102</v>
      </c>
      <c r="N170" s="51">
        <f>Tabela6[[#This Row],[KM Rodados ]]/Tabela6[[#This Row],[CONSUMO]]</f>
        <v>6309.2085859413401</v>
      </c>
    </row>
    <row r="171" spans="1:14" x14ac:dyDescent="0.25">
      <c r="A171" s="47">
        <v>555204</v>
      </c>
      <c r="B171" s="78">
        <v>44953</v>
      </c>
      <c r="C171" s="47" t="s">
        <v>9</v>
      </c>
      <c r="D171" s="49" t="s">
        <v>271</v>
      </c>
      <c r="E171" s="47">
        <v>586796</v>
      </c>
      <c r="G171" s="50" t="s">
        <v>89</v>
      </c>
      <c r="H171" s="51">
        <v>111.68</v>
      </c>
      <c r="J171" s="51">
        <v>6.0354999999999999</v>
      </c>
      <c r="K171" s="51">
        <f>Tabela6[[#This Row],[CONSUMO]]*Tabela6[[#This Row],[VALOR UNIT]]-Tabela6[[#This Row],[DESCONTO]]</f>
        <v>674.04464000000007</v>
      </c>
      <c r="L171" s="53">
        <f>Tabela6[[#This Row],[CUSTO TOTAL]]/Tabela6[[#This Row],[CONSUMO]]</f>
        <v>6.0354999999999999</v>
      </c>
      <c r="M171" s="50">
        <f>Tabela6[[#This Row],[KM ATUAL]]-E155</f>
        <v>218905</v>
      </c>
      <c r="N171" s="51">
        <f>Tabela6[[#This Row],[KM Rodados ]]/Tabela6[[#This Row],[CONSUMO]]</f>
        <v>1960.1092406876789</v>
      </c>
    </row>
    <row r="172" spans="1:14" x14ac:dyDescent="0.25">
      <c r="A172" s="47">
        <v>158941</v>
      </c>
      <c r="B172" s="78">
        <v>44953</v>
      </c>
      <c r="C172" s="47" t="s">
        <v>67</v>
      </c>
      <c r="D172" s="49" t="s">
        <v>262</v>
      </c>
      <c r="E172" s="47">
        <v>650351</v>
      </c>
      <c r="G172" s="50" t="s">
        <v>89</v>
      </c>
      <c r="H172" s="51">
        <v>153.16999999999999</v>
      </c>
      <c r="J172" s="51">
        <v>6.29</v>
      </c>
      <c r="K172" s="51">
        <f>Tabela6[[#This Row],[CONSUMO]]*Tabela6[[#This Row],[VALOR UNIT]]-Tabela6[[#This Row],[DESCONTO]]</f>
        <v>963.43929999999989</v>
      </c>
      <c r="L172" s="53">
        <f>Tabela6[[#This Row],[CUSTO TOTAL]]/Tabela6[[#This Row],[CONSUMO]]</f>
        <v>6.29</v>
      </c>
      <c r="M172" s="50">
        <f>Tabela6[[#This Row],[KM ATUAL]]-E101</f>
        <v>527637</v>
      </c>
      <c r="N172" s="51">
        <f>Tabela6[[#This Row],[KM Rodados ]]/Tabela6[[#This Row],[CONSUMO]]</f>
        <v>3444.7803094600772</v>
      </c>
    </row>
    <row r="173" spans="1:14" x14ac:dyDescent="0.25">
      <c r="A173" s="47" t="s">
        <v>314</v>
      </c>
      <c r="B173" s="78">
        <v>44953</v>
      </c>
      <c r="C173" s="47" t="s">
        <v>14</v>
      </c>
      <c r="E173" s="47">
        <v>281488</v>
      </c>
      <c r="G173" s="50" t="s">
        <v>244</v>
      </c>
      <c r="H173" s="51">
        <v>40.520000000000003</v>
      </c>
      <c r="K173" s="52">
        <f>Tabela6[[#This Row],[CONSUMO]]*Tabela6[[#This Row],[VALOR UNIT]]-Tabela6[[#This Row],[DESCONTO]]</f>
        <v>0</v>
      </c>
      <c r="L173" s="53">
        <f>Tabela6[[#This Row],[CUSTO TOTAL]]/Tabela6[[#This Row],[CONSUMO]]</f>
        <v>0</v>
      </c>
      <c r="M173" s="50">
        <f>Tabela6[[#This Row],[KM ATUAL]]-E99</f>
        <v>-84883</v>
      </c>
      <c r="N173" s="72">
        <f>Tabela6[[#This Row],[KM Rodados ]]/Tabela6[[#This Row],[CONSUMO]]</f>
        <v>-2094.8420533070089</v>
      </c>
    </row>
    <row r="174" spans="1:14" x14ac:dyDescent="0.25">
      <c r="A174" s="47">
        <v>158965</v>
      </c>
      <c r="B174" s="78">
        <v>44953</v>
      </c>
      <c r="C174" s="47" t="s">
        <v>15</v>
      </c>
      <c r="D174" s="49" t="s">
        <v>262</v>
      </c>
      <c r="E174" s="47">
        <v>344344</v>
      </c>
      <c r="G174" s="50" t="s">
        <v>89</v>
      </c>
      <c r="H174" s="51">
        <v>89.65</v>
      </c>
      <c r="J174" s="51">
        <v>6.29</v>
      </c>
      <c r="K174" s="51">
        <f>Tabela6[[#This Row],[CONSUMO]]*Tabela6[[#This Row],[VALOR UNIT]]-Tabela6[[#This Row],[DESCONTO]]</f>
        <v>563.89850000000001</v>
      </c>
      <c r="L174" s="53">
        <f>Tabela6[[#This Row],[CUSTO TOTAL]]/Tabela6[[#This Row],[CONSUMO]]</f>
        <v>6.29</v>
      </c>
      <c r="M174" s="50">
        <f>Tabela6[[#This Row],[KM ATUAL]]-E142</f>
        <v>244383</v>
      </c>
      <c r="N174" s="51">
        <f>Tabela6[[#This Row],[KM Rodados ]]/Tabela6[[#This Row],[CONSUMO]]</f>
        <v>2725.9676519799218</v>
      </c>
    </row>
    <row r="175" spans="1:14" x14ac:dyDescent="0.25">
      <c r="A175" s="47" t="s">
        <v>314</v>
      </c>
      <c r="B175" s="78">
        <v>44953</v>
      </c>
      <c r="C175" s="47" t="s">
        <v>40</v>
      </c>
      <c r="E175" s="47">
        <v>119013</v>
      </c>
      <c r="G175" s="50" t="s">
        <v>244</v>
      </c>
      <c r="H175" s="51">
        <v>39.5</v>
      </c>
      <c r="K175" s="52">
        <f>Tabela6[[#This Row],[CONSUMO]]*Tabela6[[#This Row],[VALOR UNIT]]-Tabela6[[#This Row],[DESCONTO]]</f>
        <v>0</v>
      </c>
      <c r="L175" s="53">
        <f>Tabela6[[#This Row],[CUSTO TOTAL]]/Tabela6[[#This Row],[CONSUMO]]</f>
        <v>0</v>
      </c>
      <c r="M175" s="50" t="e">
        <f>Tabela6[[#This Row],[KM ATUAL]]-#REF!</f>
        <v>#REF!</v>
      </c>
      <c r="N175" s="51" t="e">
        <f>Tabela6[[#This Row],[KM Rodados ]]/Tabela6[[#This Row],[CONSUMO]]</f>
        <v>#REF!</v>
      </c>
    </row>
    <row r="176" spans="1:14" x14ac:dyDescent="0.25">
      <c r="A176" s="47">
        <v>223956</v>
      </c>
      <c r="B176" s="78">
        <v>44954</v>
      </c>
      <c r="C176" s="47" t="s">
        <v>68</v>
      </c>
      <c r="D176" s="49" t="s">
        <v>263</v>
      </c>
      <c r="E176" s="47">
        <v>856053</v>
      </c>
      <c r="G176" s="50" t="s">
        <v>89</v>
      </c>
      <c r="H176" s="51">
        <v>302.601</v>
      </c>
      <c r="I176" s="49">
        <v>30.26</v>
      </c>
      <c r="J176" s="51">
        <v>6.18</v>
      </c>
      <c r="K176" s="51">
        <f>Tabela6[[#This Row],[CONSUMO]]*Tabela6[[#This Row],[VALOR UNIT]]-Tabela6[[#This Row],[DESCONTO]]</f>
        <v>1839.8141799999999</v>
      </c>
      <c r="L176" s="53">
        <f>Tabela6[[#This Row],[CUSTO TOTAL]]/Tabela6[[#This Row],[CONSUMO]]</f>
        <v>6.0800003304681738</v>
      </c>
      <c r="M176" s="50">
        <f>Tabela6[[#This Row],[KM ATUAL]]-E159</f>
        <v>755561</v>
      </c>
      <c r="N176" s="51">
        <f>Tabela6[[#This Row],[KM Rodados ]]/Tabela6[[#This Row],[CONSUMO]]</f>
        <v>2496.8886421393186</v>
      </c>
    </row>
    <row r="177" spans="1:14" x14ac:dyDescent="0.25">
      <c r="A177" s="47" t="s">
        <v>314</v>
      </c>
      <c r="B177" s="78">
        <v>44954</v>
      </c>
      <c r="C177" s="47" t="s">
        <v>72</v>
      </c>
      <c r="E177" s="47">
        <v>368487</v>
      </c>
      <c r="G177" s="50" t="s">
        <v>89</v>
      </c>
      <c r="H177" s="51">
        <v>41.52</v>
      </c>
      <c r="K177" s="52">
        <f>Tabela6[[#This Row],[CONSUMO]]*Tabela6[[#This Row],[VALOR UNIT]]-Tabela6[[#This Row],[DESCONTO]]</f>
        <v>0</v>
      </c>
      <c r="L177" s="53">
        <f>Tabela6[[#This Row],[CUSTO TOTAL]]/Tabela6[[#This Row],[CONSUMO]]</f>
        <v>0</v>
      </c>
      <c r="M177" s="50">
        <f>Tabela6[[#This Row],[KM ATUAL]]-E163</f>
        <v>-219962</v>
      </c>
      <c r="N177" s="51">
        <f>Tabela6[[#This Row],[KM Rodados ]]/Tabela6[[#This Row],[CONSUMO]]</f>
        <v>-5297.736030828516</v>
      </c>
    </row>
    <row r="178" spans="1:14" x14ac:dyDescent="0.25">
      <c r="A178" s="47">
        <v>158827</v>
      </c>
      <c r="B178" s="78">
        <v>44954</v>
      </c>
      <c r="C178" s="47" t="s">
        <v>21</v>
      </c>
      <c r="D178" s="49" t="s">
        <v>262</v>
      </c>
      <c r="E178" s="47">
        <v>124550</v>
      </c>
      <c r="G178" s="50" t="s">
        <v>89</v>
      </c>
      <c r="H178" s="51">
        <v>183.739</v>
      </c>
      <c r="J178" s="51">
        <v>6.29</v>
      </c>
      <c r="K178" s="52">
        <f>Tabela6[[#This Row],[CONSUMO]]*Tabela6[[#This Row],[VALOR UNIT]]-Tabela6[[#This Row],[DESCONTO]]</f>
        <v>1155.71831</v>
      </c>
      <c r="L178" s="53">
        <f>Tabela6[[#This Row],[CUSTO TOTAL]]/Tabela6[[#This Row],[CONSUMO]]</f>
        <v>6.29</v>
      </c>
      <c r="M178" s="50">
        <f>Tabela6[[#This Row],[KM ATUAL]]-E140</f>
        <v>-79182</v>
      </c>
      <c r="N178" s="51">
        <f>Tabela6[[#This Row],[KM Rodados ]]/Tabela6[[#This Row],[CONSUMO]]</f>
        <v>-430.94824724201175</v>
      </c>
    </row>
    <row r="179" spans="1:14" x14ac:dyDescent="0.25">
      <c r="A179" s="47">
        <v>288152</v>
      </c>
      <c r="B179" s="78">
        <v>44956</v>
      </c>
      <c r="C179" s="47" t="s">
        <v>72</v>
      </c>
      <c r="D179" s="49" t="s">
        <v>253</v>
      </c>
      <c r="E179" s="47">
        <v>368818</v>
      </c>
      <c r="G179" s="50" t="s">
        <v>89</v>
      </c>
      <c r="H179" s="51">
        <v>44.88</v>
      </c>
      <c r="I179" s="49">
        <v>13.46</v>
      </c>
      <c r="J179" s="51">
        <v>6.69</v>
      </c>
      <c r="K179" s="52">
        <f>Tabela6[[#This Row],[CONSUMO]]*Tabela6[[#This Row],[VALOR UNIT]]-Tabela6[[#This Row],[DESCONTO]]</f>
        <v>286.78720000000004</v>
      </c>
      <c r="L179" s="53">
        <f>Tabela6[[#This Row],[CUSTO TOTAL]]/Tabela6[[#This Row],[CONSUMO]]</f>
        <v>6.3900891265597153</v>
      </c>
      <c r="M179" s="50">
        <f>Tabela6[[#This Row],[KM ATUAL]]-E178</f>
        <v>244268</v>
      </c>
      <c r="N179" s="51">
        <f>Tabela6[[#This Row],[KM Rodados ]]/Tabela6[[#This Row],[CONSUMO]]</f>
        <v>5442.6916221033862</v>
      </c>
    </row>
    <row r="180" spans="1:14" x14ac:dyDescent="0.25">
      <c r="A180" s="47" t="s">
        <v>314</v>
      </c>
      <c r="B180" s="78">
        <v>44956</v>
      </c>
      <c r="C180" s="47" t="s">
        <v>13</v>
      </c>
      <c r="E180" s="47">
        <v>590852</v>
      </c>
      <c r="G180" s="50" t="s">
        <v>89</v>
      </c>
      <c r="H180" s="51">
        <v>139.5</v>
      </c>
      <c r="K180" s="52">
        <f>Tabela6[[#This Row],[CONSUMO]]*Tabela6[[#This Row],[VALOR UNIT]]-Tabela6[[#This Row],[DESCONTO]]</f>
        <v>0</v>
      </c>
      <c r="L180" s="53">
        <f>Tabela6[[#This Row],[CUSTO TOTAL]]/Tabela6[[#This Row],[CONSUMO]]</f>
        <v>0</v>
      </c>
      <c r="M180" s="50">
        <f>Tabela6[[#This Row],[KM ATUAL]]-E167</f>
        <v>562301</v>
      </c>
      <c r="N180" s="51">
        <f>Tabela6[[#This Row],[KM Rodados ]]/Tabela6[[#This Row],[CONSUMO]]</f>
        <v>4030.831541218638</v>
      </c>
    </row>
    <row r="181" spans="1:14" x14ac:dyDescent="0.25">
      <c r="A181" s="47">
        <v>596057</v>
      </c>
      <c r="B181" s="78">
        <v>44956</v>
      </c>
      <c r="C181" s="47" t="s">
        <v>13</v>
      </c>
      <c r="D181" s="49" t="s">
        <v>264</v>
      </c>
      <c r="E181" s="47">
        <v>591321</v>
      </c>
      <c r="G181" s="50" t="s">
        <v>89</v>
      </c>
      <c r="H181" s="51">
        <v>99.622</v>
      </c>
      <c r="J181" s="51">
        <v>6.24</v>
      </c>
      <c r="K181" s="52">
        <f>Tabela6[[#This Row],[CONSUMO]]*Tabela6[[#This Row],[VALOR UNIT]]-Tabela6[[#This Row],[DESCONTO]]</f>
        <v>621.64128000000005</v>
      </c>
      <c r="L181" s="53">
        <f>Tabela6[[#This Row],[CUSTO TOTAL]]/Tabela6[[#This Row],[CONSUMO]]</f>
        <v>6.24</v>
      </c>
      <c r="M181" s="50">
        <f>Tabela6[[#This Row],[KM ATUAL]]-E180</f>
        <v>469</v>
      </c>
      <c r="N181" s="51">
        <f>Tabela6[[#This Row],[KM Rodados ]]/Tabela6[[#This Row],[CONSUMO]]</f>
        <v>4.7077954668647486</v>
      </c>
    </row>
    <row r="182" spans="1:14" x14ac:dyDescent="0.25">
      <c r="A182" s="119">
        <v>510455</v>
      </c>
      <c r="B182" s="78">
        <v>44956</v>
      </c>
      <c r="C182" s="47" t="s">
        <v>38</v>
      </c>
      <c r="D182" s="49" t="s">
        <v>255</v>
      </c>
      <c r="E182" s="47">
        <v>124132</v>
      </c>
      <c r="G182" s="50" t="s">
        <v>244</v>
      </c>
      <c r="H182" s="51">
        <v>48.591000000000001</v>
      </c>
      <c r="J182" s="51">
        <v>5.22</v>
      </c>
      <c r="K182" s="51">
        <f>Tabela6[[#This Row],[CONSUMO]]*Tabela6[[#This Row],[VALOR UNIT]]-Tabela6[[#This Row],[DESCONTO]]</f>
        <v>253.64501999999999</v>
      </c>
      <c r="L182" s="53">
        <f>Tabela6[[#This Row],[CUSTO TOTAL]]/Tabela6[[#This Row],[CONSUMO]]</f>
        <v>5.22</v>
      </c>
      <c r="M182" s="50">
        <f>Tabela6[[#This Row],[KM ATUAL]]-E118</f>
        <v>-519930</v>
      </c>
      <c r="N182" s="51">
        <f>Tabela6[[#This Row],[KM Rodados ]]/Tabela6[[#This Row],[CONSUMO]]</f>
        <v>-10700.129653639562</v>
      </c>
    </row>
    <row r="183" spans="1:14" x14ac:dyDescent="0.25">
      <c r="A183" s="81" t="s">
        <v>314</v>
      </c>
      <c r="B183" s="78">
        <v>44956</v>
      </c>
      <c r="C183" s="47" t="s">
        <v>40</v>
      </c>
      <c r="E183" s="47">
        <v>119419</v>
      </c>
      <c r="G183" s="50" t="s">
        <v>244</v>
      </c>
      <c r="H183" s="51">
        <v>36.85</v>
      </c>
      <c r="K183" s="52">
        <f>Tabela6[[#This Row],[CONSUMO]]*Tabela6[[#This Row],[VALOR UNIT]]-Tabela6[[#This Row],[DESCONTO]]</f>
        <v>0</v>
      </c>
      <c r="L183" s="53">
        <f>Tabela6[[#This Row],[CUSTO TOTAL]]/Tabela6[[#This Row],[CONSUMO]]</f>
        <v>0</v>
      </c>
      <c r="M183" s="50">
        <f>Tabela6[[#This Row],[KM ATUAL]]-E182</f>
        <v>-4713</v>
      </c>
      <c r="N183" s="51">
        <f>Tabela6[[#This Row],[KM Rodados ]]/Tabela6[[#This Row],[CONSUMO]]</f>
        <v>-127.89687924016282</v>
      </c>
    </row>
    <row r="184" spans="1:14" x14ac:dyDescent="0.25">
      <c r="A184" s="47">
        <v>39713</v>
      </c>
      <c r="B184" s="78">
        <v>44956</v>
      </c>
      <c r="C184" s="47" t="s">
        <v>74</v>
      </c>
      <c r="D184" s="49" t="s">
        <v>263</v>
      </c>
      <c r="E184" s="47">
        <v>28857</v>
      </c>
      <c r="G184" s="50" t="s">
        <v>89</v>
      </c>
      <c r="H184" s="51">
        <v>33.100999999999999</v>
      </c>
      <c r="I184" s="49">
        <v>3.31</v>
      </c>
      <c r="J184" s="51">
        <v>6.18</v>
      </c>
      <c r="K184" s="51">
        <f>Tabela6[[#This Row],[CONSUMO]]*Tabela6[[#This Row],[VALOR UNIT]]-Tabela6[[#This Row],[DESCONTO]]</f>
        <v>201.25417999999999</v>
      </c>
      <c r="L184" s="53">
        <f>Tabela6[[#This Row],[CUSTO TOTAL]]/Tabela6[[#This Row],[CONSUMO]]</f>
        <v>6.0800030210567657</v>
      </c>
      <c r="M184" s="50">
        <f>Tabela6[[#This Row],[KM ATUAL]]-E169</f>
        <v>-72129</v>
      </c>
      <c r="N184" s="51">
        <f>Tabela6[[#This Row],[KM Rodados ]]/Tabela6[[#This Row],[CONSUMO]]</f>
        <v>-2179.0580345004682</v>
      </c>
    </row>
    <row r="185" spans="1:14" x14ac:dyDescent="0.25">
      <c r="A185" s="47" t="s">
        <v>314</v>
      </c>
      <c r="B185" s="78">
        <v>44957</v>
      </c>
      <c r="C185" s="47" t="s">
        <v>43</v>
      </c>
      <c r="E185" s="47">
        <v>101410</v>
      </c>
      <c r="G185" s="50" t="s">
        <v>89</v>
      </c>
      <c r="H185" s="51">
        <v>80</v>
      </c>
      <c r="K185" s="52">
        <f>Tabela6[[#This Row],[CONSUMO]]*Tabela6[[#This Row],[VALOR UNIT]]-Tabela6[[#This Row],[DESCONTO]]</f>
        <v>0</v>
      </c>
      <c r="L185" s="53">
        <f>Tabela6[[#This Row],[CUSTO TOTAL]]/Tabela6[[#This Row],[CONSUMO]]</f>
        <v>0</v>
      </c>
      <c r="M185" s="50">
        <f>Tabela6[[#This Row],[KM ATUAL]]-E171</f>
        <v>-485386</v>
      </c>
      <c r="N185" s="51">
        <f>Tabela6[[#This Row],[KM Rodados ]]/Tabela6[[#This Row],[CONSUMO]]</f>
        <v>-6067.3249999999998</v>
      </c>
    </row>
    <row r="186" spans="1:14" x14ac:dyDescent="0.25">
      <c r="A186" s="80">
        <v>809305</v>
      </c>
      <c r="B186" s="78">
        <v>44957</v>
      </c>
      <c r="C186" s="47" t="s">
        <v>43</v>
      </c>
      <c r="D186" s="49" t="s">
        <v>233</v>
      </c>
      <c r="E186" s="47">
        <v>101695</v>
      </c>
      <c r="G186" s="50" t="s">
        <v>89</v>
      </c>
      <c r="H186" s="51">
        <v>32.770000000000003</v>
      </c>
      <c r="J186" s="51">
        <v>6.39</v>
      </c>
      <c r="K186" s="52">
        <f>Tabela6[[#This Row],[CONSUMO]]*Tabela6[[#This Row],[VALOR UNIT]]-Tabela6[[#This Row],[DESCONTO]]</f>
        <v>209.40030000000002</v>
      </c>
      <c r="L186" s="53">
        <f>Tabela6[[#This Row],[CUSTO TOTAL]]/Tabela6[[#This Row],[CONSUMO]]</f>
        <v>6.39</v>
      </c>
      <c r="M186" s="50">
        <f>Tabela6[[#This Row],[KM ATUAL]]-E185</f>
        <v>285</v>
      </c>
      <c r="N186" s="72">
        <f>Tabela6[[#This Row],[KM Rodados ]]/Tabela6[[#This Row],[CONSUMO]]</f>
        <v>8.6969789441562391</v>
      </c>
    </row>
    <row r="187" spans="1:14" x14ac:dyDescent="0.25">
      <c r="A187" s="47">
        <v>159397</v>
      </c>
      <c r="B187" s="78">
        <v>44957</v>
      </c>
      <c r="C187" s="47" t="s">
        <v>8</v>
      </c>
      <c r="D187" s="49" t="s">
        <v>262</v>
      </c>
      <c r="E187" s="47">
        <v>870517</v>
      </c>
      <c r="G187" s="50" t="s">
        <v>89</v>
      </c>
      <c r="H187" s="51">
        <v>127.52</v>
      </c>
      <c r="J187" s="51">
        <v>6.19</v>
      </c>
      <c r="K187" s="52">
        <f>Tabela6[[#This Row],[CONSUMO]]*Tabela6[[#This Row],[VALOR UNIT]]-Tabela6[[#This Row],[DESCONTO]]</f>
        <v>789.34879999999998</v>
      </c>
      <c r="L187" s="53">
        <f>Tabela6[[#This Row],[CUSTO TOTAL]]/Tabela6[[#This Row],[CONSUMO]]</f>
        <v>6.19</v>
      </c>
      <c r="M187" s="50">
        <f>Tabela6[[#This Row],[KM ATUAL]]-E172</f>
        <v>220166</v>
      </c>
      <c r="N187" s="51">
        <f>Tabela6[[#This Row],[KM Rodados ]]/Tabela6[[#This Row],[CONSUMO]]</f>
        <v>1726.5213299874531</v>
      </c>
    </row>
    <row r="188" spans="1:14" x14ac:dyDescent="0.25">
      <c r="A188" s="47">
        <v>557166</v>
      </c>
      <c r="B188" s="78">
        <v>44957</v>
      </c>
      <c r="C188" s="47" t="s">
        <v>9</v>
      </c>
      <c r="D188" s="49" t="s">
        <v>271</v>
      </c>
      <c r="E188" s="47">
        <v>587247</v>
      </c>
      <c r="G188" s="50" t="s">
        <v>89</v>
      </c>
      <c r="H188" s="51">
        <v>119.63</v>
      </c>
      <c r="J188" s="51">
        <v>6.09</v>
      </c>
      <c r="K188" s="51">
        <f>Tabela6[[#This Row],[CONSUMO]]*Tabela6[[#This Row],[VALOR UNIT]]-Tabela6[[#This Row],[DESCONTO]]</f>
        <v>728.54669999999999</v>
      </c>
      <c r="L188" s="53">
        <f>Tabela6[[#This Row],[CUSTO TOTAL]]/Tabela6[[#This Row],[CONSUMO]]</f>
        <v>6.09</v>
      </c>
      <c r="M188" s="50">
        <f>Tabela6[[#This Row],[KM ATUAL]]-E164</f>
        <v>-1905</v>
      </c>
      <c r="N188" s="51">
        <f>Tabela6[[#This Row],[KM Rodados ]]/Tabela6[[#This Row],[CONSUMO]]</f>
        <v>-15.924099306194099</v>
      </c>
    </row>
    <row r="189" spans="1:14" x14ac:dyDescent="0.25">
      <c r="A189" s="47">
        <v>159455</v>
      </c>
      <c r="B189" s="78">
        <v>44957</v>
      </c>
      <c r="C189" s="47" t="s">
        <v>203</v>
      </c>
      <c r="D189" s="49" t="s">
        <v>262</v>
      </c>
      <c r="E189" s="47">
        <v>74499</v>
      </c>
      <c r="G189" s="50" t="s">
        <v>244</v>
      </c>
      <c r="H189" s="51">
        <v>51.338999999999999</v>
      </c>
      <c r="J189" s="51">
        <v>5.19</v>
      </c>
      <c r="K189" s="51">
        <f>Tabela6[[#This Row],[CONSUMO]]*Tabela6[[#This Row],[VALOR UNIT]]-Tabela6[[#This Row],[DESCONTO]]</f>
        <v>266.44941</v>
      </c>
      <c r="L189" s="53">
        <f>Tabela6[[#This Row],[CUSTO TOTAL]]/Tabela6[[#This Row],[CONSUMO]]</f>
        <v>5.19</v>
      </c>
      <c r="M189" s="50">
        <f>Tabela6[[#This Row],[KM ATUAL]]-E91</f>
        <v>-624623</v>
      </c>
      <c r="N189" s="51">
        <f>Tabela6[[#This Row],[KM Rodados ]]/Tabela6[[#This Row],[CONSUMO]]</f>
        <v>-12166.637449112761</v>
      </c>
    </row>
    <row r="190" spans="1:14" x14ac:dyDescent="0.25">
      <c r="A190" s="47">
        <v>159403</v>
      </c>
      <c r="B190" s="78">
        <v>44957</v>
      </c>
      <c r="C190" s="47" t="s">
        <v>72</v>
      </c>
      <c r="D190" s="49" t="s">
        <v>262</v>
      </c>
      <c r="E190" s="47">
        <v>369126</v>
      </c>
      <c r="G190" s="50" t="s">
        <v>89</v>
      </c>
      <c r="H190" s="51">
        <v>46.091000000000001</v>
      </c>
      <c r="J190" s="51">
        <v>6.29</v>
      </c>
      <c r="K190" s="51">
        <f>Tabela6[[#This Row],[CONSUMO]]*Tabela6[[#This Row],[VALOR UNIT]]-Tabela6[[#This Row],[DESCONTO]]</f>
        <v>289.91239000000002</v>
      </c>
      <c r="L190" s="53">
        <f>Tabela6[[#This Row],[CUSTO TOTAL]]/Tabela6[[#This Row],[CONSUMO]]</f>
        <v>6.29</v>
      </c>
      <c r="M190" s="50">
        <f>Tabela6[[#This Row],[KM ATUAL]]-E181</f>
        <v>-222195</v>
      </c>
      <c r="N190" s="51">
        <f>Tabela6[[#This Row],[KM Rodados ]]/Tabela6[[#This Row],[CONSUMO]]</f>
        <v>-4820.7893081078737</v>
      </c>
    </row>
    <row r="191" spans="1:14" x14ac:dyDescent="0.25">
      <c r="A191" s="47">
        <v>40327</v>
      </c>
      <c r="B191" s="78">
        <v>44957</v>
      </c>
      <c r="C191" s="47" t="s">
        <v>71</v>
      </c>
      <c r="D191" s="49" t="s">
        <v>263</v>
      </c>
      <c r="E191" s="47">
        <v>80113</v>
      </c>
      <c r="G191" s="50" t="s">
        <v>89</v>
      </c>
      <c r="H191" s="51">
        <f>367.22+123.101</f>
        <v>490.32100000000003</v>
      </c>
      <c r="I191" s="49">
        <v>49.03</v>
      </c>
      <c r="J191" s="51">
        <v>6.18</v>
      </c>
      <c r="K191" s="51">
        <f>Tabela6[[#This Row],[CONSUMO]]*Tabela6[[#This Row],[VALOR UNIT]]-Tabela6[[#This Row],[DESCONTO]]</f>
        <v>2981.1537799999996</v>
      </c>
      <c r="L191" s="53">
        <f>Tabela6[[#This Row],[CUSTO TOTAL]]/Tabela6[[#This Row],[CONSUMO]]</f>
        <v>6.0800042829085426</v>
      </c>
      <c r="M191" s="50">
        <f>Tabela6[[#This Row],[KM ATUAL]]-E130</f>
        <v>52153</v>
      </c>
      <c r="N191" s="51">
        <f>Tabela6[[#This Row],[KM Rodados ]]/Tabela6[[#This Row],[CONSUMO]]</f>
        <v>106.36501393984756</v>
      </c>
    </row>
    <row r="192" spans="1:14" x14ac:dyDescent="0.25">
      <c r="A192" s="47">
        <v>159371</v>
      </c>
      <c r="B192" s="78">
        <v>44957</v>
      </c>
      <c r="C192" s="47" t="s">
        <v>21</v>
      </c>
      <c r="D192" s="49" t="s">
        <v>262</v>
      </c>
      <c r="E192" s="47">
        <v>125276</v>
      </c>
      <c r="G192" s="50" t="s">
        <v>89</v>
      </c>
      <c r="H192" s="51">
        <v>174.851</v>
      </c>
      <c r="J192" s="51">
        <v>6.29</v>
      </c>
      <c r="K192" s="52">
        <f>Tabela6[[#This Row],[CONSUMO]]*Tabela6[[#This Row],[VALOR UNIT]]-Tabela6[[#This Row],[DESCONTO]]</f>
        <v>1099.8127899999999</v>
      </c>
      <c r="L192" s="53">
        <f>Tabela6[[#This Row],[CUSTO TOTAL]]/Tabela6[[#This Row],[CONSUMO]]</f>
        <v>6.29</v>
      </c>
      <c r="M192" s="50">
        <f>Tabela6[[#This Row],[KM ATUAL]]-E175</f>
        <v>6263</v>
      </c>
      <c r="N192" s="51">
        <f>Tabela6[[#This Row],[KM Rodados ]]/Tabela6[[#This Row],[CONSUMO]]</f>
        <v>35.819068807155809</v>
      </c>
    </row>
    <row r="193" spans="1:14" x14ac:dyDescent="0.25">
      <c r="A193" s="47">
        <v>289141</v>
      </c>
      <c r="B193" s="78">
        <v>44957</v>
      </c>
      <c r="C193" s="47" t="s">
        <v>41</v>
      </c>
      <c r="D193" s="49" t="s">
        <v>253</v>
      </c>
      <c r="E193" s="47">
        <v>645279</v>
      </c>
      <c r="G193" s="50" t="s">
        <v>89</v>
      </c>
      <c r="H193" s="51">
        <v>152.36000000000001</v>
      </c>
      <c r="I193" s="49">
        <v>45.71</v>
      </c>
      <c r="J193" s="51">
        <v>6.69</v>
      </c>
      <c r="K193" s="51">
        <f>Tabela6[[#This Row],[CONSUMO]]*Tabela6[[#This Row],[VALOR UNIT]]-Tabela6[[#This Row],[DESCONTO]]</f>
        <v>973.5784000000001</v>
      </c>
      <c r="L193" s="53">
        <f>Tabela6[[#This Row],[CUSTO TOTAL]]/Tabela6[[#This Row],[CONSUMO]]</f>
        <v>6.3899868731950642</v>
      </c>
      <c r="M193" s="50">
        <f>Tabela6[[#This Row],[KM ATUAL]]-E140</f>
        <v>441547</v>
      </c>
      <c r="N193" s="51">
        <f>Tabela6[[#This Row],[KM Rodados ]]/Tabela6[[#This Row],[CONSUMO]]</f>
        <v>2898.0506694670516</v>
      </c>
    </row>
    <row r="194" spans="1:14" x14ac:dyDescent="0.25">
      <c r="A194" s="47" t="s">
        <v>314</v>
      </c>
      <c r="B194" s="78">
        <v>44957</v>
      </c>
      <c r="C194" s="47" t="s">
        <v>10</v>
      </c>
      <c r="E194" s="47">
        <v>700845</v>
      </c>
      <c r="G194" s="50" t="s">
        <v>89</v>
      </c>
      <c r="H194" s="51">
        <v>205.4</v>
      </c>
      <c r="K194" s="52">
        <f>Tabela6[[#This Row],[CONSUMO]]*Tabela6[[#This Row],[VALOR UNIT]]-Tabela6[[#This Row],[DESCONTO]]</f>
        <v>0</v>
      </c>
      <c r="L194" s="53">
        <f>Tabela6[[#This Row],[CUSTO TOTAL]]/Tabela6[[#This Row],[CONSUMO]]</f>
        <v>0</v>
      </c>
      <c r="M194" s="50">
        <f>Tabela6[[#This Row],[KM ATUAL]]-E115</f>
        <v>-167808</v>
      </c>
      <c r="N194" s="51">
        <f>Tabela6[[#This Row],[KM Rodados ]]/Tabela6[[#This Row],[CONSUMO]]</f>
        <v>-816.98149951314508</v>
      </c>
    </row>
    <row r="195" spans="1:14" x14ac:dyDescent="0.25">
      <c r="A195" s="47">
        <v>159423</v>
      </c>
      <c r="B195" s="78">
        <v>44957</v>
      </c>
      <c r="C195" s="47" t="s">
        <v>10</v>
      </c>
      <c r="D195" s="49" t="s">
        <v>262</v>
      </c>
      <c r="E195" s="47">
        <v>701555</v>
      </c>
      <c r="G195" s="50" t="s">
        <v>89</v>
      </c>
      <c r="H195" s="51">
        <v>186.839</v>
      </c>
      <c r="J195" s="51">
        <v>6.29</v>
      </c>
      <c r="K195" s="52">
        <f>Tabela6[[#This Row],[CONSUMO]]*Tabela6[[#This Row],[VALOR UNIT]]-Tabela6[[#This Row],[DESCONTO]]</f>
        <v>1175.21731</v>
      </c>
      <c r="L195" s="53">
        <f>Tabela6[[#This Row],[CUSTO TOTAL]]/Tabela6[[#This Row],[CONSUMO]]</f>
        <v>6.29</v>
      </c>
      <c r="M195" s="50">
        <f>Tabela6[[#This Row],[KM ATUAL]]-E194</f>
        <v>710</v>
      </c>
      <c r="N195" s="51">
        <f>Tabela6[[#This Row],[KM Rodados ]]/Tabela6[[#This Row],[CONSUMO]]</f>
        <v>3.800063155979212</v>
      </c>
    </row>
    <row r="196" spans="1:14" x14ac:dyDescent="0.25">
      <c r="A196" s="47" t="s">
        <v>314</v>
      </c>
      <c r="B196" s="78">
        <v>44957</v>
      </c>
      <c r="C196" s="47" t="s">
        <v>23</v>
      </c>
      <c r="E196" s="47">
        <v>204674</v>
      </c>
      <c r="G196" s="50" t="s">
        <v>89</v>
      </c>
      <c r="H196" s="51">
        <v>72.3</v>
      </c>
      <c r="K196" s="52">
        <f>Tabela6[[#This Row],[CONSUMO]]*Tabela6[[#This Row],[VALOR UNIT]]-Tabela6[[#This Row],[DESCONTO]]</f>
        <v>0</v>
      </c>
      <c r="L196" s="53">
        <f>Tabela6[[#This Row],[CUSTO TOTAL]]/Tabela6[[#This Row],[CONSUMO]]</f>
        <v>0</v>
      </c>
      <c r="M196" s="50">
        <f>Tabela6[[#This Row],[KM ATUAL]]-E164</f>
        <v>-384478</v>
      </c>
      <c r="N196" s="51">
        <f>Tabela6[[#This Row],[KM Rodados ]]/Tabela6[[#This Row],[CONSUMO]]</f>
        <v>-5317.8146611341635</v>
      </c>
    </row>
    <row r="197" spans="1:14" x14ac:dyDescent="0.25">
      <c r="A197" s="47" t="s">
        <v>314</v>
      </c>
      <c r="B197" s="78">
        <v>44957</v>
      </c>
      <c r="C197" s="47" t="s">
        <v>23</v>
      </c>
      <c r="E197" s="47">
        <v>205036</v>
      </c>
      <c r="G197" s="50" t="s">
        <v>89</v>
      </c>
      <c r="H197" s="51">
        <v>77.5</v>
      </c>
      <c r="K197" s="52">
        <f>Tabela6[[#This Row],[CONSUMO]]*Tabela6[[#This Row],[VALOR UNIT]]-Tabela6[[#This Row],[DESCONTO]]</f>
        <v>0</v>
      </c>
      <c r="L197" s="53">
        <f>Tabela6[[#This Row],[CUSTO TOTAL]]/Tabela6[[#This Row],[CONSUMO]]</f>
        <v>0</v>
      </c>
      <c r="M197" s="50">
        <f>Tabela6[[#This Row],[KM ATUAL]]-E196</f>
        <v>362</v>
      </c>
      <c r="N197" s="51">
        <f>Tabela6[[#This Row],[KM Rodados ]]/Tabela6[[#This Row],[CONSUMO]]</f>
        <v>4.6709677419354838</v>
      </c>
    </row>
    <row r="198" spans="1:14" x14ac:dyDescent="0.25">
      <c r="A198" s="47" t="s">
        <v>314</v>
      </c>
      <c r="B198" s="78">
        <v>44957</v>
      </c>
      <c r="C198" s="47" t="s">
        <v>23</v>
      </c>
      <c r="E198" s="47">
        <v>205412</v>
      </c>
      <c r="G198" s="50" t="s">
        <v>89</v>
      </c>
      <c r="H198" s="51">
        <v>80.23</v>
      </c>
      <c r="K198" s="52">
        <f>Tabela6[[#This Row],[CONSUMO]]*Tabela6[[#This Row],[VALOR UNIT]]-Tabela6[[#This Row],[DESCONTO]]</f>
        <v>0</v>
      </c>
      <c r="L198" s="53">
        <f>Tabela6[[#This Row],[CUSTO TOTAL]]/Tabela6[[#This Row],[CONSUMO]]</f>
        <v>0</v>
      </c>
      <c r="M198" s="50">
        <f>Tabela6[[#This Row],[KM ATUAL]]-E197</f>
        <v>376</v>
      </c>
      <c r="N198" s="51">
        <f>Tabela6[[#This Row],[KM Rodados ]]/Tabela6[[#This Row],[CONSUMO]]</f>
        <v>4.6865262370684277</v>
      </c>
    </row>
    <row r="199" spans="1:14" x14ac:dyDescent="0.25">
      <c r="A199" s="47">
        <v>159451</v>
      </c>
      <c r="B199" s="78">
        <v>44957</v>
      </c>
      <c r="C199" s="47" t="s">
        <v>23</v>
      </c>
      <c r="D199" s="49" t="s">
        <v>262</v>
      </c>
      <c r="E199" s="47">
        <v>205754</v>
      </c>
      <c r="G199" s="50" t="s">
        <v>89</v>
      </c>
      <c r="H199" s="51">
        <v>70.760000000000005</v>
      </c>
      <c r="J199" s="51">
        <v>6.29</v>
      </c>
      <c r="K199" s="52">
        <f>Tabela6[[#This Row],[CONSUMO]]*Tabela6[[#This Row],[VALOR UNIT]]-Tabela6[[#This Row],[DESCONTO]]</f>
        <v>445.08040000000005</v>
      </c>
      <c r="L199" s="53">
        <f>Tabela6[[#This Row],[CUSTO TOTAL]]/Tabela6[[#This Row],[CONSUMO]]</f>
        <v>6.29</v>
      </c>
      <c r="M199" s="50">
        <f>Tabela6[[#This Row],[KM ATUAL]]-E198</f>
        <v>342</v>
      </c>
      <c r="N199" s="51">
        <f>Tabela6[[#This Row],[KM Rodados ]]/Tabela6[[#This Row],[CONSUMO]]</f>
        <v>4.8332391181458449</v>
      </c>
    </row>
    <row r="200" spans="1:14" x14ac:dyDescent="0.25">
      <c r="A200" s="47">
        <v>40264</v>
      </c>
      <c r="B200" s="78">
        <v>44957</v>
      </c>
      <c r="C200" s="47" t="s">
        <v>74</v>
      </c>
      <c r="D200" s="49" t="s">
        <v>263</v>
      </c>
      <c r="E200" s="47">
        <v>29514</v>
      </c>
      <c r="G200" s="50" t="s">
        <v>89</v>
      </c>
      <c r="H200" s="51">
        <v>74.100999999999999</v>
      </c>
      <c r="I200" s="49">
        <v>7.41</v>
      </c>
      <c r="J200" s="51">
        <v>6.18</v>
      </c>
      <c r="K200" s="52">
        <f>Tabela6[[#This Row],[CONSUMO]]*Tabela6[[#This Row],[VALOR UNIT]]-Tabela6[[#This Row],[DESCONTO]]</f>
        <v>450.53417999999994</v>
      </c>
      <c r="L200" s="53">
        <f>Tabela6[[#This Row],[CUSTO TOTAL]]/Tabela6[[#This Row],[CONSUMO]]</f>
        <v>6.0800013495094527</v>
      </c>
      <c r="M200" s="50">
        <f>Tabela6[[#This Row],[KM ATUAL]]-E182</f>
        <v>-94618</v>
      </c>
      <c r="N200" s="51">
        <f>Tabela6[[#This Row],[KM Rodados ]]/Tabela6[[#This Row],[CONSUMO]]</f>
        <v>-1276.8788545363761</v>
      </c>
    </row>
    <row r="201" spans="1:14" ht="15" customHeight="1" x14ac:dyDescent="0.25">
      <c r="A201" s="47">
        <v>40478</v>
      </c>
      <c r="B201" s="78">
        <v>44958</v>
      </c>
      <c r="C201" s="47" t="s">
        <v>68</v>
      </c>
      <c r="D201" s="49" t="s">
        <v>263</v>
      </c>
      <c r="E201" s="47">
        <v>857246</v>
      </c>
      <c r="G201" s="50" t="s">
        <v>89</v>
      </c>
      <c r="H201" s="51">
        <v>391.59100000000001</v>
      </c>
      <c r="I201" s="49">
        <v>39.159999999999997</v>
      </c>
      <c r="J201" s="51">
        <v>6.18</v>
      </c>
      <c r="K201" s="51">
        <f>Tabela6[[#This Row],[CONSUMO]]*Tabela6[[#This Row],[VALOR UNIT]]-Tabela6[[#This Row],[DESCONTO]]</f>
        <v>2380.8723800000002</v>
      </c>
      <c r="L201" s="53">
        <f>Tabela6[[#This Row],[CUSTO TOTAL]]/Tabela6[[#This Row],[CONSUMO]]</f>
        <v>6.0799977016836451</v>
      </c>
      <c r="M201" s="50">
        <f>Tabela6[[#This Row],[KM ATUAL]]-E169</f>
        <v>756260</v>
      </c>
      <c r="N201" s="51">
        <f>Tabela6[[#This Row],[KM Rodados ]]/Tabela6[[#This Row],[CONSUMO]]</f>
        <v>1931.2496967499253</v>
      </c>
    </row>
    <row r="202" spans="1:14" x14ac:dyDescent="0.25">
      <c r="A202" s="47">
        <v>159627</v>
      </c>
      <c r="B202" s="78">
        <v>44958</v>
      </c>
      <c r="C202" s="47" t="s">
        <v>43</v>
      </c>
      <c r="D202" s="49" t="s">
        <v>262</v>
      </c>
      <c r="E202" s="47">
        <v>102049</v>
      </c>
      <c r="G202" s="50" t="s">
        <v>89</v>
      </c>
      <c r="H202" s="51">
        <v>40.01</v>
      </c>
      <c r="J202" s="51">
        <v>6.29</v>
      </c>
      <c r="K202" s="52">
        <f>Tabela6[[#This Row],[CONSUMO]]*Tabela6[[#This Row],[VALOR UNIT]]-Tabela6[[#This Row],[DESCONTO]]</f>
        <v>251.66289999999998</v>
      </c>
      <c r="L202" s="53">
        <f>Tabela6[[#This Row],[CUSTO TOTAL]]/Tabela6[[#This Row],[CONSUMO]]</f>
        <v>6.29</v>
      </c>
      <c r="M202" s="50">
        <f>Tabela6[[#This Row],[KM ATUAL]]-E187</f>
        <v>-768468</v>
      </c>
      <c r="N202" s="72">
        <f>Tabela6[[#This Row],[KM Rodados ]]/Tabela6[[#This Row],[CONSUMO]]</f>
        <v>-19206.898275431144</v>
      </c>
    </row>
    <row r="203" spans="1:14" x14ac:dyDescent="0.25">
      <c r="A203" s="47">
        <v>141725</v>
      </c>
      <c r="B203" s="78">
        <v>44958</v>
      </c>
      <c r="C203" s="47" t="s">
        <v>43</v>
      </c>
      <c r="D203" s="49" t="s">
        <v>269</v>
      </c>
      <c r="E203" s="47">
        <v>102345</v>
      </c>
      <c r="G203" s="50" t="s">
        <v>89</v>
      </c>
      <c r="H203" s="51">
        <v>42.7</v>
      </c>
      <c r="J203" s="51">
        <v>5.99</v>
      </c>
      <c r="K203" s="51">
        <f>Tabela6[[#This Row],[CONSUMO]]*Tabela6[[#This Row],[VALOR UNIT]]-Tabela6[[#This Row],[DESCONTO]]</f>
        <v>255.77300000000002</v>
      </c>
      <c r="L203" s="53">
        <f>Tabela6[[#This Row],[CUSTO TOTAL]]/Tabela6[[#This Row],[CONSUMO]]</f>
        <v>5.99</v>
      </c>
      <c r="M203" s="50">
        <f>Tabela6[[#This Row],[KM ATUAL]]-E191</f>
        <v>22232</v>
      </c>
      <c r="N203" s="72">
        <f>Tabela6[[#This Row],[KM Rodados ]]/Tabela6[[#This Row],[CONSUMO]]</f>
        <v>520.65573770491801</v>
      </c>
    </row>
    <row r="204" spans="1:14" x14ac:dyDescent="0.25">
      <c r="A204" s="47" t="s">
        <v>314</v>
      </c>
      <c r="B204" s="78">
        <v>44958</v>
      </c>
      <c r="C204" s="47" t="s">
        <v>215</v>
      </c>
      <c r="E204" s="47">
        <v>217264</v>
      </c>
      <c r="G204" s="50" t="s">
        <v>244</v>
      </c>
      <c r="H204" s="51">
        <v>39.799999999999997</v>
      </c>
      <c r="K204" s="52">
        <f>Tabela6[[#This Row],[CONSUMO]]*Tabela6[[#This Row],[VALOR UNIT]]-Tabela6[[#This Row],[DESCONTO]]</f>
        <v>0</v>
      </c>
      <c r="L204" s="53">
        <f>Tabela6[[#This Row],[CUSTO TOTAL]]/Tabela6[[#This Row],[CONSUMO]]</f>
        <v>0</v>
      </c>
      <c r="M204" s="50" t="e">
        <f>Tabela6[[#This Row],[KM ATUAL]]-#REF!</f>
        <v>#REF!</v>
      </c>
      <c r="N204" s="51" t="e">
        <f>Tabela6[[#This Row],[KM Rodados ]]/Tabela6[[#This Row],[CONSUMO]]</f>
        <v>#REF!</v>
      </c>
    </row>
    <row r="205" spans="1:14" x14ac:dyDescent="0.25">
      <c r="A205" s="47">
        <v>289518</v>
      </c>
      <c r="B205" s="78">
        <v>44958</v>
      </c>
      <c r="C205" s="47" t="s">
        <v>39</v>
      </c>
      <c r="D205" s="49" t="s">
        <v>253</v>
      </c>
      <c r="E205" s="47">
        <v>77511</v>
      </c>
      <c r="G205" s="50" t="s">
        <v>89</v>
      </c>
      <c r="H205" s="51">
        <v>89.92</v>
      </c>
      <c r="J205" s="51">
        <v>6.69</v>
      </c>
      <c r="K205" s="51">
        <f>Tabela6[[#This Row],[CONSUMO]]*Tabela6[[#This Row],[VALOR UNIT]]-Tabela6[[#This Row],[DESCONTO]]</f>
        <v>601.56479999999999</v>
      </c>
      <c r="L205" s="53">
        <f>Tabela6[[#This Row],[CUSTO TOTAL]]/Tabela6[[#This Row],[CONSUMO]]</f>
        <v>6.6899999999999995</v>
      </c>
      <c r="M205" s="50"/>
    </row>
    <row r="206" spans="1:14" x14ac:dyDescent="0.25">
      <c r="A206" s="47">
        <v>40460</v>
      </c>
      <c r="B206" s="78">
        <v>44958</v>
      </c>
      <c r="C206" s="47" t="s">
        <v>70</v>
      </c>
      <c r="D206" s="49" t="s">
        <v>263</v>
      </c>
      <c r="E206" s="47">
        <v>176160</v>
      </c>
      <c r="G206" s="50" t="s">
        <v>89</v>
      </c>
      <c r="H206" s="51">
        <v>617.49099999999999</v>
      </c>
      <c r="I206" s="49">
        <v>61.75</v>
      </c>
      <c r="J206" s="51">
        <v>6.18</v>
      </c>
      <c r="K206" s="51">
        <f>Tabela6[[#This Row],[CONSUMO]]*Tabela6[[#This Row],[VALOR UNIT]]-Tabela6[[#This Row],[DESCONTO]]</f>
        <v>3754.3443799999995</v>
      </c>
      <c r="L206" s="53">
        <f>Tabela6[[#This Row],[CUSTO TOTAL]]/Tabela6[[#This Row],[CONSUMO]]</f>
        <v>6.0799985424888776</v>
      </c>
      <c r="M206" s="50">
        <f>Tabela6[[#This Row],[KM ATUAL]]-E133</f>
        <v>97396</v>
      </c>
      <c r="N206" s="51">
        <f>Tabela6[[#This Row],[KM Rodados ]]/Tabela6[[#This Row],[CONSUMO]]</f>
        <v>157.72861466806805</v>
      </c>
    </row>
    <row r="207" spans="1:14" x14ac:dyDescent="0.25">
      <c r="A207" s="47">
        <v>40558</v>
      </c>
      <c r="B207" s="78">
        <v>44958</v>
      </c>
      <c r="C207" s="47" t="s">
        <v>72</v>
      </c>
      <c r="D207" s="49" t="s">
        <v>263</v>
      </c>
      <c r="E207" s="47">
        <v>369497</v>
      </c>
      <c r="G207" s="50" t="s">
        <v>89</v>
      </c>
      <c r="H207" s="51">
        <v>44.13</v>
      </c>
      <c r="I207" s="49">
        <v>4.41</v>
      </c>
      <c r="J207" s="51">
        <v>6.18</v>
      </c>
      <c r="K207" s="51">
        <f>Tabela6[[#This Row],[CONSUMO]]*Tabela6[[#This Row],[VALOR UNIT]]-Tabela6[[#This Row],[DESCONTO]]</f>
        <v>268.3134</v>
      </c>
      <c r="L207" s="53">
        <f>Tabela6[[#This Row],[CUSTO TOTAL]]/Tabela6[[#This Row],[CONSUMO]]</f>
        <v>6.0800679809653291</v>
      </c>
      <c r="M207" s="50">
        <f>Tabela6[[#This Row],[KM ATUAL]]-E184</f>
        <v>340640</v>
      </c>
      <c r="N207" s="51">
        <f>Tabela6[[#This Row],[KM Rodados ]]/Tabela6[[#This Row],[CONSUMO]]</f>
        <v>7719.0120099705409</v>
      </c>
    </row>
    <row r="208" spans="1:14" x14ac:dyDescent="0.25">
      <c r="A208" s="47">
        <v>290014</v>
      </c>
      <c r="B208" s="78">
        <v>44958</v>
      </c>
      <c r="C208" s="47" t="s">
        <v>21</v>
      </c>
      <c r="D208" s="49" t="s">
        <v>253</v>
      </c>
      <c r="E208" s="47">
        <v>125935</v>
      </c>
      <c r="G208" s="50" t="s">
        <v>89</v>
      </c>
      <c r="H208" s="51">
        <v>156.93</v>
      </c>
      <c r="I208" s="49">
        <v>47.08</v>
      </c>
      <c r="J208" s="51">
        <v>6.69</v>
      </c>
      <c r="K208" s="52">
        <f>Tabela6[[#This Row],[CONSUMO]]*Tabela6[[#This Row],[VALOR UNIT]]-Tabela6[[#This Row],[DESCONTO]]</f>
        <v>1002.7817000000001</v>
      </c>
      <c r="L208" s="53">
        <f>Tabela6[[#This Row],[CUSTO TOTAL]]/Tabela6[[#This Row],[CONSUMO]]</f>
        <v>6.3899936277321103</v>
      </c>
      <c r="M208" s="50">
        <f>Tabela6[[#This Row],[KM ATUAL]]-E198</f>
        <v>-79477</v>
      </c>
      <c r="N208" s="51">
        <f>Tabela6[[#This Row],[KM Rodados ]]/Tabela6[[#This Row],[CONSUMO]]</f>
        <v>-506.44873510482381</v>
      </c>
    </row>
    <row r="209" spans="1:14" x14ac:dyDescent="0.25">
      <c r="A209" s="47" t="s">
        <v>314</v>
      </c>
      <c r="B209" s="78">
        <v>44958</v>
      </c>
      <c r="C209" s="47" t="s">
        <v>10</v>
      </c>
      <c r="E209" s="47">
        <v>701955</v>
      </c>
      <c r="G209" s="50" t="s">
        <v>89</v>
      </c>
      <c r="H209" s="51">
        <v>123.52</v>
      </c>
      <c r="K209" s="52">
        <f>Tabela6[[#This Row],[CONSUMO]]*Tabela6[[#This Row],[VALOR UNIT]]-Tabela6[[#This Row],[DESCONTO]]</f>
        <v>0</v>
      </c>
      <c r="L209" s="53">
        <f>Tabela6[[#This Row],[CUSTO TOTAL]]/Tabela6[[#This Row],[CONSUMO]]</f>
        <v>0</v>
      </c>
      <c r="M209" s="50">
        <f>Tabela6[[#This Row],[KM ATUAL]]-E198</f>
        <v>496543</v>
      </c>
      <c r="N209" s="51">
        <f>Tabela6[[#This Row],[KM Rodados ]]/Tabela6[[#This Row],[CONSUMO]]</f>
        <v>4019.9400906735755</v>
      </c>
    </row>
    <row r="210" spans="1:14" x14ac:dyDescent="0.25">
      <c r="A210" s="47">
        <v>482242</v>
      </c>
      <c r="B210" s="78">
        <v>44958</v>
      </c>
      <c r="C210" s="47" t="s">
        <v>10</v>
      </c>
      <c r="D210" s="47" t="s">
        <v>266</v>
      </c>
      <c r="E210" s="47">
        <v>702329</v>
      </c>
      <c r="G210" s="50" t="s">
        <v>89</v>
      </c>
      <c r="H210" s="51">
        <v>96.2</v>
      </c>
      <c r="I210" s="49">
        <v>89.63</v>
      </c>
      <c r="J210" s="51">
        <v>7.04</v>
      </c>
      <c r="K210" s="52">
        <f>Tabela6[[#This Row],[CONSUMO]]*Tabela6[[#This Row],[VALOR UNIT]]-Tabela6[[#This Row],[DESCONTO]]</f>
        <v>587.61800000000005</v>
      </c>
      <c r="L210" s="53">
        <f>Tabela6[[#This Row],[CUSTO TOTAL]]/Tabela6[[#This Row],[CONSUMO]]</f>
        <v>6.1082952182952184</v>
      </c>
      <c r="M210" s="50">
        <f>Tabela6[[#This Row],[KM ATUAL]]-E209</f>
        <v>374</v>
      </c>
      <c r="N210" s="51">
        <f>Tabela6[[#This Row],[KM Rodados ]]/Tabela6[[#This Row],[CONSUMO]]</f>
        <v>3.8877338877338876</v>
      </c>
    </row>
    <row r="211" spans="1:14" x14ac:dyDescent="0.25">
      <c r="A211" s="47">
        <v>548831</v>
      </c>
      <c r="B211" s="78">
        <v>44958</v>
      </c>
      <c r="C211" s="47" t="s">
        <v>10</v>
      </c>
      <c r="D211" s="47" t="s">
        <v>265</v>
      </c>
      <c r="E211" s="47">
        <v>702507</v>
      </c>
      <c r="G211" s="50" t="s">
        <v>89</v>
      </c>
      <c r="H211" s="51">
        <v>56.23</v>
      </c>
      <c r="J211" s="51">
        <v>6.29</v>
      </c>
      <c r="K211" s="51">
        <f>Tabela6[[#This Row],[CONSUMO]]*Tabela6[[#This Row],[VALOR UNIT]]-Tabela6[[#This Row],[DESCONTO]]</f>
        <v>353.68669999999997</v>
      </c>
      <c r="L211" s="53">
        <f>Tabela6[[#This Row],[CUSTO TOTAL]]/Tabela6[[#This Row],[CONSUMO]]</f>
        <v>6.29</v>
      </c>
      <c r="M211" s="50">
        <f>Tabela6[[#This Row],[KM ATUAL]]-E210</f>
        <v>178</v>
      </c>
      <c r="N211" s="51">
        <f>Tabela6[[#This Row],[KM Rodados ]]/Tabela6[[#This Row],[CONSUMO]]</f>
        <v>3.1655699804374891</v>
      </c>
    </row>
    <row r="212" spans="1:14" x14ac:dyDescent="0.25">
      <c r="A212" s="47">
        <v>159604</v>
      </c>
      <c r="B212" s="78">
        <v>44958</v>
      </c>
      <c r="C212" s="47" t="s">
        <v>19</v>
      </c>
      <c r="D212" s="49" t="s">
        <v>262</v>
      </c>
      <c r="E212" s="47">
        <v>285713</v>
      </c>
      <c r="G212" s="50" t="s">
        <v>89</v>
      </c>
      <c r="H212" s="51">
        <v>170</v>
      </c>
      <c r="J212" s="51">
        <v>6.29</v>
      </c>
      <c r="K212" s="51">
        <f>Tabela6[[#This Row],[CONSUMO]]*Tabela6[[#This Row],[VALOR UNIT]]-Tabela6[[#This Row],[DESCONTO]]</f>
        <v>1069.3</v>
      </c>
      <c r="L212" s="53">
        <f>Tabela6[[#This Row],[CUSTO TOTAL]]/Tabela6[[#This Row],[CONSUMO]]</f>
        <v>6.29</v>
      </c>
      <c r="M212" s="50"/>
    </row>
    <row r="213" spans="1:14" x14ac:dyDescent="0.25">
      <c r="A213" s="47" t="s">
        <v>314</v>
      </c>
      <c r="B213" s="78">
        <v>44958</v>
      </c>
      <c r="C213" s="47" t="s">
        <v>23</v>
      </c>
      <c r="E213" s="47">
        <v>206197</v>
      </c>
      <c r="G213" s="50" t="s">
        <v>89</v>
      </c>
      <c r="H213" s="51">
        <v>95.32</v>
      </c>
      <c r="K213" s="52">
        <f>Tabela6[[#This Row],[CONSUMO]]*Tabela6[[#This Row],[VALOR UNIT]]-Tabela6[[#This Row],[DESCONTO]]</f>
        <v>0</v>
      </c>
      <c r="L213" s="53">
        <f>Tabela6[[#This Row],[CUSTO TOTAL]]/Tabela6[[#This Row],[CONSUMO]]</f>
        <v>0</v>
      </c>
      <c r="M213" s="50">
        <f>Tabela6[[#This Row],[KM ATUAL]]-E201</f>
        <v>-651049</v>
      </c>
      <c r="N213" s="51">
        <f>Tabela6[[#This Row],[KM Rodados ]]/Tabela6[[#This Row],[CONSUMO]]</f>
        <v>-6830.1405791019724</v>
      </c>
    </row>
    <row r="214" spans="1:14" x14ac:dyDescent="0.25">
      <c r="A214" s="47">
        <v>18954</v>
      </c>
      <c r="B214" s="78">
        <v>44958</v>
      </c>
      <c r="C214" s="47" t="s">
        <v>23</v>
      </c>
      <c r="D214" s="49" t="s">
        <v>279</v>
      </c>
      <c r="E214" s="47">
        <v>206946</v>
      </c>
      <c r="G214" s="50" t="s">
        <v>89</v>
      </c>
      <c r="H214" s="51">
        <v>155.91999999999999</v>
      </c>
      <c r="J214" s="51">
        <v>5.87</v>
      </c>
      <c r="K214" s="52">
        <f>Tabela6[[#This Row],[CONSUMO]]*Tabela6[[#This Row],[VALOR UNIT]]-Tabela6[[#This Row],[DESCONTO]]</f>
        <v>915.2503999999999</v>
      </c>
      <c r="L214" s="53">
        <f>Tabela6[[#This Row],[CUSTO TOTAL]]/Tabela6[[#This Row],[CONSUMO]]</f>
        <v>5.87</v>
      </c>
      <c r="M214" s="50">
        <f>Tabela6[[#This Row],[KM ATUAL]]-E213</f>
        <v>749</v>
      </c>
      <c r="N214" s="51">
        <f>Tabela6[[#This Row],[KM Rodados ]]/Tabela6[[#This Row],[CONSUMO]]</f>
        <v>4.8037455105182145</v>
      </c>
    </row>
    <row r="215" spans="1:14" x14ac:dyDescent="0.25">
      <c r="A215" s="47" t="s">
        <v>314</v>
      </c>
      <c r="B215" s="78">
        <v>44958</v>
      </c>
      <c r="C215" s="47" t="s">
        <v>40</v>
      </c>
      <c r="E215" s="47">
        <v>119821</v>
      </c>
      <c r="G215" s="50" t="s">
        <v>244</v>
      </c>
      <c r="H215" s="51">
        <v>32.409999999999997</v>
      </c>
      <c r="K215" s="52">
        <f>Tabela6[[#This Row],[CONSUMO]]*Tabela6[[#This Row],[VALOR UNIT]]-Tabela6[[#This Row],[DESCONTO]]</f>
        <v>0</v>
      </c>
      <c r="L215" s="53">
        <f>Tabela6[[#This Row],[CUSTO TOTAL]]/Tabela6[[#This Row],[CONSUMO]]</f>
        <v>0</v>
      </c>
      <c r="M215" s="50">
        <f>Tabela6[[#This Row],[KM ATUAL]]-E214</f>
        <v>-87125</v>
      </c>
      <c r="N215" s="51">
        <f>Tabela6[[#This Row],[KM Rodados ]]/Tabela6[[#This Row],[CONSUMO]]</f>
        <v>-2688.2135143474238</v>
      </c>
    </row>
    <row r="216" spans="1:14" x14ac:dyDescent="0.25">
      <c r="A216" s="47">
        <v>558108</v>
      </c>
      <c r="B216" s="78">
        <v>44959</v>
      </c>
      <c r="C216" s="47" t="s">
        <v>9</v>
      </c>
      <c r="D216" s="49" t="s">
        <v>271</v>
      </c>
      <c r="E216" s="47">
        <v>587811</v>
      </c>
      <c r="G216" s="50" t="s">
        <v>89</v>
      </c>
      <c r="H216" s="51">
        <v>141</v>
      </c>
      <c r="J216" s="51">
        <v>6.09</v>
      </c>
      <c r="K216" s="51">
        <f>Tabela6[[#This Row],[CONSUMO]]*Tabela6[[#This Row],[VALOR UNIT]]-Tabela6[[#This Row],[DESCONTO]]</f>
        <v>858.68999999999994</v>
      </c>
      <c r="L216" s="53">
        <f>Tabela6[[#This Row],[CUSTO TOTAL]]/Tabela6[[#This Row],[CONSUMO]]</f>
        <v>6.09</v>
      </c>
      <c r="M216" s="50">
        <f>Tabela6[[#This Row],[KM ATUAL]]-E195</f>
        <v>-113744</v>
      </c>
      <c r="N216" s="51">
        <f>Tabela6[[#This Row],[KM Rodados ]]/Tabela6[[#This Row],[CONSUMO]]</f>
        <v>-806.69503546099293</v>
      </c>
    </row>
    <row r="217" spans="1:14" x14ac:dyDescent="0.25">
      <c r="A217" s="47">
        <v>290572</v>
      </c>
      <c r="B217" s="78">
        <v>44959</v>
      </c>
      <c r="C217" s="47" t="s">
        <v>67</v>
      </c>
      <c r="D217" s="49" t="s">
        <v>253</v>
      </c>
      <c r="E217" s="47">
        <v>651416</v>
      </c>
      <c r="G217" s="50" t="s">
        <v>89</v>
      </c>
      <c r="H217" s="51">
        <v>132.69</v>
      </c>
      <c r="I217" s="49">
        <v>39.81</v>
      </c>
      <c r="J217" s="51">
        <v>6.69</v>
      </c>
      <c r="K217" s="51">
        <f>Tabela6[[#This Row],[CONSUMO]]*Tabela6[[#This Row],[VALOR UNIT]]-Tabela6[[#This Row],[DESCONTO]]</f>
        <v>847.88609999999994</v>
      </c>
      <c r="L217" s="53">
        <f>Tabela6[[#This Row],[CUSTO TOTAL]]/Tabela6[[#This Row],[CONSUMO]]</f>
        <v>6.3899773909111461</v>
      </c>
      <c r="M217" s="50">
        <f>Tabela6[[#This Row],[KM ATUAL]]-E174</f>
        <v>307072</v>
      </c>
      <c r="N217" s="84">
        <f>Tabela6[[#This Row],[KM Rodados ]]/Tabela6[[#This Row],[CONSUMO]]</f>
        <v>2314.206044163087</v>
      </c>
    </row>
    <row r="218" spans="1:14" x14ac:dyDescent="0.25">
      <c r="A218" s="47">
        <v>267036</v>
      </c>
      <c r="B218" s="78">
        <v>44959</v>
      </c>
      <c r="C218" s="47" t="s">
        <v>203</v>
      </c>
      <c r="D218" s="49" t="s">
        <v>276</v>
      </c>
      <c r="E218" s="47">
        <v>74987</v>
      </c>
      <c r="G218" s="50" t="s">
        <v>244</v>
      </c>
      <c r="H218" s="51">
        <v>41.62</v>
      </c>
      <c r="J218" s="51">
        <v>5.19</v>
      </c>
      <c r="K218" s="51">
        <f>Tabela6[[#This Row],[CONSUMO]]*Tabela6[[#This Row],[VALOR UNIT]]-Tabela6[[#This Row],[DESCONTO]]</f>
        <v>216.0078</v>
      </c>
      <c r="L218" s="53">
        <f>Tabela6[[#This Row],[CUSTO TOTAL]]/Tabela6[[#This Row],[CONSUMO]]</f>
        <v>5.19</v>
      </c>
      <c r="M218" s="50">
        <f>Tabela6[[#This Row],[KM ATUAL]]-E190</f>
        <v>-294139</v>
      </c>
      <c r="N218" s="51">
        <f>Tabela6[[#This Row],[KM Rodados ]]/Tabela6[[#This Row],[CONSUMO]]</f>
        <v>-7067.2513214800583</v>
      </c>
    </row>
    <row r="219" spans="1:14" x14ac:dyDescent="0.25">
      <c r="A219" s="47">
        <v>585578</v>
      </c>
      <c r="B219" s="78">
        <v>44959</v>
      </c>
      <c r="C219" s="47" t="s">
        <v>13</v>
      </c>
      <c r="D219" s="49" t="s">
        <v>250</v>
      </c>
      <c r="E219" s="47">
        <v>591917</v>
      </c>
      <c r="G219" s="50" t="s">
        <v>89</v>
      </c>
      <c r="H219" s="51">
        <v>132</v>
      </c>
      <c r="J219" s="51">
        <v>6.19</v>
      </c>
      <c r="K219" s="51">
        <f>Tabela6[[#This Row],[CONSUMO]]*Tabela6[[#This Row],[VALOR UNIT]]-Tabela6[[#This Row],[DESCONTO]]</f>
        <v>817.08</v>
      </c>
      <c r="L219" s="53">
        <f>Tabela6[[#This Row],[CUSTO TOTAL]]/Tabela6[[#This Row],[CONSUMO]]</f>
        <v>6.19</v>
      </c>
      <c r="M219" s="50">
        <f>Tabela6[[#This Row],[KM ATUAL]]-E188</f>
        <v>4670</v>
      </c>
      <c r="N219" s="51">
        <f>Tabela6[[#This Row],[KM Rodados ]]/Tabela6[[#This Row],[CONSUMO]]</f>
        <v>35.378787878787875</v>
      </c>
    </row>
    <row r="220" spans="1:14" x14ac:dyDescent="0.25">
      <c r="A220" s="47">
        <v>558052</v>
      </c>
      <c r="B220" s="78">
        <v>44959</v>
      </c>
      <c r="C220" s="47" t="s">
        <v>15</v>
      </c>
      <c r="D220" s="49" t="s">
        <v>271</v>
      </c>
      <c r="E220" s="47">
        <v>344495</v>
      </c>
      <c r="G220" s="50" t="s">
        <v>89</v>
      </c>
      <c r="H220" s="51">
        <v>28.6</v>
      </c>
      <c r="J220" s="51">
        <v>6.09</v>
      </c>
      <c r="K220" s="52">
        <f>Tabela6[[#This Row],[CONSUMO]]*Tabela6[[#This Row],[VALOR UNIT]]-Tabela6[[#This Row],[DESCONTO]]</f>
        <v>174.17400000000001</v>
      </c>
      <c r="L220" s="53">
        <f>Tabela6[[#This Row],[CUSTO TOTAL]]/Tabela6[[#This Row],[CONSUMO]]</f>
        <v>6.09</v>
      </c>
      <c r="M220" s="50">
        <f>Tabela6[[#This Row],[KM ATUAL]]-E176</f>
        <v>-511558</v>
      </c>
      <c r="N220" s="51">
        <f>Tabela6[[#This Row],[KM Rodados ]]/Tabela6[[#This Row],[CONSUMO]]</f>
        <v>-17886.643356643355</v>
      </c>
    </row>
    <row r="221" spans="1:14" x14ac:dyDescent="0.25">
      <c r="A221" s="47">
        <v>159776</v>
      </c>
      <c r="B221" s="78">
        <v>44959</v>
      </c>
      <c r="C221" s="47" t="s">
        <v>23</v>
      </c>
      <c r="D221" s="49" t="s">
        <v>262</v>
      </c>
      <c r="E221" s="47">
        <v>207235</v>
      </c>
      <c r="G221" s="50" t="s">
        <v>89</v>
      </c>
      <c r="H221" s="51">
        <v>59</v>
      </c>
      <c r="J221" s="51">
        <v>6.29</v>
      </c>
      <c r="K221" s="51">
        <f>Tabela6[[#This Row],[CONSUMO]]*Tabela6[[#This Row],[VALOR UNIT]]-Tabela6[[#This Row],[DESCONTO]]</f>
        <v>371.11</v>
      </c>
      <c r="L221" s="53">
        <f>Tabela6[[#This Row],[CUSTO TOTAL]]/Tabela6[[#This Row],[CONSUMO]]</f>
        <v>6.29</v>
      </c>
      <c r="M221" s="50">
        <f>Tabela6[[#This Row],[KM ATUAL]]-E211</f>
        <v>-495272</v>
      </c>
      <c r="N221" s="51">
        <f>Tabela6[[#This Row],[KM Rodados ]]/Tabela6[[#This Row],[CONSUMO]]</f>
        <v>-8394.4406779661022</v>
      </c>
    </row>
    <row r="222" spans="1:14" x14ac:dyDescent="0.25">
      <c r="A222" s="47">
        <v>297384</v>
      </c>
      <c r="B222" s="78">
        <v>44959</v>
      </c>
      <c r="C222" s="47" t="s">
        <v>23</v>
      </c>
      <c r="D222" s="49" t="s">
        <v>281</v>
      </c>
      <c r="E222" s="47">
        <v>207563</v>
      </c>
      <c r="G222" s="50" t="s">
        <v>89</v>
      </c>
      <c r="H222" s="51">
        <v>65.864999999999995</v>
      </c>
      <c r="I222" s="49">
        <v>13.17</v>
      </c>
      <c r="J222" s="51">
        <v>6.27</v>
      </c>
      <c r="K222" s="51">
        <f>Tabela6[[#This Row],[CONSUMO]]*Tabela6[[#This Row],[VALOR UNIT]]-Tabela6[[#This Row],[DESCONTO]]</f>
        <v>399.80354999999992</v>
      </c>
      <c r="L222" s="53">
        <f>Tabela6[[#This Row],[CUSTO TOTAL]]/Tabela6[[#This Row],[CONSUMO]]</f>
        <v>6.070045547711227</v>
      </c>
      <c r="M222" s="50">
        <f>Tabela6[[#This Row],[KM ATUAL]]-E220</f>
        <v>-136932</v>
      </c>
      <c r="N222" s="51">
        <f>Tabela6[[#This Row],[KM Rodados ]]/Tabela6[[#This Row],[CONSUMO]]</f>
        <v>-2078.9797312685041</v>
      </c>
    </row>
    <row r="223" spans="1:14" x14ac:dyDescent="0.25">
      <c r="A223" s="47" t="s">
        <v>314</v>
      </c>
      <c r="B223" s="78">
        <v>44959</v>
      </c>
      <c r="C223" s="47" t="s">
        <v>23</v>
      </c>
      <c r="E223" s="47">
        <v>207767</v>
      </c>
      <c r="G223" s="50" t="s">
        <v>89</v>
      </c>
      <c r="H223" s="51">
        <v>48.5</v>
      </c>
      <c r="K223" s="52">
        <f>Tabela6[[#This Row],[CONSUMO]]*Tabela6[[#This Row],[VALOR UNIT]]-Tabela6[[#This Row],[DESCONTO]]</f>
        <v>0</v>
      </c>
      <c r="L223" s="53">
        <f>Tabela6[[#This Row],[CUSTO TOTAL]]/Tabela6[[#This Row],[CONSUMO]]</f>
        <v>0</v>
      </c>
      <c r="M223" s="50">
        <f>Tabela6[[#This Row],[KM ATUAL]]-E219</f>
        <v>-384150</v>
      </c>
      <c r="N223" s="51">
        <f>Tabela6[[#This Row],[KM Rodados ]]/Tabela6[[#This Row],[CONSUMO]]</f>
        <v>-7920.6185567010307</v>
      </c>
    </row>
    <row r="224" spans="1:14" x14ac:dyDescent="0.25">
      <c r="A224" s="47">
        <v>219386</v>
      </c>
      <c r="B224" s="78">
        <v>44959</v>
      </c>
      <c r="C224" s="47" t="s">
        <v>74</v>
      </c>
      <c r="D224" s="49" t="s">
        <v>272</v>
      </c>
      <c r="E224" s="47">
        <v>30258</v>
      </c>
      <c r="G224" s="50" t="s">
        <v>89</v>
      </c>
      <c r="H224" s="51">
        <v>89.891999999999996</v>
      </c>
      <c r="J224" s="51">
        <v>5.99</v>
      </c>
      <c r="K224" s="52">
        <f>Tabela6[[#This Row],[CONSUMO]]*Tabela6[[#This Row],[VALOR UNIT]]-Tabela6[[#This Row],[DESCONTO]]</f>
        <v>538.45308</v>
      </c>
      <c r="L224" s="53">
        <f>Tabela6[[#This Row],[CUSTO TOTAL]]/Tabela6[[#This Row],[CONSUMO]]</f>
        <v>5.99</v>
      </c>
      <c r="M224" s="50">
        <f>Tabela6[[#This Row],[KM ATUAL]]-E203</f>
        <v>-72087</v>
      </c>
      <c r="N224" s="51">
        <f>Tabela6[[#This Row],[KM Rodados ]]/Tabela6[[#This Row],[CONSUMO]]</f>
        <v>-801.92898144439994</v>
      </c>
    </row>
    <row r="225" spans="1:14" x14ac:dyDescent="0.25">
      <c r="A225" s="47" t="s">
        <v>314</v>
      </c>
      <c r="B225" s="78">
        <v>44960</v>
      </c>
      <c r="C225" s="47" t="s">
        <v>43</v>
      </c>
      <c r="E225" s="47">
        <v>102587</v>
      </c>
      <c r="G225" s="50" t="s">
        <v>89</v>
      </c>
      <c r="H225" s="51">
        <v>27.8</v>
      </c>
      <c r="K225" s="52">
        <f>Tabela6[[#This Row],[CONSUMO]]*Tabela6[[#This Row],[VALOR UNIT]]-Tabela6[[#This Row],[DESCONTO]]</f>
        <v>0</v>
      </c>
      <c r="L225" s="53">
        <f>Tabela6[[#This Row],[CUSTO TOTAL]]/Tabela6[[#This Row],[CONSUMO]]</f>
        <v>0</v>
      </c>
      <c r="M225" s="50">
        <f>Tabela6[[#This Row],[KM ATUAL]]-E207</f>
        <v>-266910</v>
      </c>
      <c r="N225" s="51">
        <f>Tabela6[[#This Row],[KM Rodados ]]/Tabela6[[#This Row],[CONSUMO]]</f>
        <v>-9601.0791366906469</v>
      </c>
    </row>
    <row r="226" spans="1:14" x14ac:dyDescent="0.25">
      <c r="A226" s="47">
        <v>159955</v>
      </c>
      <c r="B226" s="78">
        <v>44960</v>
      </c>
      <c r="C226" s="47" t="s">
        <v>43</v>
      </c>
      <c r="D226" s="49" t="s">
        <v>262</v>
      </c>
      <c r="E226" s="47">
        <v>102829</v>
      </c>
      <c r="G226" s="50" t="s">
        <v>89</v>
      </c>
      <c r="H226" s="51">
        <v>43.32</v>
      </c>
      <c r="J226" s="51">
        <v>6.18</v>
      </c>
      <c r="K226" s="52">
        <f>Tabela6[[#This Row],[CONSUMO]]*Tabela6[[#This Row],[VALOR UNIT]]-Tabela6[[#This Row],[DESCONTO]]</f>
        <v>267.7176</v>
      </c>
      <c r="L226" s="53">
        <f>Tabela6[[#This Row],[CUSTO TOTAL]]/Tabela6[[#This Row],[CONSUMO]]</f>
        <v>6.18</v>
      </c>
      <c r="M226" s="50">
        <f>Tabela6[[#This Row],[KM ATUAL]]-E225</f>
        <v>242</v>
      </c>
      <c r="N226" s="72">
        <f>Tabela6[[#This Row],[KM Rodados ]]/Tabela6[[#This Row],[CONSUMO]]</f>
        <v>5.5863342566943679</v>
      </c>
    </row>
    <row r="227" spans="1:14" x14ac:dyDescent="0.25">
      <c r="A227" s="47">
        <v>159871</v>
      </c>
      <c r="B227" s="78">
        <v>44960</v>
      </c>
      <c r="C227" s="47" t="s">
        <v>8</v>
      </c>
      <c r="D227" s="49" t="s">
        <v>262</v>
      </c>
      <c r="E227" s="47">
        <v>870882</v>
      </c>
      <c r="G227" s="50" t="s">
        <v>89</v>
      </c>
      <c r="H227" s="51">
        <v>113.98099999999999</v>
      </c>
      <c r="J227" s="51">
        <v>6.19</v>
      </c>
      <c r="K227" s="52">
        <f>Tabela6[[#This Row],[CONSUMO]]*Tabela6[[#This Row],[VALOR UNIT]]-Tabela6[[#This Row],[DESCONTO]]</f>
        <v>705.54238999999995</v>
      </c>
      <c r="L227" s="53">
        <f>Tabela6[[#This Row],[CUSTO TOTAL]]/Tabela6[[#This Row],[CONSUMO]]</f>
        <v>6.1899999999999995</v>
      </c>
      <c r="M227" s="50">
        <f>Tabela6[[#This Row],[KM ATUAL]]-E180</f>
        <v>280030</v>
      </c>
      <c r="N227" s="51">
        <f>Tabela6[[#This Row],[KM Rodados ]]/Tabela6[[#This Row],[CONSUMO]]</f>
        <v>2456.8129776015303</v>
      </c>
    </row>
    <row r="228" spans="1:14" x14ac:dyDescent="0.25">
      <c r="A228" s="47" t="s">
        <v>314</v>
      </c>
      <c r="B228" s="78">
        <v>44960</v>
      </c>
      <c r="C228" s="47" t="s">
        <v>22</v>
      </c>
      <c r="E228" s="47">
        <v>314840</v>
      </c>
      <c r="G228" s="50" t="s">
        <v>89</v>
      </c>
      <c r="H228" s="51">
        <v>119.5</v>
      </c>
      <c r="K228" s="74">
        <f>Tabela6[[#This Row],[CONSUMO]]*Tabela6[[#This Row],[VALOR UNIT]]-Tabela6[[#This Row],[DESCONTO]]</f>
        <v>0</v>
      </c>
      <c r="L228" s="53">
        <f>Tabela6[[#This Row],[CUSTO TOTAL]]/Tabela6[[#This Row],[CONSUMO]]</f>
        <v>0</v>
      </c>
      <c r="M228" s="50">
        <f>Tabela6[[#This Row],[KM ATUAL]]-E57</f>
        <v>35949</v>
      </c>
      <c r="N228" s="51">
        <f>Tabela6[[#This Row],[KM Rodados ]]/Tabela6[[#This Row],[CONSUMO]]</f>
        <v>300.82845188284517</v>
      </c>
    </row>
    <row r="229" spans="1:14" x14ac:dyDescent="0.25">
      <c r="A229" s="47" t="s">
        <v>314</v>
      </c>
      <c r="B229" s="78">
        <v>44960</v>
      </c>
      <c r="C229" s="47" t="s">
        <v>22</v>
      </c>
      <c r="E229" s="47">
        <v>315274</v>
      </c>
      <c r="G229" s="50" t="s">
        <v>89</v>
      </c>
      <c r="H229" s="51">
        <v>124.5</v>
      </c>
      <c r="K229" s="74">
        <f>Tabela6[[#This Row],[CONSUMO]]*Tabela6[[#This Row],[VALOR UNIT]]-Tabela6[[#This Row],[DESCONTO]]</f>
        <v>0</v>
      </c>
      <c r="L229" s="53">
        <f>Tabela6[[#This Row],[CUSTO TOTAL]]/Tabela6[[#This Row],[CONSUMO]]</f>
        <v>0</v>
      </c>
      <c r="M229" s="50">
        <f>Tabela6[[#This Row],[KM ATUAL]]-E228</f>
        <v>434</v>
      </c>
      <c r="N229" s="51">
        <f>Tabela6[[#This Row],[KM Rodados ]]/Tabela6[[#This Row],[CONSUMO]]</f>
        <v>3.4859437751004014</v>
      </c>
    </row>
    <row r="230" spans="1:14" x14ac:dyDescent="0.25">
      <c r="A230" s="47" t="s">
        <v>314</v>
      </c>
      <c r="B230" s="78">
        <v>44960</v>
      </c>
      <c r="C230" s="47" t="s">
        <v>22</v>
      </c>
      <c r="E230" s="47">
        <v>315708</v>
      </c>
      <c r="G230" s="50" t="s">
        <v>89</v>
      </c>
      <c r="H230" s="51">
        <v>126.5</v>
      </c>
      <c r="K230" s="74">
        <f>Tabela6[[#This Row],[CONSUMO]]*Tabela6[[#This Row],[VALOR UNIT]]-Tabela6[[#This Row],[DESCONTO]]</f>
        <v>0</v>
      </c>
      <c r="L230" s="53">
        <f>Tabela6[[#This Row],[CUSTO TOTAL]]/Tabela6[[#This Row],[CONSUMO]]</f>
        <v>0</v>
      </c>
      <c r="M230" s="50">
        <f>Tabela6[[#This Row],[KM ATUAL]]-E229</f>
        <v>434</v>
      </c>
      <c r="N230" s="51">
        <f>Tabela6[[#This Row],[KM Rodados ]]/Tabela6[[#This Row],[CONSUMO]]</f>
        <v>3.4308300395256919</v>
      </c>
    </row>
    <row r="231" spans="1:14" x14ac:dyDescent="0.25">
      <c r="A231" s="47">
        <v>160066</v>
      </c>
      <c r="B231" s="78">
        <v>44960</v>
      </c>
      <c r="C231" s="47" t="s">
        <v>22</v>
      </c>
      <c r="D231" s="49" t="s">
        <v>262</v>
      </c>
      <c r="E231" s="47">
        <v>316145</v>
      </c>
      <c r="G231" s="50" t="s">
        <v>89</v>
      </c>
      <c r="H231" s="51">
        <v>123.14100000000001</v>
      </c>
      <c r="J231" s="51">
        <v>6.18</v>
      </c>
      <c r="K231" s="74">
        <f>Tabela6[[#This Row],[CONSUMO]]*Tabela6[[#This Row],[VALOR UNIT]]-Tabela6[[#This Row],[DESCONTO]]</f>
        <v>761.01138000000003</v>
      </c>
      <c r="L231" s="53">
        <f>Tabela6[[#This Row],[CUSTO TOTAL]]/Tabela6[[#This Row],[CONSUMO]]</f>
        <v>6.18</v>
      </c>
      <c r="M231" s="50">
        <f>Tabela6[[#This Row],[KM ATUAL]]-E230</f>
        <v>437</v>
      </c>
      <c r="N231" s="51">
        <f>Tabela6[[#This Row],[KM Rodados ]]/Tabela6[[#This Row],[CONSUMO]]</f>
        <v>3.54877741775688</v>
      </c>
    </row>
    <row r="232" spans="1:14" x14ac:dyDescent="0.25">
      <c r="A232" s="47">
        <v>291629</v>
      </c>
      <c r="B232" s="78">
        <v>44960</v>
      </c>
      <c r="C232" s="47" t="s">
        <v>39</v>
      </c>
      <c r="D232" s="49" t="s">
        <v>253</v>
      </c>
      <c r="E232" s="47">
        <v>77760</v>
      </c>
      <c r="G232" s="50" t="s">
        <v>89</v>
      </c>
      <c r="H232" s="51">
        <v>48.56</v>
      </c>
      <c r="I232" s="49">
        <v>14.57</v>
      </c>
      <c r="J232" s="51">
        <v>6.69</v>
      </c>
      <c r="K232" s="51">
        <f>Tabela6[[#This Row],[CONSUMO]]*Tabela6[[#This Row],[VALOR UNIT]]-Tabela6[[#This Row],[DESCONTO]]</f>
        <v>310.29640000000006</v>
      </c>
      <c r="L232" s="53">
        <f>Tabela6[[#This Row],[CUSTO TOTAL]]/Tabela6[[#This Row],[CONSUMO]]</f>
        <v>6.3899588138385512</v>
      </c>
      <c r="M232" s="50">
        <f>Tabela6[[#This Row],[KM ATUAL]]-E197</f>
        <v>-127276</v>
      </c>
      <c r="N232" s="51">
        <f>Tabela6[[#This Row],[KM Rodados ]]/Tabela6[[#This Row],[CONSUMO]]</f>
        <v>-2621.0049423393739</v>
      </c>
    </row>
    <row r="233" spans="1:14" x14ac:dyDescent="0.25">
      <c r="A233" s="47">
        <v>159862</v>
      </c>
      <c r="B233" s="78">
        <v>44960</v>
      </c>
      <c r="C233" s="47" t="s">
        <v>72</v>
      </c>
      <c r="D233" s="49" t="s">
        <v>262</v>
      </c>
      <c r="E233" s="47">
        <v>369828</v>
      </c>
      <c r="G233" s="50" t="s">
        <v>89</v>
      </c>
      <c r="H233" s="51">
        <v>45.570999999999998</v>
      </c>
      <c r="J233" s="51">
        <v>6.29</v>
      </c>
      <c r="K233" s="51">
        <f>Tabela6[[#This Row],[CONSUMO]]*Tabela6[[#This Row],[VALOR UNIT]]-Tabela6[[#This Row],[DESCONTO]]</f>
        <v>286.64159000000001</v>
      </c>
      <c r="L233" s="53">
        <f>Tabela6[[#This Row],[CUSTO TOTAL]]/Tabela6[[#This Row],[CONSUMO]]</f>
        <v>6.29</v>
      </c>
      <c r="M233" s="50">
        <f>Tabela6[[#This Row],[KM ATUAL]]-E219</f>
        <v>-222089</v>
      </c>
      <c r="N233" s="51">
        <f>Tabela6[[#This Row],[KM Rodados ]]/Tabela6[[#This Row],[CONSUMO]]</f>
        <v>-4873.4721643150251</v>
      </c>
    </row>
    <row r="234" spans="1:14" x14ac:dyDescent="0.25">
      <c r="A234" s="47" t="s">
        <v>314</v>
      </c>
      <c r="B234" s="78">
        <v>44960</v>
      </c>
      <c r="C234" s="47" t="s">
        <v>73</v>
      </c>
      <c r="E234" s="47">
        <v>107699</v>
      </c>
      <c r="G234" s="50" t="s">
        <v>89</v>
      </c>
      <c r="H234" s="51">
        <v>190.1</v>
      </c>
      <c r="K234" s="52">
        <f>Tabela6[[#This Row],[CONSUMO]]*Tabela6[[#This Row],[VALOR UNIT]]-Tabela6[[#This Row],[DESCONTO]]</f>
        <v>0</v>
      </c>
      <c r="L234" s="53">
        <f>Tabela6[[#This Row],[CUSTO TOTAL]]/Tabela6[[#This Row],[CONSUMO]]</f>
        <v>0</v>
      </c>
      <c r="M234" s="50">
        <f>Tabela6[[#This Row],[KM ATUAL]]-E79</f>
        <v>729</v>
      </c>
      <c r="N234" s="51">
        <f>Tabela6[[#This Row],[KM Rodados ]]/Tabela6[[#This Row],[CONSUMO]]</f>
        <v>3.8348237769594951</v>
      </c>
    </row>
    <row r="235" spans="1:14" x14ac:dyDescent="0.25">
      <c r="A235" s="47" t="s">
        <v>314</v>
      </c>
      <c r="B235" s="78">
        <v>44960</v>
      </c>
      <c r="C235" s="47" t="s">
        <v>73</v>
      </c>
      <c r="E235" s="47">
        <v>108426</v>
      </c>
      <c r="G235" s="50" t="s">
        <v>89</v>
      </c>
      <c r="H235" s="51">
        <v>195.6</v>
      </c>
      <c r="K235" s="52">
        <f>Tabela6[[#This Row],[CONSUMO]]*Tabela6[[#This Row],[VALOR UNIT]]-Tabela6[[#This Row],[DESCONTO]]</f>
        <v>0</v>
      </c>
      <c r="L235" s="53">
        <f>Tabela6[[#This Row],[CUSTO TOTAL]]/Tabela6[[#This Row],[CONSUMO]]</f>
        <v>0</v>
      </c>
      <c r="M235" s="50">
        <f>Tabela6[[#This Row],[KM ATUAL]]-E234</f>
        <v>727</v>
      </c>
      <c r="N235" s="51">
        <f>Tabela6[[#This Row],[KM Rodados ]]/Tabela6[[#This Row],[CONSUMO]]</f>
        <v>3.7167689161554192</v>
      </c>
    </row>
    <row r="236" spans="1:14" x14ac:dyDescent="0.25">
      <c r="A236" s="47">
        <v>291350</v>
      </c>
      <c r="B236" s="78">
        <v>44960</v>
      </c>
      <c r="C236" s="47" t="s">
        <v>73</v>
      </c>
      <c r="D236" s="49" t="s">
        <v>253</v>
      </c>
      <c r="E236" s="47">
        <v>109887</v>
      </c>
      <c r="G236" s="50" t="s">
        <v>89</v>
      </c>
      <c r="H236" s="51">
        <v>222.19</v>
      </c>
      <c r="I236" s="49">
        <v>66.66</v>
      </c>
      <c r="J236" s="51">
        <v>6.69</v>
      </c>
      <c r="K236" s="52">
        <f>Tabela6[[#This Row],[CONSUMO]]*Tabela6[[#This Row],[VALOR UNIT]]-Tabela6[[#This Row],[DESCONTO]]</f>
        <v>1419.7910999999999</v>
      </c>
      <c r="L236" s="53">
        <f>Tabela6[[#This Row],[CUSTO TOTAL]]/Tabela6[[#This Row],[CONSUMO]]</f>
        <v>6.3899864980422159</v>
      </c>
      <c r="M236" s="50">
        <f>Tabela6[[#This Row],[KM ATUAL]]-E207</f>
        <v>-259610</v>
      </c>
      <c r="N236" s="51">
        <f>Tabela6[[#This Row],[KM Rodados ]]/Tabela6[[#This Row],[CONSUMO]]</f>
        <v>-1168.4144200909132</v>
      </c>
    </row>
    <row r="237" spans="1:14" x14ac:dyDescent="0.25">
      <c r="A237" s="47">
        <v>434734</v>
      </c>
      <c r="B237" s="78">
        <v>44960</v>
      </c>
      <c r="C237" s="47" t="s">
        <v>21</v>
      </c>
      <c r="D237" s="49" t="s">
        <v>259</v>
      </c>
      <c r="E237" s="47">
        <v>126618</v>
      </c>
      <c r="G237" s="50" t="s">
        <v>89</v>
      </c>
      <c r="H237" s="51">
        <v>170.01</v>
      </c>
      <c r="J237" s="51">
        <v>6.09</v>
      </c>
      <c r="K237" s="52">
        <f>Tabela6[[#This Row],[CONSUMO]]*Tabela6[[#This Row],[VALOR UNIT]]-Tabela6[[#This Row],[DESCONTO]]</f>
        <v>1035.3608999999999</v>
      </c>
      <c r="L237" s="53">
        <f>Tabela6[[#This Row],[CUSTO TOTAL]]/Tabela6[[#This Row],[CONSUMO]]</f>
        <v>6.09</v>
      </c>
      <c r="M237" s="50">
        <f>Tabela6[[#This Row],[KM ATUAL]]-E202</f>
        <v>24569</v>
      </c>
      <c r="N237" s="51">
        <f>Tabela6[[#This Row],[KM Rodados ]]/Tabela6[[#This Row],[CONSUMO]]</f>
        <v>144.51502852773368</v>
      </c>
    </row>
    <row r="238" spans="1:14" x14ac:dyDescent="0.25">
      <c r="A238" s="47">
        <v>252944</v>
      </c>
      <c r="B238" s="78">
        <v>44960</v>
      </c>
      <c r="C238" s="47" t="s">
        <v>13</v>
      </c>
      <c r="D238" s="49" t="s">
        <v>270</v>
      </c>
      <c r="E238" s="47">
        <v>592558</v>
      </c>
      <c r="G238" s="50" t="s">
        <v>89</v>
      </c>
      <c r="H238" s="51">
        <v>142.55099999999999</v>
      </c>
      <c r="J238" s="51">
        <v>6.09</v>
      </c>
      <c r="K238" s="51">
        <f>Tabela6[[#This Row],[CONSUMO]]*Tabela6[[#This Row],[VALOR UNIT]]-Tabela6[[#This Row],[DESCONTO]]</f>
        <v>868.13558999999987</v>
      </c>
      <c r="L238" s="53">
        <f>Tabela6[[#This Row],[CUSTO TOTAL]]/Tabela6[[#This Row],[CONSUMO]]</f>
        <v>6.09</v>
      </c>
      <c r="M238" s="50">
        <f>Tabela6[[#This Row],[KM ATUAL]]-E212</f>
        <v>306845</v>
      </c>
      <c r="N238" s="51">
        <f>Tabela6[[#This Row],[KM Rodados ]]/Tabela6[[#This Row],[CONSUMO]]</f>
        <v>2152.5278672194513</v>
      </c>
    </row>
    <row r="239" spans="1:14" x14ac:dyDescent="0.25">
      <c r="A239" s="47">
        <v>159939</v>
      </c>
      <c r="B239" s="78">
        <v>44960</v>
      </c>
      <c r="C239" s="47" t="s">
        <v>14</v>
      </c>
      <c r="D239" s="49" t="s">
        <v>262</v>
      </c>
      <c r="E239" s="47">
        <v>281892</v>
      </c>
      <c r="G239" s="50" t="s">
        <v>244</v>
      </c>
      <c r="H239" s="51">
        <v>29.280999999999999</v>
      </c>
      <c r="J239" s="51">
        <v>5.09</v>
      </c>
      <c r="K239" s="52">
        <f>Tabela6[[#This Row],[CONSUMO]]*Tabela6[[#This Row],[VALOR UNIT]]-Tabela6[[#This Row],[DESCONTO]]</f>
        <v>149.04029</v>
      </c>
      <c r="L239" s="53">
        <f>Tabela6[[#This Row],[CUSTO TOTAL]]/Tabela6[[#This Row],[CONSUMO]]</f>
        <v>5.09</v>
      </c>
      <c r="M239" s="50">
        <f>Tabela6[[#This Row],[KM ATUAL]]-E238</f>
        <v>-310666</v>
      </c>
      <c r="N239" s="51">
        <f>Tabela6[[#This Row],[KM Rodados ]]/Tabela6[[#This Row],[CONSUMO]]</f>
        <v>-10609.815238550596</v>
      </c>
    </row>
    <row r="240" spans="1:14" x14ac:dyDescent="0.25">
      <c r="A240" s="47">
        <v>296530</v>
      </c>
      <c r="B240" s="78">
        <v>44960</v>
      </c>
      <c r="C240" s="47" t="s">
        <v>23</v>
      </c>
      <c r="D240" s="49" t="s">
        <v>281</v>
      </c>
      <c r="E240" s="47">
        <v>208124</v>
      </c>
      <c r="G240" s="50" t="s">
        <v>89</v>
      </c>
      <c r="H240" s="51">
        <v>84.704999999999998</v>
      </c>
      <c r="I240" s="49">
        <v>16.54</v>
      </c>
      <c r="J240" s="51">
        <v>6.27</v>
      </c>
      <c r="K240" s="52">
        <f>Tabela6[[#This Row],[CONSUMO]]*Tabela6[[#This Row],[VALOR UNIT]]-Tabela6[[#This Row],[DESCONTO]]</f>
        <v>514.56034999999997</v>
      </c>
      <c r="L240" s="53">
        <f>Tabela6[[#This Row],[CUSTO TOTAL]]/Tabela6[[#This Row],[CONSUMO]]</f>
        <v>6.0747340770910805</v>
      </c>
      <c r="M240" s="50">
        <f>Tabela6[[#This Row],[KM ATUAL]]-E239</f>
        <v>-73768</v>
      </c>
      <c r="N240" s="51">
        <f>Tabela6[[#This Row],[KM Rodados ]]/Tabela6[[#This Row],[CONSUMO]]</f>
        <v>-870.88129390236702</v>
      </c>
    </row>
    <row r="241" spans="1:14" x14ac:dyDescent="0.25">
      <c r="A241" s="47">
        <v>267277</v>
      </c>
      <c r="B241" s="78">
        <v>44960</v>
      </c>
      <c r="C241" s="47" t="s">
        <v>23</v>
      </c>
      <c r="D241" s="49" t="s">
        <v>276</v>
      </c>
      <c r="E241" s="47">
        <v>208321</v>
      </c>
      <c r="G241" s="50" t="s">
        <v>89</v>
      </c>
      <c r="H241" s="51">
        <v>42.53</v>
      </c>
      <c r="J241" s="51">
        <v>6.18</v>
      </c>
      <c r="K241" s="52">
        <f>Tabela6[[#This Row],[CONSUMO]]*Tabela6[[#This Row],[VALOR UNIT]]-Tabela6[[#This Row],[DESCONTO]]</f>
        <v>262.83539999999999</v>
      </c>
      <c r="L241" s="53">
        <f>Tabela6[[#This Row],[CUSTO TOTAL]]/Tabela6[[#This Row],[CONSUMO]]</f>
        <v>6.18</v>
      </c>
      <c r="M241" s="50">
        <f>Tabela6[[#This Row],[KM ATUAL]]-E240</f>
        <v>197</v>
      </c>
      <c r="N241" s="51">
        <f>Tabela6[[#This Row],[KM Rodados ]]/Tabela6[[#This Row],[CONSUMO]]</f>
        <v>4.6320244533270634</v>
      </c>
    </row>
    <row r="242" spans="1:14" x14ac:dyDescent="0.25">
      <c r="A242" s="47">
        <v>267277</v>
      </c>
      <c r="B242" s="78">
        <v>44960</v>
      </c>
      <c r="C242" s="47" t="s">
        <v>23</v>
      </c>
      <c r="D242" s="49" t="s">
        <v>276</v>
      </c>
      <c r="E242" s="47">
        <v>208321</v>
      </c>
      <c r="G242" s="50" t="s">
        <v>241</v>
      </c>
      <c r="H242" s="51">
        <v>25.221</v>
      </c>
      <c r="J242" s="51">
        <v>3.69</v>
      </c>
      <c r="K242" s="51">
        <f>Tabela6[[#This Row],[CONSUMO]]*Tabela6[[#This Row],[VALOR UNIT]]-Tabela6[[#This Row],[DESCONTO]]</f>
        <v>93.065489999999997</v>
      </c>
      <c r="L242" s="53">
        <f>Tabela6[[#This Row],[CUSTO TOTAL]]/Tabela6[[#This Row],[CONSUMO]]</f>
        <v>3.69</v>
      </c>
      <c r="M242" s="50"/>
      <c r="N242"/>
    </row>
    <row r="243" spans="1:14" x14ac:dyDescent="0.25">
      <c r="A243" s="47">
        <v>41843</v>
      </c>
      <c r="B243" s="78">
        <v>44961</v>
      </c>
      <c r="C243" s="47" t="s">
        <v>68</v>
      </c>
      <c r="D243" s="49" t="s">
        <v>263</v>
      </c>
      <c r="E243" s="47">
        <v>858088</v>
      </c>
      <c r="G243" s="50" t="s">
        <v>89</v>
      </c>
      <c r="H243" s="51">
        <v>379.16</v>
      </c>
      <c r="I243" s="49">
        <v>37.92</v>
      </c>
      <c r="J243" s="51">
        <v>6.14</v>
      </c>
      <c r="K243" s="51">
        <f>Tabela6[[#This Row],[CONSUMO]]*Tabela6[[#This Row],[VALOR UNIT]]-Tabela6[[#This Row],[DESCONTO]]</f>
        <v>2290.1223999999997</v>
      </c>
      <c r="L243" s="53">
        <f>Tabela6[[#This Row],[CUSTO TOTAL]]/Tabela6[[#This Row],[CONSUMO]]</f>
        <v>6.0399894503639615</v>
      </c>
      <c r="M243" s="50">
        <f>Tabela6[[#This Row],[KM ATUAL]]-E212</f>
        <v>572375</v>
      </c>
      <c r="N243" s="51">
        <f>Tabela6[[#This Row],[KM Rodados ]]/Tabela6[[#This Row],[CONSUMO]]</f>
        <v>1509.5869817491296</v>
      </c>
    </row>
    <row r="244" spans="1:14" x14ac:dyDescent="0.25">
      <c r="A244" s="47" t="s">
        <v>314</v>
      </c>
      <c r="B244" s="78">
        <v>44962</v>
      </c>
      <c r="C244" s="47" t="s">
        <v>14</v>
      </c>
      <c r="E244" s="47">
        <v>282519</v>
      </c>
      <c r="G244" s="50" t="s">
        <v>244</v>
      </c>
      <c r="H244" s="51">
        <v>41.5</v>
      </c>
      <c r="K244" s="52">
        <f>Tabela6[[#This Row],[CONSUMO]]*Tabela6[[#This Row],[VALOR UNIT]]-Tabela6[[#This Row],[DESCONTO]]</f>
        <v>0</v>
      </c>
      <c r="L244" s="53">
        <f>Tabela6[[#This Row],[CUSTO TOTAL]]/Tabela6[[#This Row],[CONSUMO]]</f>
        <v>0</v>
      </c>
      <c r="M244" s="50">
        <f>Tabela6[[#This Row],[KM ATUAL]]-E190</f>
        <v>-86607</v>
      </c>
      <c r="N244" s="51">
        <f>Tabela6[[#This Row],[KM Rodados ]]/Tabela6[[#This Row],[CONSUMO]]</f>
        <v>-2086.9156626506024</v>
      </c>
    </row>
    <row r="245" spans="1:14" x14ac:dyDescent="0.25">
      <c r="A245" s="47" t="s">
        <v>314</v>
      </c>
      <c r="B245" s="78">
        <v>44962</v>
      </c>
      <c r="C245" s="47" t="s">
        <v>40</v>
      </c>
      <c r="E245" s="47">
        <v>120233</v>
      </c>
      <c r="G245" s="50" t="s">
        <v>244</v>
      </c>
      <c r="H245" s="51">
        <v>33.69</v>
      </c>
      <c r="K245" s="52">
        <f>Tabela6[[#This Row],[CONSUMO]]*Tabela6[[#This Row],[VALOR UNIT]]-Tabela6[[#This Row],[DESCONTO]]</f>
        <v>0</v>
      </c>
      <c r="L245" s="53">
        <f>Tabela6[[#This Row],[CUSTO TOTAL]]/Tabela6[[#This Row],[CONSUMO]]</f>
        <v>0</v>
      </c>
      <c r="M245" s="50">
        <f>Tabela6[[#This Row],[KM ATUAL]]-E244</f>
        <v>-162286</v>
      </c>
      <c r="N245" s="51">
        <f>Tabela6[[#This Row],[KM Rodados ]]/Tabela6[[#This Row],[CONSUMO]]</f>
        <v>-4817.0376966458889</v>
      </c>
    </row>
    <row r="246" spans="1:14" x14ac:dyDescent="0.25">
      <c r="A246" s="47">
        <v>185999</v>
      </c>
      <c r="B246" s="78">
        <v>44963</v>
      </c>
      <c r="C246" s="47" t="s">
        <v>43</v>
      </c>
      <c r="D246" s="47" t="s">
        <v>282</v>
      </c>
      <c r="E246" s="116">
        <v>103123</v>
      </c>
      <c r="G246" s="50" t="s">
        <v>89</v>
      </c>
      <c r="H246" s="51">
        <v>34.479999999999997</v>
      </c>
      <c r="J246" s="51">
        <v>6.21</v>
      </c>
      <c r="K246" s="51">
        <f>Tabela6[[#This Row],[CONSUMO]]*Tabela6[[#This Row],[VALOR UNIT]]-Tabela6[[#This Row],[DESCONTO]]</f>
        <v>214.12079999999997</v>
      </c>
      <c r="L246" s="53">
        <f>Tabela6[[#This Row],[CUSTO TOTAL]]/Tabela6[[#This Row],[CONSUMO]]</f>
        <v>6.21</v>
      </c>
      <c r="M246" s="50">
        <f>Tabela6[[#This Row],[KM ATUAL]]-E230</f>
        <v>-212585</v>
      </c>
      <c r="N246" s="72">
        <f>Tabela6[[#This Row],[KM Rodados ]]/Tabela6[[#This Row],[CONSUMO]]</f>
        <v>-6165.4582366589329</v>
      </c>
    </row>
    <row r="247" spans="1:14" x14ac:dyDescent="0.25">
      <c r="A247" s="47">
        <v>114586</v>
      </c>
      <c r="B247" s="78">
        <v>44963</v>
      </c>
      <c r="C247" s="47" t="s">
        <v>43</v>
      </c>
      <c r="D247" s="49" t="s">
        <v>268</v>
      </c>
      <c r="E247" s="47">
        <v>103479</v>
      </c>
      <c r="G247" s="50" t="s">
        <v>89</v>
      </c>
      <c r="H247" s="51">
        <v>42</v>
      </c>
      <c r="J247" s="51">
        <v>6.09</v>
      </c>
      <c r="K247" s="52">
        <f>Tabela6[[#This Row],[CONSUMO]]*Tabela6[[#This Row],[VALOR UNIT]]-Tabela6[[#This Row],[DESCONTO]]</f>
        <v>255.78</v>
      </c>
      <c r="L247" s="53">
        <f>Tabela6[[#This Row],[CUSTO TOTAL]]/Tabela6[[#This Row],[CONSUMO]]</f>
        <v>6.09</v>
      </c>
      <c r="M247" s="50">
        <f>Tabela6[[#This Row],[KM ATUAL]]-E246</f>
        <v>356</v>
      </c>
      <c r="N247" s="72">
        <f>Tabela6[[#This Row],[KM Rodados ]]/Tabela6[[#This Row],[CONSUMO]]</f>
        <v>8.4761904761904763</v>
      </c>
    </row>
    <row r="248" spans="1:14" x14ac:dyDescent="0.25">
      <c r="A248" s="47">
        <v>253613</v>
      </c>
      <c r="B248" s="78">
        <v>44963</v>
      </c>
      <c r="C248" s="47" t="s">
        <v>8</v>
      </c>
      <c r="D248" s="49" t="s">
        <v>270</v>
      </c>
      <c r="E248" s="115">
        <v>871842</v>
      </c>
      <c r="G248" s="50" t="s">
        <v>89</v>
      </c>
      <c r="H248" s="51">
        <v>118</v>
      </c>
      <c r="J248" s="51">
        <v>5.99</v>
      </c>
      <c r="K248" s="52">
        <f>Tabela6[[#This Row],[CONSUMO]]*Tabela6[[#This Row],[VALOR UNIT]]-Tabela6[[#This Row],[DESCONTO]]</f>
        <v>706.82</v>
      </c>
      <c r="L248" s="53">
        <f>Tabela6[[#This Row],[CUSTO TOTAL]]/Tabela6[[#This Row],[CONSUMO]]</f>
        <v>5.99</v>
      </c>
      <c r="M248" s="50">
        <f>Tabela6[[#This Row],[KM ATUAL]]-E232</f>
        <v>794082</v>
      </c>
      <c r="N248" s="51">
        <f>Tabela6[[#This Row],[KM Rodados ]]/Tabela6[[#This Row],[CONSUMO]]</f>
        <v>6729.5084745762715</v>
      </c>
    </row>
    <row r="249" spans="1:14" x14ac:dyDescent="0.25">
      <c r="A249" s="47">
        <v>559987</v>
      </c>
      <c r="B249" s="78">
        <v>44963</v>
      </c>
      <c r="C249" s="47" t="s">
        <v>9</v>
      </c>
      <c r="D249" s="49" t="s">
        <v>271</v>
      </c>
      <c r="E249" s="47">
        <v>588253</v>
      </c>
      <c r="G249" s="50" t="s">
        <v>89</v>
      </c>
      <c r="H249" s="51">
        <v>123.24</v>
      </c>
      <c r="J249" s="51">
        <v>6.09</v>
      </c>
      <c r="K249" s="51">
        <f>Tabela6[[#This Row],[CONSUMO]]*Tabela6[[#This Row],[VALOR UNIT]]-Tabela6[[#This Row],[DESCONTO]]</f>
        <v>750.53159999999991</v>
      </c>
      <c r="L249" s="53">
        <f>Tabela6[[#This Row],[CUSTO TOTAL]]/Tabela6[[#This Row],[CONSUMO]]</f>
        <v>6.09</v>
      </c>
      <c r="M249" s="50">
        <f>Tabela6[[#This Row],[KM ATUAL]]-E218</f>
        <v>513266</v>
      </c>
      <c r="N249" s="51">
        <f>Tabela6[[#This Row],[KM Rodados ]]/Tabela6[[#This Row],[CONSUMO]]</f>
        <v>4164.7679324894516</v>
      </c>
    </row>
    <row r="250" spans="1:14" x14ac:dyDescent="0.25">
      <c r="A250" s="47">
        <v>114806</v>
      </c>
      <c r="B250" s="78">
        <v>44963</v>
      </c>
      <c r="C250" s="47" t="s">
        <v>67</v>
      </c>
      <c r="D250" s="49" t="s">
        <v>268</v>
      </c>
      <c r="E250" s="47">
        <v>652007</v>
      </c>
      <c r="G250" s="50" t="s">
        <v>89</v>
      </c>
      <c r="H250" s="51">
        <v>153.01</v>
      </c>
      <c r="J250" s="51">
        <v>6.09</v>
      </c>
      <c r="K250" s="51">
        <f>Tabela6[[#This Row],[CONSUMO]]*Tabela6[[#This Row],[VALOR UNIT]]-Tabela6[[#This Row],[DESCONTO]]</f>
        <v>931.83089999999993</v>
      </c>
      <c r="L250" s="53">
        <f>Tabela6[[#This Row],[CUSTO TOTAL]]/Tabela6[[#This Row],[CONSUMO]]</f>
        <v>6.09</v>
      </c>
      <c r="M250" s="50">
        <f>Tabela6[[#This Row],[KM ATUAL]]-E217</f>
        <v>591</v>
      </c>
      <c r="N250" s="51">
        <f>Tabela6[[#This Row],[KM Rodados ]]/Tabela6[[#This Row],[CONSUMO]]</f>
        <v>3.8624926475393768</v>
      </c>
    </row>
    <row r="251" spans="1:14" x14ac:dyDescent="0.25">
      <c r="A251" s="47">
        <v>160565</v>
      </c>
      <c r="B251" s="78">
        <v>44963</v>
      </c>
      <c r="C251" s="47" t="s">
        <v>72</v>
      </c>
      <c r="D251" s="49" t="s">
        <v>262</v>
      </c>
      <c r="E251" s="47">
        <v>370024</v>
      </c>
      <c r="G251" s="50" t="s">
        <v>89</v>
      </c>
      <c r="H251" s="51">
        <v>26.920999999999999</v>
      </c>
      <c r="J251" s="51">
        <v>6.18</v>
      </c>
      <c r="K251" s="51">
        <f>Tabela6[[#This Row],[CONSUMO]]*Tabela6[[#This Row],[VALOR UNIT]]-Tabela6[[#This Row],[DESCONTO]]</f>
        <v>166.37178</v>
      </c>
      <c r="L251" s="53">
        <f>Tabela6[[#This Row],[CUSTO TOTAL]]/Tabela6[[#This Row],[CONSUMO]]</f>
        <v>6.1800000000000006</v>
      </c>
      <c r="M251" s="50">
        <f>Tabela6[[#This Row],[KM ATUAL]]-E234</f>
        <v>262325</v>
      </c>
      <c r="N251" s="51">
        <f>Tabela6[[#This Row],[KM Rodados ]]/Tabela6[[#This Row],[CONSUMO]]</f>
        <v>9744.2516994168127</v>
      </c>
    </row>
    <row r="252" spans="1:14" x14ac:dyDescent="0.25">
      <c r="A252" s="47">
        <v>293555</v>
      </c>
      <c r="B252" s="78">
        <v>44963</v>
      </c>
      <c r="C252" s="47" t="s">
        <v>72</v>
      </c>
      <c r="D252" s="49" t="s">
        <v>253</v>
      </c>
      <c r="E252" s="47">
        <v>370253</v>
      </c>
      <c r="G252" s="50" t="s">
        <v>89</v>
      </c>
      <c r="H252" s="51">
        <v>27.47</v>
      </c>
      <c r="I252" s="49">
        <v>8.24</v>
      </c>
      <c r="J252" s="51">
        <v>6.69</v>
      </c>
      <c r="K252" s="51">
        <f>Tabela6[[#This Row],[CONSUMO]]*Tabela6[[#This Row],[VALOR UNIT]]-Tabela6[[#This Row],[DESCONTO]]</f>
        <v>175.5343</v>
      </c>
      <c r="L252" s="53">
        <f>Tabela6[[#This Row],[CUSTO TOTAL]]/Tabela6[[#This Row],[CONSUMO]]</f>
        <v>6.3900364033491082</v>
      </c>
      <c r="M252" s="50">
        <f>Tabela6[[#This Row],[KM ATUAL]]-E248</f>
        <v>-501589</v>
      </c>
      <c r="N252" s="51">
        <f>Tabela6[[#This Row],[KM Rodados ]]/Tabela6[[#This Row],[CONSUMO]]</f>
        <v>-18259.519475791774</v>
      </c>
    </row>
    <row r="253" spans="1:14" x14ac:dyDescent="0.25">
      <c r="A253" s="47" t="s">
        <v>314</v>
      </c>
      <c r="B253" s="78">
        <v>44963</v>
      </c>
      <c r="C253" s="47" t="s">
        <v>206</v>
      </c>
      <c r="E253" s="47">
        <v>913870</v>
      </c>
      <c r="G253" s="50" t="s">
        <v>89</v>
      </c>
      <c r="H253" s="51">
        <v>522.63</v>
      </c>
      <c r="K253" s="52">
        <f>Tabela6[[#This Row],[CONSUMO]]*Tabela6[[#This Row],[VALOR UNIT]]-Tabela6[[#This Row],[DESCONTO]]</f>
        <v>0</v>
      </c>
      <c r="L253" s="53">
        <f>Tabela6[[#This Row],[CUSTO TOTAL]]/Tabela6[[#This Row],[CONSUMO]]</f>
        <v>0</v>
      </c>
      <c r="M253" s="50">
        <f>Tabela6[[#This Row],[KM ATUAL]]-E177</f>
        <v>545383</v>
      </c>
      <c r="N253" s="51">
        <f>Tabela6[[#This Row],[KM Rodados ]]/Tabela6[[#This Row],[CONSUMO]]</f>
        <v>1043.5355796643898</v>
      </c>
    </row>
    <row r="254" spans="1:14" x14ac:dyDescent="0.25">
      <c r="A254" s="47">
        <v>293854</v>
      </c>
      <c r="B254" s="78">
        <v>44963</v>
      </c>
      <c r="C254" s="47" t="s">
        <v>206</v>
      </c>
      <c r="D254" s="49" t="s">
        <v>253</v>
      </c>
      <c r="E254" s="47">
        <v>915304</v>
      </c>
      <c r="G254" s="50" t="s">
        <v>89</v>
      </c>
      <c r="H254" s="51">
        <f>230.15+302.66</f>
        <v>532.81000000000006</v>
      </c>
      <c r="I254" s="49">
        <f>90.8+69.04</f>
        <v>159.84</v>
      </c>
      <c r="J254" s="51">
        <v>6.69</v>
      </c>
      <c r="K254" s="52">
        <f>Tabela6[[#This Row],[CONSUMO]]*Tabela6[[#This Row],[VALOR UNIT]]-Tabela6[[#This Row],[DESCONTO]]</f>
        <v>3404.6589000000004</v>
      </c>
      <c r="L254" s="53">
        <f>Tabela6[[#This Row],[CUSTO TOTAL]]/Tabela6[[#This Row],[CONSUMO]]</f>
        <v>6.3900056305249526</v>
      </c>
      <c r="M254" s="50">
        <f>Tabela6[[#This Row],[KM ATUAL]]-E253</f>
        <v>1434</v>
      </c>
      <c r="N254" s="51">
        <f>Tabela6[[#This Row],[KM Rodados ]]/Tabela6[[#This Row],[CONSUMO]]</f>
        <v>2.6913909273474594</v>
      </c>
    </row>
    <row r="255" spans="1:14" x14ac:dyDescent="0.25">
      <c r="A255" s="47">
        <v>293854</v>
      </c>
      <c r="B255" s="78">
        <v>44963</v>
      </c>
      <c r="C255" s="47" t="s">
        <v>12</v>
      </c>
      <c r="D255" s="49" t="s">
        <v>253</v>
      </c>
      <c r="E255" s="47">
        <v>915304</v>
      </c>
      <c r="G255" s="50" t="s">
        <v>241</v>
      </c>
      <c r="H255" s="51">
        <v>31.937999999999999</v>
      </c>
      <c r="J255" s="51">
        <v>4.99</v>
      </c>
      <c r="K255" s="51">
        <f>Tabela6[[#This Row],[CONSUMO]]*Tabela6[[#This Row],[VALOR UNIT]]-Tabela6[[#This Row],[DESCONTO]]</f>
        <v>159.37062</v>
      </c>
      <c r="L255" s="53">
        <f>Tabela6[[#This Row],[CUSTO TOTAL]]/Tabela6[[#This Row],[CONSUMO]]</f>
        <v>4.99</v>
      </c>
      <c r="M255" s="50"/>
      <c r="N255"/>
    </row>
    <row r="256" spans="1:14" x14ac:dyDescent="0.25">
      <c r="A256" s="47" t="s">
        <v>314</v>
      </c>
      <c r="B256" s="78">
        <v>44963</v>
      </c>
      <c r="C256" s="47" t="s">
        <v>14</v>
      </c>
      <c r="E256" s="47">
        <v>282981</v>
      </c>
      <c r="G256" s="50" t="s">
        <v>244</v>
      </c>
      <c r="H256" s="51">
        <v>38</v>
      </c>
      <c r="K256" s="52">
        <f>Tabela6[[#This Row],[CONSUMO]]*Tabela6[[#This Row],[VALOR UNIT]]-Tabela6[[#This Row],[DESCONTO]]</f>
        <v>0</v>
      </c>
      <c r="L256" s="53">
        <f>Tabela6[[#This Row],[CUSTO TOTAL]]/Tabela6[[#This Row],[CONSUMO]]</f>
        <v>0</v>
      </c>
      <c r="M256" s="50">
        <f>Tabela6[[#This Row],[KM ATUAL]]-E255</f>
        <v>-632323</v>
      </c>
      <c r="N256" s="51">
        <f>Tabela6[[#This Row],[KM Rodados ]]/Tabela6[[#This Row],[CONSUMO]]</f>
        <v>-16640.07894736842</v>
      </c>
    </row>
    <row r="257" spans="1:14" x14ac:dyDescent="0.25">
      <c r="A257" s="47">
        <v>512030</v>
      </c>
      <c r="B257" s="78">
        <v>44963</v>
      </c>
      <c r="C257" s="47" t="s">
        <v>16</v>
      </c>
      <c r="D257" s="49" t="s">
        <v>255</v>
      </c>
      <c r="E257" s="47">
        <v>289493</v>
      </c>
      <c r="G257" s="50" t="s">
        <v>89</v>
      </c>
      <c r="H257" s="51">
        <v>72.700999999999993</v>
      </c>
      <c r="J257" s="51">
        <v>6.58</v>
      </c>
      <c r="K257" s="51">
        <f>Tabela6[[#This Row],[CONSUMO]]*Tabela6[[#This Row],[VALOR UNIT]]-Tabela6[[#This Row],[DESCONTO]]</f>
        <v>478.37257999999997</v>
      </c>
      <c r="L257" s="53">
        <f>Tabela6[[#This Row],[CUSTO TOTAL]]/Tabela6[[#This Row],[CONSUMO]]</f>
        <v>6.58</v>
      </c>
      <c r="M257" s="50">
        <f>Tabela6[[#This Row],[KM ATUAL]]-E145</f>
        <v>9450</v>
      </c>
      <c r="N257" s="51">
        <f>Tabela6[[#This Row],[KM Rodados ]]/Tabela6[[#This Row],[CONSUMO]]</f>
        <v>129.98445688504972</v>
      </c>
    </row>
    <row r="258" spans="1:14" x14ac:dyDescent="0.25">
      <c r="A258" s="47">
        <v>588638</v>
      </c>
      <c r="B258" s="78">
        <v>44963</v>
      </c>
      <c r="C258" s="47" t="s">
        <v>74</v>
      </c>
      <c r="D258" s="49" t="s">
        <v>250</v>
      </c>
      <c r="E258" s="119">
        <v>30799</v>
      </c>
      <c r="G258" s="50" t="s">
        <v>89</v>
      </c>
      <c r="H258" s="51">
        <v>62.04</v>
      </c>
      <c r="J258" s="51">
        <v>6.19</v>
      </c>
      <c r="K258" s="51">
        <f>Tabela6[[#This Row],[CONSUMO]]*Tabela6[[#This Row],[VALOR UNIT]]-Tabela6[[#This Row],[DESCONTO]]</f>
        <v>384.02760000000001</v>
      </c>
      <c r="L258" s="53">
        <f>Tabela6[[#This Row],[CUSTO TOTAL]]/Tabela6[[#This Row],[CONSUMO]]</f>
        <v>6.19</v>
      </c>
      <c r="M258" s="50">
        <f>Tabela6[[#This Row],[KM ATUAL]]-E236</f>
        <v>-79088</v>
      </c>
      <c r="N258" s="51">
        <f>Tabela6[[#This Row],[KM Rodados ]]/Tabela6[[#This Row],[CONSUMO]]</f>
        <v>-1274.7904577691811</v>
      </c>
    </row>
    <row r="259" spans="1:14" x14ac:dyDescent="0.25">
      <c r="A259" s="47">
        <v>43485</v>
      </c>
      <c r="B259" s="78">
        <v>44964</v>
      </c>
      <c r="C259" s="47" t="s">
        <v>68</v>
      </c>
      <c r="D259" s="49" t="s">
        <v>263</v>
      </c>
      <c r="E259" s="47">
        <v>858996</v>
      </c>
      <c r="G259" s="50" t="s">
        <v>89</v>
      </c>
      <c r="H259" s="51">
        <v>336.81</v>
      </c>
      <c r="I259" s="49">
        <v>33.68</v>
      </c>
      <c r="J259" s="51">
        <v>6.14</v>
      </c>
      <c r="K259" s="51">
        <f>Tabela6[[#This Row],[CONSUMO]]*Tabela6[[#This Row],[VALOR UNIT]]-Tabela6[[#This Row],[DESCONTO]]</f>
        <v>2034.3333999999998</v>
      </c>
      <c r="L259" s="53">
        <f>Tabela6[[#This Row],[CUSTO TOTAL]]/Tabela6[[#This Row],[CONSUMO]]</f>
        <v>6.0400029690329848</v>
      </c>
      <c r="M259" s="50">
        <f>Tabela6[[#This Row],[KM ATUAL]]-E236</f>
        <v>749109</v>
      </c>
      <c r="N259" s="51">
        <f>Tabela6[[#This Row],[KM Rodados ]]/Tabela6[[#This Row],[CONSUMO]]</f>
        <v>2224.1293310768683</v>
      </c>
    </row>
    <row r="260" spans="1:14" x14ac:dyDescent="0.25">
      <c r="A260" s="47">
        <v>160941</v>
      </c>
      <c r="B260" s="78">
        <v>44964</v>
      </c>
      <c r="C260" s="47" t="s">
        <v>70</v>
      </c>
      <c r="D260" s="49" t="s">
        <v>262</v>
      </c>
      <c r="E260" s="47">
        <v>177651</v>
      </c>
      <c r="G260" s="50" t="s">
        <v>89</v>
      </c>
      <c r="H260" s="51">
        <v>632.4</v>
      </c>
      <c r="J260" s="51">
        <v>6.09</v>
      </c>
      <c r="K260" s="51">
        <f>Tabela6[[#This Row],[CONSUMO]]*Tabela6[[#This Row],[VALOR UNIT]]-Tabela6[[#This Row],[DESCONTO]]</f>
        <v>3851.3159999999998</v>
      </c>
      <c r="L260" s="53">
        <f>Tabela6[[#This Row],[CUSTO TOTAL]]/Tabela6[[#This Row],[CONSUMO]]</f>
        <v>6.09</v>
      </c>
      <c r="M260" s="50">
        <f>Tabela6[[#This Row],[KM ATUAL]]-E217</f>
        <v>-473765</v>
      </c>
      <c r="N260" s="51">
        <f>Tabela6[[#This Row],[KM Rodados ]]/Tabela6[[#This Row],[CONSUMO]]</f>
        <v>-749.15401644528777</v>
      </c>
    </row>
    <row r="261" spans="1:14" x14ac:dyDescent="0.25">
      <c r="A261" s="47">
        <v>227152</v>
      </c>
      <c r="B261" s="78">
        <v>44964</v>
      </c>
      <c r="C261" s="47" t="s">
        <v>71</v>
      </c>
      <c r="D261" s="49" t="s">
        <v>263</v>
      </c>
      <c r="E261" s="47">
        <v>81800</v>
      </c>
      <c r="G261" s="50" t="s">
        <v>89</v>
      </c>
      <c r="H261" s="51">
        <v>574.92999999999995</v>
      </c>
      <c r="I261" s="49">
        <v>57.5</v>
      </c>
      <c r="J261" s="51">
        <v>6.14</v>
      </c>
      <c r="K261" s="51">
        <f>Tabela6[[#This Row],[CONSUMO]]*Tabela6[[#This Row],[VALOR UNIT]]-Tabela6[[#This Row],[DESCONTO]]</f>
        <v>3472.5701999999997</v>
      </c>
      <c r="L261" s="53">
        <f>Tabela6[[#This Row],[CUSTO TOTAL]]/Tabela6[[#This Row],[CONSUMO]]</f>
        <v>6.0399878246047347</v>
      </c>
      <c r="M261" s="50">
        <f>Tabela6[[#This Row],[KM ATUAL]]-E194</f>
        <v>-619045</v>
      </c>
      <c r="N261" s="51">
        <f>Tabela6[[#This Row],[KM Rodados ]]/Tabela6[[#This Row],[CONSUMO]]</f>
        <v>-1076.7310803054286</v>
      </c>
    </row>
    <row r="262" spans="1:14" x14ac:dyDescent="0.25">
      <c r="A262" s="47" t="s">
        <v>314</v>
      </c>
      <c r="B262" s="78">
        <v>44964</v>
      </c>
      <c r="C262" s="47" t="s">
        <v>11</v>
      </c>
      <c r="E262" s="47">
        <v>383484</v>
      </c>
      <c r="G262" s="50" t="s">
        <v>89</v>
      </c>
      <c r="H262" s="51">
        <v>96.5</v>
      </c>
      <c r="K262" s="52">
        <f>Tabela6[[#This Row],[CONSUMO]]*Tabela6[[#This Row],[VALOR UNIT]]-Tabela6[[#This Row],[DESCONTO]]</f>
        <v>0</v>
      </c>
      <c r="L262" s="53">
        <f>Tabela6[[#This Row],[CUSTO TOTAL]]/Tabela6[[#This Row],[CONSUMO]]</f>
        <v>0</v>
      </c>
      <c r="M262" s="50">
        <f>Tabela6[[#This Row],[KM ATUAL]]-E61</f>
        <v>285995</v>
      </c>
      <c r="N262" s="51">
        <f>Tabela6[[#This Row],[KM Rodados ]]/Tabela6[[#This Row],[CONSUMO]]</f>
        <v>2963.6787564766842</v>
      </c>
    </row>
    <row r="263" spans="1:14" x14ac:dyDescent="0.25">
      <c r="A263" s="47" t="s">
        <v>314</v>
      </c>
      <c r="B263" s="78">
        <v>44964</v>
      </c>
      <c r="C263" s="47" t="s">
        <v>11</v>
      </c>
      <c r="E263" s="47">
        <v>384048</v>
      </c>
      <c r="G263" s="50" t="s">
        <v>89</v>
      </c>
      <c r="H263" s="51">
        <v>88.21</v>
      </c>
      <c r="K263" s="52">
        <f>Tabela6[[#This Row],[CONSUMO]]*Tabela6[[#This Row],[VALOR UNIT]]-Tabela6[[#This Row],[DESCONTO]]</f>
        <v>0</v>
      </c>
      <c r="L263" s="53">
        <f>Tabela6[[#This Row],[CUSTO TOTAL]]/Tabela6[[#This Row],[CONSUMO]]</f>
        <v>0</v>
      </c>
      <c r="M263" s="50">
        <f>Tabela6[[#This Row],[KM ATUAL]]-E262</f>
        <v>564</v>
      </c>
      <c r="N263" s="51">
        <f>Tabela6[[#This Row],[KM Rodados ]]/Tabela6[[#This Row],[CONSUMO]]</f>
        <v>6.3938328987643125</v>
      </c>
    </row>
    <row r="264" spans="1:14" x14ac:dyDescent="0.25">
      <c r="A264" s="47" t="s">
        <v>314</v>
      </c>
      <c r="B264" s="78">
        <v>44964</v>
      </c>
      <c r="C264" s="47" t="s">
        <v>11</v>
      </c>
      <c r="E264" s="47">
        <v>384611</v>
      </c>
      <c r="G264" s="50" t="s">
        <v>89</v>
      </c>
      <c r="H264" s="51">
        <v>82.3</v>
      </c>
      <c r="K264" s="52">
        <f>Tabela6[[#This Row],[CONSUMO]]*Tabela6[[#This Row],[VALOR UNIT]]-Tabela6[[#This Row],[DESCONTO]]</f>
        <v>0</v>
      </c>
      <c r="L264" s="53">
        <f>Tabela6[[#This Row],[CUSTO TOTAL]]/Tabela6[[#This Row],[CONSUMO]]</f>
        <v>0</v>
      </c>
      <c r="M264" s="50">
        <f>Tabela6[[#This Row],[KM ATUAL]]-E263</f>
        <v>563</v>
      </c>
      <c r="N264" s="51">
        <f>Tabela6[[#This Row],[KM Rodados ]]/Tabela6[[#This Row],[CONSUMO]]</f>
        <v>6.8408262454435</v>
      </c>
    </row>
    <row r="265" spans="1:14" x14ac:dyDescent="0.25">
      <c r="A265" s="47">
        <v>294278</v>
      </c>
      <c r="B265" s="78">
        <v>44964</v>
      </c>
      <c r="C265" s="47" t="s">
        <v>11</v>
      </c>
      <c r="D265" s="49" t="s">
        <v>253</v>
      </c>
      <c r="E265" s="47">
        <v>385190</v>
      </c>
      <c r="G265" s="50" t="s">
        <v>89</v>
      </c>
      <c r="H265" s="51">
        <v>90.38</v>
      </c>
      <c r="I265" s="49">
        <v>27.11</v>
      </c>
      <c r="J265" s="51">
        <v>6.69</v>
      </c>
      <c r="K265" s="52">
        <f>Tabela6[[#This Row],[CONSUMO]]*Tabela6[[#This Row],[VALOR UNIT]]-Tabela6[[#This Row],[DESCONTO]]</f>
        <v>577.53219999999999</v>
      </c>
      <c r="L265" s="53">
        <f>Tabela6[[#This Row],[CUSTO TOTAL]]/Tabela6[[#This Row],[CONSUMO]]</f>
        <v>6.3900442575791105</v>
      </c>
      <c r="M265" s="50">
        <f>Tabela6[[#This Row],[KM ATUAL]]-E264</f>
        <v>579</v>
      </c>
      <c r="N265" s="51">
        <f>Tabela6[[#This Row],[KM Rodados ]]/Tabela6[[#This Row],[CONSUMO]]</f>
        <v>6.4062845762336806</v>
      </c>
    </row>
    <row r="266" spans="1:14" x14ac:dyDescent="0.25">
      <c r="A266" s="47" t="s">
        <v>314</v>
      </c>
      <c r="B266" s="78">
        <v>44964</v>
      </c>
      <c r="C266" s="47" t="s">
        <v>13</v>
      </c>
      <c r="E266" s="47">
        <v>593002</v>
      </c>
      <c r="G266" s="50" t="s">
        <v>89</v>
      </c>
      <c r="H266" s="51">
        <v>111.2</v>
      </c>
      <c r="K266" s="52">
        <f>Tabela6[[#This Row],[CONSUMO]]*Tabela6[[#This Row],[VALOR UNIT]]-Tabela6[[#This Row],[DESCONTO]]</f>
        <v>0</v>
      </c>
      <c r="L266" s="53">
        <f>Tabela6[[#This Row],[CUSTO TOTAL]]/Tabela6[[#This Row],[CONSUMO]]</f>
        <v>0</v>
      </c>
      <c r="M266" s="50">
        <f>Tabela6[[#This Row],[KM ATUAL]]-E237</f>
        <v>466384</v>
      </c>
      <c r="N266" s="51">
        <f>Tabela6[[#This Row],[KM Rodados ]]/Tabela6[[#This Row],[CONSUMO]]</f>
        <v>4194.1007194244603</v>
      </c>
    </row>
    <row r="267" spans="1:14" x14ac:dyDescent="0.25">
      <c r="A267" s="47" t="s">
        <v>314</v>
      </c>
      <c r="B267" s="78">
        <v>44964</v>
      </c>
      <c r="C267" s="47" t="s">
        <v>14</v>
      </c>
      <c r="E267" s="47">
        <v>283446</v>
      </c>
      <c r="G267" s="50" t="s">
        <v>244</v>
      </c>
      <c r="H267" s="51">
        <v>39.520000000000003</v>
      </c>
      <c r="K267" s="52">
        <f>Tabela6[[#This Row],[CONSUMO]]*Tabela6[[#This Row],[VALOR UNIT]]-Tabela6[[#This Row],[DESCONTO]]</f>
        <v>0</v>
      </c>
      <c r="L267" s="53">
        <f>Tabela6[[#This Row],[CUSTO TOTAL]]/Tabela6[[#This Row],[CONSUMO]]</f>
        <v>0</v>
      </c>
      <c r="M267" s="50">
        <f>Tabela6[[#This Row],[KM ATUAL]]-E266</f>
        <v>-309556</v>
      </c>
      <c r="N267" s="51">
        <f>Tabela6[[#This Row],[KM Rodados ]]/Tabela6[[#This Row],[CONSUMO]]</f>
        <v>-7832.894736842105</v>
      </c>
    </row>
    <row r="268" spans="1:14" x14ac:dyDescent="0.25">
      <c r="A268" s="47" t="s">
        <v>314</v>
      </c>
      <c r="B268" s="78">
        <v>44964</v>
      </c>
      <c r="C268" s="47" t="s">
        <v>15</v>
      </c>
      <c r="E268" s="47">
        <v>345038</v>
      </c>
      <c r="G268" s="50" t="s">
        <v>89</v>
      </c>
      <c r="H268" s="51">
        <v>99.52</v>
      </c>
      <c r="K268" s="52">
        <f>Tabela6[[#This Row],[CONSUMO]]*Tabela6[[#This Row],[VALOR UNIT]]-Tabela6[[#This Row],[DESCONTO]]</f>
        <v>0</v>
      </c>
      <c r="L268" s="53">
        <f>Tabela6[[#This Row],[CUSTO TOTAL]]/Tabela6[[#This Row],[CONSUMO]]</f>
        <v>0</v>
      </c>
      <c r="M268" s="50">
        <f>Tabela6[[#This Row],[KM ATUAL]]-E229</f>
        <v>29764</v>
      </c>
      <c r="N268" s="51">
        <f>Tabela6[[#This Row],[KM Rodados ]]/Tabela6[[#This Row],[CONSUMO]]</f>
        <v>299.07556270096467</v>
      </c>
    </row>
    <row r="269" spans="1:14" x14ac:dyDescent="0.25">
      <c r="A269" s="47">
        <v>160828</v>
      </c>
      <c r="B269" s="78">
        <v>44964</v>
      </c>
      <c r="C269" s="47" t="s">
        <v>15</v>
      </c>
      <c r="D269" s="49" t="s">
        <v>262</v>
      </c>
      <c r="E269" s="47">
        <v>345581</v>
      </c>
      <c r="G269" s="50" t="s">
        <v>89</v>
      </c>
      <c r="H269" s="51">
        <v>103.84</v>
      </c>
      <c r="J269" s="51">
        <v>6.18</v>
      </c>
      <c r="K269" s="52">
        <f>Tabela6[[#This Row],[CONSUMO]]*Tabela6[[#This Row],[VALOR UNIT]]-Tabela6[[#This Row],[DESCONTO]]</f>
        <v>641.73119999999994</v>
      </c>
      <c r="L269" s="53">
        <f>Tabela6[[#This Row],[CUSTO TOTAL]]/Tabela6[[#This Row],[CONSUMO]]</f>
        <v>6.1799999999999988</v>
      </c>
      <c r="M269" s="50">
        <f>Tabela6[[#This Row],[KM ATUAL]]-E268</f>
        <v>543</v>
      </c>
      <c r="N269" s="51">
        <f>Tabela6[[#This Row],[KM Rodados ]]/Tabela6[[#This Row],[CONSUMO]]</f>
        <v>5.2291987673343607</v>
      </c>
    </row>
    <row r="270" spans="1:14" x14ac:dyDescent="0.25">
      <c r="A270" s="47">
        <v>112278</v>
      </c>
      <c r="B270" s="78">
        <v>44964</v>
      </c>
      <c r="C270" s="47" t="s">
        <v>19</v>
      </c>
      <c r="D270" s="49" t="s">
        <v>268</v>
      </c>
      <c r="E270" s="47">
        <v>286655</v>
      </c>
      <c r="G270" s="50" t="s">
        <v>89</v>
      </c>
      <c r="H270" s="51">
        <v>197.21</v>
      </c>
      <c r="J270" s="51">
        <v>6.09</v>
      </c>
      <c r="K270" s="51">
        <f>Tabela6[[#This Row],[CONSUMO]]*Tabela6[[#This Row],[VALOR UNIT]]-Tabela6[[#This Row],[DESCONTO]]</f>
        <v>1201.0089</v>
      </c>
      <c r="L270" s="53">
        <f>Tabela6[[#This Row],[CUSTO TOTAL]]/Tabela6[[#This Row],[CONSUMO]]</f>
        <v>6.09</v>
      </c>
      <c r="M270" s="50">
        <f>Tabela6[[#This Row],[KM ATUAL]]-E204</f>
        <v>69391</v>
      </c>
      <c r="N270" s="51">
        <f>Tabela6[[#This Row],[KM Rodados ]]/Tabela6[[#This Row],[CONSUMO]]</f>
        <v>351.86349576593477</v>
      </c>
    </row>
    <row r="271" spans="1:14" x14ac:dyDescent="0.25">
      <c r="A271" s="47" t="s">
        <v>314</v>
      </c>
      <c r="B271" s="78">
        <v>44964</v>
      </c>
      <c r="C271" s="47" t="s">
        <v>20</v>
      </c>
      <c r="E271" s="47">
        <v>226864</v>
      </c>
      <c r="G271" s="50" t="s">
        <v>89</v>
      </c>
      <c r="H271" s="51">
        <v>77.52</v>
      </c>
      <c r="K271" s="52">
        <f>Tabela6[[#This Row],[CONSUMO]]*Tabela6[[#This Row],[VALOR UNIT]]-Tabela6[[#This Row],[DESCONTO]]</f>
        <v>0</v>
      </c>
      <c r="L271" s="53">
        <f>Tabela6[[#This Row],[CUSTO TOTAL]]/Tabela6[[#This Row],[CONSUMO]]</f>
        <v>0</v>
      </c>
      <c r="M271" s="50">
        <f>Tabela6[[#This Row],[KM ATUAL]]-E151</f>
        <v>126618</v>
      </c>
      <c r="N271" s="51">
        <f>Tabela6[[#This Row],[KM Rodados ]]/Tabela6[[#This Row],[CONSUMO]]</f>
        <v>1633.3591331269351</v>
      </c>
    </row>
    <row r="272" spans="1:14" x14ac:dyDescent="0.25">
      <c r="A272" s="47" t="s">
        <v>314</v>
      </c>
      <c r="B272" s="78">
        <v>44964</v>
      </c>
      <c r="C272" s="47" t="s">
        <v>20</v>
      </c>
      <c r="E272" s="47">
        <v>227440</v>
      </c>
      <c r="G272" s="50" t="s">
        <v>89</v>
      </c>
      <c r="H272" s="51">
        <v>76.3</v>
      </c>
      <c r="K272" s="52">
        <f>Tabela6[[#This Row],[CONSUMO]]*Tabela6[[#This Row],[VALOR UNIT]]-Tabela6[[#This Row],[DESCONTO]]</f>
        <v>0</v>
      </c>
      <c r="L272" s="53">
        <f>Tabela6[[#This Row],[CUSTO TOTAL]]/Tabela6[[#This Row],[CONSUMO]]</f>
        <v>0</v>
      </c>
      <c r="M272" s="50">
        <f>Tabela6[[#This Row],[KM ATUAL]]-E271</f>
        <v>576</v>
      </c>
      <c r="N272" s="51">
        <f>Tabela6[[#This Row],[KM Rodados ]]/Tabela6[[#This Row],[CONSUMO]]</f>
        <v>7.5491480996068159</v>
      </c>
    </row>
    <row r="273" spans="1:14" x14ac:dyDescent="0.25">
      <c r="A273" s="47">
        <v>160802</v>
      </c>
      <c r="B273" s="78">
        <v>44964</v>
      </c>
      <c r="C273" s="47" t="s">
        <v>20</v>
      </c>
      <c r="D273" s="49" t="s">
        <v>262</v>
      </c>
      <c r="E273" s="47">
        <v>228041</v>
      </c>
      <c r="G273" s="50" t="s">
        <v>89</v>
      </c>
      <c r="H273" s="51">
        <v>85.019000000000005</v>
      </c>
      <c r="J273" s="51">
        <v>6.18</v>
      </c>
      <c r="K273" s="52">
        <f>Tabela6[[#This Row],[CONSUMO]]*Tabela6[[#This Row],[VALOR UNIT]]-Tabela6[[#This Row],[DESCONTO]]</f>
        <v>525.41741999999999</v>
      </c>
      <c r="L273" s="53">
        <f>Tabela6[[#This Row],[CUSTO TOTAL]]/Tabela6[[#This Row],[CONSUMO]]</f>
        <v>6.18</v>
      </c>
      <c r="M273" s="50">
        <f>Tabela6[[#This Row],[KM ATUAL]]-E272</f>
        <v>601</v>
      </c>
      <c r="N273" s="51">
        <f>Tabela6[[#This Row],[KM Rodados ]]/Tabela6[[#This Row],[CONSUMO]]</f>
        <v>7.0690081040708543</v>
      </c>
    </row>
    <row r="274" spans="1:14" x14ac:dyDescent="0.25">
      <c r="A274" s="47">
        <v>253805</v>
      </c>
      <c r="B274" s="78">
        <v>44964</v>
      </c>
      <c r="C274" s="47" t="s">
        <v>23</v>
      </c>
      <c r="D274" s="49" t="s">
        <v>270</v>
      </c>
      <c r="E274" s="47">
        <v>208721</v>
      </c>
      <c r="G274" s="50" t="s">
        <v>89</v>
      </c>
      <c r="H274" s="51">
        <v>90.400999999999996</v>
      </c>
      <c r="J274" s="51">
        <v>6.09</v>
      </c>
      <c r="K274" s="51">
        <f>Tabela6[[#This Row],[CONSUMO]]*Tabela6[[#This Row],[VALOR UNIT]]-Tabela6[[#This Row],[DESCONTO]]</f>
        <v>550.54208999999992</v>
      </c>
      <c r="L274" s="53">
        <f>Tabela6[[#This Row],[CUSTO TOTAL]]/Tabela6[[#This Row],[CONSUMO]]</f>
        <v>6.089999999999999</v>
      </c>
      <c r="M274" s="50">
        <f>Tabela6[[#This Row],[KM ATUAL]]-E231</f>
        <v>-107424</v>
      </c>
      <c r="N274" s="51">
        <f>Tabela6[[#This Row],[KM Rodados ]]/Tabela6[[#This Row],[CONSUMO]]</f>
        <v>-1188.3054390991251</v>
      </c>
    </row>
    <row r="275" spans="1:14" x14ac:dyDescent="0.25">
      <c r="A275" s="47" t="s">
        <v>314</v>
      </c>
      <c r="B275" s="78">
        <v>44964</v>
      </c>
      <c r="C275" s="47" t="s">
        <v>40</v>
      </c>
      <c r="E275" s="47">
        <v>120654</v>
      </c>
      <c r="G275" s="50" t="s">
        <v>244</v>
      </c>
      <c r="H275" s="51">
        <v>39.5</v>
      </c>
      <c r="K275" s="52">
        <f>Tabela6[[#This Row],[CONSUMO]]*Tabela6[[#This Row],[VALOR UNIT]]-Tabela6[[#This Row],[DESCONTO]]</f>
        <v>0</v>
      </c>
      <c r="L275" s="53">
        <f>Tabela6[[#This Row],[CUSTO TOTAL]]/Tabela6[[#This Row],[CONSUMO]]</f>
        <v>0</v>
      </c>
      <c r="M275" s="50">
        <f>Tabela6[[#This Row],[KM ATUAL]]-E274</f>
        <v>-88067</v>
      </c>
      <c r="N275" s="51">
        <f>Tabela6[[#This Row],[KM Rodados ]]/Tabela6[[#This Row],[CONSUMO]]</f>
        <v>-2229.5443037974683</v>
      </c>
    </row>
    <row r="276" spans="1:14" x14ac:dyDescent="0.25">
      <c r="A276" s="47">
        <v>43424</v>
      </c>
      <c r="B276" s="78">
        <v>44964</v>
      </c>
      <c r="C276" s="47" t="s">
        <v>74</v>
      </c>
      <c r="D276" s="49" t="s">
        <v>263</v>
      </c>
      <c r="E276" s="47">
        <v>31422</v>
      </c>
      <c r="G276" s="50" t="s">
        <v>89</v>
      </c>
      <c r="H276" s="51">
        <v>75.31</v>
      </c>
      <c r="I276" s="49">
        <v>7.53</v>
      </c>
      <c r="J276" s="51">
        <v>6.14</v>
      </c>
      <c r="K276" s="52">
        <f>Tabela6[[#This Row],[CONSUMO]]*Tabela6[[#This Row],[VALOR UNIT]]-Tabela6[[#This Row],[DESCONTO]]</f>
        <v>454.8734</v>
      </c>
      <c r="L276" s="53">
        <f>Tabela6[[#This Row],[CUSTO TOTAL]]/Tabela6[[#This Row],[CONSUMO]]</f>
        <v>6.0400132784490772</v>
      </c>
      <c r="M276" s="50">
        <f>Tabela6[[#This Row],[KM ATUAL]]-E252</f>
        <v>-338831</v>
      </c>
      <c r="N276" s="51">
        <f>Tabela6[[#This Row],[KM Rodados ]]/Tabela6[[#This Row],[CONSUMO]]</f>
        <v>-4499.1501792590625</v>
      </c>
    </row>
    <row r="277" spans="1:14" x14ac:dyDescent="0.25">
      <c r="A277" s="47">
        <v>560968</v>
      </c>
      <c r="B277" s="78">
        <v>44965</v>
      </c>
      <c r="C277" s="47" t="s">
        <v>9</v>
      </c>
      <c r="D277" s="49" t="s">
        <v>271</v>
      </c>
      <c r="E277" s="47">
        <v>588690</v>
      </c>
      <c r="G277" s="50" t="s">
        <v>89</v>
      </c>
      <c r="H277" s="51">
        <v>110</v>
      </c>
      <c r="J277" s="51">
        <v>5.99</v>
      </c>
      <c r="K277" s="51">
        <f>Tabela6[[#This Row],[CONSUMO]]*Tabela6[[#This Row],[VALOR UNIT]]-Tabela6[[#This Row],[DESCONTO]]</f>
        <v>658.9</v>
      </c>
      <c r="L277" s="53">
        <f>Tabela6[[#This Row],[CUSTO TOTAL]]/Tabela6[[#This Row],[CONSUMO]]</f>
        <v>5.99</v>
      </c>
      <c r="M277" s="50">
        <f>Tabela6[[#This Row],[KM ATUAL]]-E249</f>
        <v>437</v>
      </c>
      <c r="N277" s="51">
        <f>Tabela6[[#This Row],[KM Rodados ]]/Tabela6[[#This Row],[CONSUMO]]</f>
        <v>3.9727272727272727</v>
      </c>
    </row>
    <row r="278" spans="1:14" x14ac:dyDescent="0.25">
      <c r="A278" s="47">
        <v>254119</v>
      </c>
      <c r="B278" s="78">
        <v>44965</v>
      </c>
      <c r="C278" s="47" t="s">
        <v>67</v>
      </c>
      <c r="D278" s="49" t="s">
        <v>270</v>
      </c>
      <c r="E278" s="47">
        <v>652459</v>
      </c>
      <c r="G278" s="50" t="s">
        <v>89</v>
      </c>
      <c r="H278" s="51">
        <v>115.4</v>
      </c>
      <c r="J278" s="51">
        <v>6.09</v>
      </c>
      <c r="K278" s="51">
        <f>Tabela6[[#This Row],[CONSUMO]]*Tabela6[[#This Row],[VALOR UNIT]]-Tabela6[[#This Row],[DESCONTO]]</f>
        <v>702.78600000000006</v>
      </c>
      <c r="L278" s="53">
        <f>Tabela6[[#This Row],[CUSTO TOTAL]]/Tabela6[[#This Row],[CONSUMO]]</f>
        <v>6.09</v>
      </c>
      <c r="M278" s="50">
        <f>Tabela6[[#This Row],[KM ATUAL]]-E250</f>
        <v>452</v>
      </c>
      <c r="N278" s="51">
        <f>Tabela6[[#This Row],[KM Rodados ]]/Tabela6[[#This Row],[CONSUMO]]</f>
        <v>3.9168110918544192</v>
      </c>
    </row>
    <row r="279" spans="1:14" x14ac:dyDescent="0.25">
      <c r="A279" s="47">
        <v>295470</v>
      </c>
      <c r="B279" s="78">
        <v>44965</v>
      </c>
      <c r="C279" s="47" t="s">
        <v>39</v>
      </c>
      <c r="D279" s="49" t="s">
        <v>253</v>
      </c>
      <c r="E279" s="47">
        <v>78307</v>
      </c>
      <c r="G279" s="50" t="s">
        <v>89</v>
      </c>
      <c r="H279" s="51">
        <v>104.81</v>
      </c>
      <c r="J279" s="51">
        <v>6.69</v>
      </c>
      <c r="K279" s="52">
        <f>Tabela6[[#This Row],[CONSUMO]]*Tabela6[[#This Row],[VALOR UNIT]]-Tabela6[[#This Row],[DESCONTO]]</f>
        <v>701.17890000000011</v>
      </c>
      <c r="L279" s="53">
        <f>Tabela6[[#This Row],[CUSTO TOTAL]]/Tabela6[[#This Row],[CONSUMO]]</f>
        <v>6.6900000000000013</v>
      </c>
      <c r="M279" s="50">
        <f>Tabela6[[#This Row],[KM ATUAL]]-E242</f>
        <v>-130014</v>
      </c>
      <c r="N279" s="51">
        <f>Tabela6[[#This Row],[KM Rodados ]]/Tabela6[[#This Row],[CONSUMO]]</f>
        <v>-1240.4732372865185</v>
      </c>
    </row>
    <row r="280" spans="1:14" x14ac:dyDescent="0.25">
      <c r="A280" s="47">
        <v>161162</v>
      </c>
      <c r="B280" s="78">
        <v>44965</v>
      </c>
      <c r="C280" s="47" t="s">
        <v>70</v>
      </c>
      <c r="D280" s="49" t="s">
        <v>262</v>
      </c>
      <c r="E280" s="47">
        <v>178037</v>
      </c>
      <c r="G280" s="50" t="s">
        <v>89</v>
      </c>
      <c r="H280" s="51">
        <v>186.91</v>
      </c>
      <c r="J280" s="51">
        <v>6.09</v>
      </c>
      <c r="K280" s="52">
        <f>Tabela6[[#This Row],[CONSUMO]]*Tabela6[[#This Row],[VALOR UNIT]]-Tabela6[[#This Row],[DESCONTO]]</f>
        <v>1138.2819</v>
      </c>
      <c r="L280" s="53">
        <f>Tabela6[[#This Row],[CUSTO TOTAL]]/Tabela6[[#This Row],[CONSUMO]]</f>
        <v>6.09</v>
      </c>
      <c r="M280" s="50">
        <f>Tabela6[[#This Row],[KM ATUAL]]-E260</f>
        <v>386</v>
      </c>
      <c r="N280" s="51">
        <f>Tabela6[[#This Row],[KM Rodados ]]/Tabela6[[#This Row],[CONSUMO]]</f>
        <v>2.0651650526991601</v>
      </c>
    </row>
    <row r="281" spans="1:14" x14ac:dyDescent="0.25">
      <c r="A281" s="47">
        <v>268071</v>
      </c>
      <c r="B281" s="78">
        <v>44965</v>
      </c>
      <c r="C281" s="47" t="s">
        <v>203</v>
      </c>
      <c r="D281" s="49" t="s">
        <v>276</v>
      </c>
      <c r="E281" s="47">
        <v>75132</v>
      </c>
      <c r="G281" s="50" t="s">
        <v>244</v>
      </c>
      <c r="H281" s="51">
        <v>12.379</v>
      </c>
      <c r="J281" s="51">
        <v>5.09</v>
      </c>
      <c r="K281" s="51">
        <f>Tabela6[[#This Row],[CONSUMO]]*Tabela6[[#This Row],[VALOR UNIT]]-Tabela6[[#This Row],[DESCONTO]]</f>
        <v>63.009109999999993</v>
      </c>
      <c r="L281" s="53">
        <f>Tabela6[[#This Row],[CUSTO TOTAL]]/Tabela6[[#This Row],[CONSUMO]]</f>
        <v>5.09</v>
      </c>
      <c r="M281" s="50">
        <f>Tabela6[[#This Row],[KM ATUAL]]-E225</f>
        <v>-27455</v>
      </c>
      <c r="N281" s="51">
        <f>Tabela6[[#This Row],[KM Rodados ]]/Tabela6[[#This Row],[CONSUMO]]</f>
        <v>-2217.8689716455287</v>
      </c>
    </row>
    <row r="282" spans="1:14" x14ac:dyDescent="0.25">
      <c r="A282" s="47">
        <v>295526</v>
      </c>
      <c r="B282" s="78">
        <v>44965</v>
      </c>
      <c r="C282" s="47" t="s">
        <v>21</v>
      </c>
      <c r="D282" s="49" t="s">
        <v>253</v>
      </c>
      <c r="E282" s="47">
        <v>127335</v>
      </c>
      <c r="G282" s="50" t="s">
        <v>89</v>
      </c>
      <c r="H282" s="51">
        <v>154.31</v>
      </c>
      <c r="I282" s="49">
        <v>46.29</v>
      </c>
      <c r="J282" s="51">
        <v>6.69</v>
      </c>
      <c r="K282" s="52">
        <f>Tabela6[[#This Row],[CONSUMO]]*Tabela6[[#This Row],[VALOR UNIT]]-Tabela6[[#This Row],[DESCONTO]]</f>
        <v>986.04390000000012</v>
      </c>
      <c r="L282" s="53">
        <f>Tabela6[[#This Row],[CUSTO TOTAL]]/Tabela6[[#This Row],[CONSUMO]]</f>
        <v>6.3900194413842275</v>
      </c>
      <c r="M282" s="50">
        <f>Tabela6[[#This Row],[KM ATUAL]]-E245</f>
        <v>7102</v>
      </c>
      <c r="N282" s="51">
        <f>Tabela6[[#This Row],[KM Rodados ]]/Tabela6[[#This Row],[CONSUMO]]</f>
        <v>46.024236925669108</v>
      </c>
    </row>
    <row r="283" spans="1:14" x14ac:dyDescent="0.25">
      <c r="A283" s="47" t="s">
        <v>314</v>
      </c>
      <c r="B283" s="78">
        <v>44965</v>
      </c>
      <c r="C283" s="47" t="s">
        <v>41</v>
      </c>
      <c r="E283" s="47">
        <v>646026</v>
      </c>
      <c r="G283" s="50" t="s">
        <v>89</v>
      </c>
      <c r="H283" s="51">
        <v>181.56299999999999</v>
      </c>
      <c r="K283" s="52">
        <f>Tabela6[[#This Row],[CONSUMO]]*Tabela6[[#This Row],[VALOR UNIT]]-Tabela6[[#This Row],[DESCONTO]]</f>
        <v>0</v>
      </c>
      <c r="L283" s="53">
        <f>Tabela6[[#This Row],[CUSTO TOTAL]]/Tabela6[[#This Row],[CONSUMO]]</f>
        <v>0</v>
      </c>
      <c r="M283" s="50">
        <f>Tabela6[[#This Row],[KM ATUAL]]-E208</f>
        <v>520091</v>
      </c>
      <c r="N283" s="51">
        <f>Tabela6[[#This Row],[KM Rodados ]]/Tabela6[[#This Row],[CONSUMO]]</f>
        <v>2864.5208550200209</v>
      </c>
    </row>
    <row r="284" spans="1:14" x14ac:dyDescent="0.25">
      <c r="A284" s="47">
        <v>161056</v>
      </c>
      <c r="B284" s="78">
        <v>44965</v>
      </c>
      <c r="C284" s="47" t="s">
        <v>41</v>
      </c>
      <c r="D284" s="49" t="s">
        <v>262</v>
      </c>
      <c r="E284" s="47">
        <v>646773</v>
      </c>
      <c r="G284" s="50" t="s">
        <v>89</v>
      </c>
      <c r="H284" s="51">
        <v>182.62899999999999</v>
      </c>
      <c r="J284" s="51">
        <v>5.99</v>
      </c>
      <c r="K284" s="52">
        <f>Tabela6[[#This Row],[CONSUMO]]*Tabela6[[#This Row],[VALOR UNIT]]-Tabela6[[#This Row],[DESCONTO]]</f>
        <v>1093.9477099999999</v>
      </c>
      <c r="L284" s="53">
        <f>Tabela6[[#This Row],[CUSTO TOTAL]]/Tabela6[[#This Row],[CONSUMO]]</f>
        <v>5.99</v>
      </c>
      <c r="M284" s="50">
        <f>Tabela6[[#This Row],[KM ATUAL]]-E283</f>
        <v>747</v>
      </c>
      <c r="N284" s="51">
        <f>Tabela6[[#This Row],[KM Rodados ]]/Tabela6[[#This Row],[CONSUMO]]</f>
        <v>4.0902594878140937</v>
      </c>
    </row>
    <row r="285" spans="1:14" x14ac:dyDescent="0.25">
      <c r="A285" s="47">
        <v>590621</v>
      </c>
      <c r="B285" s="78">
        <v>44965</v>
      </c>
      <c r="C285" s="47" t="s">
        <v>13</v>
      </c>
      <c r="D285" s="49" t="s">
        <v>250</v>
      </c>
      <c r="E285" s="47">
        <v>593594</v>
      </c>
      <c r="G285" s="50" t="s">
        <v>89</v>
      </c>
      <c r="H285" s="51">
        <v>124.389</v>
      </c>
      <c r="J285" s="51">
        <v>6.19</v>
      </c>
      <c r="K285" s="52">
        <f>Tabela6[[#This Row],[CONSUMO]]*Tabela6[[#This Row],[VALOR UNIT]]-Tabela6[[#This Row],[DESCONTO]]</f>
        <v>769.96791000000007</v>
      </c>
      <c r="L285" s="53">
        <f>Tabela6[[#This Row],[CUSTO TOTAL]]/Tabela6[[#This Row],[CONSUMO]]</f>
        <v>6.19</v>
      </c>
      <c r="M285" s="50">
        <f>Tabela6[[#This Row],[KM ATUAL]]-E284</f>
        <v>-53179</v>
      </c>
      <c r="N285" s="51">
        <f>Tabela6[[#This Row],[KM Rodados ]]/Tabela6[[#This Row],[CONSUMO]]</f>
        <v>-427.52172619765417</v>
      </c>
    </row>
    <row r="286" spans="1:14" x14ac:dyDescent="0.25">
      <c r="A286" s="47">
        <v>436272</v>
      </c>
      <c r="B286" s="78">
        <v>44965</v>
      </c>
      <c r="C286" s="47" t="s">
        <v>19</v>
      </c>
      <c r="D286" s="49" t="s">
        <v>259</v>
      </c>
      <c r="E286" s="47">
        <v>287675</v>
      </c>
      <c r="G286" s="50" t="s">
        <v>89</v>
      </c>
      <c r="H286" s="51">
        <v>180</v>
      </c>
      <c r="J286" s="51">
        <v>5.99</v>
      </c>
      <c r="K286" s="51">
        <f>Tabela6[[#This Row],[CONSUMO]]*Tabela6[[#This Row],[VALOR UNIT]]-Tabela6[[#This Row],[DESCONTO]]</f>
        <v>1078.2</v>
      </c>
      <c r="L286" s="53">
        <f>Tabela6[[#This Row],[CUSTO TOTAL]]/Tabela6[[#This Row],[CONSUMO]]</f>
        <v>5.99</v>
      </c>
      <c r="M286" s="50">
        <f>Tabela6[[#This Row],[KM ATUAL]]-E277</f>
        <v>-301015</v>
      </c>
      <c r="N286" s="51">
        <f>Tabela6[[#This Row],[KM Rodados ]]/Tabela6[[#This Row],[CONSUMO]]</f>
        <v>-1672.3055555555557</v>
      </c>
    </row>
    <row r="287" spans="1:14" x14ac:dyDescent="0.25">
      <c r="A287" s="47">
        <v>560570</v>
      </c>
      <c r="B287" s="78">
        <v>44965</v>
      </c>
      <c r="C287" s="47" t="s">
        <v>20</v>
      </c>
      <c r="D287" s="49" t="s">
        <v>271</v>
      </c>
      <c r="E287" s="47">
        <v>228587</v>
      </c>
      <c r="G287" s="50" t="s">
        <v>89</v>
      </c>
      <c r="H287" s="51">
        <v>68.633099999999999</v>
      </c>
      <c r="J287" s="51">
        <v>6.09</v>
      </c>
      <c r="K287" s="51">
        <f>Tabela6[[#This Row],[CONSUMO]]*Tabela6[[#This Row],[VALOR UNIT]]-Tabela6[[#This Row],[DESCONTO]]</f>
        <v>417.97557899999998</v>
      </c>
      <c r="L287" s="53">
        <f>Tabela6[[#This Row],[CUSTO TOTAL]]/Tabela6[[#This Row],[CONSUMO]]</f>
        <v>6.09</v>
      </c>
      <c r="M287" s="50">
        <f>Tabela6[[#This Row],[KM ATUAL]]-E265</f>
        <v>-156603</v>
      </c>
      <c r="N287" s="51">
        <f>Tabela6[[#This Row],[KM Rodados ]]/Tabela6[[#This Row],[CONSUMO]]</f>
        <v>-2281.7416086407288</v>
      </c>
    </row>
    <row r="288" spans="1:14" x14ac:dyDescent="0.25">
      <c r="A288" s="47">
        <v>512500</v>
      </c>
      <c r="B288" s="78">
        <v>44965</v>
      </c>
      <c r="C288" s="47" t="s">
        <v>38</v>
      </c>
      <c r="D288" s="49" t="s">
        <v>255</v>
      </c>
      <c r="E288" s="47">
        <v>124660</v>
      </c>
      <c r="G288" s="50" t="s">
        <v>244</v>
      </c>
      <c r="H288" s="51">
        <v>51.441000000000003</v>
      </c>
      <c r="J288" s="51">
        <v>5.22</v>
      </c>
      <c r="K288" s="51">
        <f>Tabela6[[#This Row],[CONSUMO]]*Tabela6[[#This Row],[VALOR UNIT]]-Tabela6[[#This Row],[DESCONTO]]</f>
        <v>268.52202</v>
      </c>
      <c r="L288" s="53">
        <f>Tabela6[[#This Row],[CUSTO TOTAL]]/Tabela6[[#This Row],[CONSUMO]]</f>
        <v>5.22</v>
      </c>
      <c r="M288" s="50">
        <f>Tabela6[[#This Row],[KM ATUAL]]-E191</f>
        <v>44547</v>
      </c>
      <c r="N288" s="51">
        <f>Tabela6[[#This Row],[KM Rodados ]]/Tabela6[[#This Row],[CONSUMO]]</f>
        <v>865.98238758966579</v>
      </c>
    </row>
    <row r="289" spans="1:14" x14ac:dyDescent="0.25">
      <c r="A289" s="47">
        <v>161362</v>
      </c>
      <c r="B289" s="78">
        <v>44966</v>
      </c>
      <c r="C289" s="47" t="s">
        <v>43</v>
      </c>
      <c r="D289" s="49" t="s">
        <v>262</v>
      </c>
      <c r="E289" s="47">
        <v>103755</v>
      </c>
      <c r="G289" s="50" t="s">
        <v>89</v>
      </c>
      <c r="H289" s="51">
        <v>42.048999999999999</v>
      </c>
      <c r="J289" s="51">
        <v>6.09</v>
      </c>
      <c r="K289" s="51">
        <f>Tabela6[[#This Row],[CONSUMO]]*Tabela6[[#This Row],[VALOR UNIT]]-Tabela6[[#This Row],[DESCONTO]]</f>
        <v>256.07840999999996</v>
      </c>
      <c r="L289" s="53">
        <f>Tabela6[[#This Row],[CUSTO TOTAL]]/Tabela6[[#This Row],[CONSUMO]]</f>
        <v>6.089999999999999</v>
      </c>
      <c r="M289" s="50">
        <f>Tabela6[[#This Row],[KM ATUAL]]-E255</f>
        <v>-811549</v>
      </c>
      <c r="N289" s="72">
        <f>Tabela6[[#This Row],[KM Rodados ]]/Tabela6[[#This Row],[CONSUMO]]</f>
        <v>-19300.078479868724</v>
      </c>
    </row>
    <row r="290" spans="1:14" x14ac:dyDescent="0.25">
      <c r="A290" s="47" t="s">
        <v>314</v>
      </c>
      <c r="B290" s="78">
        <v>44966</v>
      </c>
      <c r="C290" s="47" t="s">
        <v>203</v>
      </c>
      <c r="E290" s="47">
        <v>75789</v>
      </c>
      <c r="G290" s="50" t="s">
        <v>244</v>
      </c>
      <c r="H290" s="51">
        <v>42</v>
      </c>
      <c r="K290" s="52">
        <f>Tabela6[[#This Row],[CONSUMO]]*Tabela6[[#This Row],[VALOR UNIT]]-Tabela6[[#This Row],[DESCONTO]]</f>
        <v>0</v>
      </c>
      <c r="L290" s="53">
        <f>Tabela6[[#This Row],[CUSTO TOTAL]]/Tabela6[[#This Row],[CONSUMO]]</f>
        <v>0</v>
      </c>
      <c r="M290" s="50">
        <f>Tabela6[[#This Row],[KM ATUAL]]-E264</f>
        <v>-308822</v>
      </c>
      <c r="N290" s="51">
        <f>Tabela6[[#This Row],[KM Rodados ]]/Tabela6[[#This Row],[CONSUMO]]</f>
        <v>-7352.9047619047615</v>
      </c>
    </row>
    <row r="291" spans="1:14" x14ac:dyDescent="0.25">
      <c r="A291" s="47">
        <v>161280</v>
      </c>
      <c r="B291" s="78">
        <v>44966</v>
      </c>
      <c r="C291" s="47" t="s">
        <v>72</v>
      </c>
      <c r="D291" s="49" t="s">
        <v>262</v>
      </c>
      <c r="E291" s="47">
        <v>370572</v>
      </c>
      <c r="G291" s="50" t="s">
        <v>89</v>
      </c>
      <c r="H291" s="51">
        <v>46.149000000000001</v>
      </c>
      <c r="J291" s="51">
        <v>6.09</v>
      </c>
      <c r="K291" s="51">
        <f>Tabela6[[#This Row],[CONSUMO]]*Tabela6[[#This Row],[VALOR UNIT]]-Tabela6[[#This Row],[DESCONTO]]</f>
        <v>281.04741000000001</v>
      </c>
      <c r="L291" s="53">
        <f>Tabela6[[#This Row],[CUSTO TOTAL]]/Tabela6[[#This Row],[CONSUMO]]</f>
        <v>6.09</v>
      </c>
      <c r="M291" s="50">
        <f>Tabela6[[#This Row],[KM ATUAL]]-E254</f>
        <v>-544732</v>
      </c>
      <c r="N291" s="51">
        <f>Tabela6[[#This Row],[KM Rodados ]]/Tabela6[[#This Row],[CONSUMO]]</f>
        <v>-11803.766062103186</v>
      </c>
    </row>
    <row r="292" spans="1:14" x14ac:dyDescent="0.25">
      <c r="A292" s="47" t="s">
        <v>314</v>
      </c>
      <c r="B292" s="78">
        <v>44966</v>
      </c>
      <c r="C292" s="47" t="s">
        <v>17</v>
      </c>
      <c r="E292" s="47">
        <v>336168</v>
      </c>
      <c r="G292" s="50" t="s">
        <v>89</v>
      </c>
      <c r="H292" s="51">
        <v>206.3</v>
      </c>
      <c r="K292" s="52">
        <f>Tabela6[[#This Row],[CONSUMO]]*Tabela6[[#This Row],[VALOR UNIT]]-Tabela6[[#This Row],[DESCONTO]]</f>
        <v>0</v>
      </c>
      <c r="L292" s="53">
        <f>Tabela6[[#This Row],[CUSTO TOTAL]]/Tabela6[[#This Row],[CONSUMO]]</f>
        <v>0</v>
      </c>
      <c r="M292" s="50">
        <f>Tabela6[[#This Row],[KM ATUAL]]-E143</f>
        <v>-533356</v>
      </c>
      <c r="N292" s="51">
        <f>Tabela6[[#This Row],[KM Rodados ]]/Tabela6[[#This Row],[CONSUMO]]</f>
        <v>-2585.3417353368877</v>
      </c>
    </row>
    <row r="293" spans="1:14" x14ac:dyDescent="0.25">
      <c r="A293" s="47">
        <v>296187</v>
      </c>
      <c r="B293" s="78">
        <v>44966</v>
      </c>
      <c r="C293" s="47" t="s">
        <v>17</v>
      </c>
      <c r="D293" s="49" t="s">
        <v>253</v>
      </c>
      <c r="E293" s="47">
        <v>337138</v>
      </c>
      <c r="G293" s="50" t="s">
        <v>89</v>
      </c>
      <c r="H293" s="51">
        <v>192.34</v>
      </c>
      <c r="I293" s="49">
        <v>57.7</v>
      </c>
      <c r="J293" s="51">
        <v>6.69</v>
      </c>
      <c r="K293" s="52">
        <f>Tabela6[[#This Row],[CONSUMO]]*Tabela6[[#This Row],[VALOR UNIT]]-Tabela6[[#This Row],[DESCONTO]]</f>
        <v>1229.0546000000002</v>
      </c>
      <c r="L293" s="53">
        <f>Tabela6[[#This Row],[CUSTO TOTAL]]/Tabela6[[#This Row],[CONSUMO]]</f>
        <v>6.3900103982530938</v>
      </c>
      <c r="M293" s="50">
        <f>Tabela6[[#This Row],[KM ATUAL]]-E292</f>
        <v>970</v>
      </c>
      <c r="N293" s="51">
        <f>Tabela6[[#This Row],[KM Rodados ]]/Tabela6[[#This Row],[CONSUMO]]</f>
        <v>5.043152750337943</v>
      </c>
    </row>
    <row r="294" spans="1:14" x14ac:dyDescent="0.25">
      <c r="A294" s="47">
        <v>52538</v>
      </c>
      <c r="B294" s="78">
        <v>44966</v>
      </c>
      <c r="C294" s="47" t="s">
        <v>23</v>
      </c>
      <c r="D294" s="49" t="s">
        <v>259</v>
      </c>
      <c r="E294" s="47">
        <v>209270</v>
      </c>
      <c r="G294" s="50" t="s">
        <v>89</v>
      </c>
      <c r="H294" s="51">
        <v>120.35</v>
      </c>
      <c r="J294" s="51">
        <v>5.99</v>
      </c>
      <c r="K294" s="51">
        <f>Tabela6[[#This Row],[CONSUMO]]*Tabela6[[#This Row],[VALOR UNIT]]-Tabela6[[#This Row],[DESCONTO]]</f>
        <v>720.89649999999995</v>
      </c>
      <c r="L294" s="53">
        <f>Tabela6[[#This Row],[CUSTO TOTAL]]/Tabela6[[#This Row],[CONSUMO]]</f>
        <v>5.99</v>
      </c>
      <c r="M294" s="50">
        <f>Tabela6[[#This Row],[KM ATUAL]]-E274</f>
        <v>549</v>
      </c>
      <c r="N294" s="51">
        <f>Tabela6[[#This Row],[KM Rodados ]]/Tabela6[[#This Row],[CONSUMO]]</f>
        <v>4.5616950560864149</v>
      </c>
    </row>
    <row r="295" spans="1:14" x14ac:dyDescent="0.25">
      <c r="A295" s="47" t="s">
        <v>314</v>
      </c>
      <c r="B295" s="78">
        <v>44966</v>
      </c>
      <c r="C295" s="47" t="s">
        <v>40</v>
      </c>
      <c r="E295" s="47">
        <v>121090</v>
      </c>
      <c r="G295" s="50" t="s">
        <v>244</v>
      </c>
      <c r="H295" s="51">
        <v>37.42</v>
      </c>
      <c r="K295" s="52">
        <f>Tabela6[[#This Row],[CONSUMO]]*Tabela6[[#This Row],[VALOR UNIT]]-Tabela6[[#This Row],[DESCONTO]]</f>
        <v>0</v>
      </c>
      <c r="L295" s="53">
        <f>Tabela6[[#This Row],[CUSTO TOTAL]]/Tabela6[[#This Row],[CONSUMO]]</f>
        <v>0</v>
      </c>
      <c r="M295" s="50">
        <f>Tabela6[[#This Row],[KM ATUAL]]-E294</f>
        <v>-88180</v>
      </c>
      <c r="N295" s="51">
        <f>Tabela6[[#This Row],[KM Rodados ]]/Tabela6[[#This Row],[CONSUMO]]</f>
        <v>-2356.4938535542487</v>
      </c>
    </row>
    <row r="296" spans="1:14" x14ac:dyDescent="0.25">
      <c r="A296" s="47">
        <v>591184</v>
      </c>
      <c r="B296" s="78">
        <v>44966</v>
      </c>
      <c r="C296" s="47" t="s">
        <v>74</v>
      </c>
      <c r="D296" s="49" t="s">
        <v>250</v>
      </c>
      <c r="E296" s="47">
        <v>32031</v>
      </c>
      <c r="G296" s="50" t="s">
        <v>89</v>
      </c>
      <c r="H296" s="51">
        <v>69.721000000000004</v>
      </c>
      <c r="J296" s="51">
        <v>6.19</v>
      </c>
      <c r="K296" s="51">
        <f>Tabela6[[#This Row],[CONSUMO]]*Tabela6[[#This Row],[VALOR UNIT]]-Tabela6[[#This Row],[DESCONTO]]</f>
        <v>431.57299000000006</v>
      </c>
      <c r="L296" s="53">
        <f>Tabela6[[#This Row],[CUSTO TOTAL]]/Tabela6[[#This Row],[CONSUMO]]</f>
        <v>6.19</v>
      </c>
      <c r="M296" s="50">
        <f>Tabela6[[#This Row],[KM ATUAL]]-E280</f>
        <v>-146006</v>
      </c>
      <c r="N296" s="51">
        <f>Tabela6[[#This Row],[KM Rodados ]]/Tabela6[[#This Row],[CONSUMO]]</f>
        <v>-2094.1466703001965</v>
      </c>
    </row>
    <row r="297" spans="1:14" x14ac:dyDescent="0.25">
      <c r="A297" s="47">
        <v>45047</v>
      </c>
      <c r="B297" s="78">
        <v>44967</v>
      </c>
      <c r="C297" s="47" t="s">
        <v>68</v>
      </c>
      <c r="D297" s="49" t="s">
        <v>263</v>
      </c>
      <c r="E297" s="47">
        <v>860021</v>
      </c>
      <c r="G297" s="50" t="s">
        <v>89</v>
      </c>
      <c r="H297" s="51">
        <v>516.29</v>
      </c>
      <c r="I297" s="49">
        <v>51.63</v>
      </c>
      <c r="J297" s="51">
        <v>5.87</v>
      </c>
      <c r="K297" s="51">
        <f>Tabela6[[#This Row],[CONSUMO]]*Tabela6[[#This Row],[VALOR UNIT]]-Tabela6[[#This Row],[DESCONTO]]</f>
        <v>2978.9922999999999</v>
      </c>
      <c r="L297" s="53">
        <f>Tabela6[[#This Row],[CUSTO TOTAL]]/Tabela6[[#This Row],[CONSUMO]]</f>
        <v>5.7699980631040697</v>
      </c>
      <c r="M297" s="50">
        <f>Tabela6[[#This Row],[KM ATUAL]]-E265</f>
        <v>474831</v>
      </c>
      <c r="N297" s="51">
        <f>Tabela6[[#This Row],[KM Rodados ]]/Tabela6[[#This Row],[CONSUMO]]</f>
        <v>919.69823161401541</v>
      </c>
    </row>
    <row r="298" spans="1:14" x14ac:dyDescent="0.25">
      <c r="A298" s="47" t="s">
        <v>314</v>
      </c>
      <c r="B298" s="78">
        <v>44967</v>
      </c>
      <c r="C298" s="47" t="s">
        <v>22</v>
      </c>
      <c r="E298" s="47">
        <v>316732</v>
      </c>
      <c r="G298" s="50" t="s">
        <v>89</v>
      </c>
      <c r="H298" s="51">
        <v>136.4</v>
      </c>
      <c r="K298" s="74">
        <f>Tabela6[[#This Row],[CONSUMO]]*Tabela6[[#This Row],[VALOR UNIT]]-Tabela6[[#This Row],[DESCONTO]]</f>
        <v>0</v>
      </c>
      <c r="L298" s="53">
        <f>Tabela6[[#This Row],[CUSTO TOTAL]]/Tabela6[[#This Row],[CONSUMO]]</f>
        <v>0</v>
      </c>
      <c r="M298" s="50">
        <f>Tabela6[[#This Row],[KM ATUAL]]-E234</f>
        <v>209033</v>
      </c>
      <c r="N298" s="51">
        <f>Tabela6[[#This Row],[KM Rodados ]]/Tabela6[[#This Row],[CONSUMO]]</f>
        <v>1532.5</v>
      </c>
    </row>
    <row r="299" spans="1:14" x14ac:dyDescent="0.25">
      <c r="A299" s="47">
        <v>297159</v>
      </c>
      <c r="B299" s="78">
        <v>44967</v>
      </c>
      <c r="C299" s="47" t="s">
        <v>22</v>
      </c>
      <c r="D299" s="49" t="s">
        <v>253</v>
      </c>
      <c r="E299" s="47">
        <v>317320</v>
      </c>
      <c r="G299" s="50" t="s">
        <v>89</v>
      </c>
      <c r="H299" s="51">
        <v>135.04</v>
      </c>
      <c r="I299" s="49">
        <v>40.51</v>
      </c>
      <c r="J299" s="51">
        <v>6.39</v>
      </c>
      <c r="K299" s="74">
        <f>Tabela6[[#This Row],[CONSUMO]]*Tabela6[[#This Row],[VALOR UNIT]]-Tabela6[[#This Row],[DESCONTO]]</f>
        <v>822.39559999999994</v>
      </c>
      <c r="L299" s="53">
        <f>Tabela6[[#This Row],[CUSTO TOTAL]]/Tabela6[[#This Row],[CONSUMO]]</f>
        <v>6.0900148104265401</v>
      </c>
      <c r="M299" s="50">
        <f>Tabela6[[#This Row],[KM ATUAL]]-E298</f>
        <v>588</v>
      </c>
      <c r="N299" s="51">
        <f>Tabela6[[#This Row],[KM Rodados ]]/Tabela6[[#This Row],[CONSUMO]]</f>
        <v>4.3542654028436019</v>
      </c>
    </row>
    <row r="300" spans="1:14" x14ac:dyDescent="0.25">
      <c r="A300" s="47">
        <v>44793</v>
      </c>
      <c r="B300" s="78">
        <v>44967</v>
      </c>
      <c r="C300" s="47" t="s">
        <v>203</v>
      </c>
      <c r="D300" s="49" t="s">
        <v>263</v>
      </c>
      <c r="E300" s="47">
        <v>76376</v>
      </c>
      <c r="G300" s="50" t="s">
        <v>244</v>
      </c>
      <c r="H300" s="51">
        <v>36.72</v>
      </c>
      <c r="J300" s="51">
        <v>4.99</v>
      </c>
      <c r="K300" s="52">
        <f>Tabela6[[#This Row],[CONSUMO]]*Tabela6[[#This Row],[VALOR UNIT]]-Tabela6[[#This Row],[DESCONTO]]</f>
        <v>183.2328</v>
      </c>
      <c r="L300" s="53">
        <f>Tabela6[[#This Row],[CUSTO TOTAL]]/Tabela6[[#This Row],[CONSUMO]]</f>
        <v>4.99</v>
      </c>
      <c r="M300" s="50">
        <f>Tabela6[[#This Row],[KM ATUAL]]-E299</f>
        <v>-240944</v>
      </c>
      <c r="N300" s="51">
        <f>Tabela6[[#This Row],[KM Rodados ]]/Tabela6[[#This Row],[CONSUMO]]</f>
        <v>-6561.6557734204798</v>
      </c>
    </row>
    <row r="301" spans="1:14" x14ac:dyDescent="0.25">
      <c r="A301" s="47">
        <v>161442</v>
      </c>
      <c r="B301" s="78">
        <v>44967</v>
      </c>
      <c r="C301" s="47" t="s">
        <v>72</v>
      </c>
      <c r="D301" s="49" t="s">
        <v>262</v>
      </c>
      <c r="E301" s="47">
        <v>370872</v>
      </c>
      <c r="G301" s="50" t="s">
        <v>89</v>
      </c>
      <c r="H301" s="51">
        <v>40.290999999999997</v>
      </c>
      <c r="J301" s="51">
        <v>6.09</v>
      </c>
      <c r="K301" s="51">
        <f>Tabela6[[#This Row],[CONSUMO]]*Tabela6[[#This Row],[VALOR UNIT]]-Tabela6[[#This Row],[DESCONTO]]</f>
        <v>245.37218999999996</v>
      </c>
      <c r="L301" s="53">
        <f>Tabela6[[#This Row],[CUSTO TOTAL]]/Tabela6[[#This Row],[CONSUMO]]</f>
        <v>6.09</v>
      </c>
      <c r="M301" s="50">
        <f>Tabela6[[#This Row],[KM ATUAL]]-E293</f>
        <v>33734</v>
      </c>
      <c r="N301" s="51">
        <f>Tabela6[[#This Row],[KM Rodados ]]/Tabela6[[#This Row],[CONSUMO]]</f>
        <v>837.25894120275007</v>
      </c>
    </row>
    <row r="302" spans="1:14" x14ac:dyDescent="0.25">
      <c r="A302" s="47">
        <v>117207</v>
      </c>
      <c r="B302" s="78">
        <v>44967</v>
      </c>
      <c r="C302" s="47" t="s">
        <v>206</v>
      </c>
      <c r="D302" s="49" t="s">
        <v>268</v>
      </c>
      <c r="E302" s="47">
        <v>916876</v>
      </c>
      <c r="G302" s="50" t="s">
        <v>89</v>
      </c>
      <c r="H302" s="51">
        <v>565</v>
      </c>
      <c r="J302" s="51">
        <v>5.89</v>
      </c>
      <c r="K302" s="51">
        <f>Tabela6[[#This Row],[CONSUMO]]*Tabela6[[#This Row],[VALOR UNIT]]-Tabela6[[#This Row],[DESCONTO]]</f>
        <v>3327.85</v>
      </c>
      <c r="L302" s="53">
        <f>Tabela6[[#This Row],[CUSTO TOTAL]]/Tabela6[[#This Row],[CONSUMO]]</f>
        <v>5.89</v>
      </c>
      <c r="M302" s="50">
        <f>Tabela6[[#This Row],[KM ATUAL]]-E247</f>
        <v>813397</v>
      </c>
      <c r="N302" s="51">
        <f>Tabela6[[#This Row],[KM Rodados ]]/Tabela6[[#This Row],[CONSUMO]]</f>
        <v>1439.6407079646017</v>
      </c>
    </row>
    <row r="303" spans="1:14" x14ac:dyDescent="0.25">
      <c r="A303" s="47">
        <v>372692</v>
      </c>
      <c r="B303" s="78">
        <v>44967</v>
      </c>
      <c r="C303" s="47" t="s">
        <v>13</v>
      </c>
      <c r="D303" s="49" t="s">
        <v>273</v>
      </c>
      <c r="E303" s="47">
        <v>594394</v>
      </c>
      <c r="G303" s="50" t="s">
        <v>89</v>
      </c>
      <c r="H303" s="51">
        <v>135</v>
      </c>
      <c r="J303" s="51">
        <v>5.89</v>
      </c>
      <c r="K303" s="51">
        <f>Tabela6[[#This Row],[CONSUMO]]*Tabela6[[#This Row],[VALOR UNIT]]-Tabela6[[#This Row],[DESCONTO]]</f>
        <v>795.15</v>
      </c>
      <c r="L303" s="53">
        <f>Tabela6[[#This Row],[CUSTO TOTAL]]/Tabela6[[#This Row],[CONSUMO]]</f>
        <v>5.89</v>
      </c>
      <c r="M303" s="50">
        <f>Tabela6[[#This Row],[KM ATUAL]]-E274</f>
        <v>385673</v>
      </c>
      <c r="N303" s="51">
        <f>Tabela6[[#This Row],[KM Rodados ]]/Tabela6[[#This Row],[CONSUMO]]</f>
        <v>2856.8370370370371</v>
      </c>
    </row>
    <row r="304" spans="1:14" x14ac:dyDescent="0.25">
      <c r="A304" s="47">
        <v>161564</v>
      </c>
      <c r="B304" s="78">
        <v>44967</v>
      </c>
      <c r="C304" s="47" t="s">
        <v>14</v>
      </c>
      <c r="D304" s="49" t="s">
        <v>262</v>
      </c>
      <c r="E304" s="47">
        <v>283770</v>
      </c>
      <c r="G304" s="50" t="s">
        <v>244</v>
      </c>
      <c r="H304" s="51">
        <v>28.029</v>
      </c>
      <c r="J304" s="51">
        <v>5.09</v>
      </c>
      <c r="K304" s="52">
        <f>Tabela6[[#This Row],[CONSUMO]]*Tabela6[[#This Row],[VALOR UNIT]]-Tabela6[[#This Row],[DESCONTO]]</f>
        <v>142.66761</v>
      </c>
      <c r="L304" s="53">
        <f>Tabela6[[#This Row],[CUSTO TOTAL]]/Tabela6[[#This Row],[CONSUMO]]</f>
        <v>5.09</v>
      </c>
      <c r="M304" s="50">
        <f>Tabela6[[#This Row],[KM ATUAL]]-E303</f>
        <v>-310624</v>
      </c>
      <c r="N304" s="51">
        <f>Tabela6[[#This Row],[KM Rodados ]]/Tabela6[[#This Row],[CONSUMO]]</f>
        <v>-11082.236255307003</v>
      </c>
    </row>
    <row r="305" spans="1:14" x14ac:dyDescent="0.25">
      <c r="A305" s="47">
        <v>513056</v>
      </c>
      <c r="B305" s="78">
        <v>44967</v>
      </c>
      <c r="C305" s="47" t="s">
        <v>18</v>
      </c>
      <c r="D305" s="49" t="s">
        <v>255</v>
      </c>
      <c r="E305" s="47">
        <v>294574</v>
      </c>
      <c r="G305" s="50" t="s">
        <v>89</v>
      </c>
      <c r="H305" s="51">
        <v>82.751000000000005</v>
      </c>
      <c r="J305" s="51">
        <v>6.58</v>
      </c>
      <c r="K305" s="51">
        <f>Tabela6[[#This Row],[CONSUMO]]*Tabela6[[#This Row],[VALOR UNIT]]-Tabela6[[#This Row],[DESCONTO]]</f>
        <v>544.50157999999999</v>
      </c>
      <c r="L305" s="53">
        <f>Tabela6[[#This Row],[CUSTO TOTAL]]/Tabela6[[#This Row],[CONSUMO]]</f>
        <v>6.5799999999999992</v>
      </c>
      <c r="M305" s="50"/>
    </row>
    <row r="306" spans="1:14" x14ac:dyDescent="0.25">
      <c r="A306" s="47">
        <v>561985</v>
      </c>
      <c r="B306" s="78">
        <v>44967</v>
      </c>
      <c r="C306" s="47" t="s">
        <v>19</v>
      </c>
      <c r="D306" s="49" t="s">
        <v>271</v>
      </c>
      <c r="E306" s="47">
        <v>288861</v>
      </c>
      <c r="G306" s="50" t="s">
        <v>89</v>
      </c>
      <c r="H306" s="51">
        <v>191.52</v>
      </c>
      <c r="J306" s="51">
        <v>5.89</v>
      </c>
      <c r="K306" s="51">
        <f>Tabela6[[#This Row],[CONSUMO]]*Tabela6[[#This Row],[VALOR UNIT]]-Tabela6[[#This Row],[DESCONTO]]</f>
        <v>1128.0527999999999</v>
      </c>
      <c r="L306" s="53">
        <f>Tabela6[[#This Row],[CUSTO TOTAL]]/Tabela6[[#This Row],[CONSUMO]]</f>
        <v>5.89</v>
      </c>
      <c r="M306" s="50">
        <f>Tabela6[[#This Row],[KM ATUAL]]-E282</f>
        <v>161526</v>
      </c>
      <c r="N306" s="51">
        <f>Tabela6[[#This Row],[KM Rodados ]]/Tabela6[[#This Row],[CONSUMO]]</f>
        <v>843.38972431077684</v>
      </c>
    </row>
    <row r="307" spans="1:14" x14ac:dyDescent="0.25">
      <c r="A307" s="47">
        <v>161419</v>
      </c>
      <c r="B307" s="78">
        <v>44967</v>
      </c>
      <c r="C307" s="47" t="s">
        <v>23</v>
      </c>
      <c r="D307" s="49" t="s">
        <v>262</v>
      </c>
      <c r="E307" s="47">
        <v>209630</v>
      </c>
      <c r="G307" s="50" t="s">
        <v>89</v>
      </c>
      <c r="H307" s="51">
        <v>75.680000000000007</v>
      </c>
      <c r="J307" s="51">
        <v>6.09</v>
      </c>
      <c r="K307" s="51">
        <f>Tabela6[[#This Row],[CONSUMO]]*Tabela6[[#This Row],[VALOR UNIT]]-Tabela6[[#This Row],[DESCONTO]]</f>
        <v>460.89120000000003</v>
      </c>
      <c r="L307" s="53">
        <f>Tabela6[[#This Row],[CUSTO TOTAL]]/Tabela6[[#This Row],[CONSUMO]]</f>
        <v>6.09</v>
      </c>
      <c r="M307" s="50">
        <f>Tabela6[[#This Row],[KM ATUAL]]-E301</f>
        <v>-161242</v>
      </c>
      <c r="N307" s="51">
        <f>Tabela6[[#This Row],[KM Rodados ]]/Tabela6[[#This Row],[CONSUMO]]</f>
        <v>-2130.576109936575</v>
      </c>
    </row>
    <row r="308" spans="1:14" x14ac:dyDescent="0.25">
      <c r="A308" s="47">
        <v>111392</v>
      </c>
      <c r="B308" s="78">
        <v>44968</v>
      </c>
      <c r="C308" s="47" t="s">
        <v>206</v>
      </c>
      <c r="D308" s="49" t="s">
        <v>268</v>
      </c>
      <c r="E308" s="47">
        <v>918286</v>
      </c>
      <c r="G308" s="50" t="s">
        <v>89</v>
      </c>
      <c r="H308" s="51">
        <v>508</v>
      </c>
      <c r="J308" s="51">
        <v>6.09</v>
      </c>
      <c r="K308" s="51">
        <f>Tabela6[[#This Row],[CONSUMO]]*Tabela6[[#This Row],[VALOR UNIT]]-Tabela6[[#This Row],[DESCONTO]]</f>
        <v>3093.72</v>
      </c>
      <c r="L308" s="53">
        <f>Tabela6[[#This Row],[CUSTO TOTAL]]/Tabela6[[#This Row],[CONSUMO]]</f>
        <v>6.09</v>
      </c>
      <c r="M308" s="50">
        <f>Tabela6[[#This Row],[KM ATUAL]]-E305</f>
        <v>623712</v>
      </c>
      <c r="N308" s="51">
        <f>Tabela6[[#This Row],[KM Rodados ]]/Tabela6[[#This Row],[CONSUMO]]</f>
        <v>1227.7795275590552</v>
      </c>
    </row>
    <row r="309" spans="1:14" x14ac:dyDescent="0.25">
      <c r="A309" s="47">
        <v>46330</v>
      </c>
      <c r="B309" s="78">
        <v>44969</v>
      </c>
      <c r="C309" s="47" t="s">
        <v>9</v>
      </c>
      <c r="D309" s="49" t="s">
        <v>263</v>
      </c>
      <c r="E309" s="47">
        <v>589260</v>
      </c>
      <c r="G309" s="50" t="s">
        <v>89</v>
      </c>
      <c r="H309" s="51">
        <v>144.81</v>
      </c>
      <c r="I309" s="49">
        <v>14.48</v>
      </c>
      <c r="J309" s="51">
        <v>5.87</v>
      </c>
      <c r="K309" s="51">
        <f>Tabela6[[#This Row],[CONSUMO]]*Tabela6[[#This Row],[VALOR UNIT]]-Tabela6[[#This Row],[DESCONTO]]</f>
        <v>835.55470000000003</v>
      </c>
      <c r="L309" s="53">
        <f>Tabela6[[#This Row],[CUSTO TOTAL]]/Tabela6[[#This Row],[CONSUMO]]</f>
        <v>5.7700069056004422</v>
      </c>
      <c r="M309" s="50">
        <f>Tabela6[[#This Row],[KM ATUAL]]-E285</f>
        <v>-4334</v>
      </c>
      <c r="N309" s="51">
        <f>Tabela6[[#This Row],[KM Rodados ]]/Tabela6[[#This Row],[CONSUMO]]</f>
        <v>-29.928872315447826</v>
      </c>
    </row>
    <row r="310" spans="1:14" x14ac:dyDescent="0.25">
      <c r="A310" s="47">
        <v>145497</v>
      </c>
      <c r="B310" s="78">
        <v>44969</v>
      </c>
      <c r="C310" s="47" t="s">
        <v>72</v>
      </c>
      <c r="D310" s="49" t="s">
        <v>269</v>
      </c>
      <c r="E310" s="47">
        <v>371260</v>
      </c>
      <c r="G310" s="50" t="s">
        <v>89</v>
      </c>
      <c r="H310" s="51">
        <v>51.03</v>
      </c>
      <c r="J310" s="51">
        <v>5.79</v>
      </c>
      <c r="K310" s="51">
        <f>Tabela6[[#This Row],[CONSUMO]]*Tabela6[[#This Row],[VALOR UNIT]]-Tabela6[[#This Row],[DESCONTO]]</f>
        <v>295.46370000000002</v>
      </c>
      <c r="L310" s="53">
        <f>Tabela6[[#This Row],[CUSTO TOTAL]]/Tabela6[[#This Row],[CONSUMO]]</f>
        <v>5.79</v>
      </c>
      <c r="M310" s="50">
        <f>Tabela6[[#This Row],[KM ATUAL]]-E297</f>
        <v>-488761</v>
      </c>
      <c r="N310" s="51">
        <f>Tabela6[[#This Row],[KM Rodados ]]/Tabela6[[#This Row],[CONSUMO]]</f>
        <v>-9577.9149519890252</v>
      </c>
    </row>
    <row r="311" spans="1:14" x14ac:dyDescent="0.25">
      <c r="A311" s="47" t="s">
        <v>314</v>
      </c>
      <c r="B311" s="78">
        <v>44969</v>
      </c>
      <c r="C311" s="47" t="s">
        <v>40</v>
      </c>
      <c r="E311" s="47">
        <v>121505</v>
      </c>
      <c r="G311" s="50" t="s">
        <v>244</v>
      </c>
      <c r="H311" s="51">
        <v>36.5</v>
      </c>
      <c r="K311" s="52">
        <f>Tabela6[[#This Row],[CONSUMO]]*Tabela6[[#This Row],[VALOR UNIT]]-Tabela6[[#This Row],[DESCONTO]]</f>
        <v>0</v>
      </c>
      <c r="L311" s="53">
        <f>Tabela6[[#This Row],[CUSTO TOTAL]]/Tabela6[[#This Row],[CONSUMO]]</f>
        <v>0</v>
      </c>
      <c r="M311" s="50">
        <f>Tabela6[[#This Row],[KM ATUAL]]-E310</f>
        <v>-249755</v>
      </c>
      <c r="N311" s="51">
        <f>Tabela6[[#This Row],[KM Rodados ]]/Tabela6[[#This Row],[CONSUMO]]</f>
        <v>-6842.6027397260277</v>
      </c>
    </row>
    <row r="312" spans="1:14" x14ac:dyDescent="0.25">
      <c r="A312" s="47">
        <v>46543</v>
      </c>
      <c r="B312" s="78">
        <v>44970</v>
      </c>
      <c r="C312" s="47" t="s">
        <v>203</v>
      </c>
      <c r="D312" s="49" t="s">
        <v>263</v>
      </c>
      <c r="E312" s="47">
        <v>76898</v>
      </c>
      <c r="G312" s="50" t="s">
        <v>244</v>
      </c>
      <c r="H312" s="51">
        <v>44.55</v>
      </c>
      <c r="J312" s="51">
        <v>4.99</v>
      </c>
      <c r="K312" s="51">
        <f>Tabela6[[#This Row],[CONSUMO]]*Tabela6[[#This Row],[VALOR UNIT]]-Tabela6[[#This Row],[DESCONTO]]</f>
        <v>222.30449999999999</v>
      </c>
      <c r="L312" s="53">
        <f>Tabela6[[#This Row],[CUSTO TOTAL]]/Tabela6[[#This Row],[CONSUMO]]</f>
        <v>4.99</v>
      </c>
      <c r="M312" s="50">
        <f>Tabela6[[#This Row],[KM ATUAL]]-E301</f>
        <v>-293974</v>
      </c>
      <c r="N312" s="51">
        <f>Tabela6[[#This Row],[KM Rodados ]]/Tabela6[[#This Row],[CONSUMO]]</f>
        <v>-6598.7429854096526</v>
      </c>
    </row>
    <row r="313" spans="1:14" x14ac:dyDescent="0.25">
      <c r="A313" s="47">
        <v>161988</v>
      </c>
      <c r="B313" s="78">
        <v>44970</v>
      </c>
      <c r="C313" s="47" t="s">
        <v>15</v>
      </c>
      <c r="D313" s="49" t="s">
        <v>262</v>
      </c>
      <c r="E313" s="47">
        <v>346168</v>
      </c>
      <c r="G313" s="50" t="s">
        <v>89</v>
      </c>
      <c r="H313" s="51">
        <v>112.3</v>
      </c>
      <c r="J313" s="51">
        <v>6.09</v>
      </c>
      <c r="K313" s="51">
        <f>Tabela6[[#This Row],[CONSUMO]]*Tabela6[[#This Row],[VALOR UNIT]]-Tabela6[[#This Row],[DESCONTO]]</f>
        <v>683.90699999999993</v>
      </c>
      <c r="L313" s="53">
        <f>Tabela6[[#This Row],[CUSTO TOTAL]]/Tabela6[[#This Row],[CONSUMO]]</f>
        <v>6.09</v>
      </c>
      <c r="M313" s="50">
        <f>Tabela6[[#This Row],[KM ATUAL]]-E266</f>
        <v>-246834</v>
      </c>
      <c r="N313" s="51">
        <f>Tabela6[[#This Row],[KM Rodados ]]/Tabela6[[#This Row],[CONSUMO]]</f>
        <v>-2197.987533392698</v>
      </c>
    </row>
    <row r="314" spans="1:14" x14ac:dyDescent="0.25">
      <c r="A314" s="47">
        <v>161991</v>
      </c>
      <c r="B314" s="78">
        <v>44970</v>
      </c>
      <c r="C314" s="47" t="s">
        <v>23</v>
      </c>
      <c r="D314" s="49" t="s">
        <v>262</v>
      </c>
      <c r="E314" s="47">
        <v>210111</v>
      </c>
      <c r="G314" s="50" t="s">
        <v>89</v>
      </c>
      <c r="H314" s="51">
        <v>98.53</v>
      </c>
      <c r="J314" s="51">
        <v>6.09</v>
      </c>
      <c r="K314" s="51">
        <f>Tabela6[[#This Row],[CONSUMO]]*Tabela6[[#This Row],[VALOR UNIT]]-Tabela6[[#This Row],[DESCONTO]]</f>
        <v>600.04769999999996</v>
      </c>
      <c r="L314" s="53">
        <f>Tabela6[[#This Row],[CUSTO TOTAL]]/Tabela6[[#This Row],[CONSUMO]]</f>
        <v>6.09</v>
      </c>
      <c r="M314" s="50">
        <f>Tabela6[[#This Row],[KM ATUAL]]-E300</f>
        <v>133735</v>
      </c>
      <c r="N314" s="51">
        <f>Tabela6[[#This Row],[KM Rodados ]]/Tabela6[[#This Row],[CONSUMO]]</f>
        <v>1357.3023444636151</v>
      </c>
    </row>
    <row r="315" spans="1:14" x14ac:dyDescent="0.25">
      <c r="A315" s="47">
        <v>46376</v>
      </c>
      <c r="B315" s="78">
        <v>44970</v>
      </c>
      <c r="C315" s="47" t="s">
        <v>74</v>
      </c>
      <c r="D315" s="49" t="s">
        <v>263</v>
      </c>
      <c r="E315" s="47">
        <v>32665</v>
      </c>
      <c r="G315" s="50" t="s">
        <v>89</v>
      </c>
      <c r="H315" s="51">
        <v>72.58</v>
      </c>
      <c r="I315" s="49">
        <v>7.26</v>
      </c>
      <c r="J315" s="51">
        <v>5.87</v>
      </c>
      <c r="K315" s="51">
        <f>Tabela6[[#This Row],[CONSUMO]]*Tabela6[[#This Row],[VALOR UNIT]]-Tabela6[[#This Row],[DESCONTO]]</f>
        <v>418.78460000000001</v>
      </c>
      <c r="L315" s="53">
        <f>Tabela6[[#This Row],[CUSTO TOTAL]]/Tabela6[[#This Row],[CONSUMO]]</f>
        <v>5.7699724441995039</v>
      </c>
      <c r="M315" s="50">
        <f>Tabela6[[#This Row],[KM ATUAL]]-E289</f>
        <v>-71090</v>
      </c>
      <c r="N315" s="51">
        <f>Tabela6[[#This Row],[KM Rodados ]]/Tabela6[[#This Row],[CONSUMO]]</f>
        <v>-979.47092863047669</v>
      </c>
    </row>
    <row r="316" spans="1:14" x14ac:dyDescent="0.25">
      <c r="A316" s="47">
        <v>300176</v>
      </c>
      <c r="B316" s="78">
        <v>44971</v>
      </c>
      <c r="C316" s="47" t="s">
        <v>67</v>
      </c>
      <c r="D316" s="49" t="s">
        <v>253</v>
      </c>
      <c r="E316" s="47">
        <v>653061</v>
      </c>
      <c r="G316" s="50" t="s">
        <v>89</v>
      </c>
      <c r="H316" s="51">
        <v>153.88</v>
      </c>
      <c r="I316" s="49">
        <v>46.16</v>
      </c>
      <c r="J316" s="51">
        <v>6.39</v>
      </c>
      <c r="K316" s="51">
        <f>Tabela6[[#This Row],[CONSUMO]]*Tabela6[[#This Row],[VALOR UNIT]]-Tabela6[[#This Row],[DESCONTO]]</f>
        <v>937.13319999999999</v>
      </c>
      <c r="L316" s="53">
        <f>Tabela6[[#This Row],[CUSTO TOTAL]]/Tabela6[[#This Row],[CONSUMO]]</f>
        <v>6.090025994281258</v>
      </c>
      <c r="M316" s="50">
        <f>Tabela6[[#This Row],[KM ATUAL]]-E284</f>
        <v>6288</v>
      </c>
      <c r="N316" s="51">
        <f>Tabela6[[#This Row],[KM Rodados ]]/Tabela6[[#This Row],[CONSUMO]]</f>
        <v>40.863010137769692</v>
      </c>
    </row>
    <row r="317" spans="1:14" x14ac:dyDescent="0.25">
      <c r="A317" s="47">
        <v>47186</v>
      </c>
      <c r="B317" s="78">
        <v>44971</v>
      </c>
      <c r="C317" s="47" t="s">
        <v>71</v>
      </c>
      <c r="D317" s="49" t="s">
        <v>263</v>
      </c>
      <c r="E317" s="47">
        <v>83448</v>
      </c>
      <c r="G317" s="50" t="s">
        <v>89</v>
      </c>
      <c r="H317" s="51">
        <v>562.18100000000004</v>
      </c>
      <c r="I317" s="49">
        <v>56.22</v>
      </c>
      <c r="J317" s="51">
        <v>5.87</v>
      </c>
      <c r="K317" s="51">
        <f>Tabela6[[#This Row],[CONSUMO]]*Tabela6[[#This Row],[VALOR UNIT]]-Tabela6[[#This Row],[DESCONTO]]</f>
        <v>3243.7824700000006</v>
      </c>
      <c r="L317" s="53">
        <f>Tabela6[[#This Row],[CUSTO TOTAL]]/Tabela6[[#This Row],[CONSUMO]]</f>
        <v>5.7699966203055606</v>
      </c>
      <c r="M317" s="50">
        <f>Tabela6[[#This Row],[KM ATUAL]]-E269</f>
        <v>-262133</v>
      </c>
      <c r="N317" s="51">
        <f>Tabela6[[#This Row],[KM Rodados ]]/Tabela6[[#This Row],[CONSUMO]]</f>
        <v>-466.27865402779531</v>
      </c>
    </row>
    <row r="318" spans="1:14" x14ac:dyDescent="0.25">
      <c r="A318" s="47">
        <v>299779</v>
      </c>
      <c r="B318" s="78">
        <v>44971</v>
      </c>
      <c r="C318" s="47" t="s">
        <v>41</v>
      </c>
      <c r="D318" s="49" t="s">
        <v>253</v>
      </c>
      <c r="E318" s="47">
        <v>647347</v>
      </c>
      <c r="G318" s="50" t="s">
        <v>89</v>
      </c>
      <c r="H318" s="51">
        <v>126.64</v>
      </c>
      <c r="I318" s="49">
        <v>37.99</v>
      </c>
      <c r="J318" s="51">
        <v>6.39</v>
      </c>
      <c r="K318" s="51">
        <f>Tabela6[[#This Row],[CONSUMO]]*Tabela6[[#This Row],[VALOR UNIT]]-Tabela6[[#This Row],[DESCONTO]]</f>
        <v>771.2396</v>
      </c>
      <c r="L318" s="53">
        <f>Tabela6[[#This Row],[CUSTO TOTAL]]/Tabela6[[#This Row],[CONSUMO]]</f>
        <v>6.0900157927984839</v>
      </c>
      <c r="M318" s="50">
        <f>Tabela6[[#This Row],[KM ATUAL]]-E280</f>
        <v>469310</v>
      </c>
      <c r="N318" s="51">
        <f>Tabela6[[#This Row],[KM Rodados ]]/Tabela6[[#This Row],[CONSUMO]]</f>
        <v>3705.8591282375237</v>
      </c>
    </row>
    <row r="319" spans="1:14" x14ac:dyDescent="0.25">
      <c r="A319" s="47">
        <v>221628</v>
      </c>
      <c r="B319" s="78">
        <v>44971</v>
      </c>
      <c r="C319" s="47" t="s">
        <v>13</v>
      </c>
      <c r="D319" s="49" t="s">
        <v>272</v>
      </c>
      <c r="E319" s="47">
        <v>595135</v>
      </c>
      <c r="G319" s="50" t="s">
        <v>89</v>
      </c>
      <c r="H319" s="51">
        <v>161.75700000000001</v>
      </c>
      <c r="J319" s="51">
        <v>5.69</v>
      </c>
      <c r="K319" s="51">
        <f>Tabela6[[#This Row],[CONSUMO]]*Tabela6[[#This Row],[VALOR UNIT]]-Tabela6[[#This Row],[DESCONTO]]</f>
        <v>920.39733000000012</v>
      </c>
      <c r="L319" s="53">
        <f>Tabela6[[#This Row],[CUSTO TOTAL]]/Tabela6[[#This Row],[CONSUMO]]</f>
        <v>5.69</v>
      </c>
      <c r="M319" s="50">
        <f>Tabela6[[#This Row],[KM ATUAL]]-E304</f>
        <v>311365</v>
      </c>
      <c r="N319" s="51">
        <f>Tabela6[[#This Row],[KM Rodados ]]/Tabela6[[#This Row],[CONSUMO]]</f>
        <v>1924.8935131091698</v>
      </c>
    </row>
    <row r="320" spans="1:14" x14ac:dyDescent="0.25">
      <c r="A320" s="47">
        <v>513863</v>
      </c>
      <c r="B320" s="78">
        <v>44971</v>
      </c>
      <c r="C320" s="47" t="s">
        <v>18</v>
      </c>
      <c r="D320" s="49" t="s">
        <v>255</v>
      </c>
      <c r="E320" s="47">
        <v>295145</v>
      </c>
      <c r="G320" s="50" t="s">
        <v>89</v>
      </c>
      <c r="H320" s="51">
        <v>73.709999999999994</v>
      </c>
      <c r="J320" s="51">
        <v>6.58</v>
      </c>
      <c r="K320" s="51">
        <f>Tabela6[[#This Row],[CONSUMO]]*Tabela6[[#This Row],[VALOR UNIT]]-Tabela6[[#This Row],[DESCONTO]]</f>
        <v>485.01179999999994</v>
      </c>
      <c r="L320" s="53">
        <f>Tabela6[[#This Row],[CUSTO TOTAL]]/Tabela6[[#This Row],[CONSUMO]]</f>
        <v>6.58</v>
      </c>
      <c r="M320" s="50">
        <f>Tabela6[[#This Row],[KM ATUAL]]-E307</f>
        <v>85515</v>
      </c>
      <c r="N320" s="51">
        <f>Tabela6[[#This Row],[KM Rodados ]]/Tabela6[[#This Row],[CONSUMO]]</f>
        <v>1160.1546601546602</v>
      </c>
    </row>
    <row r="321" spans="1:14" x14ac:dyDescent="0.25">
      <c r="A321" s="47">
        <v>46961</v>
      </c>
      <c r="B321" s="78">
        <v>44971</v>
      </c>
      <c r="C321" s="47" t="s">
        <v>74</v>
      </c>
      <c r="D321" s="49" t="s">
        <v>263</v>
      </c>
      <c r="E321" s="47">
        <v>33302</v>
      </c>
      <c r="G321" s="50" t="s">
        <v>89</v>
      </c>
      <c r="H321" s="51">
        <v>67.960999999999999</v>
      </c>
      <c r="I321" s="49">
        <v>6.8</v>
      </c>
      <c r="J321" s="51">
        <v>5.87</v>
      </c>
      <c r="K321" s="51">
        <f>Tabela6[[#This Row],[CONSUMO]]*Tabela6[[#This Row],[VALOR UNIT]]-Tabela6[[#This Row],[DESCONTO]]</f>
        <v>392.13106999999997</v>
      </c>
      <c r="L321" s="53">
        <f>Tabela6[[#This Row],[CUSTO TOTAL]]/Tabela6[[#This Row],[CONSUMO]]</f>
        <v>5.7699426141463483</v>
      </c>
      <c r="M321" s="50">
        <f>Tabela6[[#This Row],[KM ATUAL]]-E317</f>
        <v>-50146</v>
      </c>
      <c r="N321" s="51">
        <f>Tabela6[[#This Row],[KM Rodados ]]/Tabela6[[#This Row],[CONSUMO]]</f>
        <v>-737.86436338488249</v>
      </c>
    </row>
    <row r="322" spans="1:14" x14ac:dyDescent="0.25">
      <c r="A322" s="47">
        <v>47437</v>
      </c>
      <c r="B322" s="78">
        <v>44972</v>
      </c>
      <c r="C322" s="47" t="s">
        <v>68</v>
      </c>
      <c r="D322" s="49" t="s">
        <v>263</v>
      </c>
      <c r="E322" s="47">
        <v>861040</v>
      </c>
      <c r="G322" s="50" t="s">
        <v>89</v>
      </c>
      <c r="H322" s="51">
        <v>313.101</v>
      </c>
      <c r="I322" s="49">
        <v>31.31</v>
      </c>
      <c r="J322" s="51">
        <v>5.87</v>
      </c>
      <c r="K322" s="51">
        <f>Tabela6[[#This Row],[CONSUMO]]*Tabela6[[#This Row],[VALOR UNIT]]-Tabela6[[#This Row],[DESCONTO]]</f>
        <v>1806.5928700000002</v>
      </c>
      <c r="L322" s="53">
        <f>Tabela6[[#This Row],[CUSTO TOTAL]]/Tabela6[[#This Row],[CONSUMO]]</f>
        <v>5.7700003193857583</v>
      </c>
      <c r="M322" s="50">
        <f>Tabela6[[#This Row],[KM ATUAL]]-E293</f>
        <v>523902</v>
      </c>
      <c r="N322" s="51">
        <f>Tabela6[[#This Row],[KM Rodados ]]/Tabela6[[#This Row],[CONSUMO]]</f>
        <v>1673.2683702702961</v>
      </c>
    </row>
    <row r="323" spans="1:14" x14ac:dyDescent="0.25">
      <c r="A323" s="47">
        <v>120352</v>
      </c>
      <c r="B323" s="78">
        <v>44972</v>
      </c>
      <c r="C323" s="47" t="s">
        <v>8</v>
      </c>
      <c r="D323" s="49" t="s">
        <v>268</v>
      </c>
      <c r="E323" s="47">
        <v>871940</v>
      </c>
      <c r="G323" s="50" t="s">
        <v>89</v>
      </c>
      <c r="H323" s="51">
        <v>31</v>
      </c>
      <c r="J323" s="51">
        <v>5.59</v>
      </c>
      <c r="K323" s="52">
        <f>Tabela6[[#This Row],[CONSUMO]]*Tabela6[[#This Row],[VALOR UNIT]]-Tabela6[[#This Row],[DESCONTO]]</f>
        <v>173.29</v>
      </c>
      <c r="L323" s="53">
        <f>Tabela6[[#This Row],[CUSTO TOTAL]]/Tabela6[[#This Row],[CONSUMO]]</f>
        <v>5.59</v>
      </c>
      <c r="M323" s="50">
        <f>Tabela6[[#This Row],[KM ATUAL]]-E247</f>
        <v>768461</v>
      </c>
      <c r="N323" s="51">
        <f>Tabela6[[#This Row],[KM Rodados ]]/Tabela6[[#This Row],[CONSUMO]]</f>
        <v>24789.064516129034</v>
      </c>
    </row>
    <row r="324" spans="1:14" x14ac:dyDescent="0.25">
      <c r="A324" s="47">
        <v>301089</v>
      </c>
      <c r="B324" s="78">
        <v>44972</v>
      </c>
      <c r="C324" s="47" t="s">
        <v>9</v>
      </c>
      <c r="D324" s="49" t="s">
        <v>253</v>
      </c>
      <c r="E324" s="47">
        <v>589813</v>
      </c>
      <c r="G324" s="50" t="s">
        <v>89</v>
      </c>
      <c r="H324" s="51">
        <v>135</v>
      </c>
      <c r="I324" s="49">
        <v>40.5</v>
      </c>
      <c r="J324" s="51">
        <v>6.39</v>
      </c>
      <c r="K324" s="51">
        <f>Tabela6[[#This Row],[CONSUMO]]*Tabela6[[#This Row],[VALOR UNIT]]-Tabela6[[#This Row],[DESCONTO]]</f>
        <v>822.15</v>
      </c>
      <c r="L324" s="53">
        <f>Tabela6[[#This Row],[CUSTO TOTAL]]/Tabela6[[#This Row],[CONSUMO]]</f>
        <v>6.09</v>
      </c>
      <c r="M324" s="50">
        <f>Tabela6[[#This Row],[KM ATUAL]]-E311</f>
        <v>468308</v>
      </c>
      <c r="N324" s="51">
        <f>Tabela6[[#This Row],[KM Rodados ]]/Tabela6[[#This Row],[CONSUMO]]</f>
        <v>3468.948148148148</v>
      </c>
    </row>
    <row r="325" spans="1:14" x14ac:dyDescent="0.25">
      <c r="A325" s="47" t="s">
        <v>314</v>
      </c>
      <c r="B325" s="78">
        <v>44972</v>
      </c>
      <c r="C325" s="47" t="s">
        <v>72</v>
      </c>
      <c r="E325" s="47">
        <v>371645</v>
      </c>
      <c r="G325" s="50" t="s">
        <v>89</v>
      </c>
      <c r="H325" s="51">
        <v>46.3</v>
      </c>
      <c r="K325" s="52">
        <f>Tabela6[[#This Row],[CONSUMO]]*Tabela6[[#This Row],[VALOR UNIT]]-Tabela6[[#This Row],[DESCONTO]]</f>
        <v>0</v>
      </c>
      <c r="L325" s="53">
        <f>Tabela6[[#This Row],[CUSTO TOTAL]]/Tabela6[[#This Row],[CONSUMO]]</f>
        <v>0</v>
      </c>
      <c r="M325" s="50">
        <f>Tabela6[[#This Row],[KM ATUAL]]-E312</f>
        <v>294747</v>
      </c>
      <c r="N325" s="51">
        <f>Tabela6[[#This Row],[KM Rodados ]]/Tabela6[[#This Row],[CONSUMO]]</f>
        <v>6366.0259179265659</v>
      </c>
    </row>
    <row r="326" spans="1:14" x14ac:dyDescent="0.25">
      <c r="A326" s="47" t="s">
        <v>314</v>
      </c>
      <c r="B326" s="78">
        <v>44972</v>
      </c>
      <c r="C326" s="47" t="s">
        <v>72</v>
      </c>
      <c r="E326" s="47">
        <v>372019</v>
      </c>
      <c r="G326" s="50" t="s">
        <v>89</v>
      </c>
      <c r="H326" s="51">
        <v>45.6</v>
      </c>
      <c r="K326" s="52">
        <f>Tabela6[[#This Row],[CONSUMO]]*Tabela6[[#This Row],[VALOR UNIT]]-Tabela6[[#This Row],[DESCONTO]]</f>
        <v>0</v>
      </c>
      <c r="L326" s="53">
        <f>Tabela6[[#This Row],[CUSTO TOTAL]]/Tabela6[[#This Row],[CONSUMO]]</f>
        <v>0</v>
      </c>
      <c r="M326" s="50">
        <f>Tabela6[[#This Row],[KM ATUAL]]-E325</f>
        <v>374</v>
      </c>
      <c r="N326" s="51">
        <f>Tabela6[[#This Row],[KM Rodados ]]/Tabela6[[#This Row],[CONSUMO]]</f>
        <v>8.2017543859649127</v>
      </c>
    </row>
    <row r="327" spans="1:14" x14ac:dyDescent="0.25">
      <c r="A327" s="47" t="s">
        <v>314</v>
      </c>
      <c r="B327" s="78">
        <v>44972</v>
      </c>
      <c r="C327" s="47" t="s">
        <v>72</v>
      </c>
      <c r="E327" s="47">
        <v>372400</v>
      </c>
      <c r="G327" s="50" t="s">
        <v>89</v>
      </c>
      <c r="H327" s="51">
        <v>43.6</v>
      </c>
      <c r="K327" s="52">
        <f>Tabela6[[#This Row],[CONSUMO]]*Tabela6[[#This Row],[VALOR UNIT]]-Tabela6[[#This Row],[DESCONTO]]</f>
        <v>0</v>
      </c>
      <c r="L327" s="53">
        <f>Tabela6[[#This Row],[CUSTO TOTAL]]/Tabela6[[#This Row],[CONSUMO]]</f>
        <v>0</v>
      </c>
      <c r="M327" s="50">
        <f>Tabela6[[#This Row],[KM ATUAL]]-E326</f>
        <v>381</v>
      </c>
      <c r="N327" s="51">
        <f>Tabela6[[#This Row],[KM Rodados ]]/Tabela6[[#This Row],[CONSUMO]]</f>
        <v>8.738532110091743</v>
      </c>
    </row>
    <row r="328" spans="1:14" x14ac:dyDescent="0.25">
      <c r="A328" s="47" t="s">
        <v>314</v>
      </c>
      <c r="B328" s="78">
        <v>44972</v>
      </c>
      <c r="C328" s="47" t="s">
        <v>72</v>
      </c>
      <c r="E328" s="47">
        <v>372782</v>
      </c>
      <c r="G328" s="50" t="s">
        <v>89</v>
      </c>
      <c r="H328" s="51">
        <v>43.6</v>
      </c>
      <c r="K328" s="52">
        <f>Tabela6[[#This Row],[CONSUMO]]*Tabela6[[#This Row],[VALOR UNIT]]-Tabela6[[#This Row],[DESCONTO]]</f>
        <v>0</v>
      </c>
      <c r="L328" s="53">
        <f>Tabela6[[#This Row],[CUSTO TOTAL]]/Tabela6[[#This Row],[CONSUMO]]</f>
        <v>0</v>
      </c>
      <c r="M328" s="50">
        <f>Tabela6[[#This Row],[KM ATUAL]]-E327</f>
        <v>382</v>
      </c>
      <c r="N328" s="51">
        <f>Tabela6[[#This Row],[KM Rodados ]]/Tabela6[[#This Row],[CONSUMO]]</f>
        <v>8.761467889908257</v>
      </c>
    </row>
    <row r="329" spans="1:14" x14ac:dyDescent="0.25">
      <c r="A329" s="47">
        <v>300578</v>
      </c>
      <c r="B329" s="78">
        <v>44972</v>
      </c>
      <c r="C329" s="47" t="s">
        <v>72</v>
      </c>
      <c r="D329" s="49" t="s">
        <v>253</v>
      </c>
      <c r="E329" s="47">
        <v>373185</v>
      </c>
      <c r="G329" s="50" t="s">
        <v>89</v>
      </c>
      <c r="H329" s="51">
        <v>44.34</v>
      </c>
      <c r="I329" s="49">
        <v>13.3</v>
      </c>
      <c r="J329" s="51">
        <v>6.39</v>
      </c>
      <c r="K329" s="52">
        <f>Tabela6[[#This Row],[CONSUMO]]*Tabela6[[#This Row],[VALOR UNIT]]-Tabela6[[#This Row],[DESCONTO]]</f>
        <v>270.0326</v>
      </c>
      <c r="L329" s="53">
        <f>Tabela6[[#This Row],[CUSTO TOTAL]]/Tabela6[[#This Row],[CONSUMO]]</f>
        <v>6.0900451059990974</v>
      </c>
      <c r="M329" s="50">
        <f>Tabela6[[#This Row],[KM ATUAL]]-E328</f>
        <v>403</v>
      </c>
      <c r="N329" s="51">
        <f>Tabela6[[#This Row],[KM Rodados ]]/Tabela6[[#This Row],[CONSUMO]]</f>
        <v>9.0888588182228229</v>
      </c>
    </row>
    <row r="330" spans="1:14" x14ac:dyDescent="0.25">
      <c r="A330" s="47">
        <v>162456</v>
      </c>
      <c r="B330" s="78">
        <v>44972</v>
      </c>
      <c r="C330" s="47" t="s">
        <v>15</v>
      </c>
      <c r="D330" s="49" t="s">
        <v>262</v>
      </c>
      <c r="E330" s="47">
        <v>346547</v>
      </c>
      <c r="G330" s="50" t="s">
        <v>89</v>
      </c>
      <c r="H330" s="51">
        <v>69.820999999999998</v>
      </c>
      <c r="J330" s="51">
        <v>5.69</v>
      </c>
      <c r="K330" s="51">
        <f>Tabela6[[#This Row],[CONSUMO]]*Tabela6[[#This Row],[VALOR UNIT]]-Tabela6[[#This Row],[DESCONTO]]</f>
        <v>397.28149000000002</v>
      </c>
      <c r="L330" s="53">
        <f>Tabela6[[#This Row],[CUSTO TOTAL]]/Tabela6[[#This Row],[CONSUMO]]</f>
        <v>5.69</v>
      </c>
      <c r="M330" s="50">
        <f>Tabela6[[#This Row],[KM ATUAL]]-E320</f>
        <v>51402</v>
      </c>
      <c r="N330" s="51">
        <f>Tabela6[[#This Row],[KM Rodados ]]/Tabela6[[#This Row],[CONSUMO]]</f>
        <v>736.19684622105103</v>
      </c>
    </row>
    <row r="331" spans="1:14" x14ac:dyDescent="0.25">
      <c r="A331" s="47">
        <v>301099</v>
      </c>
      <c r="B331" s="78">
        <v>44972</v>
      </c>
      <c r="C331" s="47" t="s">
        <v>17</v>
      </c>
      <c r="D331" s="49" t="s">
        <v>253</v>
      </c>
      <c r="E331" s="47">
        <v>337797</v>
      </c>
      <c r="G331" s="50" t="s">
        <v>89</v>
      </c>
      <c r="H331" s="51">
        <v>178.72</v>
      </c>
      <c r="I331" s="49">
        <v>53.62</v>
      </c>
      <c r="J331" s="51">
        <v>6.39</v>
      </c>
      <c r="K331" s="51">
        <f>Tabela6[[#This Row],[CONSUMO]]*Tabela6[[#This Row],[VALOR UNIT]]-Tabela6[[#This Row],[DESCONTO]]</f>
        <v>1088.4008000000001</v>
      </c>
      <c r="L331" s="53">
        <f>Tabela6[[#This Row],[CUSTO TOTAL]]/Tabela6[[#This Row],[CONSUMO]]</f>
        <v>6.0899776186213082</v>
      </c>
      <c r="M331" s="50">
        <f>Tabela6[[#This Row],[KM ATUAL]]-E293</f>
        <v>659</v>
      </c>
      <c r="N331" s="51">
        <f>Tabela6[[#This Row],[KM Rodados ]]/Tabela6[[#This Row],[CONSUMO]]</f>
        <v>3.6873321396598029</v>
      </c>
    </row>
    <row r="332" spans="1:14" x14ac:dyDescent="0.25">
      <c r="A332" s="47">
        <v>301092</v>
      </c>
      <c r="B332" s="78">
        <v>44972</v>
      </c>
      <c r="C332" s="47" t="s">
        <v>23</v>
      </c>
      <c r="D332" s="49" t="s">
        <v>253</v>
      </c>
      <c r="E332" s="47">
        <v>210720</v>
      </c>
      <c r="G332" s="50" t="s">
        <v>89</v>
      </c>
      <c r="H332" s="51">
        <v>145.65</v>
      </c>
      <c r="I332" s="49">
        <v>43.69</v>
      </c>
      <c r="J332" s="51">
        <v>6.39</v>
      </c>
      <c r="K332" s="51">
        <f>Tabela6[[#This Row],[CONSUMO]]*Tabela6[[#This Row],[VALOR UNIT]]-Tabela6[[#This Row],[DESCONTO]]</f>
        <v>887.01350000000002</v>
      </c>
      <c r="L332" s="53">
        <f>Tabela6[[#This Row],[CUSTO TOTAL]]/Tabela6[[#This Row],[CONSUMO]]</f>
        <v>6.0900343288705798</v>
      </c>
      <c r="M332" s="50">
        <f>Tabela6[[#This Row],[KM ATUAL]]-E316</f>
        <v>-442341</v>
      </c>
      <c r="N332" s="51">
        <f>Tabela6[[#This Row],[KM Rodados ]]/Tabela6[[#This Row],[CONSUMO]]</f>
        <v>-3037.013388259526</v>
      </c>
    </row>
    <row r="333" spans="1:14" x14ac:dyDescent="0.25">
      <c r="A333" s="47" t="s">
        <v>314</v>
      </c>
      <c r="B333" s="78">
        <v>44972</v>
      </c>
      <c r="C333" s="47" t="s">
        <v>40</v>
      </c>
      <c r="E333" s="47">
        <v>121941</v>
      </c>
      <c r="G333" s="50" t="s">
        <v>244</v>
      </c>
      <c r="H333" s="51">
        <v>37.5</v>
      </c>
      <c r="K333" s="52">
        <f>Tabela6[[#This Row],[CONSUMO]]*Tabela6[[#This Row],[VALOR UNIT]]-Tabela6[[#This Row],[DESCONTO]]</f>
        <v>0</v>
      </c>
      <c r="L333" s="53">
        <f>Tabela6[[#This Row],[CUSTO TOTAL]]/Tabela6[[#This Row],[CONSUMO]]</f>
        <v>0</v>
      </c>
      <c r="M333" s="50">
        <f>Tabela6[[#This Row],[KM ATUAL]]-E332</f>
        <v>-88779</v>
      </c>
      <c r="N333" s="51">
        <f>Tabela6[[#This Row],[KM Rodados ]]/Tabela6[[#This Row],[CONSUMO]]</f>
        <v>-2367.44</v>
      </c>
    </row>
    <row r="334" spans="1:14" x14ac:dyDescent="0.25">
      <c r="A334" s="47">
        <v>47533</v>
      </c>
      <c r="B334" s="78">
        <v>44972</v>
      </c>
      <c r="C334" s="47" t="s">
        <v>74</v>
      </c>
      <c r="D334" s="49" t="s">
        <v>263</v>
      </c>
      <c r="E334" s="47">
        <v>33882</v>
      </c>
      <c r="G334" s="50" t="s">
        <v>89</v>
      </c>
      <c r="H334" s="51">
        <v>68.28</v>
      </c>
      <c r="I334" s="49">
        <v>6.83</v>
      </c>
      <c r="J334" s="51">
        <v>5.87</v>
      </c>
      <c r="K334" s="51">
        <f>Tabela6[[#This Row],[CONSUMO]]*Tabela6[[#This Row],[VALOR UNIT]]-Tabela6[[#This Row],[DESCONTO]]</f>
        <v>393.97360000000003</v>
      </c>
      <c r="L334" s="53">
        <f>Tabela6[[#This Row],[CUSTO TOTAL]]/Tabela6[[#This Row],[CONSUMO]]</f>
        <v>5.7699707088459293</v>
      </c>
      <c r="M334" s="50">
        <f>Tabela6[[#This Row],[KM ATUAL]]-E320</f>
        <v>-261263</v>
      </c>
      <c r="N334" s="51">
        <f>Tabela6[[#This Row],[KM Rodados ]]/Tabela6[[#This Row],[CONSUMO]]</f>
        <v>-3826.3473930872874</v>
      </c>
    </row>
    <row r="335" spans="1:14" x14ac:dyDescent="0.25">
      <c r="A335" s="47" t="s">
        <v>314</v>
      </c>
      <c r="B335" s="78">
        <v>44973</v>
      </c>
      <c r="C335" s="47" t="s">
        <v>43</v>
      </c>
      <c r="E335" s="47">
        <v>104167</v>
      </c>
      <c r="G335" s="50" t="s">
        <v>89</v>
      </c>
      <c r="H335" s="51">
        <v>42.5</v>
      </c>
      <c r="K335" s="52">
        <f>Tabela6[[#This Row],[CONSUMO]]*Tabela6[[#This Row],[VALOR UNIT]]-Tabela6[[#This Row],[DESCONTO]]</f>
        <v>0</v>
      </c>
      <c r="L335" s="53">
        <f>Tabela6[[#This Row],[CUSTO TOTAL]]/Tabela6[[#This Row],[CONSUMO]]</f>
        <v>0</v>
      </c>
      <c r="M335" s="50">
        <f>Tabela6[[#This Row],[KM ATUAL]]-E277</f>
        <v>-484523</v>
      </c>
      <c r="N335" s="51">
        <f>Tabela6[[#This Row],[KM Rodados ]]/Tabela6[[#This Row],[CONSUMO]]</f>
        <v>-11400.541176470588</v>
      </c>
    </row>
    <row r="336" spans="1:14" x14ac:dyDescent="0.25">
      <c r="A336" s="47" t="s">
        <v>314</v>
      </c>
      <c r="B336" s="78">
        <v>44973</v>
      </c>
      <c r="C336" s="47" t="s">
        <v>43</v>
      </c>
      <c r="E336" s="47">
        <v>104602</v>
      </c>
      <c r="G336" s="50" t="s">
        <v>89</v>
      </c>
      <c r="H336" s="51">
        <v>65</v>
      </c>
      <c r="K336" s="52">
        <f>Tabela6[[#This Row],[CONSUMO]]*Tabela6[[#This Row],[VALOR UNIT]]-Tabela6[[#This Row],[DESCONTO]]</f>
        <v>0</v>
      </c>
      <c r="L336" s="53">
        <f>Tabela6[[#This Row],[CUSTO TOTAL]]/Tabela6[[#This Row],[CONSUMO]]</f>
        <v>0</v>
      </c>
      <c r="M336" s="50">
        <f>Tabela6[[#This Row],[KM ATUAL]]-E335</f>
        <v>435</v>
      </c>
      <c r="N336" s="51">
        <f>Tabela6[[#This Row],[KM Rodados ]]/Tabela6[[#This Row],[CONSUMO]]</f>
        <v>6.6923076923076925</v>
      </c>
    </row>
    <row r="337" spans="1:14" x14ac:dyDescent="0.25">
      <c r="A337" s="47" t="s">
        <v>314</v>
      </c>
      <c r="B337" s="78">
        <v>44973</v>
      </c>
      <c r="C337" s="47" t="s">
        <v>43</v>
      </c>
      <c r="E337" s="47">
        <v>104808</v>
      </c>
      <c r="G337" s="50" t="s">
        <v>89</v>
      </c>
      <c r="H337" s="51">
        <v>24.36</v>
      </c>
      <c r="K337" s="52">
        <f>Tabela6[[#This Row],[CONSUMO]]*Tabela6[[#This Row],[VALOR UNIT]]-Tabela6[[#This Row],[DESCONTO]]</f>
        <v>0</v>
      </c>
      <c r="L337" s="53">
        <f>Tabela6[[#This Row],[CUSTO TOTAL]]/Tabela6[[#This Row],[CONSUMO]]</f>
        <v>0</v>
      </c>
      <c r="M337" s="50">
        <f>Tabela6[[#This Row],[KM ATUAL]]-E336</f>
        <v>206</v>
      </c>
      <c r="N337" s="51">
        <f>Tabela6[[#This Row],[KM Rodados ]]/Tabela6[[#This Row],[CONSUMO]]</f>
        <v>8.4564860426929389</v>
      </c>
    </row>
    <row r="338" spans="1:14" x14ac:dyDescent="0.25">
      <c r="A338" s="47" t="s">
        <v>314</v>
      </c>
      <c r="B338" s="78">
        <v>44973</v>
      </c>
      <c r="C338" s="47" t="s">
        <v>8</v>
      </c>
      <c r="E338" s="47">
        <v>872496</v>
      </c>
      <c r="G338" s="50" t="s">
        <v>89</v>
      </c>
      <c r="H338" s="51">
        <v>125</v>
      </c>
      <c r="K338" s="52">
        <f>Tabela6[[#This Row],[CONSUMO]]*Tabela6[[#This Row],[VALOR UNIT]]-Tabela6[[#This Row],[DESCONTO]]</f>
        <v>0</v>
      </c>
      <c r="L338" s="53">
        <f>Tabela6[[#This Row],[CUSTO TOTAL]]/Tabela6[[#This Row],[CONSUMO]]</f>
        <v>0</v>
      </c>
      <c r="M338" s="50" t="e">
        <f>Tabela6[[#This Row],[KM ATUAL]]-#REF!</f>
        <v>#REF!</v>
      </c>
      <c r="N338" s="51" t="e">
        <f>Tabela6[[#This Row],[KM Rodados ]]/Tabela6[[#This Row],[CONSUMO]]</f>
        <v>#REF!</v>
      </c>
    </row>
    <row r="339" spans="1:14" x14ac:dyDescent="0.25">
      <c r="A339" s="47">
        <v>255691</v>
      </c>
      <c r="B339" s="78">
        <v>44973</v>
      </c>
      <c r="C339" s="47" t="s">
        <v>67</v>
      </c>
      <c r="D339" s="49" t="s">
        <v>270</v>
      </c>
      <c r="E339" s="47">
        <v>653700</v>
      </c>
      <c r="G339" s="50" t="s">
        <v>89</v>
      </c>
      <c r="H339" s="51">
        <v>151.16999999999999</v>
      </c>
      <c r="J339" s="51">
        <v>5.69</v>
      </c>
      <c r="K339" s="51">
        <f>Tabela6[[#This Row],[CONSUMO]]*Tabela6[[#This Row],[VALOR UNIT]]-Tabela6[[#This Row],[DESCONTO]]</f>
        <v>860.15729999999996</v>
      </c>
      <c r="L339" s="53">
        <f>Tabela6[[#This Row],[CUSTO TOTAL]]/Tabela6[[#This Row],[CONSUMO]]</f>
        <v>5.69</v>
      </c>
      <c r="M339" s="50">
        <f>Tabela6[[#This Row],[KM ATUAL]]-E312</f>
        <v>576802</v>
      </c>
      <c r="N339" s="51">
        <f>Tabela6[[#This Row],[KM Rodados ]]/Tabela6[[#This Row],[CONSUMO]]</f>
        <v>3815.5851028643251</v>
      </c>
    </row>
    <row r="340" spans="1:14" x14ac:dyDescent="0.25">
      <c r="A340" s="47">
        <v>302025</v>
      </c>
      <c r="B340" s="78">
        <v>44973</v>
      </c>
      <c r="C340" s="47" t="s">
        <v>39</v>
      </c>
      <c r="D340" s="49" t="s">
        <v>253</v>
      </c>
      <c r="E340" s="47">
        <v>78881</v>
      </c>
      <c r="G340" s="50" t="s">
        <v>89</v>
      </c>
      <c r="H340" s="51">
        <v>75.89</v>
      </c>
      <c r="I340" s="49">
        <v>22.77</v>
      </c>
      <c r="J340" s="51">
        <v>6.39</v>
      </c>
      <c r="K340" s="51">
        <f>Tabela6[[#This Row],[CONSUMO]]*Tabela6[[#This Row],[VALOR UNIT]]-Tabela6[[#This Row],[DESCONTO]]</f>
        <v>462.1671</v>
      </c>
      <c r="L340" s="53">
        <f>Tabela6[[#This Row],[CUSTO TOTAL]]/Tabela6[[#This Row],[CONSUMO]]</f>
        <v>6.0899604691000135</v>
      </c>
      <c r="M340" s="50">
        <f>Tabela6[[#This Row],[KM ATUAL]]-E280</f>
        <v>-99156</v>
      </c>
      <c r="N340" s="51">
        <f>Tabela6[[#This Row],[KM Rodados ]]/Tabela6[[#This Row],[CONSUMO]]</f>
        <v>-1306.575306364475</v>
      </c>
    </row>
    <row r="341" spans="1:14" x14ac:dyDescent="0.25">
      <c r="A341" s="47">
        <v>270914</v>
      </c>
      <c r="B341" s="78">
        <v>44973</v>
      </c>
      <c r="C341" s="47" t="s">
        <v>41</v>
      </c>
      <c r="D341" s="49" t="s">
        <v>276</v>
      </c>
      <c r="E341" s="47">
        <v>648133</v>
      </c>
      <c r="G341" s="50" t="s">
        <v>89</v>
      </c>
      <c r="H341" s="51">
        <v>179.58</v>
      </c>
      <c r="J341" s="51">
        <v>5.79</v>
      </c>
      <c r="K341" s="52">
        <f>Tabela6[[#This Row],[CONSUMO]]*Tabela6[[#This Row],[VALOR UNIT]]-Tabela6[[#This Row],[DESCONTO]]</f>
        <v>1039.7682</v>
      </c>
      <c r="L341" s="53">
        <f>Tabela6[[#This Row],[CUSTO TOTAL]]/Tabela6[[#This Row],[CONSUMO]]</f>
        <v>5.7899999999999991</v>
      </c>
      <c r="M341" s="50">
        <f>Tabela6[[#This Row],[KM ATUAL]]-E323</f>
        <v>-223807</v>
      </c>
      <c r="N341" s="51">
        <f>Tabela6[[#This Row],[KM Rodados ]]/Tabela6[[#This Row],[CONSUMO]]</f>
        <v>-1246.2802093774362</v>
      </c>
    </row>
    <row r="342" spans="1:14" x14ac:dyDescent="0.25">
      <c r="A342" s="47">
        <v>48109</v>
      </c>
      <c r="B342" s="78">
        <v>44973</v>
      </c>
      <c r="C342" s="47" t="s">
        <v>206</v>
      </c>
      <c r="D342" s="49" t="s">
        <v>263</v>
      </c>
      <c r="E342" s="47">
        <v>918386</v>
      </c>
      <c r="G342" s="50" t="s">
        <v>89</v>
      </c>
      <c r="H342" s="51">
        <v>34.6</v>
      </c>
      <c r="I342" s="49">
        <v>50.51</v>
      </c>
      <c r="J342" s="51">
        <v>5.87</v>
      </c>
      <c r="K342" s="52">
        <f>Tabela6[[#This Row],[CONSUMO]]*Tabela6[[#This Row],[VALOR UNIT]]-Tabela6[[#This Row],[DESCONTO]]</f>
        <v>152.59200000000001</v>
      </c>
      <c r="L342" s="53">
        <f>Tabela6[[#This Row],[CUSTO TOTAL]]/Tabela6[[#This Row],[CONSUMO]]</f>
        <v>4.4101734104046244</v>
      </c>
      <c r="M342" s="50">
        <f>Tabela6[[#This Row],[KM ATUAL]]-E309</f>
        <v>329126</v>
      </c>
      <c r="N342" s="51">
        <f>Tabela6[[#This Row],[KM Rodados ]]/Tabela6[[#This Row],[CONSUMO]]</f>
        <v>9512.3121387283227</v>
      </c>
    </row>
    <row r="343" spans="1:14" x14ac:dyDescent="0.25">
      <c r="A343" s="47">
        <v>146788</v>
      </c>
      <c r="B343" s="78">
        <v>44973</v>
      </c>
      <c r="C343" s="47" t="s">
        <v>14</v>
      </c>
      <c r="D343" s="49" t="s">
        <v>269</v>
      </c>
      <c r="E343" s="47">
        <v>283848</v>
      </c>
      <c r="G343" s="50" t="s">
        <v>244</v>
      </c>
      <c r="H343" s="51">
        <v>6.8</v>
      </c>
      <c r="J343" s="51">
        <v>4.99</v>
      </c>
      <c r="K343" s="52">
        <f>Tabela6[[#This Row],[CONSUMO]]*Tabela6[[#This Row],[VALOR UNIT]]-Tabela6[[#This Row],[DESCONTO]]</f>
        <v>33.932000000000002</v>
      </c>
      <c r="L343" s="53">
        <f>Tabela6[[#This Row],[CUSTO TOTAL]]/Tabela6[[#This Row],[CONSUMO]]</f>
        <v>4.99</v>
      </c>
      <c r="M343" s="50">
        <f>Tabela6[[#This Row],[KM ATUAL]]-E295</f>
        <v>162758</v>
      </c>
      <c r="N343" s="51">
        <f>Tabela6[[#This Row],[KM Rodados ]]/Tabela6[[#This Row],[CONSUMO]]</f>
        <v>23935</v>
      </c>
    </row>
    <row r="344" spans="1:14" x14ac:dyDescent="0.25">
      <c r="A344" s="47">
        <v>514330</v>
      </c>
      <c r="B344" s="78">
        <v>44973</v>
      </c>
      <c r="C344" s="47" t="s">
        <v>18</v>
      </c>
      <c r="D344" s="49" t="s">
        <v>255</v>
      </c>
      <c r="E344" s="47">
        <v>295692</v>
      </c>
      <c r="G344" s="50" t="s">
        <v>89</v>
      </c>
      <c r="H344" s="51">
        <v>65.52</v>
      </c>
      <c r="J344" s="51">
        <v>6.58</v>
      </c>
      <c r="K344" s="51">
        <f>Tabela6[[#This Row],[CONSUMO]]*Tabela6[[#This Row],[VALOR UNIT]]-Tabela6[[#This Row],[DESCONTO]]</f>
        <v>431.1216</v>
      </c>
      <c r="L344" s="53">
        <f>Tabela6[[#This Row],[CUSTO TOTAL]]/Tabela6[[#This Row],[CONSUMO]]</f>
        <v>6.58</v>
      </c>
      <c r="M344" s="50">
        <f>Tabela6[[#This Row],[KM ATUAL]]-E319</f>
        <v>-299443</v>
      </c>
      <c r="N344" s="51">
        <f>Tabela6[[#This Row],[KM Rodados ]]/Tabela6[[#This Row],[CONSUMO]]</f>
        <v>-4570.2533577533577</v>
      </c>
    </row>
    <row r="345" spans="1:14" x14ac:dyDescent="0.25">
      <c r="A345" s="47" t="s">
        <v>314</v>
      </c>
      <c r="B345" s="78">
        <v>44973</v>
      </c>
      <c r="C345" s="47" t="s">
        <v>20</v>
      </c>
      <c r="E345" s="47">
        <v>228979</v>
      </c>
      <c r="G345" s="50" t="s">
        <v>89</v>
      </c>
      <c r="H345" s="51">
        <v>51.24</v>
      </c>
      <c r="K345" s="52">
        <f>Tabela6[[#This Row],[CONSUMO]]*Tabela6[[#This Row],[VALOR UNIT]]-Tabela6[[#This Row],[DESCONTO]]</f>
        <v>0</v>
      </c>
      <c r="L345" s="53">
        <f>Tabela6[[#This Row],[CUSTO TOTAL]]/Tabela6[[#This Row],[CONSUMO]]</f>
        <v>0</v>
      </c>
      <c r="M345" s="50">
        <f>Tabela6[[#This Row],[KM ATUAL]]-E294</f>
        <v>19709</v>
      </c>
      <c r="N345" s="51">
        <f>Tabela6[[#This Row],[KM Rodados ]]/Tabela6[[#This Row],[CONSUMO]]</f>
        <v>384.64090554254489</v>
      </c>
    </row>
    <row r="346" spans="1:14" x14ac:dyDescent="0.25">
      <c r="A346" s="47" t="s">
        <v>314</v>
      </c>
      <c r="B346" s="78">
        <v>44973</v>
      </c>
      <c r="C346" s="47" t="s">
        <v>20</v>
      </c>
      <c r="E346" s="47">
        <v>229379</v>
      </c>
      <c r="G346" s="50" t="s">
        <v>89</v>
      </c>
      <c r="H346" s="51">
        <v>52.3</v>
      </c>
      <c r="K346" s="52">
        <f>Tabela6[[#This Row],[CONSUMO]]*Tabela6[[#This Row],[VALOR UNIT]]-Tabela6[[#This Row],[DESCONTO]]</f>
        <v>0</v>
      </c>
      <c r="L346" s="53">
        <f>Tabela6[[#This Row],[CUSTO TOTAL]]/Tabela6[[#This Row],[CONSUMO]]</f>
        <v>0</v>
      </c>
      <c r="M346" s="50">
        <f>Tabela6[[#This Row],[KM ATUAL]]-E345</f>
        <v>400</v>
      </c>
      <c r="N346" s="51">
        <f>Tabela6[[#This Row],[KM Rodados ]]/Tabela6[[#This Row],[CONSUMO]]</f>
        <v>7.6481835564053542</v>
      </c>
    </row>
    <row r="347" spans="1:14" x14ac:dyDescent="0.25">
      <c r="A347" s="47" t="s">
        <v>314</v>
      </c>
      <c r="B347" s="78">
        <v>44973</v>
      </c>
      <c r="C347" s="47" t="s">
        <v>20</v>
      </c>
      <c r="E347" s="47">
        <v>229700</v>
      </c>
      <c r="G347" s="50" t="s">
        <v>89</v>
      </c>
      <c r="H347" s="51">
        <v>38.630000000000003</v>
      </c>
      <c r="K347" s="52">
        <f>Tabela6[[#This Row],[CONSUMO]]*Tabela6[[#This Row],[VALOR UNIT]]-Tabela6[[#This Row],[DESCONTO]]</f>
        <v>0</v>
      </c>
      <c r="L347" s="53">
        <f>Tabela6[[#This Row],[CUSTO TOTAL]]/Tabela6[[#This Row],[CONSUMO]]</f>
        <v>0</v>
      </c>
      <c r="M347" s="50">
        <f>Tabela6[[#This Row],[KM ATUAL]]-E346</f>
        <v>321</v>
      </c>
      <c r="N347" s="51">
        <f>Tabela6[[#This Row],[KM Rodados ]]/Tabela6[[#This Row],[CONSUMO]]</f>
        <v>8.3096039347657253</v>
      </c>
    </row>
    <row r="348" spans="1:14" x14ac:dyDescent="0.25">
      <c r="A348" s="47" t="s">
        <v>314</v>
      </c>
      <c r="B348" s="78">
        <v>44973</v>
      </c>
      <c r="C348" s="47" t="s">
        <v>20</v>
      </c>
      <c r="E348" s="47">
        <v>230003</v>
      </c>
      <c r="G348" s="50" t="s">
        <v>89</v>
      </c>
      <c r="H348" s="51">
        <v>39.5</v>
      </c>
      <c r="K348" s="52">
        <f>Tabela6[[#This Row],[CONSUMO]]*Tabela6[[#This Row],[VALOR UNIT]]-Tabela6[[#This Row],[DESCONTO]]</f>
        <v>0</v>
      </c>
      <c r="L348" s="53">
        <f>Tabela6[[#This Row],[CUSTO TOTAL]]/Tabela6[[#This Row],[CONSUMO]]</f>
        <v>0</v>
      </c>
      <c r="M348" s="50">
        <f>Tabela6[[#This Row],[KM ATUAL]]-E347</f>
        <v>303</v>
      </c>
      <c r="N348" s="51">
        <f>Tabela6[[#This Row],[KM Rodados ]]/Tabela6[[#This Row],[CONSUMO]]</f>
        <v>7.6708860759493671</v>
      </c>
    </row>
    <row r="349" spans="1:14" x14ac:dyDescent="0.25">
      <c r="A349" s="47">
        <v>162508</v>
      </c>
      <c r="B349" s="78">
        <v>44973</v>
      </c>
      <c r="C349" s="47" t="s">
        <v>20</v>
      </c>
      <c r="D349" s="49" t="s">
        <v>262</v>
      </c>
      <c r="E349" s="47">
        <v>230547</v>
      </c>
      <c r="G349" s="50" t="s">
        <v>89</v>
      </c>
      <c r="H349" s="51">
        <v>74.918999999999997</v>
      </c>
      <c r="J349" s="51">
        <v>5.69</v>
      </c>
      <c r="K349" s="52">
        <f>Tabela6[[#This Row],[CONSUMO]]*Tabela6[[#This Row],[VALOR UNIT]]-Tabela6[[#This Row],[DESCONTO]]</f>
        <v>426.28910999999999</v>
      </c>
      <c r="L349" s="53">
        <f>Tabela6[[#This Row],[CUSTO TOTAL]]/Tabela6[[#This Row],[CONSUMO]]</f>
        <v>5.69</v>
      </c>
      <c r="M349" s="50">
        <f>Tabela6[[#This Row],[KM ATUAL]]-E348</f>
        <v>544</v>
      </c>
      <c r="N349" s="51">
        <f>Tabela6[[#This Row],[KM Rodados ]]/Tabela6[[#This Row],[CONSUMO]]</f>
        <v>7.2611754027683233</v>
      </c>
    </row>
    <row r="350" spans="1:14" x14ac:dyDescent="0.25">
      <c r="A350" s="47">
        <v>446844</v>
      </c>
      <c r="B350" s="78">
        <v>44973</v>
      </c>
      <c r="C350" s="47" t="s">
        <v>20</v>
      </c>
      <c r="D350" s="49" t="s">
        <v>269</v>
      </c>
      <c r="E350" s="47">
        <v>231024</v>
      </c>
      <c r="G350" s="50" t="s">
        <v>89</v>
      </c>
      <c r="H350" s="51">
        <v>62.73</v>
      </c>
      <c r="J350" s="51">
        <v>5.59</v>
      </c>
      <c r="K350" s="51">
        <f>Tabela6[[#This Row],[CONSUMO]]*Tabela6[[#This Row],[VALOR UNIT]]-Tabela6[[#This Row],[DESCONTO]]</f>
        <v>350.66069999999996</v>
      </c>
      <c r="L350" s="53">
        <f>Tabela6[[#This Row],[CUSTO TOTAL]]/Tabela6[[#This Row],[CONSUMO]]</f>
        <v>5.59</v>
      </c>
      <c r="M350" s="50">
        <f>Tabela6[[#This Row],[KM ATUAL]]-E346</f>
        <v>1645</v>
      </c>
      <c r="N350" s="51">
        <f>Tabela6[[#This Row],[KM Rodados ]]/Tabela6[[#This Row],[CONSUMO]]</f>
        <v>26.223497529092938</v>
      </c>
    </row>
    <row r="351" spans="1:14" x14ac:dyDescent="0.25">
      <c r="A351" s="47">
        <v>597364</v>
      </c>
      <c r="B351" s="78">
        <v>44973</v>
      </c>
      <c r="C351" s="47" t="s">
        <v>74</v>
      </c>
      <c r="D351" s="49" t="s">
        <v>250</v>
      </c>
      <c r="E351" s="47">
        <v>34457</v>
      </c>
      <c r="G351" s="50" t="s">
        <v>89</v>
      </c>
      <c r="H351" s="51">
        <v>68</v>
      </c>
      <c r="J351" s="51">
        <v>5.85</v>
      </c>
      <c r="K351" s="51">
        <f>Tabela6[[#This Row],[CONSUMO]]*Tabela6[[#This Row],[VALOR UNIT]]-Tabela6[[#This Row],[DESCONTO]]</f>
        <v>397.79999999999995</v>
      </c>
      <c r="L351" s="53">
        <f>Tabela6[[#This Row],[CUSTO TOTAL]]/Tabela6[[#This Row],[CONSUMO]]</f>
        <v>5.85</v>
      </c>
      <c r="M351" s="50">
        <f>Tabela6[[#This Row],[KM ATUAL]]-E349</f>
        <v>-196090</v>
      </c>
      <c r="N351" s="51">
        <f>Tabela6[[#This Row],[KM Rodados ]]/Tabela6[[#This Row],[CONSUMO]]</f>
        <v>-2883.6764705882351</v>
      </c>
    </row>
    <row r="352" spans="1:14" x14ac:dyDescent="0.25">
      <c r="A352" s="47">
        <v>162750</v>
      </c>
      <c r="B352" s="78">
        <v>44974</v>
      </c>
      <c r="C352" s="47" t="s">
        <v>43</v>
      </c>
      <c r="D352" s="49" t="s">
        <v>262</v>
      </c>
      <c r="E352" s="47">
        <v>105034</v>
      </c>
      <c r="G352" s="50" t="s">
        <v>89</v>
      </c>
      <c r="H352" s="51">
        <v>32.49</v>
      </c>
      <c r="J352" s="51">
        <v>5.69</v>
      </c>
      <c r="K352" s="52">
        <f>Tabela6[[#This Row],[CONSUMO]]*Tabela6[[#This Row],[VALOR UNIT]]-Tabela6[[#This Row],[DESCONTO]]</f>
        <v>184.86810000000003</v>
      </c>
      <c r="L352" s="53">
        <f>Tabela6[[#This Row],[CUSTO TOTAL]]/Tabela6[[#This Row],[CONSUMO]]</f>
        <v>5.69</v>
      </c>
      <c r="M352" s="50">
        <f>Tabela6[[#This Row],[KM ATUAL]]-E351</f>
        <v>70577</v>
      </c>
      <c r="N352" s="72">
        <f>Tabela6[[#This Row],[KM Rodados ]]/Tabela6[[#This Row],[CONSUMO]]</f>
        <v>2172.2683902739304</v>
      </c>
    </row>
    <row r="353" spans="1:14" x14ac:dyDescent="0.25">
      <c r="A353" s="47">
        <v>565208</v>
      </c>
      <c r="B353" s="78">
        <v>44974</v>
      </c>
      <c r="C353" s="47" t="s">
        <v>43</v>
      </c>
      <c r="D353" s="49" t="s">
        <v>271</v>
      </c>
      <c r="E353" s="47">
        <v>105264</v>
      </c>
      <c r="G353" s="50" t="s">
        <v>89</v>
      </c>
      <c r="H353" s="51">
        <v>33.35</v>
      </c>
      <c r="J353" s="51">
        <v>5.69</v>
      </c>
      <c r="K353" s="51">
        <f>Tabela6[[#This Row],[CONSUMO]]*Tabela6[[#This Row],[VALOR UNIT]]-Tabela6[[#This Row],[DESCONTO]]</f>
        <v>189.76150000000001</v>
      </c>
      <c r="L353" s="53">
        <f>Tabela6[[#This Row],[CUSTO TOTAL]]/Tabela6[[#This Row],[CONSUMO]]</f>
        <v>5.69</v>
      </c>
      <c r="M353" s="50">
        <f>Tabela6[[#This Row],[KM ATUAL]]-E350</f>
        <v>-125760</v>
      </c>
      <c r="N353" s="72">
        <f>Tabela6[[#This Row],[KM Rodados ]]/Tabela6[[#This Row],[CONSUMO]]</f>
        <v>-3770.9145427286353</v>
      </c>
    </row>
    <row r="354" spans="1:14" x14ac:dyDescent="0.25">
      <c r="A354" s="47">
        <v>302950</v>
      </c>
      <c r="B354" s="78">
        <v>44974</v>
      </c>
      <c r="C354" s="47" t="s">
        <v>9</v>
      </c>
      <c r="D354" s="49" t="s">
        <v>253</v>
      </c>
      <c r="E354" s="47">
        <v>590258</v>
      </c>
      <c r="G354" s="50" t="s">
        <v>89</v>
      </c>
      <c r="H354" s="51">
        <v>118</v>
      </c>
      <c r="I354" s="49">
        <v>35.4</v>
      </c>
      <c r="J354" s="51">
        <v>6.39</v>
      </c>
      <c r="K354" s="51">
        <f>Tabela6[[#This Row],[CONSUMO]]*Tabela6[[#This Row],[VALOR UNIT]]-Tabela6[[#This Row],[DESCONTO]]</f>
        <v>718.62</v>
      </c>
      <c r="L354" s="53">
        <f>Tabela6[[#This Row],[CUSTO TOTAL]]/Tabela6[[#This Row],[CONSUMO]]</f>
        <v>6.09</v>
      </c>
      <c r="M354" s="50">
        <f>Tabela6[[#This Row],[KM ATUAL]]-E325</f>
        <v>218613</v>
      </c>
      <c r="N354" s="51">
        <f>Tabela6[[#This Row],[KM Rodados ]]/Tabela6[[#This Row],[CONSUMO]]</f>
        <v>1852.6525423728813</v>
      </c>
    </row>
    <row r="355" spans="1:14" x14ac:dyDescent="0.25">
      <c r="A355" s="47">
        <v>122038</v>
      </c>
      <c r="B355" s="78">
        <v>44974</v>
      </c>
      <c r="C355" s="47" t="s">
        <v>72</v>
      </c>
      <c r="D355" s="49" t="s">
        <v>268</v>
      </c>
      <c r="E355" s="47">
        <v>373404</v>
      </c>
      <c r="G355" s="50" t="s">
        <v>89</v>
      </c>
      <c r="H355" s="51">
        <v>25.6</v>
      </c>
      <c r="J355" s="51">
        <v>5.69</v>
      </c>
      <c r="K355" s="51">
        <f>Tabela6[[#This Row],[CONSUMO]]*Tabela6[[#This Row],[VALOR UNIT]]-Tabela6[[#This Row],[DESCONTO]]</f>
        <v>145.66400000000002</v>
      </c>
      <c r="L355" s="53">
        <f>Tabela6[[#This Row],[CUSTO TOTAL]]/Tabela6[[#This Row],[CONSUMO]]</f>
        <v>5.69</v>
      </c>
      <c r="M355" s="50">
        <f>Tabela6[[#This Row],[KM ATUAL]]-E329</f>
        <v>219</v>
      </c>
      <c r="N355" s="51">
        <f>Tabela6[[#This Row],[KM Rodados ]]/Tabela6[[#This Row],[CONSUMO]]</f>
        <v>8.5546875</v>
      </c>
    </row>
    <row r="356" spans="1:14" x14ac:dyDescent="0.25">
      <c r="A356" s="47">
        <v>162934</v>
      </c>
      <c r="B356" s="78">
        <v>44974</v>
      </c>
      <c r="C356" s="47" t="s">
        <v>14</v>
      </c>
      <c r="D356" s="49" t="s">
        <v>262</v>
      </c>
      <c r="E356" s="47">
        <v>284187</v>
      </c>
      <c r="G356" s="50" t="s">
        <v>244</v>
      </c>
      <c r="H356" s="51">
        <v>37.08</v>
      </c>
      <c r="J356" s="51">
        <v>4.99</v>
      </c>
      <c r="K356" s="52">
        <f>Tabela6[[#This Row],[CONSUMO]]*Tabela6[[#This Row],[VALOR UNIT]]-Tabela6[[#This Row],[DESCONTO]]</f>
        <v>185.0292</v>
      </c>
      <c r="L356" s="53">
        <f>Tabela6[[#This Row],[CUSTO TOTAL]]/Tabela6[[#This Row],[CONSUMO]]</f>
        <v>4.99</v>
      </c>
      <c r="M356" s="50">
        <f>Tabela6[[#This Row],[KM ATUAL]]-E350</f>
        <v>53163</v>
      </c>
      <c r="N356" s="51">
        <f>Tabela6[[#This Row],[KM Rodados ]]/Tabela6[[#This Row],[CONSUMO]]</f>
        <v>1433.7378640776699</v>
      </c>
    </row>
    <row r="357" spans="1:14" x14ac:dyDescent="0.25">
      <c r="A357" s="47">
        <v>514683</v>
      </c>
      <c r="B357" s="78">
        <v>44974</v>
      </c>
      <c r="C357" s="47" t="s">
        <v>16</v>
      </c>
      <c r="D357" s="49" t="s">
        <v>255</v>
      </c>
      <c r="E357" s="47">
        <v>289969</v>
      </c>
      <c r="G357" s="50" t="s">
        <v>89</v>
      </c>
      <c r="H357" s="51">
        <v>101.941</v>
      </c>
      <c r="J357" s="51">
        <v>6.58</v>
      </c>
      <c r="K357" s="51">
        <f>Tabela6[[#This Row],[CONSUMO]]*Tabela6[[#This Row],[VALOR UNIT]]-Tabela6[[#This Row],[DESCONTO]]</f>
        <v>670.77178000000004</v>
      </c>
      <c r="L357" s="53">
        <f>Tabela6[[#This Row],[CUSTO TOTAL]]/Tabela6[[#This Row],[CONSUMO]]</f>
        <v>6.58</v>
      </c>
      <c r="M357" s="50">
        <f>Tabela6[[#This Row],[KM ATUAL]]-E260</f>
        <v>112318</v>
      </c>
      <c r="N357" s="51">
        <f>Tabela6[[#This Row],[KM Rodados ]]/Tabela6[[#This Row],[CONSUMO]]</f>
        <v>1101.7941750620457</v>
      </c>
    </row>
    <row r="358" spans="1:14" x14ac:dyDescent="0.25">
      <c r="A358" s="47">
        <v>255910</v>
      </c>
      <c r="B358" s="78">
        <v>44974</v>
      </c>
      <c r="C358" s="47" t="s">
        <v>23</v>
      </c>
      <c r="D358" s="49" t="s">
        <v>270</v>
      </c>
      <c r="E358" s="47">
        <v>211358</v>
      </c>
      <c r="G358" s="50" t="s">
        <v>89</v>
      </c>
      <c r="H358" s="51">
        <v>139.59</v>
      </c>
      <c r="J358" s="51">
        <v>5.69</v>
      </c>
      <c r="K358" s="51">
        <f>Tabela6[[#This Row],[CONSUMO]]*Tabela6[[#This Row],[VALOR UNIT]]-Tabela6[[#This Row],[DESCONTO]]</f>
        <v>794.26710000000003</v>
      </c>
      <c r="L358" s="53">
        <f>Tabela6[[#This Row],[CUSTO TOTAL]]/Tabela6[[#This Row],[CONSUMO]]</f>
        <v>5.69</v>
      </c>
      <c r="M358" s="50">
        <f>Tabela6[[#This Row],[KM ATUAL]]-E332</f>
        <v>638</v>
      </c>
      <c r="N358" s="51">
        <f>Tabela6[[#This Row],[KM Rodados ]]/Tabela6[[#This Row],[CONSUMO]]</f>
        <v>4.5705279747832934</v>
      </c>
    </row>
    <row r="359" spans="1:14" x14ac:dyDescent="0.25">
      <c r="A359" s="47">
        <v>163497</v>
      </c>
      <c r="B359" s="78">
        <v>44977</v>
      </c>
      <c r="C359" s="47" t="s">
        <v>68</v>
      </c>
      <c r="D359" s="49" t="s">
        <v>262</v>
      </c>
      <c r="E359" s="47">
        <v>862174</v>
      </c>
      <c r="G359" s="50" t="s">
        <v>89</v>
      </c>
      <c r="H359" s="51">
        <v>453.1</v>
      </c>
      <c r="J359" s="51">
        <v>5.69</v>
      </c>
      <c r="K359" s="51">
        <f>Tabela6[[#This Row],[CONSUMO]]*Tabela6[[#This Row],[VALOR UNIT]]-Tabela6[[#This Row],[DESCONTO]]</f>
        <v>2578.1390000000001</v>
      </c>
      <c r="L359" s="53">
        <f>Tabela6[[#This Row],[CUSTO TOTAL]]/Tabela6[[#This Row],[CONSUMO]]</f>
        <v>5.69</v>
      </c>
      <c r="M359" s="50">
        <f>Tabela6[[#This Row],[KM ATUAL]]-E333</f>
        <v>740233</v>
      </c>
      <c r="N359" s="51">
        <f>Tabela6[[#This Row],[KM Rodados ]]/Tabela6[[#This Row],[CONSUMO]]</f>
        <v>1633.7077907746634</v>
      </c>
    </row>
    <row r="360" spans="1:14" x14ac:dyDescent="0.25">
      <c r="A360" s="47">
        <v>163469</v>
      </c>
      <c r="B360" s="78">
        <v>44977</v>
      </c>
      <c r="C360" s="47" t="s">
        <v>215</v>
      </c>
      <c r="D360" s="49" t="s">
        <v>262</v>
      </c>
      <c r="E360" s="47">
        <v>217715</v>
      </c>
      <c r="G360" s="50" t="s">
        <v>244</v>
      </c>
      <c r="H360" s="51">
        <v>20.04</v>
      </c>
      <c r="J360" s="51">
        <v>4.99</v>
      </c>
      <c r="K360" s="51">
        <f>Tabela6[[#This Row],[CONSUMO]]*Tabela6[[#This Row],[VALOR UNIT]]-Tabela6[[#This Row],[DESCONTO]]</f>
        <v>99.999600000000001</v>
      </c>
      <c r="L360" s="53">
        <f>Tabela6[[#This Row],[CUSTO TOTAL]]/Tabela6[[#This Row],[CONSUMO]]</f>
        <v>4.99</v>
      </c>
      <c r="M360" s="50">
        <f>Tabela6[[#This Row],[KM ATUAL]]-E359</f>
        <v>-644459</v>
      </c>
      <c r="N360" s="51">
        <f>Tabela6[[#This Row],[KM Rodados ]]/H129</f>
        <v>-11611.873873873874</v>
      </c>
    </row>
    <row r="361" spans="1:14" x14ac:dyDescent="0.25">
      <c r="A361" s="47">
        <v>191510</v>
      </c>
      <c r="B361" s="78">
        <v>44977</v>
      </c>
      <c r="C361" s="47" t="s">
        <v>203</v>
      </c>
      <c r="D361" s="49" t="s">
        <v>261</v>
      </c>
      <c r="E361" s="47">
        <v>77338</v>
      </c>
      <c r="G361" s="50" t="s">
        <v>244</v>
      </c>
      <c r="H361" s="51">
        <v>35.286999999999999</v>
      </c>
      <c r="J361" s="51">
        <v>5.09</v>
      </c>
      <c r="K361" s="51">
        <f>Tabela6[[#This Row],[CONSUMO]]*Tabela6[[#This Row],[VALOR UNIT]]-Tabela6[[#This Row],[DESCONTO]]</f>
        <v>179.61082999999999</v>
      </c>
      <c r="L361" s="53">
        <f>Tabela6[[#This Row],[CUSTO TOTAL]]/Tabela6[[#This Row],[CONSUMO]]</f>
        <v>5.09</v>
      </c>
      <c r="M361" s="50">
        <f>Tabela6[[#This Row],[KM ATUAL]]-E311</f>
        <v>-44167</v>
      </c>
      <c r="N361" s="51">
        <f>Tabela6[[#This Row],[KM Rodados ]]/Tabela6[[#This Row],[CONSUMO]]</f>
        <v>-1251.6507495678295</v>
      </c>
    </row>
    <row r="362" spans="1:14" x14ac:dyDescent="0.25">
      <c r="A362" s="47" t="s">
        <v>314</v>
      </c>
      <c r="B362" s="78">
        <v>44977</v>
      </c>
      <c r="C362" s="47" t="s">
        <v>10</v>
      </c>
      <c r="E362" s="47">
        <v>703022</v>
      </c>
      <c r="G362" s="50" t="s">
        <v>89</v>
      </c>
      <c r="H362" s="51">
        <v>146.58000000000001</v>
      </c>
      <c r="K362" s="52">
        <f>Tabela6[[#This Row],[CONSUMO]]*Tabela6[[#This Row],[VALOR UNIT]]-Tabela6[[#This Row],[DESCONTO]]</f>
        <v>0</v>
      </c>
      <c r="L362" s="53">
        <f>Tabela6[[#This Row],[CUSTO TOTAL]]/Tabela6[[#This Row],[CONSUMO]]</f>
        <v>0</v>
      </c>
      <c r="M362" s="50">
        <f>Tabela6[[#This Row],[KM ATUAL]]-E219</f>
        <v>111105</v>
      </c>
      <c r="N362" s="51">
        <f>Tabela6[[#This Row],[KM Rodados ]]/Tabela6[[#This Row],[CONSUMO]]</f>
        <v>757.98198935734752</v>
      </c>
    </row>
    <row r="363" spans="1:14" x14ac:dyDescent="0.25">
      <c r="A363" s="47" t="s">
        <v>314</v>
      </c>
      <c r="B363" s="78">
        <v>44977</v>
      </c>
      <c r="C363" s="47" t="s">
        <v>10</v>
      </c>
      <c r="E363" s="47">
        <v>703530</v>
      </c>
      <c r="G363" s="50" t="s">
        <v>89</v>
      </c>
      <c r="H363" s="51">
        <v>141.19999999999999</v>
      </c>
      <c r="K363" s="52">
        <f>Tabela6[[#This Row],[CONSUMO]]*Tabela6[[#This Row],[VALOR UNIT]]-Tabela6[[#This Row],[DESCONTO]]</f>
        <v>0</v>
      </c>
      <c r="L363" s="53">
        <f>Tabela6[[#This Row],[CUSTO TOTAL]]/Tabela6[[#This Row],[CONSUMO]]</f>
        <v>0</v>
      </c>
      <c r="M363" s="50">
        <f>Tabela6[[#This Row],[KM ATUAL]]-E362</f>
        <v>508</v>
      </c>
      <c r="N363" s="51">
        <f>Tabela6[[#This Row],[KM Rodados ]]/Tabela6[[#This Row],[CONSUMO]]</f>
        <v>3.5977337110481589</v>
      </c>
    </row>
    <row r="364" spans="1:14" x14ac:dyDescent="0.25">
      <c r="A364" s="47" t="s">
        <v>314</v>
      </c>
      <c r="B364" s="78">
        <v>44977</v>
      </c>
      <c r="C364" s="47" t="s">
        <v>10</v>
      </c>
      <c r="E364" s="47">
        <v>704041</v>
      </c>
      <c r="G364" s="50" t="s">
        <v>89</v>
      </c>
      <c r="H364" s="51">
        <v>135.30000000000001</v>
      </c>
      <c r="K364" s="52">
        <f>Tabela6[[#This Row],[CONSUMO]]*Tabela6[[#This Row],[VALOR UNIT]]-Tabela6[[#This Row],[DESCONTO]]</f>
        <v>0</v>
      </c>
      <c r="L364" s="53">
        <f>Tabela6[[#This Row],[CUSTO TOTAL]]/Tabela6[[#This Row],[CONSUMO]]</f>
        <v>0</v>
      </c>
      <c r="M364" s="50">
        <f>Tabela6[[#This Row],[KM ATUAL]]-E363</f>
        <v>511</v>
      </c>
      <c r="N364" s="51">
        <f>Tabela6[[#This Row],[KM Rodados ]]/Tabela6[[#This Row],[CONSUMO]]</f>
        <v>3.7767923133776788</v>
      </c>
    </row>
    <row r="365" spans="1:14" x14ac:dyDescent="0.25">
      <c r="A365" s="47" t="s">
        <v>314</v>
      </c>
      <c r="B365" s="78">
        <v>44977</v>
      </c>
      <c r="C365" s="47" t="s">
        <v>10</v>
      </c>
      <c r="E365" s="47">
        <v>704401</v>
      </c>
      <c r="G365" s="50" t="s">
        <v>89</v>
      </c>
      <c r="H365" s="51">
        <v>105.3</v>
      </c>
      <c r="K365" s="52">
        <f>Tabela6[[#This Row],[CONSUMO]]*Tabela6[[#This Row],[VALOR UNIT]]-Tabela6[[#This Row],[DESCONTO]]</f>
        <v>0</v>
      </c>
      <c r="L365" s="53">
        <f>Tabela6[[#This Row],[CUSTO TOTAL]]/Tabela6[[#This Row],[CONSUMO]]</f>
        <v>0</v>
      </c>
      <c r="M365" s="50">
        <f>Tabela6[[#This Row],[KM ATUAL]]-E364</f>
        <v>360</v>
      </c>
      <c r="N365" s="51">
        <f>Tabela6[[#This Row],[KM Rodados ]]/Tabela6[[#This Row],[CONSUMO]]</f>
        <v>3.4188034188034191</v>
      </c>
    </row>
    <row r="366" spans="1:14" x14ac:dyDescent="0.25">
      <c r="A366" s="47">
        <v>163466</v>
      </c>
      <c r="B366" s="78">
        <v>44977</v>
      </c>
      <c r="C366" s="47" t="s">
        <v>10</v>
      </c>
      <c r="D366" s="49" t="s">
        <v>262</v>
      </c>
      <c r="E366" s="47">
        <v>705082</v>
      </c>
      <c r="G366" s="50" t="s">
        <v>89</v>
      </c>
      <c r="H366" s="51">
        <v>211.11099999999999</v>
      </c>
      <c r="J366" s="51">
        <v>5.69</v>
      </c>
      <c r="K366" s="52">
        <f>Tabela6[[#This Row],[CONSUMO]]*Tabela6[[#This Row],[VALOR UNIT]]-Tabela6[[#This Row],[DESCONTO]]</f>
        <v>1201.2215900000001</v>
      </c>
      <c r="L366" s="53">
        <f>Tabela6[[#This Row],[CUSTO TOTAL]]/Tabela6[[#This Row],[CONSUMO]]</f>
        <v>5.69</v>
      </c>
      <c r="M366" s="50">
        <f>Tabela6[[#This Row],[KM ATUAL]]-E365</f>
        <v>681</v>
      </c>
      <c r="N366" s="51">
        <f>Tabela6[[#This Row],[KM Rodados ]]/Tabela6[[#This Row],[CONSUMO]]</f>
        <v>3.2257911714690377</v>
      </c>
    </row>
    <row r="367" spans="1:14" x14ac:dyDescent="0.25">
      <c r="A367" s="47">
        <v>50558</v>
      </c>
      <c r="B367" s="78">
        <v>44978</v>
      </c>
      <c r="C367" s="47" t="s">
        <v>43</v>
      </c>
      <c r="D367" s="49" t="s">
        <v>263</v>
      </c>
      <c r="E367" s="47">
        <v>105523</v>
      </c>
      <c r="G367" s="50" t="s">
        <v>89</v>
      </c>
      <c r="H367" s="51">
        <v>30.870999999999999</v>
      </c>
      <c r="I367" s="49">
        <v>3.09</v>
      </c>
      <c r="J367" s="51">
        <v>5.87</v>
      </c>
      <c r="K367" s="51">
        <f>Tabela6[[#This Row],[CONSUMO]]*Tabela6[[#This Row],[VALOR UNIT]]-Tabela6[[#This Row],[DESCONTO]]</f>
        <v>178.12277</v>
      </c>
      <c r="L367" s="53">
        <f>Tabela6[[#This Row],[CUSTO TOTAL]]/Tabela6[[#This Row],[CONSUMO]]</f>
        <v>5.769906060704221</v>
      </c>
      <c r="M367" s="50">
        <f>Tabela6[[#This Row],[KM ATUAL]]-E354</f>
        <v>-484735</v>
      </c>
      <c r="N367" s="72">
        <f>Tabela6[[#This Row],[KM Rodados ]]/Tabela6[[#This Row],[CONSUMO]]</f>
        <v>-15701.953289494995</v>
      </c>
    </row>
    <row r="368" spans="1:14" x14ac:dyDescent="0.25">
      <c r="A368" s="47" t="s">
        <v>314</v>
      </c>
      <c r="B368" s="78">
        <v>44978</v>
      </c>
      <c r="C368" s="47" t="s">
        <v>15</v>
      </c>
      <c r="E368" s="47">
        <v>347356</v>
      </c>
      <c r="G368" s="50" t="s">
        <v>89</v>
      </c>
      <c r="H368" s="51">
        <v>123.32</v>
      </c>
      <c r="K368" s="52">
        <f>Tabela6[[#This Row],[CONSUMO]]*Tabela6[[#This Row],[VALOR UNIT]]-Tabela6[[#This Row],[DESCONTO]]</f>
        <v>0</v>
      </c>
      <c r="L368" s="53">
        <f>Tabela6[[#This Row],[CUSTO TOTAL]]/Tabela6[[#This Row],[CONSUMO]]</f>
        <v>0</v>
      </c>
      <c r="M368" s="50">
        <f>Tabela6[[#This Row],[KM ATUAL]]-E323</f>
        <v>-524584</v>
      </c>
      <c r="N368" s="72">
        <f>Tabela6[[#This Row],[KM Rodados ]]/Tabela6[[#This Row],[CONSUMO]]</f>
        <v>-4253.8436587739216</v>
      </c>
    </row>
    <row r="369" spans="1:14" x14ac:dyDescent="0.25">
      <c r="A369" s="47">
        <v>230953</v>
      </c>
      <c r="B369" s="78">
        <v>44979</v>
      </c>
      <c r="C369" s="47" t="s">
        <v>43</v>
      </c>
      <c r="D369" s="49" t="s">
        <v>263</v>
      </c>
      <c r="E369" s="47">
        <v>105842</v>
      </c>
      <c r="G369" s="50" t="s">
        <v>89</v>
      </c>
      <c r="H369" s="51">
        <v>39.030999999999999</v>
      </c>
      <c r="I369" s="49">
        <v>3.91</v>
      </c>
      <c r="J369" s="51">
        <v>5.87</v>
      </c>
      <c r="K369" s="52">
        <f>Tabela6[[#This Row],[CONSUMO]]*Tabela6[[#This Row],[VALOR UNIT]]-Tabela6[[#This Row],[DESCONTO]]</f>
        <v>225.20196999999999</v>
      </c>
      <c r="L369" s="53">
        <f>Tabela6[[#This Row],[CUSTO TOTAL]]/Tabela6[[#This Row],[CONSUMO]]</f>
        <v>5.7698232174425454</v>
      </c>
      <c r="M369" s="50">
        <f>Tabela6[[#This Row],[KM ATUAL]]-E356</f>
        <v>-178345</v>
      </c>
      <c r="N369" s="72">
        <f>Tabela6[[#This Row],[KM Rodados ]]/Tabela6[[#This Row],[CONSUMO]]</f>
        <v>-4569.3166969844488</v>
      </c>
    </row>
    <row r="370" spans="1:14" x14ac:dyDescent="0.25">
      <c r="A370" s="47">
        <v>256975</v>
      </c>
      <c r="B370" s="78">
        <v>44979</v>
      </c>
      <c r="C370" s="47" t="s">
        <v>67</v>
      </c>
      <c r="D370" s="49" t="s">
        <v>270</v>
      </c>
      <c r="E370" s="47">
        <v>654250</v>
      </c>
      <c r="G370" s="50" t="s">
        <v>89</v>
      </c>
      <c r="H370" s="51">
        <v>131.72999999999999</v>
      </c>
      <c r="J370" s="51">
        <v>5.69</v>
      </c>
      <c r="K370" s="51">
        <f>Tabela6[[#This Row],[CONSUMO]]*Tabela6[[#This Row],[VALOR UNIT]]-Tabela6[[#This Row],[DESCONTO]]</f>
        <v>749.54369999999994</v>
      </c>
      <c r="L370" s="53">
        <f>Tabela6[[#This Row],[CUSTO TOTAL]]/Tabela6[[#This Row],[CONSUMO]]</f>
        <v>5.69</v>
      </c>
      <c r="M370" s="50">
        <f>Tabela6[[#This Row],[KM ATUAL]]-E332</f>
        <v>443530</v>
      </c>
      <c r="N370" s="51">
        <f>Tabela6[[#This Row],[KM Rodados ]]/Tabela6[[#This Row],[CONSUMO]]</f>
        <v>3366.9627267896458</v>
      </c>
    </row>
    <row r="371" spans="1:14" x14ac:dyDescent="0.25">
      <c r="A371" s="47" t="s">
        <v>314</v>
      </c>
      <c r="B371" s="78">
        <v>44979</v>
      </c>
      <c r="C371" s="47" t="s">
        <v>70</v>
      </c>
      <c r="E371" s="47">
        <v>179972</v>
      </c>
      <c r="G371" s="50" t="s">
        <v>89</v>
      </c>
      <c r="H371" s="51">
        <v>695.25</v>
      </c>
      <c r="K371" s="52">
        <f>Tabela6[[#This Row],[CONSUMO]]*Tabela6[[#This Row],[VALOR UNIT]]-Tabela6[[#This Row],[DESCONTO]]</f>
        <v>0</v>
      </c>
      <c r="L371" s="53">
        <f>Tabela6[[#This Row],[CUSTO TOTAL]]/Tabela6[[#This Row],[CONSUMO]]</f>
        <v>0</v>
      </c>
      <c r="M371" s="50">
        <f>Tabela6[[#This Row],[KM ATUAL]]-E274</f>
        <v>-28749</v>
      </c>
      <c r="N371" s="51">
        <f>Tabela6[[#This Row],[KM Rodados ]]/Tabela6[[#This Row],[CONSUMO]]</f>
        <v>-41.35059331175836</v>
      </c>
    </row>
    <row r="372" spans="1:14" x14ac:dyDescent="0.25">
      <c r="A372" s="47">
        <v>51157</v>
      </c>
      <c r="B372" s="78">
        <v>44979</v>
      </c>
      <c r="C372" s="47" t="s">
        <v>70</v>
      </c>
      <c r="D372" s="49" t="s">
        <v>263</v>
      </c>
      <c r="E372" s="47">
        <v>181908</v>
      </c>
      <c r="G372" s="50" t="s">
        <v>89</v>
      </c>
      <c r="H372" s="51">
        <v>662.5</v>
      </c>
      <c r="I372" s="49">
        <v>59.24</v>
      </c>
      <c r="J372" s="51">
        <v>5.87</v>
      </c>
      <c r="K372" s="52">
        <f>Tabela6[[#This Row],[CONSUMO]]*Tabela6[[#This Row],[VALOR UNIT]]-Tabela6[[#This Row],[DESCONTO]]</f>
        <v>3829.6350000000002</v>
      </c>
      <c r="L372" s="53">
        <f>Tabela6[[#This Row],[CUSTO TOTAL]]/Tabela6[[#This Row],[CONSUMO]]</f>
        <v>5.7805811320754721</v>
      </c>
      <c r="M372" s="50">
        <f>Tabela6[[#This Row],[KM ATUAL]]-E371</f>
        <v>1936</v>
      </c>
      <c r="N372" s="51">
        <f>Tabela6[[#This Row],[KM Rodados ]]/Tabela6[[#This Row],[CONSUMO]]</f>
        <v>2.9222641509433962</v>
      </c>
    </row>
    <row r="373" spans="1:14" x14ac:dyDescent="0.25">
      <c r="A373" s="47">
        <v>51155</v>
      </c>
      <c r="B373" s="78">
        <v>44979</v>
      </c>
      <c r="C373" s="47" t="s">
        <v>71</v>
      </c>
      <c r="D373" s="49" t="s">
        <v>263</v>
      </c>
      <c r="E373" s="47">
        <v>84990</v>
      </c>
      <c r="G373" s="50" t="s">
        <v>89</v>
      </c>
      <c r="H373" s="51">
        <v>540.04</v>
      </c>
      <c r="I373" s="49">
        <v>54</v>
      </c>
      <c r="J373" s="51">
        <v>5.87</v>
      </c>
      <c r="K373" s="51">
        <f>Tabela6[[#This Row],[CONSUMO]]*Tabela6[[#This Row],[VALOR UNIT]]-Tabela6[[#This Row],[DESCONTO]]</f>
        <v>3116.0347999999999</v>
      </c>
      <c r="L373" s="53">
        <f>Tabela6[[#This Row],[CUSTO TOTAL]]/Tabela6[[#This Row],[CONSUMO]]</f>
        <v>5.7700074068587517</v>
      </c>
      <c r="M373" s="50">
        <f>Tabela6[[#This Row],[KM ATUAL]]-E316</f>
        <v>-568071</v>
      </c>
      <c r="N373" s="51">
        <f>Tabela6[[#This Row],[KM Rodados ]]/Tabela6[[#This Row],[CONSUMO]]</f>
        <v>-1051.9054144137472</v>
      </c>
    </row>
    <row r="374" spans="1:14" x14ac:dyDescent="0.25">
      <c r="A374" s="47" t="s">
        <v>314</v>
      </c>
      <c r="B374" s="78">
        <v>44979</v>
      </c>
      <c r="C374" s="47" t="s">
        <v>21</v>
      </c>
      <c r="E374" s="47">
        <v>128101</v>
      </c>
      <c r="G374" s="50" t="s">
        <v>89</v>
      </c>
      <c r="H374" s="51">
        <v>183</v>
      </c>
      <c r="K374" s="52">
        <f>Tabela6[[#This Row],[CONSUMO]]*Tabela6[[#This Row],[VALOR UNIT]]-Tabela6[[#This Row],[DESCONTO]]</f>
        <v>0</v>
      </c>
      <c r="L374" s="53">
        <f>Tabela6[[#This Row],[CUSTO TOTAL]]/Tabela6[[#This Row],[CONSUMO]]</f>
        <v>0</v>
      </c>
      <c r="M374" s="50">
        <f>Tabela6[[#This Row],[KM ATUAL]]-E285</f>
        <v>-465493</v>
      </c>
      <c r="N374" s="51">
        <f>Tabela6[[#This Row],[KM Rodados ]]/Tabela6[[#This Row],[CONSUMO]]</f>
        <v>-2543.6775956284155</v>
      </c>
    </row>
    <row r="375" spans="1:14" x14ac:dyDescent="0.25">
      <c r="A375" s="47">
        <v>164040</v>
      </c>
      <c r="B375" s="78">
        <v>44979</v>
      </c>
      <c r="C375" s="47" t="s">
        <v>21</v>
      </c>
      <c r="D375" s="49" t="s">
        <v>262</v>
      </c>
      <c r="E375" s="47">
        <v>128575</v>
      </c>
      <c r="G375" s="50" t="s">
        <v>89</v>
      </c>
      <c r="H375" s="51">
        <v>150.81</v>
      </c>
      <c r="J375" s="51">
        <v>5.69</v>
      </c>
      <c r="K375" s="52">
        <f>Tabela6[[#This Row],[CONSUMO]]*Tabela6[[#This Row],[VALOR UNIT]]-Tabela6[[#This Row],[DESCONTO]]</f>
        <v>858.10890000000006</v>
      </c>
      <c r="L375" s="53">
        <f>Tabela6[[#This Row],[CUSTO TOTAL]]/Tabela6[[#This Row],[CONSUMO]]</f>
        <v>5.69</v>
      </c>
      <c r="M375" s="50">
        <f>Tabela6[[#This Row],[KM ATUAL]]-E374</f>
        <v>474</v>
      </c>
      <c r="N375" s="51">
        <f>Tabela6[[#This Row],[KM Rodados ]]/Tabela6[[#This Row],[CONSUMO]]</f>
        <v>3.1430276506862938</v>
      </c>
    </row>
    <row r="376" spans="1:14" x14ac:dyDescent="0.25">
      <c r="A376" s="47">
        <v>305644</v>
      </c>
      <c r="B376" s="78">
        <v>44979</v>
      </c>
      <c r="C376" s="47" t="s">
        <v>12</v>
      </c>
      <c r="D376" s="49" t="s">
        <v>253</v>
      </c>
      <c r="E376" s="47">
        <v>304822</v>
      </c>
      <c r="G376" s="50" t="s">
        <v>89</v>
      </c>
      <c r="H376" s="51">
        <v>108.95</v>
      </c>
      <c r="I376" s="49">
        <v>32.68</v>
      </c>
      <c r="J376" s="51">
        <v>6.39</v>
      </c>
      <c r="K376" s="52">
        <f>Tabela6[[#This Row],[CONSUMO]]*Tabela6[[#This Row],[VALOR UNIT]]-Tabela6[[#This Row],[DESCONTO]]</f>
        <v>663.51049999999998</v>
      </c>
      <c r="L376" s="53">
        <f>Tabela6[[#This Row],[CUSTO TOTAL]]/Tabela6[[#This Row],[CONSUMO]]</f>
        <v>6.0900458926112888</v>
      </c>
      <c r="M376" s="50"/>
    </row>
    <row r="377" spans="1:14" x14ac:dyDescent="0.25">
      <c r="A377" s="47" t="s">
        <v>314</v>
      </c>
      <c r="B377" s="78">
        <v>44979</v>
      </c>
      <c r="C377" s="47" t="s">
        <v>13</v>
      </c>
      <c r="E377" s="47">
        <v>595825</v>
      </c>
      <c r="G377" s="50" t="s">
        <v>89</v>
      </c>
      <c r="H377" s="51">
        <v>145.26</v>
      </c>
      <c r="K377" s="52">
        <f>Tabela6[[#This Row],[CONSUMO]]*Tabela6[[#This Row],[VALOR UNIT]]-Tabela6[[#This Row],[DESCONTO]]</f>
        <v>0</v>
      </c>
      <c r="L377" s="53">
        <f>Tabela6[[#This Row],[CUSTO TOTAL]]/Tabela6[[#This Row],[CONSUMO]]</f>
        <v>0</v>
      </c>
      <c r="M377" s="50">
        <f>Tabela6[[#This Row],[KM ATUAL]]-E324</f>
        <v>6012</v>
      </c>
      <c r="N377" s="51">
        <f>Tabela6[[#This Row],[KM Rodados ]]/Tabela6[[#This Row],[CONSUMO]]</f>
        <v>41.387856257744737</v>
      </c>
    </row>
    <row r="378" spans="1:14" x14ac:dyDescent="0.25">
      <c r="A378" s="47">
        <v>163899</v>
      </c>
      <c r="B378" s="78">
        <v>44979</v>
      </c>
      <c r="C378" s="47" t="s">
        <v>13</v>
      </c>
      <c r="D378" s="49" t="s">
        <v>262</v>
      </c>
      <c r="E378" s="47">
        <v>596297</v>
      </c>
      <c r="G378" s="50" t="s">
        <v>89</v>
      </c>
      <c r="H378" s="51">
        <v>97.67</v>
      </c>
      <c r="J378" s="51">
        <v>5.69</v>
      </c>
      <c r="K378" s="52">
        <f>Tabela6[[#This Row],[CONSUMO]]*Tabela6[[#This Row],[VALOR UNIT]]-Tabela6[[#This Row],[DESCONTO]]</f>
        <v>555.7423</v>
      </c>
      <c r="L378" s="53">
        <f>Tabela6[[#This Row],[CUSTO TOTAL]]/Tabela6[[#This Row],[CONSUMO]]</f>
        <v>5.6899999999999995</v>
      </c>
      <c r="M378" s="50">
        <f>Tabela6[[#This Row],[KM ATUAL]]-E377</f>
        <v>472</v>
      </c>
      <c r="N378" s="51">
        <f>Tabela6[[#This Row],[KM Rodados ]]/Tabela6[[#This Row],[CONSUMO]]</f>
        <v>4.8325995699805464</v>
      </c>
    </row>
    <row r="379" spans="1:14" x14ac:dyDescent="0.25">
      <c r="A379" s="47">
        <v>163900</v>
      </c>
      <c r="B379" s="78">
        <v>44979</v>
      </c>
      <c r="C379" s="47" t="s">
        <v>15</v>
      </c>
      <c r="D379" s="49" t="s">
        <v>262</v>
      </c>
      <c r="E379" s="47">
        <v>348103</v>
      </c>
      <c r="G379" s="50" t="s">
        <v>89</v>
      </c>
      <c r="H379" s="51">
        <v>128.41999999999999</v>
      </c>
      <c r="J379" s="51">
        <v>5.69</v>
      </c>
      <c r="K379" s="52">
        <f>Tabela6[[#This Row],[CONSUMO]]*Tabela6[[#This Row],[VALOR UNIT]]-Tabela6[[#This Row],[DESCONTO]]</f>
        <v>730.70979999999997</v>
      </c>
      <c r="L379" s="53">
        <f>Tabela6[[#This Row],[CUSTO TOTAL]]/Tabela6[[#This Row],[CONSUMO]]</f>
        <v>5.69</v>
      </c>
      <c r="M379" s="50">
        <f>Tabela6[[#This Row],[KM ATUAL]]-E378</f>
        <v>-248194</v>
      </c>
      <c r="N379" s="72">
        <f>Tabela6[[#This Row],[KM Rodados ]]/Tabela6[[#This Row],[CONSUMO]]</f>
        <v>-1932.6740383117897</v>
      </c>
    </row>
    <row r="380" spans="1:14" x14ac:dyDescent="0.25">
      <c r="A380" s="47">
        <v>602118</v>
      </c>
      <c r="B380" s="78">
        <v>44979</v>
      </c>
      <c r="C380" s="47" t="s">
        <v>15</v>
      </c>
      <c r="D380" s="49" t="s">
        <v>250</v>
      </c>
      <c r="E380" s="47">
        <v>348605</v>
      </c>
      <c r="G380" s="50" t="s">
        <v>89</v>
      </c>
      <c r="H380" s="51">
        <v>91.308999999999997</v>
      </c>
      <c r="J380" s="51">
        <v>5.85</v>
      </c>
      <c r="K380" s="52">
        <f>Tabela6[[#This Row],[CONSUMO]]*Tabela6[[#This Row],[VALOR UNIT]]-Tabela6[[#This Row],[DESCONTO]]</f>
        <v>534.15764999999999</v>
      </c>
      <c r="L380" s="53">
        <f>Tabela6[[#This Row],[CUSTO TOTAL]]/Tabela6[[#This Row],[CONSUMO]]</f>
        <v>5.85</v>
      </c>
      <c r="M380" s="50">
        <f>Tabela6[[#This Row],[KM ATUAL]]-E379</f>
        <v>502</v>
      </c>
      <c r="N380" s="51">
        <f>Tabela6[[#This Row],[KM Rodados ]]/Tabela6[[#This Row],[CONSUMO]]</f>
        <v>5.4978151113252807</v>
      </c>
    </row>
    <row r="381" spans="1:14" x14ac:dyDescent="0.25">
      <c r="A381" s="47">
        <v>125001</v>
      </c>
      <c r="B381" s="78">
        <v>44979</v>
      </c>
      <c r="C381" s="47" t="s">
        <v>19</v>
      </c>
      <c r="D381" s="49" t="s">
        <v>268</v>
      </c>
      <c r="E381" s="47">
        <v>290117</v>
      </c>
      <c r="G381" s="50" t="s">
        <v>89</v>
      </c>
      <c r="H381" s="51">
        <v>238</v>
      </c>
      <c r="J381" s="51">
        <v>5.69</v>
      </c>
      <c r="K381" s="51">
        <f>Tabela6[[#This Row],[CONSUMO]]*Tabela6[[#This Row],[VALOR UNIT]]-Tabela6[[#This Row],[DESCONTO]]</f>
        <v>1354.22</v>
      </c>
      <c r="L381" s="53">
        <f>Tabela6[[#This Row],[CUSTO TOTAL]]/Tabela6[[#This Row],[CONSUMO]]</f>
        <v>5.69</v>
      </c>
      <c r="M381" s="50">
        <f>Tabela6[[#This Row],[KM ATUAL]]-E306</f>
        <v>1256</v>
      </c>
      <c r="N381" s="51">
        <f>Tabela6[[#This Row],[KM Rodados ]]/Tabela6[[#This Row],[CONSUMO]]</f>
        <v>5.2773109243697478</v>
      </c>
    </row>
    <row r="382" spans="1:14" x14ac:dyDescent="0.25">
      <c r="A382" s="47">
        <v>515531</v>
      </c>
      <c r="B382" s="78">
        <v>44979</v>
      </c>
      <c r="C382" s="47" t="s">
        <v>38</v>
      </c>
      <c r="D382" s="49" t="s">
        <v>255</v>
      </c>
      <c r="E382" s="47">
        <v>125137</v>
      </c>
      <c r="G382" s="50" t="s">
        <v>244</v>
      </c>
      <c r="H382" s="51">
        <v>52.19</v>
      </c>
      <c r="J382" s="51">
        <v>5.22</v>
      </c>
      <c r="K382" s="51">
        <f>Tabela6[[#This Row],[CONSUMO]]*Tabela6[[#This Row],[VALOR UNIT]]-Tabela6[[#This Row],[DESCONTO]]</f>
        <v>272.43179999999995</v>
      </c>
      <c r="L382" s="53">
        <f>Tabela6[[#This Row],[CUSTO TOTAL]]/Tabela6[[#This Row],[CONSUMO]]</f>
        <v>5.22</v>
      </c>
      <c r="M382" s="50">
        <f>Tabela6[[#This Row],[KM ATUAL]]-E286</f>
        <v>-162538</v>
      </c>
      <c r="N382" s="51">
        <f>Tabela6[[#This Row],[KM Rodados ]]/Tabela6[[#This Row],[CONSUMO]]</f>
        <v>-3114.3514083157693</v>
      </c>
    </row>
    <row r="383" spans="1:14" x14ac:dyDescent="0.25">
      <c r="A383" s="47" t="s">
        <v>314</v>
      </c>
      <c r="B383" s="78">
        <v>44979</v>
      </c>
      <c r="C383" s="47" t="s">
        <v>40</v>
      </c>
      <c r="E383" s="47">
        <v>122581</v>
      </c>
      <c r="G383" s="50" t="s">
        <v>244</v>
      </c>
      <c r="H383" s="51">
        <v>45.69</v>
      </c>
      <c r="K383" s="52">
        <f>Tabela6[[#This Row],[CONSUMO]]*Tabela6[[#This Row],[VALOR UNIT]]-Tabela6[[#This Row],[DESCONTO]]</f>
        <v>0</v>
      </c>
      <c r="L383" s="53">
        <f>Tabela6[[#This Row],[CUSTO TOTAL]]/Tabela6[[#This Row],[CONSUMO]]</f>
        <v>0</v>
      </c>
      <c r="M383" s="50">
        <f>Tabela6[[#This Row],[KM ATUAL]]-E382</f>
        <v>-2556</v>
      </c>
      <c r="N383" s="51">
        <f>Tabela6[[#This Row],[KM Rodados ]]/Tabela6[[#This Row],[CONSUMO]]</f>
        <v>-55.942219304005256</v>
      </c>
    </row>
    <row r="384" spans="1:14" x14ac:dyDescent="0.25">
      <c r="A384" s="47">
        <v>601534</v>
      </c>
      <c r="B384" s="78">
        <v>44979</v>
      </c>
      <c r="C384" s="47" t="s">
        <v>74</v>
      </c>
      <c r="D384" s="49" t="s">
        <v>250</v>
      </c>
      <c r="E384" s="47">
        <v>34855</v>
      </c>
      <c r="G384" s="50" t="s">
        <v>89</v>
      </c>
      <c r="H384" s="51">
        <v>51.179000000000002</v>
      </c>
      <c r="J384" s="51">
        <v>5.85</v>
      </c>
      <c r="K384" s="51">
        <f>Tabela6[[#This Row],[CONSUMO]]*Tabela6[[#This Row],[VALOR UNIT]]-Tabela6[[#This Row],[DESCONTO]]</f>
        <v>299.39715000000001</v>
      </c>
      <c r="L384" s="53">
        <f>Tabela6[[#This Row],[CUSTO TOTAL]]/Tabela6[[#This Row],[CONSUMO]]</f>
        <v>5.85</v>
      </c>
      <c r="M384" s="50">
        <f>Tabela6[[#This Row],[KM ATUAL]]-E348</f>
        <v>-195148</v>
      </c>
      <c r="N384" s="51">
        <f>Tabela6[[#This Row],[KM Rodados ]]/Tabela6[[#This Row],[CONSUMO]]</f>
        <v>-3813.0483206002459</v>
      </c>
    </row>
    <row r="385" spans="1:14" x14ac:dyDescent="0.25">
      <c r="A385" s="47">
        <v>51328</v>
      </c>
      <c r="B385" s="78">
        <v>44979</v>
      </c>
      <c r="C385" s="47" t="s">
        <v>74</v>
      </c>
      <c r="D385" s="49" t="s">
        <v>263</v>
      </c>
      <c r="E385" s="47">
        <v>35440</v>
      </c>
      <c r="G385" s="50" t="s">
        <v>89</v>
      </c>
      <c r="H385" s="51">
        <v>59.38</v>
      </c>
      <c r="I385" s="49">
        <v>5.94</v>
      </c>
      <c r="J385" s="51">
        <v>5.87</v>
      </c>
      <c r="K385" s="52">
        <f>Tabela6[[#This Row],[CONSUMO]]*Tabela6[[#This Row],[VALOR UNIT]]-Tabela6[[#This Row],[DESCONTO]]</f>
        <v>342.62060000000002</v>
      </c>
      <c r="L385" s="53">
        <f>Tabela6[[#This Row],[CUSTO TOTAL]]/Tabela6[[#This Row],[CONSUMO]]</f>
        <v>5.7699663186257997</v>
      </c>
      <c r="M385" s="50">
        <f>Tabela6[[#This Row],[KM ATUAL]]-E375</f>
        <v>-93135</v>
      </c>
      <c r="N385" s="51">
        <f>Tabela6[[#This Row],[KM Rodados ]]/Tabela6[[#This Row],[CONSUMO]]</f>
        <v>-1568.4573930616368</v>
      </c>
    </row>
    <row r="386" spans="1:14" x14ac:dyDescent="0.25">
      <c r="A386" s="80">
        <v>568178</v>
      </c>
      <c r="B386" s="78">
        <v>44980</v>
      </c>
      <c r="C386" s="47" t="s">
        <v>43</v>
      </c>
      <c r="D386" s="49" t="s">
        <v>271</v>
      </c>
      <c r="E386" s="47">
        <v>106149</v>
      </c>
      <c r="G386" s="50" t="s">
        <v>89</v>
      </c>
      <c r="H386" s="51">
        <v>44.13</v>
      </c>
      <c r="J386" s="51">
        <v>5.69</v>
      </c>
      <c r="K386" s="51">
        <f>Tabela6[[#This Row],[CONSUMO]]*Tabela6[[#This Row],[VALOR UNIT]]-Tabela6[[#This Row],[DESCONTO]]</f>
        <v>251.09970000000004</v>
      </c>
      <c r="L386" s="53">
        <f>Tabela6[[#This Row],[CUSTO TOTAL]]/Tabela6[[#This Row],[CONSUMO]]</f>
        <v>5.69</v>
      </c>
      <c r="M386" s="50">
        <f>Tabela6[[#This Row],[KM ATUAL]]-E371</f>
        <v>-73823</v>
      </c>
      <c r="N386" s="72">
        <f>Tabela6[[#This Row],[KM Rodados ]]/Tabela6[[#This Row],[CONSUMO]]</f>
        <v>-1672.8529345116699</v>
      </c>
    </row>
    <row r="387" spans="1:14" x14ac:dyDescent="0.25">
      <c r="A387" s="47">
        <v>570990</v>
      </c>
      <c r="B387" s="78">
        <v>44980</v>
      </c>
      <c r="C387" s="47" t="s">
        <v>9</v>
      </c>
      <c r="D387" s="49" t="s">
        <v>271</v>
      </c>
      <c r="E387" s="47">
        <v>591289</v>
      </c>
      <c r="G387" s="50" t="s">
        <v>89</v>
      </c>
      <c r="H387" s="51">
        <v>123.97</v>
      </c>
      <c r="J387" s="51">
        <v>5.69</v>
      </c>
      <c r="K387" s="52">
        <f>Tabela6[[#This Row],[CONSUMO]]*Tabela6[[#This Row],[VALOR UNIT]]-Tabela6[[#This Row],[DESCONTO]]</f>
        <v>705.38930000000005</v>
      </c>
      <c r="L387" s="53">
        <f>Tabela6[[#This Row],[CUSTO TOTAL]]/Tabela6[[#This Row],[CONSUMO]]</f>
        <v>5.69</v>
      </c>
      <c r="M387" s="50">
        <f>Tabela6[[#This Row],[KM ATUAL]]-E346</f>
        <v>361910</v>
      </c>
      <c r="N387" s="51">
        <f>Tabela6[[#This Row],[KM Rodados ]]/Tabela6[[#This Row],[CONSUMO]]</f>
        <v>2919.335323062031</v>
      </c>
    </row>
    <row r="388" spans="1:14" x14ac:dyDescent="0.25">
      <c r="A388" s="47">
        <v>164188</v>
      </c>
      <c r="B388" s="78">
        <v>44980</v>
      </c>
      <c r="C388" s="47" t="s">
        <v>72</v>
      </c>
      <c r="D388" s="49" t="s">
        <v>262</v>
      </c>
      <c r="E388" s="47">
        <v>373459</v>
      </c>
      <c r="G388" s="50" t="s">
        <v>89</v>
      </c>
      <c r="H388" s="51">
        <v>6.87</v>
      </c>
      <c r="J388" s="51">
        <v>5.69</v>
      </c>
      <c r="K388" s="52">
        <f>Tabela6[[#This Row],[CONSUMO]]*Tabela6[[#This Row],[VALOR UNIT]]-Tabela6[[#This Row],[DESCONTO]]</f>
        <v>39.090300000000006</v>
      </c>
      <c r="L388" s="53">
        <f>Tabela6[[#This Row],[CUSTO TOTAL]]/Tabela6[[#This Row],[CONSUMO]]</f>
        <v>5.69</v>
      </c>
      <c r="M388" s="50">
        <f>Tabela6[[#This Row],[KM ATUAL]]-E355</f>
        <v>55</v>
      </c>
      <c r="N388" s="51">
        <f>Tabela6[[#This Row],[KM Rodados ]]/Tabela6[[#This Row],[CONSUMO]]</f>
        <v>8.0058224163027649</v>
      </c>
    </row>
    <row r="389" spans="1:14" x14ac:dyDescent="0.25">
      <c r="A389" s="80" t="s">
        <v>314</v>
      </c>
      <c r="B389" s="78">
        <v>44980</v>
      </c>
      <c r="C389" s="47" t="s">
        <v>72</v>
      </c>
      <c r="E389" s="47">
        <v>373651</v>
      </c>
      <c r="G389" s="50" t="s">
        <v>89</v>
      </c>
      <c r="H389" s="51">
        <v>28.9</v>
      </c>
      <c r="K389" s="52">
        <f>Tabela6[[#This Row],[CONSUMO]]*Tabela6[[#This Row],[VALOR UNIT]]-Tabela6[[#This Row],[DESCONTO]]</f>
        <v>0</v>
      </c>
      <c r="L389" s="53">
        <f>Tabela6[[#This Row],[CUSTO TOTAL]]/Tabela6[[#This Row],[CONSUMO]]</f>
        <v>0</v>
      </c>
      <c r="M389" s="50">
        <f>Tabela6[[#This Row],[KM ATUAL]]-E381</f>
        <v>83534</v>
      </c>
      <c r="N389" s="72">
        <f>Tabela6[[#This Row],[KM Rodados ]]/Tabela6[[#This Row],[CONSUMO]]</f>
        <v>2890.4498269896194</v>
      </c>
    </row>
    <row r="390" spans="1:14" x14ac:dyDescent="0.25">
      <c r="A390" s="47">
        <v>499092</v>
      </c>
      <c r="B390" s="78">
        <v>44980</v>
      </c>
      <c r="C390" s="47" t="s">
        <v>72</v>
      </c>
      <c r="D390" s="47" t="s">
        <v>261</v>
      </c>
      <c r="E390" s="47">
        <v>373948</v>
      </c>
      <c r="G390" s="50" t="s">
        <v>89</v>
      </c>
      <c r="H390" s="51">
        <v>42.5</v>
      </c>
      <c r="J390" s="51">
        <v>5.99</v>
      </c>
      <c r="K390" s="52">
        <f>Tabela6[[#This Row],[CONSUMO]]*Tabela6[[#This Row],[VALOR UNIT]]-Tabela6[[#This Row],[DESCONTO]]</f>
        <v>254.57500000000002</v>
      </c>
      <c r="L390" s="53">
        <f>Tabela6[[#This Row],[CUSTO TOTAL]]/Tabela6[[#This Row],[CONSUMO]]</f>
        <v>5.99</v>
      </c>
      <c r="M390" s="50">
        <f>Tabela6[[#This Row],[KM ATUAL]]-E389</f>
        <v>297</v>
      </c>
      <c r="N390" s="51">
        <f>Tabela6[[#This Row],[KM Rodados ]]/Tabela6[[#This Row],[CONSUMO]]</f>
        <v>6.9882352941176471</v>
      </c>
    </row>
    <row r="391" spans="1:14" x14ac:dyDescent="0.25">
      <c r="A391" s="47">
        <v>164354</v>
      </c>
      <c r="B391" s="78">
        <v>44980</v>
      </c>
      <c r="C391" s="47" t="s">
        <v>207</v>
      </c>
      <c r="D391" s="49" t="s">
        <v>262</v>
      </c>
      <c r="E391" s="47">
        <v>62689</v>
      </c>
      <c r="G391" s="50" t="s">
        <v>244</v>
      </c>
      <c r="H391" s="51">
        <v>14.91</v>
      </c>
      <c r="J391" s="51">
        <v>4.99</v>
      </c>
      <c r="K391" s="51">
        <f>Tabela6[[#This Row],[CONSUMO]]*Tabela6[[#This Row],[VALOR UNIT]]-Tabela6[[#This Row],[DESCONTO]]</f>
        <v>74.400900000000007</v>
      </c>
      <c r="L391" s="53">
        <f>Tabela6[[#This Row],[CUSTO TOTAL]]/Tabela6[[#This Row],[CONSUMO]]</f>
        <v>4.99</v>
      </c>
      <c r="M391" s="50"/>
    </row>
    <row r="392" spans="1:14" x14ac:dyDescent="0.25">
      <c r="A392" s="47">
        <v>164247</v>
      </c>
      <c r="B392" s="78">
        <v>44980</v>
      </c>
      <c r="C392" s="47" t="s">
        <v>41</v>
      </c>
      <c r="D392" s="49" t="s">
        <v>262</v>
      </c>
      <c r="E392" s="47">
        <v>648701</v>
      </c>
      <c r="G392" s="50" t="s">
        <v>89</v>
      </c>
      <c r="H392" s="51">
        <v>143.32900000000001</v>
      </c>
      <c r="J392" s="51">
        <v>5.59</v>
      </c>
      <c r="K392" s="51">
        <f>Tabela6[[#This Row],[CONSUMO]]*Tabela6[[#This Row],[VALOR UNIT]]-Tabela6[[#This Row],[DESCONTO]]</f>
        <v>801.20911000000001</v>
      </c>
      <c r="L392" s="53">
        <f>Tabela6[[#This Row],[CUSTO TOTAL]]/Tabela6[[#This Row],[CONSUMO]]</f>
        <v>5.59</v>
      </c>
      <c r="M392" s="50">
        <f>Tabela6[[#This Row],[KM ATUAL]]-E343</f>
        <v>364853</v>
      </c>
      <c r="N392" s="51">
        <f>Tabela6[[#This Row],[KM Rodados ]]/Tabela6[[#This Row],[CONSUMO]]</f>
        <v>2545.5630053931864</v>
      </c>
    </row>
    <row r="393" spans="1:14" x14ac:dyDescent="0.25">
      <c r="A393" s="47" t="s">
        <v>314</v>
      </c>
      <c r="B393" s="78">
        <v>44980</v>
      </c>
      <c r="C393" s="47" t="s">
        <v>13</v>
      </c>
      <c r="E393" s="47">
        <v>596637</v>
      </c>
      <c r="G393" s="50" t="s">
        <v>89</v>
      </c>
      <c r="H393" s="51">
        <v>93.2</v>
      </c>
      <c r="K393" s="52">
        <f>Tabela6[[#This Row],[CONSUMO]]*Tabela6[[#This Row],[VALOR UNIT]]-Tabela6[[#This Row],[DESCONTO]]</f>
        <v>0</v>
      </c>
      <c r="L393" s="53">
        <f>Tabela6[[#This Row],[CUSTO TOTAL]]/Tabela6[[#This Row],[CONSUMO]]</f>
        <v>0</v>
      </c>
      <c r="M393" s="50">
        <f>Tabela6[[#This Row],[KM ATUAL]]-E376</f>
        <v>291815</v>
      </c>
      <c r="N393" s="51">
        <f>Tabela6[[#This Row],[KM Rodados ]]/Tabela6[[#This Row],[CONSUMO]]</f>
        <v>3131.0622317596567</v>
      </c>
    </row>
    <row r="394" spans="1:14" x14ac:dyDescent="0.25">
      <c r="A394" s="47">
        <v>375948</v>
      </c>
      <c r="B394" s="78">
        <v>44980</v>
      </c>
      <c r="C394" s="47" t="s">
        <v>13</v>
      </c>
      <c r="D394" s="49" t="s">
        <v>273</v>
      </c>
      <c r="E394" s="47">
        <v>597172</v>
      </c>
      <c r="G394" s="50" t="s">
        <v>89</v>
      </c>
      <c r="H394" s="51">
        <v>120.87</v>
      </c>
      <c r="J394" s="51">
        <v>5.69</v>
      </c>
      <c r="K394" s="52">
        <f>Tabela6[[#This Row],[CONSUMO]]*Tabela6[[#This Row],[VALOR UNIT]]-Tabela6[[#This Row],[DESCONTO]]</f>
        <v>687.75030000000004</v>
      </c>
      <c r="L394" s="53">
        <f>Tabela6[[#This Row],[CUSTO TOTAL]]/Tabela6[[#This Row],[CONSUMO]]</f>
        <v>5.69</v>
      </c>
      <c r="M394" s="50">
        <f>Tabela6[[#This Row],[KM ATUAL]]-E393</f>
        <v>535</v>
      </c>
      <c r="N394" s="51">
        <f>Tabela6[[#This Row],[KM Rodados ]]/Tabela6[[#This Row],[CONSUMO]]</f>
        <v>4.4262430710680896</v>
      </c>
    </row>
    <row r="395" spans="1:14" x14ac:dyDescent="0.25">
      <c r="A395" s="47">
        <v>164269</v>
      </c>
      <c r="B395" s="78">
        <v>44980</v>
      </c>
      <c r="C395" s="47" t="s">
        <v>14</v>
      </c>
      <c r="D395" s="49" t="s">
        <v>262</v>
      </c>
      <c r="E395" s="47">
        <v>284645</v>
      </c>
      <c r="G395" s="50" t="s">
        <v>244</v>
      </c>
      <c r="H395" s="51">
        <v>30.06</v>
      </c>
      <c r="J395" s="51">
        <v>4.99</v>
      </c>
      <c r="K395" s="52">
        <f>Tabela6[[#This Row],[CONSUMO]]*Tabela6[[#This Row],[VALOR UNIT]]-Tabela6[[#This Row],[DESCONTO]]</f>
        <v>149.99940000000001</v>
      </c>
      <c r="L395" s="53">
        <f>Tabela6[[#This Row],[CUSTO TOTAL]]/Tabela6[[#This Row],[CONSUMO]]</f>
        <v>4.99</v>
      </c>
      <c r="M395" s="50">
        <f>Tabela6[[#This Row],[KM ATUAL]]-E358</f>
        <v>73287</v>
      </c>
      <c r="N395" s="51">
        <f>Tabela6[[#This Row],[KM Rodados ]]/Tabela6[[#This Row],[CONSUMO]]</f>
        <v>2438.0239520958085</v>
      </c>
    </row>
    <row r="396" spans="1:14" x14ac:dyDescent="0.25">
      <c r="A396" s="47">
        <v>51960</v>
      </c>
      <c r="B396" s="78">
        <v>44980</v>
      </c>
      <c r="C396" s="47" t="s">
        <v>14</v>
      </c>
      <c r="D396" s="49" t="s">
        <v>263</v>
      </c>
      <c r="E396" s="47">
        <v>285104</v>
      </c>
      <c r="G396" s="50" t="s">
        <v>244</v>
      </c>
      <c r="H396" s="51">
        <v>35.56</v>
      </c>
      <c r="J396" s="51">
        <v>4.99</v>
      </c>
      <c r="K396" s="52">
        <f>Tabela6[[#This Row],[CONSUMO]]*Tabela6[[#This Row],[VALOR UNIT]]-Tabela6[[#This Row],[DESCONTO]]</f>
        <v>177.44440000000003</v>
      </c>
      <c r="L396" s="53">
        <f>Tabela6[[#This Row],[CUSTO TOTAL]]/Tabela6[[#This Row],[CONSUMO]]</f>
        <v>4.99</v>
      </c>
      <c r="M396" s="50">
        <f>Tabela6[[#This Row],[KM ATUAL]]-E394</f>
        <v>-312068</v>
      </c>
      <c r="N396" s="51">
        <f>Tabela6[[#This Row],[KM Rodados ]]/Tabela6[[#This Row],[CONSUMO]]</f>
        <v>-8775.8155230596167</v>
      </c>
    </row>
    <row r="397" spans="1:14" x14ac:dyDescent="0.25">
      <c r="A397" s="47">
        <v>51621</v>
      </c>
      <c r="B397" s="78">
        <v>44980</v>
      </c>
      <c r="C397" s="47" t="s">
        <v>17</v>
      </c>
      <c r="D397" s="49" t="s">
        <v>263</v>
      </c>
      <c r="E397" s="47">
        <v>338708</v>
      </c>
      <c r="G397" s="50" t="s">
        <v>89</v>
      </c>
      <c r="H397" s="51">
        <v>224.881</v>
      </c>
      <c r="I397" s="49">
        <v>22.49</v>
      </c>
      <c r="J397" s="51">
        <v>5.87</v>
      </c>
      <c r="K397" s="51">
        <f>Tabela6[[#This Row],[CONSUMO]]*Tabela6[[#This Row],[VALOR UNIT]]-Tabela6[[#This Row],[DESCONTO]]</f>
        <v>1297.5614700000001</v>
      </c>
      <c r="L397" s="53">
        <f>Tabela6[[#This Row],[CUSTO TOTAL]]/Tabela6[[#This Row],[CONSUMO]]</f>
        <v>5.7699915510870197</v>
      </c>
      <c r="M397" s="50">
        <f>Tabela6[[#This Row],[KM ATUAL]]-E338</f>
        <v>-533788</v>
      </c>
      <c r="N397" s="51">
        <f>Tabela6[[#This Row],[KM Rodados ]]/Tabela6[[#This Row],[CONSUMO]]</f>
        <v>-2373.6465063744827</v>
      </c>
    </row>
    <row r="398" spans="1:14" x14ac:dyDescent="0.25">
      <c r="A398" s="47">
        <v>515744</v>
      </c>
      <c r="B398" s="78">
        <v>44980</v>
      </c>
      <c r="C398" s="47" t="s">
        <v>18</v>
      </c>
      <c r="D398" s="49" t="s">
        <v>255</v>
      </c>
      <c r="E398" s="47">
        <v>296217</v>
      </c>
      <c r="G398" s="50" t="s">
        <v>89</v>
      </c>
      <c r="H398" s="51">
        <v>65.840999999999994</v>
      </c>
      <c r="J398" s="51">
        <v>6.26</v>
      </c>
      <c r="K398" s="51">
        <f>Tabela6[[#This Row],[CONSUMO]]*Tabela6[[#This Row],[VALOR UNIT]]-Tabela6[[#This Row],[DESCONTO]]</f>
        <v>412.16465999999997</v>
      </c>
      <c r="L398" s="53">
        <f>Tabela6[[#This Row],[CUSTO TOTAL]]/Tabela6[[#This Row],[CONSUMO]]</f>
        <v>6.26</v>
      </c>
      <c r="M398" s="50">
        <f>Tabela6[[#This Row],[KM ATUAL]]-E347</f>
        <v>66517</v>
      </c>
      <c r="N398" s="51">
        <f>Tabela6[[#This Row],[KM Rodados ]]/Tabela6[[#This Row],[CONSUMO]]</f>
        <v>1010.2671587612583</v>
      </c>
    </row>
    <row r="399" spans="1:14" x14ac:dyDescent="0.25">
      <c r="A399" s="47" t="s">
        <v>314</v>
      </c>
      <c r="B399" s="78">
        <v>44980</v>
      </c>
      <c r="C399" s="47" t="s">
        <v>19</v>
      </c>
      <c r="E399" s="47">
        <v>291537</v>
      </c>
      <c r="G399" s="50" t="s">
        <v>89</v>
      </c>
      <c r="H399" s="51">
        <v>260</v>
      </c>
      <c r="K399" s="52">
        <f>Tabela6[[#This Row],[CONSUMO]]*Tabela6[[#This Row],[VALOR UNIT]]-Tabela6[[#This Row],[DESCONTO]]</f>
        <v>0</v>
      </c>
      <c r="L399" s="53">
        <f>Tabela6[[#This Row],[CUSTO TOTAL]]/Tabela6[[#This Row],[CONSUMO]]</f>
        <v>0</v>
      </c>
      <c r="M399" s="50">
        <f>Tabela6[[#This Row],[KM ATUAL]]-E383</f>
        <v>168956</v>
      </c>
      <c r="N399" s="51">
        <f>Tabela6[[#This Row],[KM Rodados ]]/Tabela6[[#This Row],[CONSUMO]]</f>
        <v>649.83076923076919</v>
      </c>
    </row>
    <row r="400" spans="1:14" x14ac:dyDescent="0.25">
      <c r="A400" s="47">
        <v>164215</v>
      </c>
      <c r="B400" s="78">
        <v>44980</v>
      </c>
      <c r="C400" s="47" t="s">
        <v>74</v>
      </c>
      <c r="D400" s="49" t="s">
        <v>262</v>
      </c>
      <c r="E400" s="47">
        <v>35547</v>
      </c>
      <c r="G400" s="50" t="s">
        <v>241</v>
      </c>
      <c r="H400" s="51">
        <v>16.812000000000001</v>
      </c>
      <c r="J400" s="51">
        <v>3.69</v>
      </c>
      <c r="K400" s="51">
        <f>Tabela6[[#This Row],[CONSUMO]]*Tabela6[[#This Row],[VALOR UNIT]]-Tabela6[[#This Row],[DESCONTO]]</f>
        <v>62.036280000000005</v>
      </c>
      <c r="L400" s="53">
        <f>Tabela6[[#This Row],[CUSTO TOTAL]]/Tabela6[[#This Row],[CONSUMO]]</f>
        <v>3.69</v>
      </c>
      <c r="M400" s="50"/>
      <c r="N400"/>
    </row>
    <row r="401" spans="1:14" x14ac:dyDescent="0.25">
      <c r="A401" s="47">
        <v>164410</v>
      </c>
      <c r="B401" s="78">
        <v>44981</v>
      </c>
      <c r="C401" s="47" t="s">
        <v>22</v>
      </c>
      <c r="D401" s="49" t="s">
        <v>262</v>
      </c>
      <c r="E401" s="47">
        <v>318107</v>
      </c>
      <c r="G401" s="50" t="s">
        <v>89</v>
      </c>
      <c r="H401" s="51">
        <v>165.4</v>
      </c>
      <c r="J401" s="51">
        <v>5.69</v>
      </c>
      <c r="K401" s="74">
        <f>Tabela6[[#This Row],[CONSUMO]]*Tabela6[[#This Row],[VALOR UNIT]]-Tabela6[[#This Row],[DESCONTO]]</f>
        <v>941.12600000000009</v>
      </c>
      <c r="L401" s="53">
        <f>Tabela6[[#This Row],[CUSTO TOTAL]]/Tabela6[[#This Row],[CONSUMO]]</f>
        <v>5.69</v>
      </c>
      <c r="M401" s="50">
        <f>Tabela6[[#This Row],[KM ATUAL]]-E302</f>
        <v>-598769</v>
      </c>
      <c r="N401" s="51">
        <f>Tabela6[[#This Row],[KM Rodados ]]/Tabela6[[#This Row],[CONSUMO]]</f>
        <v>-3620.1269649334945</v>
      </c>
    </row>
    <row r="402" spans="1:14" x14ac:dyDescent="0.25">
      <c r="A402" s="47">
        <v>499283</v>
      </c>
      <c r="B402" s="78">
        <v>44981</v>
      </c>
      <c r="C402" s="47" t="s">
        <v>203</v>
      </c>
      <c r="D402" s="49" t="s">
        <v>261</v>
      </c>
      <c r="E402" s="47">
        <v>77706</v>
      </c>
      <c r="G402" s="50" t="s">
        <v>244</v>
      </c>
      <c r="H402" s="51">
        <v>26.571000000000002</v>
      </c>
      <c r="J402" s="51">
        <v>5.09</v>
      </c>
      <c r="K402" s="51">
        <f>Tabela6[[#This Row],[CONSUMO]]*Tabela6[[#This Row],[VALOR UNIT]]-Tabela6[[#This Row],[DESCONTO]]</f>
        <v>135.24638999999999</v>
      </c>
      <c r="L402" s="53">
        <f>Tabela6[[#This Row],[CUSTO TOTAL]]/Tabela6[[#This Row],[CONSUMO]]</f>
        <v>5.089999999999999</v>
      </c>
      <c r="M402" s="50">
        <f>Tabela6[[#This Row],[KM ATUAL]]-E366</f>
        <v>-627376</v>
      </c>
      <c r="N402" s="51">
        <f>Tabela6[[#This Row],[KM Rodados ]]/Tabela6[[#This Row],[CONSUMO]]</f>
        <v>-23611.305558691805</v>
      </c>
    </row>
    <row r="403" spans="1:14" x14ac:dyDescent="0.25">
      <c r="A403" s="47">
        <v>588654</v>
      </c>
      <c r="B403" s="78">
        <v>44981</v>
      </c>
      <c r="C403" s="47" t="s">
        <v>72</v>
      </c>
      <c r="D403" s="49" t="s">
        <v>271</v>
      </c>
      <c r="E403" s="47">
        <v>374255</v>
      </c>
      <c r="G403" s="50" t="s">
        <v>89</v>
      </c>
      <c r="H403" s="51">
        <v>41.790999999999997</v>
      </c>
      <c r="J403" s="51">
        <v>5.69</v>
      </c>
      <c r="K403" s="51">
        <f>Tabela6[[#This Row],[CONSUMO]]*Tabela6[[#This Row],[VALOR UNIT]]-Tabela6[[#This Row],[DESCONTO]]</f>
        <v>237.79078999999999</v>
      </c>
      <c r="L403" s="53">
        <f>Tabela6[[#This Row],[CUSTO TOTAL]]/Tabela6[[#This Row],[CONSUMO]]</f>
        <v>5.69</v>
      </c>
      <c r="M403" s="50">
        <f>Tabela6[[#This Row],[KM ATUAL]]-E396</f>
        <v>89151</v>
      </c>
      <c r="N403" s="51">
        <f>Tabela6[[#This Row],[KM Rodados ]]/Tabela6[[#This Row],[CONSUMO]]</f>
        <v>2133.2583570625256</v>
      </c>
    </row>
    <row r="404" spans="1:14" x14ac:dyDescent="0.25">
      <c r="A404" s="47">
        <v>164381</v>
      </c>
      <c r="B404" s="78">
        <v>44981</v>
      </c>
      <c r="C404" s="47" t="s">
        <v>10</v>
      </c>
      <c r="D404" s="49" t="s">
        <v>262</v>
      </c>
      <c r="E404" s="47">
        <v>705641</v>
      </c>
      <c r="G404" s="50" t="s">
        <v>89</v>
      </c>
      <c r="H404" s="51">
        <v>153.011</v>
      </c>
      <c r="J404" s="51">
        <v>5.69</v>
      </c>
      <c r="K404" s="51">
        <f>Tabela6[[#This Row],[CONSUMO]]*Tabela6[[#This Row],[VALOR UNIT]]-Tabela6[[#This Row],[DESCONTO]]</f>
        <v>870.63259000000005</v>
      </c>
      <c r="L404" s="53">
        <f>Tabela6[[#This Row],[CUSTO TOTAL]]/Tabela6[[#This Row],[CONSUMO]]</f>
        <v>5.69</v>
      </c>
      <c r="M404" s="50">
        <f>Tabela6[[#This Row],[KM ATUAL]]-E367</f>
        <v>600118</v>
      </c>
      <c r="N404" s="51">
        <f>Tabela6[[#This Row],[KM Rodados ]]/Tabela6[[#This Row],[CONSUMO]]</f>
        <v>3922.0578912627197</v>
      </c>
    </row>
    <row r="405" spans="1:14" x14ac:dyDescent="0.25">
      <c r="A405" s="47">
        <v>125974</v>
      </c>
      <c r="B405" s="78">
        <v>44981</v>
      </c>
      <c r="C405" s="47" t="s">
        <v>15</v>
      </c>
      <c r="D405" s="49" t="s">
        <v>268</v>
      </c>
      <c r="E405" s="47">
        <v>349310</v>
      </c>
      <c r="G405" s="50" t="s">
        <v>89</v>
      </c>
      <c r="H405" s="51">
        <v>113.2</v>
      </c>
      <c r="J405" s="51">
        <v>5.49</v>
      </c>
      <c r="K405" s="52">
        <f>Tabela6[[#This Row],[CONSUMO]]*Tabela6[[#This Row],[VALOR UNIT]]-Tabela6[[#This Row],[DESCONTO]]</f>
        <v>621.46800000000007</v>
      </c>
      <c r="L405" s="53">
        <f>Tabela6[[#This Row],[CUSTO TOTAL]]/Tabela6[[#This Row],[CONSUMO]]</f>
        <v>5.49</v>
      </c>
      <c r="M405" s="50">
        <f>Tabela6[[#This Row],[KM ATUAL]]-E372</f>
        <v>167402</v>
      </c>
      <c r="N405" s="51">
        <f>Tabela6[[#This Row],[KM Rodados ]]/Tabela6[[#This Row],[CONSUMO]]</f>
        <v>1478.8162544169611</v>
      </c>
    </row>
    <row r="406" spans="1:14" x14ac:dyDescent="0.25">
      <c r="A406" s="47" t="s">
        <v>314</v>
      </c>
      <c r="B406" s="78">
        <v>44981</v>
      </c>
      <c r="C406" s="47" t="s">
        <v>19</v>
      </c>
      <c r="E406" s="47">
        <v>292732</v>
      </c>
      <c r="G406" s="50" t="s">
        <v>89</v>
      </c>
      <c r="H406" s="51">
        <v>200</v>
      </c>
      <c r="K406" s="52">
        <f>Tabela6[[#This Row],[CONSUMO]]*Tabela6[[#This Row],[VALOR UNIT]]-Tabela6[[#This Row],[DESCONTO]]</f>
        <v>0</v>
      </c>
      <c r="L406" s="53">
        <f>Tabela6[[#This Row],[CUSTO TOTAL]]/Tabela6[[#This Row],[CONSUMO]]</f>
        <v>0</v>
      </c>
      <c r="M406" s="50">
        <f>Tabela6[[#This Row],[KM ATUAL]]-E390</f>
        <v>-81216</v>
      </c>
      <c r="N406" s="51">
        <f>Tabela6[[#This Row],[KM Rodados ]]/Tabela6[[#This Row],[CONSUMO]]</f>
        <v>-406.08</v>
      </c>
    </row>
    <row r="407" spans="1:14" x14ac:dyDescent="0.25">
      <c r="A407" s="47" t="s">
        <v>314</v>
      </c>
      <c r="B407" s="78">
        <v>44982</v>
      </c>
      <c r="C407" s="47" t="s">
        <v>215</v>
      </c>
      <c r="E407" s="47">
        <v>217999</v>
      </c>
      <c r="G407" s="50" t="s">
        <v>244</v>
      </c>
      <c r="H407" s="51">
        <v>27</v>
      </c>
      <c r="K407" s="52">
        <f>Tabela6[[#This Row],[CONSUMO]]*Tabela6[[#This Row],[VALOR UNIT]]-Tabela6[[#This Row],[DESCONTO]]</f>
        <v>0</v>
      </c>
      <c r="L407" s="53">
        <f>Tabela6[[#This Row],[CUSTO TOTAL]]/Tabela6[[#This Row],[CONSUMO]]</f>
        <v>0</v>
      </c>
      <c r="M407" s="50">
        <f>Tabela6[[#This Row],[KM ATUAL]]-E310</f>
        <v>-153261</v>
      </c>
      <c r="N407" s="51">
        <f>Tabela6[[#This Row],[KM Rodados ]]/Tabela6[[#This Row],[CONSUMO]]</f>
        <v>-5676.333333333333</v>
      </c>
    </row>
    <row r="408" spans="1:14" x14ac:dyDescent="0.25">
      <c r="A408" s="47" t="s">
        <v>314</v>
      </c>
      <c r="B408" s="78">
        <v>44982</v>
      </c>
      <c r="C408" s="47" t="s">
        <v>19</v>
      </c>
      <c r="E408" s="47">
        <v>293928</v>
      </c>
      <c r="G408" s="50" t="s">
        <v>89</v>
      </c>
      <c r="H408" s="51">
        <v>209</v>
      </c>
      <c r="K408" s="52">
        <f>Tabela6[[#This Row],[CONSUMO]]*Tabela6[[#This Row],[VALOR UNIT]]-Tabela6[[#This Row],[DESCONTO]]</f>
        <v>0</v>
      </c>
      <c r="L408" s="53">
        <f>Tabela6[[#This Row],[CUSTO TOTAL]]/Tabela6[[#This Row],[CONSUMO]]</f>
        <v>0</v>
      </c>
      <c r="M408" s="50">
        <f>Tabela6[[#This Row],[KM ATUAL]]-E406</f>
        <v>1196</v>
      </c>
      <c r="N408" s="51">
        <f>Tabela6[[#This Row],[KM Rodados ]]/Tabela6[[#This Row],[CONSUMO]]</f>
        <v>5.7224880382775121</v>
      </c>
    </row>
    <row r="409" spans="1:14" x14ac:dyDescent="0.25">
      <c r="A409" s="47">
        <v>52535</v>
      </c>
      <c r="B409" s="78">
        <v>44982</v>
      </c>
      <c r="C409" s="47" t="s">
        <v>74</v>
      </c>
      <c r="D409" s="49" t="s">
        <v>263</v>
      </c>
      <c r="E409" s="47">
        <v>35806</v>
      </c>
      <c r="G409" s="50" t="s">
        <v>89</v>
      </c>
      <c r="H409" s="51">
        <v>50.83</v>
      </c>
      <c r="I409" s="49">
        <v>5.09</v>
      </c>
      <c r="J409" s="51">
        <v>5.87</v>
      </c>
      <c r="K409" s="51">
        <f>Tabela6[[#This Row],[CONSUMO]]*Tabela6[[#This Row],[VALOR UNIT]]-Tabela6[[#This Row],[DESCONTO]]</f>
        <v>293.28210000000001</v>
      </c>
      <c r="L409" s="53">
        <f>Tabela6[[#This Row],[CUSTO TOTAL]]/Tabela6[[#This Row],[CONSUMO]]</f>
        <v>5.7698622860515449</v>
      </c>
      <c r="M409" s="50">
        <f>Tabela6[[#This Row],[KM ATUAL]]-E374</f>
        <v>-92295</v>
      </c>
      <c r="N409" s="51">
        <f>Tabela6[[#This Row],[KM Rodados ]]/Tabela6[[#This Row],[CONSUMO]]</f>
        <v>-1815.7584103875665</v>
      </c>
    </row>
    <row r="410" spans="1:14" x14ac:dyDescent="0.25">
      <c r="A410" s="47" t="s">
        <v>314</v>
      </c>
      <c r="B410" s="78">
        <v>44983</v>
      </c>
      <c r="C410" s="47" t="s">
        <v>68</v>
      </c>
      <c r="E410" s="47">
        <v>862871</v>
      </c>
      <c r="G410" s="50" t="s">
        <v>89</v>
      </c>
      <c r="H410" s="51">
        <v>320</v>
      </c>
      <c r="K410" s="52">
        <f>Tabela6[[#This Row],[CONSUMO]]*Tabela6[[#This Row],[VALOR UNIT]]-Tabela6[[#This Row],[DESCONTO]]</f>
        <v>0</v>
      </c>
      <c r="L410" s="53">
        <f>Tabela6[[#This Row],[CUSTO TOTAL]]/Tabela6[[#This Row],[CONSUMO]]</f>
        <v>0</v>
      </c>
      <c r="M410" s="50" t="e">
        <f>Tabela6[[#This Row],[KM ATUAL]]-#REF!</f>
        <v>#REF!</v>
      </c>
      <c r="N410" s="51" t="e">
        <f>Tabela6[[#This Row],[KM Rodados ]]/Tabela6[[#This Row],[CONSUMO]]</f>
        <v>#REF!</v>
      </c>
    </row>
    <row r="411" spans="1:14" x14ac:dyDescent="0.25">
      <c r="A411" s="47">
        <v>165152</v>
      </c>
      <c r="B411" s="78">
        <v>44984</v>
      </c>
      <c r="C411" s="47" t="s">
        <v>68</v>
      </c>
      <c r="D411" s="49" t="s">
        <v>262</v>
      </c>
      <c r="E411" s="47">
        <v>863725</v>
      </c>
      <c r="G411" s="50" t="s">
        <v>89</v>
      </c>
      <c r="H411" s="51">
        <v>218.52</v>
      </c>
      <c r="J411" s="51">
        <v>5.69</v>
      </c>
      <c r="K411" s="51">
        <f>Tabela6[[#This Row],[CONSUMO]]*Tabela6[[#This Row],[VALOR UNIT]]-Tabela6[[#This Row],[DESCONTO]]</f>
        <v>1243.3788000000002</v>
      </c>
      <c r="L411" s="53">
        <f>Tabela6[[#This Row],[CUSTO TOTAL]]/Tabela6[[#This Row],[CONSUMO]]</f>
        <v>5.69</v>
      </c>
      <c r="M411" s="50">
        <f>Tabela6[[#This Row],[KM ATUAL]]-E410</f>
        <v>854</v>
      </c>
      <c r="N411" s="51">
        <f>Tabela6[[#This Row],[KM Rodados ]]/Tabela6[[#This Row],[CONSUMO]]</f>
        <v>3.9081090975654402</v>
      </c>
    </row>
    <row r="412" spans="1:14" x14ac:dyDescent="0.25">
      <c r="A412" s="47" t="s">
        <v>314</v>
      </c>
      <c r="B412" s="78">
        <v>44984</v>
      </c>
      <c r="C412" s="47" t="s">
        <v>43</v>
      </c>
      <c r="E412" s="47">
        <v>106409</v>
      </c>
      <c r="G412" s="50" t="s">
        <v>89</v>
      </c>
      <c r="H412" s="51">
        <v>29</v>
      </c>
      <c r="K412" s="52">
        <f>Tabela6[[#This Row],[CONSUMO]]*Tabela6[[#This Row],[VALOR UNIT]]-Tabela6[[#This Row],[DESCONTO]]</f>
        <v>0</v>
      </c>
      <c r="L412" s="53">
        <f>Tabela6[[#This Row],[CUSTO TOTAL]]/Tabela6[[#This Row],[CONSUMO]]</f>
        <v>0</v>
      </c>
      <c r="M412" s="50">
        <f>Tabela6[[#This Row],[KM ATUAL]]-E383</f>
        <v>-16172</v>
      </c>
      <c r="N412" s="51">
        <f>Tabela6[[#This Row],[KM Rodados ]]/Tabela6[[#This Row],[CONSUMO]]</f>
        <v>-557.65517241379314</v>
      </c>
    </row>
    <row r="413" spans="1:14" x14ac:dyDescent="0.25">
      <c r="A413" s="47">
        <v>165035</v>
      </c>
      <c r="B413" s="78">
        <v>44984</v>
      </c>
      <c r="C413" s="47" t="s">
        <v>43</v>
      </c>
      <c r="D413" s="49" t="s">
        <v>262</v>
      </c>
      <c r="E413" s="47">
        <v>106691</v>
      </c>
      <c r="G413" s="50" t="s">
        <v>89</v>
      </c>
      <c r="H413" s="51">
        <v>37.33</v>
      </c>
      <c r="J413" s="51">
        <v>5.69</v>
      </c>
      <c r="K413" s="52">
        <f>Tabela6[[#This Row],[CONSUMO]]*Tabela6[[#This Row],[VALOR UNIT]]-Tabela6[[#This Row],[DESCONTO]]</f>
        <v>212.40770000000001</v>
      </c>
      <c r="L413" s="53">
        <f>Tabela6[[#This Row],[CUSTO TOTAL]]/Tabela6[[#This Row],[CONSUMO]]</f>
        <v>5.69</v>
      </c>
      <c r="M413" s="50">
        <f>Tabela6[[#This Row],[KM ATUAL]]-E412</f>
        <v>282</v>
      </c>
      <c r="N413" s="72">
        <f>Tabela6[[#This Row],[KM Rodados ]]/Tabela6[[#This Row],[CONSUMO]]</f>
        <v>7.5542459148138228</v>
      </c>
    </row>
    <row r="414" spans="1:14" x14ac:dyDescent="0.25">
      <c r="A414" s="47">
        <v>309557</v>
      </c>
      <c r="B414" s="78">
        <v>44984</v>
      </c>
      <c r="C414" s="47" t="s">
        <v>39</v>
      </c>
      <c r="D414" s="49" t="s">
        <v>253</v>
      </c>
      <c r="E414" s="47">
        <v>79336</v>
      </c>
      <c r="G414" s="50" t="s">
        <v>89</v>
      </c>
      <c r="H414" s="51">
        <v>73.52</v>
      </c>
      <c r="I414" s="49">
        <v>22.06</v>
      </c>
      <c r="J414" s="51">
        <v>6.39</v>
      </c>
      <c r="K414" s="51">
        <f>Tabela6[[#This Row],[CONSUMO]]*Tabela6[[#This Row],[VALOR UNIT]]-Tabela6[[#This Row],[DESCONTO]]</f>
        <v>447.73279999999994</v>
      </c>
      <c r="L414" s="53">
        <f>Tabela6[[#This Row],[CUSTO TOTAL]]/Tabela6[[#This Row],[CONSUMO]]</f>
        <v>6.0899455930359085</v>
      </c>
      <c r="M414" s="50">
        <f>Tabela6[[#This Row],[KM ATUAL]]-E329</f>
        <v>-293849</v>
      </c>
      <c r="N414" s="51">
        <f>Tabela6[[#This Row],[KM Rodados ]]/Tabela6[[#This Row],[CONSUMO]]</f>
        <v>-3996.8579978237217</v>
      </c>
    </row>
    <row r="415" spans="1:14" x14ac:dyDescent="0.25">
      <c r="A415" s="47">
        <v>743043</v>
      </c>
      <c r="B415" s="78">
        <v>44984</v>
      </c>
      <c r="C415" s="47" t="s">
        <v>72</v>
      </c>
      <c r="D415" s="49" t="s">
        <v>284</v>
      </c>
      <c r="E415" s="47">
        <v>374581</v>
      </c>
      <c r="G415" s="50" t="s">
        <v>89</v>
      </c>
      <c r="H415" s="51">
        <v>42.366999999999997</v>
      </c>
      <c r="J415" s="51">
        <v>5.59</v>
      </c>
      <c r="K415" s="52">
        <f>Tabela6[[#This Row],[CONSUMO]]*Tabela6[[#This Row],[VALOR UNIT]]-Tabela6[[#This Row],[DESCONTO]]</f>
        <v>236.83152999999999</v>
      </c>
      <c r="L415" s="53">
        <f>Tabela6[[#This Row],[CUSTO TOTAL]]/Tabela6[[#This Row],[CONSUMO]]</f>
        <v>5.59</v>
      </c>
      <c r="M415" s="50">
        <f>Tabela6[[#This Row],[KM ATUAL]]-E384</f>
        <v>339726</v>
      </c>
      <c r="N415" s="51">
        <f>Tabela6[[#This Row],[KM Rodados ]]/Tabela6[[#This Row],[CONSUMO]]</f>
        <v>8018.6465881464355</v>
      </c>
    </row>
    <row r="416" spans="1:14" x14ac:dyDescent="0.25">
      <c r="A416" s="47">
        <v>165021</v>
      </c>
      <c r="B416" s="78">
        <v>44984</v>
      </c>
      <c r="C416" s="47" t="s">
        <v>21</v>
      </c>
      <c r="D416" s="49" t="s">
        <v>262</v>
      </c>
      <c r="E416" s="47">
        <v>128917</v>
      </c>
      <c r="G416" s="50" t="s">
        <v>89</v>
      </c>
      <c r="H416" s="51">
        <v>94.62</v>
      </c>
      <c r="J416" s="51">
        <v>5.69</v>
      </c>
      <c r="K416" s="52">
        <f>Tabela6[[#This Row],[CONSUMO]]*Tabela6[[#This Row],[VALOR UNIT]]-Tabela6[[#This Row],[DESCONTO]]</f>
        <v>538.38780000000008</v>
      </c>
      <c r="L416" s="53">
        <f>Tabela6[[#This Row],[CUSTO TOTAL]]/Tabela6[[#This Row],[CONSUMO]]</f>
        <v>5.69</v>
      </c>
      <c r="M416" s="50">
        <f>Tabela6[[#This Row],[KM ATUAL]]-E363</f>
        <v>-574613</v>
      </c>
      <c r="N416" s="51">
        <f>Tabela6[[#This Row],[KM Rodados ]]/Tabela6[[#This Row],[CONSUMO]]</f>
        <v>-6072.8492919044593</v>
      </c>
    </row>
    <row r="417" spans="1:14" x14ac:dyDescent="0.25">
      <c r="A417" s="47" t="s">
        <v>314</v>
      </c>
      <c r="B417" s="78">
        <v>44984</v>
      </c>
      <c r="C417" s="47" t="s">
        <v>206</v>
      </c>
      <c r="E417" s="47">
        <v>919982</v>
      </c>
      <c r="G417" s="50" t="s">
        <v>89</v>
      </c>
      <c r="H417" s="51">
        <v>620</v>
      </c>
      <c r="K417" s="52">
        <f>Tabela6[[#This Row],[CONSUMO]]*Tabela6[[#This Row],[VALOR UNIT]]-Tabela6[[#This Row],[DESCONTO]]</f>
        <v>0</v>
      </c>
      <c r="L417" s="53">
        <f>Tabela6[[#This Row],[CUSTO TOTAL]]/Tabela6[[#This Row],[CONSUMO]]</f>
        <v>0</v>
      </c>
      <c r="M417" s="50">
        <f>Tabela6[[#This Row],[KM ATUAL]]-E329</f>
        <v>546797</v>
      </c>
      <c r="N417" s="51">
        <f>Tabela6[[#This Row],[KM Rodados ]]/Tabela6[[#This Row],[CONSUMO]]</f>
        <v>881.93064516129027</v>
      </c>
    </row>
    <row r="418" spans="1:14" x14ac:dyDescent="0.25">
      <c r="A418" s="47">
        <v>127954</v>
      </c>
      <c r="B418" s="78">
        <v>44984</v>
      </c>
      <c r="C418" s="47" t="s">
        <v>206</v>
      </c>
      <c r="D418" s="49" t="s">
        <v>268</v>
      </c>
      <c r="E418" s="47">
        <v>921578</v>
      </c>
      <c r="G418" s="50" t="s">
        <v>89</v>
      </c>
      <c r="H418" s="51">
        <v>636</v>
      </c>
      <c r="J418" s="51">
        <v>5.69</v>
      </c>
      <c r="K418" s="51">
        <f>Tabela6[[#This Row],[CONSUMO]]*Tabela6[[#This Row],[VALOR UNIT]]-Tabela6[[#This Row],[DESCONTO]]</f>
        <v>3618.84</v>
      </c>
      <c r="L418" s="53">
        <f>Tabela6[[#This Row],[CUSTO TOTAL]]/Tabela6[[#This Row],[CONSUMO]]</f>
        <v>5.69</v>
      </c>
      <c r="M418" s="50">
        <f>Tabela6[[#This Row],[KM ATUAL]]-E417</f>
        <v>1596</v>
      </c>
      <c r="N418" s="51">
        <f>Tabela6[[#This Row],[KM Rodados ]]/Tabela6[[#This Row],[CONSUMO]]</f>
        <v>2.5094339622641511</v>
      </c>
    </row>
    <row r="419" spans="1:14" x14ac:dyDescent="0.25">
      <c r="A419" s="47">
        <v>165012</v>
      </c>
      <c r="B419" s="78">
        <v>44984</v>
      </c>
      <c r="C419" s="47" t="s">
        <v>13</v>
      </c>
      <c r="D419" s="49" t="s">
        <v>262</v>
      </c>
      <c r="E419" s="47">
        <v>597783</v>
      </c>
      <c r="G419" s="50" t="s">
        <v>241</v>
      </c>
      <c r="H419" s="51">
        <v>20.8</v>
      </c>
      <c r="J419" s="51">
        <v>3.69</v>
      </c>
      <c r="K419" s="51">
        <f>Tabela6[[#This Row],[CONSUMO]]*Tabela6[[#This Row],[VALOR UNIT]]-Tabela6[[#This Row],[DESCONTO]]</f>
        <v>76.751999999999995</v>
      </c>
      <c r="L419" s="53">
        <f>Tabela6[[#This Row],[CUSTO TOTAL]]/Tabela6[[#This Row],[CONSUMO]]</f>
        <v>3.6899999999999995</v>
      </c>
      <c r="M419" s="50"/>
      <c r="N419"/>
    </row>
    <row r="420" spans="1:14" x14ac:dyDescent="0.25">
      <c r="A420" s="47">
        <v>165012</v>
      </c>
      <c r="B420" s="78">
        <v>44984</v>
      </c>
      <c r="C420" s="47" t="s">
        <v>13</v>
      </c>
      <c r="D420" s="49" t="s">
        <v>262</v>
      </c>
      <c r="E420" s="47">
        <v>597783</v>
      </c>
      <c r="G420" s="50" t="s">
        <v>89</v>
      </c>
      <c r="H420" s="51">
        <v>136.16999999999999</v>
      </c>
      <c r="J420" s="51">
        <v>5.69</v>
      </c>
      <c r="K420" s="51">
        <f>Tabela6[[#This Row],[CONSUMO]]*Tabela6[[#This Row],[VALOR UNIT]]-Tabela6[[#This Row],[DESCONTO]]</f>
        <v>774.80729999999994</v>
      </c>
      <c r="L420" s="53">
        <f>Tabela6[[#This Row],[CUSTO TOTAL]]/Tabela6[[#This Row],[CONSUMO]]</f>
        <v>5.69</v>
      </c>
      <c r="M420" s="50">
        <f>Tabela6[[#This Row],[KM ATUAL]]-E392</f>
        <v>-50918</v>
      </c>
      <c r="N420" s="51">
        <f>Tabela6[[#This Row],[KM Rodados ]]/Tabela6[[#This Row],[CONSUMO]]</f>
        <v>-373.92964676507313</v>
      </c>
    </row>
    <row r="421" spans="1:14" x14ac:dyDescent="0.25">
      <c r="A421" s="47">
        <v>194219</v>
      </c>
      <c r="B421" s="78">
        <v>44984</v>
      </c>
      <c r="C421" s="47" t="s">
        <v>15</v>
      </c>
      <c r="D421" s="49" t="s">
        <v>280</v>
      </c>
      <c r="E421" s="47">
        <v>349635</v>
      </c>
      <c r="G421" s="50" t="s">
        <v>89</v>
      </c>
      <c r="H421" s="51">
        <v>84.82</v>
      </c>
      <c r="J421" s="51">
        <v>5.54</v>
      </c>
      <c r="K421" s="51">
        <f>Tabela6[[#This Row],[CONSUMO]]*Tabela6[[#This Row],[VALOR UNIT]]-Tabela6[[#This Row],[DESCONTO]]</f>
        <v>469.90279999999996</v>
      </c>
      <c r="L421" s="53">
        <f>Tabela6[[#This Row],[CUSTO TOTAL]]/Tabela6[[#This Row],[CONSUMO]]</f>
        <v>5.54</v>
      </c>
      <c r="M421" s="50">
        <f>Tabela6[[#This Row],[KM ATUAL]]-E394</f>
        <v>-247537</v>
      </c>
      <c r="N421" s="51">
        <f>Tabela6[[#This Row],[KM Rodados ]]/Tabela6[[#This Row],[CONSUMO]]</f>
        <v>-2918.380099033247</v>
      </c>
    </row>
    <row r="422" spans="1:14" x14ac:dyDescent="0.25">
      <c r="A422" s="47">
        <v>516791</v>
      </c>
      <c r="B422" s="78">
        <v>44984</v>
      </c>
      <c r="C422" s="47" t="s">
        <v>16</v>
      </c>
      <c r="D422" s="49" t="s">
        <v>255</v>
      </c>
      <c r="E422" s="47">
        <v>290238</v>
      </c>
      <c r="G422" s="50" t="s">
        <v>89</v>
      </c>
      <c r="H422" s="51">
        <v>55.35</v>
      </c>
      <c r="J422" s="51">
        <v>6.26</v>
      </c>
      <c r="K422" s="51">
        <f>Tabela6[[#This Row],[CONSUMO]]*Tabela6[[#This Row],[VALOR UNIT]]-Tabela6[[#This Row],[DESCONTO]]</f>
        <v>346.49099999999999</v>
      </c>
      <c r="L422" s="53">
        <f>Tabela6[[#This Row],[CUSTO TOTAL]]/Tabela6[[#This Row],[CONSUMO]]</f>
        <v>6.26</v>
      </c>
      <c r="M422" s="50">
        <f>Tabela6[[#This Row],[KM ATUAL]]-E346</f>
        <v>60859</v>
      </c>
      <c r="N422" s="51">
        <f>Tabela6[[#This Row],[KM Rodados ]]/Tabela6[[#This Row],[CONSUMO]]</f>
        <v>1099.5302619692864</v>
      </c>
    </row>
    <row r="423" spans="1:14" x14ac:dyDescent="0.25">
      <c r="A423" s="47">
        <v>516759</v>
      </c>
      <c r="B423" s="78">
        <v>44984</v>
      </c>
      <c r="C423" s="47" t="s">
        <v>18</v>
      </c>
      <c r="D423" s="49" t="s">
        <v>255</v>
      </c>
      <c r="E423" s="47">
        <v>297033</v>
      </c>
      <c r="G423" s="50" t="s">
        <v>89</v>
      </c>
      <c r="H423" s="51">
        <v>83.09</v>
      </c>
      <c r="J423" s="51">
        <v>6.26</v>
      </c>
      <c r="K423" s="52">
        <f>Tabela6[[#This Row],[CONSUMO]]*Tabela6[[#This Row],[VALOR UNIT]]-Tabela6[[#This Row],[DESCONTO]]</f>
        <v>520.14340000000004</v>
      </c>
      <c r="L423" s="53">
        <f>Tabela6[[#This Row],[CUSTO TOTAL]]/Tabela6[[#This Row],[CONSUMO]]</f>
        <v>6.2600000000000007</v>
      </c>
      <c r="M423" s="50">
        <f>Tabela6[[#This Row],[KM ATUAL]]-E387</f>
        <v>-294256</v>
      </c>
      <c r="N423" s="51">
        <f>Tabela6[[#This Row],[KM Rodados ]]/Tabela6[[#This Row],[CONSUMO]]</f>
        <v>-3541.41292574317</v>
      </c>
    </row>
    <row r="424" spans="1:14" x14ac:dyDescent="0.25">
      <c r="A424" s="47" t="s">
        <v>314</v>
      </c>
      <c r="B424" s="78">
        <v>44984</v>
      </c>
      <c r="C424" s="47" t="s">
        <v>20</v>
      </c>
      <c r="E424" s="47">
        <v>231452</v>
      </c>
      <c r="G424" s="50" t="s">
        <v>89</v>
      </c>
      <c r="H424" s="51">
        <v>55.3</v>
      </c>
      <c r="K424" s="52">
        <f>Tabela6[[#This Row],[CONSUMO]]*Tabela6[[#This Row],[VALOR UNIT]]-Tabela6[[#This Row],[DESCONTO]]</f>
        <v>0</v>
      </c>
      <c r="L424" s="53">
        <f>Tabela6[[#This Row],[CUSTO TOTAL]]/Tabela6[[#This Row],[CONSUMO]]</f>
        <v>0</v>
      </c>
      <c r="M424" s="50">
        <f>Tabela6[[#This Row],[KM ATUAL]]-E347</f>
        <v>1752</v>
      </c>
      <c r="N424" s="51">
        <f>Tabela6[[#This Row],[KM Rodados ]]/Tabela6[[#This Row],[CONSUMO]]</f>
        <v>31.681735985533457</v>
      </c>
    </row>
    <row r="425" spans="1:14" x14ac:dyDescent="0.25">
      <c r="A425" s="47">
        <v>165017</v>
      </c>
      <c r="B425" s="78">
        <v>44984</v>
      </c>
      <c r="C425" s="47" t="s">
        <v>20</v>
      </c>
      <c r="D425" s="49" t="s">
        <v>262</v>
      </c>
      <c r="E425" s="47">
        <v>231938</v>
      </c>
      <c r="G425" s="50" t="s">
        <v>89</v>
      </c>
      <c r="H425" s="51">
        <v>67.501000000000005</v>
      </c>
      <c r="J425" s="51">
        <v>5.69</v>
      </c>
      <c r="K425" s="52">
        <f>Tabela6[[#This Row],[CONSUMO]]*Tabela6[[#This Row],[VALOR UNIT]]-Tabela6[[#This Row],[DESCONTO]]</f>
        <v>384.08069000000006</v>
      </c>
      <c r="L425" s="53">
        <f>Tabela6[[#This Row],[CUSTO TOTAL]]/Tabela6[[#This Row],[CONSUMO]]</f>
        <v>5.69</v>
      </c>
      <c r="M425" s="50">
        <f>Tabela6[[#This Row],[KM ATUAL]]-E424</f>
        <v>486</v>
      </c>
      <c r="N425" s="51">
        <f>Tabela6[[#This Row],[KM Rodados ]]/Tabela6[[#This Row],[CONSUMO]]</f>
        <v>7.1998933349135568</v>
      </c>
    </row>
    <row r="426" spans="1:14" x14ac:dyDescent="0.25">
      <c r="A426" s="47" t="s">
        <v>314</v>
      </c>
      <c r="B426" s="78">
        <v>44984</v>
      </c>
      <c r="C426" s="47" t="s">
        <v>23</v>
      </c>
      <c r="E426" s="47">
        <v>211982</v>
      </c>
      <c r="G426" s="50" t="s">
        <v>89</v>
      </c>
      <c r="H426" s="51">
        <v>145.36000000000001</v>
      </c>
      <c r="K426" s="52">
        <f>Tabela6[[#This Row],[CONSUMO]]*Tabela6[[#This Row],[VALOR UNIT]]-Tabela6[[#This Row],[DESCONTO]]</f>
        <v>0</v>
      </c>
      <c r="L426" s="53">
        <f>Tabela6[[#This Row],[CUSTO TOTAL]]/Tabela6[[#This Row],[CONSUMO]]</f>
        <v>0</v>
      </c>
      <c r="M426" s="50">
        <f>Tabela6[[#This Row],[KM ATUAL]]-E354</f>
        <v>-378276</v>
      </c>
      <c r="N426" s="51">
        <f>Tabela6[[#This Row],[KM Rodados ]]/Tabela6[[#This Row],[CONSUMO]]</f>
        <v>-2602.3390203632357</v>
      </c>
    </row>
    <row r="427" spans="1:14" x14ac:dyDescent="0.25">
      <c r="A427" s="47">
        <v>258033</v>
      </c>
      <c r="B427" s="78">
        <v>44984</v>
      </c>
      <c r="C427" s="47" t="s">
        <v>23</v>
      </c>
      <c r="D427" s="49" t="s">
        <v>270</v>
      </c>
      <c r="E427" s="47">
        <v>212598</v>
      </c>
      <c r="G427" s="50" t="s">
        <v>89</v>
      </c>
      <c r="H427" s="51">
        <v>147.66</v>
      </c>
      <c r="J427" s="51">
        <v>5.6908000000000003</v>
      </c>
      <c r="K427" s="51">
        <f>Tabela6[[#This Row],[CONSUMO]]*Tabela6[[#This Row],[VALOR UNIT]]-Tabela6[[#This Row],[DESCONTO]]</f>
        <v>840.30352800000003</v>
      </c>
      <c r="L427" s="53">
        <f>Tabela6[[#This Row],[CUSTO TOTAL]]/Tabela6[[#This Row],[CONSUMO]]</f>
        <v>5.6908000000000003</v>
      </c>
      <c r="M427" s="50">
        <f>Tabela6[[#This Row],[KM ATUAL]]-E426</f>
        <v>616</v>
      </c>
      <c r="N427" s="51">
        <f>Tabela6[[#This Row],[KM Rodados ]]/Tabela6[[#This Row],[CONSUMO]]</f>
        <v>4.17174590274956</v>
      </c>
    </row>
    <row r="428" spans="1:14" x14ac:dyDescent="0.25">
      <c r="A428" s="47">
        <v>274111</v>
      </c>
      <c r="B428" s="78">
        <v>44984</v>
      </c>
      <c r="C428" s="47" t="s">
        <v>40</v>
      </c>
      <c r="D428" s="49" t="s">
        <v>276</v>
      </c>
      <c r="E428" s="47">
        <v>123232</v>
      </c>
      <c r="G428" s="50" t="s">
        <v>244</v>
      </c>
      <c r="H428" s="51">
        <v>48.929000000000002</v>
      </c>
      <c r="J428" s="51">
        <v>5.09</v>
      </c>
      <c r="K428" s="74">
        <f>Tabela6[[#This Row],[CONSUMO]]*Tabela6[[#This Row],[VALOR UNIT]]-Tabela6[[#This Row],[DESCONTO]]</f>
        <v>249.04861</v>
      </c>
      <c r="L428" s="53">
        <f>Tabela6[[#This Row],[CUSTO TOTAL]]/Tabela6[[#This Row],[CONSUMO]]</f>
        <v>5.09</v>
      </c>
      <c r="M428" s="50">
        <f>Tabela6[[#This Row],[KM ATUAL]]-E427</f>
        <v>-89366</v>
      </c>
      <c r="N428" s="51">
        <f>Tabela6[[#This Row],[KM Rodados ]]/Tabela6[[#This Row],[CONSUMO]]</f>
        <v>-1826.4423961249975</v>
      </c>
    </row>
    <row r="429" spans="1:14" x14ac:dyDescent="0.25">
      <c r="A429" s="47" t="s">
        <v>314</v>
      </c>
      <c r="B429" s="78">
        <v>44985</v>
      </c>
      <c r="C429" s="47" t="s">
        <v>68</v>
      </c>
      <c r="E429" s="47">
        <v>865002</v>
      </c>
      <c r="G429" s="50" t="s">
        <v>89</v>
      </c>
      <c r="H429" s="51">
        <v>385</v>
      </c>
      <c r="K429" s="52">
        <f>Tabela6[[#This Row],[CONSUMO]]*Tabela6[[#This Row],[VALOR UNIT]]-Tabela6[[#This Row],[DESCONTO]]</f>
        <v>0</v>
      </c>
      <c r="L429" s="53">
        <f>Tabela6[[#This Row],[CUSTO TOTAL]]/Tabela6[[#This Row],[CONSUMO]]</f>
        <v>0</v>
      </c>
      <c r="M429" s="50">
        <f>Tabela6[[#This Row],[KM ATUAL]]-E397</f>
        <v>526294</v>
      </c>
      <c r="N429" s="51">
        <f>Tabela6[[#This Row],[KM Rodados ]]/Tabela6[[#This Row],[CONSUMO]]</f>
        <v>1366.9974025974027</v>
      </c>
    </row>
    <row r="430" spans="1:14" x14ac:dyDescent="0.25">
      <c r="A430" s="47" t="s">
        <v>314</v>
      </c>
      <c r="B430" s="78">
        <v>44985</v>
      </c>
      <c r="C430" s="47" t="s">
        <v>43</v>
      </c>
      <c r="E430" s="47">
        <v>106910</v>
      </c>
      <c r="G430" s="50" t="s">
        <v>89</v>
      </c>
      <c r="H430" s="51">
        <v>27.81</v>
      </c>
      <c r="K430" s="52">
        <f>Tabela6[[#This Row],[CONSUMO]]*Tabela6[[#This Row],[VALOR UNIT]]-Tabela6[[#This Row],[DESCONTO]]</f>
        <v>0</v>
      </c>
      <c r="L430" s="53">
        <f>Tabela6[[#This Row],[CUSTO TOTAL]]/Tabela6[[#This Row],[CONSUMO]]</f>
        <v>0</v>
      </c>
      <c r="M430" s="50">
        <f>Tabela6[[#This Row],[KM ATUAL]]-E410</f>
        <v>-755961</v>
      </c>
      <c r="N430" s="51">
        <f>Tabela6[[#This Row],[KM Rodados ]]/Tabela6[[#This Row],[CONSUMO]]</f>
        <v>-27183.063646170445</v>
      </c>
    </row>
    <row r="431" spans="1:14" x14ac:dyDescent="0.25">
      <c r="A431" s="47">
        <v>373063</v>
      </c>
      <c r="B431" s="78">
        <v>44985</v>
      </c>
      <c r="C431" s="47" t="s">
        <v>43</v>
      </c>
      <c r="D431" s="49" t="s">
        <v>271</v>
      </c>
      <c r="E431" s="47">
        <v>107221</v>
      </c>
      <c r="G431" s="50" t="s">
        <v>89</v>
      </c>
      <c r="H431" s="51">
        <v>33.479999999999997</v>
      </c>
      <c r="J431" s="51">
        <v>5.69</v>
      </c>
      <c r="K431" s="52">
        <f>Tabela6[[#This Row],[CONSUMO]]*Tabela6[[#This Row],[VALOR UNIT]]-Tabela6[[#This Row],[DESCONTO]]</f>
        <v>190.50119999999998</v>
      </c>
      <c r="L431" s="53">
        <f>Tabela6[[#This Row],[CUSTO TOTAL]]/Tabela6[[#This Row],[CONSUMO]]</f>
        <v>5.69</v>
      </c>
      <c r="M431" s="50">
        <f>Tabela6[[#This Row],[KM ATUAL]]-E430</f>
        <v>311</v>
      </c>
      <c r="N431" s="72">
        <f>Tabela6[[#This Row],[KM Rodados ]]/Tabela6[[#This Row],[CONSUMO]]</f>
        <v>9.2891278375149344</v>
      </c>
    </row>
    <row r="432" spans="1:14" x14ac:dyDescent="0.25">
      <c r="A432" s="47">
        <v>307445</v>
      </c>
      <c r="B432" s="78">
        <v>44985</v>
      </c>
      <c r="C432" s="47" t="s">
        <v>67</v>
      </c>
      <c r="D432" s="49" t="s">
        <v>281</v>
      </c>
      <c r="E432" s="47">
        <v>654405</v>
      </c>
      <c r="G432" s="50" t="s">
        <v>89</v>
      </c>
      <c r="H432" s="51">
        <v>35.9</v>
      </c>
      <c r="I432" s="49">
        <v>20.14</v>
      </c>
      <c r="J432" s="51">
        <v>6.02</v>
      </c>
      <c r="K432" s="51">
        <f>Tabela6[[#This Row],[CONSUMO]]*Tabela6[[#This Row],[VALOR UNIT]]-Tabela6[[#This Row],[DESCONTO]]</f>
        <v>195.97799999999995</v>
      </c>
      <c r="L432" s="53">
        <f>Tabela6[[#This Row],[CUSTO TOTAL]]/Tabela6[[#This Row],[CONSUMO]]</f>
        <v>5.4589972144846781</v>
      </c>
      <c r="M432" s="50">
        <f>Tabela6[[#This Row],[KM ATUAL]]-E374</f>
        <v>526304</v>
      </c>
      <c r="N432" s="51">
        <f>Tabela6[[#This Row],[KM Rodados ]]/Tabela6[[#This Row],[CONSUMO]]</f>
        <v>14660.278551532034</v>
      </c>
    </row>
    <row r="433" spans="1:14" x14ac:dyDescent="0.25">
      <c r="A433" s="47">
        <v>54233</v>
      </c>
      <c r="B433" s="78">
        <v>44985</v>
      </c>
      <c r="C433" s="47" t="s">
        <v>71</v>
      </c>
      <c r="D433" s="49" t="s">
        <v>263</v>
      </c>
      <c r="E433" s="47">
        <v>86589</v>
      </c>
      <c r="G433" s="50" t="s">
        <v>241</v>
      </c>
      <c r="H433" s="51">
        <v>50</v>
      </c>
      <c r="J433" s="51">
        <v>3.49</v>
      </c>
      <c r="K433" s="51">
        <f>Tabela6[[#This Row],[CONSUMO]]*Tabela6[[#This Row],[VALOR UNIT]]-Tabela6[[#This Row],[DESCONTO]]</f>
        <v>174.5</v>
      </c>
      <c r="L433" s="53">
        <f>Tabela6[[#This Row],[CUSTO TOTAL]]/Tabela6[[#This Row],[CONSUMO]]</f>
        <v>3.49</v>
      </c>
      <c r="M433" s="50"/>
      <c r="N433"/>
    </row>
    <row r="434" spans="1:14" x14ac:dyDescent="0.25">
      <c r="A434" s="47">
        <v>54233</v>
      </c>
      <c r="B434" s="78">
        <v>44985</v>
      </c>
      <c r="C434" s="47" t="s">
        <v>71</v>
      </c>
      <c r="D434" s="49" t="s">
        <v>263</v>
      </c>
      <c r="E434" s="47">
        <v>86589</v>
      </c>
      <c r="G434" s="50" t="s">
        <v>89</v>
      </c>
      <c r="H434" s="51">
        <v>532.77099999999996</v>
      </c>
      <c r="I434" s="49">
        <v>53.28</v>
      </c>
      <c r="J434" s="51">
        <v>5.87</v>
      </c>
      <c r="K434" s="51">
        <f>Tabela6[[#This Row],[CONSUMO]]*Tabela6[[#This Row],[VALOR UNIT]]-Tabela6[[#This Row],[DESCONTO]]</f>
        <v>3074.0857699999997</v>
      </c>
      <c r="L434" s="53">
        <f>Tabela6[[#This Row],[CUSTO TOTAL]]/Tabela6[[#This Row],[CONSUMO]]</f>
        <v>5.7699945567607847</v>
      </c>
      <c r="M434" s="50">
        <f>Tabela6[[#This Row],[KM ATUAL]]-E370</f>
        <v>-567661</v>
      </c>
      <c r="N434" s="51">
        <f>Tabela6[[#This Row],[KM Rodados ]]/Tabela6[[#This Row],[CONSUMO]]</f>
        <v>-1065.4877986977519</v>
      </c>
    </row>
    <row r="435" spans="1:14" x14ac:dyDescent="0.25">
      <c r="A435" s="47">
        <v>310562</v>
      </c>
      <c r="B435" s="78">
        <v>44985</v>
      </c>
      <c r="C435" s="47" t="s">
        <v>41</v>
      </c>
      <c r="D435" s="49" t="s">
        <v>253</v>
      </c>
      <c r="E435" s="47">
        <v>649350</v>
      </c>
      <c r="G435" s="50" t="s">
        <v>89</v>
      </c>
      <c r="H435" s="51">
        <v>138.62</v>
      </c>
      <c r="I435" s="49">
        <v>41.59</v>
      </c>
      <c r="J435" s="51">
        <v>6.39</v>
      </c>
      <c r="K435" s="51">
        <f>Tabela6[[#This Row],[CONSUMO]]*Tabela6[[#This Row],[VALOR UNIT]]-Tabela6[[#This Row],[DESCONTO]]</f>
        <v>844.19179999999994</v>
      </c>
      <c r="L435" s="53">
        <f>Tabela6[[#This Row],[CUSTO TOTAL]]/Tabela6[[#This Row],[CONSUMO]]</f>
        <v>6.0899711441350446</v>
      </c>
      <c r="M435" s="50">
        <f>Tabela6[[#This Row],[KM ATUAL]]-E381</f>
        <v>359233</v>
      </c>
      <c r="N435" s="51">
        <f>Tabela6[[#This Row],[KM Rodados ]]/Tabela6[[#This Row],[CONSUMO]]</f>
        <v>2591.4947338046459</v>
      </c>
    </row>
    <row r="436" spans="1:14" x14ac:dyDescent="0.25">
      <c r="A436" s="47">
        <v>129727</v>
      </c>
      <c r="B436" s="78">
        <v>44985</v>
      </c>
      <c r="C436" s="47" t="s">
        <v>206</v>
      </c>
      <c r="D436" s="49" t="s">
        <v>274</v>
      </c>
      <c r="E436" s="47">
        <v>921975</v>
      </c>
      <c r="G436" s="50" t="s">
        <v>89</v>
      </c>
      <c r="H436" s="51">
        <v>175</v>
      </c>
      <c r="J436" s="51">
        <v>5.69</v>
      </c>
      <c r="K436" s="52">
        <f>Tabela6[[#This Row],[CONSUMO]]*Tabela6[[#This Row],[VALOR UNIT]]-Tabela6[[#This Row],[DESCONTO]]</f>
        <v>995.75000000000011</v>
      </c>
      <c r="L436" s="53">
        <f>Tabela6[[#This Row],[CUSTO TOTAL]]/Tabela6[[#This Row],[CONSUMO]]</f>
        <v>5.69</v>
      </c>
      <c r="M436" s="50">
        <f>Tabela6[[#This Row],[KM ATUAL]]-E426</f>
        <v>709993</v>
      </c>
      <c r="N436" s="51">
        <f>Tabela6[[#This Row],[KM Rodados ]]/Tabela6[[#This Row],[CONSUMO]]</f>
        <v>4057.1028571428569</v>
      </c>
    </row>
    <row r="437" spans="1:14" x14ac:dyDescent="0.25">
      <c r="A437" s="47">
        <v>310305</v>
      </c>
      <c r="B437" s="78">
        <v>44985</v>
      </c>
      <c r="C437" s="47" t="s">
        <v>12</v>
      </c>
      <c r="D437" s="49" t="s">
        <v>253</v>
      </c>
      <c r="E437" s="47">
        <v>305256</v>
      </c>
      <c r="G437" s="50" t="s">
        <v>89</v>
      </c>
      <c r="H437" s="51">
        <v>78.260000000000005</v>
      </c>
      <c r="I437" s="49">
        <v>23.48</v>
      </c>
      <c r="J437" s="51">
        <v>6.39</v>
      </c>
      <c r="K437" s="51">
        <f>Tabela6[[#This Row],[CONSUMO]]*Tabela6[[#This Row],[VALOR UNIT]]-Tabela6[[#This Row],[DESCONTO]]</f>
        <v>476.60140000000001</v>
      </c>
      <c r="L437" s="53">
        <f>Tabela6[[#This Row],[CUSTO TOTAL]]/Tabela6[[#This Row],[CONSUMO]]</f>
        <v>6.0899744441604904</v>
      </c>
      <c r="M437" s="50">
        <f>Tabela6[[#This Row],[KM ATUAL]]-E376</f>
        <v>434</v>
      </c>
      <c r="N437" s="51">
        <f>Tabela6[[#This Row],[KM Rodados ]]/Tabela6[[#This Row],[CONSUMO]]</f>
        <v>5.5456171735241497</v>
      </c>
    </row>
    <row r="438" spans="1:14" x14ac:dyDescent="0.25">
      <c r="A438" s="47">
        <v>224598</v>
      </c>
      <c r="B438" s="78">
        <v>44985</v>
      </c>
      <c r="C438" s="47" t="s">
        <v>13</v>
      </c>
      <c r="D438" s="49" t="s">
        <v>272</v>
      </c>
      <c r="E438" s="47">
        <v>598476</v>
      </c>
      <c r="G438" s="50" t="s">
        <v>89</v>
      </c>
      <c r="H438" s="51">
        <v>155.04</v>
      </c>
      <c r="J438" s="51">
        <v>5.69</v>
      </c>
      <c r="K438" s="51">
        <f>Tabela6[[#This Row],[CONSUMO]]*Tabela6[[#This Row],[VALOR UNIT]]-Tabela6[[#This Row],[DESCONTO]]</f>
        <v>882.17759999999998</v>
      </c>
      <c r="L438" s="53">
        <f>Tabela6[[#This Row],[CUSTO TOTAL]]/Tabela6[[#This Row],[CONSUMO]]</f>
        <v>5.69</v>
      </c>
      <c r="M438" s="50">
        <f>Tabela6[[#This Row],[KM ATUAL]]-E411</f>
        <v>-265249</v>
      </c>
      <c r="N438" s="51">
        <f>Tabela6[[#This Row],[KM Rodados ]]/Tabela6[[#This Row],[CONSUMO]]</f>
        <v>-1710.8423632610941</v>
      </c>
    </row>
    <row r="439" spans="1:14" x14ac:dyDescent="0.25">
      <c r="A439" s="47" t="s">
        <v>314</v>
      </c>
      <c r="B439" s="78">
        <v>44985</v>
      </c>
      <c r="C439" s="47" t="s">
        <v>20</v>
      </c>
      <c r="E439" s="47">
        <v>232563</v>
      </c>
      <c r="G439" s="50" t="s">
        <v>89</v>
      </c>
      <c r="H439" s="51">
        <v>77</v>
      </c>
      <c r="K439" s="52">
        <f>Tabela6[[#This Row],[CONSUMO]]*Tabela6[[#This Row],[VALOR UNIT]]-Tabela6[[#This Row],[DESCONTO]]</f>
        <v>0</v>
      </c>
      <c r="L439" s="53">
        <f>Tabela6[[#This Row],[CUSTO TOTAL]]/Tabela6[[#This Row],[CONSUMO]]</f>
        <v>0</v>
      </c>
      <c r="M439" s="50">
        <f>Tabela6[[#This Row],[KM ATUAL]]-E409</f>
        <v>196757</v>
      </c>
      <c r="N439" s="51">
        <f>Tabela6[[#This Row],[KM Rodados ]]/Tabela6[[#This Row],[CONSUMO]]</f>
        <v>2555.2857142857142</v>
      </c>
    </row>
    <row r="440" spans="1:14" x14ac:dyDescent="0.25">
      <c r="A440" s="47" t="s">
        <v>314</v>
      </c>
      <c r="B440" s="78">
        <v>44985</v>
      </c>
      <c r="C440" s="47" t="s">
        <v>20</v>
      </c>
      <c r="E440" s="47">
        <v>233185</v>
      </c>
      <c r="G440" s="50" t="s">
        <v>89</v>
      </c>
      <c r="H440" s="51">
        <v>76</v>
      </c>
      <c r="K440" s="52">
        <f>Tabela6[[#This Row],[CONSUMO]]*Tabela6[[#This Row],[VALOR UNIT]]-Tabela6[[#This Row],[DESCONTO]]</f>
        <v>0</v>
      </c>
      <c r="L440" s="53">
        <f>Tabela6[[#This Row],[CUSTO TOTAL]]/Tabela6[[#This Row],[CONSUMO]]</f>
        <v>0</v>
      </c>
      <c r="M440" s="50">
        <f>Tabela6[[#This Row],[KM ATUAL]]-E439</f>
        <v>622</v>
      </c>
      <c r="N440" s="51">
        <f>Tabela6[[#This Row],[KM Rodados ]]/Tabela6[[#This Row],[CONSUMO]]</f>
        <v>8.1842105263157894</v>
      </c>
    </row>
    <row r="441" spans="1:14" x14ac:dyDescent="0.25">
      <c r="A441" s="47" t="s">
        <v>314</v>
      </c>
      <c r="B441" s="78">
        <v>44985</v>
      </c>
      <c r="C441" s="47" t="s">
        <v>20</v>
      </c>
      <c r="E441" s="47">
        <v>234343</v>
      </c>
      <c r="G441" s="50" t="s">
        <v>89</v>
      </c>
      <c r="H441" s="51">
        <v>62</v>
      </c>
      <c r="K441" s="52">
        <f>Tabela6[[#This Row],[CONSUMO]]*Tabela6[[#This Row],[VALOR UNIT]]-Tabela6[[#This Row],[DESCONTO]]</f>
        <v>0</v>
      </c>
      <c r="L441" s="53">
        <f>Tabela6[[#This Row],[CUSTO TOTAL]]/Tabela6[[#This Row],[CONSUMO]]</f>
        <v>0</v>
      </c>
      <c r="M441" s="50">
        <f>Tabela6[[#This Row],[KM ATUAL]]-E440</f>
        <v>1158</v>
      </c>
      <c r="N441" s="51">
        <f>Tabela6[[#This Row],[KM Rodados ]]/Tabela6[[#This Row],[CONSUMO]]</f>
        <v>18.677419354838708</v>
      </c>
    </row>
    <row r="442" spans="1:14" x14ac:dyDescent="0.25">
      <c r="A442" s="47" t="s">
        <v>314</v>
      </c>
      <c r="B442" s="78">
        <v>44985</v>
      </c>
      <c r="C442" s="47" t="s">
        <v>23</v>
      </c>
      <c r="E442" s="47">
        <v>212949</v>
      </c>
      <c r="G442" s="50" t="s">
        <v>89</v>
      </c>
      <c r="H442" s="51">
        <v>81.25</v>
      </c>
      <c r="K442" s="52">
        <f>Tabela6[[#This Row],[CONSUMO]]*Tabela6[[#This Row],[VALOR UNIT]]-Tabela6[[#This Row],[DESCONTO]]</f>
        <v>0</v>
      </c>
      <c r="L442" s="53">
        <f>Tabela6[[#This Row],[CUSTO TOTAL]]/Tabela6[[#This Row],[CONSUMO]]</f>
        <v>0</v>
      </c>
      <c r="M442" s="50">
        <f>Tabela6[[#This Row],[KM ATUAL]]-E421</f>
        <v>-136686</v>
      </c>
      <c r="N442" s="49">
        <f>Tabela6[[#This Row],[KM Rodados ]]/Tabela6[[#This Row],[CONSUMO]]</f>
        <v>-1682.2892307692307</v>
      </c>
    </row>
    <row r="443" spans="1:14" x14ac:dyDescent="0.25">
      <c r="A443" s="47">
        <v>606456</v>
      </c>
      <c r="B443" s="78">
        <v>44985</v>
      </c>
      <c r="C443" s="47" t="s">
        <v>74</v>
      </c>
      <c r="D443" s="49" t="s">
        <v>250</v>
      </c>
      <c r="E443" s="47">
        <v>36403</v>
      </c>
      <c r="G443" s="50" t="s">
        <v>89</v>
      </c>
      <c r="H443" s="51">
        <v>70</v>
      </c>
      <c r="J443" s="51">
        <v>5.85</v>
      </c>
      <c r="K443" s="52">
        <f>Tabela6[[#This Row],[CONSUMO]]*Tabela6[[#This Row],[VALOR UNIT]]-Tabela6[[#This Row],[DESCONTO]]</f>
        <v>409.5</v>
      </c>
      <c r="L443" s="53">
        <f>Tabela6[[#This Row],[CUSTO TOTAL]]/Tabela6[[#This Row],[CONSUMO]]</f>
        <v>5.85</v>
      </c>
      <c r="M443" s="50">
        <f>Tabela6[[#This Row],[KM ATUAL]]-E423</f>
        <v>-260630</v>
      </c>
      <c r="N443" s="51">
        <f>Tabela6[[#This Row],[KM Rodados ]]/Tabela6[[#This Row],[CONSUMO]]</f>
        <v>-3723.2857142857142</v>
      </c>
    </row>
    <row r="444" spans="1:14" x14ac:dyDescent="0.25">
      <c r="A444" s="47" t="s">
        <v>314</v>
      </c>
      <c r="B444" s="78">
        <v>44985</v>
      </c>
      <c r="C444" s="47" t="s">
        <v>74</v>
      </c>
      <c r="E444" s="47">
        <v>36933</v>
      </c>
      <c r="G444" s="50" t="s">
        <v>89</v>
      </c>
      <c r="H444" s="51">
        <v>63</v>
      </c>
      <c r="K444" s="52">
        <f>Tabela6[[#This Row],[CONSUMO]]*Tabela6[[#This Row],[VALOR UNIT]]-Tabela6[[#This Row],[DESCONTO]]</f>
        <v>0</v>
      </c>
      <c r="L444" s="53">
        <f>Tabela6[[#This Row],[CUSTO TOTAL]]/Tabela6[[#This Row],[CONSUMO]]</f>
        <v>0</v>
      </c>
      <c r="M444" s="50">
        <f>Tabela6[[#This Row],[KM ATUAL]]-E424</f>
        <v>-194519</v>
      </c>
      <c r="N444" s="51">
        <f>Tabela6[[#This Row],[KM Rodados ]]/Tabela6[[#This Row],[CONSUMO]]</f>
        <v>-3087.6031746031745</v>
      </c>
    </row>
    <row r="445" spans="1:14" x14ac:dyDescent="0.25">
      <c r="A445" s="47" t="s">
        <v>314</v>
      </c>
      <c r="B445" s="78">
        <v>44986</v>
      </c>
      <c r="C445" s="47" t="s">
        <v>43</v>
      </c>
      <c r="E445" s="47">
        <v>107723</v>
      </c>
      <c r="G445" s="50" t="s">
        <v>89</v>
      </c>
      <c r="H445" s="51">
        <v>62.25</v>
      </c>
      <c r="K445" s="52">
        <f>Tabela6[[#This Row],[CONSUMO]]*Tabela6[[#This Row],[VALOR UNIT]]-Tabela6[[#This Row],[DESCONTO]]</f>
        <v>0</v>
      </c>
      <c r="L445" s="53">
        <f>Tabela6[[#This Row],[CUSTO TOTAL]]/Tabela6[[#This Row],[CONSUMO]]</f>
        <v>0</v>
      </c>
      <c r="M445" s="50">
        <f>Tabela6[[#This Row],[KM ATUAL]]-E352</f>
        <v>2689</v>
      </c>
      <c r="N445" s="51">
        <f>Tabela6[[#This Row],[KM Rodados ]]/Tabela6[[#This Row],[CONSUMO]]</f>
        <v>43.196787148594375</v>
      </c>
    </row>
    <row r="446" spans="1:14" x14ac:dyDescent="0.25">
      <c r="A446" s="47">
        <v>500362</v>
      </c>
      <c r="B446" s="78">
        <v>44986</v>
      </c>
      <c r="C446" s="47" t="s">
        <v>203</v>
      </c>
      <c r="D446" s="49" t="s">
        <v>261</v>
      </c>
      <c r="E446" s="47">
        <v>78211</v>
      </c>
      <c r="G446" s="50" t="s">
        <v>244</v>
      </c>
      <c r="H446" s="51">
        <v>40.902999999999999</v>
      </c>
      <c r="J446" s="51">
        <v>5.19</v>
      </c>
      <c r="K446" s="51">
        <f>Tabela6[[#This Row],[CONSUMO]]*Tabela6[[#This Row],[VALOR UNIT]]-Tabela6[[#This Row],[DESCONTO]]</f>
        <v>212.28657000000001</v>
      </c>
      <c r="L446" s="53">
        <f>Tabela6[[#This Row],[CUSTO TOTAL]]/Tabela6[[#This Row],[CONSUMO]]</f>
        <v>5.19</v>
      </c>
      <c r="M446" s="50">
        <f>Tabela6[[#This Row],[KM ATUAL]]-E390</f>
        <v>-295737</v>
      </c>
      <c r="N446" s="51">
        <f>Tabela6[[#This Row],[KM Rodados ]]/Tabela6[[#This Row],[CONSUMO]]</f>
        <v>-7230.2031635821331</v>
      </c>
    </row>
    <row r="447" spans="1:14" x14ac:dyDescent="0.25">
      <c r="A447" s="47">
        <v>274774</v>
      </c>
      <c r="B447" s="78">
        <v>44986</v>
      </c>
      <c r="C447" s="47" t="s">
        <v>73</v>
      </c>
      <c r="D447" s="49" t="s">
        <v>276</v>
      </c>
      <c r="E447" s="47">
        <v>111974</v>
      </c>
      <c r="G447" s="50" t="s">
        <v>241</v>
      </c>
      <c r="H447" s="51">
        <v>20.010000000000002</v>
      </c>
      <c r="J447" s="51">
        <v>3.69</v>
      </c>
      <c r="K447" s="51">
        <f>Tabela6[[#This Row],[CONSUMO]]*Tabela6[[#This Row],[VALOR UNIT]]-Tabela6[[#This Row],[DESCONTO]]</f>
        <v>73.8369</v>
      </c>
      <c r="L447" s="53">
        <f>Tabela6[[#This Row],[CUSTO TOTAL]]/Tabela6[[#This Row],[CONSUMO]]</f>
        <v>3.6899999999999995</v>
      </c>
      <c r="M447" s="50"/>
      <c r="N447"/>
    </row>
    <row r="448" spans="1:14" x14ac:dyDescent="0.25">
      <c r="A448" s="47" t="s">
        <v>314</v>
      </c>
      <c r="B448" s="78">
        <v>44986</v>
      </c>
      <c r="C448" s="47" t="s">
        <v>206</v>
      </c>
      <c r="E448" s="47">
        <v>923225</v>
      </c>
      <c r="G448" s="50" t="s">
        <v>89</v>
      </c>
      <c r="H448" s="51">
        <v>532</v>
      </c>
      <c r="K448" s="52">
        <f>Tabela6[[#This Row],[CONSUMO]]*Tabela6[[#This Row],[VALOR UNIT]]-Tabela6[[#This Row],[DESCONTO]]</f>
        <v>0</v>
      </c>
      <c r="L448" s="53">
        <f>Tabela6[[#This Row],[CUSTO TOTAL]]/Tabela6[[#This Row],[CONSUMO]]</f>
        <v>0</v>
      </c>
      <c r="M448" s="50">
        <f>Tabela6[[#This Row],[KM ATUAL]]-E416</f>
        <v>794308</v>
      </c>
      <c r="N448" s="51">
        <f>Tabela6[[#This Row],[KM Rodados ]]/Tabela6[[#This Row],[CONSUMO]]</f>
        <v>1493.0601503759399</v>
      </c>
    </row>
    <row r="449" spans="1:14" x14ac:dyDescent="0.25">
      <c r="A449" s="47">
        <v>274730</v>
      </c>
      <c r="B449" s="78">
        <v>44986</v>
      </c>
      <c r="C449" s="47" t="s">
        <v>19</v>
      </c>
      <c r="D449" s="49" t="s">
        <v>276</v>
      </c>
      <c r="E449" s="47">
        <v>0</v>
      </c>
      <c r="G449" s="50" t="s">
        <v>241</v>
      </c>
      <c r="H449" s="51">
        <v>20.004999999999999</v>
      </c>
      <c r="J449" s="51">
        <v>3.69</v>
      </c>
      <c r="K449" s="51">
        <f>Tabela6[[#This Row],[CONSUMO]]*Tabela6[[#This Row],[VALOR UNIT]]-Tabela6[[#This Row],[DESCONTO]]</f>
        <v>73.818449999999999</v>
      </c>
      <c r="L449" s="53">
        <f>Tabela6[[#This Row],[CUSTO TOTAL]]/Tabela6[[#This Row],[CONSUMO]]</f>
        <v>3.69</v>
      </c>
      <c r="M449" s="50"/>
      <c r="N449"/>
    </row>
    <row r="450" spans="1:14" x14ac:dyDescent="0.25">
      <c r="A450" s="47">
        <v>274729</v>
      </c>
      <c r="B450" s="78">
        <v>44986</v>
      </c>
      <c r="C450" s="47" t="s">
        <v>23</v>
      </c>
      <c r="D450" s="49" t="s">
        <v>276</v>
      </c>
      <c r="E450" s="47">
        <v>213695</v>
      </c>
      <c r="G450" s="50" t="s">
        <v>89</v>
      </c>
      <c r="H450" s="51">
        <v>152.26</v>
      </c>
      <c r="J450" s="51">
        <v>5.99</v>
      </c>
      <c r="K450" s="51">
        <f>Tabela6[[#This Row],[CONSUMO]]*Tabela6[[#This Row],[VALOR UNIT]]-Tabela6[[#This Row],[DESCONTO]]</f>
        <v>912.03739999999993</v>
      </c>
      <c r="L450" s="53">
        <f>Tabela6[[#This Row],[CUSTO TOTAL]]/Tabela6[[#This Row],[CONSUMO]]</f>
        <v>5.99</v>
      </c>
      <c r="M450" s="50">
        <f>Tabela6[[#This Row],[KM ATUAL]]-E443</f>
        <v>177292</v>
      </c>
      <c r="N450" s="51">
        <f>Tabela6[[#This Row],[KM Rodados ]]/Tabela6[[#This Row],[CONSUMO]]</f>
        <v>1164.4029948771838</v>
      </c>
    </row>
    <row r="451" spans="1:14" x14ac:dyDescent="0.25">
      <c r="A451" s="47" t="s">
        <v>314</v>
      </c>
      <c r="B451" s="78">
        <v>44986</v>
      </c>
      <c r="C451" s="47" t="s">
        <v>40</v>
      </c>
      <c r="E451" s="47">
        <v>123725</v>
      </c>
      <c r="G451" s="50" t="s">
        <v>244</v>
      </c>
      <c r="H451" s="51">
        <v>39.5</v>
      </c>
      <c r="K451" s="52">
        <f>Tabela6[[#This Row],[CONSUMO]]*Tabela6[[#This Row],[VALOR UNIT]]-Tabela6[[#This Row],[DESCONTO]]</f>
        <v>0</v>
      </c>
      <c r="L451" s="53">
        <f>Tabela6[[#This Row],[CUSTO TOTAL]]/Tabela6[[#This Row],[CONSUMO]]</f>
        <v>0</v>
      </c>
      <c r="M451" s="50">
        <f>Tabela6[[#This Row],[KM ATUAL]]-E101</f>
        <v>1011</v>
      </c>
      <c r="N451" s="51">
        <f>Tabela6[[#This Row],[KM Rodados ]]/Tabela6[[#This Row],[CONSUMO]]</f>
        <v>25.594936708860761</v>
      </c>
    </row>
    <row r="452" spans="1:14" x14ac:dyDescent="0.25">
      <c r="A452" s="47">
        <v>274729</v>
      </c>
      <c r="B452" s="78">
        <v>44986</v>
      </c>
      <c r="C452" s="47"/>
      <c r="D452" s="49" t="s">
        <v>276</v>
      </c>
      <c r="E452" s="47">
        <v>213695</v>
      </c>
      <c r="G452" s="50" t="s">
        <v>241</v>
      </c>
      <c r="H452" s="51">
        <v>20.015999999999998</v>
      </c>
      <c r="J452" s="51">
        <v>3.69</v>
      </c>
      <c r="K452" s="51">
        <f>Tabela6[[#This Row],[CONSUMO]]*Tabela6[[#This Row],[VALOR UNIT]]-Tabela6[[#This Row],[DESCONTO]]</f>
        <v>73.859039999999993</v>
      </c>
      <c r="L452" s="53">
        <f>Tabela6[[#This Row],[CUSTO TOTAL]]/Tabela6[[#This Row],[CONSUMO]]</f>
        <v>3.69</v>
      </c>
      <c r="M452" s="50"/>
      <c r="N452"/>
    </row>
    <row r="453" spans="1:14" x14ac:dyDescent="0.25">
      <c r="A453" s="47">
        <v>311362</v>
      </c>
      <c r="B453" s="78">
        <v>44986</v>
      </c>
      <c r="C453" s="47"/>
      <c r="D453" s="49" t="s">
        <v>253</v>
      </c>
      <c r="E453" s="47">
        <v>339413</v>
      </c>
      <c r="G453" s="50" t="s">
        <v>241</v>
      </c>
      <c r="H453" s="51">
        <v>25.177</v>
      </c>
      <c r="J453" s="51">
        <v>4.99</v>
      </c>
      <c r="K453" s="51">
        <f>Tabela6[[#This Row],[CONSUMO]]*Tabela6[[#This Row],[VALOR UNIT]]-Tabela6[[#This Row],[DESCONTO]]</f>
        <v>125.63323</v>
      </c>
      <c r="L453" s="53">
        <f>Tabela6[[#This Row],[CUSTO TOTAL]]/Tabela6[[#This Row],[CONSUMO]]</f>
        <v>4.99</v>
      </c>
      <c r="M453" s="50"/>
      <c r="N453"/>
    </row>
    <row r="454" spans="1:14" x14ac:dyDescent="0.25">
      <c r="A454" s="47">
        <v>54643</v>
      </c>
      <c r="B454" s="78">
        <v>44986</v>
      </c>
      <c r="C454" s="47"/>
      <c r="D454" s="49" t="s">
        <v>263</v>
      </c>
      <c r="E454" s="47">
        <v>183491</v>
      </c>
      <c r="G454" s="50" t="s">
        <v>241</v>
      </c>
      <c r="H454" s="51">
        <v>47</v>
      </c>
      <c r="J454" s="51">
        <v>3.49</v>
      </c>
      <c r="K454" s="51">
        <f>Tabela6[[#This Row],[CONSUMO]]*Tabela6[[#This Row],[VALOR UNIT]]-Tabela6[[#This Row],[DESCONTO]]</f>
        <v>164.03</v>
      </c>
      <c r="L454" s="53">
        <f>Tabela6[[#This Row],[CUSTO TOTAL]]/Tabela6[[#This Row],[CONSUMO]]</f>
        <v>3.49</v>
      </c>
      <c r="M454" s="50"/>
      <c r="N454"/>
    </row>
    <row r="455" spans="1:14" x14ac:dyDescent="0.25">
      <c r="A455" s="47">
        <v>165476</v>
      </c>
      <c r="B455" s="78">
        <v>44986</v>
      </c>
      <c r="C455" s="47"/>
      <c r="D455" s="49" t="s">
        <v>262</v>
      </c>
      <c r="E455" s="47">
        <v>318510</v>
      </c>
      <c r="G455" s="50" t="s">
        <v>89</v>
      </c>
      <c r="H455" s="51">
        <v>114.179</v>
      </c>
      <c r="J455" s="51">
        <v>5.69</v>
      </c>
      <c r="K455" s="74">
        <f>Tabela6[[#This Row],[CONSUMO]]*Tabela6[[#This Row],[VALOR UNIT]]-Tabela6[[#This Row],[DESCONTO]]</f>
        <v>649.67851000000007</v>
      </c>
      <c r="L455" s="53">
        <f>Tabela6[[#This Row],[CUSTO TOTAL]]/Tabela6[[#This Row],[CONSUMO]]</f>
        <v>5.69</v>
      </c>
      <c r="M455" s="50">
        <f>Tabela6[[#This Row],[KM ATUAL]]-E416</f>
        <v>189593</v>
      </c>
      <c r="N455" s="51">
        <f>Tabela6[[#This Row],[KM Rodados ]]/Tabela6[[#This Row],[CONSUMO]]</f>
        <v>1660.4892318202121</v>
      </c>
    </row>
    <row r="456" spans="1:14" x14ac:dyDescent="0.25">
      <c r="A456" s="47">
        <v>54643</v>
      </c>
      <c r="B456" s="78">
        <v>44986</v>
      </c>
      <c r="C456" s="47"/>
      <c r="D456" s="49" t="s">
        <v>263</v>
      </c>
      <c r="E456" s="47">
        <v>183491</v>
      </c>
      <c r="G456" s="50" t="s">
        <v>89</v>
      </c>
      <c r="H456" s="51">
        <v>641.38</v>
      </c>
      <c r="I456" s="49">
        <v>64.14</v>
      </c>
      <c r="J456" s="51">
        <v>5.87</v>
      </c>
      <c r="K456" s="51">
        <f>Tabela6[[#This Row],[CONSUMO]]*Tabela6[[#This Row],[VALOR UNIT]]-Tabela6[[#This Row],[DESCONTO]]</f>
        <v>3700.7606000000001</v>
      </c>
      <c r="L456" s="53">
        <f>Tabela6[[#This Row],[CUSTO TOTAL]]/Tabela6[[#This Row],[CONSUMO]]</f>
        <v>5.7699968817237837</v>
      </c>
      <c r="M456" s="50">
        <f>Tabela6[[#This Row],[KM ATUAL]]-E385</f>
        <v>148051</v>
      </c>
      <c r="N456" s="51">
        <f>Tabela6[[#This Row],[KM Rodados ]]/Tabela6[[#This Row],[CONSUMO]]</f>
        <v>230.83195609467086</v>
      </c>
    </row>
    <row r="457" spans="1:14" x14ac:dyDescent="0.25">
      <c r="A457" s="47">
        <v>54734</v>
      </c>
      <c r="B457" s="78">
        <v>44986</v>
      </c>
      <c r="C457" s="47"/>
      <c r="D457" s="49" t="s">
        <v>263</v>
      </c>
      <c r="E457" s="47">
        <v>86923</v>
      </c>
      <c r="G457" s="50" t="s">
        <v>89</v>
      </c>
      <c r="H457" s="51">
        <v>121.67</v>
      </c>
      <c r="I457" s="49">
        <v>12.17</v>
      </c>
      <c r="J457" s="51">
        <v>5.87</v>
      </c>
      <c r="K457" s="52">
        <f>Tabela6[[#This Row],[CONSUMO]]*Tabela6[[#This Row],[VALOR UNIT]]-Tabela6[[#This Row],[DESCONTO]]</f>
        <v>702.03290000000004</v>
      </c>
      <c r="L457" s="53">
        <f>Tabela6[[#This Row],[CUSTO TOTAL]]/Tabela6[[#This Row],[CONSUMO]]</f>
        <v>5.7699753431412839</v>
      </c>
      <c r="M457" s="50">
        <f>Tabela6[[#This Row],[KM ATUAL]]-E442</f>
        <v>-126026</v>
      </c>
      <c r="N457" s="51">
        <f>Tabela6[[#This Row],[KM Rodados ]]/Tabela6[[#This Row],[CONSUMO]]</f>
        <v>-1035.8017588559217</v>
      </c>
    </row>
    <row r="458" spans="1:14" x14ac:dyDescent="0.25">
      <c r="A458" s="47">
        <v>54502</v>
      </c>
      <c r="B458" s="78">
        <v>44986</v>
      </c>
      <c r="C458" s="47"/>
      <c r="D458" s="49" t="s">
        <v>263</v>
      </c>
      <c r="E458" s="47">
        <v>37109</v>
      </c>
      <c r="G458" s="50" t="s">
        <v>89</v>
      </c>
      <c r="H458" s="51">
        <v>81.89</v>
      </c>
      <c r="J458" s="51">
        <v>5.87</v>
      </c>
      <c r="K458" s="52">
        <f>Tabela6[[#This Row],[CONSUMO]]*Tabela6[[#This Row],[VALOR UNIT]]-Tabela6[[#This Row],[DESCONTO]]</f>
        <v>480.6943</v>
      </c>
      <c r="L458" s="53">
        <f>Tabela6[[#This Row],[CUSTO TOTAL]]/Tabela6[[#This Row],[CONSUMO]]</f>
        <v>5.87</v>
      </c>
      <c r="M458" s="50">
        <f>Tabela6[[#This Row],[KM ATUAL]]-E437</f>
        <v>-268147</v>
      </c>
      <c r="N458" s="51">
        <f>Tabela6[[#This Row],[KM Rodados ]]/Tabela6[[#This Row],[CONSUMO]]</f>
        <v>-3274.4779582366591</v>
      </c>
    </row>
    <row r="459" spans="1:14" x14ac:dyDescent="0.25">
      <c r="A459" s="47">
        <v>151131</v>
      </c>
      <c r="B459" s="78">
        <v>44986</v>
      </c>
      <c r="C459" s="47"/>
      <c r="D459" s="49" t="s">
        <v>269</v>
      </c>
      <c r="E459" s="47">
        <v>864627</v>
      </c>
      <c r="G459" s="50" t="s">
        <v>89</v>
      </c>
      <c r="H459" s="51">
        <v>353.82</v>
      </c>
      <c r="J459" s="51">
        <v>5.59</v>
      </c>
      <c r="K459" s="51">
        <f>Tabela6[[#This Row],[CONSUMO]]*Tabela6[[#This Row],[VALOR UNIT]]-Tabela6[[#This Row],[DESCONTO]]</f>
        <v>1977.8537999999999</v>
      </c>
      <c r="L459" s="53">
        <f>Tabela6[[#This Row],[CUSTO TOTAL]]/Tabela6[[#This Row],[CONSUMO]]</f>
        <v>5.59</v>
      </c>
      <c r="M459" s="50">
        <f>Tabela6[[#This Row],[KM ATUAL]]-E420</f>
        <v>266844</v>
      </c>
      <c r="N459" s="51">
        <f>Tabela6[[#This Row],[KM Rodados ]]/Tabela6[[#This Row],[CONSUMO]]</f>
        <v>754.18009157198583</v>
      </c>
    </row>
    <row r="460" spans="1:14" x14ac:dyDescent="0.25">
      <c r="A460" s="47">
        <v>224892</v>
      </c>
      <c r="B460" s="78">
        <v>44986</v>
      </c>
      <c r="C460" s="47"/>
      <c r="D460" s="49" t="s">
        <v>272</v>
      </c>
      <c r="E460" s="47">
        <v>599146</v>
      </c>
      <c r="G460" s="50" t="s">
        <v>89</v>
      </c>
      <c r="H460" s="51">
        <v>149.22200000000001</v>
      </c>
      <c r="J460" s="51">
        <v>5.69</v>
      </c>
      <c r="K460" s="51">
        <f>Tabela6[[#This Row],[CONSUMO]]*Tabela6[[#This Row],[VALOR UNIT]]-Tabela6[[#This Row],[DESCONTO]]</f>
        <v>849.07318000000009</v>
      </c>
      <c r="L460" s="53">
        <f>Tabela6[[#This Row],[CUSTO TOTAL]]/Tabela6[[#This Row],[CONSUMO]]</f>
        <v>5.69</v>
      </c>
      <c r="M460" s="50">
        <f>Tabela6[[#This Row],[KM ATUAL]]-E446</f>
        <v>520935</v>
      </c>
      <c r="N460" s="51">
        <f>Tabela6[[#This Row],[KM Rodados ]]/Tabela6[[#This Row],[CONSUMO]]</f>
        <v>3491.0066880218733</v>
      </c>
    </row>
    <row r="461" spans="1:14" x14ac:dyDescent="0.25">
      <c r="A461" s="47">
        <v>128889</v>
      </c>
      <c r="B461" s="78">
        <v>44986</v>
      </c>
      <c r="C461" s="47"/>
      <c r="D461" s="49" t="s">
        <v>268</v>
      </c>
      <c r="E461" s="47">
        <v>339413</v>
      </c>
      <c r="G461" s="50" t="s">
        <v>89</v>
      </c>
      <c r="H461" s="51">
        <v>201</v>
      </c>
      <c r="J461" s="51">
        <v>5.69</v>
      </c>
      <c r="K461" s="51">
        <f>Tabela6[[#This Row],[CONSUMO]]*Tabela6[[#This Row],[VALOR UNIT]]-Tabela6[[#This Row],[DESCONTO]]</f>
        <v>1143.69</v>
      </c>
      <c r="L461" s="53">
        <f>Tabela6[[#This Row],[CUSTO TOTAL]]/Tabela6[[#This Row],[CONSUMO]]</f>
        <v>5.69</v>
      </c>
      <c r="M461" s="50">
        <f>Tabela6[[#This Row],[KM ATUAL]]-E393</f>
        <v>-257224</v>
      </c>
      <c r="N461" s="51">
        <f>Tabela6[[#This Row],[KM Rodados ]]/Tabela6[[#This Row],[CONSUMO]]</f>
        <v>-1279.721393034826</v>
      </c>
    </row>
    <row r="462" spans="1:14" x14ac:dyDescent="0.25">
      <c r="A462" s="47">
        <v>442912</v>
      </c>
      <c r="B462" s="78">
        <v>44986</v>
      </c>
      <c r="C462" s="47"/>
      <c r="D462" s="49" t="s">
        <v>259</v>
      </c>
      <c r="E462" s="47">
        <v>129746</v>
      </c>
      <c r="G462" s="50" t="s">
        <v>89</v>
      </c>
      <c r="H462" s="51">
        <v>198.91</v>
      </c>
      <c r="J462" s="51">
        <v>5.89</v>
      </c>
      <c r="K462" s="52">
        <f>Tabela6[[#This Row],[CONSUMO]]*Tabela6[[#This Row],[VALOR UNIT]]-Tabela6[[#This Row],[DESCONTO]]</f>
        <v>1171.5799</v>
      </c>
      <c r="L462" s="53">
        <f>Tabela6[[#This Row],[CUSTO TOTAL]]/Tabela6[[#This Row],[CONSUMO]]</f>
        <v>5.89</v>
      </c>
      <c r="M462" s="50">
        <f>Tabela6[[#This Row],[KM ATUAL]]-E427</f>
        <v>-82852</v>
      </c>
      <c r="N462" s="51">
        <f>Tabela6[[#This Row],[KM Rodados ]]/Tabela6[[#This Row],[CONSUMO]]</f>
        <v>-416.53008898496807</v>
      </c>
    </row>
    <row r="463" spans="1:14" x14ac:dyDescent="0.25">
      <c r="A463" s="47">
        <v>517208</v>
      </c>
      <c r="B463" s="78">
        <v>44986</v>
      </c>
      <c r="C463" s="47"/>
      <c r="D463" s="49" t="s">
        <v>255</v>
      </c>
      <c r="E463" s="47">
        <v>297676</v>
      </c>
      <c r="G463" s="50" t="s">
        <v>89</v>
      </c>
      <c r="H463" s="51">
        <v>72.751000000000005</v>
      </c>
      <c r="J463" s="51">
        <v>6.37</v>
      </c>
      <c r="K463" s="51">
        <f>Tabela6[[#This Row],[CONSUMO]]*Tabela6[[#This Row],[VALOR UNIT]]-Tabela6[[#This Row],[DESCONTO]]</f>
        <v>463.42387000000002</v>
      </c>
      <c r="L463" s="53">
        <f>Tabela6[[#This Row],[CUSTO TOTAL]]/Tabela6[[#This Row],[CONSUMO]]</f>
        <v>6.37</v>
      </c>
      <c r="M463" s="50">
        <f>Tabela6[[#This Row],[KM ATUAL]]-E434</f>
        <v>211087</v>
      </c>
      <c r="N463" s="51">
        <f>Tabela6[[#This Row],[KM Rodados ]]/Tabela6[[#This Row],[CONSUMO]]</f>
        <v>2901.4996357438386</v>
      </c>
    </row>
    <row r="464" spans="1:14" x14ac:dyDescent="0.25">
      <c r="A464" s="47" t="s">
        <v>314</v>
      </c>
      <c r="B464" s="78">
        <v>44986</v>
      </c>
      <c r="C464" s="47"/>
      <c r="E464" s="47">
        <v>350165</v>
      </c>
      <c r="G464" s="50" t="s">
        <v>89</v>
      </c>
      <c r="H464" s="51">
        <v>116.5</v>
      </c>
      <c r="K464" s="52">
        <f>Tabela6[[#This Row],[CONSUMO]]*Tabela6[[#This Row],[VALOR UNIT]]-Tabela6[[#This Row],[DESCONTO]]</f>
        <v>0</v>
      </c>
      <c r="L464" s="53">
        <f>Tabela6[[#This Row],[CUSTO TOTAL]]/Tabela6[[#This Row],[CONSUMO]]</f>
        <v>0</v>
      </c>
      <c r="M464" s="50">
        <f>Tabela6[[#This Row],[KM ATUAL]]-E430</f>
        <v>243255</v>
      </c>
      <c r="N464" s="51">
        <f>Tabela6[[#This Row],[KM Rodados ]]/Tabela6[[#This Row],[CONSUMO]]</f>
        <v>2088.0257510729612</v>
      </c>
    </row>
    <row r="465" spans="1:14" x14ac:dyDescent="0.25">
      <c r="A465" s="47">
        <v>111894</v>
      </c>
      <c r="B465" s="78">
        <v>44986</v>
      </c>
      <c r="C465" s="47"/>
      <c r="D465" s="49" t="s">
        <v>293</v>
      </c>
      <c r="E465" s="47">
        <v>350845</v>
      </c>
      <c r="G465" s="50" t="s">
        <v>89</v>
      </c>
      <c r="H465" s="51">
        <v>116.41</v>
      </c>
      <c r="J465" s="51">
        <v>6.35</v>
      </c>
      <c r="K465" s="52">
        <f>Tabela6[[#This Row],[CONSUMO]]*Tabela6[[#This Row],[VALOR UNIT]]-Tabela6[[#This Row],[DESCONTO]]</f>
        <v>739.20349999999996</v>
      </c>
      <c r="L465" s="53">
        <f>Tabela6[[#This Row],[CUSTO TOTAL]]/Tabela6[[#This Row],[CONSUMO]]</f>
        <v>6.35</v>
      </c>
      <c r="M465" s="50">
        <f>Tabela6[[#This Row],[KM ATUAL]]-E464</f>
        <v>680</v>
      </c>
      <c r="N465" s="51">
        <f>Tabela6[[#This Row],[KM Rodados ]]/Tabela6[[#This Row],[CONSUMO]]</f>
        <v>5.8414225581994677</v>
      </c>
    </row>
    <row r="466" spans="1:14" x14ac:dyDescent="0.25">
      <c r="A466" s="47" t="s">
        <v>314</v>
      </c>
      <c r="B466" s="78">
        <v>44986</v>
      </c>
      <c r="C466" s="47"/>
      <c r="E466" s="47">
        <v>385672</v>
      </c>
      <c r="G466" s="50" t="s">
        <v>89</v>
      </c>
      <c r="H466" s="51">
        <v>85.41</v>
      </c>
      <c r="K466" s="52">
        <f>Tabela6[[#This Row],[CONSUMO]]*Tabela6[[#This Row],[VALOR UNIT]]-Tabela6[[#This Row],[DESCONTO]]</f>
        <v>0</v>
      </c>
      <c r="L466" s="53">
        <f>Tabela6[[#This Row],[CUSTO TOTAL]]/Tabela6[[#This Row],[CONSUMO]]</f>
        <v>0</v>
      </c>
      <c r="M466" s="50">
        <f>Tabela6[[#This Row],[KM ATUAL]]-E272</f>
        <v>158232</v>
      </c>
      <c r="N466" s="51">
        <f>Tabela6[[#This Row],[KM Rodados ]]/Tabela6[[#This Row],[CONSUMO]]</f>
        <v>1852.6167896030911</v>
      </c>
    </row>
    <row r="467" spans="1:14" x14ac:dyDescent="0.25">
      <c r="A467" s="47" t="s">
        <v>314</v>
      </c>
      <c r="B467" s="78">
        <v>44986</v>
      </c>
      <c r="C467" s="47"/>
      <c r="E467" s="47">
        <v>386147</v>
      </c>
      <c r="G467" s="50" t="s">
        <v>89</v>
      </c>
      <c r="H467" s="51">
        <v>90.23</v>
      </c>
      <c r="K467" s="52">
        <f>Tabela6[[#This Row],[CONSUMO]]*Tabela6[[#This Row],[VALOR UNIT]]-Tabela6[[#This Row],[DESCONTO]]</f>
        <v>0</v>
      </c>
      <c r="L467" s="53">
        <f>Tabela6[[#This Row],[CUSTO TOTAL]]/Tabela6[[#This Row],[CONSUMO]]</f>
        <v>0</v>
      </c>
      <c r="M467" s="50">
        <f>Tabela6[[#This Row],[KM ATUAL]]-E466</f>
        <v>475</v>
      </c>
      <c r="N467" s="51">
        <f>Tabela6[[#This Row],[KM Rodados ]]/Tabela6[[#This Row],[CONSUMO]]</f>
        <v>5.2643245040452173</v>
      </c>
    </row>
    <row r="468" spans="1:14" x14ac:dyDescent="0.25">
      <c r="A468" s="47" t="s">
        <v>314</v>
      </c>
      <c r="B468" s="78">
        <v>44987</v>
      </c>
      <c r="C468" s="47" t="s">
        <v>43</v>
      </c>
      <c r="E468" s="47">
        <v>108223</v>
      </c>
      <c r="G468" s="50" t="s">
        <v>89</v>
      </c>
      <c r="H468" s="51">
        <v>56</v>
      </c>
      <c r="K468" s="52">
        <f>Tabela6[[#This Row],[CONSUMO]]*Tabela6[[#This Row],[VALOR UNIT]]-Tabela6[[#This Row],[DESCONTO]]</f>
        <v>0</v>
      </c>
      <c r="L468" s="53">
        <f>Tabela6[[#This Row],[CUSTO TOTAL]]/Tabela6[[#This Row],[CONSUMO]]</f>
        <v>0</v>
      </c>
      <c r="M468" s="50">
        <f>Tabela6[[#This Row],[KM ATUAL]]-E467</f>
        <v>-277924</v>
      </c>
      <c r="N468" s="51">
        <f>Tabela6[[#This Row],[KM Rodados ]]/Tabela6[[#This Row],[CONSUMO]]</f>
        <v>-4962.9285714285716</v>
      </c>
    </row>
    <row r="469" spans="1:14" x14ac:dyDescent="0.25">
      <c r="A469" s="47">
        <v>165799</v>
      </c>
      <c r="B469" s="78">
        <v>44987</v>
      </c>
      <c r="C469" s="47" t="s">
        <v>215</v>
      </c>
      <c r="D469" s="49" t="s">
        <v>262</v>
      </c>
      <c r="E469" s="47">
        <v>218243</v>
      </c>
      <c r="G469" s="50" t="s">
        <v>244</v>
      </c>
      <c r="H469" s="51">
        <v>26.834</v>
      </c>
      <c r="J469" s="51">
        <v>5.59</v>
      </c>
      <c r="K469" s="51">
        <f>Tabela6[[#This Row],[CONSUMO]]*Tabela6[[#This Row],[VALOR UNIT]]-Tabela6[[#This Row],[DESCONTO]]</f>
        <v>150.00206</v>
      </c>
      <c r="L469" s="53">
        <f>Tabela6[[#This Row],[CUSTO TOTAL]]/Tabela6[[#This Row],[CONSUMO]]</f>
        <v>5.59</v>
      </c>
      <c r="M469" s="50">
        <f>Tabela6[[#This Row],[KM ATUAL]]-E468</f>
        <v>110020</v>
      </c>
      <c r="N469" s="51">
        <f>Tabela6[[#This Row],[KM Rodados ]]/H371</f>
        <v>158.24523552678892</v>
      </c>
    </row>
    <row r="470" spans="1:14" x14ac:dyDescent="0.25">
      <c r="A470" s="47" t="s">
        <v>314</v>
      </c>
      <c r="B470" s="78">
        <v>44987</v>
      </c>
      <c r="C470" s="47" t="s">
        <v>203</v>
      </c>
      <c r="E470" s="47">
        <v>78627</v>
      </c>
      <c r="G470" s="50" t="s">
        <v>244</v>
      </c>
      <c r="H470" s="51">
        <v>29.52</v>
      </c>
      <c r="K470" s="52">
        <f>Tabela6[[#This Row],[CONSUMO]]*Tabela6[[#This Row],[VALOR UNIT]]-Tabela6[[#This Row],[DESCONTO]]</f>
        <v>0</v>
      </c>
      <c r="L470" s="53">
        <f>Tabela6[[#This Row],[CUSTO TOTAL]]/Tabela6[[#This Row],[CONSUMO]]</f>
        <v>0</v>
      </c>
      <c r="M470" s="50">
        <f>Tabela6[[#This Row],[KM ATUAL]]-E448</f>
        <v>-844598</v>
      </c>
      <c r="N470" s="51">
        <f>Tabela6[[#This Row],[KM Rodados ]]/Tabela6[[#This Row],[CONSUMO]]</f>
        <v>-28611.043360433603</v>
      </c>
    </row>
    <row r="471" spans="1:14" x14ac:dyDescent="0.25">
      <c r="A471" s="47" t="s">
        <v>314</v>
      </c>
      <c r="B471" s="78">
        <v>44987</v>
      </c>
      <c r="C471" s="47" t="s">
        <v>23</v>
      </c>
      <c r="E471" s="47">
        <v>214105</v>
      </c>
      <c r="G471" s="50" t="s">
        <v>89</v>
      </c>
      <c r="H471" s="51">
        <v>91.2</v>
      </c>
      <c r="K471" s="52">
        <f>Tabela6[[#This Row],[CONSUMO]]*Tabela6[[#This Row],[VALOR UNIT]]-Tabela6[[#This Row],[DESCONTO]]</f>
        <v>0</v>
      </c>
      <c r="L471" s="53">
        <f>Tabela6[[#This Row],[CUSTO TOTAL]]/Tabela6[[#This Row],[CONSUMO]]</f>
        <v>0</v>
      </c>
      <c r="M471" s="50">
        <f>Tabela6[[#This Row],[KM ATUAL]]-E437</f>
        <v>-91151</v>
      </c>
      <c r="N471" s="51">
        <f>Tabela6[[#This Row],[KM Rodados ]]/Tabela6[[#This Row],[CONSUMO]]</f>
        <v>-999.46271929824559</v>
      </c>
    </row>
    <row r="472" spans="1:14" x14ac:dyDescent="0.25">
      <c r="A472" s="47">
        <v>312127</v>
      </c>
      <c r="B472" s="78">
        <v>44987</v>
      </c>
      <c r="C472" s="47"/>
      <c r="D472" s="49" t="s">
        <v>253</v>
      </c>
      <c r="E472" s="47">
        <v>386636</v>
      </c>
      <c r="G472" s="50" t="s">
        <v>89</v>
      </c>
      <c r="H472" s="51">
        <v>85.63</v>
      </c>
      <c r="I472" s="49">
        <v>25.69</v>
      </c>
      <c r="J472" s="51">
        <v>6.29</v>
      </c>
      <c r="K472" s="52">
        <f>Tabela6[[#This Row],[CONSUMO]]*Tabela6[[#This Row],[VALOR UNIT]]-Tabela6[[#This Row],[DESCONTO]]</f>
        <v>512.92269999999996</v>
      </c>
      <c r="L472" s="53">
        <f>Tabela6[[#This Row],[CUSTO TOTAL]]/Tabela6[[#This Row],[CONSUMO]]</f>
        <v>5.9899883218498191</v>
      </c>
      <c r="M472" s="50">
        <f>Tabela6[[#This Row],[KM ATUAL]]-E471</f>
        <v>172531</v>
      </c>
      <c r="N472" s="51">
        <f>Tabela6[[#This Row],[KM Rodados ]]/Tabela6[[#This Row],[CONSUMO]]</f>
        <v>2014.8429288800655</v>
      </c>
    </row>
    <row r="473" spans="1:14" x14ac:dyDescent="0.25">
      <c r="A473" s="47">
        <v>312456</v>
      </c>
      <c r="B473" s="78">
        <v>44987</v>
      </c>
      <c r="C473" s="47"/>
      <c r="D473" s="49" t="s">
        <v>253</v>
      </c>
      <c r="E473" s="47">
        <v>69643</v>
      </c>
      <c r="G473" s="50" t="s">
        <v>89</v>
      </c>
      <c r="H473" s="51">
        <v>172.5</v>
      </c>
      <c r="I473" s="49">
        <v>51.75</v>
      </c>
      <c r="J473" s="51">
        <v>6.29</v>
      </c>
      <c r="K473" s="51">
        <f>Tabela6[[#This Row],[CONSUMO]]*Tabela6[[#This Row],[VALOR UNIT]]-Tabela6[[#This Row],[DESCONTO]]</f>
        <v>1033.2750000000001</v>
      </c>
      <c r="L473" s="53">
        <f>Tabela6[[#This Row],[CUSTO TOTAL]]/Tabela6[[#This Row],[CONSUMO]]</f>
        <v>5.99</v>
      </c>
      <c r="M473" s="50"/>
    </row>
    <row r="474" spans="1:14" x14ac:dyDescent="0.25">
      <c r="A474" s="47" t="s">
        <v>314</v>
      </c>
      <c r="B474" s="78">
        <v>44987</v>
      </c>
      <c r="C474" s="47"/>
      <c r="E474" s="47">
        <v>291457</v>
      </c>
      <c r="G474" s="50" t="s">
        <v>89</v>
      </c>
      <c r="H474" s="51">
        <v>253</v>
      </c>
      <c r="K474" s="52">
        <f>Tabela6[[#This Row],[CONSUMO]]*Tabela6[[#This Row],[VALOR UNIT]]-Tabela6[[#This Row],[DESCONTO]]</f>
        <v>0</v>
      </c>
      <c r="L474" s="53">
        <f>Tabela6[[#This Row],[CUSTO TOTAL]]/Tabela6[[#This Row],[CONSUMO]]</f>
        <v>0</v>
      </c>
      <c r="M474" s="50">
        <f>Tabela6[[#This Row],[KM ATUAL]]-E389</f>
        <v>-82194</v>
      </c>
      <c r="N474" s="51">
        <f>Tabela6[[#This Row],[KM Rodados ]]/Tabela6[[#This Row],[CONSUMO]]</f>
        <v>-324.87747035573125</v>
      </c>
    </row>
    <row r="475" spans="1:14" x14ac:dyDescent="0.25">
      <c r="A475" s="47" t="s">
        <v>314</v>
      </c>
      <c r="B475" s="78">
        <v>44987</v>
      </c>
      <c r="C475" s="47"/>
      <c r="E475" s="47">
        <v>292800</v>
      </c>
      <c r="G475" s="50" t="s">
        <v>89</v>
      </c>
      <c r="H475" s="51">
        <v>245.36</v>
      </c>
      <c r="K475" s="52">
        <f>Tabela6[[#This Row],[CONSUMO]]*Tabela6[[#This Row],[VALOR UNIT]]-Tabela6[[#This Row],[DESCONTO]]</f>
        <v>0</v>
      </c>
      <c r="L475" s="53">
        <f>Tabela6[[#This Row],[CUSTO TOTAL]]/Tabela6[[#This Row],[CONSUMO]]</f>
        <v>0</v>
      </c>
      <c r="M475" s="50">
        <f>Tabela6[[#This Row],[KM ATUAL]]-E474</f>
        <v>1343</v>
      </c>
      <c r="N475" s="51">
        <f>Tabela6[[#This Row],[KM Rodados ]]/Tabela6[[#This Row],[CONSUMO]]</f>
        <v>5.4735898271926962</v>
      </c>
    </row>
    <row r="476" spans="1:14" x14ac:dyDescent="0.25">
      <c r="A476" s="47">
        <v>55038</v>
      </c>
      <c r="B476" s="78">
        <v>44987</v>
      </c>
      <c r="C476" s="47"/>
      <c r="D476" s="49" t="s">
        <v>263</v>
      </c>
      <c r="E476" s="47">
        <v>293045</v>
      </c>
      <c r="G476" s="50" t="s">
        <v>89</v>
      </c>
      <c r="H476" s="51">
        <v>55</v>
      </c>
      <c r="I476" s="49">
        <v>5.5</v>
      </c>
      <c r="J476" s="51">
        <v>5.77</v>
      </c>
      <c r="K476" s="52">
        <f>Tabela6[[#This Row],[CONSUMO]]*Tabela6[[#This Row],[VALOR UNIT]]-Tabela6[[#This Row],[DESCONTO]]</f>
        <v>311.84999999999997</v>
      </c>
      <c r="L476" s="53">
        <f>Tabela6[[#This Row],[CUSTO TOTAL]]/Tabela6[[#This Row],[CONSUMO]]</f>
        <v>5.669999999999999</v>
      </c>
      <c r="M476" s="50">
        <f>Tabela6[[#This Row],[KM ATUAL]]-E475</f>
        <v>245</v>
      </c>
      <c r="N476" s="51">
        <f>Tabela6[[#This Row],[KM Rodados ]]/Tabela6[[#This Row],[CONSUMO]]</f>
        <v>4.4545454545454541</v>
      </c>
    </row>
    <row r="477" spans="1:14" x14ac:dyDescent="0.25">
      <c r="A477" s="47" t="s">
        <v>314</v>
      </c>
      <c r="B477" s="78">
        <v>44987</v>
      </c>
      <c r="C477" s="47"/>
      <c r="E477" s="47">
        <v>374921</v>
      </c>
      <c r="G477" s="50" t="s">
        <v>89</v>
      </c>
      <c r="H477" s="51">
        <v>38.6</v>
      </c>
      <c r="K477" s="52">
        <f>Tabela6[[#This Row],[CONSUMO]]*Tabela6[[#This Row],[VALOR UNIT]]-Tabela6[[#This Row],[DESCONTO]]</f>
        <v>0</v>
      </c>
      <c r="L477" s="53">
        <f>Tabela6[[#This Row],[CUSTO TOTAL]]/Tabela6[[#This Row],[CONSUMO]]</f>
        <v>0</v>
      </c>
      <c r="M477" s="50">
        <f>Tabela6[[#This Row],[KM ATUAL]]-E437</f>
        <v>69665</v>
      </c>
      <c r="N477" s="51">
        <f>Tabela6[[#This Row],[KM Rodados ]]/Tabela6[[#This Row],[CONSUMO]]</f>
        <v>1804.7927461139896</v>
      </c>
    </row>
    <row r="478" spans="1:14" x14ac:dyDescent="0.25">
      <c r="A478" s="47">
        <v>55325</v>
      </c>
      <c r="B478" s="78">
        <v>44987</v>
      </c>
      <c r="C478" s="47"/>
      <c r="D478" s="49" t="s">
        <v>263</v>
      </c>
      <c r="E478" s="47">
        <v>375261</v>
      </c>
      <c r="G478" s="50" t="s">
        <v>89</v>
      </c>
      <c r="H478" s="51">
        <v>38.43</v>
      </c>
      <c r="I478" s="49">
        <v>3.85</v>
      </c>
      <c r="J478" s="51">
        <v>5.77</v>
      </c>
      <c r="K478" s="52">
        <f>Tabela6[[#This Row],[CONSUMO]]*Tabela6[[#This Row],[VALOR UNIT]]-Tabela6[[#This Row],[DESCONTO]]</f>
        <v>217.89109999999999</v>
      </c>
      <c r="L478" s="53">
        <f>Tabela6[[#This Row],[CUSTO TOTAL]]/Tabela6[[#This Row],[CONSUMO]]</f>
        <v>5.6698178506375223</v>
      </c>
      <c r="M478" s="50">
        <f>Tabela6[[#This Row],[KM ATUAL]]-E477</f>
        <v>340</v>
      </c>
      <c r="N478" s="51">
        <f>Tabela6[[#This Row],[KM Rodados ]]/Tabela6[[#This Row],[CONSUMO]]</f>
        <v>8.8472547488940929</v>
      </c>
    </row>
    <row r="479" spans="1:14" x14ac:dyDescent="0.25">
      <c r="A479" s="47" t="s">
        <v>314</v>
      </c>
      <c r="B479" s="78">
        <v>44987</v>
      </c>
      <c r="C479" s="47"/>
      <c r="E479" s="47">
        <v>375501</v>
      </c>
      <c r="G479" s="50" t="s">
        <v>89</v>
      </c>
      <c r="H479" s="51">
        <v>27.5</v>
      </c>
      <c r="K479" s="52">
        <f>Tabela6[[#This Row],[CONSUMO]]*Tabela6[[#This Row],[VALOR UNIT]]-Tabela6[[#This Row],[DESCONTO]]</f>
        <v>0</v>
      </c>
      <c r="L479" s="53">
        <f>Tabela6[[#This Row],[CUSTO TOTAL]]/Tabela6[[#This Row],[CONSUMO]]</f>
        <v>0</v>
      </c>
      <c r="M479" s="50">
        <f>Tabela6[[#This Row],[KM ATUAL]]-E478</f>
        <v>240</v>
      </c>
      <c r="N479" s="51">
        <f>Tabela6[[#This Row],[KM Rodados ]]/Tabela6[[#This Row],[CONSUMO]]</f>
        <v>8.7272727272727266</v>
      </c>
    </row>
    <row r="480" spans="1:14" x14ac:dyDescent="0.25">
      <c r="A480" s="47">
        <v>614463</v>
      </c>
      <c r="B480" s="78">
        <v>44987</v>
      </c>
      <c r="C480" s="47"/>
      <c r="D480" s="49" t="s">
        <v>264</v>
      </c>
      <c r="E480" s="47">
        <v>654910</v>
      </c>
      <c r="G480" s="50" t="s">
        <v>89</v>
      </c>
      <c r="H480" s="51">
        <v>89.034999999999997</v>
      </c>
      <c r="J480" s="51">
        <v>5.79</v>
      </c>
      <c r="K480" s="52">
        <f>Tabela6[[#This Row],[CONSUMO]]*Tabela6[[#This Row],[VALOR UNIT]]-Tabela6[[#This Row],[DESCONTO]]</f>
        <v>515.51265000000001</v>
      </c>
      <c r="L480" s="53">
        <f>Tabela6[[#This Row],[CUSTO TOTAL]]/Tabela6[[#This Row],[CONSUMO]]</f>
        <v>5.79</v>
      </c>
      <c r="M480" s="50">
        <f>Tabela6[[#This Row],[KM ATUAL]]-E440</f>
        <v>421725</v>
      </c>
      <c r="N480" s="51">
        <f>Tabela6[[#This Row],[KM Rodados ]]/Tabela6[[#This Row],[CONSUMO]]</f>
        <v>4736.6204301679118</v>
      </c>
    </row>
    <row r="481" spans="1:14" x14ac:dyDescent="0.25">
      <c r="A481" s="47">
        <v>129784</v>
      </c>
      <c r="B481" s="78">
        <v>44987</v>
      </c>
      <c r="C481" s="47"/>
      <c r="D481" s="49" t="s">
        <v>268</v>
      </c>
      <c r="E481" s="47">
        <v>599618</v>
      </c>
      <c r="G481" s="50" t="s">
        <v>89</v>
      </c>
      <c r="H481" s="51">
        <v>131.941</v>
      </c>
      <c r="J481" s="51">
        <v>5.69</v>
      </c>
      <c r="K481" s="51">
        <f>Tabela6[[#This Row],[CONSUMO]]*Tabela6[[#This Row],[VALOR UNIT]]-Tabela6[[#This Row],[DESCONTO]]</f>
        <v>750.74429000000009</v>
      </c>
      <c r="L481" s="53">
        <f>Tabela6[[#This Row],[CUSTO TOTAL]]/Tabela6[[#This Row],[CONSUMO]]</f>
        <v>5.69</v>
      </c>
      <c r="M481" s="50">
        <f>Tabela6[[#This Row],[KM ATUAL]]-E460</f>
        <v>472</v>
      </c>
      <c r="N481" s="51">
        <f>Tabela6[[#This Row],[KM Rodados ]]/Tabela6[[#This Row],[CONSUMO]]</f>
        <v>3.5773565457287728</v>
      </c>
    </row>
    <row r="482" spans="1:14" x14ac:dyDescent="0.25">
      <c r="A482" s="47">
        <v>129870</v>
      </c>
      <c r="B482" s="78">
        <v>44987</v>
      </c>
      <c r="C482" s="47"/>
      <c r="D482" s="49" t="s">
        <v>268</v>
      </c>
      <c r="E482" s="47">
        <v>293324</v>
      </c>
      <c r="G482" s="50" t="s">
        <v>89</v>
      </c>
      <c r="H482" s="51">
        <v>62.3</v>
      </c>
      <c r="J482" s="51">
        <v>5.69</v>
      </c>
      <c r="K482" s="52">
        <f>Tabela6[[#This Row],[CONSUMO]]*Tabela6[[#This Row],[VALOR UNIT]]-Tabela6[[#This Row],[DESCONTO]]</f>
        <v>354.48700000000002</v>
      </c>
      <c r="L482" s="53">
        <f>Tabela6[[#This Row],[CUSTO TOTAL]]/Tabela6[[#This Row],[CONSUMO]]</f>
        <v>5.69</v>
      </c>
      <c r="M482" s="50">
        <f>Tabela6[[#This Row],[KM ATUAL]]-E475</f>
        <v>524</v>
      </c>
      <c r="N482" s="51">
        <f>Tabela6[[#This Row],[KM Rodados ]]/Tabela6[[#This Row],[CONSUMO]]</f>
        <v>8.4109149277688608</v>
      </c>
    </row>
    <row r="483" spans="1:14" x14ac:dyDescent="0.25">
      <c r="A483" s="47">
        <v>572002</v>
      </c>
      <c r="B483" s="78">
        <v>44987</v>
      </c>
      <c r="C483" s="47"/>
      <c r="D483" s="49" t="s">
        <v>271</v>
      </c>
      <c r="E483" s="47">
        <v>591736</v>
      </c>
      <c r="G483" s="50" t="s">
        <v>89</v>
      </c>
      <c r="H483" s="51">
        <v>110</v>
      </c>
      <c r="J483" s="51">
        <v>5.89</v>
      </c>
      <c r="K483" s="52">
        <f>Tabela6[[#This Row],[CONSUMO]]*Tabela6[[#This Row],[VALOR UNIT]]-Tabela6[[#This Row],[DESCONTO]]</f>
        <v>647.9</v>
      </c>
      <c r="L483" s="53">
        <f>Tabela6[[#This Row],[CUSTO TOTAL]]/Tabela6[[#This Row],[CONSUMO]]</f>
        <v>5.89</v>
      </c>
      <c r="M483" s="50">
        <f>Tabela6[[#This Row],[KM ATUAL]]-E398</f>
        <v>295519</v>
      </c>
      <c r="N483" s="51">
        <f>Tabela6[[#This Row],[KM Rodados ]]/Tabela6[[#This Row],[CONSUMO]]</f>
        <v>2686.5363636363636</v>
      </c>
    </row>
    <row r="484" spans="1:14" x14ac:dyDescent="0.25">
      <c r="A484" s="47">
        <v>649155</v>
      </c>
      <c r="B484" s="78">
        <v>44987</v>
      </c>
      <c r="C484" s="47"/>
      <c r="D484" s="49" t="s">
        <v>274</v>
      </c>
      <c r="E484" s="47">
        <v>923116</v>
      </c>
      <c r="G484" s="50" t="s">
        <v>89</v>
      </c>
      <c r="H484" s="51">
        <v>450</v>
      </c>
      <c r="J484" s="51">
        <v>5.69</v>
      </c>
      <c r="K484" s="52">
        <f>Tabela6[[#This Row],[CONSUMO]]*Tabela6[[#This Row],[VALOR UNIT]]-Tabela6[[#This Row],[DESCONTO]]</f>
        <v>2560.5</v>
      </c>
      <c r="L484" s="53">
        <f>Tabela6[[#This Row],[CUSTO TOTAL]]/Tabela6[[#This Row],[CONSUMO]]</f>
        <v>5.69</v>
      </c>
      <c r="M484" s="50">
        <f>Tabela6[[#This Row],[KM ATUAL]]-E443</f>
        <v>886713</v>
      </c>
      <c r="N484" s="51">
        <f>Tabela6[[#This Row],[KM Rodados ]]/Tabela6[[#This Row],[CONSUMO]]</f>
        <v>1970.4733333333334</v>
      </c>
    </row>
    <row r="485" spans="1:14" x14ac:dyDescent="0.25">
      <c r="A485" s="47">
        <v>313272</v>
      </c>
      <c r="B485" s="78">
        <v>44988</v>
      </c>
      <c r="C485" s="47" t="s">
        <v>68</v>
      </c>
      <c r="D485" s="49" t="s">
        <v>253</v>
      </c>
      <c r="E485" s="47">
        <v>865177</v>
      </c>
      <c r="G485" s="50" t="s">
        <v>89</v>
      </c>
      <c r="H485" s="51">
        <v>80.430000000000007</v>
      </c>
      <c r="I485" s="49">
        <v>24.13</v>
      </c>
      <c r="J485" s="51">
        <v>6.29</v>
      </c>
      <c r="K485" s="51">
        <f>Tabela6[[#This Row],[CONSUMO]]*Tabela6[[#This Row],[VALOR UNIT]]-Tabela6[[#This Row],[DESCONTO]]</f>
        <v>481.77470000000005</v>
      </c>
      <c r="L485" s="53">
        <f>Tabela6[[#This Row],[CUSTO TOTAL]]/Tabela6[[#This Row],[CONSUMO]]</f>
        <v>5.9899875668282982</v>
      </c>
      <c r="M485" s="50">
        <f>Tabela6[[#This Row],[KM ATUAL]]-E437</f>
        <v>559921</v>
      </c>
      <c r="N485" s="51">
        <f>Tabela6[[#This Row],[KM Rodados ]]/Tabela6[[#This Row],[CONSUMO]]</f>
        <v>6961.5939326122088</v>
      </c>
    </row>
    <row r="486" spans="1:14" x14ac:dyDescent="0.25">
      <c r="A486" s="47">
        <v>165951</v>
      </c>
      <c r="B486" s="78">
        <v>44988</v>
      </c>
      <c r="C486" s="47" t="s">
        <v>22</v>
      </c>
      <c r="D486" s="49" t="s">
        <v>262</v>
      </c>
      <c r="E486" s="47">
        <v>125141</v>
      </c>
      <c r="G486" s="50" t="s">
        <v>89</v>
      </c>
      <c r="H486" s="51">
        <v>35.869</v>
      </c>
      <c r="J486" s="51">
        <v>5.59</v>
      </c>
      <c r="K486" s="52">
        <f>Tabela6[[#This Row],[CONSUMO]]*Tabela6[[#This Row],[VALOR UNIT]]-Tabela6[[#This Row],[DESCONTO]]</f>
        <v>200.50771</v>
      </c>
      <c r="L486" s="53">
        <f>Tabela6[[#This Row],[CUSTO TOTAL]]/Tabela6[[#This Row],[CONSUMO]]</f>
        <v>5.59</v>
      </c>
      <c r="M486" s="50">
        <f>Tabela6[[#This Row],[KM ATUAL]]-E416</f>
        <v>-3776</v>
      </c>
      <c r="N486" s="65">
        <f>Tabela6[[#This Row],[KM Rodados ]]/Tabela6[[#This Row],[CONSUMO]]</f>
        <v>-105.27196186121721</v>
      </c>
    </row>
    <row r="487" spans="1:14" x14ac:dyDescent="0.25">
      <c r="A487" s="47" t="s">
        <v>314</v>
      </c>
      <c r="B487" s="78">
        <v>44988</v>
      </c>
      <c r="C487" s="47" t="s">
        <v>70</v>
      </c>
      <c r="E487" s="47">
        <v>182089</v>
      </c>
      <c r="G487" s="50" t="s">
        <v>89</v>
      </c>
      <c r="H487" s="51">
        <v>65.3</v>
      </c>
      <c r="K487" s="52">
        <f>Tabela6[[#This Row],[CONSUMO]]*Tabela6[[#This Row],[VALOR UNIT]]-Tabela6[[#This Row],[DESCONTO]]</f>
        <v>0</v>
      </c>
      <c r="L487" s="53">
        <f>Tabela6[[#This Row],[CUSTO TOTAL]]/Tabela6[[#This Row],[CONSUMO]]</f>
        <v>0</v>
      </c>
      <c r="M487" s="50">
        <f>Tabela6[[#This Row],[KM ATUAL]]-E370</f>
        <v>-472161</v>
      </c>
      <c r="N487" s="51">
        <f>Tabela6[[#This Row],[KM Rodados ]]/Tabela6[[#This Row],[CONSUMO]]</f>
        <v>-7230.6431852986225</v>
      </c>
    </row>
    <row r="488" spans="1:14" x14ac:dyDescent="0.25">
      <c r="A488" s="47" t="s">
        <v>314</v>
      </c>
      <c r="B488" s="78">
        <v>44988</v>
      </c>
      <c r="C488" s="47" t="s">
        <v>70</v>
      </c>
      <c r="E488" s="47">
        <v>183598</v>
      </c>
      <c r="G488" s="50" t="s">
        <v>89</v>
      </c>
      <c r="H488" s="51">
        <v>562.20000000000005</v>
      </c>
      <c r="K488" s="52">
        <f>Tabela6[[#This Row],[CONSUMO]]*Tabela6[[#This Row],[VALOR UNIT]]-Tabela6[[#This Row],[DESCONTO]]</f>
        <v>0</v>
      </c>
      <c r="L488" s="53">
        <f>Tabela6[[#This Row],[CUSTO TOTAL]]/Tabela6[[#This Row],[CONSUMO]]</f>
        <v>0</v>
      </c>
      <c r="M488" s="50">
        <f>Tabela6[[#This Row],[KM ATUAL]]-E487</f>
        <v>1509</v>
      </c>
      <c r="N488" s="51">
        <f>Tabela6[[#This Row],[KM Rodados ]]/Tabela6[[#This Row],[CONSUMO]]</f>
        <v>2.6840981856990394</v>
      </c>
    </row>
    <row r="489" spans="1:14" x14ac:dyDescent="0.25">
      <c r="A489" s="47">
        <v>275060</v>
      </c>
      <c r="B489" s="78">
        <v>44988</v>
      </c>
      <c r="C489" s="47" t="s">
        <v>203</v>
      </c>
      <c r="D489" s="49" t="s">
        <v>276</v>
      </c>
      <c r="E489" s="47">
        <v>78746</v>
      </c>
      <c r="G489" s="50" t="s">
        <v>244</v>
      </c>
      <c r="H489" s="51">
        <v>10</v>
      </c>
      <c r="J489" s="51">
        <v>5.6</v>
      </c>
      <c r="K489" s="52">
        <f>Tabela6[[#This Row],[CONSUMO]]*Tabela6[[#This Row],[VALOR UNIT]]-Tabela6[[#This Row],[DESCONTO]]</f>
        <v>56</v>
      </c>
      <c r="L489" s="53">
        <f>Tabela6[[#This Row],[CUSTO TOTAL]]/Tabela6[[#This Row],[CONSUMO]]</f>
        <v>5.6</v>
      </c>
      <c r="M489" s="50">
        <f>Tabela6[[#This Row],[KM ATUAL]]-E488</f>
        <v>-104852</v>
      </c>
      <c r="N489" s="51">
        <f>Tabela6[[#This Row],[KM Rodados ]]/Tabela6[[#This Row],[CONSUMO]]</f>
        <v>-10485.200000000001</v>
      </c>
    </row>
    <row r="490" spans="1:14" x14ac:dyDescent="0.25">
      <c r="A490" s="47">
        <v>165924</v>
      </c>
      <c r="B490" s="78">
        <v>44988</v>
      </c>
      <c r="C490" s="47" t="s">
        <v>71</v>
      </c>
      <c r="D490" s="49" t="s">
        <v>262</v>
      </c>
      <c r="E490" s="47">
        <v>87796</v>
      </c>
      <c r="G490" s="50" t="s">
        <v>89</v>
      </c>
      <c r="H490" s="51">
        <v>600.77099999999996</v>
      </c>
      <c r="J490" s="51">
        <v>5.89</v>
      </c>
      <c r="K490" s="52">
        <f>Tabela6[[#This Row],[CONSUMO]]*Tabela6[[#This Row],[VALOR UNIT]]-Tabela6[[#This Row],[DESCONTO]]</f>
        <v>3538.5411899999995</v>
      </c>
      <c r="L490" s="53">
        <f>Tabela6[[#This Row],[CUSTO TOTAL]]/Tabela6[[#This Row],[CONSUMO]]</f>
        <v>5.89</v>
      </c>
      <c r="M490" s="50">
        <f>Tabela6[[#This Row],[KM ATUAL]]-E432</f>
        <v>-566609</v>
      </c>
      <c r="N490" s="51">
        <f>Tabela6[[#This Row],[KM Rodados ]]/Tabela6[[#This Row],[CONSUMO]]</f>
        <v>-943.13640305540719</v>
      </c>
    </row>
    <row r="491" spans="1:14" x14ac:dyDescent="0.25">
      <c r="A491" s="47">
        <v>225326</v>
      </c>
      <c r="B491" s="78">
        <v>44988</v>
      </c>
      <c r="C491" s="47" t="s">
        <v>21</v>
      </c>
      <c r="D491" s="49" t="s">
        <v>272</v>
      </c>
      <c r="E491" s="47">
        <v>129714</v>
      </c>
      <c r="G491" s="50" t="s">
        <v>89</v>
      </c>
      <c r="H491" s="51">
        <v>125.017</v>
      </c>
      <c r="J491" s="51">
        <v>5.69</v>
      </c>
      <c r="K491" s="51">
        <f>Tabela6[[#This Row],[CONSUMO]]*Tabela6[[#This Row],[VALOR UNIT]]-Tabela6[[#This Row],[DESCONTO]]</f>
        <v>711.34672999999998</v>
      </c>
      <c r="L491" s="53">
        <f>Tabela6[[#This Row],[CUSTO TOTAL]]/Tabela6[[#This Row],[CONSUMO]]</f>
        <v>5.69</v>
      </c>
      <c r="M491" s="50">
        <f>Tabela6[[#This Row],[KM ATUAL]]-E415</f>
        <v>-244867</v>
      </c>
      <c r="N491" s="51">
        <f>Tabela6[[#This Row],[KM Rodados ]]/Tabela6[[#This Row],[CONSUMO]]</f>
        <v>-1958.6696209315535</v>
      </c>
    </row>
    <row r="492" spans="1:14" x14ac:dyDescent="0.25">
      <c r="A492" s="47">
        <v>312926</v>
      </c>
      <c r="B492" s="78">
        <v>44988</v>
      </c>
      <c r="C492" s="47" t="s">
        <v>13</v>
      </c>
      <c r="D492" s="49" t="s">
        <v>253</v>
      </c>
      <c r="E492" s="47">
        <v>600845</v>
      </c>
      <c r="G492" s="50" t="s">
        <v>89</v>
      </c>
      <c r="H492" s="51">
        <v>160.52000000000001</v>
      </c>
      <c r="I492" s="49">
        <v>48.16</v>
      </c>
      <c r="J492" s="51">
        <v>6.29</v>
      </c>
      <c r="K492" s="51">
        <f>Tabela6[[#This Row],[CONSUMO]]*Tabela6[[#This Row],[VALOR UNIT]]-Tabela6[[#This Row],[DESCONTO]]</f>
        <v>961.51080000000013</v>
      </c>
      <c r="L492" s="53">
        <f>Tabela6[[#This Row],[CUSTO TOTAL]]/Tabela6[[#This Row],[CONSUMO]]</f>
        <v>5.9899750809867935</v>
      </c>
      <c r="M492" s="50">
        <f>Tabela6[[#This Row],[KM ATUAL]]-E439</f>
        <v>368282</v>
      </c>
      <c r="N492" s="84">
        <f>Tabela6[[#This Row],[KM Rodados ]]/Tabela6[[#This Row],[CONSUMO]]</f>
        <v>2294.3060054821826</v>
      </c>
    </row>
    <row r="493" spans="1:14" x14ac:dyDescent="0.25">
      <c r="A493" s="67">
        <v>517643</v>
      </c>
      <c r="B493" s="78">
        <v>44988</v>
      </c>
      <c r="C493" s="47" t="s">
        <v>17</v>
      </c>
      <c r="D493" s="49" t="s">
        <v>255</v>
      </c>
      <c r="E493" s="47">
        <v>339002</v>
      </c>
      <c r="G493" s="50" t="s">
        <v>89</v>
      </c>
      <c r="H493" s="51">
        <v>51.53</v>
      </c>
      <c r="J493" s="51">
        <v>5.85</v>
      </c>
      <c r="K493" s="51">
        <f>Tabela6[[#This Row],[CONSUMO]]*Tabela6[[#This Row],[VALOR UNIT]]-Tabela6[[#This Row],[DESCONTO]]</f>
        <v>301.45049999999998</v>
      </c>
      <c r="L493" s="53">
        <f>Tabela6[[#This Row],[CUSTO TOTAL]]/Tabela6[[#This Row],[CONSUMO]]</f>
        <v>5.85</v>
      </c>
      <c r="M493" s="50">
        <f>Tabela6[[#This Row],[KM ATUAL]]-E391</f>
        <v>276313</v>
      </c>
      <c r="N493" s="51">
        <f>Tabela6[[#This Row],[KM Rodados ]]/Tabela6[[#This Row],[CONSUMO]]</f>
        <v>5362.1773724044242</v>
      </c>
    </row>
    <row r="494" spans="1:14" x14ac:dyDescent="0.25">
      <c r="A494" s="47">
        <v>165837</v>
      </c>
      <c r="B494" s="78">
        <v>44988</v>
      </c>
      <c r="C494" s="47" t="s">
        <v>17</v>
      </c>
      <c r="D494" s="49" t="s">
        <v>262</v>
      </c>
      <c r="E494" s="47">
        <v>339341</v>
      </c>
      <c r="G494" s="50" t="s">
        <v>89</v>
      </c>
      <c r="H494" s="51">
        <v>161.81</v>
      </c>
      <c r="J494" s="51">
        <v>5.89</v>
      </c>
      <c r="K494" s="51">
        <f>Tabela6[[#This Row],[CONSUMO]]*Tabela6[[#This Row],[VALOR UNIT]]-Tabela6[[#This Row],[DESCONTO]]</f>
        <v>953.06089999999995</v>
      </c>
      <c r="L494" s="53">
        <f>Tabela6[[#This Row],[CUSTO TOTAL]]/Tabela6[[#This Row],[CONSUMO]]</f>
        <v>5.89</v>
      </c>
      <c r="M494" s="50">
        <f>Tabela6[[#This Row],[KM ATUAL]]-E491</f>
        <v>209627</v>
      </c>
      <c r="N494" s="84">
        <f>Tabela6[[#This Row],[KM Rodados ]]/Tabela6[[#This Row],[CONSUMO]]</f>
        <v>1295.5132562882393</v>
      </c>
    </row>
    <row r="495" spans="1:14" x14ac:dyDescent="0.25">
      <c r="A495" s="47">
        <v>275260</v>
      </c>
      <c r="B495" s="78">
        <v>44988</v>
      </c>
      <c r="C495" s="47" t="s">
        <v>23</v>
      </c>
      <c r="D495" s="49" t="s">
        <v>276</v>
      </c>
      <c r="E495" s="47">
        <v>214515</v>
      </c>
      <c r="G495" s="50" t="s">
        <v>89</v>
      </c>
      <c r="H495" s="51">
        <v>89.99</v>
      </c>
      <c r="J495" s="51">
        <v>5.99</v>
      </c>
      <c r="K495" s="51">
        <f>Tabela6[[#This Row],[CONSUMO]]*Tabela6[[#This Row],[VALOR UNIT]]-Tabela6[[#This Row],[DESCONTO]]</f>
        <v>539.04009999999994</v>
      </c>
      <c r="L495" s="53">
        <f>Tabela6[[#This Row],[CUSTO TOTAL]]/Tabela6[[#This Row],[CONSUMO]]</f>
        <v>5.9899999999999993</v>
      </c>
      <c r="M495" s="50">
        <f>Tabela6[[#This Row],[KM ATUAL]]-E493</f>
        <v>-124487</v>
      </c>
      <c r="N495" s="51">
        <f>Tabela6[[#This Row],[KM Rodados ]]/Tabela6[[#This Row],[CONSUMO]]</f>
        <v>-1383.3425936215135</v>
      </c>
    </row>
    <row r="496" spans="1:14" x14ac:dyDescent="0.25">
      <c r="A496" s="47" t="s">
        <v>314</v>
      </c>
      <c r="B496" s="78">
        <v>44988</v>
      </c>
      <c r="C496" s="47" t="s">
        <v>74</v>
      </c>
      <c r="E496" s="47">
        <v>37462</v>
      </c>
      <c r="G496" s="50" t="s">
        <v>89</v>
      </c>
      <c r="H496" s="51">
        <v>65.400000000000006</v>
      </c>
      <c r="K496" s="52">
        <f>Tabela6[[#This Row],[CONSUMO]]*Tabela6[[#This Row],[VALOR UNIT]]-Tabela6[[#This Row],[DESCONTO]]</f>
        <v>0</v>
      </c>
      <c r="L496" s="53">
        <f>Tabela6[[#This Row],[CUSTO TOTAL]]/Tabela6[[#This Row],[CONSUMO]]</f>
        <v>0</v>
      </c>
      <c r="M496" s="50">
        <f>Tabela6[[#This Row],[KM ATUAL]]-E449</f>
        <v>37462</v>
      </c>
      <c r="N496" s="51">
        <f>Tabela6[[#This Row],[KM Rodados ]]/Tabela6[[#This Row],[CONSUMO]]</f>
        <v>572.81345565749234</v>
      </c>
    </row>
    <row r="497" spans="1:14" x14ac:dyDescent="0.25">
      <c r="A497" s="67" t="s">
        <v>314</v>
      </c>
      <c r="B497" s="78">
        <v>44989</v>
      </c>
      <c r="C497" s="47" t="s">
        <v>215</v>
      </c>
      <c r="E497" s="47">
        <v>218915</v>
      </c>
      <c r="G497" s="50" t="s">
        <v>244</v>
      </c>
      <c r="H497" s="51">
        <v>41</v>
      </c>
      <c r="J497" s="51">
        <v>5.87</v>
      </c>
      <c r="K497" s="49">
        <f>Tabela6[[#This Row],[CONSUMO]]*Tabela6[[#This Row],[VALOR UNIT]]-Tabela6[[#This Row],[DESCONTO]]</f>
        <v>240.67000000000002</v>
      </c>
      <c r="L497" s="53">
        <f>Tabela6[[#This Row],[CUSTO TOTAL]]/Tabela6[[#This Row],[CONSUMO]]</f>
        <v>5.87</v>
      </c>
      <c r="M497" s="50">
        <f>Tabela6[[#This Row],[KM ATUAL]]-E462</f>
        <v>89169</v>
      </c>
      <c r="N497" s="51">
        <f>Tabela6[[#This Row],[KM Rodados ]]/Tabela6[[#This Row],[CONSUMO]]</f>
        <v>2174.8536585365855</v>
      </c>
    </row>
    <row r="498" spans="1:14" x14ac:dyDescent="0.25">
      <c r="A498" s="47">
        <v>259164</v>
      </c>
      <c r="B498" s="78">
        <v>44989</v>
      </c>
      <c r="C498" s="47" t="s">
        <v>203</v>
      </c>
      <c r="D498" s="49" t="s">
        <v>270</v>
      </c>
      <c r="E498" s="47">
        <v>79473</v>
      </c>
      <c r="G498" s="50" t="s">
        <v>244</v>
      </c>
      <c r="H498" s="51">
        <v>51</v>
      </c>
      <c r="J498" s="51">
        <v>5.89</v>
      </c>
      <c r="K498" s="51">
        <f>Tabela6[[#This Row],[CONSUMO]]*Tabela6[[#This Row],[VALOR UNIT]]-Tabela6[[#This Row],[DESCONTO]]</f>
        <v>300.39</v>
      </c>
      <c r="L498" s="53">
        <f>Tabela6[[#This Row],[CUSTO TOTAL]]/Tabela6[[#This Row],[CONSUMO]]</f>
        <v>5.89</v>
      </c>
      <c r="M498" s="50">
        <f>Tabela6[[#This Row],[KM ATUAL]]-E485</f>
        <v>-785704</v>
      </c>
      <c r="N498" s="51">
        <f>Tabela6[[#This Row],[KM Rodados ]]/Tabela6[[#This Row],[CONSUMO]]</f>
        <v>-15405.960784313726</v>
      </c>
    </row>
    <row r="499" spans="1:14" x14ac:dyDescent="0.25">
      <c r="A499" s="47" t="s">
        <v>314</v>
      </c>
      <c r="B499" s="78">
        <v>44989</v>
      </c>
      <c r="C499" s="47" t="s">
        <v>40</v>
      </c>
      <c r="E499" s="47">
        <v>124211</v>
      </c>
      <c r="G499" s="50" t="s">
        <v>244</v>
      </c>
      <c r="H499" s="51">
        <v>40.299999999999997</v>
      </c>
      <c r="K499" s="52">
        <f>Tabela6[[#This Row],[CONSUMO]]*Tabela6[[#This Row],[VALOR UNIT]]-Tabela6[[#This Row],[DESCONTO]]</f>
        <v>0</v>
      </c>
      <c r="L499" s="53">
        <f>Tabela6[[#This Row],[CUSTO TOTAL]]/Tabela6[[#This Row],[CONSUMO]]</f>
        <v>0</v>
      </c>
      <c r="M499" s="50">
        <f>Tabela6[[#This Row],[KM ATUAL]]-E498</f>
        <v>44738</v>
      </c>
      <c r="N499" s="51">
        <f>Tabela6[[#This Row],[KM Rodados ]]/Tabela6[[#This Row],[CONSUMO]]</f>
        <v>1110.1240694789083</v>
      </c>
    </row>
    <row r="500" spans="1:14" x14ac:dyDescent="0.25">
      <c r="A500" s="47" t="s">
        <v>314</v>
      </c>
      <c r="B500" s="78">
        <v>44990</v>
      </c>
      <c r="C500" s="47" t="s">
        <v>39</v>
      </c>
      <c r="E500" s="47">
        <v>79788</v>
      </c>
      <c r="G500" s="50" t="s">
        <v>89</v>
      </c>
      <c r="H500" s="51">
        <v>78</v>
      </c>
      <c r="K500" s="52">
        <f>Tabela6[[#This Row],[CONSUMO]]*Tabela6[[#This Row],[VALOR UNIT]]-Tabela6[[#This Row],[DESCONTO]]</f>
        <v>0</v>
      </c>
      <c r="L500" s="53">
        <f>Tabela6[[#This Row],[CUSTO TOTAL]]/Tabela6[[#This Row],[CONSUMO]]</f>
        <v>0</v>
      </c>
      <c r="M500" s="50">
        <f>Tabela6[[#This Row],[KM ATUAL]]-E423</f>
        <v>-217245</v>
      </c>
      <c r="N500" s="51">
        <f>Tabela6[[#This Row],[KM Rodados ]]/Tabela6[[#This Row],[CONSUMO]]</f>
        <v>-2785.1923076923076</v>
      </c>
    </row>
    <row r="501" spans="1:14" x14ac:dyDescent="0.25">
      <c r="A501" s="47" t="s">
        <v>314</v>
      </c>
      <c r="B501" s="78">
        <v>44991</v>
      </c>
      <c r="C501" s="47" t="s">
        <v>203</v>
      </c>
      <c r="E501" s="47">
        <v>79876</v>
      </c>
      <c r="G501" s="50" t="s">
        <v>244</v>
      </c>
      <c r="H501" s="51">
        <v>36.36</v>
      </c>
      <c r="K501" s="52">
        <f>Tabela6[[#This Row],[CONSUMO]]*Tabela6[[#This Row],[VALOR UNIT]]-Tabela6[[#This Row],[DESCONTO]]</f>
        <v>0</v>
      </c>
      <c r="L501" s="53">
        <f>Tabela6[[#This Row],[CUSTO TOTAL]]/Tabela6[[#This Row],[CONSUMO]]</f>
        <v>0</v>
      </c>
      <c r="M501" s="50">
        <f>Tabela6[[#This Row],[KM ATUAL]]-E478</f>
        <v>-295385</v>
      </c>
      <c r="N501" s="51">
        <f>Tabela6[[#This Row],[KM Rodados ]]/Tabela6[[#This Row],[CONSUMO]]</f>
        <v>-8123.8998899889993</v>
      </c>
    </row>
    <row r="502" spans="1:14" x14ac:dyDescent="0.25">
      <c r="A502" s="47" t="s">
        <v>314</v>
      </c>
      <c r="B502" s="78">
        <v>44991</v>
      </c>
      <c r="C502" s="47" t="s">
        <v>64</v>
      </c>
      <c r="E502" s="47">
        <v>70162</v>
      </c>
      <c r="G502" s="50" t="s">
        <v>89</v>
      </c>
      <c r="H502" s="51">
        <v>59.52</v>
      </c>
      <c r="K502" s="52">
        <f>Tabela6[[#This Row],[CONSUMO]]*Tabela6[[#This Row],[VALOR UNIT]]-Tabela6[[#This Row],[DESCONTO]]</f>
        <v>0</v>
      </c>
      <c r="L502" s="53">
        <f>Tabela6[[#This Row],[CUSTO TOTAL]]/Tabela6[[#This Row],[CONSUMO]]</f>
        <v>0</v>
      </c>
      <c r="M502" s="50"/>
    </row>
    <row r="503" spans="1:14" x14ac:dyDescent="0.25">
      <c r="A503" s="47">
        <v>234005</v>
      </c>
      <c r="B503" s="78">
        <v>44991</v>
      </c>
      <c r="C503" s="47" t="s">
        <v>11</v>
      </c>
      <c r="D503" s="49" t="s">
        <v>263</v>
      </c>
      <c r="E503" s="47">
        <v>386212</v>
      </c>
      <c r="G503" s="50" t="s">
        <v>89</v>
      </c>
      <c r="H503" s="51">
        <v>75.239999999999995</v>
      </c>
      <c r="I503" s="49">
        <v>7.52</v>
      </c>
      <c r="J503" s="51">
        <v>5.77</v>
      </c>
      <c r="K503" s="52">
        <f>Tabela6[[#This Row],[CONSUMO]]*Tabela6[[#This Row],[VALOR UNIT]]-Tabela6[[#This Row],[DESCONTO]]</f>
        <v>426.61479999999995</v>
      </c>
      <c r="L503" s="53">
        <f>Tabela6[[#This Row],[CUSTO TOTAL]]/Tabela6[[#This Row],[CONSUMO]]</f>
        <v>5.6700531632110573</v>
      </c>
      <c r="M503" s="50">
        <f>Tabela6[[#This Row],[KM ATUAL]]-E502</f>
        <v>316050</v>
      </c>
      <c r="N503" s="51">
        <f>Tabela6[[#This Row],[KM Rodados ]]/Tabela6[[#This Row],[CONSUMO]]</f>
        <v>4200.5582137161091</v>
      </c>
    </row>
    <row r="504" spans="1:14" x14ac:dyDescent="0.25">
      <c r="A504" s="47">
        <v>573787</v>
      </c>
      <c r="B504" s="78">
        <v>44991</v>
      </c>
      <c r="C504" s="47" t="s">
        <v>11</v>
      </c>
      <c r="D504" s="49" t="s">
        <v>271</v>
      </c>
      <c r="E504" s="47">
        <v>386784</v>
      </c>
      <c r="G504" s="50" t="s">
        <v>89</v>
      </c>
      <c r="H504" s="51">
        <v>116.29</v>
      </c>
      <c r="J504" s="51">
        <v>5.89</v>
      </c>
      <c r="K504" s="51">
        <f>Tabela6[[#This Row],[CONSUMO]]*Tabela6[[#This Row],[VALOR UNIT]]-Tabela6[[#This Row],[DESCONTO]]</f>
        <v>684.94809999999995</v>
      </c>
      <c r="L504" s="53">
        <f>Tabela6[[#This Row],[CUSTO TOTAL]]/Tabela6[[#This Row],[CONSUMO]]</f>
        <v>5.89</v>
      </c>
      <c r="M504" s="50">
        <f>Tabela6[[#This Row],[KM ATUAL]]-E503</f>
        <v>572</v>
      </c>
      <c r="N504" s="51">
        <f>Tabela6[[#This Row],[KM Rodados ]]/Tabela6[[#This Row],[CONSUMO]]</f>
        <v>4.9187376386619652</v>
      </c>
    </row>
    <row r="505" spans="1:14" x14ac:dyDescent="0.25">
      <c r="A505" s="47">
        <v>317246</v>
      </c>
      <c r="B505" s="78">
        <v>44991</v>
      </c>
      <c r="C505" s="47" t="s">
        <v>15</v>
      </c>
      <c r="D505" s="49" t="s">
        <v>253</v>
      </c>
      <c r="E505" s="47">
        <v>350290</v>
      </c>
      <c r="G505" s="50" t="s">
        <v>89</v>
      </c>
      <c r="H505" s="51">
        <v>141.53</v>
      </c>
      <c r="I505" s="49">
        <v>42.46</v>
      </c>
      <c r="J505" s="51">
        <v>6.29</v>
      </c>
      <c r="K505" s="51">
        <f>Tabela6[[#This Row],[CONSUMO]]*Tabela6[[#This Row],[VALOR UNIT]]-Tabela6[[#This Row],[DESCONTO]]</f>
        <v>847.76369999999997</v>
      </c>
      <c r="L505" s="53">
        <f>Tabela6[[#This Row],[CUSTO TOTAL]]/Tabela6[[#This Row],[CONSUMO]]</f>
        <v>5.9899929343602061</v>
      </c>
      <c r="M505" s="50">
        <f>Tabela6[[#This Row],[KM ATUAL]]-E427</f>
        <v>137692</v>
      </c>
      <c r="N505" s="51">
        <f>Tabela6[[#This Row],[KM Rodados ]]/Tabela6[[#This Row],[CONSUMO]]</f>
        <v>972.88207447184345</v>
      </c>
    </row>
    <row r="506" spans="1:14" x14ac:dyDescent="0.25">
      <c r="A506" s="47">
        <v>314983</v>
      </c>
      <c r="B506" s="78">
        <v>44991</v>
      </c>
      <c r="C506" s="47" t="s">
        <v>15</v>
      </c>
      <c r="D506" s="49" t="s">
        <v>253</v>
      </c>
      <c r="E506" s="47">
        <v>350948</v>
      </c>
      <c r="G506" s="50" t="s">
        <v>89</v>
      </c>
      <c r="H506" s="51">
        <v>150.9</v>
      </c>
      <c r="I506" s="49">
        <v>45.27</v>
      </c>
      <c r="J506" s="51">
        <v>6.29</v>
      </c>
      <c r="K506" s="51">
        <f>Tabela6[[#This Row],[CONSUMO]]*Tabela6[[#This Row],[VALOR UNIT]]-Tabela6[[#This Row],[DESCONTO]]</f>
        <v>903.89100000000008</v>
      </c>
      <c r="L506" s="53">
        <f>Tabela6[[#This Row],[CUSTO TOTAL]]/Tabela6[[#This Row],[CONSUMO]]</f>
        <v>5.99</v>
      </c>
      <c r="M506" s="50">
        <f>Tabela6[[#This Row],[KM ATUAL]]-E505</f>
        <v>658</v>
      </c>
      <c r="N506" s="51">
        <f>Tabela6[[#This Row],[KM Rodados ]]/Tabela6[[#This Row],[CONSUMO]]</f>
        <v>4.3605036447978796</v>
      </c>
    </row>
    <row r="507" spans="1:14" x14ac:dyDescent="0.25">
      <c r="A507" s="47">
        <v>166439</v>
      </c>
      <c r="B507" s="78">
        <v>44991</v>
      </c>
      <c r="C507" s="47" t="s">
        <v>18</v>
      </c>
      <c r="D507" s="49" t="s">
        <v>262</v>
      </c>
      <c r="E507" s="47">
        <v>299212</v>
      </c>
      <c r="G507" s="50" t="s">
        <v>89</v>
      </c>
      <c r="H507" s="51">
        <v>88.221000000000004</v>
      </c>
      <c r="J507" s="51">
        <v>5.89</v>
      </c>
      <c r="K507" s="74">
        <f>Tabela6[[#This Row],[CONSUMO]]*Tabela6[[#This Row],[VALOR UNIT]]-Tabela6[[#This Row],[DESCONTO]]</f>
        <v>519.62168999999994</v>
      </c>
      <c r="L507" s="53">
        <f>Tabela6[[#This Row],[CUSTO TOTAL]]/Tabela6[[#This Row],[CONSUMO]]</f>
        <v>5.8899999999999988</v>
      </c>
      <c r="M507" s="50">
        <f>Tabela6[[#This Row],[KM ATUAL]]-E506</f>
        <v>-51736</v>
      </c>
      <c r="N507" s="51">
        <f>Tabela6[[#This Row],[KM Rodados ]]/Tabela6[[#This Row],[CONSUMO]]</f>
        <v>-586.43633601976853</v>
      </c>
    </row>
    <row r="508" spans="1:14" x14ac:dyDescent="0.25">
      <c r="A508" s="47">
        <v>573526</v>
      </c>
      <c r="B508" s="78">
        <v>44991</v>
      </c>
      <c r="C508" s="47" t="s">
        <v>19</v>
      </c>
      <c r="D508" s="49" t="s">
        <v>271</v>
      </c>
      <c r="E508" s="47">
        <v>294340</v>
      </c>
      <c r="G508" s="50" t="s">
        <v>89</v>
      </c>
      <c r="H508" s="51">
        <v>61.03</v>
      </c>
      <c r="J508" s="51">
        <v>5.89</v>
      </c>
      <c r="K508" s="52">
        <f>Tabela6[[#This Row],[CONSUMO]]*Tabela6[[#This Row],[VALOR UNIT]]-Tabela6[[#This Row],[DESCONTO]]</f>
        <v>359.4667</v>
      </c>
      <c r="L508" s="53">
        <f>Tabela6[[#This Row],[CUSTO TOTAL]]/Tabela6[[#This Row],[CONSUMO]]</f>
        <v>5.89</v>
      </c>
      <c r="M508" s="50">
        <f>Tabela6[[#This Row],[KM ATUAL]]-E411</f>
        <v>-569385</v>
      </c>
      <c r="N508" s="51">
        <f>Tabela6[[#This Row],[KM Rodados ]]/Tabela6[[#This Row],[CONSUMO]]</f>
        <v>-9329.5920039324919</v>
      </c>
    </row>
    <row r="509" spans="1:14" x14ac:dyDescent="0.25">
      <c r="A509" s="47">
        <v>518344</v>
      </c>
      <c r="B509" s="78">
        <v>44991</v>
      </c>
      <c r="C509" s="47" t="s">
        <v>19</v>
      </c>
      <c r="D509" s="49" t="s">
        <v>255</v>
      </c>
      <c r="E509" s="47">
        <v>294960</v>
      </c>
      <c r="G509" s="50" t="s">
        <v>89</v>
      </c>
      <c r="H509" s="51">
        <v>72.421000000000006</v>
      </c>
      <c r="J509" s="51">
        <v>6.37</v>
      </c>
      <c r="K509" s="51">
        <f>Tabela6[[#This Row],[CONSUMO]]*Tabela6[[#This Row],[VALOR UNIT]]-Tabela6[[#This Row],[DESCONTO]]</f>
        <v>461.32177000000007</v>
      </c>
      <c r="L509" s="53">
        <f>Tabela6[[#This Row],[CUSTO TOTAL]]/Tabela6[[#This Row],[CONSUMO]]</f>
        <v>6.37</v>
      </c>
      <c r="M509" s="50">
        <f>Tabela6[[#This Row],[KM ATUAL]]-E507</f>
        <v>-4252</v>
      </c>
      <c r="N509" s="51">
        <f>Tabela6[[#This Row],[KM Rodados ]]/Tabela6[[#This Row],[CONSUMO]]</f>
        <v>-58.712251971113346</v>
      </c>
    </row>
    <row r="510" spans="1:14" x14ac:dyDescent="0.25">
      <c r="A510" s="47">
        <v>132514</v>
      </c>
      <c r="B510" s="78">
        <v>44991</v>
      </c>
      <c r="C510" s="47"/>
      <c r="D510" s="49" t="s">
        <v>268</v>
      </c>
      <c r="E510" s="47">
        <v>375904</v>
      </c>
      <c r="G510" s="50" t="s">
        <v>89</v>
      </c>
      <c r="H510" s="51">
        <v>48.7</v>
      </c>
      <c r="J510" s="51">
        <v>5.69</v>
      </c>
      <c r="K510" s="52">
        <f>Tabela6[[#This Row],[CONSUMO]]*Tabela6[[#This Row],[VALOR UNIT]]-Tabela6[[#This Row],[DESCONTO]]</f>
        <v>277.10300000000001</v>
      </c>
      <c r="L510" s="53">
        <f>Tabela6[[#This Row],[CUSTO TOTAL]]/Tabela6[[#This Row],[CONSUMO]]</f>
        <v>5.6899999999999995</v>
      </c>
      <c r="M510" s="50">
        <f>Tabela6[[#This Row],[KM ATUAL]]-E509</f>
        <v>80944</v>
      </c>
      <c r="N510" s="51">
        <f>Tabela6[[#This Row],[KM Rodados ]]/Tabela6[[#This Row],[CONSUMO]]</f>
        <v>1662.094455852156</v>
      </c>
    </row>
    <row r="511" spans="1:14" x14ac:dyDescent="0.25">
      <c r="A511" s="47">
        <v>133155</v>
      </c>
      <c r="B511" s="78">
        <v>44992</v>
      </c>
      <c r="C511" s="47" t="s">
        <v>9</v>
      </c>
      <c r="D511" s="49" t="s">
        <v>268</v>
      </c>
      <c r="E511" s="47">
        <v>591976</v>
      </c>
      <c r="G511" s="50" t="s">
        <v>89</v>
      </c>
      <c r="H511" s="51">
        <v>142</v>
      </c>
      <c r="J511" s="51">
        <v>5.69</v>
      </c>
      <c r="K511" s="51">
        <f>Tabela6[[#This Row],[CONSUMO]]*Tabela6[[#This Row],[VALOR UNIT]]-Tabela6[[#This Row],[DESCONTO]]</f>
        <v>807.98</v>
      </c>
      <c r="L511" s="53">
        <f>Tabela6[[#This Row],[CUSTO TOTAL]]/Tabela6[[#This Row],[CONSUMO]]</f>
        <v>5.69</v>
      </c>
      <c r="M511" s="50">
        <f>Tabela6[[#This Row],[KM ATUAL]]-E382</f>
        <v>466839</v>
      </c>
      <c r="N511" s="51">
        <f>Tabela6[[#This Row],[KM Rodados ]]/Tabela6[[#This Row],[CONSUMO]]</f>
        <v>3287.5985915492956</v>
      </c>
    </row>
    <row r="512" spans="1:14" x14ac:dyDescent="0.25">
      <c r="A512" s="47">
        <v>316508</v>
      </c>
      <c r="B512" s="78">
        <v>44992</v>
      </c>
      <c r="C512" s="47" t="s">
        <v>67</v>
      </c>
      <c r="D512" s="49" t="s">
        <v>253</v>
      </c>
      <c r="E512" s="47">
        <v>655430</v>
      </c>
      <c r="G512" s="50" t="s">
        <v>89</v>
      </c>
      <c r="H512" s="51">
        <v>157.13</v>
      </c>
      <c r="I512" s="49">
        <v>47.14</v>
      </c>
      <c r="J512" s="51">
        <v>6.29</v>
      </c>
      <c r="K512" s="51">
        <f>Tabela6[[#This Row],[CONSUMO]]*Tabela6[[#This Row],[VALOR UNIT]]-Tabela6[[#This Row],[DESCONTO]]</f>
        <v>941.20770000000005</v>
      </c>
      <c r="L512" s="53">
        <f>Tabela6[[#This Row],[CUSTO TOTAL]]/Tabela6[[#This Row],[CONSUMO]]</f>
        <v>5.9899936358429331</v>
      </c>
      <c r="M512" s="50">
        <f>Tabela6[[#This Row],[KM ATUAL]]-E477</f>
        <v>280509</v>
      </c>
      <c r="N512" s="51">
        <f>Tabela6[[#This Row],[KM Rodados ]]/Tabela6[[#This Row],[CONSUMO]]</f>
        <v>1785.2033348183033</v>
      </c>
    </row>
    <row r="513" spans="1:14" x14ac:dyDescent="0.25">
      <c r="A513" s="47">
        <v>166715</v>
      </c>
      <c r="B513" s="78">
        <v>44992</v>
      </c>
      <c r="C513" s="47" t="s">
        <v>73</v>
      </c>
      <c r="D513" s="49" t="s">
        <v>262</v>
      </c>
      <c r="E513" s="47">
        <v>108593</v>
      </c>
      <c r="G513" s="50" t="s">
        <v>89</v>
      </c>
      <c r="H513" s="51">
        <v>38.47</v>
      </c>
      <c r="J513" s="51">
        <v>5.89</v>
      </c>
      <c r="K513" s="52">
        <f>Tabela6[[#This Row],[CONSUMO]]*Tabela6[[#This Row],[VALOR UNIT]]-Tabela6[[#This Row],[DESCONTO]]</f>
        <v>226.58829999999998</v>
      </c>
      <c r="L513" s="53">
        <f>Tabela6[[#This Row],[CUSTO TOTAL]]/Tabela6[[#This Row],[CONSUMO]]</f>
        <v>5.89</v>
      </c>
      <c r="M513" s="50"/>
      <c r="N513" s="72">
        <f>Tabela6[[#This Row],[KM Rodados ]]/Tabela6[[#This Row],[CONSUMO]]</f>
        <v>0</v>
      </c>
    </row>
    <row r="514" spans="1:14" x14ac:dyDescent="0.25">
      <c r="A514" s="47">
        <v>259856</v>
      </c>
      <c r="B514" s="78">
        <v>44992</v>
      </c>
      <c r="C514" s="47" t="s">
        <v>206</v>
      </c>
      <c r="D514" s="49" t="s">
        <v>270</v>
      </c>
      <c r="E514" s="47">
        <v>924156</v>
      </c>
      <c r="G514" s="50" t="s">
        <v>89</v>
      </c>
      <c r="H514" s="51">
        <v>410.3</v>
      </c>
      <c r="J514" s="51">
        <v>5.79</v>
      </c>
      <c r="K514" s="52">
        <f>Tabela6[[#This Row],[CONSUMO]]*Tabela6[[#This Row],[VALOR UNIT]]-Tabela6[[#This Row],[DESCONTO]]</f>
        <v>2375.6370000000002</v>
      </c>
      <c r="L514" s="53">
        <f>Tabela6[[#This Row],[CUSTO TOTAL]]/Tabela6[[#This Row],[CONSUMO]]</f>
        <v>5.79</v>
      </c>
      <c r="M514" s="50">
        <f>Tabela6[[#This Row],[KM ATUAL]]-E464</f>
        <v>573991</v>
      </c>
      <c r="N514" s="51">
        <f>Tabela6[[#This Row],[KM Rodados ]]/Tabela6[[#This Row],[CONSUMO]]</f>
        <v>1398.9544235924932</v>
      </c>
    </row>
    <row r="515" spans="1:14" x14ac:dyDescent="0.25">
      <c r="A515" s="47">
        <v>133156</v>
      </c>
      <c r="B515" s="78">
        <v>44992</v>
      </c>
      <c r="C515" s="47" t="s">
        <v>13</v>
      </c>
      <c r="D515" s="49" t="s">
        <v>268</v>
      </c>
      <c r="E515" s="47">
        <v>924733</v>
      </c>
      <c r="G515" s="50" t="s">
        <v>241</v>
      </c>
      <c r="H515" s="51">
        <v>33.43</v>
      </c>
      <c r="J515" s="51">
        <v>3.29</v>
      </c>
      <c r="K515" s="51">
        <f>Tabela6[[#This Row],[CONSUMO]]*Tabela6[[#This Row],[VALOR UNIT]]-Tabela6[[#This Row],[DESCONTO]]</f>
        <v>109.9847</v>
      </c>
      <c r="L515" s="53">
        <f>Tabela6[[#This Row],[CUSTO TOTAL]]/Tabela6[[#This Row],[CONSUMO]]</f>
        <v>3.29</v>
      </c>
      <c r="M515" s="50"/>
      <c r="N515"/>
    </row>
    <row r="516" spans="1:14" x14ac:dyDescent="0.25">
      <c r="A516" s="47">
        <v>58010</v>
      </c>
      <c r="B516" s="78">
        <v>44992</v>
      </c>
      <c r="C516" s="47" t="s">
        <v>19</v>
      </c>
      <c r="D516" s="49" t="s">
        <v>263</v>
      </c>
      <c r="E516" s="47">
        <v>295223</v>
      </c>
      <c r="G516" s="50" t="s">
        <v>89</v>
      </c>
      <c r="H516" s="51">
        <v>52.411000000000001</v>
      </c>
      <c r="I516" s="49">
        <v>5.24</v>
      </c>
      <c r="J516" s="51">
        <v>5.77</v>
      </c>
      <c r="K516" s="51">
        <f>Tabela6[[#This Row],[CONSUMO]]*Tabela6[[#This Row],[VALOR UNIT]]-Tabela6[[#This Row],[DESCONTO]]</f>
        <v>297.17147</v>
      </c>
      <c r="L516" s="53">
        <f>Tabela6[[#This Row],[CUSTO TOTAL]]/Tabela6[[#This Row],[CONSUMO]]</f>
        <v>5.6700209879605428</v>
      </c>
      <c r="M516" s="50">
        <f>Tabela6[[#This Row],[KM ATUAL]]-E510</f>
        <v>-80681</v>
      </c>
      <c r="N516" s="51">
        <f>Tabela6[[#This Row],[KM Rodados ]]/Tabela6[[#This Row],[CONSUMO]]</f>
        <v>-1539.3905859456984</v>
      </c>
    </row>
    <row r="517" spans="1:14" x14ac:dyDescent="0.25">
      <c r="A517" s="47" t="s">
        <v>314</v>
      </c>
      <c r="B517" s="78">
        <v>44992</v>
      </c>
      <c r="C517" s="47" t="s">
        <v>40</v>
      </c>
      <c r="E517" s="47">
        <v>124706</v>
      </c>
      <c r="G517" s="50" t="s">
        <v>244</v>
      </c>
      <c r="H517" s="51">
        <v>39.799999999999997</v>
      </c>
      <c r="K517" s="52">
        <f>Tabela6[[#This Row],[CONSUMO]]*Tabela6[[#This Row],[VALOR UNIT]]-Tabela6[[#This Row],[DESCONTO]]</f>
        <v>0</v>
      </c>
      <c r="L517" s="53">
        <f>Tabela6[[#This Row],[CUSTO TOTAL]]/Tabela6[[#This Row],[CONSUMO]]</f>
        <v>0</v>
      </c>
      <c r="M517" s="50">
        <f>Tabela6[[#This Row],[KM ATUAL]]-E516</f>
        <v>-170517</v>
      </c>
      <c r="N517" s="51">
        <f>Tabela6[[#This Row],[KM Rodados ]]/Tabela6[[#This Row],[CONSUMO]]</f>
        <v>-4284.3467336683416</v>
      </c>
    </row>
    <row r="518" spans="1:14" x14ac:dyDescent="0.25">
      <c r="A518" s="47" t="s">
        <v>314</v>
      </c>
      <c r="B518" s="78">
        <v>44992</v>
      </c>
      <c r="C518" s="47" t="s">
        <v>74</v>
      </c>
      <c r="E518" s="47">
        <v>38065</v>
      </c>
      <c r="G518" s="50" t="s">
        <v>89</v>
      </c>
      <c r="H518" s="51">
        <v>74.5</v>
      </c>
      <c r="K518" s="52">
        <f>Tabela6[[#This Row],[CONSUMO]]*Tabela6[[#This Row],[VALOR UNIT]]-Tabela6[[#This Row],[DESCONTO]]</f>
        <v>0</v>
      </c>
      <c r="L518" s="53">
        <f>Tabela6[[#This Row],[CUSTO TOTAL]]/Tabela6[[#This Row],[CONSUMO]]</f>
        <v>0</v>
      </c>
      <c r="M518" s="50">
        <f>Tabela6[[#This Row],[KM ATUAL]]-E496</f>
        <v>603</v>
      </c>
      <c r="N518" s="51">
        <f>Tabela6[[#This Row],[KM Rodados ]]/Tabela6[[#This Row],[CONSUMO]]</f>
        <v>8.0939597315436238</v>
      </c>
    </row>
    <row r="519" spans="1:14" x14ac:dyDescent="0.25">
      <c r="A519" s="47">
        <v>166921</v>
      </c>
      <c r="B519" s="78">
        <v>44993</v>
      </c>
      <c r="C519" s="47" t="s">
        <v>68</v>
      </c>
      <c r="D519" s="49" t="s">
        <v>262</v>
      </c>
      <c r="E519" s="47">
        <v>866629</v>
      </c>
      <c r="G519" s="50" t="s">
        <v>89</v>
      </c>
      <c r="H519" s="51">
        <v>357.08</v>
      </c>
      <c r="J519" s="51">
        <v>5.89</v>
      </c>
      <c r="K519" s="51">
        <f>Tabela6[[#This Row],[CONSUMO]]*Tabela6[[#This Row],[VALOR UNIT]]-Tabela6[[#This Row],[DESCONTO]]</f>
        <v>2103.2012</v>
      </c>
      <c r="L519" s="53">
        <f>Tabela6[[#This Row],[CUSTO TOTAL]]/Tabela6[[#This Row],[CONSUMO]]</f>
        <v>5.8900000000000006</v>
      </c>
      <c r="M519" s="50">
        <f>Tabela6[[#This Row],[KM ATUAL]]-E493</f>
        <v>527627</v>
      </c>
      <c r="N519" s="51">
        <f>Tabela6[[#This Row],[KM Rodados ]]/Tabela6[[#This Row],[CONSUMO]]</f>
        <v>1477.6156603562229</v>
      </c>
    </row>
    <row r="520" spans="1:14" x14ac:dyDescent="0.25">
      <c r="A520" s="47">
        <v>574766</v>
      </c>
      <c r="B520" s="78">
        <v>44993</v>
      </c>
      <c r="C520" s="47" t="s">
        <v>9</v>
      </c>
      <c r="D520" s="49" t="s">
        <v>271</v>
      </c>
      <c r="E520" s="47">
        <v>592663</v>
      </c>
      <c r="G520" s="50" t="s">
        <v>89</v>
      </c>
      <c r="H520" s="51">
        <v>130.41</v>
      </c>
      <c r="J520" s="51">
        <v>5.79</v>
      </c>
      <c r="K520" s="51">
        <f>Tabela6[[#This Row],[CONSUMO]]*Tabela6[[#This Row],[VALOR UNIT]]-Tabela6[[#This Row],[DESCONTO]]</f>
        <v>755.07389999999998</v>
      </c>
      <c r="L520" s="53">
        <f>Tabela6[[#This Row],[CUSTO TOTAL]]/Tabela6[[#This Row],[CONSUMO]]</f>
        <v>5.79</v>
      </c>
      <c r="M520" s="50">
        <f>Tabela6[[#This Row],[KM ATUAL]]-E507</f>
        <v>293451</v>
      </c>
      <c r="N520" s="51">
        <f>Tabela6[[#This Row],[KM Rodados ]]/Tabela6[[#This Row],[CONSUMO]]</f>
        <v>2250.2185415228896</v>
      </c>
    </row>
    <row r="521" spans="1:14" x14ac:dyDescent="0.25">
      <c r="A521" s="47">
        <v>166854</v>
      </c>
      <c r="B521" s="78">
        <v>44993</v>
      </c>
      <c r="C521" s="47" t="s">
        <v>203</v>
      </c>
      <c r="D521" s="49" t="s">
        <v>262</v>
      </c>
      <c r="E521" s="47">
        <v>80194</v>
      </c>
      <c r="G521" s="50" t="s">
        <v>244</v>
      </c>
      <c r="H521" s="51">
        <v>23.19</v>
      </c>
      <c r="J521" s="51">
        <v>5.59</v>
      </c>
      <c r="K521" s="52">
        <f>Tabela6[[#This Row],[CONSUMO]]*Tabela6[[#This Row],[VALOR UNIT]]-Tabela6[[#This Row],[DESCONTO]]</f>
        <v>129.63210000000001</v>
      </c>
      <c r="L521" s="53">
        <f>Tabela6[[#This Row],[CUSTO TOTAL]]/Tabela6[[#This Row],[CONSUMO]]</f>
        <v>5.59</v>
      </c>
      <c r="M521" s="50">
        <f>Tabela6[[#This Row],[KM ATUAL]]-E520</f>
        <v>-512469</v>
      </c>
      <c r="N521" s="51">
        <f>Tabela6[[#This Row],[KM Rodados ]]/Tabela6[[#This Row],[CONSUMO]]</f>
        <v>-22098.706338939195</v>
      </c>
    </row>
    <row r="522" spans="1:14" x14ac:dyDescent="0.25">
      <c r="A522" s="47">
        <v>234433</v>
      </c>
      <c r="B522" s="78">
        <v>44993</v>
      </c>
      <c r="C522" s="47" t="s">
        <v>72</v>
      </c>
      <c r="D522" s="49" t="s">
        <v>263</v>
      </c>
      <c r="E522" s="47">
        <v>376252</v>
      </c>
      <c r="G522" s="50" t="s">
        <v>89</v>
      </c>
      <c r="H522" s="51">
        <v>49.011000000000003</v>
      </c>
      <c r="I522" s="49">
        <v>4.9000000000000004</v>
      </c>
      <c r="J522" s="51">
        <v>5.77</v>
      </c>
      <c r="K522" s="51">
        <f>Tabela6[[#This Row],[CONSUMO]]*Tabela6[[#This Row],[VALOR UNIT]]-Tabela6[[#This Row],[DESCONTO]]</f>
        <v>277.89347000000004</v>
      </c>
      <c r="L522" s="53">
        <f>Tabela6[[#This Row],[CUSTO TOTAL]]/Tabela6[[#This Row],[CONSUMO]]</f>
        <v>5.6700224439411562</v>
      </c>
      <c r="M522" s="50"/>
      <c r="N522" s="51">
        <f>Tabela6[[#This Row],[KM Rodados ]]/Tabela6[[#This Row],[CONSUMO]]</f>
        <v>0</v>
      </c>
    </row>
    <row r="523" spans="1:14" x14ac:dyDescent="0.25">
      <c r="A523" s="47" t="s">
        <v>314</v>
      </c>
      <c r="B523" s="78">
        <v>44993</v>
      </c>
      <c r="C523" s="47" t="s">
        <v>72</v>
      </c>
      <c r="E523" s="47">
        <v>376563</v>
      </c>
      <c r="G523" s="50" t="s">
        <v>89</v>
      </c>
      <c r="H523" s="51">
        <v>38.9</v>
      </c>
      <c r="K523" s="52">
        <f>Tabela6[[#This Row],[CONSUMO]]*Tabela6[[#This Row],[VALOR UNIT]]-Tabela6[[#This Row],[DESCONTO]]</f>
        <v>0</v>
      </c>
      <c r="L523" s="53">
        <f>Tabela6[[#This Row],[CUSTO TOTAL]]/Tabela6[[#This Row],[CONSUMO]]</f>
        <v>0</v>
      </c>
      <c r="M523" s="50">
        <f>Tabela6[[#This Row],[KM ATUAL]]-E516</f>
        <v>81340</v>
      </c>
      <c r="N523" s="51">
        <f>Tabela6[[#This Row],[KM Rodados ]]/Tabela6[[#This Row],[CONSUMO]]</f>
        <v>2091.0025706940874</v>
      </c>
    </row>
    <row r="524" spans="1:14" x14ac:dyDescent="0.25">
      <c r="A524" s="47">
        <v>254137</v>
      </c>
      <c r="B524" s="78">
        <v>44993</v>
      </c>
      <c r="C524" s="47" t="s">
        <v>73</v>
      </c>
      <c r="D524" s="49" t="s">
        <v>270</v>
      </c>
      <c r="E524" s="47">
        <v>110891</v>
      </c>
      <c r="G524" s="50" t="s">
        <v>89</v>
      </c>
      <c r="H524" s="51">
        <v>232.76</v>
      </c>
      <c r="J524" s="51">
        <v>6.09</v>
      </c>
      <c r="K524" s="51">
        <f>Tabela6[[#This Row],[CONSUMO]]*Tabela6[[#This Row],[VALOR UNIT]]-Tabela6[[#This Row],[DESCONTO]]</f>
        <v>1417.5083999999999</v>
      </c>
      <c r="L524" s="53">
        <f>Tabela6[[#This Row],[CUSTO TOTAL]]/Tabela6[[#This Row],[CONSUMO]]</f>
        <v>6.09</v>
      </c>
      <c r="M524" s="50">
        <f>Tabela6[[#This Row],[KM ATUAL]]-E523</f>
        <v>-265672</v>
      </c>
      <c r="N524" s="51">
        <f>Tabela6[[#This Row],[KM Rodados ]]/Tabela6[[#This Row],[CONSUMO]]</f>
        <v>-1141.3988657844991</v>
      </c>
    </row>
    <row r="525" spans="1:14" x14ac:dyDescent="0.25">
      <c r="A525" s="47">
        <v>234558</v>
      </c>
      <c r="B525" s="78">
        <v>44993</v>
      </c>
      <c r="C525" s="47" t="s">
        <v>71</v>
      </c>
      <c r="D525" s="49" t="s">
        <v>263</v>
      </c>
      <c r="E525" s="47">
        <v>88684</v>
      </c>
      <c r="G525" s="50" t="s">
        <v>89</v>
      </c>
      <c r="H525" s="51">
        <v>610.92100000000005</v>
      </c>
      <c r="I525" s="49">
        <v>61.09</v>
      </c>
      <c r="J525" s="51">
        <v>5.77</v>
      </c>
      <c r="K525" s="52">
        <f>Tabela6[[#This Row],[CONSUMO]]*Tabela6[[#This Row],[VALOR UNIT]]-Tabela6[[#This Row],[DESCONTO]]</f>
        <v>3463.9241699999998</v>
      </c>
      <c r="L525" s="53">
        <f>Tabela6[[#This Row],[CUSTO TOTAL]]/Tabela6[[#This Row],[CONSUMO]]</f>
        <v>5.6700034374329897</v>
      </c>
      <c r="M525" s="50">
        <f>Tabela6[[#This Row],[KM ATUAL]]-E493</f>
        <v>-250318</v>
      </c>
      <c r="N525" s="51">
        <f>Tabela6[[#This Row],[KM Rodados ]]/Tabela6[[#This Row],[CONSUMO]]</f>
        <v>-409.73873872399213</v>
      </c>
    </row>
    <row r="526" spans="1:14" x14ac:dyDescent="0.25">
      <c r="A526" s="47">
        <v>317517</v>
      </c>
      <c r="B526" s="78">
        <v>44993</v>
      </c>
      <c r="C526" s="47" t="s">
        <v>64</v>
      </c>
      <c r="D526" s="49" t="s">
        <v>253</v>
      </c>
      <c r="E526" s="47">
        <v>70544</v>
      </c>
      <c r="G526" s="50" t="s">
        <v>89</v>
      </c>
      <c r="H526" s="51">
        <v>124.43</v>
      </c>
      <c r="I526" s="49">
        <v>37.33</v>
      </c>
      <c r="J526" s="51">
        <v>6.29</v>
      </c>
      <c r="K526" s="51">
        <f>Tabela6[[#This Row],[CONSUMO]]*Tabela6[[#This Row],[VALOR UNIT]]-Tabela6[[#This Row],[DESCONTO]]</f>
        <v>745.3347</v>
      </c>
      <c r="L526" s="53">
        <f>Tabela6[[#This Row],[CUSTO TOTAL]]/Tabela6[[#This Row],[CONSUMO]]</f>
        <v>5.9899919633528889</v>
      </c>
      <c r="M526" s="50">
        <f>Tabela6[[#This Row],[KM ATUAL]]-E510</f>
        <v>-305360</v>
      </c>
      <c r="N526" s="51">
        <f>Tabela6[[#This Row],[KM Rodados ]]/Tabela6[[#This Row],[CONSUMO]]</f>
        <v>-2454.0705617616327</v>
      </c>
    </row>
    <row r="527" spans="1:14" x14ac:dyDescent="0.25">
      <c r="A527" s="47">
        <v>317321</v>
      </c>
      <c r="B527" s="78">
        <v>44993</v>
      </c>
      <c r="C527" s="47" t="s">
        <v>11</v>
      </c>
      <c r="D527" s="49" t="s">
        <v>253</v>
      </c>
      <c r="E527" s="47">
        <v>387136</v>
      </c>
      <c r="G527" s="50" t="s">
        <v>89</v>
      </c>
      <c r="H527" s="51">
        <v>78.87</v>
      </c>
      <c r="I527" s="49">
        <v>23.66</v>
      </c>
      <c r="J527" s="51">
        <v>6.29</v>
      </c>
      <c r="K527" s="51">
        <f>Tabela6[[#This Row],[CONSUMO]]*Tabela6[[#This Row],[VALOR UNIT]]-Tabela6[[#This Row],[DESCONTO]]</f>
        <v>472.4323</v>
      </c>
      <c r="L527" s="53">
        <f>Tabela6[[#This Row],[CUSTO TOTAL]]/Tabela6[[#This Row],[CONSUMO]]</f>
        <v>5.9900126790921764</v>
      </c>
      <c r="M527" s="50">
        <f>Tabela6[[#This Row],[KM ATUAL]]-E511</f>
        <v>-204840</v>
      </c>
      <c r="N527" s="51">
        <f>Tabela6[[#This Row],[KM Rodados ]]/Tabela6[[#This Row],[CONSUMO]]</f>
        <v>-2597.1852415367057</v>
      </c>
    </row>
    <row r="528" spans="1:14" x14ac:dyDescent="0.25">
      <c r="A528" s="47">
        <v>166774</v>
      </c>
      <c r="B528" s="78">
        <v>44993</v>
      </c>
      <c r="C528" s="47" t="s">
        <v>13</v>
      </c>
      <c r="D528" s="49" t="s">
        <v>262</v>
      </c>
      <c r="E528" s="47">
        <v>601477</v>
      </c>
      <c r="G528" s="50" t="s">
        <v>241</v>
      </c>
      <c r="H528" s="51">
        <v>23.001000000000001</v>
      </c>
      <c r="J528" s="51">
        <v>3.69</v>
      </c>
      <c r="K528" s="51">
        <f>Tabela6[[#This Row],[CONSUMO]]*Tabela6[[#This Row],[VALOR UNIT]]-Tabela6[[#This Row],[DESCONTO]]</f>
        <v>84.873689999999996</v>
      </c>
      <c r="L528" s="53">
        <f>Tabela6[[#This Row],[CUSTO TOTAL]]/Tabela6[[#This Row],[CONSUMO]]</f>
        <v>3.6899999999999995</v>
      </c>
      <c r="M528" s="50"/>
      <c r="N528"/>
    </row>
    <row r="529" spans="1:14" x14ac:dyDescent="0.25">
      <c r="A529" s="47">
        <v>166774</v>
      </c>
      <c r="B529" s="78">
        <v>44993</v>
      </c>
      <c r="C529" s="47" t="s">
        <v>13</v>
      </c>
      <c r="D529" s="49" t="s">
        <v>262</v>
      </c>
      <c r="E529" s="47">
        <v>601477</v>
      </c>
      <c r="G529" s="50" t="s">
        <v>89</v>
      </c>
      <c r="H529" s="51">
        <v>120</v>
      </c>
      <c r="J529" s="51">
        <v>5.89</v>
      </c>
      <c r="K529" s="52">
        <f>Tabela6[[#This Row],[CONSUMO]]*Tabela6[[#This Row],[VALOR UNIT]]-Tabela6[[#This Row],[DESCONTO]]</f>
        <v>706.8</v>
      </c>
      <c r="L529" s="53">
        <f>Tabela6[[#This Row],[CUSTO TOTAL]]/Tabela6[[#This Row],[CONSUMO]]</f>
        <v>5.89</v>
      </c>
      <c r="M529" s="50">
        <f>Tabela6[[#This Row],[KM ATUAL]]-E503</f>
        <v>215265</v>
      </c>
      <c r="N529" s="51">
        <f>Tabela6[[#This Row],[KM Rodados ]]/Tabela6[[#This Row],[CONSUMO]]</f>
        <v>1793.875</v>
      </c>
    </row>
    <row r="530" spans="1:14" x14ac:dyDescent="0.25">
      <c r="A530" s="47">
        <v>617965</v>
      </c>
      <c r="B530" s="78">
        <v>44993</v>
      </c>
      <c r="C530" s="47" t="s">
        <v>13</v>
      </c>
      <c r="D530" s="49" t="s">
        <v>264</v>
      </c>
      <c r="E530" s="47">
        <v>602125</v>
      </c>
      <c r="G530" s="50" t="s">
        <v>89</v>
      </c>
      <c r="H530" s="51">
        <v>132.589</v>
      </c>
      <c r="J530" s="51">
        <v>5.79</v>
      </c>
      <c r="K530" s="52">
        <f>Tabela6[[#This Row],[CONSUMO]]*Tabela6[[#This Row],[VALOR UNIT]]-Tabela6[[#This Row],[DESCONTO]]</f>
        <v>767.69030999999995</v>
      </c>
      <c r="L530" s="53">
        <f>Tabela6[[#This Row],[CUSTO TOTAL]]/Tabela6[[#This Row],[CONSUMO]]</f>
        <v>5.79</v>
      </c>
      <c r="M530" s="50">
        <f>Tabela6[[#This Row],[KM ATUAL]]-E524</f>
        <v>491234</v>
      </c>
      <c r="N530" s="51">
        <f>Tabela6[[#This Row],[KM Rodados ]]/Tabela6[[#This Row],[CONSUMO]]</f>
        <v>3704.9378153542148</v>
      </c>
    </row>
    <row r="531" spans="1:14" x14ac:dyDescent="0.25">
      <c r="A531" s="47" t="s">
        <v>314</v>
      </c>
      <c r="B531" s="78">
        <v>44993</v>
      </c>
      <c r="C531" s="47" t="s">
        <v>20</v>
      </c>
      <c r="E531" s="47">
        <v>234515</v>
      </c>
      <c r="G531" s="50" t="s">
        <v>89</v>
      </c>
      <c r="H531" s="51">
        <v>22.512</v>
      </c>
      <c r="K531" s="52">
        <f>Tabela6[[#This Row],[CONSUMO]]*Tabela6[[#This Row],[VALOR UNIT]]-Tabela6[[#This Row],[DESCONTO]]</f>
        <v>0</v>
      </c>
      <c r="L531" s="53">
        <f>Tabela6[[#This Row],[CUSTO TOTAL]]/Tabela6[[#This Row],[CONSUMO]]</f>
        <v>0</v>
      </c>
      <c r="M531" s="50">
        <f>Tabela6[[#This Row],[KM ATUAL]]-E452</f>
        <v>20820</v>
      </c>
      <c r="N531" s="51">
        <f>Tabela6[[#This Row],[KM Rodados ]]/Tabela6[[#This Row],[CONSUMO]]</f>
        <v>924.84008528784648</v>
      </c>
    </row>
    <row r="532" spans="1:14" x14ac:dyDescent="0.25">
      <c r="A532" s="47">
        <v>574456</v>
      </c>
      <c r="B532" s="78">
        <v>44993</v>
      </c>
      <c r="C532" s="47" t="s">
        <v>20</v>
      </c>
      <c r="D532" s="49" t="s">
        <v>271</v>
      </c>
      <c r="E532" s="47">
        <v>234936</v>
      </c>
      <c r="G532" s="50" t="s">
        <v>89</v>
      </c>
      <c r="H532" s="51">
        <v>53.02</v>
      </c>
      <c r="J532" s="51">
        <v>5.79</v>
      </c>
      <c r="K532" s="51">
        <f>Tabela6[[#This Row],[CONSUMO]]*Tabela6[[#This Row],[VALOR UNIT]]-Tabela6[[#This Row],[DESCONTO]]</f>
        <v>306.98580000000004</v>
      </c>
      <c r="L532" s="53">
        <f>Tabela6[[#This Row],[CUSTO TOTAL]]/Tabela6[[#This Row],[CONSUMO]]</f>
        <v>5.79</v>
      </c>
      <c r="M532" s="50">
        <f>Tabela6[[#This Row],[KM ATUAL]]-E531</f>
        <v>421</v>
      </c>
      <c r="N532" s="51">
        <f>Tabela6[[#This Row],[KM Rodados ]]/Tabela6[[#This Row],[CONSUMO]]</f>
        <v>7.9403998491135415</v>
      </c>
    </row>
    <row r="533" spans="1:14" x14ac:dyDescent="0.25">
      <c r="A533" s="47">
        <v>310431</v>
      </c>
      <c r="B533" s="78">
        <v>44994</v>
      </c>
      <c r="C533" s="47" t="s">
        <v>68</v>
      </c>
      <c r="D533" s="49" t="s">
        <v>281</v>
      </c>
      <c r="E533" s="47">
        <v>866953</v>
      </c>
      <c r="G533" s="50" t="s">
        <v>89</v>
      </c>
      <c r="H533" s="51">
        <v>152.01499999999999</v>
      </c>
      <c r="I533" s="49">
        <v>65.36</v>
      </c>
      <c r="J533" s="51">
        <v>6.02</v>
      </c>
      <c r="K533" s="51">
        <f>Tabela6[[#This Row],[CONSUMO]]*Tabela6[[#This Row],[VALOR UNIT]]-Tabela6[[#This Row],[DESCONTO]]</f>
        <v>849.77029999999979</v>
      </c>
      <c r="L533" s="53">
        <f>Tabela6[[#This Row],[CUSTO TOTAL]]/Tabela6[[#This Row],[CONSUMO]]</f>
        <v>5.5900424300233524</v>
      </c>
      <c r="M533" s="50">
        <f>Tabela6[[#This Row],[KM ATUAL]]-E513</f>
        <v>758360</v>
      </c>
      <c r="N533" s="51">
        <f>Tabela6[[#This Row],[KM Rodados ]]/Tabela6[[#This Row],[CONSUMO]]</f>
        <v>4988.7182185968495</v>
      </c>
    </row>
    <row r="534" spans="1:14" x14ac:dyDescent="0.25">
      <c r="A534" s="47" t="s">
        <v>314</v>
      </c>
      <c r="B534" s="78">
        <v>44994</v>
      </c>
      <c r="C534" s="47" t="s">
        <v>43</v>
      </c>
      <c r="E534" s="47">
        <v>108914</v>
      </c>
      <c r="G534" s="50" t="s">
        <v>89</v>
      </c>
      <c r="H534" s="51">
        <v>80</v>
      </c>
      <c r="K534" s="52">
        <f>Tabela6[[#This Row],[CONSUMO]]*Tabela6[[#This Row],[VALOR UNIT]]-Tabela6[[#This Row],[DESCONTO]]</f>
        <v>0</v>
      </c>
      <c r="L534" s="53">
        <f>Tabela6[[#This Row],[CUSTO TOTAL]]/Tabela6[[#This Row],[CONSUMO]]</f>
        <v>0</v>
      </c>
      <c r="M534" s="50">
        <f>Tabela6[[#This Row],[KM ATUAL]]-E533</f>
        <v>-758039</v>
      </c>
      <c r="N534" s="51">
        <f>Tabela6[[#This Row],[KM Rodados ]]/Tabela6[[#This Row],[CONSUMO]]</f>
        <v>-9475.4874999999993</v>
      </c>
    </row>
    <row r="535" spans="1:14" x14ac:dyDescent="0.25">
      <c r="A535" s="47">
        <v>166965</v>
      </c>
      <c r="B535" s="78">
        <v>44994</v>
      </c>
      <c r="C535" s="47" t="s">
        <v>43</v>
      </c>
      <c r="D535" s="49" t="s">
        <v>262</v>
      </c>
      <c r="E535" s="47">
        <v>109236</v>
      </c>
      <c r="G535" s="50" t="s">
        <v>89</v>
      </c>
      <c r="H535" s="51">
        <v>44.08</v>
      </c>
      <c r="J535" s="51">
        <v>5.89</v>
      </c>
      <c r="K535" s="52">
        <f>Tabela6[[#This Row],[CONSUMO]]*Tabela6[[#This Row],[VALOR UNIT]]-Tabela6[[#This Row],[DESCONTO]]</f>
        <v>259.63119999999998</v>
      </c>
      <c r="L535" s="53">
        <f>Tabela6[[#This Row],[CUSTO TOTAL]]/Tabela6[[#This Row],[CONSUMO]]</f>
        <v>5.89</v>
      </c>
      <c r="M535" s="50">
        <f>Tabela6[[#This Row],[KM ATUAL]]-E534</f>
        <v>322</v>
      </c>
      <c r="N535" s="72">
        <f>Tabela6[[#This Row],[KM Rodados ]]/Tabela6[[#This Row],[CONSUMO]]</f>
        <v>7.304900181488204</v>
      </c>
    </row>
    <row r="536" spans="1:14" x14ac:dyDescent="0.25">
      <c r="A536" s="47">
        <v>166989</v>
      </c>
      <c r="B536" s="78">
        <v>44994</v>
      </c>
      <c r="C536" s="47" t="s">
        <v>67</v>
      </c>
      <c r="D536" s="49" t="s">
        <v>262</v>
      </c>
      <c r="E536" s="47">
        <v>655592</v>
      </c>
      <c r="G536" s="50" t="s">
        <v>241</v>
      </c>
      <c r="H536" s="51">
        <v>23.844000000000001</v>
      </c>
      <c r="J536" s="51">
        <v>3.69</v>
      </c>
      <c r="K536" s="51">
        <f>Tabela6[[#This Row],[CONSUMO]]*Tabela6[[#This Row],[VALOR UNIT]]-Tabela6[[#This Row],[DESCONTO]]</f>
        <v>87.984360000000009</v>
      </c>
      <c r="L536" s="53">
        <f>Tabela6[[#This Row],[CUSTO TOTAL]]/Tabela6[[#This Row],[CONSUMO]]</f>
        <v>3.6900000000000004</v>
      </c>
      <c r="M536" s="50"/>
      <c r="N536"/>
    </row>
    <row r="537" spans="1:14" x14ac:dyDescent="0.25">
      <c r="A537" s="47">
        <v>321151</v>
      </c>
      <c r="B537" s="78">
        <v>44994</v>
      </c>
      <c r="C537" s="47" t="s">
        <v>67</v>
      </c>
      <c r="D537" s="49" t="s">
        <v>253</v>
      </c>
      <c r="E537" s="47">
        <v>656109</v>
      </c>
      <c r="G537" s="50" t="s">
        <v>89</v>
      </c>
      <c r="H537" s="51">
        <v>167.97</v>
      </c>
      <c r="I537" s="49">
        <v>50.39</v>
      </c>
      <c r="J537" s="51">
        <v>6.29</v>
      </c>
      <c r="K537" s="51">
        <f>Tabela6[[#This Row],[CONSUMO]]*Tabela6[[#This Row],[VALOR UNIT]]-Tabela6[[#This Row],[DESCONTO]]</f>
        <v>1006.1413000000001</v>
      </c>
      <c r="L537" s="53">
        <f>Tabela6[[#This Row],[CUSTO TOTAL]]/Tabela6[[#This Row],[CONSUMO]]</f>
        <v>5.9900059534440677</v>
      </c>
      <c r="M537" s="50">
        <f>Tabela6[[#This Row],[KM ATUAL]]-E501</f>
        <v>576233</v>
      </c>
      <c r="N537" s="51">
        <f>Tabela6[[#This Row],[KM Rodados ]]/Tabela6[[#This Row],[CONSUMO]]</f>
        <v>3430.5709352860631</v>
      </c>
    </row>
    <row r="538" spans="1:14" x14ac:dyDescent="0.25">
      <c r="A538" s="47">
        <v>614400</v>
      </c>
      <c r="B538" s="78">
        <v>44994</v>
      </c>
      <c r="C538" s="47" t="s">
        <v>72</v>
      </c>
      <c r="D538" s="49" t="s">
        <v>250</v>
      </c>
      <c r="E538" s="47">
        <v>376721</v>
      </c>
      <c r="G538" s="50" t="s">
        <v>89</v>
      </c>
      <c r="H538" s="51">
        <v>21.739000000000001</v>
      </c>
      <c r="J538" s="51">
        <v>5.75</v>
      </c>
      <c r="K538" s="52">
        <f>Tabela6[[#This Row],[CONSUMO]]*Tabela6[[#This Row],[VALOR UNIT]]-Tabela6[[#This Row],[DESCONTO]]</f>
        <v>124.99925</v>
      </c>
      <c r="L538" s="53">
        <f>Tabela6[[#This Row],[CUSTO TOTAL]]/Tabela6[[#This Row],[CONSUMO]]</f>
        <v>5.75</v>
      </c>
      <c r="M538" s="50">
        <f>Tabela6[[#This Row],[KM ATUAL]]-E537</f>
        <v>-279388</v>
      </c>
      <c r="N538" s="51">
        <f>Tabela6[[#This Row],[KM Rodados ]]/Tabela6[[#This Row],[CONSUMO]]</f>
        <v>-12851.925111550669</v>
      </c>
    </row>
    <row r="539" spans="1:14" x14ac:dyDescent="0.25">
      <c r="A539" s="47">
        <v>59069</v>
      </c>
      <c r="B539" s="78">
        <v>44994</v>
      </c>
      <c r="C539" s="47" t="s">
        <v>72</v>
      </c>
      <c r="D539" s="49" t="s">
        <v>263</v>
      </c>
      <c r="E539" s="47">
        <v>377072</v>
      </c>
      <c r="G539" s="50" t="s">
        <v>89</v>
      </c>
      <c r="H539" s="51">
        <v>44.2</v>
      </c>
      <c r="I539" s="49">
        <v>4.42</v>
      </c>
      <c r="J539" s="51">
        <v>5.77</v>
      </c>
      <c r="K539" s="52">
        <f>Tabela6[[#This Row],[CONSUMO]]*Tabela6[[#This Row],[VALOR UNIT]]-Tabela6[[#This Row],[DESCONTO]]</f>
        <v>250.614</v>
      </c>
      <c r="L539" s="53">
        <f>Tabela6[[#This Row],[CUSTO TOTAL]]/Tabela6[[#This Row],[CONSUMO]]</f>
        <v>5.67</v>
      </c>
      <c r="M539" s="50">
        <f>Tabela6[[#This Row],[KM ATUAL]]-E529</f>
        <v>-224405</v>
      </c>
      <c r="N539" s="51">
        <f>Tabela6[[#This Row],[KM Rodados ]]/Tabela6[[#This Row],[CONSUMO]]</f>
        <v>-5077.0361990950223</v>
      </c>
    </row>
    <row r="540" spans="1:14" x14ac:dyDescent="0.25">
      <c r="A540" s="47" t="s">
        <v>314</v>
      </c>
      <c r="B540" s="78">
        <v>44994</v>
      </c>
      <c r="C540" s="47" t="s">
        <v>73</v>
      </c>
      <c r="E540" s="47">
        <v>111555</v>
      </c>
      <c r="G540" s="50" t="s">
        <v>89</v>
      </c>
      <c r="H540" s="51">
        <v>178.6</v>
      </c>
      <c r="K540" s="52">
        <f>Tabela6[[#This Row],[CONSUMO]]*Tabela6[[#This Row],[VALOR UNIT]]-Tabela6[[#This Row],[DESCONTO]]</f>
        <v>0</v>
      </c>
      <c r="L540" s="53">
        <f>Tabela6[[#This Row],[CUSTO TOTAL]]/Tabela6[[#This Row],[CONSUMO]]</f>
        <v>0</v>
      </c>
      <c r="M540" s="50">
        <f>Tabela6[[#This Row],[KM ATUAL]]-E539</f>
        <v>-265517</v>
      </c>
      <c r="N540" s="51">
        <f>Tabela6[[#This Row],[KM Rodados ]]/Tabela6[[#This Row],[CONSUMO]]</f>
        <v>-1486.6573348264278</v>
      </c>
    </row>
    <row r="541" spans="1:14" x14ac:dyDescent="0.25">
      <c r="A541" s="47" t="s">
        <v>314</v>
      </c>
      <c r="B541" s="78">
        <v>44994</v>
      </c>
      <c r="C541" s="47" t="s">
        <v>73</v>
      </c>
      <c r="E541" s="47">
        <v>112217</v>
      </c>
      <c r="G541" s="50" t="s">
        <v>89</v>
      </c>
      <c r="H541" s="51">
        <v>184.52</v>
      </c>
      <c r="K541" s="52">
        <f>Tabela6[[#This Row],[CONSUMO]]*Tabela6[[#This Row],[VALOR UNIT]]-Tabela6[[#This Row],[DESCONTO]]</f>
        <v>0</v>
      </c>
      <c r="L541" s="53">
        <f>Tabela6[[#This Row],[CUSTO TOTAL]]/Tabela6[[#This Row],[CONSUMO]]</f>
        <v>0</v>
      </c>
      <c r="M541" s="50">
        <f>Tabela6[[#This Row],[KM ATUAL]]-E540</f>
        <v>662</v>
      </c>
      <c r="N541" s="51">
        <f>Tabela6[[#This Row],[KM Rodados ]]/Tabela6[[#This Row],[CONSUMO]]</f>
        <v>3.5876869716019941</v>
      </c>
    </row>
    <row r="542" spans="1:14" x14ac:dyDescent="0.25">
      <c r="A542" s="47">
        <v>260343</v>
      </c>
      <c r="B542" s="78">
        <v>44994</v>
      </c>
      <c r="C542" s="47" t="s">
        <v>73</v>
      </c>
      <c r="D542" s="49" t="s">
        <v>270</v>
      </c>
      <c r="E542" s="47">
        <v>112884</v>
      </c>
      <c r="G542" s="50" t="s">
        <v>89</v>
      </c>
      <c r="H542" s="51">
        <v>179.54499999999999</v>
      </c>
      <c r="J542" s="51">
        <v>5.59</v>
      </c>
      <c r="K542" s="52">
        <f>Tabela6[[#This Row],[CONSUMO]]*Tabela6[[#This Row],[VALOR UNIT]]-Tabela6[[#This Row],[DESCONTO]]</f>
        <v>1003.6565499999999</v>
      </c>
      <c r="L542" s="53">
        <f>Tabela6[[#This Row],[CUSTO TOTAL]]/Tabela6[[#This Row],[CONSUMO]]</f>
        <v>5.59</v>
      </c>
      <c r="M542" s="50">
        <f>Tabela6[[#This Row],[KM ATUAL]]-E541</f>
        <v>667</v>
      </c>
      <c r="N542" s="51">
        <f>Tabela6[[#This Row],[KM Rodados ]]/Tabela6[[#This Row],[CONSUMO]]</f>
        <v>3.7149461137876303</v>
      </c>
    </row>
    <row r="543" spans="1:14" x14ac:dyDescent="0.25">
      <c r="A543" s="47" t="s">
        <v>314</v>
      </c>
      <c r="B543" s="78">
        <v>44994</v>
      </c>
      <c r="C543" s="47" t="s">
        <v>10</v>
      </c>
      <c r="E543" s="47">
        <v>706454</v>
      </c>
      <c r="G543" s="50" t="s">
        <v>89</v>
      </c>
      <c r="H543" s="51">
        <v>200</v>
      </c>
      <c r="K543" s="52">
        <f>Tabela6[[#This Row],[CONSUMO]]*Tabela6[[#This Row],[VALOR UNIT]]-Tabela6[[#This Row],[DESCONTO]]</f>
        <v>0</v>
      </c>
      <c r="L543" s="53">
        <f>Tabela6[[#This Row],[CUSTO TOTAL]]/Tabela6[[#This Row],[CONSUMO]]</f>
        <v>0</v>
      </c>
      <c r="M543" s="50">
        <f>Tabela6[[#This Row],[KM ATUAL]]-E399</f>
        <v>414917</v>
      </c>
      <c r="N543" s="51">
        <f>Tabela6[[#This Row],[KM Rodados ]]/Tabela6[[#This Row],[CONSUMO]]</f>
        <v>2074.585</v>
      </c>
    </row>
    <row r="544" spans="1:14" x14ac:dyDescent="0.25">
      <c r="A544" s="47">
        <v>167034</v>
      </c>
      <c r="B544" s="78">
        <v>44994</v>
      </c>
      <c r="C544" s="47" t="s">
        <v>10</v>
      </c>
      <c r="D544" s="49" t="s">
        <v>262</v>
      </c>
      <c r="E544" s="47">
        <v>707577</v>
      </c>
      <c r="G544" s="50" t="s">
        <v>89</v>
      </c>
      <c r="H544" s="51">
        <v>199.75</v>
      </c>
      <c r="J544" s="51">
        <v>5.89</v>
      </c>
      <c r="K544" s="51">
        <f>Tabela6[[#This Row],[CONSUMO]]*Tabela6[[#This Row],[VALOR UNIT]]-Tabela6[[#This Row],[DESCONTO]]</f>
        <v>1176.5274999999999</v>
      </c>
      <c r="L544" s="53">
        <f>Tabela6[[#This Row],[CUSTO TOTAL]]/Tabela6[[#This Row],[CONSUMO]]</f>
        <v>5.89</v>
      </c>
      <c r="M544" s="50">
        <f>Tabela6[[#This Row],[KM ATUAL]]-E543</f>
        <v>1123</v>
      </c>
      <c r="N544" s="51">
        <f>Tabela6[[#This Row],[KM Rodados ]]/Tabela6[[#This Row],[CONSUMO]]</f>
        <v>5.6220275344180228</v>
      </c>
    </row>
    <row r="545" spans="1:14" x14ac:dyDescent="0.25">
      <c r="A545" s="47">
        <v>326464</v>
      </c>
      <c r="B545" s="54">
        <v>44994</v>
      </c>
      <c r="C545" s="47" t="s">
        <v>17</v>
      </c>
      <c r="D545" s="49" t="s">
        <v>271</v>
      </c>
      <c r="E545" s="47">
        <v>339928</v>
      </c>
      <c r="G545" s="50" t="s">
        <v>241</v>
      </c>
      <c r="H545" s="51">
        <v>7.15</v>
      </c>
      <c r="J545" s="51">
        <v>3.29</v>
      </c>
      <c r="K545" s="51">
        <f>Tabela6[[#This Row],[CONSUMO]]*Tabela6[[#This Row],[VALOR UNIT]]-Tabela6[[#This Row],[DESCONTO]]</f>
        <v>23.523500000000002</v>
      </c>
      <c r="L545" s="53">
        <f>Tabela6[[#This Row],[CUSTO TOTAL]]/Tabela6[[#This Row],[CONSUMO]]</f>
        <v>3.29</v>
      </c>
      <c r="M545" s="50"/>
      <c r="N545"/>
    </row>
    <row r="546" spans="1:14" x14ac:dyDescent="0.25">
      <c r="A546" s="47">
        <v>326464</v>
      </c>
      <c r="B546" s="78">
        <v>44994</v>
      </c>
      <c r="C546" s="47" t="s">
        <v>17</v>
      </c>
      <c r="D546" s="49" t="s">
        <v>271</v>
      </c>
      <c r="E546" s="47">
        <v>339928</v>
      </c>
      <c r="G546" s="50" t="s">
        <v>89</v>
      </c>
      <c r="H546" s="51">
        <v>121.42</v>
      </c>
      <c r="J546" s="51">
        <v>5.79</v>
      </c>
      <c r="K546" s="51">
        <f>Tabela6[[#This Row],[CONSUMO]]*Tabela6[[#This Row],[VALOR UNIT]]-Tabela6[[#This Row],[DESCONTO]]</f>
        <v>703.02179999999998</v>
      </c>
      <c r="L546" s="53">
        <f>Tabela6[[#This Row],[CUSTO TOTAL]]/Tabela6[[#This Row],[CONSUMO]]</f>
        <v>5.79</v>
      </c>
      <c r="M546" s="50">
        <f>Tabela6[[#This Row],[KM ATUAL]]-E487</f>
        <v>157839</v>
      </c>
      <c r="N546" s="84">
        <f>Tabela6[[#This Row],[KM Rodados ]]/Tabela6[[#This Row],[CONSUMO]]</f>
        <v>1299.942348871685</v>
      </c>
    </row>
    <row r="547" spans="1:14" x14ac:dyDescent="0.25">
      <c r="A547" s="47">
        <v>518894</v>
      </c>
      <c r="B547" s="78">
        <v>44994</v>
      </c>
      <c r="C547" s="47" t="s">
        <v>18</v>
      </c>
      <c r="D547" s="49" t="s">
        <v>255</v>
      </c>
      <c r="E547" s="47">
        <v>298984</v>
      </c>
      <c r="G547" s="50" t="s">
        <v>89</v>
      </c>
      <c r="H547" s="51">
        <v>78.911000000000001</v>
      </c>
      <c r="J547" s="51">
        <v>6.37</v>
      </c>
      <c r="K547" s="52">
        <f>Tabela6[[#This Row],[CONSUMO]]*Tabela6[[#This Row],[VALOR UNIT]]-Tabela6[[#This Row],[DESCONTO]]</f>
        <v>502.66307</v>
      </c>
      <c r="L547" s="53">
        <f>Tabela6[[#This Row],[CUSTO TOTAL]]/Tabela6[[#This Row],[CONSUMO]]</f>
        <v>6.37</v>
      </c>
      <c r="M547" s="50">
        <f>Tabela6[[#This Row],[KM ATUAL]]-E475</f>
        <v>6184</v>
      </c>
      <c r="N547" s="49">
        <f>Tabela6[[#This Row],[KM Rodados ]]/Tabela6[[#This Row],[CONSUMO]]</f>
        <v>78.366767624285586</v>
      </c>
    </row>
    <row r="548" spans="1:14" x14ac:dyDescent="0.25">
      <c r="A548" s="110">
        <v>575239</v>
      </c>
      <c r="B548" s="78">
        <v>44994</v>
      </c>
      <c r="C548" s="47" t="s">
        <v>19</v>
      </c>
      <c r="D548" s="49" t="s">
        <v>271</v>
      </c>
      <c r="E548" s="47">
        <v>295876</v>
      </c>
      <c r="G548" s="50" t="s">
        <v>89</v>
      </c>
      <c r="H548" s="51">
        <v>222.55</v>
      </c>
      <c r="J548" s="51">
        <v>5.79</v>
      </c>
      <c r="K548" s="51">
        <f>Tabela6[[#This Row],[CONSUMO]]*Tabela6[[#This Row],[VALOR UNIT]]-Tabela6[[#This Row],[DESCONTO]]</f>
        <v>1288.5645000000002</v>
      </c>
      <c r="L548" s="53">
        <f>Tabela6[[#This Row],[CUSTO TOTAL]]/Tabela6[[#This Row],[CONSUMO]]</f>
        <v>5.7900000000000009</v>
      </c>
      <c r="M548" s="50">
        <f>Tabela6[[#This Row],[KM ATUAL]]-E514</f>
        <v>-628280</v>
      </c>
      <c r="N548" s="51">
        <f>Tabela6[[#This Row],[KM Rodados ]]/Tabela6[[#This Row],[CONSUMO]]</f>
        <v>-2823.0959334980903</v>
      </c>
    </row>
    <row r="549" spans="1:14" x14ac:dyDescent="0.25">
      <c r="A549" s="47">
        <v>166992</v>
      </c>
      <c r="B549" s="78">
        <v>44994</v>
      </c>
      <c r="C549" s="47" t="s">
        <v>20</v>
      </c>
      <c r="D549" s="49" t="s">
        <v>262</v>
      </c>
      <c r="E549" s="47">
        <v>235323</v>
      </c>
      <c r="G549" s="50" t="s">
        <v>89</v>
      </c>
      <c r="H549" s="51">
        <v>43.869</v>
      </c>
      <c r="J549" s="51">
        <v>5.89</v>
      </c>
      <c r="K549" s="51">
        <f>Tabela6[[#This Row],[CONSUMO]]*Tabela6[[#This Row],[VALOR UNIT]]-Tabela6[[#This Row],[DESCONTO]]</f>
        <v>258.38840999999996</v>
      </c>
      <c r="L549" s="53">
        <f>Tabela6[[#This Row],[CUSTO TOTAL]]/Tabela6[[#This Row],[CONSUMO]]</f>
        <v>5.8899999999999988</v>
      </c>
      <c r="M549" s="50">
        <f>Tabela6[[#This Row],[KM ATUAL]]-E540</f>
        <v>123768</v>
      </c>
      <c r="N549" s="51">
        <f>Tabela6[[#This Row],[KM Rodados ]]/Tabela6[[#This Row],[CONSUMO]]</f>
        <v>2821.3088969431719</v>
      </c>
    </row>
    <row r="550" spans="1:14" x14ac:dyDescent="0.25">
      <c r="A550" s="47">
        <v>260323</v>
      </c>
      <c r="B550" s="78">
        <v>44994</v>
      </c>
      <c r="C550" s="47" t="s">
        <v>23</v>
      </c>
      <c r="D550" s="49" t="s">
        <v>270</v>
      </c>
      <c r="E550" s="47">
        <v>214891</v>
      </c>
      <c r="G550" s="50" t="s">
        <v>89</v>
      </c>
      <c r="H550" s="51">
        <v>77.8</v>
      </c>
      <c r="J550" s="51">
        <v>5.79</v>
      </c>
      <c r="K550" s="51">
        <f>Tabela6[[#This Row],[CONSUMO]]*Tabela6[[#This Row],[VALOR UNIT]]-Tabela6[[#This Row],[DESCONTO]]</f>
        <v>450.46199999999999</v>
      </c>
      <c r="L550" s="53">
        <f>Tabela6[[#This Row],[CUSTO TOTAL]]/Tabela6[[#This Row],[CONSUMO]]</f>
        <v>5.79</v>
      </c>
      <c r="M550" s="50">
        <f>Tabela6[[#This Row],[KM ATUAL]]-E488</f>
        <v>31293</v>
      </c>
      <c r="N550" s="51">
        <f>Tabela6[[#This Row],[KM Rodados ]]/Tabela6[[#This Row],[CONSUMO]]</f>
        <v>402.22365038560412</v>
      </c>
    </row>
    <row r="551" spans="1:14" x14ac:dyDescent="0.25">
      <c r="A551" s="47" t="s">
        <v>314</v>
      </c>
      <c r="B551" s="78">
        <v>44994</v>
      </c>
      <c r="C551" s="47" t="s">
        <v>40</v>
      </c>
      <c r="E551" s="47">
        <v>125205</v>
      </c>
      <c r="G551" s="50" t="s">
        <v>244</v>
      </c>
      <c r="H551" s="51">
        <v>37.5</v>
      </c>
      <c r="K551" s="52">
        <f>Tabela6[[#This Row],[CONSUMO]]*Tabela6[[#This Row],[VALOR UNIT]]-Tabela6[[#This Row],[DESCONTO]]</f>
        <v>0</v>
      </c>
      <c r="L551" s="53">
        <f>Tabela6[[#This Row],[CUSTO TOTAL]]/Tabela6[[#This Row],[CONSUMO]]</f>
        <v>0</v>
      </c>
      <c r="M551" s="50">
        <f>Tabela6[[#This Row],[KM ATUAL]]-E550</f>
        <v>-89686</v>
      </c>
      <c r="N551" s="51">
        <f>Tabela6[[#This Row],[KM Rodados ]]/Tabela6[[#This Row],[CONSUMO]]</f>
        <v>-2391.6266666666666</v>
      </c>
    </row>
    <row r="552" spans="1:14" x14ac:dyDescent="0.25">
      <c r="A552" s="47">
        <v>167230</v>
      </c>
      <c r="B552" s="78">
        <v>44995</v>
      </c>
      <c r="C552" s="47" t="s">
        <v>22</v>
      </c>
      <c r="D552" s="49" t="s">
        <v>262</v>
      </c>
      <c r="E552" s="47">
        <v>319243</v>
      </c>
      <c r="G552" s="50" t="s">
        <v>89</v>
      </c>
      <c r="H552" s="51">
        <v>108.509</v>
      </c>
      <c r="J552" s="51">
        <v>5.89</v>
      </c>
      <c r="K552" s="74">
        <f>Tabela6[[#This Row],[CONSUMO]]*Tabela6[[#This Row],[VALOR UNIT]]-Tabela6[[#This Row],[DESCONTO]]</f>
        <v>639.11800999999991</v>
      </c>
      <c r="L552" s="53">
        <f>Tabela6[[#This Row],[CUSTO TOTAL]]/Tabela6[[#This Row],[CONSUMO]]</f>
        <v>5.8899999999999988</v>
      </c>
      <c r="M552" s="50">
        <f>Tabela6[[#This Row],[KM ATUAL]]-E394</f>
        <v>-277929</v>
      </c>
      <c r="N552" s="84">
        <f>Tabela6[[#This Row],[KM Rodados ]]/Tabela6[[#This Row],[CONSUMO]]</f>
        <v>-2561.3451418776322</v>
      </c>
    </row>
    <row r="553" spans="1:14" x14ac:dyDescent="0.25">
      <c r="A553" s="47" t="s">
        <v>314</v>
      </c>
      <c r="B553" s="78">
        <v>44995</v>
      </c>
      <c r="C553" s="47" t="s">
        <v>203</v>
      </c>
      <c r="E553" s="47">
        <v>80552</v>
      </c>
      <c r="G553" s="50" t="s">
        <v>244</v>
      </c>
      <c r="H553" s="51">
        <v>32.520000000000003</v>
      </c>
      <c r="K553" s="74">
        <f>Tabela6[[#This Row],[CONSUMO]]*Tabela6[[#This Row],[VALOR UNIT]]-Tabela6[[#This Row],[DESCONTO]]</f>
        <v>0</v>
      </c>
      <c r="L553" s="53">
        <f>Tabela6[[#This Row],[CUSTO TOTAL]]/Tabela6[[#This Row],[CONSUMO]]</f>
        <v>0</v>
      </c>
      <c r="M553" s="50">
        <f>Tabela6[[#This Row],[KM ATUAL]]-E511</f>
        <v>-511424</v>
      </c>
      <c r="N553" s="51">
        <f>Tabela6[[#This Row],[KM Rodados ]]/Tabela6[[#This Row],[CONSUMO]]</f>
        <v>-15726.445264452643</v>
      </c>
    </row>
    <row r="554" spans="1:14" x14ac:dyDescent="0.25">
      <c r="A554" s="47">
        <v>318827</v>
      </c>
      <c r="B554" s="78">
        <v>44995</v>
      </c>
      <c r="C554" s="47" t="s">
        <v>64</v>
      </c>
      <c r="D554" s="49" t="s">
        <v>253</v>
      </c>
      <c r="E554" s="47">
        <v>70587</v>
      </c>
      <c r="G554" s="50" t="s">
        <v>89</v>
      </c>
      <c r="H554" s="51">
        <v>15.42</v>
      </c>
      <c r="I554" s="49">
        <v>42.08</v>
      </c>
      <c r="J554" s="51">
        <v>6.29</v>
      </c>
      <c r="K554" s="52">
        <f>Tabela6[[#This Row],[CONSUMO]]*Tabela6[[#This Row],[VALOR UNIT]]-Tabela6[[#This Row],[DESCONTO]]</f>
        <v>54.911799999999999</v>
      </c>
      <c r="L554" s="53">
        <f>Tabela6[[#This Row],[CUSTO TOTAL]]/Tabela6[[#This Row],[CONSUMO]]</f>
        <v>3.5610765239948119</v>
      </c>
      <c r="M554" s="50">
        <f>Tabela6[[#This Row],[KM ATUAL]]-E521</f>
        <v>-9607</v>
      </c>
      <c r="N554" s="51">
        <f>Tabela6[[#This Row],[KM Rodados ]]/Tabela6[[#This Row],[CONSUMO]]</f>
        <v>-623.02204928664071</v>
      </c>
    </row>
    <row r="555" spans="1:14" x14ac:dyDescent="0.25">
      <c r="A555" s="47">
        <v>277123</v>
      </c>
      <c r="B555" s="78">
        <v>44995</v>
      </c>
      <c r="C555" s="47" t="s">
        <v>21</v>
      </c>
      <c r="D555" s="49" t="s">
        <v>276</v>
      </c>
      <c r="E555" s="47">
        <v>130511</v>
      </c>
      <c r="G555" s="50" t="s">
        <v>89</v>
      </c>
      <c r="H555" s="51">
        <v>180.11</v>
      </c>
      <c r="J555" s="51">
        <v>5.99</v>
      </c>
      <c r="K555" s="52">
        <f>Tabela6[[#This Row],[CONSUMO]]*Tabela6[[#This Row],[VALOR UNIT]]-Tabela6[[#This Row],[DESCONTO]]</f>
        <v>1078.8589000000002</v>
      </c>
      <c r="L555" s="53">
        <f>Tabela6[[#This Row],[CUSTO TOTAL]]/Tabela6[[#This Row],[CONSUMO]]</f>
        <v>5.99</v>
      </c>
      <c r="M555" s="50">
        <f>Tabela6[[#This Row],[KM ATUAL]]-E499</f>
        <v>6300</v>
      </c>
      <c r="N555" s="51">
        <f>Tabela6[[#This Row],[KM Rodados ]]/Tabela6[[#This Row],[CONSUMO]]</f>
        <v>34.978624174115815</v>
      </c>
    </row>
    <row r="556" spans="1:14" x14ac:dyDescent="0.25">
      <c r="A556" s="47">
        <v>226606</v>
      </c>
      <c r="B556" s="78">
        <v>44995</v>
      </c>
      <c r="C556" s="47" t="s">
        <v>21</v>
      </c>
      <c r="D556" s="49" t="s">
        <v>272</v>
      </c>
      <c r="E556" s="47">
        <v>131098</v>
      </c>
      <c r="G556" s="50" t="s">
        <v>89</v>
      </c>
      <c r="H556" s="51">
        <v>143.054</v>
      </c>
      <c r="J556" s="51">
        <v>5.59</v>
      </c>
      <c r="K556" s="52">
        <f>Tabela6[[#This Row],[CONSUMO]]*Tabela6[[#This Row],[VALOR UNIT]]-Tabela6[[#This Row],[DESCONTO]]</f>
        <v>799.67186000000004</v>
      </c>
      <c r="L556" s="53">
        <f>Tabela6[[#This Row],[CUSTO TOTAL]]/Tabela6[[#This Row],[CONSUMO]]</f>
        <v>5.59</v>
      </c>
      <c r="M556" s="50">
        <f>Tabela6[[#This Row],[KM ATUAL]]-E550</f>
        <v>-83793</v>
      </c>
      <c r="N556" s="51">
        <f>Tabela6[[#This Row],[KM Rodados ]]/Tabela6[[#This Row],[CONSUMO]]</f>
        <v>-585.74384498161533</v>
      </c>
    </row>
    <row r="557" spans="1:14" x14ac:dyDescent="0.25">
      <c r="A557" s="47">
        <v>379571</v>
      </c>
      <c r="B557" s="78">
        <v>44995</v>
      </c>
      <c r="C557" s="47" t="s">
        <v>13</v>
      </c>
      <c r="D557" s="49" t="s">
        <v>273</v>
      </c>
      <c r="E557" s="47">
        <v>602512</v>
      </c>
      <c r="G557" s="50" t="s">
        <v>89</v>
      </c>
      <c r="H557" s="51">
        <v>116.011</v>
      </c>
      <c r="J557" s="51">
        <v>5.79</v>
      </c>
      <c r="K557" s="52">
        <f>Tabela6[[#This Row],[CONSUMO]]*Tabela6[[#This Row],[VALOR UNIT]]-Tabela6[[#This Row],[DESCONTO]]</f>
        <v>671.70368999999994</v>
      </c>
      <c r="L557" s="53">
        <f>Tabela6[[#This Row],[CUSTO TOTAL]]/Tabela6[[#This Row],[CONSUMO]]</f>
        <v>5.79</v>
      </c>
      <c r="M557" s="50">
        <f>Tabela6[[#This Row],[KM ATUAL]]-E527</f>
        <v>215376</v>
      </c>
      <c r="N557" s="51">
        <f>Tabela6[[#This Row],[KM Rodados ]]/Tabela6[[#This Row],[CONSUMO]]</f>
        <v>1856.5136064683522</v>
      </c>
    </row>
    <row r="558" spans="1:14" x14ac:dyDescent="0.25">
      <c r="A558" s="47" t="s">
        <v>314</v>
      </c>
      <c r="B558" s="78">
        <v>44995</v>
      </c>
      <c r="C558" s="47" t="s">
        <v>40</v>
      </c>
      <c r="E558" s="47">
        <v>125695</v>
      </c>
      <c r="G558" s="50" t="s">
        <v>244</v>
      </c>
      <c r="H558" s="51">
        <v>38.6</v>
      </c>
      <c r="K558" s="52">
        <f>Tabela6[[#This Row],[CONSUMO]]*Tabela6[[#This Row],[VALOR UNIT]]-Tabela6[[#This Row],[DESCONTO]]</f>
        <v>0</v>
      </c>
      <c r="L558" s="53">
        <f>Tabela6[[#This Row],[CUSTO TOTAL]]/Tabela6[[#This Row],[CONSUMO]]</f>
        <v>0</v>
      </c>
      <c r="M558" s="50">
        <f>Tabela6[[#This Row],[KM ATUAL]]-E557</f>
        <v>-476817</v>
      </c>
      <c r="N558" s="51">
        <f>Tabela6[[#This Row],[KM Rodados ]]/Tabela6[[#This Row],[CONSUMO]]</f>
        <v>-12352.772020725388</v>
      </c>
    </row>
    <row r="559" spans="1:14" x14ac:dyDescent="0.25">
      <c r="A559" s="47" t="s">
        <v>314</v>
      </c>
      <c r="B559" s="78">
        <v>44995</v>
      </c>
      <c r="C559" s="47" t="s">
        <v>74</v>
      </c>
      <c r="E559" s="47">
        <v>38761</v>
      </c>
      <c r="G559" s="50" t="s">
        <v>89</v>
      </c>
      <c r="H559" s="51">
        <v>81</v>
      </c>
      <c r="K559" s="52">
        <f>Tabela6[[#This Row],[CONSUMO]]*Tabela6[[#This Row],[VALOR UNIT]]-Tabela6[[#This Row],[DESCONTO]]</f>
        <v>0</v>
      </c>
      <c r="L559" s="53">
        <f>Tabela6[[#This Row],[CUSTO TOTAL]]/Tabela6[[#This Row],[CONSUMO]]</f>
        <v>0</v>
      </c>
      <c r="M559" s="50">
        <f>Tabela6[[#This Row],[KM ATUAL]]-E519</f>
        <v>-827868</v>
      </c>
      <c r="N559" s="51">
        <f>Tabela6[[#This Row],[KM Rodados ]]/Tabela6[[#This Row],[CONSUMO]]</f>
        <v>-10220.592592592593</v>
      </c>
    </row>
    <row r="560" spans="1:14" x14ac:dyDescent="0.25">
      <c r="A560" s="47">
        <v>60889</v>
      </c>
      <c r="B560" s="78">
        <v>44997</v>
      </c>
      <c r="C560" s="47" t="s">
        <v>9</v>
      </c>
      <c r="D560" s="49" t="s">
        <v>263</v>
      </c>
      <c r="E560" s="47">
        <v>593235</v>
      </c>
      <c r="G560" s="50" t="s">
        <v>89</v>
      </c>
      <c r="H560" s="51">
        <v>143.85</v>
      </c>
      <c r="I560" s="49">
        <v>14.39</v>
      </c>
      <c r="J560" s="51">
        <v>5.77</v>
      </c>
      <c r="K560" s="52">
        <f>Tabela6[[#This Row],[CONSUMO]]*Tabela6[[#This Row],[VALOR UNIT]]-Tabela6[[#This Row],[DESCONTO]]</f>
        <v>815.6244999999999</v>
      </c>
      <c r="L560" s="53">
        <f>Tabela6[[#This Row],[CUSTO TOTAL]]/Tabela6[[#This Row],[CONSUMO]]</f>
        <v>5.6699652415710808</v>
      </c>
      <c r="M560" s="50">
        <f>Tabela6[[#This Row],[KM ATUAL]]-E530</f>
        <v>-8890</v>
      </c>
      <c r="N560" s="51">
        <f>Tabela6[[#This Row],[KM Rodados ]]/Tabela6[[#This Row],[CONSUMO]]</f>
        <v>-61.800486618004868</v>
      </c>
    </row>
    <row r="561" spans="1:14" x14ac:dyDescent="0.25">
      <c r="A561" s="47" t="s">
        <v>314</v>
      </c>
      <c r="B561" s="78">
        <v>44997</v>
      </c>
      <c r="C561" s="47" t="s">
        <v>23</v>
      </c>
      <c r="E561" s="47">
        <v>215312</v>
      </c>
      <c r="G561" s="50" t="s">
        <v>89</v>
      </c>
      <c r="H561" s="51">
        <v>87.52</v>
      </c>
      <c r="K561" s="52">
        <f>Tabela6[[#This Row],[CONSUMO]]*Tabela6[[#This Row],[VALOR UNIT]]-Tabela6[[#This Row],[DESCONTO]]</f>
        <v>0</v>
      </c>
      <c r="L561" s="53">
        <f>Tabela6[[#This Row],[CUSTO TOTAL]]/Tabela6[[#This Row],[CONSUMO]]</f>
        <v>0</v>
      </c>
      <c r="M561" s="50">
        <f>Tabela6[[#This Row],[KM ATUAL]]-E549</f>
        <v>-20011</v>
      </c>
      <c r="N561" s="51">
        <f>Tabela6[[#This Row],[KM Rodados ]]/Tabela6[[#This Row],[CONSUMO]]</f>
        <v>-228.64488117001829</v>
      </c>
    </row>
    <row r="562" spans="1:14" x14ac:dyDescent="0.25">
      <c r="A562" s="47" t="s">
        <v>314</v>
      </c>
      <c r="B562" s="78">
        <v>44997</v>
      </c>
      <c r="C562" s="47" t="s">
        <v>40</v>
      </c>
      <c r="E562" s="47">
        <v>126187</v>
      </c>
      <c r="G562" s="50" t="s">
        <v>244</v>
      </c>
      <c r="H562" s="51">
        <v>39.6</v>
      </c>
      <c r="K562" s="52">
        <f>Tabela6[[#This Row],[CONSUMO]]*Tabela6[[#This Row],[VALOR UNIT]]-Tabela6[[#This Row],[DESCONTO]]</f>
        <v>0</v>
      </c>
      <c r="L562" s="53">
        <f>Tabela6[[#This Row],[CUSTO TOTAL]]/Tabela6[[#This Row],[CONSUMO]]</f>
        <v>0</v>
      </c>
      <c r="M562" s="50">
        <f>Tabela6[[#This Row],[KM ATUAL]]-E561</f>
        <v>-89125</v>
      </c>
      <c r="N562" s="51">
        <f>Tabela6[[#This Row],[KM Rodados ]]/Tabela6[[#This Row],[CONSUMO]]</f>
        <v>-2250.6313131313132</v>
      </c>
    </row>
    <row r="563" spans="1:14" x14ac:dyDescent="0.25">
      <c r="A563" s="47" t="s">
        <v>314</v>
      </c>
      <c r="B563" s="78">
        <v>44998</v>
      </c>
      <c r="C563" s="47" t="s">
        <v>43</v>
      </c>
      <c r="E563" s="47">
        <v>109488</v>
      </c>
      <c r="G563" s="50" t="s">
        <v>89</v>
      </c>
      <c r="H563" s="51">
        <v>29</v>
      </c>
      <c r="K563" s="52">
        <f>Tabela6[[#This Row],[CONSUMO]]*Tabela6[[#This Row],[VALOR UNIT]]-Tabela6[[#This Row],[DESCONTO]]</f>
        <v>0</v>
      </c>
      <c r="L563" s="53">
        <f>Tabela6[[#This Row],[CUSTO TOTAL]]/Tabela6[[#This Row],[CONSUMO]]</f>
        <v>0</v>
      </c>
      <c r="M563" s="50">
        <f>Tabela6[[#This Row],[KM ATUAL]]-E531</f>
        <v>-125027</v>
      </c>
      <c r="N563" s="51">
        <f>Tabela6[[#This Row],[KM Rodados ]]/Tabela6[[#This Row],[CONSUMO]]</f>
        <v>-4311.2758620689656</v>
      </c>
    </row>
    <row r="564" spans="1:14" x14ac:dyDescent="0.25">
      <c r="A564" s="47" t="s">
        <v>314</v>
      </c>
      <c r="B564" s="78">
        <v>44998</v>
      </c>
      <c r="C564" s="47" t="s">
        <v>43</v>
      </c>
      <c r="E564" s="47">
        <v>109738</v>
      </c>
      <c r="G564" s="50" t="s">
        <v>89</v>
      </c>
      <c r="H564" s="51">
        <v>28.56</v>
      </c>
      <c r="K564" s="52">
        <f>Tabela6[[#This Row],[CONSUMO]]*Tabela6[[#This Row],[VALOR UNIT]]-Tabela6[[#This Row],[DESCONTO]]</f>
        <v>0</v>
      </c>
      <c r="L564" s="53">
        <f>Tabela6[[#This Row],[CUSTO TOTAL]]/Tabela6[[#This Row],[CONSUMO]]</f>
        <v>0</v>
      </c>
      <c r="M564" s="50">
        <f>Tabela6[[#This Row],[KM ATUAL]]-E563</f>
        <v>250</v>
      </c>
      <c r="N564" s="51">
        <f>Tabela6[[#This Row],[KM Rodados ]]/Tabela6[[#This Row],[CONSUMO]]</f>
        <v>8.753501400560225</v>
      </c>
    </row>
    <row r="565" spans="1:14" x14ac:dyDescent="0.25">
      <c r="A565" s="47">
        <v>576953</v>
      </c>
      <c r="B565" s="78">
        <v>44998</v>
      </c>
      <c r="C565" s="47" t="s">
        <v>43</v>
      </c>
      <c r="D565" s="49" t="s">
        <v>271</v>
      </c>
      <c r="E565" s="47">
        <v>109993</v>
      </c>
      <c r="G565" s="50" t="s">
        <v>89</v>
      </c>
      <c r="H565" s="51">
        <v>32.154000000000003</v>
      </c>
      <c r="J565" s="51">
        <v>5.69</v>
      </c>
      <c r="K565" s="52">
        <f>Tabela6[[#This Row],[CONSUMO]]*Tabela6[[#This Row],[VALOR UNIT]]-Tabela6[[#This Row],[DESCONTO]]</f>
        <v>182.95626000000004</v>
      </c>
      <c r="L565" s="53">
        <f>Tabela6[[#This Row],[CUSTO TOTAL]]/Tabela6[[#This Row],[CONSUMO]]</f>
        <v>5.69</v>
      </c>
      <c r="M565" s="50">
        <f>Tabela6[[#This Row],[KM ATUAL]]-E564</f>
        <v>255</v>
      </c>
      <c r="N565" s="72">
        <f>Tabela6[[#This Row],[KM Rodados ]]/Tabela6[[#This Row],[CONSUMO]]</f>
        <v>7.9305840641910796</v>
      </c>
    </row>
    <row r="566" spans="1:14" x14ac:dyDescent="0.25">
      <c r="A566" s="47">
        <v>320959</v>
      </c>
      <c r="B566" s="78">
        <v>44998</v>
      </c>
      <c r="C566" s="47" t="s">
        <v>39</v>
      </c>
      <c r="D566" s="49" t="s">
        <v>253</v>
      </c>
      <c r="E566" s="47">
        <v>80266</v>
      </c>
      <c r="G566" s="50" t="s">
        <v>89</v>
      </c>
      <c r="H566" s="51">
        <v>89.47</v>
      </c>
      <c r="I566" s="49">
        <v>26.84</v>
      </c>
      <c r="J566" s="51">
        <v>6.29</v>
      </c>
      <c r="K566" s="51">
        <f>Tabela6[[#This Row],[CONSUMO]]*Tabela6[[#This Row],[VALOR UNIT]]-Tabela6[[#This Row],[DESCONTO]]</f>
        <v>535.92629999999997</v>
      </c>
      <c r="L566" s="53">
        <f>Tabela6[[#This Row],[CUSTO TOTAL]]/Tabela6[[#This Row],[CONSUMO]]</f>
        <v>5.9900111769308149</v>
      </c>
      <c r="M566" s="50">
        <f>Tabela6[[#This Row],[KM ATUAL]]-E500</f>
        <v>478</v>
      </c>
      <c r="N566" s="51">
        <f>Tabela6[[#This Row],[KM Rodados ]]/Tabela6[[#This Row],[CONSUMO]]</f>
        <v>5.3425729294735662</v>
      </c>
    </row>
    <row r="567" spans="1:14" x14ac:dyDescent="0.25">
      <c r="A567" s="47">
        <v>160732</v>
      </c>
      <c r="B567" s="78">
        <v>44998</v>
      </c>
      <c r="C567" s="47" t="s">
        <v>203</v>
      </c>
      <c r="D567" s="49" t="s">
        <v>248</v>
      </c>
      <c r="E567" s="47">
        <v>80929</v>
      </c>
      <c r="G567" s="50" t="s">
        <v>244</v>
      </c>
      <c r="H567" s="51">
        <v>34.417999999999999</v>
      </c>
      <c r="J567" s="51">
        <v>5.44</v>
      </c>
      <c r="K567" s="52">
        <f>Tabela6[[#This Row],[CONSUMO]]*Tabela6[[#This Row],[VALOR UNIT]]-Tabela6[[#This Row],[DESCONTO]]</f>
        <v>187.23392000000001</v>
      </c>
      <c r="L567" s="53">
        <f>Tabela6[[#This Row],[CUSTO TOTAL]]/Tabela6[[#This Row],[CONSUMO]]</f>
        <v>5.44</v>
      </c>
      <c r="M567" s="50">
        <f>Tabela6[[#This Row],[KM ATUAL]]-E566</f>
        <v>663</v>
      </c>
      <c r="N567" s="51">
        <f>Tabela6[[#This Row],[KM Rodados ]]/Tabela6[[#This Row],[CONSUMO]]</f>
        <v>19.263176244988088</v>
      </c>
    </row>
    <row r="568" spans="1:14" x14ac:dyDescent="0.25">
      <c r="A568" s="47">
        <v>167849</v>
      </c>
      <c r="B568" s="78">
        <v>44998</v>
      </c>
      <c r="C568" s="47" t="s">
        <v>41</v>
      </c>
      <c r="D568" s="49" t="s">
        <v>262</v>
      </c>
      <c r="E568" s="47">
        <v>651356</v>
      </c>
      <c r="G568" s="50" t="s">
        <v>89</v>
      </c>
      <c r="H568" s="51">
        <v>143.01</v>
      </c>
      <c r="J568" s="51">
        <v>5.79</v>
      </c>
      <c r="K568" s="51">
        <f>Tabela6[[#This Row],[CONSUMO]]*Tabela6[[#This Row],[VALOR UNIT]]-Tabela6[[#This Row],[DESCONTO]]</f>
        <v>828.02789999999993</v>
      </c>
      <c r="L568" s="53">
        <f>Tabela6[[#This Row],[CUSTO TOTAL]]/Tabela6[[#This Row],[CONSUMO]]</f>
        <v>5.79</v>
      </c>
      <c r="M568" s="50">
        <f>Tabela6[[#This Row],[KM ATUAL]]-E438</f>
        <v>52880</v>
      </c>
      <c r="N568" s="84">
        <f>Tabela6[[#This Row],[KM Rodados ]]/Tabela6[[#This Row],[CONSUMO]]</f>
        <v>369.76435214320679</v>
      </c>
    </row>
    <row r="569" spans="1:14" x14ac:dyDescent="0.25">
      <c r="A569" s="47" t="s">
        <v>314</v>
      </c>
      <c r="B569" s="78">
        <v>44998</v>
      </c>
      <c r="C569" s="47" t="s">
        <v>12</v>
      </c>
      <c r="E569" s="47">
        <v>305610</v>
      </c>
      <c r="G569" s="50" t="s">
        <v>89</v>
      </c>
      <c r="H569" s="51">
        <v>65.209999999999994</v>
      </c>
      <c r="K569" s="52">
        <f>Tabela6[[#This Row],[CONSUMO]]*Tabela6[[#This Row],[VALOR UNIT]]-Tabela6[[#This Row],[DESCONTO]]</f>
        <v>0</v>
      </c>
      <c r="L569" s="53">
        <f>Tabela6[[#This Row],[CUSTO TOTAL]]/Tabela6[[#This Row],[CONSUMO]]</f>
        <v>0</v>
      </c>
      <c r="M569" s="50">
        <f>Tabela6[[#This Row],[KM ATUAL]]-E435</f>
        <v>-343740</v>
      </c>
      <c r="N569" s="51">
        <f>Tabela6[[#This Row],[KM Rodados ]]/Tabela6[[#This Row],[CONSUMO]]</f>
        <v>-5271.2774114399635</v>
      </c>
    </row>
    <row r="570" spans="1:14" x14ac:dyDescent="0.25">
      <c r="A570" s="47">
        <v>320965</v>
      </c>
      <c r="B570" s="78">
        <v>44998</v>
      </c>
      <c r="C570" s="47" t="s">
        <v>12</v>
      </c>
      <c r="D570" s="49" t="s">
        <v>253</v>
      </c>
      <c r="E570" s="47">
        <v>306170</v>
      </c>
      <c r="G570" s="50" t="s">
        <v>89</v>
      </c>
      <c r="H570" s="51">
        <v>97.93</v>
      </c>
      <c r="I570" s="49">
        <v>29.38</v>
      </c>
      <c r="J570" s="51">
        <v>6.29</v>
      </c>
      <c r="K570" s="52">
        <f>Tabela6[[#This Row],[CONSUMO]]*Tabela6[[#This Row],[VALOR UNIT]]-Tabela6[[#This Row],[DESCONTO]]</f>
        <v>586.5997000000001</v>
      </c>
      <c r="L570" s="53">
        <f>Tabela6[[#This Row],[CUSTO TOTAL]]/Tabela6[[#This Row],[CONSUMO]]</f>
        <v>5.9899897886245279</v>
      </c>
      <c r="M570" s="50">
        <f>Tabela6[[#This Row],[KM ATUAL]]-E569</f>
        <v>560</v>
      </c>
      <c r="N570" s="51">
        <f>Tabela6[[#This Row],[KM Rodados ]]/Tabela6[[#This Row],[CONSUMO]]</f>
        <v>5.7183702644746246</v>
      </c>
    </row>
    <row r="571" spans="1:14" x14ac:dyDescent="0.25">
      <c r="A571" s="47">
        <v>519794</v>
      </c>
      <c r="B571" s="78">
        <v>44998</v>
      </c>
      <c r="C571" s="47" t="s">
        <v>16</v>
      </c>
      <c r="D571" s="49" t="s">
        <v>255</v>
      </c>
      <c r="E571" s="47">
        <v>290789</v>
      </c>
      <c r="G571" s="50" t="s">
        <v>89</v>
      </c>
      <c r="H571" s="51">
        <v>113.56100000000001</v>
      </c>
      <c r="J571" s="51">
        <v>6.37</v>
      </c>
      <c r="K571" s="51">
        <f>Tabela6[[#This Row],[CONSUMO]]*Tabela6[[#This Row],[VALOR UNIT]]-Tabela6[[#This Row],[DESCONTO]]</f>
        <v>723.38357000000008</v>
      </c>
      <c r="L571" s="53">
        <f>Tabela6[[#This Row],[CUSTO TOTAL]]/Tabela6[[#This Row],[CONSUMO]]</f>
        <v>6.37</v>
      </c>
      <c r="M571" s="50">
        <f>Tabela6[[#This Row],[KM ATUAL]]-E427</f>
        <v>78191</v>
      </c>
      <c r="N571" s="51">
        <f>Tabela6[[#This Row],[KM Rodados ]]/Tabela6[[#This Row],[CONSUMO]]</f>
        <v>688.53743802890074</v>
      </c>
    </row>
    <row r="572" spans="1:14" x14ac:dyDescent="0.25">
      <c r="A572" s="47">
        <v>73085</v>
      </c>
      <c r="B572" s="78">
        <v>44998</v>
      </c>
      <c r="C572" s="47" t="s">
        <v>20</v>
      </c>
      <c r="D572" s="49" t="s">
        <v>246</v>
      </c>
      <c r="E572" s="47">
        <v>235830</v>
      </c>
      <c r="G572" s="50" t="s">
        <v>89</v>
      </c>
      <c r="H572" s="51">
        <v>62.987000000000002</v>
      </c>
      <c r="I572" s="49">
        <v>33.380000000000003</v>
      </c>
      <c r="J572" s="51">
        <v>6.02</v>
      </c>
      <c r="K572" s="52">
        <f>Tabela6[[#This Row],[CONSUMO]]*Tabela6[[#This Row],[VALOR UNIT]]-Tabela6[[#This Row],[DESCONTO]]</f>
        <v>345.80174</v>
      </c>
      <c r="L572" s="53">
        <f>Tabela6[[#This Row],[CUSTO TOTAL]]/Tabela6[[#This Row],[CONSUMO]]</f>
        <v>5.4900493752679118</v>
      </c>
      <c r="M572" s="50">
        <f>Tabela6[[#This Row],[KM ATUAL]]-E542</f>
        <v>122946</v>
      </c>
      <c r="N572" s="51">
        <f>Tabela6[[#This Row],[KM Rodados ]]/Tabela6[[#This Row],[CONSUMO]]</f>
        <v>1951.9265880261005</v>
      </c>
    </row>
    <row r="573" spans="1:14" x14ac:dyDescent="0.25">
      <c r="A573" s="47">
        <v>287651</v>
      </c>
      <c r="B573" s="78">
        <v>44998</v>
      </c>
      <c r="C573" s="47" t="s">
        <v>23</v>
      </c>
      <c r="D573" s="49" t="s">
        <v>276</v>
      </c>
      <c r="E573" s="47">
        <v>215812</v>
      </c>
      <c r="G573" s="50" t="s">
        <v>89</v>
      </c>
      <c r="H573" s="51">
        <v>115.2</v>
      </c>
      <c r="J573" s="51">
        <v>5.99</v>
      </c>
      <c r="K573" s="52">
        <f>Tabela6[[#This Row],[CONSUMO]]*Tabela6[[#This Row],[VALOR UNIT]]-Tabela6[[#This Row],[DESCONTO]]</f>
        <v>690.048</v>
      </c>
      <c r="L573" s="53">
        <f>Tabela6[[#This Row],[CUSTO TOTAL]]/Tabela6[[#This Row],[CONSUMO]]</f>
        <v>5.99</v>
      </c>
      <c r="M573" s="50">
        <f>Tabela6[[#This Row],[KM ATUAL]]-E572</f>
        <v>-20018</v>
      </c>
      <c r="N573" s="51">
        <f>Tabela6[[#This Row],[KM Rodados ]]/Tabela6[[#This Row],[CONSUMO]]</f>
        <v>-173.76736111111111</v>
      </c>
    </row>
    <row r="574" spans="1:14" x14ac:dyDescent="0.25">
      <c r="A574" s="47" t="s">
        <v>314</v>
      </c>
      <c r="B574" s="78">
        <v>44999</v>
      </c>
      <c r="C574" s="47" t="s">
        <v>203</v>
      </c>
      <c r="E574" s="47">
        <v>81151</v>
      </c>
      <c r="G574" s="50" t="s">
        <v>244</v>
      </c>
      <c r="H574" s="51">
        <v>21.36</v>
      </c>
      <c r="K574" s="52">
        <f>Tabela6[[#This Row],[CONSUMO]]*Tabela6[[#This Row],[VALOR UNIT]]-Tabela6[[#This Row],[DESCONTO]]</f>
        <v>0</v>
      </c>
      <c r="L574" s="53">
        <f>Tabela6[[#This Row],[CUSTO TOTAL]]/Tabela6[[#This Row],[CONSUMO]]</f>
        <v>0</v>
      </c>
      <c r="M574" s="50">
        <f>Tabela6[[#This Row],[KM ATUAL]]-E553</f>
        <v>599</v>
      </c>
      <c r="N574" s="51">
        <f>Tabela6[[#This Row],[KM Rodados ]]/Tabela6[[#This Row],[CONSUMO]]</f>
        <v>28.04307116104869</v>
      </c>
    </row>
    <row r="575" spans="1:14" x14ac:dyDescent="0.25">
      <c r="A575" s="47" t="s">
        <v>314</v>
      </c>
      <c r="B575" s="78">
        <v>44999</v>
      </c>
      <c r="C575" s="47" t="s">
        <v>64</v>
      </c>
      <c r="E575" s="47">
        <v>70983</v>
      </c>
      <c r="G575" s="50" t="s">
        <v>89</v>
      </c>
      <c r="H575" s="51">
        <v>132.30000000000001</v>
      </c>
      <c r="K575" s="52">
        <f>Tabela6[[#This Row],[CONSUMO]]*Tabela6[[#This Row],[VALOR UNIT]]-Tabela6[[#This Row],[DESCONTO]]</f>
        <v>0</v>
      </c>
      <c r="L575" s="53">
        <f>Tabela6[[#This Row],[CUSTO TOTAL]]/Tabela6[[#This Row],[CONSUMO]]</f>
        <v>0</v>
      </c>
      <c r="M575" s="50">
        <f>Tabela6[[#This Row],[KM ATUAL]]-E557</f>
        <v>-531529</v>
      </c>
      <c r="N575" s="51">
        <f>Tabela6[[#This Row],[KM Rodados ]]/Tabela6[[#This Row],[CONSUMO]]</f>
        <v>-4017.6039304610731</v>
      </c>
    </row>
    <row r="576" spans="1:14" x14ac:dyDescent="0.25">
      <c r="A576" s="47">
        <v>322025</v>
      </c>
      <c r="B576" s="78">
        <v>44999</v>
      </c>
      <c r="C576" s="47" t="s">
        <v>64</v>
      </c>
      <c r="D576" s="49" t="s">
        <v>253</v>
      </c>
      <c r="E576" s="47">
        <v>71504</v>
      </c>
      <c r="G576" s="50" t="s">
        <v>89</v>
      </c>
      <c r="H576" s="51">
        <v>162.31</v>
      </c>
      <c r="I576" s="49">
        <v>48.69</v>
      </c>
      <c r="J576" s="51">
        <v>6.29</v>
      </c>
      <c r="K576" s="52">
        <f>Tabela6[[#This Row],[CONSUMO]]*Tabela6[[#This Row],[VALOR UNIT]]-Tabela6[[#This Row],[DESCONTO]]</f>
        <v>972.23990000000003</v>
      </c>
      <c r="L576" s="53">
        <f>Tabela6[[#This Row],[CUSTO TOTAL]]/Tabela6[[#This Row],[CONSUMO]]</f>
        <v>5.9900184831495284</v>
      </c>
      <c r="M576" s="50">
        <f>Tabela6[[#This Row],[KM ATUAL]]-E575</f>
        <v>521</v>
      </c>
      <c r="N576" s="51">
        <f>Tabela6[[#This Row],[KM Rodados ]]/Tabela6[[#This Row],[CONSUMO]]</f>
        <v>3.2099069681473722</v>
      </c>
    </row>
    <row r="577" spans="1:14" x14ac:dyDescent="0.25">
      <c r="A577" s="47">
        <v>520031</v>
      </c>
      <c r="B577" s="78">
        <v>44999</v>
      </c>
      <c r="C577" s="47" t="s">
        <v>38</v>
      </c>
      <c r="D577" s="49" t="s">
        <v>255</v>
      </c>
      <c r="E577" s="47">
        <v>126087</v>
      </c>
      <c r="G577" s="50" t="s">
        <v>244</v>
      </c>
      <c r="H577" s="51">
        <v>52.640999999999998</v>
      </c>
      <c r="J577" s="51">
        <v>5.64</v>
      </c>
      <c r="K577" s="51">
        <f>Tabela6[[#This Row],[CONSUMO]]*Tabela6[[#This Row],[VALOR UNIT]]-Tabela6[[#This Row],[DESCONTO]]</f>
        <v>296.89524</v>
      </c>
      <c r="L577" s="53">
        <f>Tabela6[[#This Row],[CUSTO TOTAL]]/Tabela6[[#This Row],[CONSUMO]]</f>
        <v>5.6400000000000006</v>
      </c>
      <c r="M577" s="50">
        <f>Tabela6[[#This Row],[KM ATUAL]]-E382</f>
        <v>950</v>
      </c>
      <c r="N577" s="51">
        <f>Tabela6[[#This Row],[KM Rodados ]]/Tabela6[[#This Row],[CONSUMO]]</f>
        <v>18.046769628236547</v>
      </c>
    </row>
    <row r="578" spans="1:14" x14ac:dyDescent="0.25">
      <c r="A578" s="47" t="s">
        <v>314</v>
      </c>
      <c r="B578" s="78">
        <v>44999</v>
      </c>
      <c r="C578" s="47" t="s">
        <v>40</v>
      </c>
      <c r="E578" s="47">
        <v>126680</v>
      </c>
      <c r="G578" s="50" t="s">
        <v>244</v>
      </c>
      <c r="H578" s="51">
        <v>41</v>
      </c>
      <c r="K578" s="52">
        <f>Tabela6[[#This Row],[CONSUMO]]*Tabela6[[#This Row],[VALOR UNIT]]-Tabela6[[#This Row],[DESCONTO]]</f>
        <v>0</v>
      </c>
      <c r="L578" s="53">
        <f>Tabela6[[#This Row],[CUSTO TOTAL]]/Tabela6[[#This Row],[CONSUMO]]</f>
        <v>0</v>
      </c>
      <c r="M578" s="50">
        <f>Tabela6[[#This Row],[KM ATUAL]]-E577</f>
        <v>593</v>
      </c>
      <c r="N578" s="51">
        <f>Tabela6[[#This Row],[KM Rodados ]]/Tabela6[[#This Row],[CONSUMO]]</f>
        <v>14.463414634146341</v>
      </c>
    </row>
    <row r="579" spans="1:14" x14ac:dyDescent="0.25">
      <c r="A579" s="47">
        <v>618689</v>
      </c>
      <c r="B579" s="78">
        <v>44999</v>
      </c>
      <c r="C579" s="47" t="s">
        <v>74</v>
      </c>
      <c r="D579" s="49" t="s">
        <v>250</v>
      </c>
      <c r="E579" s="47">
        <v>39370</v>
      </c>
      <c r="G579" s="50" t="s">
        <v>89</v>
      </c>
      <c r="H579" s="51">
        <v>76.290000000000006</v>
      </c>
      <c r="J579" s="51">
        <v>5.75</v>
      </c>
      <c r="K579" s="52">
        <f>Tabela6[[#This Row],[CONSUMO]]*Tabela6[[#This Row],[VALOR UNIT]]-Tabela6[[#This Row],[DESCONTO]]</f>
        <v>438.66750000000002</v>
      </c>
      <c r="L579" s="53">
        <f>Tabela6[[#This Row],[CUSTO TOTAL]]/Tabela6[[#This Row],[CONSUMO]]</f>
        <v>5.75</v>
      </c>
      <c r="M579" s="50">
        <f>Tabela6[[#This Row],[KM ATUAL]]-E566</f>
        <v>-40896</v>
      </c>
      <c r="N579" s="51">
        <f>Tabela6[[#This Row],[KM Rodados ]]/Tabela6[[#This Row],[CONSUMO]]</f>
        <v>-536.05977192292562</v>
      </c>
    </row>
    <row r="580" spans="1:14" x14ac:dyDescent="0.25">
      <c r="A580" s="47">
        <v>135534</v>
      </c>
      <c r="B580" s="78">
        <v>45000</v>
      </c>
      <c r="C580" s="47" t="s">
        <v>68</v>
      </c>
      <c r="D580" s="49" t="s">
        <v>274</v>
      </c>
      <c r="E580" s="47">
        <v>868212</v>
      </c>
      <c r="G580" s="50" t="s">
        <v>89</v>
      </c>
      <c r="H580" s="51">
        <v>312.00700000000001</v>
      </c>
      <c r="J580" s="51">
        <v>5.49</v>
      </c>
      <c r="K580" s="52">
        <f>Tabela6[[#This Row],[CONSUMO]]*Tabela6[[#This Row],[VALOR UNIT]]-Tabela6[[#This Row],[DESCONTO]]</f>
        <v>1712.9184300000002</v>
      </c>
      <c r="L580" s="53">
        <f>Tabela6[[#This Row],[CUSTO TOTAL]]/Tabela6[[#This Row],[CONSUMO]]</f>
        <v>5.49</v>
      </c>
      <c r="M580" s="50">
        <f>Tabela6[[#This Row],[KM ATUAL]]-E536</f>
        <v>212620</v>
      </c>
      <c r="N580" s="51">
        <f>Tabela6[[#This Row],[KM Rodados ]]/Tabela6[[#This Row],[CONSUMO]]</f>
        <v>681.4590698285615</v>
      </c>
    </row>
    <row r="581" spans="1:14" x14ac:dyDescent="0.25">
      <c r="A581" s="47">
        <v>138570</v>
      </c>
      <c r="B581" s="78">
        <v>45000</v>
      </c>
      <c r="C581" s="47" t="s">
        <v>9</v>
      </c>
      <c r="D581" s="49" t="s">
        <v>268</v>
      </c>
      <c r="E581" s="47">
        <v>593803</v>
      </c>
      <c r="G581" s="50" t="s">
        <v>89</v>
      </c>
      <c r="H581" s="51">
        <v>149</v>
      </c>
      <c r="J581" s="51">
        <v>5.69</v>
      </c>
      <c r="K581" s="51">
        <f>Tabela6[[#This Row],[CONSUMO]]*Tabela6[[#This Row],[VALOR UNIT]]-Tabela6[[#This Row],[DESCONTO]]</f>
        <v>847.81000000000006</v>
      </c>
      <c r="L581" s="53">
        <f>Tabela6[[#This Row],[CUSTO TOTAL]]/Tabela6[[#This Row],[CONSUMO]]</f>
        <v>5.69</v>
      </c>
      <c r="M581" s="50">
        <f>Tabela6[[#This Row],[KM ATUAL]]-E558</f>
        <v>468108</v>
      </c>
      <c r="N581" s="51">
        <f>Tabela6[[#This Row],[KM Rodados ]]/Tabela6[[#This Row],[CONSUMO]]</f>
        <v>3141.6644295302012</v>
      </c>
    </row>
    <row r="582" spans="1:14" x14ac:dyDescent="0.25">
      <c r="A582" s="47">
        <v>161150</v>
      </c>
      <c r="B582" s="78">
        <v>45000</v>
      </c>
      <c r="C582" s="47" t="s">
        <v>203</v>
      </c>
      <c r="D582" s="49" t="s">
        <v>248</v>
      </c>
      <c r="E582" s="47">
        <v>81486</v>
      </c>
      <c r="G582" s="50" t="s">
        <v>244</v>
      </c>
      <c r="H582" s="51">
        <v>26.431000000000001</v>
      </c>
      <c r="J582" s="51">
        <v>5.44</v>
      </c>
      <c r="K582" s="52">
        <f>Tabela6[[#This Row],[CONSUMO]]*Tabela6[[#This Row],[VALOR UNIT]]-Tabela6[[#This Row],[DESCONTO]]</f>
        <v>143.78464000000002</v>
      </c>
      <c r="L582" s="53">
        <f>Tabela6[[#This Row],[CUSTO TOTAL]]/Tabela6[[#This Row],[CONSUMO]]</f>
        <v>5.44</v>
      </c>
      <c r="M582" s="50">
        <f>Tabela6[[#This Row],[KM ATUAL]]-E581</f>
        <v>-512317</v>
      </c>
      <c r="N582" s="51">
        <f>Tabela6[[#This Row],[KM Rodados ]]/Tabela6[[#This Row],[CONSUMO]]</f>
        <v>-19383.186409897469</v>
      </c>
    </row>
    <row r="583" spans="1:14" x14ac:dyDescent="0.25">
      <c r="A583" s="47">
        <v>223241</v>
      </c>
      <c r="B583" s="78">
        <v>45000</v>
      </c>
      <c r="C583" s="47" t="s">
        <v>73</v>
      </c>
      <c r="D583" s="49" t="s">
        <v>273</v>
      </c>
      <c r="E583" s="47">
        <v>113713</v>
      </c>
      <c r="G583" s="50" t="s">
        <v>89</v>
      </c>
      <c r="H583" s="51">
        <v>219</v>
      </c>
      <c r="J583" s="51">
        <v>5.69</v>
      </c>
      <c r="K583" s="51">
        <f>Tabela6[[#This Row],[CONSUMO]]*Tabela6[[#This Row],[VALOR UNIT]]-Tabela6[[#This Row],[DESCONTO]]</f>
        <v>1246.1100000000001</v>
      </c>
      <c r="L583" s="53">
        <f>Tabela6[[#This Row],[CUSTO TOTAL]]/Tabela6[[#This Row],[CONSUMO]]</f>
        <v>5.69</v>
      </c>
      <c r="M583" s="50">
        <f>Tabela6[[#This Row],[KM ATUAL]]-E549</f>
        <v>-121610</v>
      </c>
      <c r="N583" s="51">
        <f>Tabela6[[#This Row],[KM Rodados ]]/Tabela6[[#This Row],[CONSUMO]]</f>
        <v>-555.29680365296804</v>
      </c>
    </row>
    <row r="584" spans="1:14" x14ac:dyDescent="0.25">
      <c r="A584" s="47">
        <v>138400</v>
      </c>
      <c r="B584" s="78">
        <v>45000</v>
      </c>
      <c r="C584" s="47" t="s">
        <v>71</v>
      </c>
      <c r="D584" s="49" t="s">
        <v>268</v>
      </c>
      <c r="E584" s="47">
        <v>90258</v>
      </c>
      <c r="G584" s="50" t="s">
        <v>89</v>
      </c>
      <c r="H584" s="51">
        <v>540</v>
      </c>
      <c r="J584" s="51">
        <v>5.69</v>
      </c>
      <c r="K584" s="51">
        <f>Tabela6[[#This Row],[CONSUMO]]*Tabela6[[#This Row],[VALOR UNIT]]-Tabela6[[#This Row],[DESCONTO]]</f>
        <v>3072.6000000000004</v>
      </c>
      <c r="L584" s="53">
        <f>Tabela6[[#This Row],[CUSTO TOTAL]]/Tabela6[[#This Row],[CONSUMO]]</f>
        <v>5.69</v>
      </c>
      <c r="M584" s="50">
        <f>Tabela6[[#This Row],[KM ATUAL]]-E527</f>
        <v>-296878</v>
      </c>
      <c r="N584" s="51">
        <f>Tabela6[[#This Row],[KM Rodados ]]/Tabela6[[#This Row],[CONSUMO]]</f>
        <v>-549.77407407407406</v>
      </c>
    </row>
    <row r="585" spans="1:14" x14ac:dyDescent="0.25">
      <c r="A585" s="47">
        <v>155466</v>
      </c>
      <c r="B585" s="78">
        <v>45000</v>
      </c>
      <c r="C585" s="47" t="s">
        <v>10</v>
      </c>
      <c r="D585" s="49" t="s">
        <v>269</v>
      </c>
      <c r="E585" s="47">
        <v>708260</v>
      </c>
      <c r="G585" s="50" t="s">
        <v>89</v>
      </c>
      <c r="H585" s="51">
        <v>200</v>
      </c>
      <c r="J585" s="51">
        <v>5.69</v>
      </c>
      <c r="K585" s="51">
        <f>Tabela6[[#This Row],[CONSUMO]]*Tabela6[[#This Row],[VALOR UNIT]]-Tabela6[[#This Row],[DESCONTO]]</f>
        <v>1138</v>
      </c>
      <c r="L585" s="53">
        <f>Tabela6[[#This Row],[CUSTO TOTAL]]/Tabela6[[#This Row],[CONSUMO]]</f>
        <v>5.69</v>
      </c>
      <c r="M585" s="50">
        <f>Tabela6[[#This Row],[KM ATUAL]]-E539</f>
        <v>331188</v>
      </c>
      <c r="N585" s="51">
        <f>Tabela6[[#This Row],[KM Rodados ]]/Tabela6[[#This Row],[CONSUMO]]</f>
        <v>1655.94</v>
      </c>
    </row>
    <row r="586" spans="1:14" x14ac:dyDescent="0.25">
      <c r="A586" s="47">
        <v>322562</v>
      </c>
      <c r="B586" s="78">
        <v>45000</v>
      </c>
      <c r="C586" s="47" t="s">
        <v>11</v>
      </c>
      <c r="D586" s="49" t="s">
        <v>253</v>
      </c>
      <c r="E586" s="47">
        <v>387606</v>
      </c>
      <c r="G586" s="50" t="s">
        <v>89</v>
      </c>
      <c r="H586" s="51">
        <v>92.54</v>
      </c>
      <c r="I586" s="49">
        <v>27.76</v>
      </c>
      <c r="J586" s="51">
        <v>6.29</v>
      </c>
      <c r="K586" s="51">
        <f>Tabela6[[#This Row],[CONSUMO]]*Tabela6[[#This Row],[VALOR UNIT]]-Tabela6[[#This Row],[DESCONTO]]</f>
        <v>554.31660000000011</v>
      </c>
      <c r="L586" s="53">
        <f>Tabela6[[#This Row],[CUSTO TOTAL]]/Tabela6[[#This Row],[CONSUMO]]</f>
        <v>5.9900216122757737</v>
      </c>
      <c r="M586" s="50">
        <f>Tabela6[[#This Row],[KM ATUAL]]-E530</f>
        <v>-214519</v>
      </c>
      <c r="N586" s="51">
        <f>Tabela6[[#This Row],[KM Rodados ]]/Tabela6[[#This Row],[CONSUMO]]</f>
        <v>-2318.1218932353577</v>
      </c>
    </row>
    <row r="587" spans="1:14" x14ac:dyDescent="0.25">
      <c r="A587" s="47">
        <v>138559</v>
      </c>
      <c r="B587" s="78">
        <v>45000</v>
      </c>
      <c r="C587" s="47" t="s">
        <v>206</v>
      </c>
      <c r="D587" s="49" t="s">
        <v>268</v>
      </c>
      <c r="E587" s="47">
        <v>926337</v>
      </c>
      <c r="G587" s="50" t="s">
        <v>89</v>
      </c>
      <c r="H587" s="51">
        <v>620</v>
      </c>
      <c r="J587" s="51">
        <v>5.69</v>
      </c>
      <c r="K587" s="51">
        <f>Tabela6[[#This Row],[CONSUMO]]*Tabela6[[#This Row],[VALOR UNIT]]-Tabela6[[#This Row],[DESCONTO]]</f>
        <v>3527.8</v>
      </c>
      <c r="L587" s="53">
        <f>Tabela6[[#This Row],[CUSTO TOTAL]]/Tabela6[[#This Row],[CONSUMO]]</f>
        <v>5.69</v>
      </c>
      <c r="M587" s="50">
        <f>Tabela6[[#This Row],[KM ATUAL]]-E525</f>
        <v>837653</v>
      </c>
      <c r="N587" s="51">
        <f>Tabela6[[#This Row],[KM Rodados ]]/Tabela6[[#This Row],[CONSUMO]]</f>
        <v>1351.0532258064516</v>
      </c>
    </row>
    <row r="588" spans="1:14" x14ac:dyDescent="0.25">
      <c r="A588" s="47" t="s">
        <v>314</v>
      </c>
      <c r="B588" s="78">
        <v>45000</v>
      </c>
      <c r="C588" s="47" t="s">
        <v>13</v>
      </c>
      <c r="E588" s="47">
        <v>603085</v>
      </c>
      <c r="G588" s="50" t="s">
        <v>89</v>
      </c>
      <c r="H588" s="51">
        <v>125.6</v>
      </c>
      <c r="K588" s="52">
        <f>Tabela6[[#This Row],[CONSUMO]]*Tabela6[[#This Row],[VALOR UNIT]]-Tabela6[[#This Row],[DESCONTO]]</f>
        <v>0</v>
      </c>
      <c r="L588" s="53">
        <f>Tabela6[[#This Row],[CUSTO TOTAL]]/Tabela6[[#This Row],[CONSUMO]]</f>
        <v>0</v>
      </c>
      <c r="M588" s="50">
        <f>Tabela6[[#This Row],[KM ATUAL]]-E556</f>
        <v>471987</v>
      </c>
      <c r="N588" s="51">
        <f>Tabela6[[#This Row],[KM Rodados ]]/Tabela6[[#This Row],[CONSUMO]]</f>
        <v>3757.8582802547771</v>
      </c>
    </row>
    <row r="589" spans="1:14" x14ac:dyDescent="0.25">
      <c r="A589" s="47" t="s">
        <v>314</v>
      </c>
      <c r="B589" s="78">
        <v>45000</v>
      </c>
      <c r="C589" s="47" t="s">
        <v>20</v>
      </c>
      <c r="E589" s="47">
        <v>236276</v>
      </c>
      <c r="G589" s="50" t="s">
        <v>89</v>
      </c>
      <c r="H589" s="51">
        <v>61.58</v>
      </c>
      <c r="K589" s="52">
        <f>Tabela6[[#This Row],[CONSUMO]]*Tabela6[[#This Row],[VALOR UNIT]]-Tabela6[[#This Row],[DESCONTO]]</f>
        <v>0</v>
      </c>
      <c r="L589" s="53">
        <f>Tabela6[[#This Row],[CUSTO TOTAL]]/Tabela6[[#This Row],[CONSUMO]]</f>
        <v>0</v>
      </c>
      <c r="M589" s="50">
        <f>Tabela6[[#This Row],[KM ATUAL]]-E570</f>
        <v>-69894</v>
      </c>
      <c r="N589" s="51">
        <f>Tabela6[[#This Row],[KM Rodados ]]/Tabela6[[#This Row],[CONSUMO]]</f>
        <v>-1135.0113673270544</v>
      </c>
    </row>
    <row r="590" spans="1:14" x14ac:dyDescent="0.25">
      <c r="A590" s="47">
        <v>73784</v>
      </c>
      <c r="B590" s="78">
        <v>45000</v>
      </c>
      <c r="C590" s="47" t="s">
        <v>20</v>
      </c>
      <c r="D590" s="49" t="s">
        <v>246</v>
      </c>
      <c r="E590" s="47">
        <v>236567</v>
      </c>
      <c r="G590" s="50" t="s">
        <v>89</v>
      </c>
      <c r="H590" s="51">
        <v>37.658000000000001</v>
      </c>
      <c r="I590" s="49">
        <v>19.95</v>
      </c>
      <c r="J590" s="51">
        <v>6.02</v>
      </c>
      <c r="K590" s="52">
        <f>Tabela6[[#This Row],[CONSUMO]]*Tabela6[[#This Row],[VALOR UNIT]]-Tabela6[[#This Row],[DESCONTO]]</f>
        <v>206.75116</v>
      </c>
      <c r="L590" s="53">
        <f>Tabela6[[#This Row],[CUSTO TOTAL]]/Tabela6[[#This Row],[CONSUMO]]</f>
        <v>5.4902320887991927</v>
      </c>
      <c r="M590" s="50">
        <f>Tabela6[[#This Row],[KM ATUAL]]-E589</f>
        <v>291</v>
      </c>
      <c r="N590" s="51">
        <f>Tabela6[[#This Row],[KM Rodados ]]/Tabela6[[#This Row],[CONSUMO]]</f>
        <v>7.727441712252376</v>
      </c>
    </row>
    <row r="591" spans="1:14" x14ac:dyDescent="0.25">
      <c r="A591" s="47" t="s">
        <v>314</v>
      </c>
      <c r="B591" s="78">
        <v>45000</v>
      </c>
      <c r="C591" s="47" t="s">
        <v>40</v>
      </c>
      <c r="E591" s="47">
        <v>127175</v>
      </c>
      <c r="G591" s="50" t="s">
        <v>244</v>
      </c>
      <c r="H591" s="51">
        <v>42.5</v>
      </c>
      <c r="K591" s="52">
        <f>Tabela6[[#This Row],[CONSUMO]]*Tabela6[[#This Row],[VALOR UNIT]]-Tabela6[[#This Row],[DESCONTO]]</f>
        <v>0</v>
      </c>
      <c r="L591" s="53">
        <f>Tabela6[[#This Row],[CUSTO TOTAL]]/Tabela6[[#This Row],[CONSUMO]]</f>
        <v>0</v>
      </c>
      <c r="M591" s="50">
        <f>Tabela6[[#This Row],[KM ATUAL]]-E590</f>
        <v>-109392</v>
      </c>
      <c r="N591" s="51">
        <f>Tabela6[[#This Row],[KM Rodados ]]/Tabela6[[#This Row],[CONSUMO]]</f>
        <v>-2573.9294117647059</v>
      </c>
    </row>
    <row r="592" spans="1:14" x14ac:dyDescent="0.25">
      <c r="A592" s="47">
        <v>62258</v>
      </c>
      <c r="B592" s="78">
        <v>45000</v>
      </c>
      <c r="C592" s="47" t="s">
        <v>74</v>
      </c>
      <c r="D592" s="49" t="s">
        <v>263</v>
      </c>
      <c r="E592" s="47">
        <v>39872</v>
      </c>
      <c r="G592" s="50" t="s">
        <v>89</v>
      </c>
      <c r="H592" s="51">
        <v>62.890999999999998</v>
      </c>
      <c r="I592" s="49">
        <v>6.29</v>
      </c>
      <c r="J592" s="51">
        <v>5.77</v>
      </c>
      <c r="K592" s="51">
        <f>Tabela6[[#This Row],[CONSUMO]]*Tabela6[[#This Row],[VALOR UNIT]]-Tabela6[[#This Row],[DESCONTO]]</f>
        <v>356.59106999999995</v>
      </c>
      <c r="L592" s="53">
        <f>Tabela6[[#This Row],[CUSTO TOTAL]]/Tabela6[[#This Row],[CONSUMO]]</f>
        <v>5.6699856895263228</v>
      </c>
      <c r="M592" s="50">
        <f>Tabela6[[#This Row],[KM ATUAL]]-E585</f>
        <v>-668388</v>
      </c>
      <c r="N592" s="51">
        <f>Tabela6[[#This Row],[KM Rodados ]]/Tabela6[[#This Row],[CONSUMO]]</f>
        <v>-10627.720977564357</v>
      </c>
    </row>
    <row r="593" spans="1:14" x14ac:dyDescent="0.25">
      <c r="A593" s="47" t="s">
        <v>314</v>
      </c>
      <c r="B593" s="78">
        <v>45001</v>
      </c>
      <c r="C593" s="47" t="s">
        <v>43</v>
      </c>
      <c r="E593" s="47">
        <v>110244</v>
      </c>
      <c r="G593" s="50" t="s">
        <v>89</v>
      </c>
      <c r="H593" s="51">
        <v>27.9</v>
      </c>
      <c r="K593" s="52">
        <f>Tabela6[[#This Row],[CONSUMO]]*Tabela6[[#This Row],[VALOR UNIT]]-Tabela6[[#This Row],[DESCONTO]]</f>
        <v>0</v>
      </c>
      <c r="L593" s="53">
        <f>Tabela6[[#This Row],[CUSTO TOTAL]]/Tabela6[[#This Row],[CONSUMO]]</f>
        <v>0</v>
      </c>
      <c r="M593" s="50">
        <f>Tabela6[[#This Row],[KM ATUAL]]-E571</f>
        <v>-180545</v>
      </c>
      <c r="N593" s="51">
        <f>Tabela6[[#This Row],[KM Rodados ]]/Tabela6[[#This Row],[CONSUMO]]</f>
        <v>-6471.1469534050184</v>
      </c>
    </row>
    <row r="594" spans="1:14" x14ac:dyDescent="0.25">
      <c r="A594" s="47" t="s">
        <v>314</v>
      </c>
      <c r="B594" s="78">
        <v>45001</v>
      </c>
      <c r="C594" s="47" t="s">
        <v>43</v>
      </c>
      <c r="E594" s="47">
        <v>110498</v>
      </c>
      <c r="G594" s="50" t="s">
        <v>89</v>
      </c>
      <c r="H594" s="51">
        <v>30.6</v>
      </c>
      <c r="K594" s="52">
        <f>Tabela6[[#This Row],[CONSUMO]]*Tabela6[[#This Row],[VALOR UNIT]]-Tabela6[[#This Row],[DESCONTO]]</f>
        <v>0</v>
      </c>
      <c r="L594" s="53">
        <f>Tabela6[[#This Row],[CUSTO TOTAL]]/Tabela6[[#This Row],[CONSUMO]]</f>
        <v>0</v>
      </c>
      <c r="M594" s="50">
        <f>Tabela6[[#This Row],[KM ATUAL]]-E593</f>
        <v>254</v>
      </c>
      <c r="N594" s="51">
        <f>Tabela6[[#This Row],[KM Rodados ]]/Tabela6[[#This Row],[CONSUMO]]</f>
        <v>8.3006535947712408</v>
      </c>
    </row>
    <row r="595" spans="1:14" x14ac:dyDescent="0.25">
      <c r="A595" s="47" t="s">
        <v>314</v>
      </c>
      <c r="B595" s="78">
        <v>45001</v>
      </c>
      <c r="C595" s="47" t="s">
        <v>43</v>
      </c>
      <c r="E595" s="47">
        <v>110746</v>
      </c>
      <c r="G595" s="50" t="s">
        <v>89</v>
      </c>
      <c r="H595" s="51">
        <v>29.2</v>
      </c>
      <c r="K595" s="52">
        <f>Tabela6[[#This Row],[CONSUMO]]*Tabela6[[#This Row],[VALOR UNIT]]-Tabela6[[#This Row],[DESCONTO]]</f>
        <v>0</v>
      </c>
      <c r="L595" s="53">
        <f>Tabela6[[#This Row],[CUSTO TOTAL]]/Tabela6[[#This Row],[CONSUMO]]</f>
        <v>0</v>
      </c>
      <c r="M595" s="50">
        <f>Tabela6[[#This Row],[KM ATUAL]]-E594</f>
        <v>248</v>
      </c>
      <c r="N595" s="51">
        <f>Tabela6[[#This Row],[KM Rodados ]]/Tabela6[[#This Row],[CONSUMO]]</f>
        <v>8.493150684931507</v>
      </c>
    </row>
    <row r="596" spans="1:14" x14ac:dyDescent="0.25">
      <c r="A596" s="47">
        <v>62585</v>
      </c>
      <c r="B596" s="78">
        <v>45001</v>
      </c>
      <c r="C596" s="47" t="s">
        <v>43</v>
      </c>
      <c r="D596" s="49" t="s">
        <v>263</v>
      </c>
      <c r="E596" s="47">
        <v>111002</v>
      </c>
      <c r="G596" s="50" t="s">
        <v>89</v>
      </c>
      <c r="H596" s="51">
        <v>40.710999999999999</v>
      </c>
      <c r="I596" s="49">
        <v>4.07</v>
      </c>
      <c r="J596" s="51">
        <v>5.77</v>
      </c>
      <c r="K596" s="52">
        <f>Tabela6[[#This Row],[CONSUMO]]*Tabela6[[#This Row],[VALOR UNIT]]-Tabela6[[#This Row],[DESCONTO]]</f>
        <v>230.83246999999997</v>
      </c>
      <c r="L596" s="53">
        <f>Tabela6[[#This Row],[CUSTO TOTAL]]/Tabela6[[#This Row],[CONSUMO]]</f>
        <v>5.6700270197243983</v>
      </c>
      <c r="M596" s="50">
        <f>Tabela6[[#This Row],[KM ATUAL]]-E595</f>
        <v>256</v>
      </c>
      <c r="N596" s="72">
        <f>Tabela6[[#This Row],[KM Rodados ]]/Tabela6[[#This Row],[CONSUMO]]</f>
        <v>6.2882267691778635</v>
      </c>
    </row>
    <row r="597" spans="1:14" x14ac:dyDescent="0.25">
      <c r="A597" s="47">
        <v>139214</v>
      </c>
      <c r="B597" s="78">
        <v>45001</v>
      </c>
      <c r="C597" s="47" t="s">
        <v>43</v>
      </c>
      <c r="D597" s="49" t="s">
        <v>268</v>
      </c>
      <c r="E597" s="47">
        <v>111241</v>
      </c>
      <c r="G597" s="50" t="s">
        <v>89</v>
      </c>
      <c r="H597" s="51">
        <v>32.299999999999997</v>
      </c>
      <c r="J597" s="51">
        <v>5.69</v>
      </c>
      <c r="K597" s="51">
        <f>Tabela6[[#This Row],[CONSUMO]]*Tabela6[[#This Row],[VALOR UNIT]]-Tabela6[[#This Row],[DESCONTO]]</f>
        <v>183.78700000000001</v>
      </c>
      <c r="L597" s="53">
        <f>Tabela6[[#This Row],[CUSTO TOTAL]]/Tabela6[[#This Row],[CONSUMO]]</f>
        <v>5.69</v>
      </c>
      <c r="M597" s="50">
        <f>Tabela6[[#This Row],[KM ATUAL]]-E596</f>
        <v>239</v>
      </c>
      <c r="N597" s="72">
        <f>Tabela6[[#This Row],[KM Rodados ]]/Tabela6[[#This Row],[CONSUMO]]</f>
        <v>7.3993808049535614</v>
      </c>
    </row>
    <row r="598" spans="1:14" x14ac:dyDescent="0.25">
      <c r="A598" s="47">
        <v>323885</v>
      </c>
      <c r="B598" s="78">
        <v>45001</v>
      </c>
      <c r="C598" s="47" t="s">
        <v>64</v>
      </c>
      <c r="D598" s="49" t="s">
        <v>253</v>
      </c>
      <c r="E598" s="47">
        <v>71951</v>
      </c>
      <c r="G598" s="50" t="s">
        <v>89</v>
      </c>
      <c r="H598" s="51">
        <v>142.63999999999999</v>
      </c>
      <c r="I598" s="49">
        <v>42.79</v>
      </c>
      <c r="J598" s="51">
        <v>6.29</v>
      </c>
      <c r="K598" s="51">
        <f>Tabela6[[#This Row],[CONSUMO]]*Tabela6[[#This Row],[VALOR UNIT]]-Tabela6[[#This Row],[DESCONTO]]</f>
        <v>854.41559999999993</v>
      </c>
      <c r="L598" s="53">
        <f>Tabela6[[#This Row],[CUSTO TOTAL]]/Tabela6[[#This Row],[CONSUMO]]</f>
        <v>5.9900140213123949</v>
      </c>
      <c r="M598" s="50">
        <f>Tabela6[[#This Row],[KM ATUAL]]-E582</f>
        <v>-9535</v>
      </c>
      <c r="N598" s="51">
        <f>Tabela6[[#This Row],[KM Rodados ]]/Tabela6[[#This Row],[CONSUMO]]</f>
        <v>-66.846606842400462</v>
      </c>
    </row>
    <row r="599" spans="1:14" x14ac:dyDescent="0.25">
      <c r="A599" s="47">
        <v>620278</v>
      </c>
      <c r="B599" s="78">
        <v>45001</v>
      </c>
      <c r="C599" s="47" t="s">
        <v>13</v>
      </c>
      <c r="D599" s="49" t="s">
        <v>250</v>
      </c>
      <c r="E599" s="47">
        <v>603770</v>
      </c>
      <c r="G599" s="50" t="s">
        <v>241</v>
      </c>
      <c r="H599" s="51">
        <v>18</v>
      </c>
      <c r="J599" s="51">
        <v>3.89</v>
      </c>
      <c r="K599" s="51">
        <f>Tabela6[[#This Row],[CONSUMO]]*Tabela6[[#This Row],[VALOR UNIT]]-Tabela6[[#This Row],[DESCONTO]]</f>
        <v>70.02</v>
      </c>
      <c r="L599" s="53">
        <f>Tabela6[[#This Row],[CUSTO TOTAL]]/Tabela6[[#This Row],[CONSUMO]]</f>
        <v>3.8899999999999997</v>
      </c>
      <c r="M599" s="50"/>
      <c r="N599"/>
    </row>
    <row r="600" spans="1:14" x14ac:dyDescent="0.25">
      <c r="A600" s="47">
        <v>620276</v>
      </c>
      <c r="B600" s="78">
        <v>45001</v>
      </c>
      <c r="C600" s="47" t="s">
        <v>13</v>
      </c>
      <c r="D600" s="49" t="s">
        <v>250</v>
      </c>
      <c r="E600" s="47">
        <v>603770</v>
      </c>
      <c r="G600" s="50" t="s">
        <v>89</v>
      </c>
      <c r="H600" s="51">
        <v>142.15</v>
      </c>
      <c r="J600" s="51">
        <v>5.75</v>
      </c>
      <c r="K600" s="52">
        <f>Tabela6[[#This Row],[CONSUMO]]*Tabela6[[#This Row],[VALOR UNIT]]-Tabela6[[#This Row],[DESCONTO]]</f>
        <v>817.36250000000007</v>
      </c>
      <c r="L600" s="53">
        <f>Tabela6[[#This Row],[CUSTO TOTAL]]/Tabela6[[#This Row],[CONSUMO]]</f>
        <v>5.75</v>
      </c>
      <c r="M600" s="50">
        <f>Tabela6[[#This Row],[KM ATUAL]]-E599</f>
        <v>0</v>
      </c>
      <c r="N600" s="51">
        <f>Tabela6[[#This Row],[KM Rodados ]]/Tabela6[[#This Row],[CONSUMO]]</f>
        <v>0</v>
      </c>
    </row>
    <row r="601" spans="1:14" x14ac:dyDescent="0.25">
      <c r="A601" s="47" t="s">
        <v>314</v>
      </c>
      <c r="B601" s="78">
        <v>45002</v>
      </c>
      <c r="C601" s="47" t="s">
        <v>68</v>
      </c>
      <c r="E601" s="47">
        <v>869092</v>
      </c>
      <c r="G601" s="50" t="s">
        <v>89</v>
      </c>
      <c r="H601" s="51">
        <v>253</v>
      </c>
      <c r="K601" s="52">
        <f>Tabela6[[#This Row],[CONSUMO]]*Tabela6[[#This Row],[VALOR UNIT]]-Tabela6[[#This Row],[DESCONTO]]</f>
        <v>0</v>
      </c>
      <c r="L601" s="53">
        <f>Tabela6[[#This Row],[CUSTO TOTAL]]/Tabela6[[#This Row],[CONSUMO]]</f>
        <v>0</v>
      </c>
      <c r="M601" s="50">
        <f>Tabela6[[#This Row],[KM ATUAL]]-E576</f>
        <v>797588</v>
      </c>
      <c r="N601" s="51">
        <f>Tabela6[[#This Row],[KM Rodados ]]/Tabela6[[#This Row],[CONSUMO]]</f>
        <v>3152.521739130435</v>
      </c>
    </row>
    <row r="602" spans="1:14" x14ac:dyDescent="0.25">
      <c r="A602" s="47">
        <v>652406</v>
      </c>
      <c r="B602" s="78">
        <v>45002</v>
      </c>
      <c r="C602" s="47" t="s">
        <v>68</v>
      </c>
      <c r="D602" s="49" t="s">
        <v>274</v>
      </c>
      <c r="E602" s="47">
        <v>869676</v>
      </c>
      <c r="G602" s="50" t="s">
        <v>89</v>
      </c>
      <c r="H602" s="51">
        <v>300.02999999999997</v>
      </c>
      <c r="J602" s="51">
        <v>5.49</v>
      </c>
      <c r="K602" s="51">
        <f>Tabela6[[#This Row],[CONSUMO]]*Tabela6[[#This Row],[VALOR UNIT]]-Tabela6[[#This Row],[DESCONTO]]</f>
        <v>1647.1646999999998</v>
      </c>
      <c r="L602" s="53">
        <f>Tabela6[[#This Row],[CUSTO TOTAL]]/Tabela6[[#This Row],[CONSUMO]]</f>
        <v>5.49</v>
      </c>
      <c r="M602" s="50">
        <f>Tabela6[[#This Row],[KM ATUAL]]-E601</f>
        <v>584</v>
      </c>
      <c r="N602" s="51">
        <f>Tabela6[[#This Row],[KM Rodados ]]/Tabela6[[#This Row],[CONSUMO]]</f>
        <v>1.9464720194647205</v>
      </c>
    </row>
    <row r="603" spans="1:14" x14ac:dyDescent="0.25">
      <c r="A603" s="47">
        <v>140134</v>
      </c>
      <c r="B603" s="78">
        <v>45002</v>
      </c>
      <c r="C603" s="47" t="s">
        <v>9</v>
      </c>
      <c r="D603" s="49" t="s">
        <v>268</v>
      </c>
      <c r="E603" s="47">
        <v>594257</v>
      </c>
      <c r="G603" s="50" t="s">
        <v>89</v>
      </c>
      <c r="H603" s="51">
        <v>115.01</v>
      </c>
      <c r="J603" s="51">
        <v>5.69</v>
      </c>
      <c r="K603" s="51">
        <f>Tabela6[[#This Row],[CONSUMO]]*Tabela6[[#This Row],[VALOR UNIT]]-Tabela6[[#This Row],[DESCONTO]]</f>
        <v>654.40690000000006</v>
      </c>
      <c r="L603" s="53">
        <f>Tabela6[[#This Row],[CUSTO TOTAL]]/Tabela6[[#This Row],[CONSUMO]]</f>
        <v>5.69</v>
      </c>
      <c r="M603" s="50">
        <f>Tabela6[[#This Row],[KM ATUAL]]-E575</f>
        <v>523274</v>
      </c>
      <c r="N603" s="51">
        <f>Tabela6[[#This Row],[KM Rodados ]]/Tabela6[[#This Row],[CONSUMO]]</f>
        <v>4549.8130597339359</v>
      </c>
    </row>
    <row r="604" spans="1:14" x14ac:dyDescent="0.25">
      <c r="A604" s="47">
        <v>313383</v>
      </c>
      <c r="B604" s="78">
        <v>45002</v>
      </c>
      <c r="C604" s="47" t="s">
        <v>67</v>
      </c>
      <c r="D604" s="47" t="s">
        <v>281</v>
      </c>
      <c r="E604" s="47">
        <v>926854</v>
      </c>
      <c r="G604" s="50" t="s">
        <v>241</v>
      </c>
      <c r="H604" s="51">
        <v>24.831</v>
      </c>
      <c r="J604" s="51">
        <v>3.49</v>
      </c>
      <c r="K604" s="51">
        <f>Tabela6[[#This Row],[CONSUMO]]*Tabela6[[#This Row],[VALOR UNIT]]-Tabela6[[#This Row],[DESCONTO]]</f>
        <v>86.66019</v>
      </c>
      <c r="L604" s="53">
        <f>Tabela6[[#This Row],[CUSTO TOTAL]]/Tabela6[[#This Row],[CONSUMO]]</f>
        <v>3.49</v>
      </c>
      <c r="M604" s="50"/>
      <c r="N604"/>
    </row>
    <row r="605" spans="1:14" x14ac:dyDescent="0.25">
      <c r="A605" s="47">
        <v>168663</v>
      </c>
      <c r="B605" s="78">
        <v>45002</v>
      </c>
      <c r="C605" s="47" t="s">
        <v>67</v>
      </c>
      <c r="D605" s="49" t="s">
        <v>262</v>
      </c>
      <c r="E605" s="47">
        <v>656415</v>
      </c>
      <c r="G605" s="50" t="s">
        <v>89</v>
      </c>
      <c r="H605" s="51">
        <v>81.671000000000006</v>
      </c>
      <c r="J605" s="51">
        <v>5.89</v>
      </c>
      <c r="K605" s="52">
        <f>Tabela6[[#This Row],[CONSUMO]]*Tabela6[[#This Row],[VALOR UNIT]]-Tabela6[[#This Row],[DESCONTO]]</f>
        <v>481.04219000000001</v>
      </c>
      <c r="L605" s="53">
        <f>Tabela6[[#This Row],[CUSTO TOTAL]]/Tabela6[[#This Row],[CONSUMO]]</f>
        <v>5.89</v>
      </c>
      <c r="M605" s="50">
        <f>Tabela6[[#This Row],[KM ATUAL]]-E557</f>
        <v>53903</v>
      </c>
      <c r="N605" s="51">
        <f>Tabela6[[#This Row],[KM Rodados ]]/Tabela6[[#This Row],[CONSUMO]]</f>
        <v>660.00171419475691</v>
      </c>
    </row>
    <row r="606" spans="1:14" x14ac:dyDescent="0.25">
      <c r="A606" s="47">
        <v>279415</v>
      </c>
      <c r="B606" s="78">
        <v>45002</v>
      </c>
      <c r="C606" s="47" t="s">
        <v>215</v>
      </c>
      <c r="D606" s="49" t="s">
        <v>276</v>
      </c>
      <c r="E606" s="47">
        <v>219188</v>
      </c>
      <c r="G606" s="50" t="s">
        <v>244</v>
      </c>
      <c r="H606" s="51">
        <v>29.3</v>
      </c>
      <c r="J606" s="51">
        <v>5.6</v>
      </c>
      <c r="K606" s="51">
        <f>Tabela6[[#This Row],[CONSUMO]]*Tabela6[[#This Row],[VALOR UNIT]]-Tabela6[[#This Row],[DESCONTO]]</f>
        <v>164.07999999999998</v>
      </c>
      <c r="L606" s="53">
        <f>Tabela6[[#This Row],[CUSTO TOTAL]]/Tabela6[[#This Row],[CONSUMO]]</f>
        <v>5.6</v>
      </c>
      <c r="M606" s="50">
        <f>Tabela6[[#This Row],[KM ATUAL]]-E501</f>
        <v>139312</v>
      </c>
      <c r="N606" s="51">
        <f>Tabela6[[#This Row],[KM Rodados ]]/H466</f>
        <v>1631.0970612340475</v>
      </c>
    </row>
    <row r="607" spans="1:14" x14ac:dyDescent="0.25">
      <c r="A607" s="47">
        <v>324579</v>
      </c>
      <c r="B607" s="78">
        <v>45002</v>
      </c>
      <c r="C607" s="47" t="s">
        <v>39</v>
      </c>
      <c r="D607" s="49" t="s">
        <v>253</v>
      </c>
      <c r="E607" s="47">
        <v>80828</v>
      </c>
      <c r="G607" s="50" t="s">
        <v>89</v>
      </c>
      <c r="H607" s="51">
        <v>100.46</v>
      </c>
      <c r="I607" s="49">
        <v>30.14</v>
      </c>
      <c r="J607" s="51">
        <v>6.29</v>
      </c>
      <c r="K607" s="51">
        <f>Tabela6[[#This Row],[CONSUMO]]*Tabela6[[#This Row],[VALOR UNIT]]-Tabela6[[#This Row],[DESCONTO]]</f>
        <v>601.75339999999994</v>
      </c>
      <c r="L607" s="53">
        <f>Tabela6[[#This Row],[CUSTO TOTAL]]/Tabela6[[#This Row],[CONSUMO]]</f>
        <v>5.9899800915787376</v>
      </c>
      <c r="M607" s="50">
        <f>Tabela6[[#This Row],[KM ATUAL]]-E570</f>
        <v>-225342</v>
      </c>
      <c r="N607" s="51">
        <f>Tabela6[[#This Row],[KM Rodados ]]/Tabela6[[#This Row],[CONSUMO]]</f>
        <v>-2243.10173203265</v>
      </c>
    </row>
    <row r="608" spans="1:14" x14ac:dyDescent="0.25">
      <c r="A608" s="47" t="s">
        <v>314</v>
      </c>
      <c r="B608" s="78">
        <v>45002</v>
      </c>
      <c r="C608" s="47" t="s">
        <v>70</v>
      </c>
      <c r="E608" s="47">
        <v>185036</v>
      </c>
      <c r="G608" s="50" t="s">
        <v>89</v>
      </c>
      <c r="H608" s="51">
        <v>582.29999999999995</v>
      </c>
      <c r="K608" s="52">
        <f>Tabela6[[#This Row],[CONSUMO]]*Tabela6[[#This Row],[VALOR UNIT]]-Tabela6[[#This Row],[DESCONTO]]</f>
        <v>0</v>
      </c>
      <c r="L608" s="53">
        <f>Tabela6[[#This Row],[CUSTO TOTAL]]/Tabela6[[#This Row],[CONSUMO]]</f>
        <v>0</v>
      </c>
      <c r="M608" s="50">
        <f>Tabela6[[#This Row],[KM ATUAL]]-E496</f>
        <v>147574</v>
      </c>
      <c r="N608" s="51">
        <f>Tabela6[[#This Row],[KM Rodados ]]/Tabela6[[#This Row],[CONSUMO]]</f>
        <v>253.43293834793064</v>
      </c>
    </row>
    <row r="609" spans="1:14" x14ac:dyDescent="0.25">
      <c r="A609" s="47" t="s">
        <v>314</v>
      </c>
      <c r="B609" s="78">
        <v>45002</v>
      </c>
      <c r="C609" s="47" t="s">
        <v>70</v>
      </c>
      <c r="E609" s="47">
        <v>186568</v>
      </c>
      <c r="G609" s="50" t="s">
        <v>89</v>
      </c>
      <c r="H609" s="51">
        <v>685.24</v>
      </c>
      <c r="K609" s="52">
        <f>Tabela6[[#This Row],[CONSUMO]]*Tabela6[[#This Row],[VALOR UNIT]]-Tabela6[[#This Row],[DESCONTO]]</f>
        <v>0</v>
      </c>
      <c r="L609" s="53">
        <f>Tabela6[[#This Row],[CUSTO TOTAL]]/Tabela6[[#This Row],[CONSUMO]]</f>
        <v>0</v>
      </c>
      <c r="M609" s="50">
        <f>Tabela6[[#This Row],[KM ATUAL]]-E608</f>
        <v>1532</v>
      </c>
      <c r="N609" s="51">
        <f>Tabela6[[#This Row],[KM Rodados ]]/Tabela6[[#This Row],[CONSUMO]]</f>
        <v>2.2357130348491041</v>
      </c>
    </row>
    <row r="610" spans="1:14" x14ac:dyDescent="0.25">
      <c r="A610" s="47">
        <v>361218</v>
      </c>
      <c r="B610" s="78">
        <v>45002</v>
      </c>
      <c r="C610" s="47" t="s">
        <v>70</v>
      </c>
      <c r="D610" s="49" t="s">
        <v>234</v>
      </c>
      <c r="E610" s="47">
        <v>188128</v>
      </c>
      <c r="G610" s="50" t="s">
        <v>89</v>
      </c>
      <c r="H610" s="51">
        <v>695.3</v>
      </c>
      <c r="J610" s="51">
        <v>5.89</v>
      </c>
      <c r="K610" s="52">
        <f>Tabela6[[#This Row],[CONSUMO]]*Tabela6[[#This Row],[VALOR UNIT]]-Tabela6[[#This Row],[DESCONTO]]</f>
        <v>4095.3169999999996</v>
      </c>
      <c r="L610" s="53">
        <f>Tabela6[[#This Row],[CUSTO TOTAL]]/Tabela6[[#This Row],[CONSUMO]]</f>
        <v>5.89</v>
      </c>
      <c r="M610" s="50">
        <f>Tabela6[[#This Row],[KM ATUAL]]-E609</f>
        <v>1560</v>
      </c>
      <c r="N610" s="51">
        <f>Tabela6[[#This Row],[KM Rodados ]]/Tabela6[[#This Row],[CONSUMO]]</f>
        <v>2.2436358406443264</v>
      </c>
    </row>
    <row r="611" spans="1:14" x14ac:dyDescent="0.25">
      <c r="A611" s="47" t="s">
        <v>314</v>
      </c>
      <c r="B611" s="78">
        <v>45002</v>
      </c>
      <c r="C611" s="47" t="s">
        <v>203</v>
      </c>
      <c r="E611" s="47">
        <v>81818</v>
      </c>
      <c r="G611" s="50" t="s">
        <v>244</v>
      </c>
      <c r="H611" s="51">
        <v>30.45</v>
      </c>
      <c r="K611" s="52">
        <f>Tabela6[[#This Row],[CONSUMO]]*Tabela6[[#This Row],[VALOR UNIT]]-Tabela6[[#This Row],[DESCONTO]]</f>
        <v>0</v>
      </c>
      <c r="L611" s="53">
        <f>Tabela6[[#This Row],[CUSTO TOTAL]]/Tabela6[[#This Row],[CONSUMO]]</f>
        <v>0</v>
      </c>
      <c r="M611" s="50">
        <f>Tabela6[[#This Row],[KM ATUAL]]-E570</f>
        <v>-224352</v>
      </c>
      <c r="N611" s="51">
        <f>Tabela6[[#This Row],[KM Rodados ]]/Tabela6[[#This Row],[CONSUMO]]</f>
        <v>-7367.8817733990154</v>
      </c>
    </row>
    <row r="612" spans="1:14" x14ac:dyDescent="0.25">
      <c r="A612" s="47" t="s">
        <v>314</v>
      </c>
      <c r="B612" s="78">
        <v>45002</v>
      </c>
      <c r="C612" s="47" t="s">
        <v>72</v>
      </c>
      <c r="E612" s="47">
        <v>377368</v>
      </c>
      <c r="G612" s="50" t="s">
        <v>89</v>
      </c>
      <c r="H612" s="51">
        <v>35.630000000000003</v>
      </c>
      <c r="K612" s="52">
        <f>Tabela6[[#This Row],[CONSUMO]]*Tabela6[[#This Row],[VALOR UNIT]]-Tabela6[[#This Row],[DESCONTO]]</f>
        <v>0</v>
      </c>
      <c r="L612" s="53">
        <f>Tabela6[[#This Row],[CUSTO TOTAL]]/Tabela6[[#This Row],[CONSUMO]]</f>
        <v>0</v>
      </c>
      <c r="M612" s="50">
        <f>Tabela6[[#This Row],[KM ATUAL]]-E548</f>
        <v>81492</v>
      </c>
      <c r="N612" s="51">
        <f>Tabela6[[#This Row],[KM Rodados ]]/Tabela6[[#This Row],[CONSUMO]]</f>
        <v>2287.1737300028067</v>
      </c>
    </row>
    <row r="613" spans="1:14" x14ac:dyDescent="0.25">
      <c r="A613" s="47" t="s">
        <v>314</v>
      </c>
      <c r="B613" s="78">
        <v>45002</v>
      </c>
      <c r="C613" s="47" t="s">
        <v>72</v>
      </c>
      <c r="E613" s="47">
        <v>377659</v>
      </c>
      <c r="G613" s="50" t="s">
        <v>89</v>
      </c>
      <c r="H613" s="51">
        <v>35.21</v>
      </c>
      <c r="K613" s="52">
        <f>Tabela6[[#This Row],[CONSUMO]]*Tabela6[[#This Row],[VALOR UNIT]]-Tabela6[[#This Row],[DESCONTO]]</f>
        <v>0</v>
      </c>
      <c r="L613" s="53">
        <f>Tabela6[[#This Row],[CUSTO TOTAL]]/Tabela6[[#This Row],[CONSUMO]]</f>
        <v>0</v>
      </c>
      <c r="M613" s="50">
        <f>Tabela6[[#This Row],[KM ATUAL]]-E612</f>
        <v>291</v>
      </c>
      <c r="N613" s="51">
        <f>Tabela6[[#This Row],[KM Rodados ]]/Tabela6[[#This Row],[CONSUMO]]</f>
        <v>8.2646975291110483</v>
      </c>
    </row>
    <row r="614" spans="1:14" x14ac:dyDescent="0.25">
      <c r="A614" s="47">
        <v>63291</v>
      </c>
      <c r="B614" s="78">
        <v>45002</v>
      </c>
      <c r="C614" s="47" t="s">
        <v>72</v>
      </c>
      <c r="D614" s="49" t="s">
        <v>263</v>
      </c>
      <c r="E614" s="47">
        <v>377961</v>
      </c>
      <c r="G614" s="50" t="s">
        <v>89</v>
      </c>
      <c r="H614" s="51">
        <v>36.9</v>
      </c>
      <c r="I614" s="49">
        <v>3.69</v>
      </c>
      <c r="J614" s="51">
        <v>5.77</v>
      </c>
      <c r="K614" s="52">
        <f>Tabela6[[#This Row],[CONSUMO]]*Tabela6[[#This Row],[VALOR UNIT]]-Tabela6[[#This Row],[DESCONTO]]</f>
        <v>209.22299999999998</v>
      </c>
      <c r="L614" s="53">
        <f>Tabela6[[#This Row],[CUSTO TOTAL]]/Tabela6[[#This Row],[CONSUMO]]</f>
        <v>5.67</v>
      </c>
      <c r="M614" s="50">
        <f>Tabela6[[#This Row],[KM ATUAL]]-E613</f>
        <v>302</v>
      </c>
      <c r="N614" s="51">
        <f>Tabela6[[#This Row],[KM Rodados ]]/Tabela6[[#This Row],[CONSUMO]]</f>
        <v>8.1842818428184287</v>
      </c>
    </row>
    <row r="615" spans="1:14" x14ac:dyDescent="0.25">
      <c r="A615" s="47">
        <v>139787</v>
      </c>
      <c r="B615" s="78">
        <v>45002</v>
      </c>
      <c r="C615" s="47" t="s">
        <v>71</v>
      </c>
      <c r="D615" s="49" t="s">
        <v>268</v>
      </c>
      <c r="E615" s="47">
        <v>90882</v>
      </c>
      <c r="G615" s="50" t="s">
        <v>241</v>
      </c>
      <c r="H615" s="51">
        <v>67.58</v>
      </c>
      <c r="J615" s="51">
        <v>3.29</v>
      </c>
      <c r="K615" s="51">
        <f>Tabela6[[#This Row],[CONSUMO]]*Tabela6[[#This Row],[VALOR UNIT]]-Tabela6[[#This Row],[DESCONTO]]</f>
        <v>222.3382</v>
      </c>
      <c r="L615" s="53">
        <f>Tabela6[[#This Row],[CUSTO TOTAL]]/Tabela6[[#This Row],[CONSUMO]]</f>
        <v>3.29</v>
      </c>
      <c r="M615" s="50"/>
      <c r="N615"/>
    </row>
    <row r="616" spans="1:14" x14ac:dyDescent="0.25">
      <c r="A616" s="47">
        <v>19781</v>
      </c>
      <c r="B616" s="78">
        <v>45002</v>
      </c>
      <c r="C616" s="47" t="s">
        <v>301</v>
      </c>
      <c r="D616" s="49" t="s">
        <v>333</v>
      </c>
      <c r="E616" s="106" t="s">
        <v>438</v>
      </c>
      <c r="G616" s="50" t="s">
        <v>89</v>
      </c>
      <c r="H616" s="51">
        <v>213</v>
      </c>
      <c r="J616" s="51">
        <v>5.59</v>
      </c>
      <c r="K616" s="74">
        <f>Tabela6[[#This Row],[CONSUMO]]*Tabela6[[#This Row],[VALOR UNIT]]-Tabela6[[#This Row],[DESCONTO]]</f>
        <v>1190.67</v>
      </c>
      <c r="L616" s="53">
        <f>Tabela6[[#This Row],[CUSTO TOTAL]]/Tabela6[[#This Row],[CONSUMO]]</f>
        <v>5.5900000000000007</v>
      </c>
      <c r="M616" s="53" t="e">
        <f t="array" ref="M616">SE</f>
        <v>#NAME?</v>
      </c>
      <c r="N616" s="49" t="e">
        <f>Tabela6[[#This Row],[KM Rodados ]]/Tabela6[[#This Row],[CONSUMO]]</f>
        <v>#NAME?</v>
      </c>
    </row>
    <row r="617" spans="1:14" x14ac:dyDescent="0.25">
      <c r="A617" s="47" t="s">
        <v>314</v>
      </c>
      <c r="B617" s="78">
        <v>45002</v>
      </c>
      <c r="C617" s="47" t="s">
        <v>18</v>
      </c>
      <c r="E617" s="47">
        <v>299789</v>
      </c>
      <c r="G617" s="50" t="s">
        <v>89</v>
      </c>
      <c r="H617" s="51">
        <v>105.3</v>
      </c>
      <c r="K617" s="52">
        <f>Tabela6[[#This Row],[CONSUMO]]*Tabela6[[#This Row],[VALOR UNIT]]-Tabela6[[#This Row],[DESCONTO]]</f>
        <v>0</v>
      </c>
      <c r="L617" s="53">
        <f>Tabela6[[#This Row],[CUSTO TOTAL]]/Tabela6[[#This Row],[CONSUMO]]</f>
        <v>0</v>
      </c>
      <c r="M617" s="50">
        <f>Tabela6[[#This Row],[KM ATUAL]]-E505</f>
        <v>-50501</v>
      </c>
      <c r="N617" s="51">
        <f>Tabela6[[#This Row],[KM Rodados ]]/Tabela6[[#This Row],[CONSUMO]]</f>
        <v>-479.59164292497627</v>
      </c>
    </row>
    <row r="618" spans="1:14" x14ac:dyDescent="0.25">
      <c r="A618" s="47">
        <v>520832</v>
      </c>
      <c r="B618" s="78">
        <v>45002</v>
      </c>
      <c r="C618" s="47" t="s">
        <v>18</v>
      </c>
      <c r="D618" s="49" t="s">
        <v>255</v>
      </c>
      <c r="E618" s="47">
        <v>300508</v>
      </c>
      <c r="G618" s="50" t="s">
        <v>89</v>
      </c>
      <c r="H618" s="51">
        <v>82.230999999999995</v>
      </c>
      <c r="J618" s="51">
        <v>6.37</v>
      </c>
      <c r="K618" s="52">
        <f>Tabela6[[#This Row],[CONSUMO]]*Tabela6[[#This Row],[VALOR UNIT]]-Tabela6[[#This Row],[DESCONTO]]</f>
        <v>523.81146999999999</v>
      </c>
      <c r="L618" s="53">
        <f>Tabela6[[#This Row],[CUSTO TOTAL]]/Tabela6[[#This Row],[CONSUMO]]</f>
        <v>6.37</v>
      </c>
      <c r="M618" s="50">
        <f>Tabela6[[#This Row],[KM ATUAL]]-E617</f>
        <v>719</v>
      </c>
      <c r="N618" s="51">
        <f>Tabela6[[#This Row],[KM Rodados ]]/Tabela6[[#This Row],[CONSUMO]]</f>
        <v>8.7436611496880747</v>
      </c>
    </row>
    <row r="619" spans="1:14" x14ac:dyDescent="0.25">
      <c r="A619" s="47" t="s">
        <v>314</v>
      </c>
      <c r="B619" s="78">
        <v>45002</v>
      </c>
      <c r="C619" s="47" t="s">
        <v>20</v>
      </c>
      <c r="E619" s="47">
        <v>236999</v>
      </c>
      <c r="G619" s="50" t="s">
        <v>89</v>
      </c>
      <c r="H619" s="51">
        <v>54.21</v>
      </c>
      <c r="K619" s="52">
        <f>Tabela6[[#This Row],[CONSUMO]]*Tabela6[[#This Row],[VALOR UNIT]]-Tabela6[[#This Row],[DESCONTO]]</f>
        <v>0</v>
      </c>
      <c r="L619" s="53">
        <f>Tabela6[[#This Row],[CUSTO TOTAL]]/Tabela6[[#This Row],[CONSUMO]]</f>
        <v>0</v>
      </c>
      <c r="M619" s="50">
        <f>Tabela6[[#This Row],[KM ATUAL]]-E592</f>
        <v>197127</v>
      </c>
      <c r="N619" s="51">
        <f>Tabela6[[#This Row],[KM Rodados ]]/Tabela6[[#This Row],[CONSUMO]]</f>
        <v>3636.3586054233538</v>
      </c>
    </row>
    <row r="620" spans="1:14" x14ac:dyDescent="0.25">
      <c r="A620" s="47">
        <v>134319</v>
      </c>
      <c r="B620" s="78">
        <v>45002</v>
      </c>
      <c r="C620" s="47" t="s">
        <v>20</v>
      </c>
      <c r="D620" s="49" t="s">
        <v>246</v>
      </c>
      <c r="E620" s="47">
        <v>237359</v>
      </c>
      <c r="G620" s="50" t="s">
        <v>89</v>
      </c>
      <c r="H620" s="51">
        <v>40.604999999999997</v>
      </c>
      <c r="I620" s="49">
        <v>21.52</v>
      </c>
      <c r="J620" s="51">
        <v>6.02</v>
      </c>
      <c r="K620" s="52">
        <f>Tabela6[[#This Row],[CONSUMO]]*Tabela6[[#This Row],[VALOR UNIT]]-Tabela6[[#This Row],[DESCONTO]]</f>
        <v>222.92209999999994</v>
      </c>
      <c r="L620" s="53">
        <f>Tabela6[[#This Row],[CUSTO TOTAL]]/Tabela6[[#This Row],[CONSUMO]]</f>
        <v>5.4900160078808016</v>
      </c>
      <c r="M620" s="50">
        <f>Tabela6[[#This Row],[KM ATUAL]]-E619</f>
        <v>360</v>
      </c>
      <c r="N620" s="51">
        <f>Tabela6[[#This Row],[KM Rodados ]]/Tabela6[[#This Row],[CONSUMO]]</f>
        <v>8.865903213889915</v>
      </c>
    </row>
    <row r="621" spans="1:14" x14ac:dyDescent="0.25">
      <c r="A621" s="47" t="s">
        <v>314</v>
      </c>
      <c r="B621" s="78">
        <v>45002</v>
      </c>
      <c r="C621" s="47" t="s">
        <v>40</v>
      </c>
      <c r="E621" s="47">
        <v>127666</v>
      </c>
      <c r="G621" s="50" t="s">
        <v>244</v>
      </c>
      <c r="H621" s="51">
        <v>38.5</v>
      </c>
      <c r="K621" s="52">
        <f>Tabela6[[#This Row],[CONSUMO]]*Tabela6[[#This Row],[VALOR UNIT]]-Tabela6[[#This Row],[DESCONTO]]</f>
        <v>0</v>
      </c>
      <c r="L621" s="53">
        <f>Tabela6[[#This Row],[CUSTO TOTAL]]/Tabela6[[#This Row],[CONSUMO]]</f>
        <v>0</v>
      </c>
      <c r="M621" s="50">
        <f>Tabela6[[#This Row],[KM ATUAL]]-E620</f>
        <v>-109693</v>
      </c>
      <c r="N621" s="51">
        <f>Tabela6[[#This Row],[KM Rodados ]]/Tabela6[[#This Row],[CONSUMO]]</f>
        <v>-2849.1688311688313</v>
      </c>
    </row>
    <row r="622" spans="1:14" x14ac:dyDescent="0.25">
      <c r="A622" s="47">
        <v>168662</v>
      </c>
      <c r="B622" s="78">
        <v>45002</v>
      </c>
      <c r="C622" s="47" t="s">
        <v>74</v>
      </c>
      <c r="D622" s="49" t="s">
        <v>262</v>
      </c>
      <c r="E622" s="47">
        <v>40147</v>
      </c>
      <c r="G622" s="50" t="s">
        <v>89</v>
      </c>
      <c r="H622" s="51">
        <v>41.25</v>
      </c>
      <c r="J622" s="51">
        <v>5.89</v>
      </c>
      <c r="K622" s="52">
        <f>Tabela6[[#This Row],[CONSUMO]]*Tabela6[[#This Row],[VALOR UNIT]]-Tabela6[[#This Row],[DESCONTO]]</f>
        <v>242.96249999999998</v>
      </c>
      <c r="L622" s="53">
        <f>Tabela6[[#This Row],[CUSTO TOTAL]]/Tabela6[[#This Row],[CONSUMO]]</f>
        <v>5.89</v>
      </c>
      <c r="M622" s="50">
        <f>Tabela6[[#This Row],[KM ATUAL]]-E601</f>
        <v>-828945</v>
      </c>
      <c r="N622" s="51">
        <f>Tabela6[[#This Row],[KM Rodados ]]/Tabela6[[#This Row],[CONSUMO]]</f>
        <v>-20095.636363636364</v>
      </c>
    </row>
    <row r="623" spans="1:14" x14ac:dyDescent="0.25">
      <c r="A623" s="47">
        <v>313381</v>
      </c>
      <c r="B623" s="78">
        <v>45003</v>
      </c>
      <c r="C623" s="47" t="s">
        <v>67</v>
      </c>
      <c r="D623" s="47" t="s">
        <v>281</v>
      </c>
      <c r="E623" s="47">
        <v>656454</v>
      </c>
      <c r="G623" s="50" t="s">
        <v>89</v>
      </c>
      <c r="H623" s="51">
        <v>12.5</v>
      </c>
      <c r="I623" s="49">
        <v>61.17</v>
      </c>
      <c r="J623" s="51">
        <v>6.02</v>
      </c>
      <c r="K623" s="52">
        <f>Tabela6[[#This Row],[CONSUMO]]*Tabela6[[#This Row],[VALOR UNIT]]-Tabela6[[#This Row],[DESCONTO]]</f>
        <v>14.079999999999998</v>
      </c>
      <c r="L623" s="53">
        <f>Tabela6[[#This Row],[CUSTO TOTAL]]/Tabela6[[#This Row],[CONSUMO]]</f>
        <v>1.1263999999999998</v>
      </c>
      <c r="M623" s="50">
        <f>Tabela6[[#This Row],[KM ATUAL]]-E606</f>
        <v>437266</v>
      </c>
      <c r="N623" s="51">
        <f>Tabela6[[#This Row],[KM Rodados ]]/Tabela6[[#This Row],[CONSUMO]]</f>
        <v>34981.279999999999</v>
      </c>
    </row>
    <row r="624" spans="1:14" x14ac:dyDescent="0.25">
      <c r="A624" s="47">
        <v>521215</v>
      </c>
      <c r="B624" s="78">
        <v>45003</v>
      </c>
      <c r="C624" s="47" t="s">
        <v>70</v>
      </c>
      <c r="D624" s="49" t="s">
        <v>275</v>
      </c>
      <c r="E624" s="47">
        <v>188463</v>
      </c>
      <c r="G624" s="50" t="s">
        <v>89</v>
      </c>
      <c r="H624" s="51">
        <v>163.35</v>
      </c>
      <c r="J624" s="51">
        <v>5.99</v>
      </c>
      <c r="K624" s="51">
        <f>Tabela6[[#This Row],[CONSUMO]]*Tabela6[[#This Row],[VALOR UNIT]]-Tabela6[[#This Row],[DESCONTO]]</f>
        <v>978.4665</v>
      </c>
      <c r="L624" s="53">
        <f>Tabela6[[#This Row],[CUSTO TOTAL]]/Tabela6[[#This Row],[CONSUMO]]</f>
        <v>5.99</v>
      </c>
      <c r="M624" s="50">
        <f>Tabela6[[#This Row],[KM ATUAL]]-E612</f>
        <v>-188905</v>
      </c>
      <c r="N624" s="51">
        <f>Tabela6[[#This Row],[KM Rodados ]]/Tabela6[[#This Row],[CONSUMO]]</f>
        <v>-1156.4432200795839</v>
      </c>
    </row>
    <row r="625" spans="1:14" x14ac:dyDescent="0.25">
      <c r="A625" s="47" t="s">
        <v>314</v>
      </c>
      <c r="B625" s="78">
        <v>45003</v>
      </c>
      <c r="C625" s="47" t="s">
        <v>13</v>
      </c>
      <c r="E625" s="47">
        <v>604134</v>
      </c>
      <c r="G625" s="50" t="s">
        <v>89</v>
      </c>
      <c r="H625" s="51">
        <v>100.3</v>
      </c>
      <c r="K625" s="52">
        <f>Tabela6[[#This Row],[CONSUMO]]*Tabela6[[#This Row],[VALOR UNIT]]-Tabela6[[#This Row],[DESCONTO]]</f>
        <v>0</v>
      </c>
      <c r="L625" s="53">
        <f>Tabela6[[#This Row],[CUSTO TOTAL]]/Tabela6[[#This Row],[CONSUMO]]</f>
        <v>0</v>
      </c>
      <c r="M625" s="50">
        <f>Tabela6[[#This Row],[KM ATUAL]]-E594</f>
        <v>493636</v>
      </c>
      <c r="N625" s="51">
        <f>Tabela6[[#This Row],[KM Rodados ]]/Tabela6[[#This Row],[CONSUMO]]</f>
        <v>4921.5952143569293</v>
      </c>
    </row>
    <row r="626" spans="1:14" x14ac:dyDescent="0.25">
      <c r="A626" s="47" t="s">
        <v>314</v>
      </c>
      <c r="B626" s="78">
        <v>45003</v>
      </c>
      <c r="C626" s="47" t="s">
        <v>13</v>
      </c>
      <c r="E626" s="47">
        <v>604403</v>
      </c>
      <c r="G626" s="50" t="s">
        <v>89</v>
      </c>
      <c r="H626" s="51">
        <v>68.52</v>
      </c>
      <c r="K626" s="52">
        <f>Tabela6[[#This Row],[CONSUMO]]*Tabela6[[#This Row],[VALOR UNIT]]-Tabela6[[#This Row],[DESCONTO]]</f>
        <v>0</v>
      </c>
      <c r="L626" s="53">
        <f>Tabela6[[#This Row],[CUSTO TOTAL]]/Tabela6[[#This Row],[CONSUMO]]</f>
        <v>0</v>
      </c>
      <c r="M626" s="50">
        <f>Tabela6[[#This Row],[KM ATUAL]]-E625</f>
        <v>269</v>
      </c>
      <c r="N626" s="51">
        <f>Tabela6[[#This Row],[KM Rodados ]]/Tabela6[[#This Row],[CONSUMO]]</f>
        <v>3.9258610624635146</v>
      </c>
    </row>
    <row r="627" spans="1:14" x14ac:dyDescent="0.25">
      <c r="A627" s="47" t="s">
        <v>314</v>
      </c>
      <c r="B627" s="78">
        <v>45004</v>
      </c>
      <c r="C627" s="47" t="s">
        <v>203</v>
      </c>
      <c r="E627" s="47">
        <v>82148</v>
      </c>
      <c r="G627" s="50" t="s">
        <v>244</v>
      </c>
      <c r="H627" s="51">
        <v>29.8</v>
      </c>
      <c r="K627" s="52">
        <f>Tabela6[[#This Row],[CONSUMO]]*Tabela6[[#This Row],[VALOR UNIT]]-Tabela6[[#This Row],[DESCONTO]]</f>
        <v>0</v>
      </c>
      <c r="L627" s="53">
        <f>Tabela6[[#This Row],[CUSTO TOTAL]]/Tabela6[[#This Row],[CONSUMO]]</f>
        <v>0</v>
      </c>
      <c r="M627" s="50">
        <f>Tabela6[[#This Row],[KM ATUAL]]-E626</f>
        <v>-522255</v>
      </c>
      <c r="N627" s="51">
        <f>Tabela6[[#This Row],[KM Rodados ]]/Tabela6[[#This Row],[CONSUMO]]</f>
        <v>-17525.335570469797</v>
      </c>
    </row>
    <row r="628" spans="1:14" x14ac:dyDescent="0.25">
      <c r="A628" s="47" t="s">
        <v>314</v>
      </c>
      <c r="B628" s="78">
        <v>45004</v>
      </c>
      <c r="C628" s="47" t="s">
        <v>40</v>
      </c>
      <c r="E628" s="47">
        <v>128159</v>
      </c>
      <c r="G628" s="50" t="s">
        <v>244</v>
      </c>
      <c r="H628" s="51">
        <v>37.799999999999997</v>
      </c>
      <c r="K628" s="52">
        <f>Tabela6[[#This Row],[CONSUMO]]*Tabela6[[#This Row],[VALOR UNIT]]-Tabela6[[#This Row],[DESCONTO]]</f>
        <v>0</v>
      </c>
      <c r="L628" s="53">
        <f>Tabela6[[#This Row],[CUSTO TOTAL]]/Tabela6[[#This Row],[CONSUMO]]</f>
        <v>0</v>
      </c>
      <c r="M628" s="50">
        <f>Tabela6[[#This Row],[KM ATUAL]]-E627</f>
        <v>46011</v>
      </c>
      <c r="N628" s="51">
        <f>Tabela6[[#This Row],[KM Rodados ]]/Tabela6[[#This Row],[CONSUMO]]</f>
        <v>1217.2222222222224</v>
      </c>
    </row>
    <row r="629" spans="1:14" x14ac:dyDescent="0.25">
      <c r="A629" s="47" t="s">
        <v>314</v>
      </c>
      <c r="B629" s="78">
        <v>45004</v>
      </c>
      <c r="C629" s="47" t="s">
        <v>74</v>
      </c>
      <c r="E629" s="47">
        <v>40512</v>
      </c>
      <c r="G629" s="50" t="s">
        <v>89</v>
      </c>
      <c r="H629" s="51">
        <v>41.35</v>
      </c>
      <c r="K629" s="52">
        <f>Tabela6[[#This Row],[CONSUMO]]*Tabela6[[#This Row],[VALOR UNIT]]-Tabela6[[#This Row],[DESCONTO]]</f>
        <v>0</v>
      </c>
      <c r="L629" s="53">
        <f>Tabela6[[#This Row],[CUSTO TOTAL]]/Tabela6[[#This Row],[CONSUMO]]</f>
        <v>0</v>
      </c>
      <c r="M629" s="50">
        <f>Tabela6[[#This Row],[KM ATUAL]]-E606</f>
        <v>-178676</v>
      </c>
      <c r="N629" s="51">
        <f>Tabela6[[#This Row],[KM Rodados ]]/Tabela6[[#This Row],[CONSUMO]]</f>
        <v>-4321.0640870616689</v>
      </c>
    </row>
    <row r="630" spans="1:14" x14ac:dyDescent="0.25">
      <c r="A630" s="47">
        <v>162369</v>
      </c>
      <c r="B630" s="78">
        <v>45005</v>
      </c>
      <c r="C630" s="47" t="s">
        <v>203</v>
      </c>
      <c r="D630" s="49" t="s">
        <v>248</v>
      </c>
      <c r="E630" s="47">
        <v>82572</v>
      </c>
      <c r="G630" s="50" t="s">
        <v>244</v>
      </c>
      <c r="H630" s="51">
        <v>33.652999999999999</v>
      </c>
      <c r="J630" s="51">
        <v>5.44</v>
      </c>
      <c r="K630" s="52">
        <f>Tabela6[[#This Row],[CONSUMO]]*Tabela6[[#This Row],[VALOR UNIT]]-Tabela6[[#This Row],[DESCONTO]]</f>
        <v>183.07232000000002</v>
      </c>
      <c r="L630" s="53">
        <f>Tabela6[[#This Row],[CUSTO TOTAL]]/Tabela6[[#This Row],[CONSUMO]]</f>
        <v>5.44</v>
      </c>
      <c r="M630" s="50">
        <f>Tabela6[[#This Row],[KM ATUAL]]-E629</f>
        <v>42060</v>
      </c>
      <c r="N630" s="51">
        <f>Tabela6[[#This Row],[KM Rodados ]]/Tabela6[[#This Row],[CONSUMO]]</f>
        <v>1249.8142810447805</v>
      </c>
    </row>
    <row r="631" spans="1:14" x14ac:dyDescent="0.25">
      <c r="A631" s="47" t="s">
        <v>314</v>
      </c>
      <c r="B631" s="78">
        <v>45005</v>
      </c>
      <c r="C631" s="47" t="s">
        <v>203</v>
      </c>
      <c r="E631" s="47">
        <v>83004</v>
      </c>
      <c r="G631" s="50" t="s">
        <v>244</v>
      </c>
      <c r="H631" s="51">
        <v>30.2</v>
      </c>
      <c r="K631" s="52">
        <f>Tabela6[[#This Row],[CONSUMO]]*Tabela6[[#This Row],[VALOR UNIT]]-Tabela6[[#This Row],[DESCONTO]]</f>
        <v>0</v>
      </c>
      <c r="L631" s="53">
        <f>Tabela6[[#This Row],[CUSTO TOTAL]]/Tabela6[[#This Row],[CONSUMO]]</f>
        <v>0</v>
      </c>
      <c r="M631" s="50">
        <f>Tabela6[[#This Row],[KM ATUAL]]-E612</f>
        <v>-294364</v>
      </c>
      <c r="N631" s="51">
        <f>Tabela6[[#This Row],[KM Rodados ]]/Tabela6[[#This Row],[CONSUMO]]</f>
        <v>-9747.1523178807947</v>
      </c>
    </row>
    <row r="632" spans="1:14" x14ac:dyDescent="0.25">
      <c r="A632" s="47">
        <v>262758</v>
      </c>
      <c r="B632" s="78">
        <v>45005</v>
      </c>
      <c r="C632" s="47" t="s">
        <v>73</v>
      </c>
      <c r="D632" s="49" t="s">
        <v>270</v>
      </c>
      <c r="E632" s="47">
        <v>114560</v>
      </c>
      <c r="G632" s="50" t="s">
        <v>89</v>
      </c>
      <c r="H632" s="51">
        <v>230.5</v>
      </c>
      <c r="J632" s="51">
        <v>5.59</v>
      </c>
      <c r="K632" s="51">
        <f>Tabela6[[#This Row],[CONSUMO]]*Tabela6[[#This Row],[VALOR UNIT]]-Tabela6[[#This Row],[DESCONTO]]</f>
        <v>1288.4949999999999</v>
      </c>
      <c r="L632" s="53">
        <f>Tabela6[[#This Row],[CUSTO TOTAL]]/Tabela6[[#This Row],[CONSUMO]]</f>
        <v>5.59</v>
      </c>
      <c r="M632" s="50">
        <f>Tabela6[[#This Row],[KM ATUAL]]-E582</f>
        <v>33074</v>
      </c>
      <c r="N632" s="51">
        <f>Tabela6[[#This Row],[KM Rodados ]]/Tabela6[[#This Row],[CONSUMO]]</f>
        <v>143.4880694143167</v>
      </c>
    </row>
    <row r="633" spans="1:14" x14ac:dyDescent="0.25">
      <c r="A633" s="47">
        <v>326827</v>
      </c>
      <c r="B633" s="78">
        <v>45005</v>
      </c>
      <c r="C633" s="47" t="s">
        <v>64</v>
      </c>
      <c r="D633" s="49" t="s">
        <v>253</v>
      </c>
      <c r="E633" s="47">
        <v>72506</v>
      </c>
      <c r="G633" s="50" t="s">
        <v>89</v>
      </c>
      <c r="H633" s="51">
        <v>180.32</v>
      </c>
      <c r="I633" s="49">
        <v>54.1</v>
      </c>
      <c r="J633" s="51">
        <v>6.29</v>
      </c>
      <c r="K633" s="51">
        <f>Tabela6[[#This Row],[CONSUMO]]*Tabela6[[#This Row],[VALOR UNIT]]-Tabela6[[#This Row],[DESCONTO]]</f>
        <v>1080.1128000000001</v>
      </c>
      <c r="L633" s="53">
        <f>Tabela6[[#This Row],[CUSTO TOTAL]]/Tabela6[[#This Row],[CONSUMO]]</f>
        <v>5.9899778172138429</v>
      </c>
      <c r="M633" s="50">
        <f>Tabela6[[#This Row],[KM ATUAL]]-E597</f>
        <v>-38735</v>
      </c>
      <c r="N633" s="51">
        <f>Tabela6[[#This Row],[KM Rodados ]]/Tabela6[[#This Row],[CONSUMO]]</f>
        <v>-214.81255545696541</v>
      </c>
    </row>
    <row r="634" spans="1:14" x14ac:dyDescent="0.25">
      <c r="A634" s="47">
        <v>280244</v>
      </c>
      <c r="B634" s="78">
        <v>45005</v>
      </c>
      <c r="C634" s="47" t="s">
        <v>41</v>
      </c>
      <c r="D634" s="49" t="s">
        <v>276</v>
      </c>
      <c r="E634" s="47">
        <v>652215</v>
      </c>
      <c r="G634" s="50" t="s">
        <v>89</v>
      </c>
      <c r="H634" s="51">
        <v>186.761</v>
      </c>
      <c r="J634" s="51">
        <v>5.89</v>
      </c>
      <c r="K634" s="52">
        <f>Tabela6[[#This Row],[CONSUMO]]*Tabela6[[#This Row],[VALOR UNIT]]-Tabela6[[#This Row],[DESCONTO]]</f>
        <v>1100.0222899999999</v>
      </c>
      <c r="L634" s="53">
        <f>Tabela6[[#This Row],[CUSTO TOTAL]]/Tabela6[[#This Row],[CONSUMO]]</f>
        <v>5.89</v>
      </c>
      <c r="M634" s="50">
        <f>Tabela6[[#This Row],[KM ATUAL]]-E571</f>
        <v>361426</v>
      </c>
      <c r="N634" s="51">
        <f>Tabela6[[#This Row],[KM Rodados ]]/Tabela6[[#This Row],[CONSUMO]]</f>
        <v>1935.2327306022137</v>
      </c>
    </row>
    <row r="635" spans="1:14" x14ac:dyDescent="0.25">
      <c r="A635" s="47" t="s">
        <v>314</v>
      </c>
      <c r="B635" s="78">
        <v>45005</v>
      </c>
      <c r="C635" s="47" t="s">
        <v>206</v>
      </c>
      <c r="E635" s="47">
        <v>926918</v>
      </c>
      <c r="G635" s="50" t="s">
        <v>89</v>
      </c>
      <c r="H635" s="51">
        <v>201.4</v>
      </c>
      <c r="K635" s="52">
        <f>Tabela6[[#This Row],[CONSUMO]]*Tabela6[[#This Row],[VALOR UNIT]]-Tabela6[[#This Row],[DESCONTO]]</f>
        <v>0</v>
      </c>
      <c r="L635" s="53">
        <f>Tabela6[[#This Row],[CUSTO TOTAL]]/Tabela6[[#This Row],[CONSUMO]]</f>
        <v>0</v>
      </c>
      <c r="M635" s="50">
        <f>Tabela6[[#This Row],[KM ATUAL]]-E582</f>
        <v>845432</v>
      </c>
      <c r="N635" s="51">
        <f>Tabela6[[#This Row],[KM Rodados ]]/Tabela6[[#This Row],[CONSUMO]]</f>
        <v>4197.7755710029787</v>
      </c>
    </row>
    <row r="636" spans="1:14" x14ac:dyDescent="0.25">
      <c r="A636" s="47">
        <v>142233</v>
      </c>
      <c r="B636" s="78">
        <v>45005</v>
      </c>
      <c r="C636" s="47" t="s">
        <v>206</v>
      </c>
      <c r="D636" s="49" t="s">
        <v>268</v>
      </c>
      <c r="E636" s="47">
        <v>927892</v>
      </c>
      <c r="G636" s="50" t="s">
        <v>89</v>
      </c>
      <c r="H636" s="51">
        <v>346.58</v>
      </c>
      <c r="J636" s="51">
        <v>5.69</v>
      </c>
      <c r="K636" s="51">
        <f>Tabela6[[#This Row],[CONSUMO]]*Tabela6[[#This Row],[VALOR UNIT]]-Tabela6[[#This Row],[DESCONTO]]</f>
        <v>1972.0402000000001</v>
      </c>
      <c r="L636" s="53">
        <f>Tabela6[[#This Row],[CUSTO TOTAL]]/Tabela6[[#This Row],[CONSUMO]]</f>
        <v>5.69</v>
      </c>
      <c r="M636" s="50">
        <f>Tabela6[[#This Row],[KM ATUAL]]-E635</f>
        <v>974</v>
      </c>
      <c r="N636" s="51">
        <f>Tabela6[[#This Row],[KM Rodados ]]/Tabela6[[#This Row],[CONSUMO]]</f>
        <v>2.8103179641064115</v>
      </c>
    </row>
    <row r="637" spans="1:14" x14ac:dyDescent="0.25">
      <c r="A637" s="47" t="s">
        <v>314</v>
      </c>
      <c r="B637" s="78">
        <v>45005</v>
      </c>
      <c r="C637" s="47" t="s">
        <v>12</v>
      </c>
      <c r="E637" s="47">
        <v>306627</v>
      </c>
      <c r="G637" s="50" t="s">
        <v>89</v>
      </c>
      <c r="H637" s="51">
        <v>88.6</v>
      </c>
      <c r="K637" s="52">
        <f>Tabela6[[#This Row],[CONSUMO]]*Tabela6[[#This Row],[VALOR UNIT]]-Tabela6[[#This Row],[DESCONTO]]</f>
        <v>0</v>
      </c>
      <c r="L637" s="53">
        <f>Tabela6[[#This Row],[CUSTO TOTAL]]/Tabela6[[#This Row],[CONSUMO]]</f>
        <v>0</v>
      </c>
      <c r="M637" s="50">
        <f>Tabela6[[#This Row],[KM ATUAL]]-E575</f>
        <v>235644</v>
      </c>
      <c r="N637" s="51">
        <f>Tabela6[[#This Row],[KM Rodados ]]/Tabela6[[#This Row],[CONSUMO]]</f>
        <v>2659.6388261851016</v>
      </c>
    </row>
    <row r="638" spans="1:14" x14ac:dyDescent="0.25">
      <c r="A638" s="47" t="s">
        <v>314</v>
      </c>
      <c r="B638" s="78">
        <v>45005</v>
      </c>
      <c r="C638" s="47" t="s">
        <v>12</v>
      </c>
      <c r="E638" s="47">
        <v>307084</v>
      </c>
      <c r="G638" s="50" t="s">
        <v>89</v>
      </c>
      <c r="H638" s="51">
        <v>87.25</v>
      </c>
      <c r="K638" s="52">
        <f>Tabela6[[#This Row],[CONSUMO]]*Tabela6[[#This Row],[VALOR UNIT]]-Tabela6[[#This Row],[DESCONTO]]</f>
        <v>0</v>
      </c>
      <c r="L638" s="53">
        <f>Tabela6[[#This Row],[CUSTO TOTAL]]/Tabela6[[#This Row],[CONSUMO]]</f>
        <v>0</v>
      </c>
      <c r="M638" s="50">
        <f>Tabela6[[#This Row],[KM ATUAL]]-E637</f>
        <v>457</v>
      </c>
      <c r="N638" s="51">
        <f>Tabela6[[#This Row],[KM Rodados ]]/Tabela6[[#This Row],[CONSUMO]]</f>
        <v>5.2378223495702008</v>
      </c>
    </row>
    <row r="639" spans="1:14" x14ac:dyDescent="0.25">
      <c r="A639" s="47">
        <v>326486</v>
      </c>
      <c r="B639" s="78">
        <v>45005</v>
      </c>
      <c r="C639" s="47" t="s">
        <v>12</v>
      </c>
      <c r="D639" s="49" t="s">
        <v>253</v>
      </c>
      <c r="E639" s="47">
        <v>307709</v>
      </c>
      <c r="G639" s="50" t="s">
        <v>89</v>
      </c>
      <c r="H639" s="51">
        <v>108.73</v>
      </c>
      <c r="I639" s="49">
        <v>32.619999999999997</v>
      </c>
      <c r="J639" s="51">
        <v>6.29</v>
      </c>
      <c r="K639" s="52">
        <f>Tabela6[[#This Row],[CONSUMO]]*Tabela6[[#This Row],[VALOR UNIT]]-Tabela6[[#This Row],[DESCONTO]]</f>
        <v>651.29169999999999</v>
      </c>
      <c r="L639" s="53">
        <f>Tabela6[[#This Row],[CUSTO TOTAL]]/Tabela6[[#This Row],[CONSUMO]]</f>
        <v>5.9899908029062816</v>
      </c>
      <c r="M639" s="50">
        <f>Tabela6[[#This Row],[KM ATUAL]]-E638</f>
        <v>625</v>
      </c>
      <c r="N639" s="51">
        <f>Tabela6[[#This Row],[KM Rodados ]]/Tabela6[[#This Row],[CONSUMO]]</f>
        <v>5.7481835739906186</v>
      </c>
    </row>
    <row r="640" spans="1:14" x14ac:dyDescent="0.25">
      <c r="A640" s="47">
        <v>623520</v>
      </c>
      <c r="B640" s="78">
        <v>45005</v>
      </c>
      <c r="C640" s="47" t="s">
        <v>13</v>
      </c>
      <c r="D640" s="49" t="s">
        <v>250</v>
      </c>
      <c r="E640" s="47">
        <v>604864</v>
      </c>
      <c r="G640" s="50" t="s">
        <v>89</v>
      </c>
      <c r="H640" s="51">
        <v>96.35</v>
      </c>
      <c r="J640" s="51">
        <v>5.75</v>
      </c>
      <c r="K640" s="52">
        <f>Tabela6[[#This Row],[CONSUMO]]*Tabela6[[#This Row],[VALOR UNIT]]-Tabela6[[#This Row],[DESCONTO]]</f>
        <v>554.01249999999993</v>
      </c>
      <c r="L640" s="53">
        <f>Tabela6[[#This Row],[CUSTO TOTAL]]/Tabela6[[#This Row],[CONSUMO]]</f>
        <v>5.75</v>
      </c>
      <c r="M640" s="50">
        <f>Tabela6[[#This Row],[KM ATUAL]]-E638</f>
        <v>297780</v>
      </c>
      <c r="N640" s="51">
        <f>Tabela6[[#This Row],[KM Rodados ]]/Tabela6[[#This Row],[CONSUMO]]</f>
        <v>3090.6071613907629</v>
      </c>
    </row>
    <row r="641" spans="1:14" x14ac:dyDescent="0.25">
      <c r="A641" s="47" t="s">
        <v>314</v>
      </c>
      <c r="B641" s="78">
        <v>45005</v>
      </c>
      <c r="C641" s="47" t="s">
        <v>15</v>
      </c>
      <c r="E641" s="47">
        <v>351546</v>
      </c>
      <c r="G641" s="50" t="s">
        <v>89</v>
      </c>
      <c r="H641" s="51">
        <v>119.63</v>
      </c>
      <c r="K641" s="52">
        <f>Tabela6[[#This Row],[CONSUMO]]*Tabela6[[#This Row],[VALOR UNIT]]-Tabela6[[#This Row],[DESCONTO]]</f>
        <v>0</v>
      </c>
      <c r="L641" s="53">
        <f>Tabela6[[#This Row],[CUSTO TOTAL]]/Tabela6[[#This Row],[CONSUMO]]</f>
        <v>0</v>
      </c>
      <c r="M641" s="50">
        <f>Tabela6[[#This Row],[KM ATUAL]]-E509</f>
        <v>56586</v>
      </c>
      <c r="N641" s="51">
        <f>Tabela6[[#This Row],[KM Rodados ]]/Tabela6[[#This Row],[CONSUMO]]</f>
        <v>473.00844269831981</v>
      </c>
    </row>
    <row r="642" spans="1:14" x14ac:dyDescent="0.25">
      <c r="A642" s="47" t="s">
        <v>314</v>
      </c>
      <c r="B642" s="78">
        <v>45005</v>
      </c>
      <c r="C642" s="47" t="s">
        <v>15</v>
      </c>
      <c r="E642" s="47">
        <v>352265</v>
      </c>
      <c r="G642" s="50" t="s">
        <v>89</v>
      </c>
      <c r="H642" s="51">
        <v>125.3</v>
      </c>
      <c r="K642" s="52">
        <f>Tabela6[[#This Row],[CONSUMO]]*Tabela6[[#This Row],[VALOR UNIT]]-Tabela6[[#This Row],[DESCONTO]]</f>
        <v>0</v>
      </c>
      <c r="L642" s="53">
        <f>Tabela6[[#This Row],[CUSTO TOTAL]]/Tabela6[[#This Row],[CONSUMO]]</f>
        <v>0</v>
      </c>
      <c r="M642" s="50">
        <f>Tabela6[[#This Row],[KM ATUAL]]-E641</f>
        <v>719</v>
      </c>
      <c r="N642" s="51">
        <f>Tabela6[[#This Row],[KM Rodados ]]/Tabela6[[#This Row],[CONSUMO]]</f>
        <v>5.738228252194733</v>
      </c>
    </row>
    <row r="643" spans="1:14" x14ac:dyDescent="0.25">
      <c r="A643" s="47" t="s">
        <v>314</v>
      </c>
      <c r="B643" s="78">
        <v>45005</v>
      </c>
      <c r="C643" s="47" t="s">
        <v>15</v>
      </c>
      <c r="E643" s="47">
        <v>352699</v>
      </c>
      <c r="G643" s="50" t="s">
        <v>89</v>
      </c>
      <c r="H643" s="51">
        <v>76.53</v>
      </c>
      <c r="K643" s="52">
        <f>Tabela6[[#This Row],[CONSUMO]]*Tabela6[[#This Row],[VALOR UNIT]]-Tabela6[[#This Row],[DESCONTO]]</f>
        <v>0</v>
      </c>
      <c r="L643" s="53">
        <f>Tabela6[[#This Row],[CUSTO TOTAL]]/Tabela6[[#This Row],[CONSUMO]]</f>
        <v>0</v>
      </c>
      <c r="M643" s="50">
        <f>Tabela6[[#This Row],[KM ATUAL]]-E642</f>
        <v>434</v>
      </c>
      <c r="N643" s="51">
        <f>Tabela6[[#This Row],[KM Rodados ]]/Tabela6[[#This Row],[CONSUMO]]</f>
        <v>5.6709787011629427</v>
      </c>
    </row>
    <row r="644" spans="1:14" x14ac:dyDescent="0.25">
      <c r="A644" s="47">
        <v>625321</v>
      </c>
      <c r="B644" s="78">
        <v>45005</v>
      </c>
      <c r="C644" s="47" t="s">
        <v>15</v>
      </c>
      <c r="D644" s="49" t="s">
        <v>264</v>
      </c>
      <c r="E644" s="47">
        <v>353240</v>
      </c>
      <c r="G644" s="50" t="s">
        <v>89</v>
      </c>
      <c r="H644" s="51">
        <v>86.674000000000007</v>
      </c>
      <c r="J644" s="51">
        <v>5.79</v>
      </c>
      <c r="K644" s="52">
        <f>Tabela6[[#This Row],[CONSUMO]]*Tabela6[[#This Row],[VALOR UNIT]]-Tabela6[[#This Row],[DESCONTO]]</f>
        <v>501.84246000000002</v>
      </c>
      <c r="L644" s="53">
        <f>Tabela6[[#This Row],[CUSTO TOTAL]]/Tabela6[[#This Row],[CONSUMO]]</f>
        <v>5.79</v>
      </c>
      <c r="M644" s="50">
        <f>Tabela6[[#This Row],[KM ATUAL]]-E643</f>
        <v>541</v>
      </c>
      <c r="N644" s="51">
        <f>Tabela6[[#This Row],[KM Rodados ]]/Tabela6[[#This Row],[CONSUMO]]</f>
        <v>6.2417795417310842</v>
      </c>
    </row>
    <row r="645" spans="1:14" x14ac:dyDescent="0.25">
      <c r="A645" s="47">
        <v>280485</v>
      </c>
      <c r="B645" s="78">
        <v>45005</v>
      </c>
      <c r="C645" s="47" t="s">
        <v>23</v>
      </c>
      <c r="D645" s="49" t="s">
        <v>276</v>
      </c>
      <c r="E645" s="47">
        <v>216526</v>
      </c>
      <c r="G645" s="50" t="s">
        <v>89</v>
      </c>
      <c r="H645" s="51">
        <v>110.85</v>
      </c>
      <c r="J645" s="51">
        <v>5.99</v>
      </c>
      <c r="K645" s="52">
        <f>Tabela6[[#This Row],[CONSUMO]]*Tabela6[[#This Row],[VALOR UNIT]]-Tabela6[[#This Row],[DESCONTO]]</f>
        <v>663.99149999999997</v>
      </c>
      <c r="L645" s="53">
        <f>Tabela6[[#This Row],[CUSTO TOTAL]]/Tabela6[[#This Row],[CONSUMO]]</f>
        <v>5.99</v>
      </c>
      <c r="M645" s="50">
        <f>Tabela6[[#This Row],[KM ATUAL]]-E582</f>
        <v>135040</v>
      </c>
      <c r="N645" s="51">
        <f>Tabela6[[#This Row],[KM Rodados ]]/Tabela6[[#This Row],[CONSUMO]]</f>
        <v>1218.2228236355436</v>
      </c>
    </row>
    <row r="646" spans="1:14" x14ac:dyDescent="0.25">
      <c r="A646" s="47" t="s">
        <v>314</v>
      </c>
      <c r="B646" s="78">
        <v>45005</v>
      </c>
      <c r="C646" s="47" t="s">
        <v>40</v>
      </c>
      <c r="E646" s="47">
        <v>128648</v>
      </c>
      <c r="G646" s="50" t="s">
        <v>244</v>
      </c>
      <c r="H646" s="51">
        <v>38.520000000000003</v>
      </c>
      <c r="K646" s="52">
        <f>Tabela6[[#This Row],[CONSUMO]]*Tabela6[[#This Row],[VALOR UNIT]]-Tabela6[[#This Row],[DESCONTO]]</f>
        <v>0</v>
      </c>
      <c r="L646" s="53">
        <f>Tabela6[[#This Row],[CUSTO TOTAL]]/Tabela6[[#This Row],[CONSUMO]]</f>
        <v>0</v>
      </c>
      <c r="M646" s="50">
        <f>Tabela6[[#This Row],[KM ATUAL]]-E645</f>
        <v>-87878</v>
      </c>
      <c r="N646" s="51">
        <f>Tabela6[[#This Row],[KM Rodados ]]/Tabela6[[#This Row],[CONSUMO]]</f>
        <v>-2281.3603322949116</v>
      </c>
    </row>
    <row r="647" spans="1:14" x14ac:dyDescent="0.25">
      <c r="A647" s="47">
        <v>65060</v>
      </c>
      <c r="B647" s="78">
        <v>45005</v>
      </c>
      <c r="C647" s="47" t="s">
        <v>74</v>
      </c>
      <c r="D647" s="49" t="s">
        <v>263</v>
      </c>
      <c r="E647" s="47">
        <v>41056</v>
      </c>
      <c r="G647" s="50" t="s">
        <v>89</v>
      </c>
      <c r="H647" s="51">
        <v>67.34</v>
      </c>
      <c r="I647" s="49">
        <v>6.73</v>
      </c>
      <c r="J647" s="51">
        <v>5.69</v>
      </c>
      <c r="K647" s="52">
        <f>Tabela6[[#This Row],[CONSUMO]]*Tabela6[[#This Row],[VALOR UNIT]]-Tabela6[[#This Row],[DESCONTO]]</f>
        <v>376.43460000000005</v>
      </c>
      <c r="L647" s="53">
        <f>Tabela6[[#This Row],[CUSTO TOTAL]]/Tabela6[[#This Row],[CONSUMO]]</f>
        <v>5.5900594000594008</v>
      </c>
      <c r="M647" s="50">
        <f>Tabela6[[#This Row],[KM ATUAL]]-E638</f>
        <v>-266028</v>
      </c>
      <c r="N647" s="51">
        <f>Tabela6[[#This Row],[KM Rodados ]]/Tabela6[[#This Row],[CONSUMO]]</f>
        <v>-3950.5197505197502</v>
      </c>
    </row>
    <row r="648" spans="1:14" x14ac:dyDescent="0.25">
      <c r="A648" s="47">
        <v>137354</v>
      </c>
      <c r="B648" s="78">
        <v>45006</v>
      </c>
      <c r="C648" s="47" t="s">
        <v>68</v>
      </c>
      <c r="D648" s="49" t="s">
        <v>274</v>
      </c>
      <c r="E648" s="47">
        <v>870537</v>
      </c>
      <c r="G648" s="50" t="s">
        <v>89</v>
      </c>
      <c r="H648" s="51">
        <v>320.00700000000001</v>
      </c>
      <c r="J648" s="51">
        <v>5.49</v>
      </c>
      <c r="K648" s="51">
        <f>Tabela6[[#This Row],[CONSUMO]]*Tabela6[[#This Row],[VALOR UNIT]]-Tabela6[[#This Row],[DESCONTO]]</f>
        <v>1756.83843</v>
      </c>
      <c r="L648" s="53">
        <f>Tabela6[[#This Row],[CUSTO TOTAL]]/Tabela6[[#This Row],[CONSUMO]]</f>
        <v>5.49</v>
      </c>
      <c r="M648" s="50">
        <f>Tabela6[[#This Row],[KM ATUAL]]-E610</f>
        <v>682409</v>
      </c>
      <c r="N648" s="51">
        <f>Tabela6[[#This Row],[KM Rodados ]]/Tabela6[[#This Row],[CONSUMO]]</f>
        <v>2132.4814769676914</v>
      </c>
    </row>
    <row r="649" spans="1:14" x14ac:dyDescent="0.25">
      <c r="A649" s="47">
        <v>280791</v>
      </c>
      <c r="B649" s="78">
        <v>45006</v>
      </c>
      <c r="C649" s="47" t="s">
        <v>43</v>
      </c>
      <c r="D649" s="49" t="s">
        <v>276</v>
      </c>
      <c r="E649" s="47">
        <v>111925</v>
      </c>
      <c r="G649" s="50" t="s">
        <v>89</v>
      </c>
      <c r="H649" s="51">
        <v>42.83</v>
      </c>
      <c r="J649" s="51">
        <v>5.99</v>
      </c>
      <c r="K649" s="52">
        <f>Tabela6[[#This Row],[CONSUMO]]*Tabela6[[#This Row],[VALOR UNIT]]-Tabela6[[#This Row],[DESCONTO]]</f>
        <v>256.55169999999998</v>
      </c>
      <c r="L649" s="53">
        <f>Tabela6[[#This Row],[CUSTO TOTAL]]/Tabela6[[#This Row],[CONSUMO]]</f>
        <v>5.99</v>
      </c>
      <c r="M649" s="50"/>
      <c r="N649" s="72">
        <f>Tabela6[[#This Row],[KM Rodados ]]/Tabela6[[#This Row],[CONSUMO]]</f>
        <v>0</v>
      </c>
    </row>
    <row r="650" spans="1:14" x14ac:dyDescent="0.25">
      <c r="A650" s="47">
        <v>169511</v>
      </c>
      <c r="B650" s="78">
        <v>45006</v>
      </c>
      <c r="C650" s="47" t="s">
        <v>43</v>
      </c>
      <c r="D650" s="49" t="s">
        <v>262</v>
      </c>
      <c r="E650" s="47">
        <v>112186</v>
      </c>
      <c r="G650" s="50" t="s">
        <v>89</v>
      </c>
      <c r="H650" s="51">
        <v>33.090000000000003</v>
      </c>
      <c r="J650" s="51">
        <v>5.89</v>
      </c>
      <c r="K650" s="51">
        <f>Tabela6[[#This Row],[CONSUMO]]*Tabela6[[#This Row],[VALOR UNIT]]-Tabela6[[#This Row],[DESCONTO]]</f>
        <v>194.90010000000001</v>
      </c>
      <c r="L650" s="53">
        <f>Tabela6[[#This Row],[CUSTO TOTAL]]/Tabela6[[#This Row],[CONSUMO]]</f>
        <v>5.89</v>
      </c>
      <c r="M650" s="50">
        <f>Tabela6[[#This Row],[KM ATUAL]]-E648</f>
        <v>-758351</v>
      </c>
      <c r="N650" s="72">
        <f>Tabela6[[#This Row],[KM Rodados ]]/Tabela6[[#This Row],[CONSUMO]]</f>
        <v>-22917.830160169233</v>
      </c>
    </row>
    <row r="651" spans="1:14" x14ac:dyDescent="0.25">
      <c r="A651" s="47">
        <v>142836</v>
      </c>
      <c r="B651" s="78">
        <v>45006</v>
      </c>
      <c r="C651" s="47" t="s">
        <v>9</v>
      </c>
      <c r="D651" s="49" t="s">
        <v>268</v>
      </c>
      <c r="E651" s="47">
        <v>594764</v>
      </c>
      <c r="G651" s="50" t="s">
        <v>89</v>
      </c>
      <c r="H651" s="51">
        <v>130.22</v>
      </c>
      <c r="J651" s="51">
        <v>5.69</v>
      </c>
      <c r="K651" s="51">
        <f>Tabela6[[#This Row],[CONSUMO]]*Tabela6[[#This Row],[VALOR UNIT]]-Tabela6[[#This Row],[DESCONTO]]</f>
        <v>740.95180000000005</v>
      </c>
      <c r="L651" s="53">
        <f>Tabela6[[#This Row],[CUSTO TOTAL]]/Tabela6[[#This Row],[CONSUMO]]</f>
        <v>5.69</v>
      </c>
      <c r="M651" s="50">
        <f>Tabela6[[#This Row],[KM ATUAL]]-E613</f>
        <v>217105</v>
      </c>
      <c r="N651" s="51">
        <f>Tabela6[[#This Row],[KM Rodados ]]/Tabela6[[#This Row],[CONSUMO]]</f>
        <v>1667.2170173552449</v>
      </c>
    </row>
    <row r="652" spans="1:14" x14ac:dyDescent="0.25">
      <c r="A652" s="47">
        <v>23510</v>
      </c>
      <c r="B652" s="78">
        <v>45006</v>
      </c>
      <c r="C652" s="47" t="s">
        <v>222</v>
      </c>
      <c r="D652" s="49" t="s">
        <v>263</v>
      </c>
      <c r="E652" s="47">
        <v>463221</v>
      </c>
      <c r="G652" s="50" t="s">
        <v>89</v>
      </c>
      <c r="H652" s="51">
        <v>413.83</v>
      </c>
      <c r="J652" s="51">
        <v>5.69</v>
      </c>
      <c r="K652" s="51">
        <f>Tabela6[[#This Row],[CONSUMO]]*Tabela6[[#This Row],[VALOR UNIT]]-Tabela6[[#This Row],[DESCONTO]]</f>
        <v>2354.6927000000001</v>
      </c>
      <c r="L652" s="53">
        <f>Tabela6[[#This Row],[CUSTO TOTAL]]/Tabela6[[#This Row],[CONSUMO]]</f>
        <v>5.69</v>
      </c>
      <c r="M652" s="50"/>
    </row>
    <row r="653" spans="1:14" x14ac:dyDescent="0.25">
      <c r="A653" s="47">
        <v>315233</v>
      </c>
      <c r="B653" s="78">
        <v>45006</v>
      </c>
      <c r="C653" s="47" t="s">
        <v>67</v>
      </c>
      <c r="D653" s="47" t="s">
        <v>281</v>
      </c>
      <c r="E653" s="47">
        <v>656831</v>
      </c>
      <c r="G653" s="50" t="s">
        <v>89</v>
      </c>
      <c r="H653" s="51">
        <v>124.6</v>
      </c>
      <c r="I653" s="49">
        <v>62.35</v>
      </c>
      <c r="J653" s="51">
        <v>6.02</v>
      </c>
      <c r="K653" s="51">
        <f>Tabela6[[#This Row],[CONSUMO]]*Tabela6[[#This Row],[VALOR UNIT]]-Tabela6[[#This Row],[DESCONTO]]</f>
        <v>687.74199999999985</v>
      </c>
      <c r="L653" s="53">
        <f>Tabela6[[#This Row],[CUSTO TOTAL]]/Tabela6[[#This Row],[CONSUMO]]</f>
        <v>5.5195987158908499</v>
      </c>
      <c r="M653" s="50">
        <f>Tabela6[[#This Row],[KM ATUAL]]-E625</f>
        <v>52697</v>
      </c>
      <c r="N653" s="51">
        <f>Tabela6[[#This Row],[KM Rodados ]]/Tabela6[[#This Row],[CONSUMO]]</f>
        <v>422.92937399678976</v>
      </c>
    </row>
    <row r="654" spans="1:14" x14ac:dyDescent="0.25">
      <c r="A654" s="47">
        <v>142637</v>
      </c>
      <c r="B654" s="78">
        <v>45006</v>
      </c>
      <c r="C654" s="47" t="s">
        <v>67</v>
      </c>
      <c r="D654" s="49" t="s">
        <v>268</v>
      </c>
      <c r="E654" s="47">
        <v>657048</v>
      </c>
      <c r="G654" s="50" t="s">
        <v>89</v>
      </c>
      <c r="H654" s="51">
        <v>74.5</v>
      </c>
      <c r="J654" s="51">
        <v>5.69</v>
      </c>
      <c r="K654" s="51">
        <f>Tabela6[[#This Row],[CONSUMO]]*Tabela6[[#This Row],[VALOR UNIT]]-Tabela6[[#This Row],[DESCONTO]]</f>
        <v>423.90500000000003</v>
      </c>
      <c r="L654" s="53">
        <f>Tabela6[[#This Row],[CUSTO TOTAL]]/Tabela6[[#This Row],[CONSUMO]]</f>
        <v>5.69</v>
      </c>
      <c r="M654" s="50">
        <f>Tabela6[[#This Row],[KM ATUAL]]-E646</f>
        <v>528400</v>
      </c>
      <c r="N654" s="51">
        <f>Tabela6[[#This Row],[KM Rodados ]]/Tabela6[[#This Row],[CONSUMO]]</f>
        <v>7092.6174496644298</v>
      </c>
    </row>
    <row r="655" spans="1:14" x14ac:dyDescent="0.25">
      <c r="A655" s="47">
        <v>162582</v>
      </c>
      <c r="B655" s="78">
        <v>45006</v>
      </c>
      <c r="C655" s="47" t="s">
        <v>203</v>
      </c>
      <c r="D655" s="49" t="s">
        <v>248</v>
      </c>
      <c r="E655" s="47">
        <v>83063</v>
      </c>
      <c r="G655" s="50" t="s">
        <v>244</v>
      </c>
      <c r="H655" s="51">
        <v>7</v>
      </c>
      <c r="J655" s="51">
        <v>5.44</v>
      </c>
      <c r="K655" s="52">
        <f>Tabela6[[#This Row],[CONSUMO]]*Tabela6[[#This Row],[VALOR UNIT]]-Tabela6[[#This Row],[DESCONTO]]</f>
        <v>38.080000000000005</v>
      </c>
      <c r="L655" s="53">
        <f>Tabela6[[#This Row],[CUSTO TOTAL]]/Tabela6[[#This Row],[CONSUMO]]</f>
        <v>5.44</v>
      </c>
      <c r="M655" s="50">
        <f>Tabela6[[#This Row],[KM ATUAL]]-E654</f>
        <v>-573985</v>
      </c>
      <c r="N655" s="51">
        <f>Tabela6[[#This Row],[KM Rodados ]]/Tabela6[[#This Row],[CONSUMO]]</f>
        <v>-81997.857142857145</v>
      </c>
    </row>
    <row r="656" spans="1:14" x14ac:dyDescent="0.25">
      <c r="A656" s="47">
        <v>162665</v>
      </c>
      <c r="B656" s="78">
        <v>45006</v>
      </c>
      <c r="C656" s="47" t="s">
        <v>203</v>
      </c>
      <c r="D656" s="49" t="s">
        <v>248</v>
      </c>
      <c r="E656" s="47">
        <v>83438</v>
      </c>
      <c r="G656" s="50" t="s">
        <v>244</v>
      </c>
      <c r="H656" s="51">
        <v>29.643999999999998</v>
      </c>
      <c r="J656" s="51">
        <v>5.44</v>
      </c>
      <c r="K656" s="52">
        <f>Tabela6[[#This Row],[CONSUMO]]*Tabela6[[#This Row],[VALOR UNIT]]-Tabela6[[#This Row],[DESCONTO]]</f>
        <v>161.26336000000001</v>
      </c>
      <c r="L656" s="53">
        <f>Tabela6[[#This Row],[CUSTO TOTAL]]/Tabela6[[#This Row],[CONSUMO]]</f>
        <v>5.44</v>
      </c>
      <c r="M656" s="50">
        <f>Tabela6[[#This Row],[KM ATUAL]]-E655</f>
        <v>375</v>
      </c>
      <c r="N656" s="51">
        <f>Tabela6[[#This Row],[KM Rodados ]]/Tabela6[[#This Row],[CONSUMO]]</f>
        <v>12.650114694373229</v>
      </c>
    </row>
    <row r="657" spans="1:14" x14ac:dyDescent="0.25">
      <c r="A657" s="47">
        <v>142851</v>
      </c>
      <c r="B657" s="78">
        <v>45006</v>
      </c>
      <c r="C657" s="47" t="s">
        <v>10</v>
      </c>
      <c r="D657" s="49" t="s">
        <v>268</v>
      </c>
      <c r="E657" s="47">
        <v>708997</v>
      </c>
      <c r="G657" s="50" t="s">
        <v>89</v>
      </c>
      <c r="H657" s="51">
        <v>214.67</v>
      </c>
      <c r="J657" s="51">
        <v>5.69</v>
      </c>
      <c r="K657" s="51">
        <f>Tabela6[[#This Row],[CONSUMO]]*Tabela6[[#This Row],[VALOR UNIT]]-Tabela6[[#This Row],[DESCONTO]]</f>
        <v>1221.4722999999999</v>
      </c>
      <c r="L657" s="53">
        <f>Tabela6[[#This Row],[CUSTO TOTAL]]/Tabela6[[#This Row],[CONSUMO]]</f>
        <v>5.6899999999999995</v>
      </c>
      <c r="M657" s="50">
        <f>Tabela6[[#This Row],[KM ATUAL]]-E592</f>
        <v>669125</v>
      </c>
      <c r="N657" s="51">
        <f>Tabela6[[#This Row],[KM Rodados ]]/Tabela6[[#This Row],[CONSUMO]]</f>
        <v>3116.9935249452651</v>
      </c>
    </row>
    <row r="658" spans="1:14" x14ac:dyDescent="0.25">
      <c r="A658" s="47">
        <v>262876</v>
      </c>
      <c r="B658" s="78">
        <v>45006</v>
      </c>
      <c r="C658" s="47" t="s">
        <v>13</v>
      </c>
      <c r="D658" s="49" t="s">
        <v>270</v>
      </c>
      <c r="E658" s="47">
        <v>605488</v>
      </c>
      <c r="G658" s="50" t="s">
        <v>89</v>
      </c>
      <c r="H658" s="51">
        <v>143.94999999999999</v>
      </c>
      <c r="J658" s="51">
        <v>5.79</v>
      </c>
      <c r="K658" s="51">
        <f>Tabela6[[#This Row],[CONSUMO]]*Tabela6[[#This Row],[VALOR UNIT]]-Tabela6[[#This Row],[DESCONTO]]</f>
        <v>833.4704999999999</v>
      </c>
      <c r="L658" s="53">
        <f>Tabela6[[#This Row],[CUSTO TOTAL]]/Tabela6[[#This Row],[CONSUMO]]</f>
        <v>5.79</v>
      </c>
      <c r="M658" s="50">
        <f>Tabela6[[#This Row],[KM ATUAL]]-E631</f>
        <v>522484</v>
      </c>
      <c r="N658" s="51">
        <f>Tabela6[[#This Row],[KM Rodados ]]/Tabela6[[#This Row],[CONSUMO]]</f>
        <v>3629.6213963181663</v>
      </c>
    </row>
    <row r="659" spans="1:14" x14ac:dyDescent="0.25">
      <c r="A659" s="47">
        <v>58401</v>
      </c>
      <c r="B659" s="78">
        <v>45006</v>
      </c>
      <c r="C659" s="47" t="s">
        <v>20</v>
      </c>
      <c r="D659" s="47" t="s">
        <v>278</v>
      </c>
      <c r="E659" s="47">
        <v>237894</v>
      </c>
      <c r="G659" s="50" t="s">
        <v>89</v>
      </c>
      <c r="H659" s="51">
        <v>61.8</v>
      </c>
      <c r="J659" s="51">
        <v>5.89</v>
      </c>
      <c r="K659" s="52">
        <f>Tabela6[[#This Row],[CONSUMO]]*Tabela6[[#This Row],[VALOR UNIT]]-Tabela6[[#This Row],[DESCONTO]]</f>
        <v>364.00199999999995</v>
      </c>
      <c r="L659" s="53">
        <f>Tabela6[[#This Row],[CUSTO TOTAL]]/Tabela6[[#This Row],[CONSUMO]]</f>
        <v>5.89</v>
      </c>
      <c r="M659" s="50">
        <f>Tabela6[[#This Row],[KM ATUAL]]-E621</f>
        <v>110228</v>
      </c>
      <c r="N659" s="51">
        <f>Tabela6[[#This Row],[KM Rodados ]]/Tabela6[[#This Row],[CONSUMO]]</f>
        <v>1783.6245954692558</v>
      </c>
    </row>
    <row r="660" spans="1:14" x14ac:dyDescent="0.25">
      <c r="A660" s="47">
        <v>280680</v>
      </c>
      <c r="B660" s="78">
        <v>45006</v>
      </c>
      <c r="C660" s="47" t="s">
        <v>23</v>
      </c>
      <c r="D660" s="49" t="s">
        <v>276</v>
      </c>
      <c r="E660" s="47">
        <v>216826</v>
      </c>
      <c r="G660" s="50" t="s">
        <v>89</v>
      </c>
      <c r="H660" s="51">
        <v>59.9</v>
      </c>
      <c r="J660" s="51">
        <v>5.99</v>
      </c>
      <c r="K660" s="51">
        <f>Tabela6[[#This Row],[CONSUMO]]*Tabela6[[#This Row],[VALOR UNIT]]-Tabela6[[#This Row],[DESCONTO]]</f>
        <v>358.80099999999999</v>
      </c>
      <c r="L660" s="53">
        <f>Tabela6[[#This Row],[CUSTO TOTAL]]/Tabela6[[#This Row],[CONSUMO]]</f>
        <v>5.99</v>
      </c>
      <c r="M660" s="50">
        <f>Tabela6[[#This Row],[KM ATUAL]]-E643</f>
        <v>-135873</v>
      </c>
      <c r="N660" s="51">
        <f>Tabela6[[#This Row],[KM Rodados ]]/Tabela6[[#This Row],[CONSUMO]]</f>
        <v>-2268.3305509181969</v>
      </c>
    </row>
    <row r="661" spans="1:14" x14ac:dyDescent="0.25">
      <c r="A661" s="47">
        <v>65613</v>
      </c>
      <c r="B661" s="78">
        <v>45006</v>
      </c>
      <c r="C661" s="47" t="s">
        <v>74</v>
      </c>
      <c r="D661" s="49" t="s">
        <v>263</v>
      </c>
      <c r="E661" s="47">
        <v>41516</v>
      </c>
      <c r="G661" s="50" t="s">
        <v>89</v>
      </c>
      <c r="H661" s="51">
        <v>51.64</v>
      </c>
      <c r="I661" s="49">
        <v>5.17</v>
      </c>
      <c r="J661" s="51">
        <v>5.69</v>
      </c>
      <c r="K661" s="51">
        <f>Tabela6[[#This Row],[CONSUMO]]*Tabela6[[#This Row],[VALOR UNIT]]-Tabela6[[#This Row],[DESCONTO]]</f>
        <v>288.66160000000002</v>
      </c>
      <c r="L661" s="53">
        <f>Tabela6[[#This Row],[CUSTO TOTAL]]/Tabela6[[#This Row],[CONSUMO]]</f>
        <v>5.5898838109992255</v>
      </c>
      <c r="M661" s="50">
        <f>Tabela6[[#This Row],[KM ATUAL]]-E647</f>
        <v>460</v>
      </c>
      <c r="N661" s="51">
        <f>Tabela6[[#This Row],[KM Rodados ]]/Tabela6[[#This Row],[CONSUMO]]</f>
        <v>8.9078233927188233</v>
      </c>
    </row>
    <row r="662" spans="1:14" x14ac:dyDescent="0.25">
      <c r="A662" s="47">
        <v>653274</v>
      </c>
      <c r="B662" s="78">
        <v>45007</v>
      </c>
      <c r="C662" s="47" t="s">
        <v>68</v>
      </c>
      <c r="D662" s="49" t="s">
        <v>274</v>
      </c>
      <c r="E662" s="47">
        <v>871705</v>
      </c>
      <c r="G662" s="50" t="s">
        <v>89</v>
      </c>
      <c r="H662" s="51">
        <v>370</v>
      </c>
      <c r="J662" s="51">
        <v>5.49</v>
      </c>
      <c r="K662" s="51">
        <f>Tabela6[[#This Row],[CONSUMO]]*Tabela6[[#This Row],[VALOR UNIT]]-Tabela6[[#This Row],[DESCONTO]]</f>
        <v>2031.3000000000002</v>
      </c>
      <c r="L662" s="53">
        <f>Tabela6[[#This Row],[CUSTO TOTAL]]/Tabela6[[#This Row],[CONSUMO]]</f>
        <v>5.49</v>
      </c>
      <c r="M662" s="50">
        <f>Tabela6[[#This Row],[KM ATUAL]]-E650</f>
        <v>759519</v>
      </c>
      <c r="N662" s="51">
        <f>Tabela6[[#This Row],[KM Rodados ]]/Tabela6[[#This Row],[CONSUMO]]</f>
        <v>2052.754054054054</v>
      </c>
    </row>
    <row r="663" spans="1:14" x14ac:dyDescent="0.25">
      <c r="A663" s="47">
        <v>281009</v>
      </c>
      <c r="B663" s="78">
        <v>45007</v>
      </c>
      <c r="C663" s="47" t="s">
        <v>42</v>
      </c>
      <c r="D663" s="49" t="s">
        <v>276</v>
      </c>
      <c r="E663" s="47">
        <v>359157</v>
      </c>
      <c r="G663" s="50" t="s">
        <v>89</v>
      </c>
      <c r="H663" s="51">
        <v>68.450999999999993</v>
      </c>
      <c r="J663" s="51">
        <v>5.99</v>
      </c>
      <c r="K663" s="52">
        <f>Tabela6[[#This Row],[CONSUMO]]*Tabela6[[#This Row],[VALOR UNIT]]-Tabela6[[#This Row],[DESCONTO]]</f>
        <v>410.02148999999997</v>
      </c>
      <c r="L663" s="53">
        <f>Tabela6[[#This Row],[CUSTO TOTAL]]/Tabela6[[#This Row],[CONSUMO]]</f>
        <v>5.99</v>
      </c>
      <c r="M663" s="50"/>
    </row>
    <row r="664" spans="1:14" x14ac:dyDescent="0.25">
      <c r="A664" s="47">
        <v>328676</v>
      </c>
      <c r="B664" s="78">
        <v>45007</v>
      </c>
      <c r="C664" s="47" t="s">
        <v>64</v>
      </c>
      <c r="D664" s="49" t="s">
        <v>253</v>
      </c>
      <c r="E664" s="47">
        <v>72946</v>
      </c>
      <c r="G664" s="50" t="s">
        <v>89</v>
      </c>
      <c r="H664" s="51">
        <v>137.43</v>
      </c>
      <c r="I664" s="49">
        <v>41.23</v>
      </c>
      <c r="J664" s="51">
        <v>6.29</v>
      </c>
      <c r="K664" s="51">
        <f>Tabela6[[#This Row],[CONSUMO]]*Tabela6[[#This Row],[VALOR UNIT]]-Tabela6[[#This Row],[DESCONTO]]</f>
        <v>823.2047</v>
      </c>
      <c r="L664" s="53">
        <f>Tabela6[[#This Row],[CUSTO TOTAL]]/Tabela6[[#This Row],[CONSUMO]]</f>
        <v>5.9899927235683617</v>
      </c>
      <c r="M664" s="50">
        <f>Tabela6[[#This Row],[KM ATUAL]]-E635</f>
        <v>-853972</v>
      </c>
      <c r="N664" s="51">
        <f>Tabela6[[#This Row],[KM Rodados ]]/Tabela6[[#This Row],[CONSUMO]]</f>
        <v>-6213.8688787018846</v>
      </c>
    </row>
    <row r="665" spans="1:14" x14ac:dyDescent="0.25">
      <c r="A665" s="47">
        <v>263225</v>
      </c>
      <c r="B665" s="78">
        <v>45007</v>
      </c>
      <c r="C665" s="47" t="s">
        <v>21</v>
      </c>
      <c r="D665" s="49" t="s">
        <v>270</v>
      </c>
      <c r="E665" s="47">
        <v>131896</v>
      </c>
      <c r="G665" s="50" t="s">
        <v>89</v>
      </c>
      <c r="H665" s="51">
        <v>194.8</v>
      </c>
      <c r="J665" s="51">
        <v>5.79</v>
      </c>
      <c r="K665" s="52">
        <f>Tabela6[[#This Row],[CONSUMO]]*Tabela6[[#This Row],[VALOR UNIT]]-Tabela6[[#This Row],[DESCONTO]]</f>
        <v>1127.8920000000001</v>
      </c>
      <c r="L665" s="53">
        <f>Tabela6[[#This Row],[CUSTO TOTAL]]/Tabela6[[#This Row],[CONSUMO]]</f>
        <v>5.79</v>
      </c>
      <c r="M665" s="50">
        <f>Tabela6[[#This Row],[KM ATUAL]]-E564</f>
        <v>22158</v>
      </c>
      <c r="N665" s="51">
        <f>Tabela6[[#This Row],[KM Rodados ]]/Tabela6[[#This Row],[CONSUMO]]</f>
        <v>113.74743326488705</v>
      </c>
    </row>
    <row r="666" spans="1:14" x14ac:dyDescent="0.25">
      <c r="A666" s="47">
        <v>328687</v>
      </c>
      <c r="B666" s="78">
        <v>45007</v>
      </c>
      <c r="C666" s="47" t="s">
        <v>41</v>
      </c>
      <c r="D666" s="49" t="s">
        <v>253</v>
      </c>
      <c r="E666" s="47">
        <v>652817</v>
      </c>
      <c r="G666" s="50" t="s">
        <v>89</v>
      </c>
      <c r="H666" s="51">
        <v>155.01</v>
      </c>
      <c r="I666" s="49">
        <v>46.5</v>
      </c>
      <c r="J666" s="51">
        <v>6.29</v>
      </c>
      <c r="K666" s="51">
        <f>Tabela6[[#This Row],[CONSUMO]]*Tabela6[[#This Row],[VALOR UNIT]]-Tabela6[[#This Row],[DESCONTO]]</f>
        <v>928.51289999999995</v>
      </c>
      <c r="L666" s="53">
        <f>Tabela6[[#This Row],[CUSTO TOTAL]]/Tabela6[[#This Row],[CONSUMO]]</f>
        <v>5.9900193535900907</v>
      </c>
      <c r="M666" s="50">
        <f>Tabela6[[#This Row],[KM ATUAL]]-E635</f>
        <v>-274101</v>
      </c>
      <c r="N666" s="51">
        <f>Tabela6[[#This Row],[KM Rodados ]]/Tabela6[[#This Row],[CONSUMO]]</f>
        <v>-1768.2794658409136</v>
      </c>
    </row>
    <row r="667" spans="1:14" x14ac:dyDescent="0.25">
      <c r="A667" s="47">
        <v>329587</v>
      </c>
      <c r="B667" s="78">
        <v>45007</v>
      </c>
      <c r="C667" s="47" t="s">
        <v>15</v>
      </c>
      <c r="D667" s="49" t="s">
        <v>271</v>
      </c>
      <c r="E667" s="47">
        <v>353727</v>
      </c>
      <c r="G667" s="50" t="s">
        <v>89</v>
      </c>
      <c r="H667" s="51">
        <v>78</v>
      </c>
      <c r="J667" s="51">
        <v>5.79</v>
      </c>
      <c r="K667" s="51">
        <f>Tabela6[[#This Row],[CONSUMO]]*Tabela6[[#This Row],[VALOR UNIT]]-Tabela6[[#This Row],[DESCONTO]]</f>
        <v>451.62</v>
      </c>
      <c r="L667" s="53">
        <f>Tabela6[[#This Row],[CUSTO TOTAL]]/Tabela6[[#This Row],[CONSUMO]]</f>
        <v>5.79</v>
      </c>
      <c r="M667" s="50">
        <f>Tabela6[[#This Row],[KM ATUAL]]-E644</f>
        <v>487</v>
      </c>
      <c r="N667" s="51">
        <f>Tabela6[[#This Row],[KM Rodados ]]/Tabela6[[#This Row],[CONSUMO]]</f>
        <v>6.2435897435897436</v>
      </c>
    </row>
    <row r="668" spans="1:14" x14ac:dyDescent="0.25">
      <c r="A668" s="47">
        <v>521901</v>
      </c>
      <c r="B668" s="78">
        <v>45007</v>
      </c>
      <c r="C668" s="47" t="s">
        <v>38</v>
      </c>
      <c r="D668" s="49" t="s">
        <v>255</v>
      </c>
      <c r="E668" s="47">
        <v>126594</v>
      </c>
      <c r="G668" s="50" t="s">
        <v>244</v>
      </c>
      <c r="H668" s="51">
        <v>52.27</v>
      </c>
      <c r="J668" s="51">
        <v>5.64</v>
      </c>
      <c r="K668" s="51">
        <f>Tabela6[[#This Row],[CONSUMO]]*Tabela6[[#This Row],[VALOR UNIT]]-Tabela6[[#This Row],[DESCONTO]]</f>
        <v>294.80279999999999</v>
      </c>
      <c r="L668" s="53">
        <f>Tabela6[[#This Row],[CUSTO TOTAL]]/Tabela6[[#This Row],[CONSUMO]]</f>
        <v>5.64</v>
      </c>
      <c r="M668" s="50">
        <f>Tabela6[[#This Row],[KM ATUAL]]-E583</f>
        <v>12881</v>
      </c>
      <c r="N668" s="51">
        <f>Tabela6[[#This Row],[KM Rodados ]]/Tabela6[[#This Row],[CONSUMO]]</f>
        <v>246.43198775588291</v>
      </c>
    </row>
    <row r="669" spans="1:14" x14ac:dyDescent="0.25">
      <c r="A669" s="47">
        <v>855690</v>
      </c>
      <c r="B669" s="78">
        <v>45007</v>
      </c>
      <c r="C669" s="47" t="s">
        <v>23</v>
      </c>
      <c r="D669" s="49" t="s">
        <v>233</v>
      </c>
      <c r="E669" s="47">
        <v>217076</v>
      </c>
      <c r="G669" s="50" t="s">
        <v>89</v>
      </c>
      <c r="H669" s="51">
        <v>51.24</v>
      </c>
      <c r="J669" s="51">
        <v>5.79</v>
      </c>
      <c r="K669" s="52">
        <f>Tabela6[[#This Row],[CONSUMO]]*Tabela6[[#This Row],[VALOR UNIT]]-Tabela6[[#This Row],[DESCONTO]]</f>
        <v>296.67959999999999</v>
      </c>
      <c r="L669" s="53">
        <f>Tabela6[[#This Row],[CUSTO TOTAL]]/Tabela6[[#This Row],[CONSUMO]]</f>
        <v>5.79</v>
      </c>
      <c r="M669" s="50">
        <f>Tabela6[[#This Row],[KM ATUAL]]-E656</f>
        <v>133638</v>
      </c>
      <c r="N669" s="51">
        <f>Tabela6[[#This Row],[KM Rodados ]]/Tabela6[[#This Row],[CONSUMO]]</f>
        <v>2608.0796252927398</v>
      </c>
    </row>
    <row r="670" spans="1:14" x14ac:dyDescent="0.25">
      <c r="A670" s="47" t="s">
        <v>314</v>
      </c>
      <c r="B670" s="78">
        <v>45007</v>
      </c>
      <c r="C670" s="47" t="s">
        <v>40</v>
      </c>
      <c r="E670" s="47">
        <v>129137</v>
      </c>
      <c r="G670" s="50" t="s">
        <v>244</v>
      </c>
      <c r="H670" s="51">
        <v>41.5</v>
      </c>
      <c r="K670" s="52">
        <f>Tabela6[[#This Row],[CONSUMO]]*Tabela6[[#This Row],[VALOR UNIT]]-Tabela6[[#This Row],[DESCONTO]]</f>
        <v>0</v>
      </c>
      <c r="L670" s="53">
        <f>Tabela6[[#This Row],[CUSTO TOTAL]]/Tabela6[[#This Row],[CONSUMO]]</f>
        <v>0</v>
      </c>
      <c r="M670" s="50">
        <f>Tabela6[[#This Row],[KM ATUAL]]-E669</f>
        <v>-87939</v>
      </c>
      <c r="N670" s="51">
        <f>Tabela6[[#This Row],[KM Rodados ]]/Tabela6[[#This Row],[CONSUMO]]</f>
        <v>-2119.0120481927711</v>
      </c>
    </row>
    <row r="671" spans="1:14" ht="13.7" customHeight="1" x14ac:dyDescent="0.25">
      <c r="A671" s="47">
        <v>238386</v>
      </c>
      <c r="B671" s="78">
        <v>45008</v>
      </c>
      <c r="C671" s="47" t="s">
        <v>43</v>
      </c>
      <c r="D671" s="49" t="s">
        <v>263</v>
      </c>
      <c r="E671" s="47">
        <v>112317</v>
      </c>
      <c r="G671" s="50" t="s">
        <v>89</v>
      </c>
      <c r="H671" s="51">
        <v>19.681000000000001</v>
      </c>
      <c r="I671" s="49">
        <v>2.67</v>
      </c>
      <c r="J671" s="51">
        <v>5.69</v>
      </c>
      <c r="K671" s="52">
        <f>Tabela6[[#This Row],[CONSUMO]]*Tabela6[[#This Row],[VALOR UNIT]]-Tabela6[[#This Row],[DESCONTO]]</f>
        <v>109.31489000000001</v>
      </c>
      <c r="L671" s="53">
        <f>Tabela6[[#This Row],[CUSTO TOTAL]]/Tabela6[[#This Row],[CONSUMO]]</f>
        <v>5.5543361617803972</v>
      </c>
      <c r="M671" s="50">
        <f>Tabela6[[#This Row],[KM ATUAL]]-E646</f>
        <v>-16331</v>
      </c>
      <c r="N671" s="72">
        <f>Tabela6[[#This Row],[KM Rodados ]]/Tabela6[[#This Row],[CONSUMO]]</f>
        <v>-829.78507189675315</v>
      </c>
    </row>
    <row r="672" spans="1:14" x14ac:dyDescent="0.25">
      <c r="A672" s="47">
        <v>238540</v>
      </c>
      <c r="B672" s="78">
        <v>45008</v>
      </c>
      <c r="C672" s="47" t="s">
        <v>43</v>
      </c>
      <c r="D672" s="49" t="s">
        <v>263</v>
      </c>
      <c r="E672" s="47">
        <v>112505</v>
      </c>
      <c r="G672" s="50" t="s">
        <v>89</v>
      </c>
      <c r="H672" s="51">
        <v>22.010999999999999</v>
      </c>
      <c r="I672" s="49">
        <v>4.2</v>
      </c>
      <c r="J672" s="51">
        <v>5.69</v>
      </c>
      <c r="K672" s="51">
        <f>Tabela6[[#This Row],[CONSUMO]]*Tabela6[[#This Row],[VALOR UNIT]]-Tabela6[[#This Row],[DESCONTO]]</f>
        <v>121.04259</v>
      </c>
      <c r="L672" s="53">
        <f>Tabela6[[#This Row],[CUSTO TOTAL]]/Tabela6[[#This Row],[CONSUMO]]</f>
        <v>5.4991863159329428</v>
      </c>
      <c r="M672" s="50">
        <f>Tabela6[[#This Row],[KM ATUAL]]-E671</f>
        <v>188</v>
      </c>
      <c r="N672" s="72">
        <f>Tabela6[[#This Row],[KM Rodados ]]/Tabela6[[#This Row],[CONSUMO]]</f>
        <v>8.5411839534778071</v>
      </c>
    </row>
    <row r="673" spans="1:14" x14ac:dyDescent="0.25">
      <c r="A673" s="47">
        <v>281317</v>
      </c>
      <c r="B673" s="78">
        <v>45008</v>
      </c>
      <c r="C673" s="47" t="s">
        <v>215</v>
      </c>
      <c r="D673" s="49" t="s">
        <v>276</v>
      </c>
      <c r="E673" s="47">
        <v>219672</v>
      </c>
      <c r="G673" s="50" t="s">
        <v>244</v>
      </c>
      <c r="H673" s="51">
        <v>33.811</v>
      </c>
      <c r="J673" s="51">
        <v>5.39</v>
      </c>
      <c r="K673" s="51">
        <f>Tabela6[[#This Row],[CONSUMO]]*Tabela6[[#This Row],[VALOR UNIT]]-Tabela6[[#This Row],[DESCONTO]]</f>
        <v>182.24128999999999</v>
      </c>
      <c r="L673" s="53">
        <f>Tabela6[[#This Row],[CUSTO TOTAL]]/Tabela6[[#This Row],[CONSUMO]]</f>
        <v>5.39</v>
      </c>
      <c r="M673" s="50">
        <f>Tabela6[[#This Row],[KM ATUAL]]-E608</f>
        <v>34636</v>
      </c>
      <c r="N673" s="51">
        <f>Tabela6[[#This Row],[KM Rodados ]]/H608</f>
        <v>59.481366992958961</v>
      </c>
    </row>
    <row r="674" spans="1:14" x14ac:dyDescent="0.25">
      <c r="A674" s="47" t="s">
        <v>314</v>
      </c>
      <c r="B674" s="78">
        <v>45008</v>
      </c>
      <c r="C674" s="47" t="s">
        <v>72</v>
      </c>
      <c r="E674" s="47">
        <v>378354</v>
      </c>
      <c r="G674" s="50" t="s">
        <v>89</v>
      </c>
      <c r="H674" s="51">
        <v>49.21</v>
      </c>
      <c r="K674" s="52">
        <f>Tabela6[[#This Row],[CONSUMO]]*Tabela6[[#This Row],[VALOR UNIT]]-Tabela6[[#This Row],[DESCONTO]]</f>
        <v>0</v>
      </c>
      <c r="L674" s="53">
        <f>Tabela6[[#This Row],[CUSTO TOTAL]]/Tabela6[[#This Row],[CONSUMO]]</f>
        <v>0</v>
      </c>
      <c r="M674" s="50">
        <f>Tabela6[[#This Row],[KM ATUAL]]-E617</f>
        <v>78565</v>
      </c>
      <c r="N674" s="51">
        <f>Tabela6[[#This Row],[KM Rodados ]]/Tabela6[[#This Row],[CONSUMO]]</f>
        <v>1596.5250965250964</v>
      </c>
    </row>
    <row r="675" spans="1:14" x14ac:dyDescent="0.25">
      <c r="A675" s="47" t="s">
        <v>314</v>
      </c>
      <c r="B675" s="78">
        <v>45008</v>
      </c>
      <c r="C675" s="47" t="s">
        <v>72</v>
      </c>
      <c r="E675" s="47">
        <v>378608</v>
      </c>
      <c r="G675" s="50" t="s">
        <v>89</v>
      </c>
      <c r="H675" s="51">
        <v>29.51</v>
      </c>
      <c r="K675" s="52">
        <f>Tabela6[[#This Row],[CONSUMO]]*Tabela6[[#This Row],[VALOR UNIT]]-Tabela6[[#This Row],[DESCONTO]]</f>
        <v>0</v>
      </c>
      <c r="L675" s="53">
        <f>Tabela6[[#This Row],[CUSTO TOTAL]]/Tabela6[[#This Row],[CONSUMO]]</f>
        <v>0</v>
      </c>
      <c r="M675" s="50">
        <f>Tabela6[[#This Row],[KM ATUAL]]-E674</f>
        <v>254</v>
      </c>
      <c r="N675" s="51">
        <f>Tabela6[[#This Row],[KM Rodados ]]/Tabela6[[#This Row],[CONSUMO]]</f>
        <v>8.6072517790579468</v>
      </c>
    </row>
    <row r="676" spans="1:14" x14ac:dyDescent="0.25">
      <c r="A676" s="47" t="s">
        <v>314</v>
      </c>
      <c r="B676" s="78">
        <v>45008</v>
      </c>
      <c r="C676" s="47" t="s">
        <v>72</v>
      </c>
      <c r="E676" s="47">
        <v>378863</v>
      </c>
      <c r="G676" s="50" t="s">
        <v>89</v>
      </c>
      <c r="H676" s="51">
        <v>32.1</v>
      </c>
      <c r="K676" s="52">
        <f>Tabela6[[#This Row],[CONSUMO]]*Tabela6[[#This Row],[VALOR UNIT]]-Tabela6[[#This Row],[DESCONTO]]</f>
        <v>0</v>
      </c>
      <c r="L676" s="53">
        <f>Tabela6[[#This Row],[CUSTO TOTAL]]/Tabela6[[#This Row],[CONSUMO]]</f>
        <v>0</v>
      </c>
      <c r="M676" s="50">
        <f>Tabela6[[#This Row],[KM ATUAL]]-E675</f>
        <v>255</v>
      </c>
      <c r="N676" s="51">
        <f>Tabela6[[#This Row],[KM Rodados ]]/Tabela6[[#This Row],[CONSUMO]]</f>
        <v>7.9439252336448591</v>
      </c>
    </row>
    <row r="677" spans="1:14" x14ac:dyDescent="0.25">
      <c r="A677" s="47">
        <v>58614</v>
      </c>
      <c r="B677" s="78">
        <v>45008</v>
      </c>
      <c r="C677" s="47" t="s">
        <v>72</v>
      </c>
      <c r="D677" s="47" t="s">
        <v>278</v>
      </c>
      <c r="E677" s="47">
        <v>379141</v>
      </c>
      <c r="G677" s="50" t="s">
        <v>89</v>
      </c>
      <c r="H677" s="51">
        <v>36.381</v>
      </c>
      <c r="J677" s="51">
        <v>5.89</v>
      </c>
      <c r="K677" s="52">
        <f>Tabela6[[#This Row],[CONSUMO]]*Tabela6[[#This Row],[VALOR UNIT]]-Tabela6[[#This Row],[DESCONTO]]</f>
        <v>214.28408999999999</v>
      </c>
      <c r="L677" s="53">
        <f>Tabela6[[#This Row],[CUSTO TOTAL]]/Tabela6[[#This Row],[CONSUMO]]</f>
        <v>5.89</v>
      </c>
      <c r="M677" s="50">
        <f>Tabela6[[#This Row],[KM ATUAL]]-E676</f>
        <v>278</v>
      </c>
      <c r="N677" s="51">
        <f>Tabela6[[#This Row],[KM Rodados ]]/Tabela6[[#This Row],[CONSUMO]]</f>
        <v>7.6413512547758442</v>
      </c>
    </row>
    <row r="678" spans="1:14" x14ac:dyDescent="0.25">
      <c r="A678" s="47">
        <v>238410</v>
      </c>
      <c r="B678" s="78">
        <v>45008</v>
      </c>
      <c r="C678" s="47" t="s">
        <v>71</v>
      </c>
      <c r="D678" s="49" t="s">
        <v>263</v>
      </c>
      <c r="E678" s="47">
        <v>92095</v>
      </c>
      <c r="G678" s="50" t="s">
        <v>89</v>
      </c>
      <c r="H678" s="51">
        <v>624.78099999999995</v>
      </c>
      <c r="I678" s="49">
        <v>62.48</v>
      </c>
      <c r="J678" s="51">
        <v>5.69</v>
      </c>
      <c r="K678" s="51">
        <f>Tabela6[[#This Row],[CONSUMO]]*Tabela6[[#This Row],[VALOR UNIT]]-Tabela6[[#This Row],[DESCONTO]]</f>
        <v>3492.5238899999999</v>
      </c>
      <c r="L678" s="53">
        <f>Tabela6[[#This Row],[CUSTO TOTAL]]/Tabela6[[#This Row],[CONSUMO]]</f>
        <v>5.5899969589344112</v>
      </c>
      <c r="M678" s="50">
        <f>Tabela6[[#This Row],[KM ATUAL]]-E591</f>
        <v>-35080</v>
      </c>
      <c r="N678" s="51">
        <f>Tabela6[[#This Row],[KM Rodados ]]/Tabela6[[#This Row],[CONSUMO]]</f>
        <v>-56.147674145020417</v>
      </c>
    </row>
    <row r="679" spans="1:14" x14ac:dyDescent="0.25">
      <c r="A679" s="47">
        <v>329159</v>
      </c>
      <c r="B679" s="78">
        <v>45008</v>
      </c>
      <c r="C679" s="47" t="s">
        <v>11</v>
      </c>
      <c r="D679" s="49" t="s">
        <v>253</v>
      </c>
      <c r="E679" s="47">
        <v>388236</v>
      </c>
      <c r="G679" s="50" t="s">
        <v>89</v>
      </c>
      <c r="H679" s="51">
        <v>94.91</v>
      </c>
      <c r="I679" s="49">
        <v>28.47</v>
      </c>
      <c r="J679" s="51">
        <v>6.29</v>
      </c>
      <c r="K679" s="51">
        <f>Tabela6[[#This Row],[CONSUMO]]*Tabela6[[#This Row],[VALOR UNIT]]-Tabela6[[#This Row],[DESCONTO]]</f>
        <v>568.51389999999992</v>
      </c>
      <c r="L679" s="53">
        <f>Tabela6[[#This Row],[CUSTO TOTAL]]/Tabela6[[#This Row],[CONSUMO]]</f>
        <v>5.9900316088926342</v>
      </c>
      <c r="M679" s="50">
        <f>Tabela6[[#This Row],[KM ATUAL]]-E594</f>
        <v>277738</v>
      </c>
      <c r="N679" s="51">
        <f>Tabela6[[#This Row],[KM Rodados ]]/Tabela6[[#This Row],[CONSUMO]]</f>
        <v>2926.3302075650618</v>
      </c>
    </row>
    <row r="680" spans="1:14" x14ac:dyDescent="0.25">
      <c r="A680" s="47">
        <v>20424</v>
      </c>
      <c r="B680" s="78">
        <v>45008</v>
      </c>
      <c r="C680" s="47" t="s">
        <v>13</v>
      </c>
      <c r="D680" s="49" t="s">
        <v>277</v>
      </c>
      <c r="E680" s="47">
        <v>606192</v>
      </c>
      <c r="G680" s="50" t="s">
        <v>89</v>
      </c>
      <c r="H680" s="51">
        <v>148.8964</v>
      </c>
      <c r="J680" s="51">
        <v>5.89</v>
      </c>
      <c r="K680" s="51">
        <f>Tabela6[[#This Row],[CONSUMO]]*Tabela6[[#This Row],[VALOR UNIT]]-Tabela6[[#This Row],[DESCONTO]]</f>
        <v>876.99979599999995</v>
      </c>
      <c r="L680" s="53">
        <f>Tabela6[[#This Row],[CUSTO TOTAL]]/Tabela6[[#This Row],[CONSUMO]]</f>
        <v>5.89</v>
      </c>
      <c r="M680" s="50">
        <f>Tabela6[[#This Row],[KM ATUAL]]-E667</f>
        <v>252465</v>
      </c>
      <c r="N680" s="51">
        <f>Tabela6[[#This Row],[KM Rodados ]]/Tabela6[[#This Row],[CONSUMO]]</f>
        <v>1695.5749098030576</v>
      </c>
    </row>
    <row r="681" spans="1:14" x14ac:dyDescent="0.25">
      <c r="A681" s="47" t="s">
        <v>314</v>
      </c>
      <c r="B681" s="78">
        <v>45008</v>
      </c>
      <c r="C681" s="47" t="s">
        <v>20</v>
      </c>
      <c r="E681" s="47">
        <v>238344</v>
      </c>
      <c r="G681" s="50" t="s">
        <v>89</v>
      </c>
      <c r="H681" s="51">
        <v>61.25</v>
      </c>
      <c r="K681" s="52">
        <f>Tabela6[[#This Row],[CONSUMO]]*Tabela6[[#This Row],[VALOR UNIT]]-Tabela6[[#This Row],[DESCONTO]]</f>
        <v>0</v>
      </c>
      <c r="L681" s="53">
        <f>Tabela6[[#This Row],[CUSTO TOTAL]]/Tabela6[[#This Row],[CONSUMO]]</f>
        <v>0</v>
      </c>
      <c r="M681" s="50">
        <f>Tabela6[[#This Row],[KM ATUAL]]-E662</f>
        <v>-633361</v>
      </c>
      <c r="N681" s="72">
        <f>Tabela6[[#This Row],[KM Rodados ]]/Tabela6[[#This Row],[CONSUMO]]</f>
        <v>-10340.58775510204</v>
      </c>
    </row>
    <row r="682" spans="1:14" x14ac:dyDescent="0.25">
      <c r="A682" s="47">
        <v>281364</v>
      </c>
      <c r="B682" s="78">
        <v>45008</v>
      </c>
      <c r="C682" s="47" t="s">
        <v>20</v>
      </c>
      <c r="D682" s="49" t="s">
        <v>276</v>
      </c>
      <c r="E682" s="47">
        <v>238843</v>
      </c>
      <c r="G682" s="50" t="s">
        <v>89</v>
      </c>
      <c r="H682" s="51">
        <v>64</v>
      </c>
      <c r="J682" s="51">
        <v>5.99</v>
      </c>
      <c r="K682" s="52">
        <f>Tabela6[[#This Row],[CONSUMO]]*Tabela6[[#This Row],[VALOR UNIT]]-Tabela6[[#This Row],[DESCONTO]]</f>
        <v>383.36</v>
      </c>
      <c r="L682" s="53">
        <f>Tabela6[[#This Row],[CUSTO TOTAL]]/Tabela6[[#This Row],[CONSUMO]]</f>
        <v>5.99</v>
      </c>
      <c r="M682" s="50">
        <f>Tabela6[[#This Row],[KM ATUAL]]-E681</f>
        <v>499</v>
      </c>
      <c r="N682" s="51">
        <f>Tabela6[[#This Row],[KM Rodados ]]/Tabela6[[#This Row],[CONSUMO]]</f>
        <v>7.796875</v>
      </c>
    </row>
    <row r="683" spans="1:14" x14ac:dyDescent="0.25">
      <c r="A683" s="47" t="s">
        <v>314</v>
      </c>
      <c r="B683" s="78">
        <v>45008</v>
      </c>
      <c r="C683" s="47" t="s">
        <v>40</v>
      </c>
      <c r="E683" s="47">
        <v>129633</v>
      </c>
      <c r="G683" s="50" t="s">
        <v>244</v>
      </c>
      <c r="H683" s="51">
        <v>40</v>
      </c>
      <c r="K683" s="52">
        <f>Tabela6[[#This Row],[CONSUMO]]*Tabela6[[#This Row],[VALOR UNIT]]-Tabela6[[#This Row],[DESCONTO]]</f>
        <v>0</v>
      </c>
      <c r="L683" s="53">
        <f>Tabela6[[#This Row],[CUSTO TOTAL]]/Tabela6[[#This Row],[CONSUMO]]</f>
        <v>0</v>
      </c>
      <c r="M683" s="50">
        <f>Tabela6[[#This Row],[KM ATUAL]]-E682</f>
        <v>-109210</v>
      </c>
      <c r="N683" s="51">
        <f>Tabela6[[#This Row],[KM Rodados ]]/Tabela6[[#This Row],[CONSUMO]]</f>
        <v>-2730.25</v>
      </c>
    </row>
    <row r="684" spans="1:14" x14ac:dyDescent="0.25">
      <c r="A684" s="47" t="s">
        <v>314</v>
      </c>
      <c r="B684" s="78">
        <v>45008</v>
      </c>
      <c r="C684" s="47" t="s">
        <v>74</v>
      </c>
      <c r="E684" s="47">
        <v>42018</v>
      </c>
      <c r="G684" s="50" t="s">
        <v>89</v>
      </c>
      <c r="H684" s="51">
        <v>62.25</v>
      </c>
      <c r="K684" s="52">
        <f>Tabela6[[#This Row],[CONSUMO]]*Tabela6[[#This Row],[VALOR UNIT]]-Tabela6[[#This Row],[DESCONTO]]</f>
        <v>0</v>
      </c>
      <c r="L684" s="53">
        <f>Tabela6[[#This Row],[CUSTO TOTAL]]/Tabela6[[#This Row],[CONSUMO]]</f>
        <v>0</v>
      </c>
      <c r="M684" s="50">
        <f>Tabela6[[#This Row],[KM ATUAL]]-E655</f>
        <v>-41045</v>
      </c>
      <c r="N684" s="51">
        <f>Tabela6[[#This Row],[KM Rodados ]]/Tabela6[[#This Row],[CONSUMO]]</f>
        <v>-659.35742971887555</v>
      </c>
    </row>
    <row r="685" spans="1:14" x14ac:dyDescent="0.25">
      <c r="A685" s="47">
        <v>330041</v>
      </c>
      <c r="B685" s="78">
        <v>45009</v>
      </c>
      <c r="C685" s="47" t="s">
        <v>39</v>
      </c>
      <c r="D685" s="49" t="s">
        <v>253</v>
      </c>
      <c r="E685" s="47">
        <v>81323</v>
      </c>
      <c r="G685" s="50" t="s">
        <v>89</v>
      </c>
      <c r="H685" s="51">
        <v>96</v>
      </c>
      <c r="I685" s="49">
        <v>28.8</v>
      </c>
      <c r="J685" s="51">
        <v>6.29</v>
      </c>
      <c r="K685" s="51">
        <f>Tabela6[[#This Row],[CONSUMO]]*Tabela6[[#This Row],[VALOR UNIT]]-Tabela6[[#This Row],[DESCONTO]]</f>
        <v>575.04000000000008</v>
      </c>
      <c r="L685" s="53">
        <f>Tabela6[[#This Row],[CUSTO TOTAL]]/Tabela6[[#This Row],[CONSUMO]]</f>
        <v>5.9900000000000011</v>
      </c>
      <c r="M685" s="50">
        <f>Tabela6[[#This Row],[KM ATUAL]]-E610</f>
        <v>-106805</v>
      </c>
      <c r="N685" s="51">
        <f>Tabela6[[#This Row],[KM Rodados ]]/Tabela6[[#This Row],[CONSUMO]]</f>
        <v>-1112.5520833333333</v>
      </c>
    </row>
    <row r="686" spans="1:14" x14ac:dyDescent="0.25">
      <c r="A686" s="47">
        <v>120548</v>
      </c>
      <c r="B686" s="78">
        <v>45009</v>
      </c>
      <c r="C686" s="47" t="s">
        <v>203</v>
      </c>
      <c r="D686" s="49" t="s">
        <v>256</v>
      </c>
      <c r="E686" s="47">
        <v>83853</v>
      </c>
      <c r="G686" s="50" t="s">
        <v>244</v>
      </c>
      <c r="H686" s="51">
        <v>30.977</v>
      </c>
      <c r="J686" s="51">
        <v>5.49</v>
      </c>
      <c r="K686" s="52">
        <f>Tabela6[[#This Row],[CONSUMO]]*Tabela6[[#This Row],[VALOR UNIT]]-Tabela6[[#This Row],[DESCONTO]]</f>
        <v>170.06373000000002</v>
      </c>
      <c r="L686" s="53">
        <f>Tabela6[[#This Row],[CUSTO TOTAL]]/Tabela6[[#This Row],[CONSUMO]]</f>
        <v>5.49</v>
      </c>
      <c r="M686" s="50">
        <f>Tabela6[[#This Row],[KM ATUAL]]-E653</f>
        <v>-572978</v>
      </c>
      <c r="N686" s="51">
        <f>Tabela6[[#This Row],[KM Rodados ]]/Tabela6[[#This Row],[CONSUMO]]</f>
        <v>-18496.884785486007</v>
      </c>
    </row>
    <row r="687" spans="1:14" x14ac:dyDescent="0.25">
      <c r="A687" s="47">
        <v>170093</v>
      </c>
      <c r="B687" s="78">
        <v>45009</v>
      </c>
      <c r="C687" s="47" t="s">
        <v>15</v>
      </c>
      <c r="D687" s="49" t="s">
        <v>262</v>
      </c>
      <c r="E687" s="47">
        <v>354208</v>
      </c>
      <c r="G687" s="50" t="s">
        <v>89</v>
      </c>
      <c r="H687" s="51">
        <v>94.671000000000006</v>
      </c>
      <c r="J687" s="51">
        <v>5.89</v>
      </c>
      <c r="K687" s="51">
        <f>Tabela6[[#This Row],[CONSUMO]]*Tabela6[[#This Row],[VALOR UNIT]]-Tabela6[[#This Row],[DESCONTO]]</f>
        <v>557.61219000000006</v>
      </c>
      <c r="L687" s="53">
        <f>Tabela6[[#This Row],[CUSTO TOTAL]]/Tabela6[[#This Row],[CONSUMO]]</f>
        <v>5.8900000000000006</v>
      </c>
      <c r="M687" s="50">
        <f>Tabela6[[#This Row],[KM ATUAL]]-E670</f>
        <v>225071</v>
      </c>
      <c r="N687" s="51">
        <f>Tabela6[[#This Row],[KM Rodados ]]/Tabela6[[#This Row],[CONSUMO]]</f>
        <v>2377.401738652808</v>
      </c>
    </row>
    <row r="688" spans="1:14" x14ac:dyDescent="0.25">
      <c r="A688" s="47">
        <v>67203</v>
      </c>
      <c r="B688" s="78">
        <v>45009</v>
      </c>
      <c r="C688" s="47" t="s">
        <v>74</v>
      </c>
      <c r="D688" s="49" t="s">
        <v>263</v>
      </c>
      <c r="E688" s="47">
        <v>42566</v>
      </c>
      <c r="G688" s="50" t="s">
        <v>89</v>
      </c>
      <c r="H688" s="51">
        <v>64.8</v>
      </c>
      <c r="I688" s="49">
        <v>6.48</v>
      </c>
      <c r="J688" s="51">
        <v>5.69</v>
      </c>
      <c r="K688" s="52">
        <f>Tabela6[[#This Row],[CONSUMO]]*Tabela6[[#This Row],[VALOR UNIT]]-Tabela6[[#This Row],[DESCONTO]]</f>
        <v>362.23199999999997</v>
      </c>
      <c r="L688" s="53">
        <f>Tabela6[[#This Row],[CUSTO TOTAL]]/Tabela6[[#This Row],[CONSUMO]]</f>
        <v>5.59</v>
      </c>
      <c r="M688" s="50">
        <f>Tabela6[[#This Row],[KM ATUAL]]-E686</f>
        <v>-41287</v>
      </c>
      <c r="N688" s="51">
        <f>Tabela6[[#This Row],[KM Rodados ]]/Tabela6[[#This Row],[CONSUMO]]</f>
        <v>-637.14506172839504</v>
      </c>
    </row>
    <row r="689" spans="1:14" x14ac:dyDescent="0.25">
      <c r="A689" s="47" t="s">
        <v>314</v>
      </c>
      <c r="B689" s="78">
        <v>45010</v>
      </c>
      <c r="C689" s="47" t="s">
        <v>40</v>
      </c>
      <c r="E689" s="47">
        <v>130125</v>
      </c>
      <c r="G689" s="50" t="s">
        <v>244</v>
      </c>
      <c r="H689" s="51">
        <v>39.299999999999997</v>
      </c>
      <c r="K689" s="52">
        <f>Tabela6[[#This Row],[CONSUMO]]*Tabela6[[#This Row],[VALOR UNIT]]-Tabela6[[#This Row],[DESCONTO]]</f>
        <v>0</v>
      </c>
      <c r="L689" s="53">
        <f>Tabela6[[#This Row],[CUSTO TOTAL]]/Tabela6[[#This Row],[CONSUMO]]</f>
        <v>0</v>
      </c>
      <c r="M689" s="50">
        <f>Tabela6[[#This Row],[KM ATUAL]]-E688</f>
        <v>87559</v>
      </c>
      <c r="N689" s="51">
        <f>Tabela6[[#This Row],[KM Rodados ]]/Tabela6[[#This Row],[CONSUMO]]</f>
        <v>2227.9643765903311</v>
      </c>
    </row>
    <row r="690" spans="1:14" x14ac:dyDescent="0.25">
      <c r="A690" s="47">
        <v>317207</v>
      </c>
      <c r="B690" s="78">
        <v>45011</v>
      </c>
      <c r="C690" s="47" t="s">
        <v>68</v>
      </c>
      <c r="D690" s="49" t="s">
        <v>281</v>
      </c>
      <c r="E690" s="47">
        <v>872782</v>
      </c>
      <c r="G690" s="50" t="s">
        <v>89</v>
      </c>
      <c r="H690" s="51">
        <v>458.60700000000003</v>
      </c>
      <c r="I690" s="49">
        <v>197.2</v>
      </c>
      <c r="J690" s="51">
        <v>5.92</v>
      </c>
      <c r="K690" s="51">
        <f>Tabela6[[#This Row],[CONSUMO]]*Tabela6[[#This Row],[VALOR UNIT]]-Tabela6[[#This Row],[DESCONTO]]</f>
        <v>2517.7534400000004</v>
      </c>
      <c r="L690" s="53">
        <f>Tabela6[[#This Row],[CUSTO TOTAL]]/Tabela6[[#This Row],[CONSUMO]]</f>
        <v>5.4900022023213779</v>
      </c>
      <c r="M690" s="50">
        <f>Tabela6[[#This Row],[KM ATUAL]]-E671</f>
        <v>760465</v>
      </c>
      <c r="N690" s="51">
        <f>Tabela6[[#This Row],[KM Rodados ]]/Tabela6[[#This Row],[CONSUMO]]</f>
        <v>1658.2062637508802</v>
      </c>
    </row>
    <row r="691" spans="1:14" x14ac:dyDescent="0.25">
      <c r="A691" s="47" t="s">
        <v>314</v>
      </c>
      <c r="B691" s="78">
        <v>45011</v>
      </c>
      <c r="C691" s="47" t="s">
        <v>13</v>
      </c>
      <c r="E691" s="47">
        <v>606785</v>
      </c>
      <c r="G691" s="50" t="s">
        <v>89</v>
      </c>
      <c r="H691" s="51">
        <v>122.3</v>
      </c>
      <c r="K691" s="52">
        <f>Tabela6[[#This Row],[CONSUMO]]*Tabela6[[#This Row],[VALOR UNIT]]-Tabela6[[#This Row],[DESCONTO]]</f>
        <v>0</v>
      </c>
      <c r="L691" s="53">
        <f>Tabela6[[#This Row],[CUSTO TOTAL]]/Tabela6[[#This Row],[CONSUMO]]</f>
        <v>0</v>
      </c>
      <c r="M691" s="50">
        <f>Tabela6[[#This Row],[KM ATUAL]]-E675</f>
        <v>228177</v>
      </c>
      <c r="N691" s="51">
        <f>Tabela6[[#This Row],[KM Rodados ]]/Tabela6[[#This Row],[CONSUMO]]</f>
        <v>1865.7154538021259</v>
      </c>
    </row>
    <row r="692" spans="1:14" x14ac:dyDescent="0.25">
      <c r="A692" s="47">
        <v>383847</v>
      </c>
      <c r="B692" s="78">
        <v>45011</v>
      </c>
      <c r="C692" s="47" t="s">
        <v>13</v>
      </c>
      <c r="D692" s="49" t="s">
        <v>273</v>
      </c>
      <c r="E692" s="47">
        <v>607300</v>
      </c>
      <c r="G692" s="50" t="s">
        <v>89</v>
      </c>
      <c r="H692" s="51">
        <v>112.6</v>
      </c>
      <c r="J692" s="51">
        <v>5.69</v>
      </c>
      <c r="K692" s="52">
        <f>Tabela6[[#This Row],[CONSUMO]]*Tabela6[[#This Row],[VALOR UNIT]]-Tabela6[[#This Row],[DESCONTO]]</f>
        <v>640.69399999999996</v>
      </c>
      <c r="L692" s="53">
        <f>Tabela6[[#This Row],[CUSTO TOTAL]]/Tabela6[[#This Row],[CONSUMO]]</f>
        <v>5.6899999999999995</v>
      </c>
      <c r="M692" s="50">
        <f>Tabela6[[#This Row],[KM ATUAL]]-E691</f>
        <v>515</v>
      </c>
      <c r="N692" s="51">
        <f>Tabela6[[#This Row],[KM Rodados ]]/Tabela6[[#This Row],[CONSUMO]]</f>
        <v>4.5737122557726471</v>
      </c>
    </row>
    <row r="693" spans="1:14" x14ac:dyDescent="0.25">
      <c r="A693" s="47">
        <v>629200</v>
      </c>
      <c r="B693" s="78">
        <v>45012</v>
      </c>
      <c r="C693" s="47" t="s">
        <v>43</v>
      </c>
      <c r="D693" s="49" t="s">
        <v>250</v>
      </c>
      <c r="E693" s="47">
        <v>112761</v>
      </c>
      <c r="G693" s="50" t="s">
        <v>89</v>
      </c>
      <c r="H693" s="51">
        <v>43.56</v>
      </c>
      <c r="J693" s="51">
        <v>5.75</v>
      </c>
      <c r="K693" s="51">
        <f>Tabela6[[#This Row],[CONSUMO]]*Tabela6[[#This Row],[VALOR UNIT]]-Tabela6[[#This Row],[DESCONTO]]</f>
        <v>250.47000000000003</v>
      </c>
      <c r="L693" s="53">
        <f>Tabela6[[#This Row],[CUSTO TOTAL]]/Tabela6[[#This Row],[CONSUMO]]</f>
        <v>5.75</v>
      </c>
      <c r="M693" s="50">
        <f>Tabela6[[#This Row],[KM ATUAL]]-E679</f>
        <v>-275475</v>
      </c>
      <c r="N693" s="72">
        <f>Tabela6[[#This Row],[KM Rodados ]]/Tabela6[[#This Row],[CONSUMO]]</f>
        <v>-6324.0358126721758</v>
      </c>
    </row>
    <row r="694" spans="1:14" x14ac:dyDescent="0.25">
      <c r="A694" s="47" t="s">
        <v>314</v>
      </c>
      <c r="B694" s="78">
        <v>45012</v>
      </c>
      <c r="C694" s="47" t="s">
        <v>43</v>
      </c>
      <c r="E694" s="47">
        <v>113077</v>
      </c>
      <c r="G694" s="50" t="s">
        <v>89</v>
      </c>
      <c r="H694" s="51">
        <v>38.119999999999997</v>
      </c>
      <c r="K694" s="52">
        <f>Tabela6[[#This Row],[CONSUMO]]*Tabela6[[#This Row],[VALOR UNIT]]-Tabela6[[#This Row],[DESCONTO]]</f>
        <v>0</v>
      </c>
      <c r="L694" s="53">
        <f>Tabela6[[#This Row],[CUSTO TOTAL]]/Tabela6[[#This Row],[CONSUMO]]</f>
        <v>0</v>
      </c>
      <c r="M694" s="50">
        <f>Tabela6[[#This Row],[KM ATUAL]]-E687</f>
        <v>-241131</v>
      </c>
      <c r="N694" s="51">
        <f>Tabela6[[#This Row],[KM Rodados ]]/Tabela6[[#This Row],[CONSUMO]]</f>
        <v>-6325.5771248688361</v>
      </c>
    </row>
    <row r="695" spans="1:14" x14ac:dyDescent="0.25">
      <c r="A695" s="47">
        <v>69127</v>
      </c>
      <c r="B695" s="78">
        <v>45012</v>
      </c>
      <c r="C695" s="47" t="s">
        <v>43</v>
      </c>
      <c r="D695" s="49" t="s">
        <v>263</v>
      </c>
      <c r="E695" s="47">
        <v>113393</v>
      </c>
      <c r="G695" s="50" t="s">
        <v>89</v>
      </c>
      <c r="H695" s="51">
        <v>40.380000000000003</v>
      </c>
      <c r="I695" s="49">
        <v>4.04</v>
      </c>
      <c r="J695" s="51">
        <v>5.69</v>
      </c>
      <c r="K695" s="52">
        <f>Tabela6[[#This Row],[CONSUMO]]*Tabela6[[#This Row],[VALOR UNIT]]-Tabela6[[#This Row],[DESCONTO]]</f>
        <v>225.72220000000004</v>
      </c>
      <c r="L695" s="53">
        <f>Tabela6[[#This Row],[CUSTO TOTAL]]/Tabela6[[#This Row],[CONSUMO]]</f>
        <v>5.5899504705299661</v>
      </c>
      <c r="M695" s="50">
        <f>Tabela6[[#This Row],[KM ATUAL]]-E694</f>
        <v>316</v>
      </c>
      <c r="N695" s="72">
        <f>Tabela6[[#This Row],[KM Rodados ]]/Tabela6[[#This Row],[CONSUMO]]</f>
        <v>7.8256562654779591</v>
      </c>
    </row>
    <row r="696" spans="1:14" x14ac:dyDescent="0.25">
      <c r="A696" s="47">
        <v>146982</v>
      </c>
      <c r="B696" s="78">
        <v>45012</v>
      </c>
      <c r="C696" s="47" t="s">
        <v>9</v>
      </c>
      <c r="D696" s="49" t="s">
        <v>268</v>
      </c>
      <c r="E696" s="47">
        <v>595781</v>
      </c>
      <c r="G696" s="50" t="s">
        <v>89</v>
      </c>
      <c r="H696" s="51">
        <v>128.83000000000001</v>
      </c>
      <c r="J696" s="51">
        <v>5.59</v>
      </c>
      <c r="K696" s="52">
        <f>Tabela6[[#This Row],[CONSUMO]]*Tabela6[[#This Row],[VALOR UNIT]]-Tabela6[[#This Row],[DESCONTO]]</f>
        <v>720.15970000000004</v>
      </c>
      <c r="L696" s="53">
        <f>Tabela6[[#This Row],[CUSTO TOTAL]]/Tabela6[[#This Row],[CONSUMO]]</f>
        <v>5.59</v>
      </c>
      <c r="M696" s="50">
        <f>Tabela6[[#This Row],[KM ATUAL]]-E651</f>
        <v>1017</v>
      </c>
      <c r="N696" s="51">
        <f>Tabela6[[#This Row],[KM Rodados ]]/Tabela6[[#This Row],[CONSUMO]]</f>
        <v>7.8941240394318086</v>
      </c>
    </row>
    <row r="697" spans="1:14" x14ac:dyDescent="0.25">
      <c r="A697" s="47">
        <v>332704</v>
      </c>
      <c r="B697" s="78">
        <v>45012</v>
      </c>
      <c r="C697" s="47" t="s">
        <v>67</v>
      </c>
      <c r="D697" s="49" t="s">
        <v>253</v>
      </c>
      <c r="E697" s="47">
        <v>657698</v>
      </c>
      <c r="G697" s="50" t="s">
        <v>89</v>
      </c>
      <c r="H697" s="51">
        <v>165.96</v>
      </c>
      <c r="I697" s="49">
        <v>49.79</v>
      </c>
      <c r="J697" s="51">
        <v>6.09</v>
      </c>
      <c r="K697" s="51">
        <f>Tabela6[[#This Row],[CONSUMO]]*Tabela6[[#This Row],[VALOR UNIT]]-Tabela6[[#This Row],[DESCONTO]]</f>
        <v>960.90640000000008</v>
      </c>
      <c r="L697" s="53">
        <f>Tabela6[[#This Row],[CUSTO TOTAL]]/Tabela6[[#This Row],[CONSUMO]]</f>
        <v>5.7899879489033506</v>
      </c>
      <c r="M697" s="50">
        <f>Tabela6[[#This Row],[KM ATUAL]]-E658</f>
        <v>52210</v>
      </c>
      <c r="N697" s="51">
        <f>Tabela6[[#This Row],[KM Rodados ]]/Tabela6[[#This Row],[CONSUMO]]</f>
        <v>314.59387804290191</v>
      </c>
    </row>
    <row r="698" spans="1:14" x14ac:dyDescent="0.25">
      <c r="A698" s="47">
        <v>524787</v>
      </c>
      <c r="B698" s="78">
        <v>45012</v>
      </c>
      <c r="C698" s="47" t="s">
        <v>70</v>
      </c>
      <c r="D698" s="49" t="s">
        <v>275</v>
      </c>
      <c r="E698" s="47">
        <v>189616</v>
      </c>
      <c r="G698" s="50" t="s">
        <v>241</v>
      </c>
      <c r="H698" s="51">
        <v>50</v>
      </c>
      <c r="J698" s="51">
        <v>3.79</v>
      </c>
      <c r="K698" s="51">
        <f>Tabela6[[#This Row],[CONSUMO]]*Tabela6[[#This Row],[VALOR UNIT]]-Tabela6[[#This Row],[DESCONTO]]</f>
        <v>189.5</v>
      </c>
      <c r="L698" s="53">
        <f>Tabela6[[#This Row],[CUSTO TOTAL]]/Tabela6[[#This Row],[CONSUMO]]</f>
        <v>3.79</v>
      </c>
      <c r="M698" s="50"/>
      <c r="N698"/>
    </row>
    <row r="699" spans="1:14" x14ac:dyDescent="0.25">
      <c r="A699" s="47">
        <v>524787</v>
      </c>
      <c r="B699" s="78">
        <v>45012</v>
      </c>
      <c r="C699" s="47" t="s">
        <v>70</v>
      </c>
      <c r="D699" s="49" t="s">
        <v>275</v>
      </c>
      <c r="E699" s="47">
        <v>189616</v>
      </c>
      <c r="G699" s="50" t="s">
        <v>89</v>
      </c>
      <c r="H699" s="51">
        <v>687</v>
      </c>
      <c r="J699" s="51">
        <v>5.79</v>
      </c>
      <c r="K699" s="51">
        <f>Tabela6[[#This Row],[CONSUMO]]*Tabela6[[#This Row],[VALOR UNIT]]-Tabela6[[#This Row],[DESCONTO]]</f>
        <v>3977.73</v>
      </c>
      <c r="L699" s="53">
        <f>Tabela6[[#This Row],[CUSTO TOTAL]]/Tabela6[[#This Row],[CONSUMO]]</f>
        <v>5.79</v>
      </c>
      <c r="M699" s="50">
        <f>Tabela6[[#This Row],[KM ATUAL]]-E630</f>
        <v>107044</v>
      </c>
      <c r="N699" s="51">
        <f>Tabela6[[#This Row],[KM Rodados ]]/Tabela6[[#This Row],[CONSUMO]]</f>
        <v>155.81368267831149</v>
      </c>
    </row>
    <row r="700" spans="1:14" x14ac:dyDescent="0.25">
      <c r="A700" s="47">
        <v>282663</v>
      </c>
      <c r="B700" s="78">
        <v>45012</v>
      </c>
      <c r="C700" s="47" t="s">
        <v>203</v>
      </c>
      <c r="D700" s="49" t="s">
        <v>276</v>
      </c>
      <c r="E700" s="47">
        <v>84206</v>
      </c>
      <c r="G700" s="50" t="s">
        <v>244</v>
      </c>
      <c r="H700" s="51">
        <v>28.599</v>
      </c>
      <c r="J700" s="51">
        <v>5.39</v>
      </c>
      <c r="K700" s="51">
        <f>Tabela6[[#This Row],[CONSUMO]]*Tabela6[[#This Row],[VALOR UNIT]]-Tabela6[[#This Row],[DESCONTO]]</f>
        <v>154.14860999999999</v>
      </c>
      <c r="L700" s="53">
        <f>Tabela6[[#This Row],[CUSTO TOTAL]]/Tabela6[[#This Row],[CONSUMO]]</f>
        <v>5.39</v>
      </c>
      <c r="M700" s="50">
        <f>Tabela6[[#This Row],[KM ATUAL]]-E692</f>
        <v>-523094</v>
      </c>
      <c r="N700" s="51">
        <f>Tabela6[[#This Row],[KM Rodados ]]/Tabela6[[#This Row],[CONSUMO]]</f>
        <v>-18290.639532850801</v>
      </c>
    </row>
    <row r="701" spans="1:14" x14ac:dyDescent="0.25">
      <c r="A701" s="47">
        <v>170715</v>
      </c>
      <c r="B701" s="78">
        <v>45012</v>
      </c>
      <c r="C701" s="47" t="s">
        <v>21</v>
      </c>
      <c r="D701" s="49" t="s">
        <v>262</v>
      </c>
      <c r="E701" s="47">
        <v>132393</v>
      </c>
      <c r="G701" s="50" t="s">
        <v>89</v>
      </c>
      <c r="H701" s="51">
        <v>123.04900000000001</v>
      </c>
      <c r="J701" s="51">
        <v>5.89</v>
      </c>
      <c r="K701" s="52">
        <f>Tabela6[[#This Row],[CONSUMO]]*Tabela6[[#This Row],[VALOR UNIT]]-Tabela6[[#This Row],[DESCONTO]]</f>
        <v>724.75860999999998</v>
      </c>
      <c r="L701" s="53">
        <f>Tabela6[[#This Row],[CUSTO TOTAL]]/Tabela6[[#This Row],[CONSUMO]]</f>
        <v>5.89</v>
      </c>
      <c r="M701" s="50">
        <f>Tabela6[[#This Row],[KM ATUAL]]-E672</f>
        <v>19888</v>
      </c>
      <c r="N701" s="51">
        <f>Tabela6[[#This Row],[KM Rodados ]]/Tabela6[[#This Row],[CONSUMO]]</f>
        <v>161.62666905054084</v>
      </c>
    </row>
    <row r="702" spans="1:14" x14ac:dyDescent="0.25">
      <c r="A702" s="47">
        <v>147090</v>
      </c>
      <c r="B702" s="78">
        <v>45012</v>
      </c>
      <c r="C702" s="47" t="s">
        <v>206</v>
      </c>
      <c r="D702" s="49" t="s">
        <v>268</v>
      </c>
      <c r="E702" s="47">
        <v>929944</v>
      </c>
      <c r="G702" s="50" t="s">
        <v>241</v>
      </c>
      <c r="H702" s="51">
        <v>34.51</v>
      </c>
      <c r="J702" s="51">
        <v>3.19</v>
      </c>
      <c r="K702" s="51">
        <f>Tabela6[[#This Row],[CONSUMO]]*Tabela6[[#This Row],[VALOR UNIT]]-Tabela6[[#This Row],[DESCONTO]]</f>
        <v>110.08689999999999</v>
      </c>
      <c r="L702" s="53">
        <f>Tabela6[[#This Row],[CUSTO TOTAL]]/Tabela6[[#This Row],[CONSUMO]]</f>
        <v>3.19</v>
      </c>
      <c r="M702" s="50"/>
      <c r="N702"/>
    </row>
    <row r="703" spans="1:14" x14ac:dyDescent="0.25">
      <c r="A703" s="47">
        <v>147089</v>
      </c>
      <c r="B703" s="78">
        <v>45012</v>
      </c>
      <c r="C703" s="47" t="s">
        <v>206</v>
      </c>
      <c r="D703" s="49" t="s">
        <v>268</v>
      </c>
      <c r="E703" s="47">
        <v>929944</v>
      </c>
      <c r="G703" s="50" t="s">
        <v>89</v>
      </c>
      <c r="H703" s="51">
        <v>553.01</v>
      </c>
      <c r="J703" s="51">
        <v>5.59</v>
      </c>
      <c r="K703" s="51">
        <f>Tabela6[[#This Row],[CONSUMO]]*Tabela6[[#This Row],[VALOR UNIT]]-Tabela6[[#This Row],[DESCONTO]]</f>
        <v>3091.3258999999998</v>
      </c>
      <c r="L703" s="53">
        <f>Tabela6[[#This Row],[CUSTO TOTAL]]/Tabela6[[#This Row],[CONSUMO]]</f>
        <v>5.59</v>
      </c>
      <c r="M703" s="50">
        <f>Tabela6[[#This Row],[KM ATUAL]]-E642</f>
        <v>577679</v>
      </c>
      <c r="N703" s="51">
        <f>Tabela6[[#This Row],[KM Rodados ]]/Tabela6[[#This Row],[CONSUMO]]</f>
        <v>1044.6085965895734</v>
      </c>
    </row>
    <row r="704" spans="1:14" x14ac:dyDescent="0.25">
      <c r="A704" s="47">
        <v>564337</v>
      </c>
      <c r="B704" s="78">
        <v>45012</v>
      </c>
      <c r="C704" s="47" t="s">
        <v>13</v>
      </c>
      <c r="D704" s="47" t="s">
        <v>254</v>
      </c>
      <c r="E704" s="47">
        <v>606734</v>
      </c>
      <c r="G704" s="50" t="s">
        <v>241</v>
      </c>
      <c r="H704" s="51">
        <v>23.41</v>
      </c>
      <c r="J704" s="51">
        <v>2.99</v>
      </c>
      <c r="K704" s="51">
        <f>Tabela6[[#This Row],[CONSUMO]]*Tabela6[[#This Row],[VALOR UNIT]]-Tabela6[[#This Row],[DESCONTO]]</f>
        <v>69.995900000000006</v>
      </c>
      <c r="L704" s="53">
        <f>Tabela6[[#This Row],[CUSTO TOTAL]]/Tabela6[[#This Row],[CONSUMO]]</f>
        <v>2.99</v>
      </c>
      <c r="M704" s="50"/>
      <c r="N704"/>
    </row>
    <row r="705" spans="1:14" x14ac:dyDescent="0.25">
      <c r="A705" s="47">
        <v>564336</v>
      </c>
      <c r="B705" s="78">
        <v>45012</v>
      </c>
      <c r="C705" s="47" t="s">
        <v>13</v>
      </c>
      <c r="D705" s="47" t="s">
        <v>254</v>
      </c>
      <c r="E705" s="47">
        <v>607434</v>
      </c>
      <c r="G705" s="50" t="s">
        <v>89</v>
      </c>
      <c r="H705" s="51">
        <v>28.6</v>
      </c>
      <c r="I705" s="49">
        <v>33.75</v>
      </c>
      <c r="J705" s="51">
        <v>5.65</v>
      </c>
      <c r="K705" s="52">
        <f>Tabela6[[#This Row],[CONSUMO]]*Tabela6[[#This Row],[VALOR UNIT]]-Tabela6[[#This Row],[DESCONTO]]</f>
        <v>127.84000000000003</v>
      </c>
      <c r="L705" s="53">
        <f>Tabela6[[#This Row],[CUSTO TOTAL]]/Tabela6[[#This Row],[CONSUMO]]</f>
        <v>4.4699300699300712</v>
      </c>
      <c r="M705" s="50">
        <f>Tabela6[[#This Row],[KM ATUAL]]-E689</f>
        <v>477309</v>
      </c>
      <c r="N705" s="51">
        <f>Tabela6[[#This Row],[KM Rodados ]]/Tabela6[[#This Row],[CONSUMO]]</f>
        <v>16689.125874125872</v>
      </c>
    </row>
    <row r="706" spans="1:14" x14ac:dyDescent="0.25">
      <c r="A706" s="47">
        <v>522953</v>
      </c>
      <c r="B706" s="78">
        <v>45012</v>
      </c>
      <c r="C706" s="47" t="s">
        <v>16</v>
      </c>
      <c r="D706" s="49" t="s">
        <v>255</v>
      </c>
      <c r="E706" s="119">
        <v>291368</v>
      </c>
      <c r="G706" s="50" t="s">
        <v>89</v>
      </c>
      <c r="H706" s="51">
        <v>120</v>
      </c>
      <c r="J706" s="51">
        <v>6.37</v>
      </c>
      <c r="K706" s="51">
        <f>Tabela6[[#This Row],[CONSUMO]]*Tabela6[[#This Row],[VALOR UNIT]]-Tabela6[[#This Row],[DESCONTO]]</f>
        <v>764.4</v>
      </c>
      <c r="L706" s="53">
        <f>Tabela6[[#This Row],[CUSTO TOTAL]]/Tabela6[[#This Row],[CONSUMO]]</f>
        <v>6.37</v>
      </c>
      <c r="M706" s="50">
        <f>Tabela6[[#This Row],[KM ATUAL]]-E581</f>
        <v>-302435</v>
      </c>
      <c r="N706" s="51">
        <f>Tabela6[[#This Row],[KM Rodados ]]/Tabela6[[#This Row],[CONSUMO]]</f>
        <v>-2520.2916666666665</v>
      </c>
    </row>
    <row r="707" spans="1:14" x14ac:dyDescent="0.25">
      <c r="A707" s="47">
        <v>68729</v>
      </c>
      <c r="B707" s="78">
        <v>45012</v>
      </c>
      <c r="C707" s="47" t="s">
        <v>19</v>
      </c>
      <c r="D707" s="49" t="s">
        <v>263</v>
      </c>
      <c r="E707" s="47">
        <v>296829</v>
      </c>
      <c r="G707" s="50" t="s">
        <v>89</v>
      </c>
      <c r="H707" s="51">
        <v>240.78100000000001</v>
      </c>
      <c r="J707" s="51">
        <v>5.69</v>
      </c>
      <c r="K707" s="52">
        <f>Tabela6[[#This Row],[CONSUMO]]*Tabela6[[#This Row],[VALOR UNIT]]-Tabela6[[#This Row],[DESCONTO]]</f>
        <v>1370.0438900000001</v>
      </c>
      <c r="L707" s="53">
        <f>Tabela6[[#This Row],[CUSTO TOTAL]]/Tabela6[[#This Row],[CONSUMO]]</f>
        <v>5.69</v>
      </c>
      <c r="M707" s="50">
        <f>Tabela6[[#This Row],[KM ATUAL]]-E559</f>
        <v>258068</v>
      </c>
      <c r="N707" s="51">
        <f>Tabela6[[#This Row],[KM Rodados ]]/Tabela6[[#This Row],[CONSUMO]]</f>
        <v>1071.7955320394881</v>
      </c>
    </row>
    <row r="708" spans="1:14" x14ac:dyDescent="0.25">
      <c r="A708" s="47">
        <v>170678</v>
      </c>
      <c r="B708" s="78">
        <v>45012</v>
      </c>
      <c r="C708" s="47" t="s">
        <v>23</v>
      </c>
      <c r="D708" s="49" t="s">
        <v>262</v>
      </c>
      <c r="E708" s="47">
        <v>217360</v>
      </c>
      <c r="G708" s="50" t="s">
        <v>241</v>
      </c>
      <c r="H708" s="51">
        <v>10.007</v>
      </c>
      <c r="J708" s="51">
        <v>3.69</v>
      </c>
      <c r="K708" s="51">
        <f>Tabela6[[#This Row],[CONSUMO]]*Tabela6[[#This Row],[VALOR UNIT]]-Tabela6[[#This Row],[DESCONTO]]</f>
        <v>36.925829999999998</v>
      </c>
      <c r="L708" s="53">
        <f>Tabela6[[#This Row],[CUSTO TOTAL]]/Tabela6[[#This Row],[CONSUMO]]</f>
        <v>3.69</v>
      </c>
      <c r="M708" s="50"/>
      <c r="N708"/>
    </row>
    <row r="709" spans="1:14" x14ac:dyDescent="0.25">
      <c r="A709" s="47">
        <v>170678</v>
      </c>
      <c r="B709" s="78">
        <v>45012</v>
      </c>
      <c r="C709" s="47" t="s">
        <v>23</v>
      </c>
      <c r="D709" s="49" t="s">
        <v>262</v>
      </c>
      <c r="E709" s="47">
        <v>217360</v>
      </c>
      <c r="G709" s="50" t="s">
        <v>89</v>
      </c>
      <c r="H709" s="51">
        <v>66.2</v>
      </c>
      <c r="J709" s="51">
        <v>5.89</v>
      </c>
      <c r="K709" s="52">
        <f>Tabela6[[#This Row],[CONSUMO]]*Tabela6[[#This Row],[VALOR UNIT]]-Tabela6[[#This Row],[DESCONTO]]</f>
        <v>389.91800000000001</v>
      </c>
      <c r="L709" s="53">
        <f>Tabela6[[#This Row],[CUSTO TOTAL]]/Tabela6[[#This Row],[CONSUMO]]</f>
        <v>5.89</v>
      </c>
      <c r="M709" s="50">
        <f>Tabela6[[#This Row],[KM ATUAL]]-E675</f>
        <v>-161248</v>
      </c>
      <c r="N709" s="51">
        <f>Tabela6[[#This Row],[KM Rodados ]]/Tabela6[[#This Row],[CONSUMO]]</f>
        <v>-2435.7703927492448</v>
      </c>
    </row>
    <row r="710" spans="1:14" x14ac:dyDescent="0.25">
      <c r="A710" s="47" t="s">
        <v>314</v>
      </c>
      <c r="B710" s="78">
        <v>45012</v>
      </c>
      <c r="C710" s="47" t="s">
        <v>40</v>
      </c>
      <c r="E710" s="47">
        <v>130614</v>
      </c>
      <c r="G710" s="50" t="s">
        <v>244</v>
      </c>
      <c r="H710" s="51">
        <v>39.54</v>
      </c>
      <c r="K710" s="52">
        <f>Tabela6[[#This Row],[CONSUMO]]*Tabela6[[#This Row],[VALOR UNIT]]-Tabela6[[#This Row],[DESCONTO]]</f>
        <v>0</v>
      </c>
      <c r="L710" s="53">
        <f>Tabela6[[#This Row],[CUSTO TOTAL]]/Tabela6[[#This Row],[CONSUMO]]</f>
        <v>0</v>
      </c>
      <c r="M710" s="50">
        <f>Tabela6[[#This Row],[KM ATUAL]]-E709</f>
        <v>-86746</v>
      </c>
      <c r="N710" s="51">
        <f>Tabela6[[#This Row],[KM Rodados ]]/Tabela6[[#This Row],[CONSUMO]]</f>
        <v>-2193.8796155791606</v>
      </c>
    </row>
    <row r="711" spans="1:14" x14ac:dyDescent="0.25">
      <c r="A711" s="47">
        <v>318003</v>
      </c>
      <c r="B711" s="78">
        <v>45013</v>
      </c>
      <c r="C711" s="47" t="s">
        <v>68</v>
      </c>
      <c r="D711" s="49" t="s">
        <v>281</v>
      </c>
      <c r="E711" s="47">
        <v>873865</v>
      </c>
      <c r="G711" s="50" t="s">
        <v>89</v>
      </c>
      <c r="H711" s="51">
        <v>400.017</v>
      </c>
      <c r="I711" s="49">
        <v>172</v>
      </c>
      <c r="J711" s="51">
        <v>5.92</v>
      </c>
      <c r="K711" s="51">
        <f>Tabela6[[#This Row],[CONSUMO]]*Tabela6[[#This Row],[VALOR UNIT]]-Tabela6[[#This Row],[DESCONTO]]</f>
        <v>2196.1006400000001</v>
      </c>
      <c r="L711" s="53">
        <f>Tabela6[[#This Row],[CUSTO TOTAL]]/Tabela6[[#This Row],[CONSUMO]]</f>
        <v>5.4900182742233454</v>
      </c>
      <c r="M711" s="50">
        <f>Tabela6[[#This Row],[KM ATUAL]]-E685</f>
        <v>792542</v>
      </c>
      <c r="N711" s="51">
        <f>Tabela6[[#This Row],[KM Rodados ]]/Tabela6[[#This Row],[CONSUMO]]</f>
        <v>1981.2707959911704</v>
      </c>
    </row>
    <row r="712" spans="1:14" x14ac:dyDescent="0.25">
      <c r="A712" s="47">
        <v>147604</v>
      </c>
      <c r="B712" s="78">
        <v>45013</v>
      </c>
      <c r="C712" s="47" t="s">
        <v>43</v>
      </c>
      <c r="D712" s="49" t="s">
        <v>263</v>
      </c>
      <c r="E712" s="47">
        <v>113596</v>
      </c>
      <c r="G712" s="50" t="s">
        <v>89</v>
      </c>
      <c r="H712" s="51">
        <v>25.05</v>
      </c>
      <c r="I712" s="49">
        <v>2.5099999999999998</v>
      </c>
      <c r="J712" s="51">
        <v>5.67</v>
      </c>
      <c r="K712" s="51">
        <f>Tabela6[[#This Row],[CONSUMO]]*Tabela6[[#This Row],[VALOR UNIT]]-Tabela6[[#This Row],[DESCONTO]]</f>
        <v>139.52350000000001</v>
      </c>
      <c r="L712" s="53">
        <f>Tabela6[[#This Row],[CUSTO TOTAL]]/Tabela6[[#This Row],[CONSUMO]]</f>
        <v>5.569800399201597</v>
      </c>
      <c r="M712" s="50">
        <f>Tabela6[[#This Row],[KM ATUAL]]-E699</f>
        <v>-76020</v>
      </c>
      <c r="N712" s="72">
        <f>Tabela6[[#This Row],[KM Rodados ]]/Tabela6[[#This Row],[CONSUMO]]</f>
        <v>-3034.7305389221556</v>
      </c>
    </row>
    <row r="713" spans="1:14" x14ac:dyDescent="0.25">
      <c r="A713" s="47" t="s">
        <v>314</v>
      </c>
      <c r="B713" s="78">
        <v>45013</v>
      </c>
      <c r="C713" s="47" t="s">
        <v>22</v>
      </c>
      <c r="E713" s="47">
        <v>319613</v>
      </c>
      <c r="G713" s="50" t="s">
        <v>89</v>
      </c>
      <c r="H713" s="51">
        <v>125.4</v>
      </c>
      <c r="K713" s="74">
        <f>Tabela6[[#This Row],[CONSUMO]]*Tabela6[[#This Row],[VALOR UNIT]]-Tabela6[[#This Row],[DESCONTO]]</f>
        <v>0</v>
      </c>
      <c r="L713" s="53">
        <f>Tabela6[[#This Row],[CUSTO TOTAL]]/Tabela6[[#This Row],[CONSUMO]]</f>
        <v>0</v>
      </c>
      <c r="M713" s="50">
        <f>Tabela6[[#This Row],[KM ATUAL]]-E566</f>
        <v>239347</v>
      </c>
      <c r="N713" s="51">
        <f>Tabela6[[#This Row],[KM Rodados ]]/Tabela6[[#This Row],[CONSUMO]]</f>
        <v>1908.6682615629984</v>
      </c>
    </row>
    <row r="714" spans="1:14" x14ac:dyDescent="0.25">
      <c r="A714" s="47">
        <v>170890</v>
      </c>
      <c r="B714" s="78">
        <v>45013</v>
      </c>
      <c r="C714" s="47" t="s">
        <v>22</v>
      </c>
      <c r="D714" s="49" t="s">
        <v>262</v>
      </c>
      <c r="E714" s="47">
        <v>319984</v>
      </c>
      <c r="G714" s="50" t="s">
        <v>89</v>
      </c>
      <c r="H714" s="51">
        <v>133.69900000000001</v>
      </c>
      <c r="J714" s="51">
        <v>5.89</v>
      </c>
      <c r="K714" s="74">
        <f>Tabela6[[#This Row],[CONSUMO]]*Tabela6[[#This Row],[VALOR UNIT]]-Tabela6[[#This Row],[DESCONTO]]</f>
        <v>787.48711000000003</v>
      </c>
      <c r="L714" s="53">
        <f>Tabela6[[#This Row],[CUSTO TOTAL]]/Tabela6[[#This Row],[CONSUMO]]</f>
        <v>5.89</v>
      </c>
      <c r="M714" s="50">
        <f>Tabela6[[#This Row],[KM ATUAL]]-E713</f>
        <v>371</v>
      </c>
      <c r="N714" s="51">
        <f>Tabela6[[#This Row],[KM Rodados ]]/Tabela6[[#This Row],[CONSUMO]]</f>
        <v>2.774889864546481</v>
      </c>
    </row>
    <row r="715" spans="1:14" x14ac:dyDescent="0.25">
      <c r="A715" s="47">
        <v>282983</v>
      </c>
      <c r="B715" s="78">
        <v>45013</v>
      </c>
      <c r="C715" s="47" t="s">
        <v>203</v>
      </c>
      <c r="D715" s="49" t="s">
        <v>276</v>
      </c>
      <c r="E715" s="47">
        <v>84750</v>
      </c>
      <c r="G715" s="50" t="s">
        <v>244</v>
      </c>
      <c r="H715" s="51">
        <v>41.38</v>
      </c>
      <c r="J715" s="51">
        <v>5.39</v>
      </c>
      <c r="K715" s="51">
        <f>Tabela6[[#This Row],[CONSUMO]]*Tabela6[[#This Row],[VALOR UNIT]]-Tabela6[[#This Row],[DESCONTO]]</f>
        <v>223.03819999999999</v>
      </c>
      <c r="L715" s="53">
        <f>Tabela6[[#This Row],[CUSTO TOTAL]]/Tabela6[[#This Row],[CONSUMO]]</f>
        <v>5.39</v>
      </c>
      <c r="M715" s="50">
        <f>Tabela6[[#This Row],[KM ATUAL]]-E698</f>
        <v>-104866</v>
      </c>
      <c r="N715" s="51">
        <f>Tabela6[[#This Row],[KM Rodados ]]/Tabela6[[#This Row],[CONSUMO]]</f>
        <v>-2534.2194296761718</v>
      </c>
    </row>
    <row r="716" spans="1:14" x14ac:dyDescent="0.25">
      <c r="A716" s="47" t="s">
        <v>314</v>
      </c>
      <c r="B716" s="78">
        <v>45013</v>
      </c>
      <c r="C716" s="47" t="s">
        <v>64</v>
      </c>
      <c r="E716" s="47">
        <v>73331</v>
      </c>
      <c r="G716" s="50" t="s">
        <v>89</v>
      </c>
      <c r="H716" s="51">
        <v>126.3</v>
      </c>
      <c r="K716" s="74">
        <f>Tabela6[[#This Row],[CONSUMO]]*Tabela6[[#This Row],[VALOR UNIT]]-Tabela6[[#This Row],[DESCONTO]]</f>
        <v>0</v>
      </c>
      <c r="L716" s="53">
        <f>Tabela6[[#This Row],[CUSTO TOTAL]]/Tabela6[[#This Row],[CONSUMO]]</f>
        <v>0</v>
      </c>
      <c r="M716" s="50">
        <f>Tabela6[[#This Row],[KM ATUAL]]-E670</f>
        <v>-55806</v>
      </c>
      <c r="N716" s="51">
        <f>Tabela6[[#This Row],[KM Rodados ]]/Tabela6[[#This Row],[CONSUMO]]</f>
        <v>-441.85273159144896</v>
      </c>
    </row>
    <row r="717" spans="1:14" x14ac:dyDescent="0.25">
      <c r="A717" s="47">
        <v>333497</v>
      </c>
      <c r="B717" s="78">
        <v>45013</v>
      </c>
      <c r="C717" s="47" t="s">
        <v>64</v>
      </c>
      <c r="D717" s="49" t="s">
        <v>253</v>
      </c>
      <c r="E717" s="47">
        <v>73900</v>
      </c>
      <c r="G717" s="50" t="s">
        <v>89</v>
      </c>
      <c r="H717" s="51">
        <v>164.21</v>
      </c>
      <c r="I717" s="49">
        <v>49.26</v>
      </c>
      <c r="J717" s="51">
        <v>6.09</v>
      </c>
      <c r="K717" s="51">
        <f>Tabela6[[#This Row],[CONSUMO]]*Tabela6[[#This Row],[VALOR UNIT]]-Tabela6[[#This Row],[DESCONTO]]</f>
        <v>950.77890000000002</v>
      </c>
      <c r="L717" s="53">
        <f>Tabela6[[#This Row],[CUSTO TOTAL]]/Tabela6[[#This Row],[CONSUMO]]</f>
        <v>5.7900182692893241</v>
      </c>
      <c r="M717" s="50">
        <f>Tabela6[[#This Row],[KM ATUAL]]-E716</f>
        <v>569</v>
      </c>
      <c r="N717" s="51">
        <f>Tabela6[[#This Row],[KM Rodados ]]/Tabela6[[#This Row],[CONSUMO]]</f>
        <v>3.4650752085743863</v>
      </c>
    </row>
    <row r="718" spans="1:14" x14ac:dyDescent="0.25">
      <c r="A718" s="47">
        <v>333330</v>
      </c>
      <c r="B718" s="78">
        <v>45013</v>
      </c>
      <c r="C718" s="47" t="s">
        <v>41</v>
      </c>
      <c r="D718" s="49" t="s">
        <v>253</v>
      </c>
      <c r="E718" s="47">
        <v>653498</v>
      </c>
      <c r="G718" s="50" t="s">
        <v>89</v>
      </c>
      <c r="H718" s="51">
        <v>153.36000000000001</v>
      </c>
      <c r="I718" s="49">
        <v>46.01</v>
      </c>
      <c r="J718" s="51">
        <v>6.09</v>
      </c>
      <c r="K718" s="51">
        <f>Tabela6[[#This Row],[CONSUMO]]*Tabela6[[#This Row],[VALOR UNIT]]-Tabela6[[#This Row],[DESCONTO]]</f>
        <v>887.95240000000013</v>
      </c>
      <c r="L718" s="53">
        <f>Tabela6[[#This Row],[CUSTO TOTAL]]/Tabela6[[#This Row],[CONSUMO]]</f>
        <v>5.7899869587897763</v>
      </c>
      <c r="M718" s="50">
        <f>Tabela6[[#This Row],[KM ATUAL]]-E671</f>
        <v>541181</v>
      </c>
      <c r="N718" s="51">
        <f>Tabela6[[#This Row],[KM Rodados ]]/Tabela6[[#This Row],[CONSUMO]]</f>
        <v>3528.8275952008344</v>
      </c>
    </row>
    <row r="719" spans="1:14" x14ac:dyDescent="0.25">
      <c r="A719" s="47">
        <v>170854</v>
      </c>
      <c r="B719" s="78">
        <v>45013</v>
      </c>
      <c r="C719" s="47" t="s">
        <v>20</v>
      </c>
      <c r="D719" s="49" t="s">
        <v>262</v>
      </c>
      <c r="E719" s="47">
        <v>239318</v>
      </c>
      <c r="G719" s="50" t="s">
        <v>89</v>
      </c>
      <c r="H719" s="51">
        <v>63.82</v>
      </c>
      <c r="J719" s="51">
        <v>5.89</v>
      </c>
      <c r="K719" s="51">
        <f>Tabela6[[#This Row],[CONSUMO]]*Tabela6[[#This Row],[VALOR UNIT]]-Tabela6[[#This Row],[DESCONTO]]</f>
        <v>375.89979999999997</v>
      </c>
      <c r="L719" s="53">
        <f>Tabela6[[#This Row],[CUSTO TOTAL]]/Tabela6[[#This Row],[CONSUMO]]</f>
        <v>5.89</v>
      </c>
      <c r="M719" s="50">
        <f>Tabela6[[#This Row],[KM ATUAL]]-E685</f>
        <v>157995</v>
      </c>
      <c r="N719" s="51">
        <f>Tabela6[[#This Row],[KM Rodados ]]/Tabela6[[#This Row],[CONSUMO]]</f>
        <v>2475.6345973049201</v>
      </c>
    </row>
    <row r="720" spans="1:14" x14ac:dyDescent="0.25">
      <c r="A720" s="47">
        <v>148419</v>
      </c>
      <c r="B720" s="78">
        <v>45014</v>
      </c>
      <c r="C720" s="47" t="s">
        <v>9</v>
      </c>
      <c r="D720" s="49" t="s">
        <v>268</v>
      </c>
      <c r="E720" s="47">
        <v>596301</v>
      </c>
      <c r="G720" s="50" t="s">
        <v>89</v>
      </c>
      <c r="H720" s="51">
        <v>133</v>
      </c>
      <c r="J720" s="51">
        <v>5.59</v>
      </c>
      <c r="K720" s="51">
        <f>Tabela6[[#This Row],[CONSUMO]]*Tabela6[[#This Row],[VALOR UNIT]]-Tabela6[[#This Row],[DESCONTO]]</f>
        <v>743.47</v>
      </c>
      <c r="L720" s="53">
        <f>Tabela6[[#This Row],[CUSTO TOTAL]]/Tabela6[[#This Row],[CONSUMO]]</f>
        <v>5.59</v>
      </c>
      <c r="M720" s="50">
        <f>Tabela6[[#This Row],[KM ATUAL]]-E697</f>
        <v>-61397</v>
      </c>
      <c r="N720" s="51">
        <f>Tabela6[[#This Row],[KM Rodados ]]/Tabela6[[#This Row],[CONSUMO]]</f>
        <v>-461.63157894736844</v>
      </c>
    </row>
    <row r="721" spans="1:14" x14ac:dyDescent="0.25">
      <c r="A721" s="47">
        <v>264881</v>
      </c>
      <c r="B721" s="78">
        <v>45014</v>
      </c>
      <c r="C721" s="47" t="s">
        <v>67</v>
      </c>
      <c r="D721" s="49" t="s">
        <v>270</v>
      </c>
      <c r="E721" s="47">
        <v>658384</v>
      </c>
      <c r="G721" s="50" t="s">
        <v>89</v>
      </c>
      <c r="H721" s="51">
        <v>168.45</v>
      </c>
      <c r="J721" s="51">
        <v>5.66</v>
      </c>
      <c r="K721" s="51">
        <f>Tabela6[[#This Row],[CONSUMO]]*Tabela6[[#This Row],[VALOR UNIT]]-Tabela6[[#This Row],[DESCONTO]]</f>
        <v>953.42699999999991</v>
      </c>
      <c r="L721" s="53">
        <f>Tabela6[[#This Row],[CUSTO TOTAL]]/Tabela6[[#This Row],[CONSUMO]]</f>
        <v>5.66</v>
      </c>
      <c r="M721" s="50">
        <f>Tabela6[[#This Row],[KM ATUAL]]-E694</f>
        <v>545307</v>
      </c>
      <c r="N721" s="51">
        <f>Tabela6[[#This Row],[KM Rodados ]]/Tabela6[[#This Row],[CONSUMO]]</f>
        <v>3237.203918076581</v>
      </c>
    </row>
    <row r="722" spans="1:14" x14ac:dyDescent="0.25">
      <c r="A722" s="47" t="s">
        <v>314</v>
      </c>
      <c r="B722" s="78">
        <v>45014</v>
      </c>
      <c r="C722" s="47" t="s">
        <v>72</v>
      </c>
      <c r="E722" s="47">
        <v>379515</v>
      </c>
      <c r="G722" s="50" t="s">
        <v>89</v>
      </c>
      <c r="H722" s="51">
        <v>43.32</v>
      </c>
      <c r="K722" s="52">
        <f>Tabela6[[#This Row],[CONSUMO]]*Tabela6[[#This Row],[VALOR UNIT]]-Tabela6[[#This Row],[DESCONTO]]</f>
        <v>0</v>
      </c>
      <c r="L722" s="53">
        <f>Tabela6[[#This Row],[CUSTO TOTAL]]/Tabela6[[#This Row],[CONSUMO]]</f>
        <v>0</v>
      </c>
      <c r="M722" s="50">
        <f>Tabela6[[#This Row],[KM ATUAL]]-E679</f>
        <v>-8721</v>
      </c>
      <c r="N722" s="51">
        <f>Tabela6[[#This Row],[KM Rodados ]]/Tabela6[[#This Row],[CONSUMO]]</f>
        <v>-201.31578947368422</v>
      </c>
    </row>
    <row r="723" spans="1:14" x14ac:dyDescent="0.25">
      <c r="A723" s="47" t="s">
        <v>314</v>
      </c>
      <c r="B723" s="78">
        <v>45014</v>
      </c>
      <c r="C723" s="47" t="s">
        <v>72</v>
      </c>
      <c r="E723" s="47">
        <v>379798</v>
      </c>
      <c r="G723" s="50" t="s">
        <v>89</v>
      </c>
      <c r="H723" s="51">
        <v>30.63</v>
      </c>
      <c r="K723" s="52">
        <f>Tabela6[[#This Row],[CONSUMO]]*Tabela6[[#This Row],[VALOR UNIT]]-Tabela6[[#This Row],[DESCONTO]]</f>
        <v>0</v>
      </c>
      <c r="L723" s="53">
        <f>Tabela6[[#This Row],[CUSTO TOTAL]]/Tabela6[[#This Row],[CONSUMO]]</f>
        <v>0</v>
      </c>
      <c r="M723" s="50">
        <f>Tabela6[[#This Row],[KM ATUAL]]-E722</f>
        <v>283</v>
      </c>
      <c r="N723" s="51">
        <f>Tabela6[[#This Row],[KM Rodados ]]/Tabela6[[#This Row],[CONSUMO]]</f>
        <v>9.2393078681031664</v>
      </c>
    </row>
    <row r="724" spans="1:14" x14ac:dyDescent="0.25">
      <c r="A724" s="47" t="s">
        <v>314</v>
      </c>
      <c r="B724" s="78">
        <v>45014</v>
      </c>
      <c r="C724" s="47" t="s">
        <v>72</v>
      </c>
      <c r="E724" s="47">
        <v>380081</v>
      </c>
      <c r="G724" s="50" t="s">
        <v>89</v>
      </c>
      <c r="H724" s="51">
        <v>35.6</v>
      </c>
      <c r="K724" s="52">
        <f>Tabela6[[#This Row],[CONSUMO]]*Tabela6[[#This Row],[VALOR UNIT]]-Tabela6[[#This Row],[DESCONTO]]</f>
        <v>0</v>
      </c>
      <c r="L724" s="53">
        <f>Tabela6[[#This Row],[CUSTO TOTAL]]/Tabela6[[#This Row],[CONSUMO]]</f>
        <v>0</v>
      </c>
      <c r="M724" s="50">
        <f>Tabela6[[#This Row],[KM ATUAL]]-E723</f>
        <v>283</v>
      </c>
      <c r="N724" s="51">
        <f>Tabela6[[#This Row],[KM Rodados ]]/Tabela6[[#This Row],[CONSUMO]]</f>
        <v>7.9494382022471903</v>
      </c>
    </row>
    <row r="725" spans="1:14" x14ac:dyDescent="0.25">
      <c r="A725" s="47">
        <v>70051</v>
      </c>
      <c r="B725" s="78">
        <v>45014</v>
      </c>
      <c r="C725" s="47" t="s">
        <v>72</v>
      </c>
      <c r="D725" s="49" t="s">
        <v>263</v>
      </c>
      <c r="E725" s="47">
        <v>380265</v>
      </c>
      <c r="G725" s="50" t="s">
        <v>89</v>
      </c>
      <c r="H725" s="51">
        <v>25.23</v>
      </c>
      <c r="I725" s="49">
        <v>2.52</v>
      </c>
      <c r="J725" s="51">
        <v>5.67</v>
      </c>
      <c r="K725" s="52">
        <f>Tabela6[[#This Row],[CONSUMO]]*Tabela6[[#This Row],[VALOR UNIT]]-Tabela6[[#This Row],[DESCONTO]]</f>
        <v>140.5341</v>
      </c>
      <c r="L725" s="53">
        <f>Tabela6[[#This Row],[CUSTO TOTAL]]/Tabela6[[#This Row],[CONSUMO]]</f>
        <v>5.5701189060642093</v>
      </c>
      <c r="M725" s="50">
        <f>Tabela6[[#This Row],[KM ATUAL]]-E724</f>
        <v>184</v>
      </c>
      <c r="N725" s="51">
        <f>Tabela6[[#This Row],[KM Rodados ]]/Tabela6[[#This Row],[CONSUMO]]</f>
        <v>7.29290527150218</v>
      </c>
    </row>
    <row r="726" spans="1:14" x14ac:dyDescent="0.25">
      <c r="A726" s="47">
        <v>331420</v>
      </c>
      <c r="B726" s="78">
        <v>45014</v>
      </c>
      <c r="C726" s="119" t="s">
        <v>72</v>
      </c>
      <c r="D726" s="49" t="s">
        <v>271</v>
      </c>
      <c r="E726" s="119">
        <v>380596</v>
      </c>
      <c r="G726" s="50" t="s">
        <v>89</v>
      </c>
      <c r="H726" s="51">
        <v>48.28</v>
      </c>
      <c r="J726" s="51">
        <v>5.69</v>
      </c>
      <c r="K726" s="52">
        <f>Tabela6[[#This Row],[CONSUMO]]*Tabela6[[#This Row],[VALOR UNIT]]-Tabela6[[#This Row],[DESCONTO]]</f>
        <v>274.71320000000003</v>
      </c>
      <c r="L726" s="53">
        <f>Tabela6[[#This Row],[CUSTO TOTAL]]/Tabela6[[#This Row],[CONSUMO]]</f>
        <v>5.69</v>
      </c>
      <c r="M726" s="50">
        <f>Tabela6[[#This Row],[KM ATUAL]]-E718</f>
        <v>-272902</v>
      </c>
      <c r="N726" s="51">
        <f>Tabela6[[#This Row],[KM Rodados ]]/Tabela6[[#This Row],[CONSUMO]]</f>
        <v>-5652.4855012427506</v>
      </c>
    </row>
    <row r="727" spans="1:14" x14ac:dyDescent="0.25">
      <c r="A727" s="47">
        <v>148222</v>
      </c>
      <c r="B727" s="78">
        <v>45014</v>
      </c>
      <c r="C727" s="47" t="s">
        <v>71</v>
      </c>
      <c r="D727" s="49" t="s">
        <v>268</v>
      </c>
      <c r="E727" s="47">
        <v>93636</v>
      </c>
      <c r="G727" s="50" t="s">
        <v>89</v>
      </c>
      <c r="H727" s="51">
        <v>531.29</v>
      </c>
      <c r="J727" s="51">
        <v>5.59</v>
      </c>
      <c r="K727" s="51">
        <f>Tabela6[[#This Row],[CONSUMO]]*Tabela6[[#This Row],[VALOR UNIT]]-Tabela6[[#This Row],[DESCONTO]]</f>
        <v>2969.9110999999998</v>
      </c>
      <c r="L727" s="53">
        <f>Tabela6[[#This Row],[CUSTO TOTAL]]/Tabela6[[#This Row],[CONSUMO]]</f>
        <v>5.59</v>
      </c>
      <c r="M727" s="50">
        <f>Tabela6[[#This Row],[KM ATUAL]]-E681</f>
        <v>-144708</v>
      </c>
      <c r="N727" s="51">
        <f>Tabela6[[#This Row],[KM Rodados ]]/Tabela6[[#This Row],[CONSUMO]]</f>
        <v>-272.37102147603008</v>
      </c>
    </row>
    <row r="728" spans="1:14" x14ac:dyDescent="0.25">
      <c r="A728" s="47">
        <v>331539</v>
      </c>
      <c r="B728" s="78">
        <v>45014</v>
      </c>
      <c r="C728" s="47" t="s">
        <v>21</v>
      </c>
      <c r="D728" s="49" t="s">
        <v>271</v>
      </c>
      <c r="E728" s="47">
        <v>133269</v>
      </c>
      <c r="G728" s="50" t="s">
        <v>89</v>
      </c>
      <c r="H728" s="51">
        <v>210.2</v>
      </c>
      <c r="J728" s="51">
        <v>5.69</v>
      </c>
      <c r="K728" s="52">
        <f>Tabela6[[#This Row],[CONSUMO]]*Tabela6[[#This Row],[VALOR UNIT]]-Tabela6[[#This Row],[DESCONTO]]</f>
        <v>1196.038</v>
      </c>
      <c r="L728" s="53">
        <f>Tabela6[[#This Row],[CUSTO TOTAL]]/Tabela6[[#This Row],[CONSUMO]]</f>
        <v>5.69</v>
      </c>
      <c r="M728" s="50">
        <f>Tabela6[[#This Row],[KM ATUAL]]-E700</f>
        <v>49063</v>
      </c>
      <c r="N728" s="51">
        <f>Tabela6[[#This Row],[KM Rodados ]]/Tabela6[[#This Row],[CONSUMO]]</f>
        <v>233.41103710751668</v>
      </c>
    </row>
    <row r="729" spans="1:14" x14ac:dyDescent="0.25">
      <c r="A729" s="47">
        <v>333994</v>
      </c>
      <c r="B729" s="78">
        <v>45014</v>
      </c>
      <c r="C729" s="47" t="s">
        <v>11</v>
      </c>
      <c r="D729" s="49" t="s">
        <v>253</v>
      </c>
      <c r="E729" s="47">
        <v>388660</v>
      </c>
      <c r="G729" s="50" t="s">
        <v>89</v>
      </c>
      <c r="H729" s="51">
        <v>67.709999999999994</v>
      </c>
      <c r="I729" s="49">
        <v>20.309999999999999</v>
      </c>
      <c r="J729" s="51">
        <v>6.09</v>
      </c>
      <c r="K729" s="51">
        <f>Tabela6[[#This Row],[CONSUMO]]*Tabela6[[#This Row],[VALOR UNIT]]-Tabela6[[#This Row],[DESCONTO]]</f>
        <v>392.04389999999995</v>
      </c>
      <c r="L729" s="53">
        <f>Tabela6[[#This Row],[CUSTO TOTAL]]/Tabela6[[#This Row],[CONSUMO]]</f>
        <v>5.7900443066016836</v>
      </c>
      <c r="M729" s="50">
        <f>Tabela6[[#This Row],[KM ATUAL]]-E683</f>
        <v>259027</v>
      </c>
      <c r="N729" s="51">
        <f>Tabela6[[#This Row],[KM Rodados ]]/Tabela6[[#This Row],[CONSUMO]]</f>
        <v>3825.5353714370112</v>
      </c>
    </row>
    <row r="730" spans="1:14" x14ac:dyDescent="0.25">
      <c r="A730" s="47" t="s">
        <v>314</v>
      </c>
      <c r="B730" s="78">
        <v>45014</v>
      </c>
      <c r="C730" s="47" t="s">
        <v>18</v>
      </c>
      <c r="E730" s="47">
        <v>301001</v>
      </c>
      <c r="G730" s="50" t="s">
        <v>89</v>
      </c>
      <c r="H730" s="51">
        <v>63.3</v>
      </c>
      <c r="K730" s="52">
        <f>Tabela6[[#This Row],[CONSUMO]]*Tabela6[[#This Row],[VALOR UNIT]]-Tabela6[[#This Row],[DESCONTO]]</f>
        <v>0</v>
      </c>
      <c r="L730" s="53">
        <f>Tabela6[[#This Row],[CUSTO TOTAL]]/Tabela6[[#This Row],[CONSUMO]]</f>
        <v>0</v>
      </c>
      <c r="M730" s="50">
        <f>Tabela6[[#This Row],[KM ATUAL]]-E624</f>
        <v>112538</v>
      </c>
      <c r="N730" s="51">
        <f>Tabela6[[#This Row],[KM Rodados ]]/Tabela6[[#This Row],[CONSUMO]]</f>
        <v>1777.8515007898895</v>
      </c>
    </row>
    <row r="731" spans="1:14" x14ac:dyDescent="0.25">
      <c r="A731" s="47" t="s">
        <v>314</v>
      </c>
      <c r="B731" s="78">
        <v>45014</v>
      </c>
      <c r="C731" s="47" t="s">
        <v>18</v>
      </c>
      <c r="E731" s="47">
        <v>301695</v>
      </c>
      <c r="G731" s="50" t="s">
        <v>89</v>
      </c>
      <c r="H731" s="51">
        <v>95.6</v>
      </c>
      <c r="K731" s="52">
        <f>Tabela6[[#This Row],[CONSUMO]]*Tabela6[[#This Row],[VALOR UNIT]]-Tabela6[[#This Row],[DESCONTO]]</f>
        <v>0</v>
      </c>
      <c r="L731" s="53">
        <f>Tabela6[[#This Row],[CUSTO TOTAL]]/Tabela6[[#This Row],[CONSUMO]]</f>
        <v>0</v>
      </c>
      <c r="M731" s="50">
        <f>Tabela6[[#This Row],[KM ATUAL]]-E730</f>
        <v>694</v>
      </c>
      <c r="N731" s="51">
        <f>Tabela6[[#This Row],[KM Rodados ]]/Tabela6[[#This Row],[CONSUMO]]</f>
        <v>7.2594142259414234</v>
      </c>
    </row>
    <row r="732" spans="1:14" x14ac:dyDescent="0.25">
      <c r="A732" s="47">
        <v>523294</v>
      </c>
      <c r="B732" s="78">
        <v>45014</v>
      </c>
      <c r="C732" s="47" t="s">
        <v>18</v>
      </c>
      <c r="D732" s="49" t="s">
        <v>255</v>
      </c>
      <c r="E732" s="47">
        <v>302251</v>
      </c>
      <c r="G732" s="50" t="s">
        <v>89</v>
      </c>
      <c r="H732" s="51">
        <v>73.561000000000007</v>
      </c>
      <c r="J732" s="51">
        <v>6.37</v>
      </c>
      <c r="K732" s="52">
        <f>Tabela6[[#This Row],[CONSUMO]]*Tabela6[[#This Row],[VALOR UNIT]]-Tabela6[[#This Row],[DESCONTO]]</f>
        <v>468.58357000000007</v>
      </c>
      <c r="L732" s="53">
        <f>Tabela6[[#This Row],[CUSTO TOTAL]]/Tabela6[[#This Row],[CONSUMO]]</f>
        <v>6.37</v>
      </c>
      <c r="M732" s="50">
        <f>Tabela6[[#This Row],[KM ATUAL]]-E731</f>
        <v>556</v>
      </c>
      <c r="N732" s="51">
        <f>Tabela6[[#This Row],[KM Rodados ]]/Tabela6[[#This Row],[CONSUMO]]</f>
        <v>7.5583529315805924</v>
      </c>
    </row>
    <row r="733" spans="1:14" x14ac:dyDescent="0.25">
      <c r="A733" s="47">
        <v>69898</v>
      </c>
      <c r="B733" s="78">
        <v>45014</v>
      </c>
      <c r="C733" s="47" t="s">
        <v>23</v>
      </c>
      <c r="D733" s="49" t="s">
        <v>263</v>
      </c>
      <c r="E733" s="47">
        <v>217817</v>
      </c>
      <c r="G733" s="50" t="s">
        <v>89</v>
      </c>
      <c r="H733" s="51">
        <v>109.881</v>
      </c>
      <c r="I733" s="49">
        <v>10.99</v>
      </c>
      <c r="J733" s="51">
        <v>5.67</v>
      </c>
      <c r="K733" s="51">
        <f>Tabela6[[#This Row],[CONSUMO]]*Tabela6[[#This Row],[VALOR UNIT]]-Tabela6[[#This Row],[DESCONTO]]</f>
        <v>612.03526999999997</v>
      </c>
      <c r="L733" s="53">
        <f>Tabela6[[#This Row],[CUSTO TOTAL]]/Tabela6[[#This Row],[CONSUMO]]</f>
        <v>5.5699827085665401</v>
      </c>
      <c r="M733" s="50">
        <f>Tabela6[[#This Row],[KM ATUAL]]-E712</f>
        <v>104221</v>
      </c>
      <c r="N733" s="51">
        <f>Tabela6[[#This Row],[KM Rodados ]]/Tabela6[[#This Row],[CONSUMO]]</f>
        <v>948.48972979860025</v>
      </c>
    </row>
    <row r="734" spans="1:14" x14ac:dyDescent="0.25">
      <c r="A734" s="47">
        <v>283029</v>
      </c>
      <c r="B734" s="78">
        <v>45014</v>
      </c>
      <c r="C734" s="47" t="s">
        <v>74</v>
      </c>
      <c r="D734" s="49" t="s">
        <v>276</v>
      </c>
      <c r="E734" s="47">
        <v>43002</v>
      </c>
      <c r="G734" s="50" t="s">
        <v>89</v>
      </c>
      <c r="H734" s="51">
        <v>55.93</v>
      </c>
      <c r="J734" s="51">
        <v>5.99</v>
      </c>
      <c r="K734" s="51">
        <f>Tabela6[[#This Row],[CONSUMO]]*Tabela6[[#This Row],[VALOR UNIT]]-Tabela6[[#This Row],[DESCONTO]]</f>
        <v>335.02070000000003</v>
      </c>
      <c r="L734" s="53">
        <f>Tabela6[[#This Row],[CUSTO TOTAL]]/Tabela6[[#This Row],[CONSUMO]]</f>
        <v>5.99</v>
      </c>
      <c r="M734" s="50">
        <f>Tabela6[[#This Row],[KM ATUAL]]-E703</f>
        <v>-886942</v>
      </c>
      <c r="N734" s="51">
        <f>Tabela6[[#This Row],[KM Rodados ]]/Tabela6[[#This Row],[CONSUMO]]</f>
        <v>-15858.072590738424</v>
      </c>
    </row>
    <row r="735" spans="1:14" x14ac:dyDescent="0.25">
      <c r="A735" s="47">
        <v>318865</v>
      </c>
      <c r="B735" s="78">
        <v>45015</v>
      </c>
      <c r="C735" s="47" t="s">
        <v>68</v>
      </c>
      <c r="D735" s="49" t="s">
        <v>281</v>
      </c>
      <c r="E735" s="47">
        <v>874921</v>
      </c>
      <c r="G735" s="50" t="s">
        <v>89</v>
      </c>
      <c r="H735" s="51">
        <v>388.48500000000001</v>
      </c>
      <c r="I735" s="49">
        <v>174.81</v>
      </c>
      <c r="J735" s="51">
        <v>5.92</v>
      </c>
      <c r="K735" s="51">
        <f>Tabela6[[#This Row],[CONSUMO]]*Tabela6[[#This Row],[VALOR UNIT]]-Tabela6[[#This Row],[DESCONTO]]</f>
        <v>2125.0212000000001</v>
      </c>
      <c r="L735" s="53">
        <f>Tabela6[[#This Row],[CUSTO TOTAL]]/Tabela6[[#This Row],[CONSUMO]]</f>
        <v>5.4700212363411715</v>
      </c>
      <c r="M735" s="50">
        <f>Tabela6[[#This Row],[KM ATUAL]]-E709</f>
        <v>657561</v>
      </c>
      <c r="N735" s="51">
        <f>Tabela6[[#This Row],[KM Rodados ]]/Tabela6[[#This Row],[CONSUMO]]</f>
        <v>1692.6290590370284</v>
      </c>
    </row>
    <row r="736" spans="1:14" x14ac:dyDescent="0.25">
      <c r="A736" s="47" t="s">
        <v>314</v>
      </c>
      <c r="B736" s="78">
        <v>45015</v>
      </c>
      <c r="C736" s="47" t="s">
        <v>43</v>
      </c>
      <c r="E736" s="47">
        <v>113989</v>
      </c>
      <c r="G736" s="50" t="s">
        <v>89</v>
      </c>
      <c r="H736" s="51">
        <v>44</v>
      </c>
      <c r="K736" s="52">
        <f>Tabela6[[#This Row],[CONSUMO]]*Tabela6[[#This Row],[VALOR UNIT]]-Tabela6[[#This Row],[DESCONTO]]</f>
        <v>0</v>
      </c>
      <c r="L736" s="53">
        <f>Tabela6[[#This Row],[CUSTO TOTAL]]/Tabela6[[#This Row],[CONSUMO]]</f>
        <v>0</v>
      </c>
      <c r="M736" s="50">
        <f>Tabela6[[#This Row],[KM ATUAL]]-E715</f>
        <v>29239</v>
      </c>
      <c r="N736" s="51">
        <f>Tabela6[[#This Row],[KM Rodados ]]/Tabela6[[#This Row],[CONSUMO]]</f>
        <v>664.52272727272725</v>
      </c>
    </row>
    <row r="737" spans="1:14" x14ac:dyDescent="0.25">
      <c r="A737" s="47">
        <v>171237</v>
      </c>
      <c r="B737" s="78">
        <v>45015</v>
      </c>
      <c r="C737" s="47" t="s">
        <v>43</v>
      </c>
      <c r="D737" s="49" t="s">
        <v>262</v>
      </c>
      <c r="E737" s="47">
        <v>114182</v>
      </c>
      <c r="G737" s="50" t="s">
        <v>89</v>
      </c>
      <c r="H737" s="51">
        <v>27.29</v>
      </c>
      <c r="J737" s="51">
        <v>5.89</v>
      </c>
      <c r="K737" s="52">
        <f>Tabela6[[#This Row],[CONSUMO]]*Tabela6[[#This Row],[VALOR UNIT]]-Tabela6[[#This Row],[DESCONTO]]</f>
        <v>160.73809999999997</v>
      </c>
      <c r="L737" s="53">
        <f>Tabela6[[#This Row],[CUSTO TOTAL]]/Tabela6[[#This Row],[CONSUMO]]</f>
        <v>5.89</v>
      </c>
      <c r="M737" s="50">
        <f>Tabela6[[#This Row],[KM ATUAL]]-E736</f>
        <v>193</v>
      </c>
      <c r="N737" s="72">
        <f>Tabela6[[#This Row],[KM Rodados ]]/Tabela6[[#This Row],[CONSUMO]]</f>
        <v>7.0721876145108098</v>
      </c>
    </row>
    <row r="738" spans="1:14" x14ac:dyDescent="0.25">
      <c r="A738" s="47">
        <v>335243</v>
      </c>
      <c r="B738" s="78">
        <v>45015</v>
      </c>
      <c r="C738" s="47" t="s">
        <v>39</v>
      </c>
      <c r="D738" s="49" t="s">
        <v>253</v>
      </c>
      <c r="E738" s="47">
        <v>81896</v>
      </c>
      <c r="G738" s="50" t="s">
        <v>89</v>
      </c>
      <c r="H738" s="51">
        <v>91.31</v>
      </c>
      <c r="I738" s="49">
        <v>27.39</v>
      </c>
      <c r="J738" s="51">
        <v>6.09</v>
      </c>
      <c r="K738" s="51">
        <f>Tabela6[[#This Row],[CONSUMO]]*Tabela6[[#This Row],[VALOR UNIT]]-Tabela6[[#This Row],[DESCONTO]]</f>
        <v>528.68790000000001</v>
      </c>
      <c r="L738" s="53">
        <f>Tabela6[[#This Row],[CUSTO TOTAL]]/Tabela6[[#This Row],[CONSUMO]]</f>
        <v>5.7900328551089695</v>
      </c>
      <c r="M738" s="50">
        <f>Tabela6[[#This Row],[KM ATUAL]]-E685</f>
        <v>573</v>
      </c>
      <c r="N738" s="51">
        <f>Tabela6[[#This Row],[KM Rodados ]]/Tabela6[[#This Row],[CONSUMO]]</f>
        <v>6.2753258131639464</v>
      </c>
    </row>
    <row r="739" spans="1:14" x14ac:dyDescent="0.25">
      <c r="A739" s="47">
        <v>283375</v>
      </c>
      <c r="B739" s="78">
        <v>45015</v>
      </c>
      <c r="C739" s="47" t="s">
        <v>203</v>
      </c>
      <c r="D739" s="49" t="s">
        <v>276</v>
      </c>
      <c r="E739" s="47">
        <v>85300</v>
      </c>
      <c r="G739" s="50" t="s">
        <v>244</v>
      </c>
      <c r="H739" s="51">
        <v>45.49</v>
      </c>
      <c r="J739" s="51">
        <v>5.39</v>
      </c>
      <c r="K739" s="51">
        <f>Tabela6[[#This Row],[CONSUMO]]*Tabela6[[#This Row],[VALOR UNIT]]-Tabela6[[#This Row],[DESCONTO]]</f>
        <v>245.19110000000001</v>
      </c>
      <c r="L739" s="53">
        <f>Tabela6[[#This Row],[CUSTO TOTAL]]/Tabela6[[#This Row],[CONSUMO]]</f>
        <v>5.39</v>
      </c>
      <c r="M739" s="50">
        <f>Tabela6[[#This Row],[KM ATUAL]]-E715</f>
        <v>550</v>
      </c>
      <c r="N739" s="51">
        <f>Tabela6[[#This Row],[KM Rodados ]]/Tabela6[[#This Row],[CONSUMO]]</f>
        <v>12.090569355902396</v>
      </c>
    </row>
    <row r="740" spans="1:14" x14ac:dyDescent="0.25">
      <c r="A740" s="47">
        <v>335285</v>
      </c>
      <c r="B740" s="78">
        <v>45015</v>
      </c>
      <c r="C740" s="47" t="s">
        <v>64</v>
      </c>
      <c r="D740" s="49" t="s">
        <v>253</v>
      </c>
      <c r="E740" s="47">
        <v>74406</v>
      </c>
      <c r="G740" s="50" t="s">
        <v>89</v>
      </c>
      <c r="H740" s="51">
        <v>159.99</v>
      </c>
      <c r="I740" s="49">
        <v>48</v>
      </c>
      <c r="J740" s="51">
        <v>6.09</v>
      </c>
      <c r="K740" s="51">
        <f>Tabela6[[#This Row],[CONSUMO]]*Tabela6[[#This Row],[VALOR UNIT]]-Tabela6[[#This Row],[DESCONTO]]</f>
        <v>926.33910000000003</v>
      </c>
      <c r="L740" s="53">
        <f>Tabela6[[#This Row],[CUSTO TOTAL]]/Tabela6[[#This Row],[CONSUMO]]</f>
        <v>5.7899812488280515</v>
      </c>
      <c r="M740" s="50">
        <f>Tabela6[[#This Row],[KM ATUAL]]-E713</f>
        <v>-245207</v>
      </c>
      <c r="N740" s="51">
        <f>Tabela6[[#This Row],[KM Rodados ]]/Tabela6[[#This Row],[CONSUMO]]</f>
        <v>-1532.639539971248</v>
      </c>
    </row>
    <row r="741" spans="1:14" x14ac:dyDescent="0.25">
      <c r="A741" s="47">
        <v>171403</v>
      </c>
      <c r="B741" s="78">
        <v>45015</v>
      </c>
      <c r="C741" s="47" t="s">
        <v>207</v>
      </c>
      <c r="D741" s="49" t="s">
        <v>262</v>
      </c>
      <c r="E741" s="47">
        <v>62982</v>
      </c>
      <c r="G741" s="50" t="s">
        <v>244</v>
      </c>
      <c r="H741" s="51">
        <v>3.6429999999999998</v>
      </c>
      <c r="J741" s="51">
        <v>5.49</v>
      </c>
      <c r="K741" s="51">
        <f>Tabela6[[#This Row],[CONSUMO]]*Tabela6[[#This Row],[VALOR UNIT]]-Tabela6[[#This Row],[DESCONTO]]</f>
        <v>20.000070000000001</v>
      </c>
      <c r="L741" s="53">
        <f>Tabela6[[#This Row],[CUSTO TOTAL]]/Tabela6[[#This Row],[CONSUMO]]</f>
        <v>5.49</v>
      </c>
      <c r="M741" s="50">
        <f>Tabela6[[#This Row],[KM ATUAL]]-E398</f>
        <v>-233235</v>
      </c>
      <c r="N741" s="51">
        <f>Tabela6[[#This Row],[KM Rodados ]]/Tabela6[[#This Row],[CONSUMO]]</f>
        <v>-64022.783420258034</v>
      </c>
    </row>
    <row r="742" spans="1:14" x14ac:dyDescent="0.25">
      <c r="A742" s="47">
        <v>631518</v>
      </c>
      <c r="B742" s="78">
        <v>45015</v>
      </c>
      <c r="C742" s="47" t="s">
        <v>13</v>
      </c>
      <c r="D742" s="49" t="s">
        <v>264</v>
      </c>
      <c r="E742" s="47">
        <v>607991</v>
      </c>
      <c r="G742" s="50" t="s">
        <v>89</v>
      </c>
      <c r="H742" s="51">
        <v>137.10300000000001</v>
      </c>
      <c r="J742" s="51">
        <v>5.61</v>
      </c>
      <c r="K742" s="52">
        <f>Tabela6[[#This Row],[CONSUMO]]*Tabela6[[#This Row],[VALOR UNIT]]-Tabela6[[#This Row],[DESCONTO]]</f>
        <v>769.14783000000011</v>
      </c>
      <c r="L742" s="53">
        <f>Tabela6[[#This Row],[CUSTO TOTAL]]/Tabela6[[#This Row],[CONSUMO]]</f>
        <v>5.61</v>
      </c>
      <c r="M742" s="50">
        <f>Tabela6[[#This Row],[KM ATUAL]]-E707</f>
        <v>311162</v>
      </c>
      <c r="N742" s="51">
        <f>Tabela6[[#This Row],[KM Rodados ]]/Tabela6[[#This Row],[CONSUMO]]</f>
        <v>2269.5491710611727</v>
      </c>
    </row>
    <row r="743" spans="1:14" x14ac:dyDescent="0.25">
      <c r="A743" s="47">
        <v>171372</v>
      </c>
      <c r="B743" s="78">
        <v>45015</v>
      </c>
      <c r="C743" s="47" t="s">
        <v>15</v>
      </c>
      <c r="D743" s="49" t="s">
        <v>262</v>
      </c>
      <c r="E743" s="47">
        <v>354560</v>
      </c>
      <c r="G743" s="50" t="s">
        <v>241</v>
      </c>
      <c r="H743" s="51">
        <v>10.018000000000001</v>
      </c>
      <c r="J743" s="51">
        <v>3.69</v>
      </c>
      <c r="K743" s="51">
        <f>Tabela6[[#This Row],[CONSUMO]]*Tabela6[[#This Row],[VALOR UNIT]]-Tabela6[[#This Row],[DESCONTO]]</f>
        <v>36.966419999999999</v>
      </c>
      <c r="L743" s="53">
        <f>Tabela6[[#This Row],[CUSTO TOTAL]]/Tabela6[[#This Row],[CONSUMO]]</f>
        <v>3.6899999999999995</v>
      </c>
      <c r="M743" s="50"/>
      <c r="N743"/>
    </row>
    <row r="744" spans="1:14" x14ac:dyDescent="0.25">
      <c r="A744" s="47">
        <v>171372</v>
      </c>
      <c r="B744" s="78">
        <v>45015</v>
      </c>
      <c r="C744" s="47" t="s">
        <v>15</v>
      </c>
      <c r="D744" s="49" t="s">
        <v>262</v>
      </c>
      <c r="E744" s="47">
        <v>354560</v>
      </c>
      <c r="G744" s="50" t="s">
        <v>89</v>
      </c>
      <c r="H744" s="51">
        <v>68.760999999999996</v>
      </c>
      <c r="J744" s="51">
        <v>5.89</v>
      </c>
      <c r="K744" s="51">
        <f>Tabela6[[#This Row],[CONSUMO]]*Tabela6[[#This Row],[VALOR UNIT]]-Tabela6[[#This Row],[DESCONTO]]</f>
        <v>405.00228999999996</v>
      </c>
      <c r="L744" s="53">
        <f>Tabela6[[#This Row],[CUSTO TOTAL]]/Tabela6[[#This Row],[CONSUMO]]</f>
        <v>5.89</v>
      </c>
      <c r="M744" s="50">
        <f>Tabela6[[#This Row],[KM ATUAL]]-E687</f>
        <v>352</v>
      </c>
      <c r="N744" s="51">
        <f>Tabela6[[#This Row],[KM Rodados ]]/Tabela6[[#This Row],[CONSUMO]]</f>
        <v>5.1191809310510319</v>
      </c>
    </row>
    <row r="745" spans="1:14" x14ac:dyDescent="0.25">
      <c r="A745" s="47" t="s">
        <v>314</v>
      </c>
      <c r="B745" s="78">
        <v>45015</v>
      </c>
      <c r="C745" s="47" t="s">
        <v>20</v>
      </c>
      <c r="E745" s="47">
        <v>239823</v>
      </c>
      <c r="G745" s="50" t="s">
        <v>89</v>
      </c>
      <c r="H745" s="51">
        <v>62.35</v>
      </c>
      <c r="K745" s="52">
        <f>Tabela6[[#This Row],[CONSUMO]]*Tabela6[[#This Row],[VALOR UNIT]]-Tabela6[[#This Row],[DESCONTO]]</f>
        <v>0</v>
      </c>
      <c r="L745" s="53">
        <f>Tabela6[[#This Row],[CUSTO TOTAL]]/Tabela6[[#This Row],[CONSUMO]]</f>
        <v>0</v>
      </c>
      <c r="M745" s="50">
        <f>Tabela6[[#This Row],[KM ATUAL]]-E719</f>
        <v>505</v>
      </c>
      <c r="N745" s="51">
        <f>Tabela6[[#This Row],[KM Rodados ]]/Tabela6[[#This Row],[CONSUMO]]</f>
        <v>8.09943865276664</v>
      </c>
    </row>
    <row r="746" spans="1:14" x14ac:dyDescent="0.25">
      <c r="A746" s="47">
        <v>160320</v>
      </c>
      <c r="B746" s="78">
        <v>45015</v>
      </c>
      <c r="C746" s="47" t="s">
        <v>20</v>
      </c>
      <c r="D746" s="49" t="s">
        <v>269</v>
      </c>
      <c r="E746" s="47">
        <v>240190</v>
      </c>
      <c r="G746" s="50" t="s">
        <v>89</v>
      </c>
      <c r="H746" s="51">
        <v>48.38</v>
      </c>
      <c r="J746" s="51">
        <v>5.59</v>
      </c>
      <c r="K746" s="52">
        <f>Tabela6[[#This Row],[CONSUMO]]*Tabela6[[#This Row],[VALOR UNIT]]-Tabela6[[#This Row],[DESCONTO]]</f>
        <v>270.44420000000002</v>
      </c>
      <c r="L746" s="53">
        <f>Tabela6[[#This Row],[CUSTO TOTAL]]/Tabela6[[#This Row],[CONSUMO]]</f>
        <v>5.59</v>
      </c>
      <c r="M746" s="50">
        <f>Tabela6[[#This Row],[KM ATUAL]]-E745</f>
        <v>367</v>
      </c>
      <c r="N746" s="51">
        <f>Tabela6[[#This Row],[KM Rodados ]]/Tabela6[[#This Row],[CONSUMO]]</f>
        <v>7.5857792476229839</v>
      </c>
    </row>
    <row r="747" spans="1:14" x14ac:dyDescent="0.25">
      <c r="A747" s="47" t="s">
        <v>314</v>
      </c>
      <c r="B747" s="78">
        <v>45015</v>
      </c>
      <c r="C747" s="47" t="s">
        <v>40</v>
      </c>
      <c r="E747" s="47">
        <v>131114</v>
      </c>
      <c r="G747" s="50" t="s">
        <v>244</v>
      </c>
      <c r="H747" s="51">
        <v>39.9</v>
      </c>
      <c r="K747" s="52">
        <f>Tabela6[[#This Row],[CONSUMO]]*Tabela6[[#This Row],[VALOR UNIT]]-Tabela6[[#This Row],[DESCONTO]]</f>
        <v>0</v>
      </c>
      <c r="L747" s="53">
        <f>Tabela6[[#This Row],[CUSTO TOTAL]]/Tabela6[[#This Row],[CONSUMO]]</f>
        <v>0</v>
      </c>
      <c r="M747" s="50">
        <f>Tabela6[[#This Row],[KM ATUAL]]-E746</f>
        <v>-109076</v>
      </c>
      <c r="N747" s="51">
        <f>Tabela6[[#This Row],[KM Rodados ]]/Tabela6[[#This Row],[CONSUMO]]</f>
        <v>-2733.7343358395992</v>
      </c>
    </row>
    <row r="748" spans="1:14" x14ac:dyDescent="0.25">
      <c r="A748" s="47">
        <v>283553</v>
      </c>
      <c r="B748" s="78">
        <v>45015</v>
      </c>
      <c r="C748" s="47" t="s">
        <v>74</v>
      </c>
      <c r="D748" s="49" t="s">
        <v>276</v>
      </c>
      <c r="E748" s="47">
        <v>43893</v>
      </c>
      <c r="G748" s="50" t="s">
        <v>89</v>
      </c>
      <c r="H748" s="51">
        <v>107.679</v>
      </c>
      <c r="J748" s="51">
        <v>5.99</v>
      </c>
      <c r="K748" s="52">
        <f>Tabela6[[#This Row],[CONSUMO]]*Tabela6[[#This Row],[VALOR UNIT]]-Tabela6[[#This Row],[DESCONTO]]</f>
        <v>644.99721</v>
      </c>
      <c r="L748" s="53">
        <f>Tabela6[[#This Row],[CUSTO TOTAL]]/Tabela6[[#This Row],[CONSUMO]]</f>
        <v>5.99</v>
      </c>
      <c r="M748" s="50">
        <f>Tabela6[[#This Row],[KM ATUAL]]-E730</f>
        <v>-257108</v>
      </c>
      <c r="N748" s="51">
        <f>Tabela6[[#This Row],[KM Rodados ]]/Tabela6[[#This Row],[CONSUMO]]</f>
        <v>-2387.7264833440131</v>
      </c>
    </row>
    <row r="749" spans="1:14" x14ac:dyDescent="0.25">
      <c r="A749" s="47" t="s">
        <v>314</v>
      </c>
      <c r="B749" s="78">
        <v>45016</v>
      </c>
      <c r="C749" s="47" t="s">
        <v>43</v>
      </c>
      <c r="E749" s="47">
        <v>114486</v>
      </c>
      <c r="G749" s="50" t="s">
        <v>89</v>
      </c>
      <c r="H749" s="51">
        <v>42.81</v>
      </c>
      <c r="K749" s="52">
        <f>Tabela6[[#This Row],[CONSUMO]]*Tabela6[[#This Row],[VALOR UNIT]]-Tabela6[[#This Row],[DESCONTO]]</f>
        <v>0</v>
      </c>
      <c r="L749" s="53">
        <f>Tabela6[[#This Row],[CUSTO TOTAL]]/Tabela6[[#This Row],[CONSUMO]]</f>
        <v>0</v>
      </c>
      <c r="M749" s="50">
        <f>Tabela6[[#This Row],[KM ATUAL]]-E736</f>
        <v>497</v>
      </c>
      <c r="N749" s="51">
        <f>Tabela6[[#This Row],[KM Rodados ]]/Tabela6[[#This Row],[CONSUMO]]</f>
        <v>11.609437047418826</v>
      </c>
    </row>
    <row r="750" spans="1:14" x14ac:dyDescent="0.25">
      <c r="A750" s="47" t="s">
        <v>314</v>
      </c>
      <c r="B750" s="78">
        <v>45016</v>
      </c>
      <c r="C750" s="47" t="s">
        <v>43</v>
      </c>
      <c r="E750" s="47">
        <v>114706</v>
      </c>
      <c r="G750" s="50" t="s">
        <v>89</v>
      </c>
      <c r="H750" s="51">
        <v>29</v>
      </c>
      <c r="K750" s="52">
        <f>Tabela6[[#This Row],[CONSUMO]]*Tabela6[[#This Row],[VALOR UNIT]]-Tabela6[[#This Row],[DESCONTO]]</f>
        <v>0</v>
      </c>
      <c r="L750" s="53">
        <f>Tabela6[[#This Row],[CUSTO TOTAL]]/Tabela6[[#This Row],[CONSUMO]]</f>
        <v>0</v>
      </c>
      <c r="M750" s="50">
        <f>Tabela6[[#This Row],[KM ATUAL]]-E749</f>
        <v>220</v>
      </c>
      <c r="N750" s="51">
        <f>Tabela6[[#This Row],[KM Rodados ]]/Tabela6[[#This Row],[CONSUMO]]</f>
        <v>7.5862068965517242</v>
      </c>
    </row>
    <row r="751" spans="1:14" x14ac:dyDescent="0.25">
      <c r="A751" s="47" t="s">
        <v>314</v>
      </c>
      <c r="B751" s="78">
        <v>45016</v>
      </c>
      <c r="C751" s="47" t="s">
        <v>43</v>
      </c>
      <c r="E751" s="119">
        <v>114917</v>
      </c>
      <c r="G751" s="50" t="s">
        <v>89</v>
      </c>
      <c r="H751" s="51">
        <v>25</v>
      </c>
      <c r="K751" s="52">
        <f>Tabela6[[#This Row],[CONSUMO]]*Tabela6[[#This Row],[VALOR UNIT]]-Tabela6[[#This Row],[DESCONTO]]</f>
        <v>0</v>
      </c>
      <c r="L751" s="53">
        <f>Tabela6[[#This Row],[CUSTO TOTAL]]/Tabela6[[#This Row],[CONSUMO]]</f>
        <v>0</v>
      </c>
      <c r="M751" s="50">
        <f>Tabela6[[#This Row],[KM ATUAL]]-E750</f>
        <v>211</v>
      </c>
      <c r="N751" s="51">
        <f>Tabela6[[#This Row],[KM Rodados ]]/Tabela6[[#This Row],[CONSUMO]]</f>
        <v>8.44</v>
      </c>
    </row>
    <row r="752" spans="1:14" x14ac:dyDescent="0.25">
      <c r="A752" s="47">
        <v>240597</v>
      </c>
      <c r="B752" s="78">
        <v>45016</v>
      </c>
      <c r="C752" s="47" t="s">
        <v>43</v>
      </c>
      <c r="D752" s="49" t="s">
        <v>263</v>
      </c>
      <c r="E752" s="47">
        <v>115096</v>
      </c>
      <c r="G752" s="50" t="s">
        <v>89</v>
      </c>
      <c r="H752" s="51">
        <v>24.99</v>
      </c>
      <c r="I752" s="49">
        <v>2.5</v>
      </c>
      <c r="J752" s="51">
        <v>5.67</v>
      </c>
      <c r="K752" s="52">
        <f>Tabela6[[#This Row],[CONSUMO]]*Tabela6[[#This Row],[VALOR UNIT]]-Tabela6[[#This Row],[DESCONTO]]</f>
        <v>139.19329999999999</v>
      </c>
      <c r="L752" s="53">
        <f>Tabela6[[#This Row],[CUSTO TOTAL]]/Tabela6[[#This Row],[CONSUMO]]</f>
        <v>5.5699599839935976</v>
      </c>
      <c r="M752" s="50">
        <f>Tabela6[[#This Row],[KM ATUAL]]-E751</f>
        <v>179</v>
      </c>
      <c r="N752" s="72">
        <f>Tabela6[[#This Row],[KM Rodados ]]/Tabela6[[#This Row],[CONSUMO]]</f>
        <v>7.1628651460584241</v>
      </c>
    </row>
    <row r="753" spans="1:14" x14ac:dyDescent="0.25">
      <c r="A753" s="47">
        <v>149893</v>
      </c>
      <c r="B753" s="78">
        <v>45016</v>
      </c>
      <c r="C753" s="47" t="s">
        <v>9</v>
      </c>
      <c r="D753" s="49" t="s">
        <v>268</v>
      </c>
      <c r="E753" s="47">
        <v>596753</v>
      </c>
      <c r="G753" s="50" t="s">
        <v>89</v>
      </c>
      <c r="H753" s="51">
        <v>115</v>
      </c>
      <c r="J753" s="51">
        <v>5.59</v>
      </c>
      <c r="K753" s="51">
        <f>Tabela6[[#This Row],[CONSUMO]]*Tabela6[[#This Row],[VALOR UNIT]]-Tabela6[[#This Row],[DESCONTO]]</f>
        <v>642.85</v>
      </c>
      <c r="L753" s="53">
        <f>Tabela6[[#This Row],[CUSTO TOTAL]]/Tabela6[[#This Row],[CONSUMO]]</f>
        <v>5.59</v>
      </c>
      <c r="M753" s="50">
        <f>Tabela6[[#This Row],[KM ATUAL]]-E722</f>
        <v>217238</v>
      </c>
      <c r="N753" s="51">
        <f>Tabela6[[#This Row],[KM Rodados ]]/Tabela6[[#This Row],[CONSUMO]]</f>
        <v>1889.0260869565218</v>
      </c>
    </row>
    <row r="754" spans="1:14" x14ac:dyDescent="0.25">
      <c r="A754" s="47">
        <v>265402</v>
      </c>
      <c r="B754" s="78">
        <v>45016</v>
      </c>
      <c r="C754" s="47" t="s">
        <v>222</v>
      </c>
      <c r="D754" s="49" t="s">
        <v>270</v>
      </c>
      <c r="E754" s="47">
        <v>465276</v>
      </c>
      <c r="G754" s="50" t="s">
        <v>241</v>
      </c>
      <c r="H754" s="51">
        <v>33.020000000000003</v>
      </c>
      <c r="J754" s="51">
        <v>3.19</v>
      </c>
      <c r="K754" s="51">
        <f>Tabela6[[#This Row],[CONSUMO]]*Tabela6[[#This Row],[VALOR UNIT]]-Tabela6[[#This Row],[DESCONTO]]</f>
        <v>105.33380000000001</v>
      </c>
      <c r="L754" s="53">
        <f>Tabela6[[#This Row],[CUSTO TOTAL]]/Tabela6[[#This Row],[CONSUMO]]</f>
        <v>3.19</v>
      </c>
      <c r="M754" s="50"/>
      <c r="N754"/>
    </row>
    <row r="755" spans="1:14" x14ac:dyDescent="0.25">
      <c r="A755" s="47" t="s">
        <v>314</v>
      </c>
      <c r="B755" s="78">
        <v>45016</v>
      </c>
      <c r="C755" s="47" t="s">
        <v>222</v>
      </c>
      <c r="E755" s="47">
        <v>464248</v>
      </c>
      <c r="G755" s="50" t="s">
        <v>89</v>
      </c>
      <c r="H755" s="51">
        <v>368.7</v>
      </c>
      <c r="K755" s="52">
        <f>Tabela6[[#This Row],[CONSUMO]]*Tabela6[[#This Row],[VALOR UNIT]]-Tabela6[[#This Row],[DESCONTO]]</f>
        <v>0</v>
      </c>
      <c r="L755" s="53">
        <f>Tabela6[[#This Row],[CUSTO TOTAL]]/Tabela6[[#This Row],[CONSUMO]]</f>
        <v>0</v>
      </c>
      <c r="M755" s="50">
        <f>Tabela6[[#This Row],[KM ATUAL]]-E652</f>
        <v>1027</v>
      </c>
      <c r="N755" s="51">
        <f>Tabela6[[#This Row],[KM Rodados ]]/Tabela6[[#This Row],[CONSUMO]]</f>
        <v>2.7854624355844861</v>
      </c>
    </row>
    <row r="756" spans="1:14" x14ac:dyDescent="0.25">
      <c r="A756" s="47">
        <v>265400</v>
      </c>
      <c r="B756" s="78">
        <v>45016</v>
      </c>
      <c r="C756" s="47" t="s">
        <v>222</v>
      </c>
      <c r="D756" s="49" t="s">
        <v>270</v>
      </c>
      <c r="E756" s="47">
        <v>465276</v>
      </c>
      <c r="G756" s="50" t="s">
        <v>89</v>
      </c>
      <c r="H756" s="51">
        <v>370.28</v>
      </c>
      <c r="J756" s="51">
        <v>5.65</v>
      </c>
      <c r="K756" s="51">
        <f>Tabela6[[#This Row],[CONSUMO]]*Tabela6[[#This Row],[VALOR UNIT]]-Tabela6[[#This Row],[DESCONTO]]</f>
        <v>2092.0819999999999</v>
      </c>
      <c r="L756" s="53">
        <f>Tabela6[[#This Row],[CUSTO TOTAL]]/Tabela6[[#This Row],[CONSUMO]]</f>
        <v>5.65</v>
      </c>
      <c r="M756" s="50">
        <f>Tabela6[[#This Row],[KM ATUAL]]-E755</f>
        <v>1028</v>
      </c>
      <c r="N756" s="51">
        <f>Tabela6[[#This Row],[KM Rodados ]]/Tabela6[[#This Row],[CONSUMO]]</f>
        <v>2.7762774116884521</v>
      </c>
    </row>
    <row r="757" spans="1:14" x14ac:dyDescent="0.25">
      <c r="A757" s="47">
        <v>335976</v>
      </c>
      <c r="B757" s="78">
        <v>45016</v>
      </c>
      <c r="C757" s="47" t="s">
        <v>67</v>
      </c>
      <c r="D757" s="49" t="s">
        <v>253</v>
      </c>
      <c r="E757" s="47">
        <v>658406</v>
      </c>
      <c r="G757" s="50" t="s">
        <v>241</v>
      </c>
      <c r="H757" s="51">
        <v>23.428999999999998</v>
      </c>
      <c r="J757" s="51">
        <v>4.99</v>
      </c>
      <c r="K757" s="51">
        <f>Tabela6[[#This Row],[CONSUMO]]*Tabela6[[#This Row],[VALOR UNIT]]-Tabela6[[#This Row],[DESCONTO]]</f>
        <v>116.91070999999999</v>
      </c>
      <c r="L757" s="53">
        <f>Tabela6[[#This Row],[CUSTO TOTAL]]/Tabela6[[#This Row],[CONSUMO]]</f>
        <v>4.99</v>
      </c>
      <c r="M757" s="50"/>
      <c r="N757"/>
    </row>
    <row r="758" spans="1:14" x14ac:dyDescent="0.25">
      <c r="A758" s="47">
        <v>283752</v>
      </c>
      <c r="B758" s="78">
        <v>45016</v>
      </c>
      <c r="C758" s="47" t="s">
        <v>215</v>
      </c>
      <c r="D758" s="49" t="s">
        <v>276</v>
      </c>
      <c r="E758" s="47">
        <v>220084</v>
      </c>
      <c r="G758" s="50" t="s">
        <v>244</v>
      </c>
      <c r="H758" s="51">
        <v>39.631</v>
      </c>
      <c r="J758" s="51">
        <v>5.39</v>
      </c>
      <c r="K758" s="51">
        <f>Tabela6[[#This Row],[CONSUMO]]*Tabela6[[#This Row],[VALOR UNIT]]-Tabela6[[#This Row],[DESCONTO]]</f>
        <v>213.61108999999999</v>
      </c>
      <c r="L758" s="53">
        <f>Tabela6[[#This Row],[CUSTO TOTAL]]/Tabela6[[#This Row],[CONSUMO]]</f>
        <v>5.39</v>
      </c>
      <c r="M758" s="50">
        <f>Tabela6[[#This Row],[KM ATUAL]]-E682</f>
        <v>-18759</v>
      </c>
      <c r="N758" s="51">
        <f>Tabela6[[#This Row],[KM Rodados ]]/H682</f>
        <v>-293.109375</v>
      </c>
    </row>
    <row r="759" spans="1:14" x14ac:dyDescent="0.25">
      <c r="A759" s="47">
        <v>523880</v>
      </c>
      <c r="B759" s="78">
        <v>45016</v>
      </c>
      <c r="C759" s="47" t="s">
        <v>215</v>
      </c>
      <c r="D759" s="49" t="s">
        <v>255</v>
      </c>
      <c r="E759" s="47">
        <v>220377</v>
      </c>
      <c r="G759" s="50" t="s">
        <v>244</v>
      </c>
      <c r="H759" s="51">
        <v>20</v>
      </c>
      <c r="J759" s="51">
        <v>5.64</v>
      </c>
      <c r="K759" s="51">
        <f>Tabela6[[#This Row],[CONSUMO]]*Tabela6[[#This Row],[VALOR UNIT]]-Tabela6[[#This Row],[DESCONTO]]</f>
        <v>112.8</v>
      </c>
      <c r="L759" s="53">
        <f>Tabela6[[#This Row],[CUSTO TOTAL]]/Tabela6[[#This Row],[CONSUMO]]</f>
        <v>5.64</v>
      </c>
      <c r="M759" s="50">
        <f>Tabela6[[#This Row],[KM ATUAL]]-E751</f>
        <v>105460</v>
      </c>
      <c r="N759" s="51">
        <f>Tabela6[[#This Row],[KM Rodados ]]/H751</f>
        <v>4218.3999999999996</v>
      </c>
    </row>
    <row r="760" spans="1:14" x14ac:dyDescent="0.25">
      <c r="A760" s="47">
        <v>171476</v>
      </c>
      <c r="B760" s="78">
        <v>45016</v>
      </c>
      <c r="C760" s="47" t="s">
        <v>22</v>
      </c>
      <c r="D760" s="49" t="s">
        <v>262</v>
      </c>
      <c r="E760" s="47">
        <v>320382</v>
      </c>
      <c r="G760" s="50" t="s">
        <v>89</v>
      </c>
      <c r="H760" s="51">
        <v>111.43</v>
      </c>
      <c r="J760" s="51">
        <v>5.89</v>
      </c>
      <c r="K760" s="74">
        <f>Tabela6[[#This Row],[CONSUMO]]*Tabela6[[#This Row],[VALOR UNIT]]-Tabela6[[#This Row],[DESCONTO]]</f>
        <v>656.32270000000005</v>
      </c>
      <c r="L760" s="53">
        <f>Tabela6[[#This Row],[CUSTO TOTAL]]/Tabela6[[#This Row],[CONSUMO]]</f>
        <v>5.8900000000000006</v>
      </c>
      <c r="M760" s="50">
        <f>Tabela6[[#This Row],[KM ATUAL]]-E721</f>
        <v>-338002</v>
      </c>
      <c r="N760" s="51">
        <f>Tabela6[[#This Row],[KM Rodados ]]/Tabela6[[#This Row],[CONSUMO]]</f>
        <v>-3033.3123934308533</v>
      </c>
    </row>
    <row r="761" spans="1:14" x14ac:dyDescent="0.25">
      <c r="A761" s="47">
        <v>526850</v>
      </c>
      <c r="B761" s="78">
        <v>45016</v>
      </c>
      <c r="C761" s="47" t="s">
        <v>70</v>
      </c>
      <c r="D761" s="49" t="s">
        <v>275</v>
      </c>
      <c r="E761" s="47">
        <v>191565</v>
      </c>
      <c r="G761" s="50" t="s">
        <v>89</v>
      </c>
      <c r="H761" s="51">
        <v>705</v>
      </c>
      <c r="J761" s="51">
        <v>5.79</v>
      </c>
      <c r="K761" s="51">
        <f>Tabela6[[#This Row],[CONSUMO]]*Tabela6[[#This Row],[VALOR UNIT]]-Tabela6[[#This Row],[DESCONTO]]</f>
        <v>4081.95</v>
      </c>
      <c r="L761" s="53">
        <f>Tabela6[[#This Row],[CUSTO TOTAL]]/Tabela6[[#This Row],[CONSUMO]]</f>
        <v>5.79</v>
      </c>
      <c r="M761" s="50">
        <f>Tabela6[[#This Row],[KM ATUAL]]-E708</f>
        <v>-25795</v>
      </c>
      <c r="N761" s="51">
        <f>Tabela6[[#This Row],[KM Rodados ]]/Tabela6[[#This Row],[CONSUMO]]</f>
        <v>-36.588652482269502</v>
      </c>
    </row>
    <row r="762" spans="1:14" x14ac:dyDescent="0.25">
      <c r="A762" s="47">
        <v>164976</v>
      </c>
      <c r="B762" s="78">
        <v>45016</v>
      </c>
      <c r="C762" s="47" t="s">
        <v>203</v>
      </c>
      <c r="D762" s="49" t="s">
        <v>248</v>
      </c>
      <c r="E762" s="47">
        <v>85761</v>
      </c>
      <c r="G762" s="50" t="s">
        <v>244</v>
      </c>
      <c r="H762" s="51">
        <v>37.17</v>
      </c>
      <c r="J762" s="51">
        <v>5.44</v>
      </c>
      <c r="K762" s="51">
        <f>Tabela6[[#This Row],[CONSUMO]]*Tabela6[[#This Row],[VALOR UNIT]]-Tabela6[[#This Row],[DESCONTO]]</f>
        <v>202.20480000000003</v>
      </c>
      <c r="L762" s="53">
        <f>Tabela6[[#This Row],[CUSTO TOTAL]]/Tabela6[[#This Row],[CONSUMO]]</f>
        <v>5.44</v>
      </c>
      <c r="M762" s="50">
        <f>Tabela6[[#This Row],[KM ATUAL]]-E749</f>
        <v>-28725</v>
      </c>
      <c r="N762" s="51">
        <f>Tabela6[[#This Row],[KM Rodados ]]/Tabela6[[#This Row],[CONSUMO]]</f>
        <v>-772.80064568200157</v>
      </c>
    </row>
    <row r="763" spans="1:14" x14ac:dyDescent="0.25">
      <c r="A763" s="47">
        <v>149434</v>
      </c>
      <c r="B763" s="78">
        <v>45016</v>
      </c>
      <c r="C763" s="47" t="s">
        <v>20</v>
      </c>
      <c r="D763" s="49" t="s">
        <v>268</v>
      </c>
      <c r="E763" s="47">
        <v>240573</v>
      </c>
      <c r="G763" s="50" t="s">
        <v>89</v>
      </c>
      <c r="H763" s="51">
        <v>52.52</v>
      </c>
      <c r="J763" s="51">
        <v>5.59</v>
      </c>
      <c r="K763" s="51">
        <f>Tabela6[[#This Row],[CONSUMO]]*Tabela6[[#This Row],[VALOR UNIT]]-Tabela6[[#This Row],[DESCONTO]]</f>
        <v>293.58679999999998</v>
      </c>
      <c r="L763" s="53">
        <f>Tabela6[[#This Row],[CUSTO TOTAL]]/Tabela6[[#This Row],[CONSUMO]]</f>
        <v>5.589999999999999</v>
      </c>
      <c r="M763" s="50">
        <f>Tabela6[[#This Row],[KM ATUAL]]-E745</f>
        <v>750</v>
      </c>
      <c r="N763" s="51">
        <f>Tabela6[[#This Row],[KM Rodados ]]/Tabela6[[#This Row],[CONSUMO]]</f>
        <v>14.280274181264279</v>
      </c>
    </row>
    <row r="764" spans="1:14" x14ac:dyDescent="0.25">
      <c r="A764" s="47">
        <v>523844</v>
      </c>
      <c r="B764" s="78">
        <v>45016</v>
      </c>
      <c r="C764" s="47" t="s">
        <v>38</v>
      </c>
      <c r="D764" s="49" t="s">
        <v>255</v>
      </c>
      <c r="E764" s="47">
        <v>127065</v>
      </c>
      <c r="G764" s="50" t="s">
        <v>244</v>
      </c>
      <c r="H764" s="51">
        <v>50.280999999999999</v>
      </c>
      <c r="J764" s="51">
        <v>5.64</v>
      </c>
      <c r="K764" s="51">
        <f>Tabela6[[#This Row],[CONSUMO]]*Tabela6[[#This Row],[VALOR UNIT]]-Tabela6[[#This Row],[DESCONTO]]</f>
        <v>283.58483999999999</v>
      </c>
      <c r="L764" s="53">
        <f>Tabela6[[#This Row],[CUSTO TOTAL]]/Tabela6[[#This Row],[CONSUMO]]</f>
        <v>5.64</v>
      </c>
      <c r="M764" s="50">
        <f>Tabela6[[#This Row],[KM ATUAL]]-E675</f>
        <v>-251543</v>
      </c>
      <c r="N764" s="51">
        <f>Tabela6[[#This Row],[KM Rodados ]]/Tabela6[[#This Row],[CONSUMO]]</f>
        <v>-5002.7445754857699</v>
      </c>
    </row>
    <row r="765" spans="1:14" x14ac:dyDescent="0.25">
      <c r="A765" s="47">
        <v>231200</v>
      </c>
      <c r="B765" s="78">
        <v>45016</v>
      </c>
      <c r="C765" s="47" t="s">
        <v>23</v>
      </c>
      <c r="D765" s="49" t="s">
        <v>272</v>
      </c>
      <c r="E765" s="47">
        <v>218026</v>
      </c>
      <c r="G765" s="50" t="s">
        <v>89</v>
      </c>
      <c r="H765" s="51">
        <v>101.14</v>
      </c>
      <c r="J765" s="51">
        <v>5.39</v>
      </c>
      <c r="K765" s="51">
        <f>Tabela6[[#This Row],[CONSUMO]]*Tabela6[[#This Row],[VALOR UNIT]]-Tabela6[[#This Row],[DESCONTO]]</f>
        <v>545.14459999999997</v>
      </c>
      <c r="L765" s="53">
        <f>Tabela6[[#This Row],[CUSTO TOTAL]]/Tabela6[[#This Row],[CONSUMO]]</f>
        <v>5.39</v>
      </c>
      <c r="M765" s="50">
        <f>Tabela6[[#This Row],[KM ATUAL]]-E726</f>
        <v>-162570</v>
      </c>
      <c r="N765" s="51">
        <f>Tabela6[[#This Row],[KM Rodados ]]/Tabela6[[#This Row],[CONSUMO]]</f>
        <v>-1607.3759145738579</v>
      </c>
    </row>
    <row r="766" spans="1:14" x14ac:dyDescent="0.25">
      <c r="A766" s="47" t="s">
        <v>314</v>
      </c>
      <c r="B766" s="78">
        <v>45017</v>
      </c>
      <c r="C766" s="47" t="s">
        <v>40</v>
      </c>
      <c r="E766" s="47">
        <v>131608</v>
      </c>
      <c r="G766" s="50" t="s">
        <v>244</v>
      </c>
      <c r="H766" s="51">
        <v>38.4</v>
      </c>
      <c r="K766" s="52">
        <f>Tabela6[[#This Row],[CONSUMO]]*Tabela6[[#This Row],[VALOR UNIT]]-Tabela6[[#This Row],[DESCONTO]]</f>
        <v>0</v>
      </c>
      <c r="L766" s="53">
        <f>Tabela6[[#This Row],[CUSTO TOTAL]]/Tabela6[[#This Row],[CONSUMO]]</f>
        <v>0</v>
      </c>
      <c r="M766" s="50">
        <f>Tabela6[[#This Row],[KM ATUAL]]-E765</f>
        <v>-86418</v>
      </c>
      <c r="N766" s="51">
        <f>Tabela6[[#This Row],[KM Rodados ]]/Tabela6[[#This Row],[CONSUMO]]</f>
        <v>-2250.46875</v>
      </c>
    </row>
    <row r="767" spans="1:14" x14ac:dyDescent="0.25">
      <c r="A767" s="47" t="s">
        <v>314</v>
      </c>
      <c r="B767" s="78">
        <v>45018</v>
      </c>
      <c r="C767" s="47" t="s">
        <v>18</v>
      </c>
      <c r="E767" s="47">
        <v>303047</v>
      </c>
      <c r="G767" s="50" t="s">
        <v>89</v>
      </c>
      <c r="H767" s="51">
        <v>100.2</v>
      </c>
      <c r="K767" s="52">
        <f>Tabela6[[#This Row],[CONSUMO]]*Tabela6[[#This Row],[VALOR UNIT]]-Tabela6[[#This Row],[DESCONTO]]</f>
        <v>0</v>
      </c>
      <c r="L767" s="53">
        <f>Tabela6[[#This Row],[CUSTO TOTAL]]/Tabela6[[#This Row],[CONSUMO]]</f>
        <v>0</v>
      </c>
      <c r="M767" s="50">
        <f>Tabela6[[#This Row],[KM ATUAL]]-E734</f>
        <v>260045</v>
      </c>
      <c r="N767" s="51">
        <f>Tabela6[[#This Row],[KM Rodados ]]/Tabela6[[#This Row],[CONSUMO]]</f>
        <v>2595.2594810379242</v>
      </c>
    </row>
    <row r="768" spans="1:14" x14ac:dyDescent="0.25">
      <c r="A768" s="47" t="s">
        <v>314</v>
      </c>
      <c r="B768" s="78">
        <v>45018</v>
      </c>
      <c r="C768" s="47" t="s">
        <v>40</v>
      </c>
      <c r="E768" s="47">
        <v>132099</v>
      </c>
      <c r="G768" s="50" t="s">
        <v>244</v>
      </c>
      <c r="H768" s="51">
        <v>39.520000000000003</v>
      </c>
      <c r="K768" s="52">
        <f>Tabela6[[#This Row],[CONSUMO]]*Tabela6[[#This Row],[VALOR UNIT]]-Tabela6[[#This Row],[DESCONTO]]</f>
        <v>0</v>
      </c>
      <c r="L768" s="53">
        <f>Tabela6[[#This Row],[CUSTO TOTAL]]/Tabela6[[#This Row],[CONSUMO]]</f>
        <v>0</v>
      </c>
      <c r="M768" s="50">
        <f>Tabela6[[#This Row],[KM ATUAL]]-E767</f>
        <v>-170948</v>
      </c>
      <c r="N768" s="51">
        <f>Tabela6[[#This Row],[KM Rodados ]]/Tabela6[[#This Row],[CONSUMO]]</f>
        <v>-4325.6072874493921</v>
      </c>
    </row>
    <row r="769" spans="1:14" x14ac:dyDescent="0.25">
      <c r="A769" s="47">
        <v>172171</v>
      </c>
      <c r="B769" s="78">
        <v>45019</v>
      </c>
      <c r="C769" s="47" t="s">
        <v>43</v>
      </c>
      <c r="D769" s="49" t="s">
        <v>262</v>
      </c>
      <c r="E769" s="47">
        <v>115446</v>
      </c>
      <c r="G769" s="50" t="s">
        <v>89</v>
      </c>
      <c r="H769" s="51">
        <v>45.040999999999997</v>
      </c>
      <c r="J769" s="51">
        <v>5.89</v>
      </c>
      <c r="K769" s="52">
        <f>Tabela6[[#This Row],[CONSUMO]]*Tabela6[[#This Row],[VALOR UNIT]]-Tabela6[[#This Row],[DESCONTO]]</f>
        <v>265.29148999999995</v>
      </c>
      <c r="L769" s="53">
        <f>Tabela6[[#This Row],[CUSTO TOTAL]]/Tabela6[[#This Row],[CONSUMO]]</f>
        <v>5.89</v>
      </c>
      <c r="M769" s="50">
        <f>Tabela6[[#This Row],[KM ATUAL]]-E734</f>
        <v>72444</v>
      </c>
      <c r="N769" s="72">
        <f>Tabela6[[#This Row],[KM Rodados ]]/Tabela6[[#This Row],[CONSUMO]]</f>
        <v>1608.4012344308519</v>
      </c>
    </row>
    <row r="770" spans="1:14" x14ac:dyDescent="0.25">
      <c r="A770" s="47">
        <v>165750</v>
      </c>
      <c r="B770" s="78">
        <v>45019</v>
      </c>
      <c r="C770" s="47" t="s">
        <v>203</v>
      </c>
      <c r="D770" s="49" t="s">
        <v>248</v>
      </c>
      <c r="E770" s="47">
        <v>86120</v>
      </c>
      <c r="G770" s="50" t="s">
        <v>244</v>
      </c>
      <c r="H770" s="51">
        <v>26.817</v>
      </c>
      <c r="J770" s="51">
        <v>5.44</v>
      </c>
      <c r="K770" s="51">
        <f>Tabela6[[#This Row],[CONSUMO]]*Tabela6[[#This Row],[VALOR UNIT]]-Tabela6[[#This Row],[DESCONTO]]</f>
        <v>145.88448000000002</v>
      </c>
      <c r="L770" s="53">
        <f>Tabela6[[#This Row],[CUSTO TOTAL]]/Tabela6[[#This Row],[CONSUMO]]</f>
        <v>5.4400000000000013</v>
      </c>
      <c r="M770" s="50">
        <f>Tabela6[[#This Row],[KM ATUAL]]-E753</f>
        <v>-510633</v>
      </c>
      <c r="N770" s="51">
        <f>Tabela6[[#This Row],[KM Rodados ]]/Tabela6[[#This Row],[CONSUMO]]</f>
        <v>-19041.391654547489</v>
      </c>
    </row>
    <row r="771" spans="1:14" x14ac:dyDescent="0.25">
      <c r="A771" s="47">
        <v>338379</v>
      </c>
      <c r="B771" s="78">
        <v>45019</v>
      </c>
      <c r="C771" s="47" t="s">
        <v>64</v>
      </c>
      <c r="D771" s="49" t="s">
        <v>253</v>
      </c>
      <c r="E771" s="47">
        <v>74922</v>
      </c>
      <c r="G771" s="50" t="s">
        <v>89</v>
      </c>
      <c r="H771" s="51">
        <v>161.13999999999999</v>
      </c>
      <c r="I771" s="49">
        <v>48.34</v>
      </c>
      <c r="J771" s="51">
        <v>6.09</v>
      </c>
      <c r="K771" s="51">
        <f>Tabela6[[#This Row],[CONSUMO]]*Tabela6[[#This Row],[VALOR UNIT]]-Tabela6[[#This Row],[DESCONTO]]</f>
        <v>933.00259999999992</v>
      </c>
      <c r="L771" s="53">
        <f>Tabela6[[#This Row],[CUSTO TOTAL]]/Tabela6[[#This Row],[CONSUMO]]</f>
        <v>5.7900124115675808</v>
      </c>
      <c r="M771" s="50">
        <f>Tabela6[[#This Row],[KM ATUAL]]-E721</f>
        <v>-583462</v>
      </c>
      <c r="N771" s="51">
        <f>Tabela6[[#This Row],[KM Rodados ]]/Tabela6[[#This Row],[CONSUMO]]</f>
        <v>-3620.8390219684748</v>
      </c>
    </row>
    <row r="772" spans="1:14" x14ac:dyDescent="0.25">
      <c r="A772" s="47">
        <v>338096</v>
      </c>
      <c r="B772" s="78">
        <v>45019</v>
      </c>
      <c r="C772" s="47" t="s">
        <v>41</v>
      </c>
      <c r="D772" s="49" t="s">
        <v>253</v>
      </c>
      <c r="E772" s="47">
        <v>654306</v>
      </c>
      <c r="G772" s="50" t="s">
        <v>89</v>
      </c>
      <c r="H772" s="51">
        <v>197.7</v>
      </c>
      <c r="I772" s="49">
        <v>59.31</v>
      </c>
      <c r="J772" s="51">
        <v>6.09</v>
      </c>
      <c r="K772" s="51">
        <f>Tabela6[[#This Row],[CONSUMO]]*Tabela6[[#This Row],[VALOR UNIT]]-Tabela6[[#This Row],[DESCONTO]]</f>
        <v>1144.683</v>
      </c>
      <c r="L772" s="53">
        <f>Tabela6[[#This Row],[CUSTO TOTAL]]/Tabela6[[#This Row],[CONSUMO]]</f>
        <v>5.79</v>
      </c>
      <c r="M772" s="50">
        <f>Tabela6[[#This Row],[KM ATUAL]]-E720</f>
        <v>58005</v>
      </c>
      <c r="N772" s="51">
        <f>Tabela6[[#This Row],[KM Rodados ]]/Tabela6[[#This Row],[CONSUMO]]</f>
        <v>293.3990895295903</v>
      </c>
    </row>
    <row r="773" spans="1:14" x14ac:dyDescent="0.25">
      <c r="A773" s="47" t="s">
        <v>314</v>
      </c>
      <c r="B773" s="78">
        <v>45019</v>
      </c>
      <c r="C773" s="47" t="s">
        <v>10</v>
      </c>
      <c r="E773" s="47">
        <v>709474</v>
      </c>
      <c r="G773" s="50" t="s">
        <v>89</v>
      </c>
      <c r="H773" s="51">
        <v>142.30000000000001</v>
      </c>
      <c r="K773" s="52">
        <f>Tabela6[[#This Row],[CONSUMO]]*Tabela6[[#This Row],[VALOR UNIT]]-Tabela6[[#This Row],[DESCONTO]]</f>
        <v>0</v>
      </c>
      <c r="L773" s="53">
        <f>Tabela6[[#This Row],[CUSTO TOTAL]]/Tabela6[[#This Row],[CONSUMO]]</f>
        <v>0</v>
      </c>
      <c r="M773" s="50">
        <f>Tabela6[[#This Row],[KM ATUAL]]-E666</f>
        <v>56657</v>
      </c>
      <c r="N773" s="51">
        <f>Tabela6[[#This Row],[KM Rodados ]]/Tabela6[[#This Row],[CONSUMO]]</f>
        <v>398.15179198875614</v>
      </c>
    </row>
    <row r="774" spans="1:14" x14ac:dyDescent="0.25">
      <c r="A774" s="47">
        <v>172075</v>
      </c>
      <c r="B774" s="78">
        <v>45019</v>
      </c>
      <c r="C774" s="47" t="s">
        <v>10</v>
      </c>
      <c r="D774" s="49" t="s">
        <v>262</v>
      </c>
      <c r="E774" s="47">
        <v>710151</v>
      </c>
      <c r="G774" s="50" t="s">
        <v>89</v>
      </c>
      <c r="H774" s="51">
        <v>206.46</v>
      </c>
      <c r="J774" s="51">
        <v>5.89</v>
      </c>
      <c r="K774" s="52">
        <f>Tabela6[[#This Row],[CONSUMO]]*Tabela6[[#This Row],[VALOR UNIT]]-Tabela6[[#This Row],[DESCONTO]]</f>
        <v>1216.0493999999999</v>
      </c>
      <c r="L774" s="53">
        <f>Tabela6[[#This Row],[CUSTO TOTAL]]/Tabela6[[#This Row],[CONSUMO]]</f>
        <v>5.8899999999999988</v>
      </c>
      <c r="M774" s="50">
        <f>Tabela6[[#This Row],[KM ATUAL]]-E753</f>
        <v>113398</v>
      </c>
      <c r="N774" s="51">
        <f>Tabela6[[#This Row],[KM Rodados ]]/Tabela6[[#This Row],[CONSUMO]]</f>
        <v>549.24924924924926</v>
      </c>
    </row>
    <row r="775" spans="1:14" x14ac:dyDescent="0.25">
      <c r="A775" s="47">
        <v>337972</v>
      </c>
      <c r="B775" s="78">
        <v>45019</v>
      </c>
      <c r="C775" s="47" t="s">
        <v>12</v>
      </c>
      <c r="D775" s="49" t="s">
        <v>253</v>
      </c>
      <c r="E775" s="47">
        <v>307738</v>
      </c>
      <c r="G775" s="50" t="s">
        <v>89</v>
      </c>
      <c r="H775" s="51">
        <v>6.7</v>
      </c>
      <c r="J775" s="51">
        <v>6.09</v>
      </c>
      <c r="K775" s="52">
        <f>Tabela6[[#This Row],[CONSUMO]]*Tabela6[[#This Row],[VALOR UNIT]]-Tabela6[[#This Row],[DESCONTO]]</f>
        <v>40.802999999999997</v>
      </c>
      <c r="L775" s="53">
        <f>Tabela6[[#This Row],[CUSTO TOTAL]]/Tabela6[[#This Row],[CONSUMO]]</f>
        <v>6.09</v>
      </c>
      <c r="M775" s="50">
        <f>Tabela6[[#This Row],[KM ATUAL]]-E624</f>
        <v>119275</v>
      </c>
      <c r="N775" s="51">
        <f>Tabela6[[#This Row],[KM Rodados ]]/Tabela6[[#This Row],[CONSUMO]]</f>
        <v>17802.238805970148</v>
      </c>
    </row>
    <row r="776" spans="1:14" x14ac:dyDescent="0.25">
      <c r="A776" s="47">
        <v>635660</v>
      </c>
      <c r="B776" s="78">
        <v>45019</v>
      </c>
      <c r="C776" s="47" t="s">
        <v>13</v>
      </c>
      <c r="D776" s="47" t="s">
        <v>250</v>
      </c>
      <c r="E776" s="47">
        <v>608574</v>
      </c>
      <c r="G776" s="50" t="s">
        <v>89</v>
      </c>
      <c r="H776" s="51">
        <v>150.03</v>
      </c>
      <c r="J776" s="51">
        <v>5.7</v>
      </c>
      <c r="K776" s="51">
        <f>Tabela6[[#This Row],[CONSUMO]]*Tabela6[[#This Row],[VALOR UNIT]]-Tabela6[[#This Row],[DESCONTO]]</f>
        <v>855.17100000000005</v>
      </c>
      <c r="L776" s="53">
        <f>Tabela6[[#This Row],[CUSTO TOTAL]]/Tabela6[[#This Row],[CONSUMO]]</f>
        <v>5.7</v>
      </c>
      <c r="M776" s="50">
        <f>Tabela6[[#This Row],[KM ATUAL]]-E753</f>
        <v>11821</v>
      </c>
      <c r="N776" s="51">
        <f>Tabela6[[#This Row],[KM Rodados ]]/Tabela6[[#This Row],[CONSUMO]]</f>
        <v>78.790908484969677</v>
      </c>
    </row>
    <row r="777" spans="1:14" x14ac:dyDescent="0.25">
      <c r="A777" s="47">
        <v>265998</v>
      </c>
      <c r="B777" s="78">
        <v>45019</v>
      </c>
      <c r="C777" s="47" t="s">
        <v>20</v>
      </c>
      <c r="D777" s="49" t="s">
        <v>270</v>
      </c>
      <c r="E777" s="47">
        <v>241021</v>
      </c>
      <c r="G777" s="50" t="s">
        <v>89</v>
      </c>
      <c r="H777" s="51">
        <v>52.814999999999998</v>
      </c>
      <c r="J777" s="51">
        <v>5.69</v>
      </c>
      <c r="K777" s="51">
        <f>Tabela6[[#This Row],[CONSUMO]]*Tabela6[[#This Row],[VALOR UNIT]]-Tabela6[[#This Row],[DESCONTO]]</f>
        <v>300.51735000000002</v>
      </c>
      <c r="L777" s="53">
        <f>Tabela6[[#This Row],[CUSTO TOTAL]]/Tabela6[[#This Row],[CONSUMO]]</f>
        <v>5.69</v>
      </c>
      <c r="M777" s="50">
        <f>Tabela6[[#This Row],[KM ATUAL]]-E745</f>
        <v>1198</v>
      </c>
      <c r="N777" s="51">
        <f>Tabela6[[#This Row],[KM Rodados ]]/Tabela6[[#This Row],[CONSUMO]]</f>
        <v>22.682949919530436</v>
      </c>
    </row>
    <row r="778" spans="1:14" x14ac:dyDescent="0.25">
      <c r="A778" s="47" t="s">
        <v>314</v>
      </c>
      <c r="B778" s="78">
        <v>45019</v>
      </c>
      <c r="C778" s="47" t="s">
        <v>40</v>
      </c>
      <c r="E778" s="47">
        <v>132592</v>
      </c>
      <c r="G778" s="50" t="s">
        <v>244</v>
      </c>
      <c r="H778" s="51">
        <v>40.25</v>
      </c>
      <c r="K778" s="52">
        <f>Tabela6[[#This Row],[CONSUMO]]*Tabela6[[#This Row],[VALOR UNIT]]-Tabela6[[#This Row],[DESCONTO]]</f>
        <v>0</v>
      </c>
      <c r="L778" s="53">
        <f>Tabela6[[#This Row],[CUSTO TOTAL]]/Tabela6[[#This Row],[CONSUMO]]</f>
        <v>0</v>
      </c>
      <c r="M778" s="50">
        <f>Tabela6[[#This Row],[KM ATUAL]]-E777</f>
        <v>-108429</v>
      </c>
      <c r="N778" s="51">
        <f>Tabela6[[#This Row],[KM Rodados ]]/Tabela6[[#This Row],[CONSUMO]]</f>
        <v>-2693.8881987577638</v>
      </c>
    </row>
    <row r="779" spans="1:14" x14ac:dyDescent="0.25">
      <c r="A779" s="47">
        <v>172082</v>
      </c>
      <c r="B779" s="78">
        <v>45019</v>
      </c>
      <c r="C779" s="47" t="s">
        <v>40</v>
      </c>
      <c r="D779" s="49" t="s">
        <v>262</v>
      </c>
      <c r="E779" s="47">
        <v>133110</v>
      </c>
      <c r="G779" s="50" t="s">
        <v>244</v>
      </c>
      <c r="H779" s="51">
        <v>41.911000000000001</v>
      </c>
      <c r="J779" s="51">
        <v>5.49</v>
      </c>
      <c r="K779" s="74">
        <f>Tabela6[[#This Row],[CONSUMO]]*Tabela6[[#This Row],[VALOR UNIT]]-Tabela6[[#This Row],[DESCONTO]]</f>
        <v>230.09139000000002</v>
      </c>
      <c r="L779" s="53">
        <f>Tabela6[[#This Row],[CUSTO TOTAL]]/Tabela6[[#This Row],[CONSUMO]]</f>
        <v>5.49</v>
      </c>
      <c r="M779" s="50">
        <f>Tabela6[[#This Row],[KM ATUAL]]-E778</f>
        <v>518</v>
      </c>
      <c r="N779" s="51">
        <f>Tabela6[[#This Row],[KM Rodados ]]/Tabela6[[#This Row],[CONSUMO]]</f>
        <v>12.359523752714084</v>
      </c>
    </row>
    <row r="780" spans="1:14" x14ac:dyDescent="0.25">
      <c r="A780" s="47">
        <v>172334</v>
      </c>
      <c r="B780" s="78">
        <v>45020</v>
      </c>
      <c r="C780" s="47" t="s">
        <v>68</v>
      </c>
      <c r="D780" s="49" t="s">
        <v>262</v>
      </c>
      <c r="E780" s="47">
        <v>876054</v>
      </c>
      <c r="G780" s="50" t="s">
        <v>89</v>
      </c>
      <c r="H780" s="51">
        <v>409.71</v>
      </c>
      <c r="J780" s="51">
        <v>5.89</v>
      </c>
      <c r="K780" s="51">
        <f>Tabela6[[#This Row],[CONSUMO]]*Tabela6[[#This Row],[VALOR UNIT]]-Tabela6[[#This Row],[DESCONTO]]</f>
        <v>2413.1918999999998</v>
      </c>
      <c r="L780" s="53">
        <f>Tabela6[[#This Row],[CUSTO TOTAL]]/Tabela6[[#This Row],[CONSUMO]]</f>
        <v>5.89</v>
      </c>
      <c r="M780" s="50">
        <f>Tabela6[[#This Row],[KM ATUAL]]-E723</f>
        <v>496256</v>
      </c>
      <c r="N780" s="51">
        <f>Tabela6[[#This Row],[KM Rodados ]]/Tabela6[[#This Row],[CONSUMO]]</f>
        <v>1211.2372165678164</v>
      </c>
    </row>
    <row r="781" spans="1:14" x14ac:dyDescent="0.25">
      <c r="A781" s="47">
        <v>172225</v>
      </c>
      <c r="B781" s="78">
        <v>45020</v>
      </c>
      <c r="C781" s="47" t="s">
        <v>43</v>
      </c>
      <c r="D781" s="49" t="s">
        <v>262</v>
      </c>
      <c r="E781" s="47">
        <v>115566</v>
      </c>
      <c r="G781" s="50" t="s">
        <v>89</v>
      </c>
      <c r="H781" s="51">
        <v>14.941000000000001</v>
      </c>
      <c r="J781" s="51">
        <v>5.89</v>
      </c>
      <c r="K781" s="52">
        <f>Tabela6[[#This Row],[CONSUMO]]*Tabela6[[#This Row],[VALOR UNIT]]-Tabela6[[#This Row],[DESCONTO]]</f>
        <v>88.002489999999995</v>
      </c>
      <c r="L781" s="53">
        <f>Tabela6[[#This Row],[CUSTO TOTAL]]/Tabela6[[#This Row],[CONSUMO]]</f>
        <v>5.89</v>
      </c>
      <c r="M781" s="50">
        <f>Tabela6[[#This Row],[KM ATUAL]]-E773</f>
        <v>-593908</v>
      </c>
      <c r="N781" s="72">
        <f>Tabela6[[#This Row],[KM Rodados ]]/Tabela6[[#This Row],[CONSUMO]]</f>
        <v>-39750.217522254199</v>
      </c>
    </row>
    <row r="782" spans="1:14" x14ac:dyDescent="0.25">
      <c r="A782" s="47">
        <v>827679</v>
      </c>
      <c r="B782" s="78">
        <v>45020</v>
      </c>
      <c r="C782" s="47" t="s">
        <v>43</v>
      </c>
      <c r="D782" s="47" t="s">
        <v>267</v>
      </c>
      <c r="E782" s="47">
        <v>115826</v>
      </c>
      <c r="G782" s="50" t="s">
        <v>89</v>
      </c>
      <c r="H782" s="51">
        <v>35.064</v>
      </c>
      <c r="J782" s="51">
        <v>5.68</v>
      </c>
      <c r="K782" s="52">
        <f>Tabela6[[#This Row],[CONSUMO]]*Tabela6[[#This Row],[VALOR UNIT]]-Tabela6[[#This Row],[DESCONTO]]</f>
        <v>199.16351999999998</v>
      </c>
      <c r="L782" s="53">
        <f>Tabela6[[#This Row],[CUSTO TOTAL]]/Tabela6[[#This Row],[CONSUMO]]</f>
        <v>5.68</v>
      </c>
      <c r="M782" s="50">
        <f>Tabela6[[#This Row],[KM ATUAL]]-E779</f>
        <v>-17284</v>
      </c>
      <c r="N782" s="72">
        <f>Tabela6[[#This Row],[KM Rodados ]]/Tabela6[[#This Row],[CONSUMO]]</f>
        <v>-492.92721879990876</v>
      </c>
    </row>
    <row r="783" spans="1:14" x14ac:dyDescent="0.25">
      <c r="A783" s="47">
        <v>152455</v>
      </c>
      <c r="B783" s="78">
        <v>45020</v>
      </c>
      <c r="C783" s="47" t="s">
        <v>9</v>
      </c>
      <c r="D783" s="49" t="s">
        <v>268</v>
      </c>
      <c r="E783" s="47">
        <v>597195</v>
      </c>
      <c r="G783" s="50" t="s">
        <v>89</v>
      </c>
      <c r="H783" s="51">
        <v>115</v>
      </c>
      <c r="J783" s="51">
        <v>5.49</v>
      </c>
      <c r="K783" s="51">
        <f>Tabela6[[#This Row],[CONSUMO]]*Tabela6[[#This Row],[VALOR UNIT]]-Tabela6[[#This Row],[DESCONTO]]</f>
        <v>631.35</v>
      </c>
      <c r="L783" s="53">
        <f>Tabela6[[#This Row],[CUSTO TOTAL]]/Tabela6[[#This Row],[CONSUMO]]</f>
        <v>5.49</v>
      </c>
      <c r="M783" s="50">
        <f>Tabela6[[#This Row],[KM ATUAL]]-E739</f>
        <v>511895</v>
      </c>
      <c r="N783" s="51">
        <f>Tabela6[[#This Row],[KM Rodados ]]/Tabela6[[#This Row],[CONSUMO]]</f>
        <v>4451.260869565217</v>
      </c>
    </row>
    <row r="784" spans="1:14" x14ac:dyDescent="0.25">
      <c r="A784" s="47">
        <v>338858</v>
      </c>
      <c r="B784" s="78">
        <v>45020</v>
      </c>
      <c r="C784" s="47" t="s">
        <v>39</v>
      </c>
      <c r="D784" s="49" t="s">
        <v>253</v>
      </c>
      <c r="E784" s="47">
        <v>0</v>
      </c>
      <c r="G784" s="50" t="s">
        <v>241</v>
      </c>
      <c r="H784" s="51">
        <v>7.0529999999999999</v>
      </c>
      <c r="J784" s="51">
        <v>4.99</v>
      </c>
      <c r="K784" s="51">
        <f>Tabela6[[#This Row],[CONSUMO]]*Tabela6[[#This Row],[VALOR UNIT]]-Tabela6[[#This Row],[DESCONTO]]</f>
        <v>35.194470000000003</v>
      </c>
      <c r="L784" s="53">
        <f>Tabela6[[#This Row],[CUSTO TOTAL]]/Tabela6[[#This Row],[CONSUMO]]</f>
        <v>4.99</v>
      </c>
      <c r="M784" s="50"/>
      <c r="N784"/>
    </row>
    <row r="785" spans="1:14" x14ac:dyDescent="0.25">
      <c r="A785" s="47">
        <v>285059</v>
      </c>
      <c r="B785" s="78">
        <v>45020</v>
      </c>
      <c r="C785" s="47" t="s">
        <v>203</v>
      </c>
      <c r="D785" s="49" t="s">
        <v>276</v>
      </c>
      <c r="E785" s="47">
        <v>86263</v>
      </c>
      <c r="G785" s="50" t="s">
        <v>244</v>
      </c>
      <c r="H785" s="51">
        <v>11.15</v>
      </c>
      <c r="J785" s="51">
        <v>5.39</v>
      </c>
      <c r="K785" s="51">
        <f>Tabela6[[#This Row],[CONSUMO]]*Tabela6[[#This Row],[VALOR UNIT]]-Tabela6[[#This Row],[DESCONTO]]</f>
        <v>60.098500000000001</v>
      </c>
      <c r="L785" s="53">
        <f>Tabela6[[#This Row],[CUSTO TOTAL]]/Tabela6[[#This Row],[CONSUMO]]</f>
        <v>5.39</v>
      </c>
      <c r="M785" s="50">
        <f>Tabela6[[#This Row],[KM ATUAL]]-E756</f>
        <v>-379013</v>
      </c>
      <c r="N785" s="51">
        <f>Tabela6[[#This Row],[KM Rodados ]]/Tabela6[[#This Row],[CONSUMO]]</f>
        <v>-33992.197309417039</v>
      </c>
    </row>
    <row r="786" spans="1:14" x14ac:dyDescent="0.25">
      <c r="A786" s="47">
        <v>172226</v>
      </c>
      <c r="B786" s="78">
        <v>45020</v>
      </c>
      <c r="C786" s="47" t="s">
        <v>21</v>
      </c>
      <c r="D786" s="49" t="s">
        <v>262</v>
      </c>
      <c r="E786" s="47">
        <v>133981</v>
      </c>
      <c r="G786" s="50" t="s">
        <v>89</v>
      </c>
      <c r="H786" s="51">
        <v>174.059</v>
      </c>
      <c r="J786" s="51">
        <v>5.89</v>
      </c>
      <c r="K786" s="52">
        <f>Tabela6[[#This Row],[CONSUMO]]*Tabela6[[#This Row],[VALOR UNIT]]-Tabela6[[#This Row],[DESCONTO]]</f>
        <v>1025.20751</v>
      </c>
      <c r="L786" s="53">
        <f>Tabela6[[#This Row],[CUSTO TOTAL]]/Tabela6[[#This Row],[CONSUMO]]</f>
        <v>5.89</v>
      </c>
      <c r="M786" s="50">
        <f>Tabela6[[#This Row],[KM ATUAL]]-E716</f>
        <v>60650</v>
      </c>
      <c r="N786" s="51">
        <f>Tabela6[[#This Row],[KM Rodados ]]/Tabela6[[#This Row],[CONSUMO]]</f>
        <v>348.44506747711984</v>
      </c>
    </row>
    <row r="787" spans="1:14" x14ac:dyDescent="0.25">
      <c r="A787" s="47">
        <v>338926</v>
      </c>
      <c r="B787" s="78">
        <v>45020</v>
      </c>
      <c r="C787" s="47" t="s">
        <v>11</v>
      </c>
      <c r="D787" s="49" t="s">
        <v>253</v>
      </c>
      <c r="E787" s="47">
        <v>389097</v>
      </c>
      <c r="G787" s="50" t="s">
        <v>89</v>
      </c>
      <c r="H787" s="51">
        <v>113.04</v>
      </c>
      <c r="I787" s="49">
        <v>33.909999999999997</v>
      </c>
      <c r="J787" s="51">
        <v>6.09</v>
      </c>
      <c r="K787" s="51">
        <f>Tabela6[[#This Row],[CONSUMO]]*Tabela6[[#This Row],[VALOR UNIT]]-Tabela6[[#This Row],[DESCONTO]]</f>
        <v>654.50360000000001</v>
      </c>
      <c r="L787" s="53">
        <f>Tabela6[[#This Row],[CUSTO TOTAL]]/Tabela6[[#This Row],[CONSUMO]]</f>
        <v>5.7900176928520874</v>
      </c>
      <c r="M787" s="50">
        <f>Tabela6[[#This Row],[KM ATUAL]]-E707</f>
        <v>92268</v>
      </c>
      <c r="N787" s="51">
        <f>Tabela6[[#This Row],[KM Rodados ]]/Tabela6[[#This Row],[CONSUMO]]</f>
        <v>816.24203821656045</v>
      </c>
    </row>
    <row r="788" spans="1:14" x14ac:dyDescent="0.25">
      <c r="A788" s="47">
        <v>634134</v>
      </c>
      <c r="B788" s="78">
        <v>45020</v>
      </c>
      <c r="C788" s="47" t="s">
        <v>13</v>
      </c>
      <c r="D788" s="49" t="s">
        <v>264</v>
      </c>
      <c r="E788" s="47">
        <v>609100</v>
      </c>
      <c r="G788" s="50" t="s">
        <v>89</v>
      </c>
      <c r="H788" s="51">
        <v>103.07599999999999</v>
      </c>
      <c r="J788" s="51">
        <v>5.61</v>
      </c>
      <c r="K788" s="51">
        <f>Tabela6[[#This Row],[CONSUMO]]*Tabela6[[#This Row],[VALOR UNIT]]-Tabela6[[#This Row],[DESCONTO]]</f>
        <v>578.25635999999997</v>
      </c>
      <c r="L788" s="53">
        <f>Tabela6[[#This Row],[CUSTO TOTAL]]/Tabela6[[#This Row],[CONSUMO]]</f>
        <v>5.61</v>
      </c>
      <c r="M788" s="50">
        <f>Tabela6[[#This Row],[KM ATUAL]]-E750</f>
        <v>494394</v>
      </c>
      <c r="N788" s="51">
        <f>Tabela6[[#This Row],[KM Rodados ]]/Tabela6[[#This Row],[CONSUMO]]</f>
        <v>4796.4026543521286</v>
      </c>
    </row>
    <row r="789" spans="1:14" x14ac:dyDescent="0.25">
      <c r="A789" s="47">
        <v>285039</v>
      </c>
      <c r="B789" s="78">
        <v>45020</v>
      </c>
      <c r="C789" s="47" t="s">
        <v>20</v>
      </c>
      <c r="D789" s="49" t="s">
        <v>276</v>
      </c>
      <c r="E789" s="47">
        <v>241463</v>
      </c>
      <c r="G789" s="50" t="s">
        <v>89</v>
      </c>
      <c r="H789" s="51">
        <v>55.599899999999998</v>
      </c>
      <c r="J789" s="51">
        <v>5.99</v>
      </c>
      <c r="K789" s="51">
        <f>Tabela6[[#This Row],[CONSUMO]]*Tabela6[[#This Row],[VALOR UNIT]]-Tabela6[[#This Row],[DESCONTO]]</f>
        <v>333.04340100000002</v>
      </c>
      <c r="L789" s="53">
        <f>Tabela6[[#This Row],[CUSTO TOTAL]]/Tabela6[[#This Row],[CONSUMO]]</f>
        <v>5.99</v>
      </c>
      <c r="M789" s="50">
        <f>Tabela6[[#This Row],[KM ATUAL]]-E778</f>
        <v>108871</v>
      </c>
      <c r="N789" s="51">
        <f>Tabela6[[#This Row],[KM Rodados ]]/Tabela6[[#This Row],[CONSUMO]]</f>
        <v>1958.115032580994</v>
      </c>
    </row>
    <row r="790" spans="1:14" x14ac:dyDescent="0.25">
      <c r="A790" s="47">
        <v>172292</v>
      </c>
      <c r="B790" s="78">
        <v>45020</v>
      </c>
      <c r="C790" s="47" t="s">
        <v>40</v>
      </c>
      <c r="D790" s="49" t="s">
        <v>262</v>
      </c>
      <c r="E790" s="47">
        <v>133432</v>
      </c>
      <c r="G790" s="50" t="s">
        <v>244</v>
      </c>
      <c r="H790" s="51">
        <v>27.45</v>
      </c>
      <c r="J790" s="51">
        <v>5.49</v>
      </c>
      <c r="K790" s="74">
        <f>Tabela6[[#This Row],[CONSUMO]]*Tabela6[[#This Row],[VALOR UNIT]]-Tabela6[[#This Row],[DESCONTO]]</f>
        <v>150.70050000000001</v>
      </c>
      <c r="L790" s="53">
        <f>Tabela6[[#This Row],[CUSTO TOTAL]]/Tabela6[[#This Row],[CONSUMO]]</f>
        <v>5.49</v>
      </c>
      <c r="M790" s="50">
        <f>Tabela6[[#This Row],[KM ATUAL]]-E784</f>
        <v>133432</v>
      </c>
      <c r="N790" s="51">
        <f>Tabela6[[#This Row],[KM Rodados ]]/Tabela6[[#This Row],[CONSUMO]]</f>
        <v>4860.9107468123866</v>
      </c>
    </row>
    <row r="791" spans="1:14" x14ac:dyDescent="0.25">
      <c r="A791" s="47">
        <v>73088</v>
      </c>
      <c r="B791" s="78">
        <v>45020</v>
      </c>
      <c r="C791" s="47" t="s">
        <v>74</v>
      </c>
      <c r="D791" s="49" t="s">
        <v>263</v>
      </c>
      <c r="E791" s="47">
        <v>44526</v>
      </c>
      <c r="G791" s="50" t="s">
        <v>89</v>
      </c>
      <c r="H791" s="51">
        <v>86.77</v>
      </c>
      <c r="I791" s="49">
        <v>8.68</v>
      </c>
      <c r="J791" s="51">
        <v>5.59</v>
      </c>
      <c r="K791" s="51">
        <f>Tabela6[[#This Row],[CONSUMO]]*Tabela6[[#This Row],[VALOR UNIT]]-Tabela6[[#This Row],[DESCONTO]]</f>
        <v>476.36429999999996</v>
      </c>
      <c r="L791" s="53">
        <f>Tabela6[[#This Row],[CUSTO TOTAL]]/Tabela6[[#This Row],[CONSUMO]]</f>
        <v>5.489965425838423</v>
      </c>
      <c r="M791" s="50">
        <f>Tabela6[[#This Row],[KM ATUAL]]-E726</f>
        <v>-336070</v>
      </c>
      <c r="N791" s="51">
        <f>Tabela6[[#This Row],[KM Rodados ]]/Tabela6[[#This Row],[CONSUMO]]</f>
        <v>-3873.1128270139452</v>
      </c>
    </row>
    <row r="792" spans="1:14" x14ac:dyDescent="0.25">
      <c r="A792" s="47">
        <v>162389</v>
      </c>
      <c r="B792" s="78">
        <v>45021</v>
      </c>
      <c r="C792" s="47" t="s">
        <v>43</v>
      </c>
      <c r="D792" s="49" t="s">
        <v>269</v>
      </c>
      <c r="E792" s="47">
        <v>116105</v>
      </c>
      <c r="G792" s="50" t="s">
        <v>89</v>
      </c>
      <c r="H792" s="51">
        <v>31.06</v>
      </c>
      <c r="J792" s="51">
        <v>5.59</v>
      </c>
      <c r="K792" s="52">
        <f>Tabela6[[#This Row],[CONSUMO]]*Tabela6[[#This Row],[VALOR UNIT]]-Tabela6[[#This Row],[DESCONTO]]</f>
        <v>173.62539999999998</v>
      </c>
      <c r="L792" s="53">
        <f>Tabela6[[#This Row],[CUSTO TOTAL]]/Tabela6[[#This Row],[CONSUMO]]</f>
        <v>5.59</v>
      </c>
      <c r="M792" s="50">
        <f>Tabela6[[#This Row],[KM ATUAL]]-E780</f>
        <v>-759949</v>
      </c>
      <c r="N792" s="72">
        <f>Tabela6[[#This Row],[KM Rodados ]]/Tabela6[[#This Row],[CONSUMO]]</f>
        <v>-24467.128139085642</v>
      </c>
    </row>
    <row r="793" spans="1:14" x14ac:dyDescent="0.25">
      <c r="A793" s="47">
        <v>172446</v>
      </c>
      <c r="B793" s="78">
        <v>45021</v>
      </c>
      <c r="C793" s="47" t="s">
        <v>22</v>
      </c>
      <c r="D793" s="49" t="s">
        <v>262</v>
      </c>
      <c r="E793" s="47">
        <v>320840</v>
      </c>
      <c r="G793" s="50" t="s">
        <v>89</v>
      </c>
      <c r="H793" s="51">
        <v>117.28</v>
      </c>
      <c r="J793" s="51">
        <v>5.89</v>
      </c>
      <c r="K793" s="74">
        <f>Tabela6[[#This Row],[CONSUMO]]*Tabela6[[#This Row],[VALOR UNIT]]-Tabela6[[#This Row],[DESCONTO]]</f>
        <v>690.77919999999995</v>
      </c>
      <c r="L793" s="53">
        <f>Tabela6[[#This Row],[CUSTO TOTAL]]/Tabela6[[#This Row],[CONSUMO]]</f>
        <v>5.89</v>
      </c>
      <c r="M793" s="50">
        <f>Tabela6[[#This Row],[KM ATUAL]]-E736</f>
        <v>206851</v>
      </c>
      <c r="N793" s="51">
        <f>Tabela6[[#This Row],[KM Rodados ]]/Tabela6[[#This Row],[CONSUMO]]</f>
        <v>1763.7363574351978</v>
      </c>
    </row>
    <row r="794" spans="1:14" x14ac:dyDescent="0.25">
      <c r="A794" s="47">
        <v>285196</v>
      </c>
      <c r="B794" s="78">
        <v>45021</v>
      </c>
      <c r="C794" s="47" t="s">
        <v>203</v>
      </c>
      <c r="D794" s="49" t="s">
        <v>276</v>
      </c>
      <c r="E794" s="47">
        <v>86679</v>
      </c>
      <c r="G794" s="50" t="s">
        <v>244</v>
      </c>
      <c r="H794" s="51">
        <v>31.091000000000001</v>
      </c>
      <c r="J794" s="51">
        <v>5.39</v>
      </c>
      <c r="K794" s="51">
        <f>Tabela6[[#This Row],[CONSUMO]]*Tabela6[[#This Row],[VALOR UNIT]]-Tabela6[[#This Row],[DESCONTO]]</f>
        <v>167.58049</v>
      </c>
      <c r="L794" s="53">
        <f>Tabela6[[#This Row],[CUSTO TOTAL]]/Tabela6[[#This Row],[CONSUMO]]</f>
        <v>5.39</v>
      </c>
      <c r="M794" s="50">
        <f>Tabela6[[#This Row],[KM ATUAL]]-E782</f>
        <v>-29147</v>
      </c>
      <c r="N794" s="51">
        <f>Tabela6[[#This Row],[KM Rodados ]]/Tabela6[[#This Row],[CONSUMO]]</f>
        <v>-937.47386703547647</v>
      </c>
    </row>
    <row r="795" spans="1:14" x14ac:dyDescent="0.25">
      <c r="A795" s="47">
        <v>152989</v>
      </c>
      <c r="B795" s="78">
        <v>45021</v>
      </c>
      <c r="C795" s="47" t="s">
        <v>71</v>
      </c>
      <c r="D795" s="49" t="s">
        <v>268</v>
      </c>
      <c r="E795" s="47">
        <v>95490</v>
      </c>
      <c r="G795" s="50" t="s">
        <v>89</v>
      </c>
      <c r="H795" s="51">
        <v>631</v>
      </c>
      <c r="J795" s="51">
        <v>5.49</v>
      </c>
      <c r="K795" s="51">
        <f>Tabela6[[#This Row],[CONSUMO]]*Tabela6[[#This Row],[VALOR UNIT]]-Tabela6[[#This Row],[DESCONTO]]</f>
        <v>3464.19</v>
      </c>
      <c r="L795" s="53">
        <f>Tabela6[[#This Row],[CUSTO TOTAL]]/Tabela6[[#This Row],[CONSUMO]]</f>
        <v>5.49</v>
      </c>
      <c r="M795" s="50">
        <f>Tabela6[[#This Row],[KM ATUAL]]-E709</f>
        <v>-121870</v>
      </c>
      <c r="N795" s="51">
        <f>Tabela6[[#This Row],[KM Rodados ]]/Tabela6[[#This Row],[CONSUMO]]</f>
        <v>-193.13787638668779</v>
      </c>
    </row>
    <row r="796" spans="1:14" x14ac:dyDescent="0.25">
      <c r="A796" s="47">
        <v>339729</v>
      </c>
      <c r="B796" s="78">
        <v>45021</v>
      </c>
      <c r="C796" s="47" t="s">
        <v>64</v>
      </c>
      <c r="D796" s="49" t="s">
        <v>253</v>
      </c>
      <c r="E796" s="47">
        <v>75371</v>
      </c>
      <c r="G796" s="50" t="s">
        <v>89</v>
      </c>
      <c r="H796" s="51">
        <v>151.43</v>
      </c>
      <c r="I796" s="49">
        <v>45.43</v>
      </c>
      <c r="J796" s="51">
        <v>6.09</v>
      </c>
      <c r="K796" s="51">
        <f>Tabela6[[#This Row],[CONSUMO]]*Tabela6[[#This Row],[VALOR UNIT]]-Tabela6[[#This Row],[DESCONTO]]</f>
        <v>876.77870000000007</v>
      </c>
      <c r="L796" s="53">
        <f>Tabela6[[#This Row],[CUSTO TOTAL]]/Tabela6[[#This Row],[CONSUMO]]</f>
        <v>5.7899933962887147</v>
      </c>
      <c r="M796" s="50">
        <f>Tabela6[[#This Row],[KM ATUAL]]-E776</f>
        <v>-533203</v>
      </c>
      <c r="N796" s="51">
        <f>Tabela6[[#This Row],[KM Rodados ]]/Tabela6[[#This Row],[CONSUMO]]</f>
        <v>-3521.1186686918045</v>
      </c>
    </row>
    <row r="797" spans="1:14" x14ac:dyDescent="0.25">
      <c r="A797" s="47">
        <v>172448</v>
      </c>
      <c r="B797" s="78">
        <v>45021</v>
      </c>
      <c r="C797" s="47" t="s">
        <v>206</v>
      </c>
      <c r="D797" s="49" t="s">
        <v>262</v>
      </c>
      <c r="E797" s="47">
        <v>930972</v>
      </c>
      <c r="G797" s="50" t="s">
        <v>89</v>
      </c>
      <c r="H797" s="51">
        <v>382.01</v>
      </c>
      <c r="J797" s="51">
        <v>5.89</v>
      </c>
      <c r="K797" s="52">
        <f>Tabela6[[#This Row],[CONSUMO]]*Tabela6[[#This Row],[VALOR UNIT]]-Tabela6[[#This Row],[DESCONTO]]</f>
        <v>2250.0389</v>
      </c>
      <c r="L797" s="53">
        <f>Tabela6[[#This Row],[CUSTO TOTAL]]/Tabela6[[#This Row],[CONSUMO]]</f>
        <v>5.8900000000000006</v>
      </c>
      <c r="M797" s="50">
        <f>Tabela6[[#This Row],[KM ATUAL]]-E696</f>
        <v>335191</v>
      </c>
      <c r="N797" s="51">
        <f>Tabela6[[#This Row],[KM Rodados ]]/Tabela6[[#This Row],[CONSUMO]]</f>
        <v>877.44038114185491</v>
      </c>
    </row>
    <row r="798" spans="1:14" x14ac:dyDescent="0.25">
      <c r="A798" s="47">
        <v>333417</v>
      </c>
      <c r="B798" s="78">
        <v>45021</v>
      </c>
      <c r="C798" s="47" t="s">
        <v>14</v>
      </c>
      <c r="D798" s="49" t="s">
        <v>271</v>
      </c>
      <c r="E798" s="47">
        <v>285313</v>
      </c>
      <c r="G798" s="50" t="s">
        <v>244</v>
      </c>
      <c r="H798" s="51">
        <v>16.768000000000001</v>
      </c>
      <c r="J798" s="51">
        <v>5.49</v>
      </c>
      <c r="K798" s="52">
        <f>Tabela6[[#This Row],[CONSUMO]]*Tabela6[[#This Row],[VALOR UNIT]]-Tabela6[[#This Row],[DESCONTO]]</f>
        <v>92.056320000000014</v>
      </c>
      <c r="L798" s="53">
        <f>Tabela6[[#This Row],[CUSTO TOTAL]]/Tabela6[[#This Row],[CONSUMO]]</f>
        <v>5.49</v>
      </c>
      <c r="M798" s="50">
        <f>Tabela6[[#This Row],[KM ATUAL]]-E385</f>
        <v>249873</v>
      </c>
      <c r="N798" s="51">
        <f>Tabela6[[#This Row],[KM Rodados ]]/Tabela6[[#This Row],[CONSUMO]]</f>
        <v>14901.777194656488</v>
      </c>
    </row>
    <row r="799" spans="1:14" x14ac:dyDescent="0.25">
      <c r="A799" s="47" t="s">
        <v>314</v>
      </c>
      <c r="B799" s="78">
        <v>45021</v>
      </c>
      <c r="C799" s="47" t="s">
        <v>15</v>
      </c>
      <c r="E799" s="47">
        <v>355160</v>
      </c>
      <c r="G799" s="50" t="s">
        <v>89</v>
      </c>
      <c r="H799" s="51">
        <v>101.5</v>
      </c>
      <c r="K799" s="52">
        <f>Tabela6[[#This Row],[CONSUMO]]*Tabela6[[#This Row],[VALOR UNIT]]-Tabela6[[#This Row],[DESCONTO]]</f>
        <v>0</v>
      </c>
      <c r="L799" s="53">
        <f>Tabela6[[#This Row],[CUSTO TOTAL]]/Tabela6[[#This Row],[CONSUMO]]</f>
        <v>0</v>
      </c>
      <c r="M799" s="50">
        <f>Tabela6[[#This Row],[KM ATUAL]]-E731</f>
        <v>53465</v>
      </c>
      <c r="N799" s="72">
        <f>Tabela6[[#This Row],[KM Rodados ]]/Tabela6[[#This Row],[CONSUMO]]</f>
        <v>526.74876847290636</v>
      </c>
    </row>
    <row r="800" spans="1:14" x14ac:dyDescent="0.25">
      <c r="A800" s="47" t="s">
        <v>314</v>
      </c>
      <c r="B800" s="78">
        <v>45021</v>
      </c>
      <c r="C800" s="47" t="s">
        <v>15</v>
      </c>
      <c r="E800" s="47">
        <v>355770</v>
      </c>
      <c r="G800" s="50" t="s">
        <v>89</v>
      </c>
      <c r="H800" s="51">
        <v>103.5</v>
      </c>
      <c r="K800" s="52">
        <f>Tabela6[[#This Row],[CONSUMO]]*Tabela6[[#This Row],[VALOR UNIT]]-Tabela6[[#This Row],[DESCONTO]]</f>
        <v>0</v>
      </c>
      <c r="L800" s="53">
        <f>Tabela6[[#This Row],[CUSTO TOTAL]]/Tabela6[[#This Row],[CONSUMO]]</f>
        <v>0</v>
      </c>
      <c r="M800" s="50">
        <f>Tabela6[[#This Row],[KM ATUAL]]-E799</f>
        <v>610</v>
      </c>
      <c r="N800" s="72">
        <f>Tabela6[[#This Row],[KM Rodados ]]/Tabela6[[#This Row],[CONSUMO]]</f>
        <v>5.8937198067632854</v>
      </c>
    </row>
    <row r="801" spans="1:14" x14ac:dyDescent="0.25">
      <c r="A801" s="47">
        <v>73974</v>
      </c>
      <c r="B801" s="78">
        <v>45021</v>
      </c>
      <c r="C801" s="47" t="s">
        <v>15</v>
      </c>
      <c r="D801" s="49" t="s">
        <v>263</v>
      </c>
      <c r="E801" s="47">
        <v>356292</v>
      </c>
      <c r="G801" s="50" t="s">
        <v>89</v>
      </c>
      <c r="H801" s="51">
        <v>85.51</v>
      </c>
      <c r="I801" s="49">
        <v>8.56</v>
      </c>
      <c r="J801" s="51">
        <v>5.59</v>
      </c>
      <c r="K801" s="52">
        <f>Tabela6[[#This Row],[CONSUMO]]*Tabela6[[#This Row],[VALOR UNIT]]-Tabela6[[#This Row],[DESCONTO]]</f>
        <v>469.4409</v>
      </c>
      <c r="L801" s="53">
        <f>Tabela6[[#This Row],[CUSTO TOTAL]]/Tabela6[[#This Row],[CONSUMO]]</f>
        <v>5.4898947491521453</v>
      </c>
      <c r="M801" s="50">
        <f>Tabela6[[#This Row],[KM ATUAL]]-E799</f>
        <v>1132</v>
      </c>
      <c r="N801" s="51">
        <f>Tabela6[[#This Row],[KM Rodados ]]/Tabela6[[#This Row],[CONSUMO]]</f>
        <v>13.238217752309671</v>
      </c>
    </row>
    <row r="802" spans="1:14" x14ac:dyDescent="0.25">
      <c r="A802" s="47">
        <v>172415</v>
      </c>
      <c r="B802" s="78">
        <v>45021</v>
      </c>
      <c r="C802" s="47" t="s">
        <v>23</v>
      </c>
      <c r="D802" s="49" t="s">
        <v>262</v>
      </c>
      <c r="E802" s="47">
        <v>218402</v>
      </c>
      <c r="G802" s="50" t="s">
        <v>89</v>
      </c>
      <c r="H802" s="51">
        <v>127.34</v>
      </c>
      <c r="J802" s="51">
        <v>5.89</v>
      </c>
      <c r="K802" s="51">
        <f>Tabela6[[#This Row],[CONSUMO]]*Tabela6[[#This Row],[VALOR UNIT]]-Tabela6[[#This Row],[DESCONTO]]</f>
        <v>750.0326</v>
      </c>
      <c r="L802" s="53">
        <f>Tabela6[[#This Row],[CUSTO TOTAL]]/Tabela6[[#This Row],[CONSUMO]]</f>
        <v>5.89</v>
      </c>
      <c r="M802" s="50">
        <f>Tabela6[[#This Row],[KM ATUAL]]-E752</f>
        <v>103306</v>
      </c>
      <c r="N802" s="51">
        <f>Tabela6[[#This Row],[KM Rodados ]]/Tabela6[[#This Row],[CONSUMO]]</f>
        <v>811.26119051358569</v>
      </c>
    </row>
    <row r="803" spans="1:14" x14ac:dyDescent="0.25">
      <c r="A803" s="47">
        <v>172613</v>
      </c>
      <c r="B803" s="78">
        <v>45022</v>
      </c>
      <c r="C803" s="47" t="s">
        <v>43</v>
      </c>
      <c r="D803" s="49" t="s">
        <v>262</v>
      </c>
      <c r="E803" s="47">
        <v>116213</v>
      </c>
      <c r="G803" s="50" t="s">
        <v>89</v>
      </c>
      <c r="H803" s="51">
        <v>18</v>
      </c>
      <c r="J803" s="51">
        <v>5.89</v>
      </c>
      <c r="K803" s="52">
        <f>Tabela6[[#This Row],[CONSUMO]]*Tabela6[[#This Row],[VALOR UNIT]]-Tabela6[[#This Row],[DESCONTO]]</f>
        <v>106.02</v>
      </c>
      <c r="L803" s="53">
        <f>Tabela6[[#This Row],[CUSTO TOTAL]]/Tabela6[[#This Row],[CONSUMO]]</f>
        <v>5.89</v>
      </c>
      <c r="M803" s="50">
        <f>Tabela6[[#This Row],[KM ATUAL]]-E796</f>
        <v>40842</v>
      </c>
      <c r="N803" s="72">
        <f>Tabela6[[#This Row],[KM Rodados ]]/Tabela6[[#This Row],[CONSUMO]]</f>
        <v>2269</v>
      </c>
    </row>
    <row r="804" spans="1:14" x14ac:dyDescent="0.25">
      <c r="A804" s="47">
        <v>172753</v>
      </c>
      <c r="B804" s="78">
        <v>45022</v>
      </c>
      <c r="C804" s="47" t="s">
        <v>43</v>
      </c>
      <c r="D804" s="49" t="s">
        <v>262</v>
      </c>
      <c r="E804" s="47">
        <v>116561</v>
      </c>
      <c r="G804" s="50" t="s">
        <v>89</v>
      </c>
      <c r="H804" s="51">
        <v>44.058999999999997</v>
      </c>
      <c r="J804" s="51">
        <v>5.89</v>
      </c>
      <c r="K804" s="52">
        <f>Tabela6[[#This Row],[CONSUMO]]*Tabela6[[#This Row],[VALOR UNIT]]-Tabela6[[#This Row],[DESCONTO]]</f>
        <v>259.50750999999997</v>
      </c>
      <c r="L804" s="53">
        <f>Tabela6[[#This Row],[CUSTO TOTAL]]/Tabela6[[#This Row],[CONSUMO]]</f>
        <v>5.89</v>
      </c>
      <c r="M804" s="50">
        <f>Tabela6[[#This Row],[KM ATUAL]]-E800</f>
        <v>-239209</v>
      </c>
      <c r="N804" s="72">
        <f>Tabela6[[#This Row],[KM Rodados ]]/Tabela6[[#This Row],[CONSUMO]]</f>
        <v>-5429.2880001815747</v>
      </c>
    </row>
    <row r="805" spans="1:14" x14ac:dyDescent="0.25">
      <c r="A805" s="47">
        <v>154121</v>
      </c>
      <c r="B805" s="78">
        <v>45022</v>
      </c>
      <c r="C805" s="47" t="s">
        <v>222</v>
      </c>
      <c r="D805" s="49" t="s">
        <v>268</v>
      </c>
      <c r="E805" s="47">
        <v>466463</v>
      </c>
      <c r="G805" s="50" t="s">
        <v>89</v>
      </c>
      <c r="H805" s="51">
        <v>473</v>
      </c>
      <c r="J805" s="51">
        <v>5.49</v>
      </c>
      <c r="K805" s="51">
        <f>Tabela6[[#This Row],[CONSUMO]]*Tabela6[[#This Row],[VALOR UNIT]]-Tabela6[[#This Row],[DESCONTO]]</f>
        <v>2596.77</v>
      </c>
      <c r="L805" s="53">
        <f>Tabela6[[#This Row],[CUSTO TOTAL]]/Tabela6[[#This Row],[CONSUMO]]</f>
        <v>5.49</v>
      </c>
      <c r="M805" s="50">
        <f>Tabela6[[#This Row],[KM ATUAL]]-E741</f>
        <v>403481</v>
      </c>
      <c r="N805" s="51">
        <f>Tabela6[[#This Row],[KM Rodados ]]/Tabela6[[#This Row],[CONSUMO]]</f>
        <v>853.02536997885841</v>
      </c>
    </row>
    <row r="806" spans="1:14" x14ac:dyDescent="0.25">
      <c r="A806" s="47">
        <v>172823</v>
      </c>
      <c r="B806" s="78">
        <v>45022</v>
      </c>
      <c r="C806" s="47" t="s">
        <v>215</v>
      </c>
      <c r="D806" s="49" t="s">
        <v>262</v>
      </c>
      <c r="E806" s="47">
        <v>220671</v>
      </c>
      <c r="G806" s="50" t="s">
        <v>244</v>
      </c>
      <c r="H806" s="51">
        <v>19.129000000000001</v>
      </c>
      <c r="J806" s="51">
        <v>5.49</v>
      </c>
      <c r="K806" s="51">
        <f>Tabela6[[#This Row],[CONSUMO]]*Tabela6[[#This Row],[VALOR UNIT]]-Tabela6[[#This Row],[DESCONTO]]</f>
        <v>105.01821000000001</v>
      </c>
      <c r="L806" s="53">
        <f>Tabela6[[#This Row],[CUSTO TOTAL]]/Tabela6[[#This Row],[CONSUMO]]</f>
        <v>5.49</v>
      </c>
      <c r="M806" s="50">
        <f>Tabela6[[#This Row],[KM ATUAL]]-E747</f>
        <v>89557</v>
      </c>
      <c r="N806" s="51">
        <f>Tabela6[[#This Row],[KM Rodados ]]/H747</f>
        <v>2244.5363408521303</v>
      </c>
    </row>
    <row r="807" spans="1:14" x14ac:dyDescent="0.25">
      <c r="A807" s="47">
        <v>126314</v>
      </c>
      <c r="B807" s="78">
        <v>45022</v>
      </c>
      <c r="C807" s="47" t="s">
        <v>203</v>
      </c>
      <c r="D807" s="49" t="s">
        <v>256</v>
      </c>
      <c r="E807" s="47">
        <v>87244</v>
      </c>
      <c r="G807" s="50" t="s">
        <v>244</v>
      </c>
      <c r="H807" s="51">
        <v>42.87</v>
      </c>
      <c r="J807" s="51">
        <v>5.19</v>
      </c>
      <c r="K807" s="51">
        <f>Tabela6[[#This Row],[CONSUMO]]*Tabela6[[#This Row],[VALOR UNIT]]-Tabela6[[#This Row],[DESCONTO]]</f>
        <v>222.49530000000001</v>
      </c>
      <c r="L807" s="53">
        <f>Tabela6[[#This Row],[CUSTO TOTAL]]/Tabela6[[#This Row],[CONSUMO]]</f>
        <v>5.19</v>
      </c>
      <c r="M807" s="50">
        <f>Tabela6[[#This Row],[KM ATUAL]]-E794</f>
        <v>565</v>
      </c>
      <c r="N807" s="51">
        <f>Tabela6[[#This Row],[KM Rodados ]]/Tabela6[[#This Row],[CONSUMO]]</f>
        <v>13.179379519477491</v>
      </c>
    </row>
    <row r="808" spans="1:14" x14ac:dyDescent="0.25">
      <c r="A808" s="47" t="s">
        <v>314</v>
      </c>
      <c r="B808" s="78">
        <v>45022</v>
      </c>
      <c r="C808" s="119" t="s">
        <v>72</v>
      </c>
      <c r="E808" s="119">
        <v>381011</v>
      </c>
      <c r="G808" s="50" t="s">
        <v>89</v>
      </c>
      <c r="H808" s="51">
        <v>46.75</v>
      </c>
      <c r="K808" s="52">
        <f>Tabela6[[#This Row],[CONSUMO]]*Tabela6[[#This Row],[VALOR UNIT]]-Tabela6[[#This Row],[DESCONTO]]</f>
        <v>0</v>
      </c>
      <c r="L808" s="53">
        <f>Tabela6[[#This Row],[CUSTO TOTAL]]/Tabela6[[#This Row],[CONSUMO]]</f>
        <v>0</v>
      </c>
      <c r="M808" s="50">
        <f>Tabela6[[#This Row],[KM ATUAL]]-E720</f>
        <v>-215290</v>
      </c>
      <c r="N808" s="72">
        <f>Tabela6[[#This Row],[KM Rodados ]]/Tabela6[[#This Row],[CONSUMO]]</f>
        <v>-4605.1336898395721</v>
      </c>
    </row>
    <row r="809" spans="1:14" x14ac:dyDescent="0.25">
      <c r="A809" s="47" t="s">
        <v>314</v>
      </c>
      <c r="B809" s="78">
        <v>45022</v>
      </c>
      <c r="C809" s="47" t="s">
        <v>72</v>
      </c>
      <c r="E809" s="47">
        <v>381460</v>
      </c>
      <c r="G809" s="50" t="s">
        <v>89</v>
      </c>
      <c r="H809" s="51">
        <v>50.12</v>
      </c>
      <c r="K809" s="52">
        <f>Tabela6[[#This Row],[CONSUMO]]*Tabela6[[#This Row],[VALOR UNIT]]-Tabela6[[#This Row],[DESCONTO]]</f>
        <v>0</v>
      </c>
      <c r="L809" s="53">
        <f>Tabela6[[#This Row],[CUSTO TOTAL]]/Tabela6[[#This Row],[CONSUMO]]</f>
        <v>0</v>
      </c>
      <c r="M809" s="50">
        <f>Tabela6[[#This Row],[KM ATUAL]]-E808</f>
        <v>449</v>
      </c>
      <c r="N809" s="72">
        <f>Tabela6[[#This Row],[KM Rodados ]]/Tabela6[[#This Row],[CONSUMO]]</f>
        <v>8.9584996009577011</v>
      </c>
    </row>
    <row r="810" spans="1:14" x14ac:dyDescent="0.25">
      <c r="A810" s="47">
        <v>172609</v>
      </c>
      <c r="B810" s="78">
        <v>45022</v>
      </c>
      <c r="C810" s="47" t="s">
        <v>72</v>
      </c>
      <c r="D810" s="49" t="s">
        <v>262</v>
      </c>
      <c r="E810" s="47">
        <v>381740</v>
      </c>
      <c r="G810" s="50" t="s">
        <v>89</v>
      </c>
      <c r="H810" s="51">
        <v>33.450000000000003</v>
      </c>
      <c r="J810" s="51">
        <v>5.89</v>
      </c>
      <c r="K810" s="52">
        <f>Tabela6[[#This Row],[CONSUMO]]*Tabela6[[#This Row],[VALOR UNIT]]-Tabela6[[#This Row],[DESCONTO]]</f>
        <v>197.0205</v>
      </c>
      <c r="L810" s="53">
        <f>Tabela6[[#This Row],[CUSTO TOTAL]]/Tabela6[[#This Row],[CONSUMO]]</f>
        <v>5.89</v>
      </c>
      <c r="M810" s="50">
        <f>Tabela6[[#This Row],[KM ATUAL]]-E809</f>
        <v>280</v>
      </c>
      <c r="N810" s="51">
        <f>Tabela6[[#This Row],[KM Rodados ]]/Tabela6[[#This Row],[CONSUMO]]</f>
        <v>8.3707025411061284</v>
      </c>
    </row>
    <row r="811" spans="1:14" x14ac:dyDescent="0.25">
      <c r="A811" s="47">
        <v>637849</v>
      </c>
      <c r="B811" s="78">
        <v>45022</v>
      </c>
      <c r="C811" s="47" t="s">
        <v>13</v>
      </c>
      <c r="D811" s="47" t="s">
        <v>250</v>
      </c>
      <c r="E811" s="47">
        <v>609702</v>
      </c>
      <c r="G811" s="50" t="s">
        <v>89</v>
      </c>
      <c r="H811" s="51">
        <v>151</v>
      </c>
      <c r="J811" s="51">
        <v>5.7</v>
      </c>
      <c r="K811" s="52">
        <f>Tabela6[[#This Row],[CONSUMO]]*Tabela6[[#This Row],[VALOR UNIT]]-Tabela6[[#This Row],[DESCONTO]]</f>
        <v>860.7</v>
      </c>
      <c r="L811" s="53">
        <f>Tabela6[[#This Row],[CUSTO TOTAL]]/Tabela6[[#This Row],[CONSUMO]]</f>
        <v>5.7</v>
      </c>
      <c r="M811" s="50">
        <f>Tabela6[[#This Row],[KM ATUAL]]-E796</f>
        <v>534331</v>
      </c>
      <c r="N811" s="51">
        <f>Tabela6[[#This Row],[KM Rodados ]]/Tabela6[[#This Row],[CONSUMO]]</f>
        <v>3538.6158940397349</v>
      </c>
    </row>
    <row r="812" spans="1:14" x14ac:dyDescent="0.25">
      <c r="A812" s="47">
        <v>525186</v>
      </c>
      <c r="B812" s="78">
        <v>45022</v>
      </c>
      <c r="C812" s="47" t="s">
        <v>16</v>
      </c>
      <c r="D812" s="49" t="s">
        <v>255</v>
      </c>
      <c r="E812" s="47">
        <v>291857</v>
      </c>
      <c r="G812" s="50" t="s">
        <v>89</v>
      </c>
      <c r="H812" s="51">
        <v>95.66</v>
      </c>
      <c r="J812" s="51">
        <v>6.37</v>
      </c>
      <c r="K812" s="51">
        <f>Tabela6[[#This Row],[CONSUMO]]*Tabela6[[#This Row],[VALOR UNIT]]-Tabela6[[#This Row],[DESCONTO]]</f>
        <v>609.35419999999999</v>
      </c>
      <c r="L812" s="53">
        <f>Tabela6[[#This Row],[CUSTO TOTAL]]/Tabela6[[#This Row],[CONSUMO]]</f>
        <v>6.37</v>
      </c>
      <c r="M812" s="50">
        <f>Tabela6[[#This Row],[KM ATUAL]]-E689</f>
        <v>161732</v>
      </c>
      <c r="N812" s="51">
        <f>Tabela6[[#This Row],[KM Rodados ]]/Tabela6[[#This Row],[CONSUMO]]</f>
        <v>1690.6962157641649</v>
      </c>
    </row>
    <row r="813" spans="1:14" x14ac:dyDescent="0.25">
      <c r="A813" s="47" t="s">
        <v>314</v>
      </c>
      <c r="B813" s="78">
        <v>45022</v>
      </c>
      <c r="C813" s="47" t="s">
        <v>18</v>
      </c>
      <c r="E813" s="47">
        <v>303846</v>
      </c>
      <c r="G813" s="50" t="s">
        <v>89</v>
      </c>
      <c r="H813" s="51">
        <v>106.3</v>
      </c>
      <c r="K813" s="52">
        <f>Tabela6[[#This Row],[CONSUMO]]*Tabela6[[#This Row],[VALOR UNIT]]-Tabela6[[#This Row],[DESCONTO]]</f>
        <v>0</v>
      </c>
      <c r="L813" s="53">
        <f>Tabela6[[#This Row],[CUSTO TOTAL]]/Tabela6[[#This Row],[CONSUMO]]</f>
        <v>0</v>
      </c>
      <c r="M813" s="50">
        <f>Tabela6[[#This Row],[KM ATUAL]]-E747</f>
        <v>172732</v>
      </c>
      <c r="N813" s="51">
        <f>Tabela6[[#This Row],[KM Rodados ]]/Tabela6[[#This Row],[CONSUMO]]</f>
        <v>1624.9482596425212</v>
      </c>
    </row>
    <row r="814" spans="1:14" x14ac:dyDescent="0.25">
      <c r="A814" s="47">
        <v>74339</v>
      </c>
      <c r="B814" s="78">
        <v>45022</v>
      </c>
      <c r="C814" s="47" t="s">
        <v>74</v>
      </c>
      <c r="D814" s="49" t="s">
        <v>263</v>
      </c>
      <c r="E814" s="47">
        <v>45085</v>
      </c>
      <c r="G814" s="50" t="s">
        <v>89</v>
      </c>
      <c r="H814" s="51">
        <v>62.63</v>
      </c>
      <c r="I814" s="49">
        <v>6.27</v>
      </c>
      <c r="J814" s="51">
        <v>5.59</v>
      </c>
      <c r="K814" s="51">
        <f>Tabela6[[#This Row],[CONSUMO]]*Tabela6[[#This Row],[VALOR UNIT]]-Tabela6[[#This Row],[DESCONTO]]</f>
        <v>343.83170000000001</v>
      </c>
      <c r="L814" s="53">
        <f>Tabela6[[#This Row],[CUSTO TOTAL]]/Tabela6[[#This Row],[CONSUMO]]</f>
        <v>5.4898882324764493</v>
      </c>
      <c r="M814" s="50">
        <f>Tabela6[[#This Row],[KM ATUAL]]-E791</f>
        <v>559</v>
      </c>
      <c r="N814" s="51">
        <f>Tabela6[[#This Row],[KM Rodados ]]/Tabela6[[#This Row],[CONSUMO]]</f>
        <v>8.9254350950023955</v>
      </c>
    </row>
    <row r="815" spans="1:14" x14ac:dyDescent="0.25">
      <c r="A815" s="47">
        <v>285900</v>
      </c>
      <c r="B815" s="78">
        <v>45023</v>
      </c>
      <c r="C815" s="47" t="s">
        <v>203</v>
      </c>
      <c r="D815" s="49" t="s">
        <v>276</v>
      </c>
      <c r="E815" s="47">
        <v>87644</v>
      </c>
      <c r="G815" s="50" t="s">
        <v>244</v>
      </c>
      <c r="H815" s="51">
        <v>39.369</v>
      </c>
      <c r="J815" s="51">
        <v>5.39</v>
      </c>
      <c r="K815" s="51">
        <f>Tabela6[[#This Row],[CONSUMO]]*Tabela6[[#This Row],[VALOR UNIT]]-Tabela6[[#This Row],[DESCONTO]]</f>
        <v>212.19890999999998</v>
      </c>
      <c r="L815" s="53">
        <f>Tabela6[[#This Row],[CUSTO TOTAL]]/Tabela6[[#This Row],[CONSUMO]]</f>
        <v>5.39</v>
      </c>
      <c r="M815" s="50">
        <f>Tabela6[[#This Row],[KM ATUAL]]-E806</f>
        <v>-133027</v>
      </c>
      <c r="N815" s="51">
        <f>Tabela6[[#This Row],[KM Rodados ]]/Tabela6[[#This Row],[CONSUMO]]</f>
        <v>-3378.9783840077216</v>
      </c>
    </row>
    <row r="816" spans="1:14" x14ac:dyDescent="0.25">
      <c r="A816" s="47" t="s">
        <v>314</v>
      </c>
      <c r="B816" s="78">
        <v>45024</v>
      </c>
      <c r="C816" s="47" t="s">
        <v>16</v>
      </c>
      <c r="E816" s="47">
        <v>292442</v>
      </c>
      <c r="G816" s="50" t="s">
        <v>89</v>
      </c>
      <c r="H816" s="51">
        <v>112.6</v>
      </c>
      <c r="K816" s="52">
        <f>Tabela6[[#This Row],[CONSUMO]]*Tabela6[[#This Row],[VALOR UNIT]]-Tabela6[[#This Row],[DESCONTO]]</f>
        <v>0</v>
      </c>
      <c r="L816" s="53">
        <f>Tabela6[[#This Row],[CUSTO TOTAL]]/Tabela6[[#This Row],[CONSUMO]]</f>
        <v>0</v>
      </c>
      <c r="M816" s="50">
        <f>Tabela6[[#This Row],[KM ATUAL]]-E814</f>
        <v>247357</v>
      </c>
      <c r="N816" s="51">
        <f>Tabela6[[#This Row],[KM Rodados ]]/Tabela6[[#This Row],[CONSUMO]]</f>
        <v>2196.7761989342807</v>
      </c>
    </row>
    <row r="817" spans="1:14" x14ac:dyDescent="0.25">
      <c r="A817" s="47" t="s">
        <v>314</v>
      </c>
      <c r="B817" s="78">
        <v>45024</v>
      </c>
      <c r="C817" s="47" t="s">
        <v>18</v>
      </c>
      <c r="E817" s="47">
        <v>304611</v>
      </c>
      <c r="G817" s="50" t="s">
        <v>89</v>
      </c>
      <c r="H817" s="51">
        <v>104.3</v>
      </c>
      <c r="K817" s="52">
        <f>Tabela6[[#This Row],[CONSUMO]]*Tabela6[[#This Row],[VALOR UNIT]]-Tabela6[[#This Row],[DESCONTO]]</f>
        <v>0</v>
      </c>
      <c r="L817" s="53">
        <f>Tabela6[[#This Row],[CUSTO TOTAL]]/Tabela6[[#This Row],[CONSUMO]]</f>
        <v>0</v>
      </c>
      <c r="M817" s="50">
        <f>Tabela6[[#This Row],[KM ATUAL]]-E815</f>
        <v>216967</v>
      </c>
      <c r="N817" s="51">
        <f>Tabela6[[#This Row],[KM Rodados ]]/Tabela6[[#This Row],[CONSUMO]]</f>
        <v>2080.2205177372962</v>
      </c>
    </row>
    <row r="818" spans="1:14" x14ac:dyDescent="0.25">
      <c r="A818" s="47" t="s">
        <v>314</v>
      </c>
      <c r="B818" s="78">
        <v>45025</v>
      </c>
      <c r="C818" s="47" t="s">
        <v>74</v>
      </c>
      <c r="E818" s="47">
        <v>45799</v>
      </c>
      <c r="G818" s="50" t="s">
        <v>89</v>
      </c>
      <c r="H818" s="51">
        <v>79</v>
      </c>
      <c r="K818" s="52">
        <f>Tabela6[[#This Row],[CONSUMO]]*Tabela6[[#This Row],[VALOR UNIT]]-Tabela6[[#This Row],[DESCONTO]]</f>
        <v>0</v>
      </c>
      <c r="L818" s="53">
        <f>Tabela6[[#This Row],[CUSTO TOTAL]]/Tabela6[[#This Row],[CONSUMO]]</f>
        <v>0</v>
      </c>
      <c r="M818" s="50">
        <f>Tabela6[[#This Row],[KM ATUAL]]-E809</f>
        <v>-335661</v>
      </c>
      <c r="N818" s="51">
        <f>Tabela6[[#This Row],[KM Rodados ]]/Tabela6[[#This Row],[CONSUMO]]</f>
        <v>-4248.8734177215192</v>
      </c>
    </row>
    <row r="819" spans="1:14" x14ac:dyDescent="0.25">
      <c r="A819" s="47">
        <v>173561</v>
      </c>
      <c r="B819" s="78">
        <v>45026</v>
      </c>
      <c r="C819" s="47" t="s">
        <v>68</v>
      </c>
      <c r="D819" s="49" t="s">
        <v>262</v>
      </c>
      <c r="E819" s="47">
        <v>876922</v>
      </c>
      <c r="G819" s="50" t="s">
        <v>89</v>
      </c>
      <c r="H819" s="51">
        <v>371.52</v>
      </c>
      <c r="J819" s="51">
        <v>5.89</v>
      </c>
      <c r="K819" s="51">
        <f>Tabela6[[#This Row],[CONSUMO]]*Tabela6[[#This Row],[VALOR UNIT]]-Tabela6[[#This Row],[DESCONTO]]</f>
        <v>2188.2527999999998</v>
      </c>
      <c r="L819" s="53">
        <f>Tabela6[[#This Row],[CUSTO TOTAL]]/Tabela6[[#This Row],[CONSUMO]]</f>
        <v>5.89</v>
      </c>
      <c r="M819" s="50">
        <f>Tabela6[[#This Row],[KM ATUAL]]-E779</f>
        <v>743812</v>
      </c>
      <c r="N819" s="51">
        <f>Tabela6[[#This Row],[KM Rodados ]]/Tabela6[[#This Row],[CONSUMO]]</f>
        <v>2002.0779500430665</v>
      </c>
    </row>
    <row r="820" spans="1:14" x14ac:dyDescent="0.25">
      <c r="A820" s="47" t="s">
        <v>314</v>
      </c>
      <c r="B820" s="78">
        <v>45026</v>
      </c>
      <c r="C820" s="47" t="s">
        <v>42</v>
      </c>
      <c r="E820" s="47">
        <v>359271</v>
      </c>
      <c r="G820" s="50" t="s">
        <v>89</v>
      </c>
      <c r="H820" s="51">
        <v>26.5</v>
      </c>
      <c r="K820" s="52">
        <f>Tabela6[[#This Row],[CONSUMO]]*Tabela6[[#This Row],[VALOR UNIT]]-Tabela6[[#This Row],[DESCONTO]]</f>
        <v>0</v>
      </c>
      <c r="L820" s="53">
        <f>Tabela6[[#This Row],[CUSTO TOTAL]]/Tabela6[[#This Row],[CONSUMO]]</f>
        <v>0</v>
      </c>
      <c r="M820" s="50">
        <f>Tabela6[[#This Row],[KM ATUAL]]-E648</f>
        <v>-511266</v>
      </c>
      <c r="N820" s="51">
        <f>Tabela6[[#This Row],[KM Rodados ]]/Tabela6[[#This Row],[CONSUMO]]</f>
        <v>-19293.056603773584</v>
      </c>
    </row>
    <row r="821" spans="1:14" x14ac:dyDescent="0.25">
      <c r="A821" s="47">
        <v>173674</v>
      </c>
      <c r="B821" s="78">
        <v>45026</v>
      </c>
      <c r="C821" s="47" t="s">
        <v>42</v>
      </c>
      <c r="D821" s="49" t="s">
        <v>262</v>
      </c>
      <c r="E821" s="47">
        <v>359746</v>
      </c>
      <c r="G821" s="50" t="s">
        <v>89</v>
      </c>
      <c r="H821" s="51">
        <v>98.4</v>
      </c>
      <c r="J821" s="51">
        <v>5.89</v>
      </c>
      <c r="K821" s="52">
        <f>Tabela6[[#This Row],[CONSUMO]]*Tabela6[[#This Row],[VALOR UNIT]]-Tabela6[[#This Row],[DESCONTO]]</f>
        <v>579.57600000000002</v>
      </c>
      <c r="L821" s="53">
        <f>Tabela6[[#This Row],[CUSTO TOTAL]]/Tabela6[[#This Row],[CONSUMO]]</f>
        <v>5.89</v>
      </c>
      <c r="M821" s="50">
        <f>Tabela6[[#This Row],[KM ATUAL]]-E820</f>
        <v>475</v>
      </c>
      <c r="N821" s="51">
        <f>Tabela6[[#This Row],[KM Rodados ]]/Tabela6[[#This Row],[CONSUMO]]</f>
        <v>4.8272357723577235</v>
      </c>
    </row>
    <row r="822" spans="1:14" x14ac:dyDescent="0.25">
      <c r="A822" s="47">
        <v>267553</v>
      </c>
      <c r="B822" s="78">
        <v>45026</v>
      </c>
      <c r="C822" s="47" t="s">
        <v>67</v>
      </c>
      <c r="D822" s="49" t="s">
        <v>270</v>
      </c>
      <c r="E822" s="47">
        <v>659815</v>
      </c>
      <c r="G822" s="50" t="s">
        <v>89</v>
      </c>
      <c r="H822" s="51">
        <v>126.13</v>
      </c>
      <c r="J822" s="51">
        <v>5.59</v>
      </c>
      <c r="K822" s="52">
        <f>Tabela6[[#This Row],[CONSUMO]]*Tabela6[[#This Row],[VALOR UNIT]]-Tabela6[[#This Row],[DESCONTO]]</f>
        <v>705.06669999999997</v>
      </c>
      <c r="L822" s="53">
        <f>Tabela6[[#This Row],[CUSTO TOTAL]]/Tabela6[[#This Row],[CONSUMO]]</f>
        <v>5.59</v>
      </c>
      <c r="M822" s="50">
        <f>Tabela6[[#This Row],[KM ATUAL]]-E705</f>
        <v>52381</v>
      </c>
      <c r="N822" s="84">
        <f>Tabela6[[#This Row],[KM Rodados ]]/Tabela6[[#This Row],[CONSUMO]]</f>
        <v>415.29374454927455</v>
      </c>
    </row>
    <row r="823" spans="1:14" x14ac:dyDescent="0.25">
      <c r="A823" s="47" t="s">
        <v>314</v>
      </c>
      <c r="B823" s="78">
        <v>45026</v>
      </c>
      <c r="C823" s="47" t="s">
        <v>215</v>
      </c>
      <c r="E823" s="47">
        <v>220901</v>
      </c>
      <c r="G823" s="50" t="s">
        <v>244</v>
      </c>
      <c r="H823" s="51">
        <v>22</v>
      </c>
      <c r="K823" s="52">
        <f>Tabela6[[#This Row],[CONSUMO]]*Tabela6[[#This Row],[VALOR UNIT]]-Tabela6[[#This Row],[DESCONTO]]</f>
        <v>0</v>
      </c>
      <c r="L823" s="53">
        <f>Tabela6[[#This Row],[CUSTO TOTAL]]/Tabela6[[#This Row],[CONSUMO]]</f>
        <v>0</v>
      </c>
      <c r="M823" s="50">
        <f>Tabela6[[#This Row],[KM ATUAL]]-E777</f>
        <v>-20120</v>
      </c>
      <c r="N823" s="51">
        <f>Tabela6[[#This Row],[KM Rodados ]]/Tabela6[[#This Row],[CONSUMO]]</f>
        <v>-914.5454545454545</v>
      </c>
    </row>
    <row r="824" spans="1:14" x14ac:dyDescent="0.25">
      <c r="A824" s="47">
        <v>343296</v>
      </c>
      <c r="B824" s="78">
        <v>45026</v>
      </c>
      <c r="C824" s="47" t="s">
        <v>39</v>
      </c>
      <c r="D824" s="49" t="s">
        <v>253</v>
      </c>
      <c r="E824" s="47">
        <v>82357</v>
      </c>
      <c r="G824" s="50" t="s">
        <v>89</v>
      </c>
      <c r="H824" s="51">
        <v>90.91</v>
      </c>
      <c r="I824" s="49">
        <v>27.27</v>
      </c>
      <c r="J824" s="51">
        <v>6.09</v>
      </c>
      <c r="K824" s="51">
        <f>Tabela6[[#This Row],[CONSUMO]]*Tabela6[[#This Row],[VALOR UNIT]]-Tabela6[[#This Row],[DESCONTO]]</f>
        <v>526.37189999999998</v>
      </c>
      <c r="L824" s="53">
        <f>Tabela6[[#This Row],[CUSTO TOTAL]]/Tabela6[[#This Row],[CONSUMO]]</f>
        <v>5.7900329996700037</v>
      </c>
      <c r="M824" s="50">
        <f>Tabela6[[#This Row],[KM ATUAL]]-E724</f>
        <v>-297724</v>
      </c>
      <c r="N824" s="51">
        <f>Tabela6[[#This Row],[KM Rodados ]]/Tabela6[[#This Row],[CONSUMO]]</f>
        <v>-3274.931250687493</v>
      </c>
    </row>
    <row r="825" spans="1:14" x14ac:dyDescent="0.25">
      <c r="A825" s="47" t="s">
        <v>314</v>
      </c>
      <c r="B825" s="78">
        <v>45026</v>
      </c>
      <c r="C825" s="47" t="s">
        <v>72</v>
      </c>
      <c r="E825" s="47">
        <v>382182</v>
      </c>
      <c r="G825" s="50" t="s">
        <v>89</v>
      </c>
      <c r="H825" s="51">
        <v>50.21</v>
      </c>
      <c r="K825" s="52">
        <f>Tabela6[[#This Row],[CONSUMO]]*Tabela6[[#This Row],[VALOR UNIT]]-Tabela6[[#This Row],[DESCONTO]]</f>
        <v>0</v>
      </c>
      <c r="L825" s="53">
        <f>Tabela6[[#This Row],[CUSTO TOTAL]]/Tabela6[[#This Row],[CONSUMO]]</f>
        <v>0</v>
      </c>
      <c r="M825" s="50">
        <f>Tabela6[[#This Row],[KM ATUAL]]-E801</f>
        <v>25890</v>
      </c>
      <c r="N825" s="51">
        <f>Tabela6[[#This Row],[KM Rodados ]]/Tabela6[[#This Row],[CONSUMO]]</f>
        <v>515.63433578968329</v>
      </c>
    </row>
    <row r="826" spans="1:14" x14ac:dyDescent="0.25">
      <c r="A826" s="47">
        <v>343435</v>
      </c>
      <c r="B826" s="78">
        <v>45026</v>
      </c>
      <c r="C826" s="47" t="s">
        <v>72</v>
      </c>
      <c r="D826" s="49" t="s">
        <v>253</v>
      </c>
      <c r="E826" s="47">
        <v>382430</v>
      </c>
      <c r="G826" s="50" t="s">
        <v>89</v>
      </c>
      <c r="H826" s="51">
        <v>31.49</v>
      </c>
      <c r="I826" s="49">
        <v>9.4499999999999993</v>
      </c>
      <c r="J826" s="51">
        <v>6.09</v>
      </c>
      <c r="K826" s="52">
        <f>Tabela6[[#This Row],[CONSUMO]]*Tabela6[[#This Row],[VALOR UNIT]]-Tabela6[[#This Row],[DESCONTO]]</f>
        <v>182.32409999999999</v>
      </c>
      <c r="L826" s="53">
        <f>Tabela6[[#This Row],[CUSTO TOTAL]]/Tabela6[[#This Row],[CONSUMO]]</f>
        <v>5.7899047316608447</v>
      </c>
      <c r="M826" s="50">
        <f>Tabela6[[#This Row],[KM ATUAL]]-E825</f>
        <v>248</v>
      </c>
      <c r="N826" s="51">
        <f>Tabela6[[#This Row],[KM Rodados ]]/Tabela6[[#This Row],[CONSUMO]]</f>
        <v>7.8755160368370918</v>
      </c>
    </row>
    <row r="827" spans="1:14" x14ac:dyDescent="0.25">
      <c r="A827" s="47">
        <v>343492</v>
      </c>
      <c r="B827" s="78">
        <v>45026</v>
      </c>
      <c r="C827" s="47" t="s">
        <v>64</v>
      </c>
      <c r="D827" s="49" t="s">
        <v>253</v>
      </c>
      <c r="E827" s="47">
        <v>75815</v>
      </c>
      <c r="G827" s="50" t="s">
        <v>89</v>
      </c>
      <c r="H827" s="51">
        <v>138.87</v>
      </c>
      <c r="I827" s="49">
        <v>41.66</v>
      </c>
      <c r="J827" s="51">
        <v>6.09</v>
      </c>
      <c r="K827" s="51">
        <f>Tabela6[[#This Row],[CONSUMO]]*Tabela6[[#This Row],[VALOR UNIT]]-Tabela6[[#This Row],[DESCONTO]]</f>
        <v>804.05830000000003</v>
      </c>
      <c r="L827" s="53">
        <f>Tabela6[[#This Row],[CUSTO TOTAL]]/Tabela6[[#This Row],[CONSUMO]]</f>
        <v>5.7900072009793329</v>
      </c>
      <c r="M827" s="50">
        <f>Tabela6[[#This Row],[KM ATUAL]]-E794</f>
        <v>-10864</v>
      </c>
      <c r="N827" s="51">
        <f>Tabela6[[#This Row],[KM Rodados ]]/Tabela6[[#This Row],[CONSUMO]]</f>
        <v>-78.231439475768696</v>
      </c>
    </row>
    <row r="828" spans="1:14" x14ac:dyDescent="0.25">
      <c r="A828" s="47">
        <v>641545</v>
      </c>
      <c r="B828" s="78">
        <v>45026</v>
      </c>
      <c r="C828" s="47" t="s">
        <v>13</v>
      </c>
      <c r="D828" s="49" t="s">
        <v>250</v>
      </c>
      <c r="E828" s="47">
        <v>610166</v>
      </c>
      <c r="G828" s="50" t="s">
        <v>241</v>
      </c>
      <c r="H828" s="51">
        <v>20</v>
      </c>
      <c r="J828" s="51">
        <v>3.89</v>
      </c>
      <c r="K828" s="51">
        <f>Tabela6[[#This Row],[CONSUMO]]*Tabela6[[#This Row],[VALOR UNIT]]-Tabela6[[#This Row],[DESCONTO]]</f>
        <v>77.8</v>
      </c>
      <c r="L828" s="53">
        <f>Tabela6[[#This Row],[CUSTO TOTAL]]/Tabela6[[#This Row],[CONSUMO]]</f>
        <v>3.8899999999999997</v>
      </c>
      <c r="M828" s="50"/>
      <c r="N828"/>
    </row>
    <row r="829" spans="1:14" x14ac:dyDescent="0.25">
      <c r="A829" s="47">
        <v>641543</v>
      </c>
      <c r="B829" s="78">
        <v>45026</v>
      </c>
      <c r="C829" s="47" t="s">
        <v>13</v>
      </c>
      <c r="D829" s="49" t="s">
        <v>250</v>
      </c>
      <c r="E829" s="47">
        <v>610166</v>
      </c>
      <c r="G829" s="50" t="s">
        <v>89</v>
      </c>
      <c r="H829" s="51">
        <v>101.3</v>
      </c>
      <c r="J829" s="51">
        <v>5.7</v>
      </c>
      <c r="K829" s="51">
        <f>Tabela6[[#This Row],[CONSUMO]]*Tabela6[[#This Row],[VALOR UNIT]]-Tabela6[[#This Row],[DESCONTO]]</f>
        <v>577.41</v>
      </c>
      <c r="L829" s="53">
        <f>Tabela6[[#This Row],[CUSTO TOTAL]]/Tabela6[[#This Row],[CONSUMO]]</f>
        <v>5.7</v>
      </c>
      <c r="M829" s="50">
        <f>Tabela6[[#This Row],[KM ATUAL]]-E813</f>
        <v>306320</v>
      </c>
      <c r="N829" s="51">
        <f>Tabela6[[#This Row],[KM Rodados ]]/Tabela6[[#This Row],[CONSUMO]]</f>
        <v>3023.8894373149064</v>
      </c>
    </row>
    <row r="830" spans="1:14" x14ac:dyDescent="0.25">
      <c r="A830" s="47">
        <v>286804</v>
      </c>
      <c r="B830" s="78">
        <v>45026</v>
      </c>
      <c r="C830" s="47" t="s">
        <v>15</v>
      </c>
      <c r="D830" s="49" t="s">
        <v>276</v>
      </c>
      <c r="E830" s="47">
        <v>356841</v>
      </c>
      <c r="G830" s="50" t="s">
        <v>89</v>
      </c>
      <c r="H830" s="51">
        <v>90.15</v>
      </c>
      <c r="J830" s="51">
        <v>5.99</v>
      </c>
      <c r="K830" s="51">
        <f>Tabela6[[#This Row],[CONSUMO]]*Tabela6[[#This Row],[VALOR UNIT]]-Tabela6[[#This Row],[DESCONTO]]</f>
        <v>539.99850000000004</v>
      </c>
      <c r="L830" s="53">
        <f>Tabela6[[#This Row],[CUSTO TOTAL]]/Tabela6[[#This Row],[CONSUMO]]</f>
        <v>5.99</v>
      </c>
      <c r="M830" s="50">
        <f>Tabela6[[#This Row],[KM ATUAL]]-E798</f>
        <v>71528</v>
      </c>
      <c r="N830" s="51">
        <f>Tabela6[[#This Row],[KM Rodados ]]/Tabela6[[#This Row],[CONSUMO]]</f>
        <v>793.4331669439822</v>
      </c>
    </row>
    <row r="831" spans="1:14" x14ac:dyDescent="0.25">
      <c r="A831" s="47">
        <v>173495</v>
      </c>
      <c r="B831" s="78">
        <v>45026</v>
      </c>
      <c r="C831" s="47" t="s">
        <v>23</v>
      </c>
      <c r="D831" s="49" t="s">
        <v>262</v>
      </c>
      <c r="E831" s="47">
        <v>218780</v>
      </c>
      <c r="G831" s="50" t="s">
        <v>241</v>
      </c>
      <c r="H831" s="51">
        <v>19.033999999999999</v>
      </c>
      <c r="I831" s="49">
        <v>6.86</v>
      </c>
      <c r="J831" s="51">
        <v>3.69</v>
      </c>
      <c r="K831" s="51">
        <f>Tabela6[[#This Row],[CONSUMO]]*Tabela6[[#This Row],[VALOR UNIT]]-Tabela6[[#This Row],[DESCONTO]]</f>
        <v>63.37545999999999</v>
      </c>
      <c r="L831" s="53">
        <f>Tabela6[[#This Row],[CUSTO TOTAL]]/Tabela6[[#This Row],[CONSUMO]]</f>
        <v>3.3295923085005774</v>
      </c>
      <c r="M831" s="50"/>
      <c r="N831"/>
    </row>
    <row r="832" spans="1:14" x14ac:dyDescent="0.25">
      <c r="A832" s="47">
        <v>173495</v>
      </c>
      <c r="B832" s="78">
        <v>45026</v>
      </c>
      <c r="C832" s="47" t="s">
        <v>23</v>
      </c>
      <c r="D832" s="49" t="s">
        <v>262</v>
      </c>
      <c r="E832" s="47">
        <v>218780</v>
      </c>
      <c r="G832" s="50" t="s">
        <v>89</v>
      </c>
      <c r="H832" s="51">
        <v>102.89</v>
      </c>
      <c r="J832" s="51">
        <v>5.89</v>
      </c>
      <c r="K832" s="51">
        <f>Tabela6[[#This Row],[CONSUMO]]*Tabela6[[#This Row],[VALOR UNIT]]-Tabela6[[#This Row],[DESCONTO]]</f>
        <v>606.02210000000002</v>
      </c>
      <c r="L832" s="53">
        <f>Tabela6[[#This Row],[CUSTO TOTAL]]/Tabela6[[#This Row],[CONSUMO]]</f>
        <v>5.8900000000000006</v>
      </c>
      <c r="M832" s="50">
        <f>Tabela6[[#This Row],[KM ATUAL]]-E806</f>
        <v>-1891</v>
      </c>
      <c r="N832" s="51">
        <f>Tabela6[[#This Row],[KM Rodados ]]/Tabela6[[#This Row],[CONSUMO]]</f>
        <v>-18.378851200311011</v>
      </c>
    </row>
    <row r="833" spans="1:14" x14ac:dyDescent="0.25">
      <c r="A833" s="47">
        <v>173731</v>
      </c>
      <c r="B833" s="78">
        <v>45027</v>
      </c>
      <c r="C833" s="47" t="s">
        <v>22</v>
      </c>
      <c r="D833" s="49" t="s">
        <v>262</v>
      </c>
      <c r="E833" s="47">
        <v>321251</v>
      </c>
      <c r="G833" s="50" t="s">
        <v>89</v>
      </c>
      <c r="H833" s="51">
        <v>115.059</v>
      </c>
      <c r="J833" s="51">
        <v>5.89</v>
      </c>
      <c r="K833" s="74">
        <f>Tabela6[[#This Row],[CONSUMO]]*Tabela6[[#This Row],[VALOR UNIT]]-Tabela6[[#This Row],[DESCONTO]]</f>
        <v>677.69750999999997</v>
      </c>
      <c r="L833" s="53">
        <f>Tabela6[[#This Row],[CUSTO TOTAL]]/Tabela6[[#This Row],[CONSUMO]]</f>
        <v>5.89</v>
      </c>
      <c r="M833" s="50">
        <f>Tabela6[[#This Row],[KM ATUAL]]-E788</f>
        <v>-287849</v>
      </c>
      <c r="N833" s="51">
        <f>Tabela6[[#This Row],[KM Rodados ]]/Tabela6[[#This Row],[CONSUMO]]</f>
        <v>-2501.7512754326044</v>
      </c>
    </row>
    <row r="834" spans="1:14" x14ac:dyDescent="0.25">
      <c r="A834" s="47">
        <v>531454</v>
      </c>
      <c r="B834" s="78">
        <v>45027</v>
      </c>
      <c r="C834" s="47" t="s">
        <v>70</v>
      </c>
      <c r="D834" s="49" t="s">
        <v>275</v>
      </c>
      <c r="E834" s="47">
        <v>193293</v>
      </c>
      <c r="G834" s="50" t="s">
        <v>241</v>
      </c>
      <c r="H834" s="51">
        <v>56</v>
      </c>
      <c r="J834" s="51">
        <v>3.79</v>
      </c>
      <c r="K834" s="51">
        <f>Tabela6[[#This Row],[CONSUMO]]*Tabela6[[#This Row],[VALOR UNIT]]-Tabela6[[#This Row],[DESCONTO]]</f>
        <v>212.24</v>
      </c>
      <c r="L834" s="53">
        <f>Tabela6[[#This Row],[CUSTO TOTAL]]/Tabela6[[#This Row],[CONSUMO]]</f>
        <v>3.79</v>
      </c>
      <c r="M834" s="50"/>
      <c r="N834"/>
    </row>
    <row r="835" spans="1:14" x14ac:dyDescent="0.25">
      <c r="A835" s="47">
        <v>531454</v>
      </c>
      <c r="B835" s="78">
        <v>45027</v>
      </c>
      <c r="C835" s="47" t="s">
        <v>70</v>
      </c>
      <c r="D835" s="49" t="s">
        <v>275</v>
      </c>
      <c r="E835" s="47">
        <v>193293</v>
      </c>
      <c r="G835" s="50" t="s">
        <v>89</v>
      </c>
      <c r="H835" s="51">
        <v>678.76</v>
      </c>
      <c r="J835" s="51">
        <v>5.79</v>
      </c>
      <c r="K835" s="51">
        <f>Tabela6[[#This Row],[CONSUMO]]*Tabela6[[#This Row],[VALOR UNIT]]-Tabela6[[#This Row],[DESCONTO]]</f>
        <v>3930.0203999999999</v>
      </c>
      <c r="L835" s="53">
        <f>Tabela6[[#This Row],[CUSTO TOTAL]]/Tabela6[[#This Row],[CONSUMO]]</f>
        <v>5.79</v>
      </c>
      <c r="M835" s="50">
        <f>Tabela6[[#This Row],[KM ATUAL]]-E733</f>
        <v>-24524</v>
      </c>
      <c r="N835" s="51">
        <f>Tabela6[[#This Row],[KM Rodados ]]/Tabela6[[#This Row],[CONSUMO]]</f>
        <v>-36.130591077847839</v>
      </c>
    </row>
    <row r="836" spans="1:14" x14ac:dyDescent="0.25">
      <c r="A836" s="47">
        <v>287050</v>
      </c>
      <c r="B836" s="78">
        <v>45027</v>
      </c>
      <c r="C836" s="47" t="s">
        <v>203</v>
      </c>
      <c r="D836" s="49" t="s">
        <v>276</v>
      </c>
      <c r="E836" s="47">
        <v>87779</v>
      </c>
      <c r="G836" s="50" t="s">
        <v>244</v>
      </c>
      <c r="H836" s="51">
        <v>10</v>
      </c>
      <c r="J836" s="51">
        <v>5.39</v>
      </c>
      <c r="K836" s="52">
        <f>Tabela6[[#This Row],[CONSUMO]]*Tabela6[[#This Row],[VALOR UNIT]]-Tabela6[[#This Row],[DESCONTO]]</f>
        <v>53.9</v>
      </c>
      <c r="L836" s="53">
        <f>Tabela6[[#This Row],[CUSTO TOTAL]]/Tabela6[[#This Row],[CONSUMO]]</f>
        <v>5.39</v>
      </c>
      <c r="M836" s="50">
        <f>Tabela6[[#This Row],[KM ATUAL]]-E822</f>
        <v>-572036</v>
      </c>
      <c r="N836" s="51">
        <f>Tabela6[[#This Row],[KM Rodados ]]/Tabela6[[#This Row],[CONSUMO]]</f>
        <v>-57203.6</v>
      </c>
    </row>
    <row r="837" spans="1:14" x14ac:dyDescent="0.25">
      <c r="A837" s="47">
        <v>76830</v>
      </c>
      <c r="B837" s="78">
        <v>45027</v>
      </c>
      <c r="C837" s="47" t="s">
        <v>21</v>
      </c>
      <c r="D837" s="49" t="s">
        <v>263</v>
      </c>
      <c r="E837" s="47">
        <v>134765</v>
      </c>
      <c r="G837" s="50" t="s">
        <v>89</v>
      </c>
      <c r="H837" s="51">
        <v>199.08099999999999</v>
      </c>
      <c r="I837" s="49">
        <v>19.91</v>
      </c>
      <c r="J837" s="51">
        <v>5.59</v>
      </c>
      <c r="K837" s="52">
        <f>Tabela6[[#This Row],[CONSUMO]]*Tabela6[[#This Row],[VALOR UNIT]]-Tabela6[[#This Row],[DESCONTO]]</f>
        <v>1092.9527899999998</v>
      </c>
      <c r="L837" s="53">
        <f>Tabela6[[#This Row],[CUSTO TOTAL]]/Tabela6[[#This Row],[CONSUMO]]</f>
        <v>5.48999045614599</v>
      </c>
      <c r="M837" s="50">
        <f>Tabela6[[#This Row],[KM ATUAL]]-E779</f>
        <v>1655</v>
      </c>
      <c r="N837" s="51">
        <f>Tabela6[[#This Row],[KM Rodados ]]/Tabela6[[#This Row],[CONSUMO]]</f>
        <v>8.313199150094686</v>
      </c>
    </row>
    <row r="838" spans="1:14" x14ac:dyDescent="0.25">
      <c r="A838" s="47">
        <v>115075</v>
      </c>
      <c r="B838" s="78">
        <v>45027</v>
      </c>
      <c r="C838" s="47" t="s">
        <v>207</v>
      </c>
      <c r="D838" s="49" t="s">
        <v>260</v>
      </c>
      <c r="E838" s="47">
        <v>63096</v>
      </c>
      <c r="G838" s="50" t="s">
        <v>244</v>
      </c>
      <c r="H838" s="51">
        <v>5.39</v>
      </c>
      <c r="J838" s="51">
        <v>3.9590000000000001</v>
      </c>
      <c r="K838" s="51">
        <f>Tabela6[[#This Row],[CONSUMO]]*Tabela6[[#This Row],[VALOR UNIT]]-Tabela6[[#This Row],[DESCONTO]]</f>
        <v>21.339009999999998</v>
      </c>
      <c r="L838" s="53">
        <f>Tabela6[[#This Row],[CUSTO TOTAL]]/Tabela6[[#This Row],[CONSUMO]]</f>
        <v>3.9590000000000001</v>
      </c>
      <c r="M838" s="50">
        <f>Tabela6[[#This Row],[KM ATUAL]]-E728</f>
        <v>-70173</v>
      </c>
      <c r="N838" s="51">
        <f>Tabela6[[#This Row],[KM Rodados ]]/Tabela6[[#This Row],[CONSUMO]]</f>
        <v>-13019.109461966606</v>
      </c>
    </row>
    <row r="839" spans="1:14" x14ac:dyDescent="0.25">
      <c r="A839" s="47">
        <v>286911</v>
      </c>
      <c r="B839" s="78">
        <v>45027</v>
      </c>
      <c r="C839" s="47" t="s">
        <v>41</v>
      </c>
      <c r="D839" s="49" t="s">
        <v>276</v>
      </c>
      <c r="E839" s="47">
        <v>655117</v>
      </c>
      <c r="G839" s="50" t="s">
        <v>89</v>
      </c>
      <c r="H839" s="51">
        <v>165.83</v>
      </c>
      <c r="J839" s="51">
        <v>5.89</v>
      </c>
      <c r="K839" s="51">
        <f>Tabela6[[#This Row],[CONSUMO]]*Tabela6[[#This Row],[VALOR UNIT]]-Tabela6[[#This Row],[DESCONTO]]</f>
        <v>976.73869999999999</v>
      </c>
      <c r="L839" s="53">
        <f>Tabela6[[#This Row],[CUSTO TOTAL]]/Tabela6[[#This Row],[CONSUMO]]</f>
        <v>5.89</v>
      </c>
      <c r="M839" s="50">
        <f>Tabela6[[#This Row],[KM ATUAL]]-E755</f>
        <v>190869</v>
      </c>
      <c r="N839" s="51">
        <f>Tabela6[[#This Row],[KM Rodados ]]/Tabela6[[#This Row],[CONSUMO]]</f>
        <v>1150.9919797382861</v>
      </c>
    </row>
    <row r="840" spans="1:14" x14ac:dyDescent="0.25">
      <c r="A840" s="47">
        <v>344163</v>
      </c>
      <c r="B840" s="78">
        <v>45027</v>
      </c>
      <c r="C840" s="47" t="s">
        <v>12</v>
      </c>
      <c r="D840" s="49" t="s">
        <v>253</v>
      </c>
      <c r="E840" s="47">
        <v>0</v>
      </c>
      <c r="G840" s="50" t="s">
        <v>241</v>
      </c>
      <c r="H840" s="51">
        <v>22.393000000000001</v>
      </c>
      <c r="J840" s="51">
        <v>4.99</v>
      </c>
      <c r="K840" s="51">
        <f>Tabela6[[#This Row],[CONSUMO]]*Tabela6[[#This Row],[VALOR UNIT]]-Tabela6[[#This Row],[DESCONTO]]</f>
        <v>111.74107000000001</v>
      </c>
      <c r="L840" s="53">
        <f>Tabela6[[#This Row],[CUSTO TOTAL]]/Tabela6[[#This Row],[CONSUMO]]</f>
        <v>4.99</v>
      </c>
      <c r="M840" s="50"/>
      <c r="N840"/>
    </row>
    <row r="841" spans="1:14" x14ac:dyDescent="0.25">
      <c r="A841" s="47">
        <v>344162</v>
      </c>
      <c r="B841" s="78">
        <v>45027</v>
      </c>
      <c r="C841" s="47" t="s">
        <v>12</v>
      </c>
      <c r="D841" s="49" t="s">
        <v>253</v>
      </c>
      <c r="E841" s="47">
        <v>308269</v>
      </c>
      <c r="G841" s="50" t="s">
        <v>89</v>
      </c>
      <c r="H841" s="51">
        <v>97.99</v>
      </c>
      <c r="I841" s="49">
        <v>29.4</v>
      </c>
      <c r="J841" s="51">
        <v>6.09</v>
      </c>
      <c r="K841" s="51">
        <f>Tabela6[[#This Row],[CONSUMO]]*Tabela6[[#This Row],[VALOR UNIT]]-Tabela6[[#This Row],[DESCONTO]]</f>
        <v>567.35910000000001</v>
      </c>
      <c r="L841" s="53">
        <f>Tabela6[[#This Row],[CUSTO TOTAL]]/Tabela6[[#This Row],[CONSUMO]]</f>
        <v>5.7899693846310853</v>
      </c>
      <c r="M841" s="50">
        <f>Tabela6[[#This Row],[KM ATUAL]]-E779</f>
        <v>175159</v>
      </c>
      <c r="N841" s="51">
        <f>Tabela6[[#This Row],[KM Rodados ]]/Tabela6[[#This Row],[CONSUMO]]</f>
        <v>1787.5191346055722</v>
      </c>
    </row>
    <row r="842" spans="1:14" x14ac:dyDescent="0.25">
      <c r="A842" s="47">
        <v>642176</v>
      </c>
      <c r="B842" s="78">
        <v>45027</v>
      </c>
      <c r="C842" s="47" t="s">
        <v>13</v>
      </c>
      <c r="D842" s="47" t="s">
        <v>250</v>
      </c>
      <c r="E842" s="47">
        <v>610658</v>
      </c>
      <c r="G842" s="50" t="s">
        <v>89</v>
      </c>
      <c r="H842" s="51">
        <v>115</v>
      </c>
      <c r="J842" s="51">
        <v>5.7</v>
      </c>
      <c r="K842" s="51">
        <f>Tabela6[[#This Row],[CONSUMO]]*Tabela6[[#This Row],[VALOR UNIT]]-Tabela6[[#This Row],[DESCONTO]]</f>
        <v>655.5</v>
      </c>
      <c r="L842" s="53">
        <f>Tabela6[[#This Row],[CUSTO TOTAL]]/Tabela6[[#This Row],[CONSUMO]]</f>
        <v>5.7</v>
      </c>
      <c r="M842" s="50">
        <f>Tabela6[[#This Row],[KM ATUAL]]-E827</f>
        <v>534843</v>
      </c>
      <c r="N842" s="51">
        <f>Tabela6[[#This Row],[KM Rodados ]]/Tabela6[[#This Row],[CONSUMO]]</f>
        <v>4650.8086956521738</v>
      </c>
    </row>
    <row r="843" spans="1:14" x14ac:dyDescent="0.25">
      <c r="A843" s="47" t="s">
        <v>314</v>
      </c>
      <c r="B843" s="78">
        <v>45027</v>
      </c>
      <c r="C843" s="47" t="s">
        <v>20</v>
      </c>
      <c r="E843" s="47">
        <v>241998</v>
      </c>
      <c r="G843" s="50" t="s">
        <v>89</v>
      </c>
      <c r="H843" s="51">
        <v>63.51</v>
      </c>
      <c r="K843" s="52">
        <f>Tabela6[[#This Row],[CONSUMO]]*Tabela6[[#This Row],[VALOR UNIT]]-Tabela6[[#This Row],[DESCONTO]]</f>
        <v>0</v>
      </c>
      <c r="L843" s="53">
        <f>Tabela6[[#This Row],[CUSTO TOTAL]]/Tabela6[[#This Row],[CONSUMO]]</f>
        <v>0</v>
      </c>
      <c r="M843" s="50">
        <f>Tabela6[[#This Row],[KM ATUAL]]-E791</f>
        <v>197472</v>
      </c>
      <c r="N843" s="51">
        <f>Tabela6[[#This Row],[KM Rodados ]]/Tabela6[[#This Row],[CONSUMO]]</f>
        <v>3109.3056211620219</v>
      </c>
    </row>
    <row r="844" spans="1:14" x14ac:dyDescent="0.25">
      <c r="A844" s="47">
        <v>267741</v>
      </c>
      <c r="B844" s="78">
        <v>45027</v>
      </c>
      <c r="C844" s="47" t="s">
        <v>20</v>
      </c>
      <c r="D844" s="49" t="s">
        <v>270</v>
      </c>
      <c r="E844" s="47">
        <v>242451</v>
      </c>
      <c r="G844" s="50" t="s">
        <v>89</v>
      </c>
      <c r="H844" s="51">
        <v>54.030999999999999</v>
      </c>
      <c r="J844" s="51">
        <v>5.59</v>
      </c>
      <c r="K844" s="52">
        <f>Tabela6[[#This Row],[CONSUMO]]*Tabela6[[#This Row],[VALOR UNIT]]-Tabela6[[#This Row],[DESCONTO]]</f>
        <v>302.03328999999997</v>
      </c>
      <c r="L844" s="53">
        <f>Tabela6[[#This Row],[CUSTO TOTAL]]/Tabela6[[#This Row],[CONSUMO]]</f>
        <v>5.59</v>
      </c>
      <c r="M844" s="50">
        <f>Tabela6[[#This Row],[KM ATUAL]]-E843</f>
        <v>453</v>
      </c>
      <c r="N844" s="51">
        <f>Tabela6[[#This Row],[KM Rodados ]]/Tabela6[[#This Row],[CONSUMO]]</f>
        <v>8.3840758083322537</v>
      </c>
    </row>
    <row r="845" spans="1:14" x14ac:dyDescent="0.25">
      <c r="A845" s="47">
        <v>174041</v>
      </c>
      <c r="B845" s="78">
        <v>45028</v>
      </c>
      <c r="C845" s="47" t="s">
        <v>68</v>
      </c>
      <c r="D845" s="49" t="s">
        <v>262</v>
      </c>
      <c r="E845" s="47">
        <v>877729</v>
      </c>
      <c r="G845" s="50" t="s">
        <v>89</v>
      </c>
      <c r="H845" s="51">
        <v>357.64</v>
      </c>
      <c r="J845" s="51">
        <v>5.89</v>
      </c>
      <c r="K845" s="51">
        <f>Tabela6[[#This Row],[CONSUMO]]*Tabela6[[#This Row],[VALOR UNIT]]-Tabela6[[#This Row],[DESCONTO]]</f>
        <v>2106.4995999999996</v>
      </c>
      <c r="L845" s="53">
        <f>Tabela6[[#This Row],[CUSTO TOTAL]]/Tabela6[[#This Row],[CONSUMO]]</f>
        <v>5.8899999999999988</v>
      </c>
      <c r="M845" s="50">
        <f>Tabela6[[#This Row],[KM ATUAL]]-E824</f>
        <v>795372</v>
      </c>
      <c r="N845" s="51">
        <f>Tabela6[[#This Row],[KM Rodados ]]/Tabela6[[#This Row],[CONSUMO]]</f>
        <v>2223.9458673526451</v>
      </c>
    </row>
    <row r="846" spans="1:14" x14ac:dyDescent="0.25">
      <c r="A846" s="47">
        <v>157881</v>
      </c>
      <c r="B846" s="78">
        <v>45028</v>
      </c>
      <c r="C846" s="47" t="s">
        <v>222</v>
      </c>
      <c r="D846" s="49" t="s">
        <v>268</v>
      </c>
      <c r="E846" s="47">
        <v>467476</v>
      </c>
      <c r="G846" s="50" t="s">
        <v>241</v>
      </c>
      <c r="H846" s="51">
        <v>40.04</v>
      </c>
      <c r="J846" s="51">
        <v>3.19</v>
      </c>
      <c r="K846" s="51">
        <f>Tabela6[[#This Row],[CONSUMO]]*Tabela6[[#This Row],[VALOR UNIT]]-Tabela6[[#This Row],[DESCONTO]]</f>
        <v>127.7276</v>
      </c>
      <c r="L846" s="53">
        <f>Tabela6[[#This Row],[CUSTO TOTAL]]/Tabela6[[#This Row],[CONSUMO]]</f>
        <v>3.19</v>
      </c>
      <c r="M846" s="50"/>
      <c r="N846"/>
    </row>
    <row r="847" spans="1:14" x14ac:dyDescent="0.25">
      <c r="A847" s="47">
        <v>157880</v>
      </c>
      <c r="B847" s="78">
        <v>45028</v>
      </c>
      <c r="C847" s="47" t="s">
        <v>222</v>
      </c>
      <c r="D847" s="49" t="s">
        <v>268</v>
      </c>
      <c r="E847" s="47">
        <v>467476</v>
      </c>
      <c r="G847" s="50" t="s">
        <v>89</v>
      </c>
      <c r="H847" s="51">
        <v>401</v>
      </c>
      <c r="J847" s="51">
        <v>5.49</v>
      </c>
      <c r="K847" s="51">
        <f>Tabela6[[#This Row],[CONSUMO]]*Tabela6[[#This Row],[VALOR UNIT]]-Tabela6[[#This Row],[DESCONTO]]</f>
        <v>2201.4900000000002</v>
      </c>
      <c r="L847" s="53">
        <f>Tabela6[[#This Row],[CUSTO TOTAL]]/Tabela6[[#This Row],[CONSUMO]]</f>
        <v>5.49</v>
      </c>
      <c r="M847" s="50">
        <f>Tabela6[[#This Row],[KM ATUAL]]-E802</f>
        <v>249074</v>
      </c>
      <c r="N847" s="51">
        <f>Tabela6[[#This Row],[KM Rodados ]]/Tabela6[[#This Row],[CONSUMO]]</f>
        <v>621.13216957605982</v>
      </c>
    </row>
    <row r="848" spans="1:14" x14ac:dyDescent="0.25">
      <c r="A848" s="47" t="s">
        <v>314</v>
      </c>
      <c r="B848" s="78">
        <v>45028</v>
      </c>
      <c r="C848" s="47" t="s">
        <v>203</v>
      </c>
      <c r="E848" s="47">
        <v>88223</v>
      </c>
      <c r="G848" s="50" t="s">
        <v>244</v>
      </c>
      <c r="H848" s="51">
        <v>39.85</v>
      </c>
      <c r="K848" s="52">
        <f>Tabela6[[#This Row],[CONSUMO]]*Tabela6[[#This Row],[VALOR UNIT]]-Tabela6[[#This Row],[DESCONTO]]</f>
        <v>0</v>
      </c>
      <c r="L848" s="53">
        <f>Tabela6[[#This Row],[CUSTO TOTAL]]/Tabela6[[#This Row],[CONSUMO]]</f>
        <v>0</v>
      </c>
      <c r="M848" s="50">
        <f>Tabela6[[#This Row],[KM ATUAL]]-E825</f>
        <v>-293959</v>
      </c>
      <c r="N848" s="51">
        <f>Tabela6[[#This Row],[KM Rodados ]]/Tabela6[[#This Row],[CONSUMO]]</f>
        <v>-7376.6373902133</v>
      </c>
    </row>
    <row r="849" spans="1:14" x14ac:dyDescent="0.25">
      <c r="A849" s="47">
        <v>77740</v>
      </c>
      <c r="B849" s="78">
        <v>45028</v>
      </c>
      <c r="C849" s="47" t="s">
        <v>71</v>
      </c>
      <c r="D849" s="49" t="s">
        <v>263</v>
      </c>
      <c r="E849" s="47">
        <v>96810</v>
      </c>
      <c r="G849" s="50" t="s">
        <v>89</v>
      </c>
      <c r="H849" s="51">
        <v>465.46</v>
      </c>
      <c r="I849" s="49">
        <v>46.55</v>
      </c>
      <c r="J849" s="51">
        <v>5.59</v>
      </c>
      <c r="K849" s="51">
        <f>Tabela6[[#This Row],[CONSUMO]]*Tabela6[[#This Row],[VALOR UNIT]]-Tabela6[[#This Row],[DESCONTO]]</f>
        <v>2555.3713999999995</v>
      </c>
      <c r="L849" s="53">
        <f>Tabela6[[#This Row],[CUSTO TOTAL]]/Tabela6[[#This Row],[CONSUMO]]</f>
        <v>5.4899914063507058</v>
      </c>
      <c r="M849" s="50">
        <f>Tabela6[[#This Row],[KM ATUAL]]-E793</f>
        <v>-224030</v>
      </c>
      <c r="N849" s="51">
        <f>Tabela6[[#This Row],[KM Rodados ]]/Tabela6[[#This Row],[CONSUMO]]</f>
        <v>-481.30881278735018</v>
      </c>
    </row>
    <row r="850" spans="1:14" x14ac:dyDescent="0.25">
      <c r="A850" s="47">
        <v>344864</v>
      </c>
      <c r="B850" s="78">
        <v>45028</v>
      </c>
      <c r="C850" s="47" t="s">
        <v>64</v>
      </c>
      <c r="D850" s="49" t="s">
        <v>253</v>
      </c>
      <c r="E850" s="47">
        <v>76378</v>
      </c>
      <c r="G850" s="50" t="s">
        <v>89</v>
      </c>
      <c r="H850" s="51">
        <v>176.39</v>
      </c>
      <c r="I850" s="49">
        <v>52.92</v>
      </c>
      <c r="J850" s="51">
        <v>6.09</v>
      </c>
      <c r="K850" s="51">
        <f>Tabela6[[#This Row],[CONSUMO]]*Tabela6[[#This Row],[VALOR UNIT]]-Tabela6[[#This Row],[DESCONTO]]</f>
        <v>1021.2950999999999</v>
      </c>
      <c r="L850" s="53">
        <f>Tabela6[[#This Row],[CUSTO TOTAL]]/Tabela6[[#This Row],[CONSUMO]]</f>
        <v>5.7899829922331199</v>
      </c>
      <c r="M850" s="50">
        <f>Tabela6[[#This Row],[KM ATUAL]]-E827</f>
        <v>563</v>
      </c>
      <c r="N850" s="51">
        <f>Tabela6[[#This Row],[KM Rodados ]]/Tabela6[[#This Row],[CONSUMO]]</f>
        <v>3.1917909178524861</v>
      </c>
    </row>
    <row r="851" spans="1:14" x14ac:dyDescent="0.25">
      <c r="A851" s="47">
        <v>268055</v>
      </c>
      <c r="B851" s="78">
        <v>45028</v>
      </c>
      <c r="C851" s="47" t="s">
        <v>21</v>
      </c>
      <c r="D851" s="49" t="s">
        <v>270</v>
      </c>
      <c r="E851" s="47">
        <v>135527</v>
      </c>
      <c r="G851" s="50" t="s">
        <v>89</v>
      </c>
      <c r="H851" s="51">
        <v>188.23</v>
      </c>
      <c r="J851" s="51">
        <v>5.59</v>
      </c>
      <c r="K851" s="52">
        <f>Tabela6[[#This Row],[CONSUMO]]*Tabela6[[#This Row],[VALOR UNIT]]-Tabela6[[#This Row],[DESCONTO]]</f>
        <v>1052.2057</v>
      </c>
      <c r="L851" s="53">
        <f>Tabela6[[#This Row],[CUSTO TOTAL]]/Tabela6[[#This Row],[CONSUMO]]</f>
        <v>5.59</v>
      </c>
      <c r="M851" s="50">
        <f>Tabela6[[#This Row],[KM ATUAL]]-E836</f>
        <v>47748</v>
      </c>
      <c r="N851" s="51">
        <f>Tabela6[[#This Row],[KM Rodados ]]/Tabela6[[#This Row],[CONSUMO]]</f>
        <v>253.66838442331192</v>
      </c>
    </row>
    <row r="852" spans="1:14" x14ac:dyDescent="0.25">
      <c r="A852" s="47">
        <v>344893</v>
      </c>
      <c r="B852" s="78">
        <v>45028</v>
      </c>
      <c r="C852" s="47" t="s">
        <v>11</v>
      </c>
      <c r="D852" s="49" t="s">
        <v>253</v>
      </c>
      <c r="E852" s="47">
        <v>389669</v>
      </c>
      <c r="G852" s="50" t="s">
        <v>89</v>
      </c>
      <c r="H852" s="51">
        <v>89.41</v>
      </c>
      <c r="I852" s="49">
        <v>26.82</v>
      </c>
      <c r="J852" s="51">
        <v>6.09</v>
      </c>
      <c r="K852" s="51">
        <f>Tabela6[[#This Row],[CONSUMO]]*Tabela6[[#This Row],[VALOR UNIT]]-Tabela6[[#This Row],[DESCONTO]]</f>
        <v>517.68689999999992</v>
      </c>
      <c r="L852" s="53">
        <f>Tabela6[[#This Row],[CUSTO TOTAL]]/Tabela6[[#This Row],[CONSUMO]]</f>
        <v>5.7900335532938145</v>
      </c>
      <c r="M852" s="50">
        <f>Tabela6[[#This Row],[KM ATUAL]]-E791</f>
        <v>345143</v>
      </c>
      <c r="N852" s="51">
        <f>Tabela6[[#This Row],[KM Rodados ]]/Tabela6[[#This Row],[CONSUMO]]</f>
        <v>3860.228162397942</v>
      </c>
    </row>
    <row r="853" spans="1:14" x14ac:dyDescent="0.25">
      <c r="A853" s="47" t="s">
        <v>314</v>
      </c>
      <c r="B853" s="78">
        <v>45028</v>
      </c>
      <c r="C853" s="47" t="s">
        <v>16</v>
      </c>
      <c r="E853" s="47">
        <v>293016</v>
      </c>
      <c r="G853" s="50" t="s">
        <v>89</v>
      </c>
      <c r="H853" s="51">
        <v>115.6</v>
      </c>
      <c r="K853" s="52">
        <f>Tabela6[[#This Row],[CONSUMO]]*Tabela6[[#This Row],[VALOR UNIT]]-Tabela6[[#This Row],[DESCONTO]]</f>
        <v>0</v>
      </c>
      <c r="L853" s="53">
        <f>Tabela6[[#This Row],[CUSTO TOTAL]]/Tabela6[[#This Row],[CONSUMO]]</f>
        <v>0</v>
      </c>
      <c r="M853" s="50">
        <f>Tabela6[[#This Row],[KM ATUAL]]-E813</f>
        <v>-10830</v>
      </c>
      <c r="N853" s="51">
        <f>Tabela6[[#This Row],[KM Rodados ]]/Tabela6[[#This Row],[CONSUMO]]</f>
        <v>-93.68512110726644</v>
      </c>
    </row>
    <row r="854" spans="1:14" x14ac:dyDescent="0.25">
      <c r="A854" s="47" t="s">
        <v>314</v>
      </c>
      <c r="B854" s="78">
        <v>45028</v>
      </c>
      <c r="C854" s="47" t="s">
        <v>18</v>
      </c>
      <c r="E854" s="47">
        <v>305409</v>
      </c>
      <c r="G854" s="50" t="s">
        <v>89</v>
      </c>
      <c r="H854" s="51">
        <v>99.3</v>
      </c>
      <c r="K854" s="52">
        <f>Tabela6[[#This Row],[CONSUMO]]*Tabela6[[#This Row],[VALOR UNIT]]-Tabela6[[#This Row],[DESCONTO]]</f>
        <v>0</v>
      </c>
      <c r="L854" s="53">
        <f>Tabela6[[#This Row],[CUSTO TOTAL]]/Tabela6[[#This Row],[CONSUMO]]</f>
        <v>0</v>
      </c>
      <c r="M854" s="50">
        <f>Tabela6[[#This Row],[KM ATUAL]]-E811</f>
        <v>-304293</v>
      </c>
      <c r="N854" s="51">
        <f>Tabela6[[#This Row],[KM Rodados ]]/Tabela6[[#This Row],[CONSUMO]]</f>
        <v>-3064.3806646525682</v>
      </c>
    </row>
    <row r="855" spans="1:14" x14ac:dyDescent="0.25">
      <c r="A855" s="47">
        <v>526333</v>
      </c>
      <c r="B855" s="78">
        <v>45028</v>
      </c>
      <c r="C855" s="47" t="s">
        <v>38</v>
      </c>
      <c r="D855" s="49" t="s">
        <v>255</v>
      </c>
      <c r="E855" s="47">
        <v>127489</v>
      </c>
      <c r="G855" s="50" t="s">
        <v>244</v>
      </c>
      <c r="H855" s="51">
        <v>45.811</v>
      </c>
      <c r="J855" s="51">
        <v>5.64</v>
      </c>
      <c r="K855" s="51">
        <f>Tabela6[[#This Row],[CONSUMO]]*Tabela6[[#This Row],[VALOR UNIT]]-Tabela6[[#This Row],[DESCONTO]]</f>
        <v>258.37403999999998</v>
      </c>
      <c r="L855" s="53">
        <f>Tabela6[[#This Row],[CUSTO TOTAL]]/Tabela6[[#This Row],[CONSUMO]]</f>
        <v>5.64</v>
      </c>
      <c r="M855" s="50">
        <f>Tabela6[[#This Row],[KM ATUAL]]-E756</f>
        <v>-337787</v>
      </c>
      <c r="N855" s="51">
        <f>Tabela6[[#This Row],[KM Rodados ]]/Tabela6[[#This Row],[CONSUMO]]</f>
        <v>-7373.4910829276814</v>
      </c>
    </row>
    <row r="856" spans="1:14" x14ac:dyDescent="0.25">
      <c r="A856" s="47">
        <v>77391</v>
      </c>
      <c r="B856" s="78">
        <v>45028</v>
      </c>
      <c r="C856" s="47" t="s">
        <v>23</v>
      </c>
      <c r="D856" s="49" t="s">
        <v>263</v>
      </c>
      <c r="E856" s="47">
        <v>219317</v>
      </c>
      <c r="G856" s="50" t="s">
        <v>89</v>
      </c>
      <c r="H856" s="51">
        <v>117.64100000000001</v>
      </c>
      <c r="I856" s="49">
        <v>11.77</v>
      </c>
      <c r="J856" s="51">
        <v>5.59</v>
      </c>
      <c r="K856" s="51">
        <f>Tabela6[[#This Row],[CONSUMO]]*Tabela6[[#This Row],[VALOR UNIT]]-Tabela6[[#This Row],[DESCONTO]]</f>
        <v>645.84319000000005</v>
      </c>
      <c r="L856" s="53">
        <f>Tabela6[[#This Row],[CUSTO TOTAL]]/Tabela6[[#This Row],[CONSUMO]]</f>
        <v>5.489949847417142</v>
      </c>
      <c r="M856" s="50">
        <f>Tabela6[[#This Row],[KM ATUAL]]-E823</f>
        <v>-1584</v>
      </c>
      <c r="N856" s="51">
        <f>Tabela6[[#This Row],[KM Rodados ]]/Tabela6[[#This Row],[CONSUMO]]</f>
        <v>-13.464693431711732</v>
      </c>
    </row>
    <row r="857" spans="1:14" x14ac:dyDescent="0.25">
      <c r="A857" s="47">
        <v>346158</v>
      </c>
      <c r="B857" s="78">
        <v>45029</v>
      </c>
      <c r="C857" s="47" t="s">
        <v>42</v>
      </c>
      <c r="D857" s="49" t="s">
        <v>253</v>
      </c>
      <c r="E857" s="47">
        <v>360400</v>
      </c>
      <c r="G857" s="50" t="s">
        <v>89</v>
      </c>
      <c r="H857" s="51">
        <v>39.25</v>
      </c>
      <c r="I857" s="49">
        <v>11.77</v>
      </c>
      <c r="J857" s="51">
        <v>6.09</v>
      </c>
      <c r="K857" s="52">
        <f>Tabela6[[#This Row],[CONSUMO]]*Tabela6[[#This Row],[VALOR UNIT]]-Tabela6[[#This Row],[DESCONTO]]</f>
        <v>227.26249999999999</v>
      </c>
      <c r="L857" s="53">
        <f>Tabela6[[#This Row],[CUSTO TOTAL]]/Tabela6[[#This Row],[CONSUMO]]</f>
        <v>5.7901273885350317</v>
      </c>
      <c r="M857" s="50">
        <f>Tabela6[[#This Row],[KM ATUAL]]-E815</f>
        <v>272756</v>
      </c>
      <c r="N857" s="51">
        <f>Tabela6[[#This Row],[KM Rodados ]]/Tabela6[[#This Row],[CONSUMO]]</f>
        <v>6949.1974522292994</v>
      </c>
    </row>
    <row r="858" spans="1:14" x14ac:dyDescent="0.25">
      <c r="A858" s="47">
        <v>287590</v>
      </c>
      <c r="B858" s="78">
        <v>45029</v>
      </c>
      <c r="C858" s="47" t="s">
        <v>215</v>
      </c>
      <c r="D858" s="49" t="s">
        <v>276</v>
      </c>
      <c r="E858" s="47">
        <v>221131</v>
      </c>
      <c r="G858" s="50" t="s">
        <v>244</v>
      </c>
      <c r="H858" s="51">
        <v>39</v>
      </c>
      <c r="J858" s="51">
        <v>5.39</v>
      </c>
      <c r="K858" s="51">
        <f>Tabela6[[#This Row],[CONSUMO]]*Tabela6[[#This Row],[VALOR UNIT]]-Tabela6[[#This Row],[DESCONTO]]</f>
        <v>210.20999999999998</v>
      </c>
      <c r="L858" s="53">
        <f>Tabela6[[#This Row],[CUSTO TOTAL]]/Tabela6[[#This Row],[CONSUMO]]</f>
        <v>5.39</v>
      </c>
      <c r="M858" s="50">
        <f>Tabela6[[#This Row],[KM ATUAL]]-E857</f>
        <v>-139269</v>
      </c>
      <c r="N858" s="51">
        <f>Tabela6[[#This Row],[KM Rodados ]]/H811</f>
        <v>-922.31125827814571</v>
      </c>
    </row>
    <row r="859" spans="1:14" x14ac:dyDescent="0.25">
      <c r="A859" s="47">
        <v>287716</v>
      </c>
      <c r="B859" s="78">
        <v>45029</v>
      </c>
      <c r="C859" s="47" t="s">
        <v>203</v>
      </c>
      <c r="D859" s="49" t="s">
        <v>276</v>
      </c>
      <c r="E859" s="47">
        <v>88702</v>
      </c>
      <c r="G859" s="50" t="s">
        <v>244</v>
      </c>
      <c r="H859" s="51">
        <v>42.35</v>
      </c>
      <c r="J859" s="51">
        <v>5.39</v>
      </c>
      <c r="K859" s="51">
        <f>Tabela6[[#This Row],[CONSUMO]]*Tabela6[[#This Row],[VALOR UNIT]]-Tabela6[[#This Row],[DESCONTO]]</f>
        <v>228.26650000000001</v>
      </c>
      <c r="L859" s="53">
        <f>Tabela6[[#This Row],[CUSTO TOTAL]]/Tabela6[[#This Row],[CONSUMO]]</f>
        <v>5.39</v>
      </c>
      <c r="M859" s="50">
        <f>Tabela6[[#This Row],[KM ATUAL]]-E858</f>
        <v>-132429</v>
      </c>
      <c r="N859" s="51">
        <f>Tabela6[[#This Row],[KM Rodados ]]/Tabela6[[#This Row],[CONSUMO]]</f>
        <v>-3127.0129870129867</v>
      </c>
    </row>
    <row r="860" spans="1:14" x14ac:dyDescent="0.25">
      <c r="A860" s="47">
        <v>345794</v>
      </c>
      <c r="B860" s="78">
        <v>45029</v>
      </c>
      <c r="C860" s="47" t="s">
        <v>41</v>
      </c>
      <c r="D860" s="49" t="s">
        <v>253</v>
      </c>
      <c r="E860" s="47">
        <v>655780</v>
      </c>
      <c r="G860" s="50" t="s">
        <v>89</v>
      </c>
      <c r="H860" s="51">
        <v>170.13</v>
      </c>
      <c r="I860" s="49">
        <v>51.04</v>
      </c>
      <c r="J860" s="51">
        <v>6.09</v>
      </c>
      <c r="K860" s="51">
        <f>Tabela6[[#This Row],[CONSUMO]]*Tabela6[[#This Row],[VALOR UNIT]]-Tabela6[[#This Row],[DESCONTO]]</f>
        <v>985.05169999999998</v>
      </c>
      <c r="L860" s="53">
        <f>Tabela6[[#This Row],[CUSTO TOTAL]]/Tabela6[[#This Row],[CONSUMO]]</f>
        <v>5.7899941221418914</v>
      </c>
      <c r="M860" s="50">
        <f>Tabela6[[#This Row],[KM ATUAL]]-E832</f>
        <v>437000</v>
      </c>
      <c r="N860" s="51">
        <f>Tabela6[[#This Row],[KM Rodados ]]/Tabela6[[#This Row],[CONSUMO]]</f>
        <v>2568.6239934167988</v>
      </c>
    </row>
    <row r="861" spans="1:14" x14ac:dyDescent="0.25">
      <c r="A861" s="47">
        <v>639289</v>
      </c>
      <c r="B861" s="78">
        <v>45029</v>
      </c>
      <c r="C861" s="47" t="s">
        <v>13</v>
      </c>
      <c r="D861" s="47" t="s">
        <v>264</v>
      </c>
      <c r="E861" s="47">
        <v>611358</v>
      </c>
      <c r="G861" s="50" t="s">
        <v>89</v>
      </c>
      <c r="H861" s="51">
        <v>152.63900000000001</v>
      </c>
      <c r="J861" s="51">
        <v>5.61</v>
      </c>
      <c r="K861" s="51">
        <f>Tabela6[[#This Row],[CONSUMO]]*Tabela6[[#This Row],[VALOR UNIT]]-Tabela6[[#This Row],[DESCONTO]]</f>
        <v>856.30479000000014</v>
      </c>
      <c r="L861" s="53">
        <f>Tabela6[[#This Row],[CUSTO TOTAL]]/Tabela6[[#This Row],[CONSUMO]]</f>
        <v>5.61</v>
      </c>
      <c r="M861" s="50">
        <f>Tabela6[[#This Row],[KM ATUAL]]-E829</f>
        <v>1192</v>
      </c>
      <c r="N861" s="51">
        <f>Tabela6[[#This Row],[KM Rodados ]]/Tabela6[[#This Row],[CONSUMO]]</f>
        <v>7.8092754800542448</v>
      </c>
    </row>
    <row r="862" spans="1:14" x14ac:dyDescent="0.25">
      <c r="A862" s="47" t="s">
        <v>314</v>
      </c>
      <c r="B862" s="78">
        <v>45029</v>
      </c>
      <c r="C862" s="47" t="s">
        <v>15</v>
      </c>
      <c r="D862" s="47"/>
      <c r="E862" s="47">
        <v>357462</v>
      </c>
      <c r="G862" s="50" t="s">
        <v>89</v>
      </c>
      <c r="H862" s="51">
        <v>109.5</v>
      </c>
      <c r="K862" s="52">
        <f>Tabela6[[#This Row],[CONSUMO]]*Tabela6[[#This Row],[VALOR UNIT]]-Tabela6[[#This Row],[DESCONTO]]</f>
        <v>0</v>
      </c>
      <c r="L862" s="53">
        <f>Tabela6[[#This Row],[CUSTO TOTAL]]/Tabela6[[#This Row],[CONSUMO]]</f>
        <v>0</v>
      </c>
      <c r="M862" s="50">
        <f>Tabela6[[#This Row],[KM ATUAL]]-E828</f>
        <v>-252704</v>
      </c>
      <c r="N862" s="51">
        <f>Tabela6[[#This Row],[KM Rodados ]]/Tabela6[[#This Row],[CONSUMO]]</f>
        <v>-2307.7990867579911</v>
      </c>
    </row>
    <row r="863" spans="1:14" x14ac:dyDescent="0.25">
      <c r="A863" s="47">
        <v>639674</v>
      </c>
      <c r="B863" s="78">
        <v>45029</v>
      </c>
      <c r="C863" s="47" t="s">
        <v>15</v>
      </c>
      <c r="D863" s="47" t="s">
        <v>264</v>
      </c>
      <c r="E863" s="47">
        <v>358137</v>
      </c>
      <c r="G863" s="50" t="s">
        <v>89</v>
      </c>
      <c r="H863" s="51">
        <v>97.286000000000001</v>
      </c>
      <c r="J863" s="51">
        <v>5.61</v>
      </c>
      <c r="K863" s="52">
        <f>Tabela6[[#This Row],[CONSUMO]]*Tabela6[[#This Row],[VALOR UNIT]]-Tabela6[[#This Row],[DESCONTO]]</f>
        <v>545.77446000000009</v>
      </c>
      <c r="L863" s="53">
        <f>Tabela6[[#This Row],[CUSTO TOTAL]]/Tabela6[[#This Row],[CONSUMO]]</f>
        <v>5.6100000000000012</v>
      </c>
      <c r="M863" s="50">
        <f>Tabela6[[#This Row],[KM ATUAL]]-E862</f>
        <v>675</v>
      </c>
      <c r="N863" s="51">
        <f>Tabela6[[#This Row],[KM Rodados ]]/Tabela6[[#This Row],[CONSUMO]]</f>
        <v>6.9383056143741131</v>
      </c>
    </row>
    <row r="864" spans="1:14" x14ac:dyDescent="0.25">
      <c r="A864" s="47">
        <v>199849</v>
      </c>
      <c r="B864" s="78">
        <v>45029</v>
      </c>
      <c r="C864" s="47" t="s">
        <v>20</v>
      </c>
      <c r="D864" s="47" t="s">
        <v>282</v>
      </c>
      <c r="E864" s="47">
        <v>242907</v>
      </c>
      <c r="G864" s="50" t="s">
        <v>89</v>
      </c>
      <c r="H864" s="51">
        <v>61.44</v>
      </c>
      <c r="J864" s="51">
        <v>5.71</v>
      </c>
      <c r="K864" s="51">
        <f>Tabela6[[#This Row],[CONSUMO]]*Tabela6[[#This Row],[VALOR UNIT]]-Tabela6[[#This Row],[DESCONTO]]</f>
        <v>350.82239999999996</v>
      </c>
      <c r="L864" s="53">
        <f>Tabela6[[#This Row],[CUSTO TOTAL]]/Tabela6[[#This Row],[CONSUMO]]</f>
        <v>5.71</v>
      </c>
      <c r="M864" s="50">
        <f>Tabela6[[#This Row],[KM ATUAL]]-E838</f>
        <v>179811</v>
      </c>
      <c r="N864" s="51">
        <f>Tabela6[[#This Row],[KM Rodados ]]/Tabela6[[#This Row],[CONSUMO]]</f>
        <v>2926.611328125</v>
      </c>
    </row>
    <row r="865" spans="1:14" x14ac:dyDescent="0.25">
      <c r="A865" s="47">
        <v>174136</v>
      </c>
      <c r="B865" s="78">
        <v>45029</v>
      </c>
      <c r="C865" s="47" t="s">
        <v>40</v>
      </c>
      <c r="D865" s="49" t="s">
        <v>262</v>
      </c>
      <c r="E865" s="47">
        <v>134075</v>
      </c>
      <c r="G865" s="50" t="s">
        <v>244</v>
      </c>
      <c r="H865" s="51">
        <v>45.77</v>
      </c>
      <c r="J865" s="51">
        <v>5.39</v>
      </c>
      <c r="K865" s="74">
        <f>Tabela6[[#This Row],[CONSUMO]]*Tabela6[[#This Row],[VALOR UNIT]]-Tabela6[[#This Row],[DESCONTO]]</f>
        <v>246.7003</v>
      </c>
      <c r="L865" s="53">
        <f>Tabela6[[#This Row],[CUSTO TOTAL]]/Tabela6[[#This Row],[CONSUMO]]</f>
        <v>5.39</v>
      </c>
      <c r="M865" s="50">
        <f>Tabela6[[#This Row],[KM ATUAL]]-E793</f>
        <v>-186765</v>
      </c>
      <c r="N865" s="51">
        <f>Tabela6[[#This Row],[KM Rodados ]]/Tabela6[[#This Row],[CONSUMO]]</f>
        <v>-4080.5112519117324</v>
      </c>
    </row>
    <row r="866" spans="1:14" x14ac:dyDescent="0.25">
      <c r="A866" s="47" t="s">
        <v>314</v>
      </c>
      <c r="B866" s="78">
        <v>45029</v>
      </c>
      <c r="C866" s="47" t="s">
        <v>74</v>
      </c>
      <c r="E866" s="47">
        <v>46578</v>
      </c>
      <c r="G866" s="50" t="s">
        <v>89</v>
      </c>
      <c r="H866" s="51">
        <v>92.58</v>
      </c>
      <c r="K866" s="52">
        <f>Tabela6[[#This Row],[CONSUMO]]*Tabela6[[#This Row],[VALOR UNIT]]-Tabela6[[#This Row],[DESCONTO]]</f>
        <v>0</v>
      </c>
      <c r="L866" s="53">
        <f>Tabela6[[#This Row],[CUSTO TOTAL]]/Tabela6[[#This Row],[CONSUMO]]</f>
        <v>0</v>
      </c>
      <c r="M866" s="50">
        <f>Tabela6[[#This Row],[KM ATUAL]]-E814</f>
        <v>1493</v>
      </c>
      <c r="N866" s="51">
        <f>Tabela6[[#This Row],[KM Rodados ]]/Tabela6[[#This Row],[CONSUMO]]</f>
        <v>16.126593216677467</v>
      </c>
    </row>
    <row r="867" spans="1:14" x14ac:dyDescent="0.25">
      <c r="A867" s="47" t="s">
        <v>314</v>
      </c>
      <c r="B867" s="78">
        <v>45030</v>
      </c>
      <c r="C867" s="47" t="s">
        <v>43</v>
      </c>
      <c r="E867" s="47">
        <v>116870</v>
      </c>
      <c r="G867" s="50" t="s">
        <v>89</v>
      </c>
      <c r="H867" s="51">
        <v>41.26</v>
      </c>
      <c r="K867" s="52">
        <f>Tabela6[[#This Row],[CONSUMO]]*Tabela6[[#This Row],[VALOR UNIT]]-Tabela6[[#This Row],[DESCONTO]]</f>
        <v>0</v>
      </c>
      <c r="L867" s="53">
        <f>Tabela6[[#This Row],[CUSTO TOTAL]]/Tabela6[[#This Row],[CONSUMO]]</f>
        <v>0</v>
      </c>
      <c r="M867" s="50">
        <f>Tabela6[[#This Row],[KM ATUAL]]-E802</f>
        <v>-101532</v>
      </c>
      <c r="N867" s="51">
        <f>Tabela6[[#This Row],[KM Rodados ]]/Tabela6[[#This Row],[CONSUMO]]</f>
        <v>-2460.7852641783811</v>
      </c>
    </row>
    <row r="868" spans="1:14" x14ac:dyDescent="0.25">
      <c r="A868" s="47">
        <v>287913</v>
      </c>
      <c r="B868" s="78">
        <v>45030</v>
      </c>
      <c r="C868" s="47" t="s">
        <v>203</v>
      </c>
      <c r="D868" s="49" t="s">
        <v>276</v>
      </c>
      <c r="E868" s="47">
        <v>88959</v>
      </c>
      <c r="G868" s="50" t="s">
        <v>244</v>
      </c>
      <c r="H868" s="51">
        <v>26.908999999999999</v>
      </c>
      <c r="J868" s="51">
        <v>5.39</v>
      </c>
      <c r="K868" s="51">
        <f>Tabela6[[#This Row],[CONSUMO]]*Tabela6[[#This Row],[VALOR UNIT]]-Tabela6[[#This Row],[DESCONTO]]</f>
        <v>145.03950999999998</v>
      </c>
      <c r="L868" s="53">
        <f>Tabela6[[#This Row],[CUSTO TOTAL]]/Tabela6[[#This Row],[CONSUMO]]</f>
        <v>5.39</v>
      </c>
      <c r="M868" s="50">
        <f>Tabela6[[#This Row],[KM ATUAL]]-E860</f>
        <v>-566821</v>
      </c>
      <c r="N868" s="51">
        <f>Tabela6[[#This Row],[KM Rodados ]]/Tabela6[[#This Row],[CONSUMO]]</f>
        <v>-21064.365082314467</v>
      </c>
    </row>
    <row r="869" spans="1:14" x14ac:dyDescent="0.25">
      <c r="A869" s="47">
        <v>347200</v>
      </c>
      <c r="B869" s="78">
        <v>45030</v>
      </c>
      <c r="C869" s="47" t="s">
        <v>64</v>
      </c>
      <c r="D869" s="49" t="s">
        <v>253</v>
      </c>
      <c r="E869" s="47">
        <v>76847</v>
      </c>
      <c r="G869" s="50" t="s">
        <v>89</v>
      </c>
      <c r="H869" s="51">
        <v>165.78</v>
      </c>
      <c r="I869" s="49">
        <v>49.73</v>
      </c>
      <c r="J869" s="51">
        <v>6.09</v>
      </c>
      <c r="K869" s="51">
        <f>Tabela6[[#This Row],[CONSUMO]]*Tabela6[[#This Row],[VALOR UNIT]]-Tabela6[[#This Row],[DESCONTO]]</f>
        <v>959.87019999999995</v>
      </c>
      <c r="L869" s="53">
        <f>Tabela6[[#This Row],[CUSTO TOTAL]]/Tabela6[[#This Row],[CONSUMO]]</f>
        <v>5.7900241283628899</v>
      </c>
      <c r="M869" s="50">
        <f>Tabela6[[#This Row],[KM ATUAL]]-E848</f>
        <v>-11376</v>
      </c>
      <c r="N869" s="51">
        <f>Tabela6[[#This Row],[KM Rodados ]]/Tabela6[[#This Row],[CONSUMO]]</f>
        <v>-68.621064060803477</v>
      </c>
    </row>
    <row r="870" spans="1:14" x14ac:dyDescent="0.25">
      <c r="A870" s="47">
        <v>288046</v>
      </c>
      <c r="B870" s="78">
        <v>45030</v>
      </c>
      <c r="C870" s="47" t="s">
        <v>40</v>
      </c>
      <c r="D870" s="49" t="s">
        <v>276</v>
      </c>
      <c r="E870" s="47">
        <v>134349</v>
      </c>
      <c r="G870" s="50" t="s">
        <v>244</v>
      </c>
      <c r="H870" s="51">
        <v>17.64</v>
      </c>
      <c r="J870" s="51">
        <v>5.39</v>
      </c>
      <c r="K870" s="74">
        <f>Tabela6[[#This Row],[CONSUMO]]*Tabela6[[#This Row],[VALOR UNIT]]-Tabela6[[#This Row],[DESCONTO]]</f>
        <v>95.079599999999999</v>
      </c>
      <c r="L870" s="53">
        <f>Tabela6[[#This Row],[CUSTO TOTAL]]/Tabela6[[#This Row],[CONSUMO]]</f>
        <v>5.39</v>
      </c>
      <c r="M870" s="50">
        <f>Tabela6[[#This Row],[KM ATUAL]]-E862</f>
        <v>-223113</v>
      </c>
      <c r="N870" s="51">
        <f>Tabela6[[#This Row],[KM Rodados ]]/Tabela6[[#This Row],[CONSUMO]]</f>
        <v>-12648.12925170068</v>
      </c>
    </row>
    <row r="871" spans="1:14" x14ac:dyDescent="0.25">
      <c r="A871" s="47">
        <v>244109</v>
      </c>
      <c r="B871" s="78">
        <v>45030</v>
      </c>
      <c r="C871" s="47" t="s">
        <v>40</v>
      </c>
      <c r="D871" s="49" t="s">
        <v>263</v>
      </c>
      <c r="E871" s="47">
        <v>134536</v>
      </c>
      <c r="G871" s="50" t="s">
        <v>244</v>
      </c>
      <c r="H871" s="51">
        <v>22.271000000000001</v>
      </c>
      <c r="J871" s="51">
        <v>5.36</v>
      </c>
      <c r="K871" s="74">
        <f>Tabela6[[#This Row],[CONSUMO]]*Tabela6[[#This Row],[VALOR UNIT]]-Tabela6[[#This Row],[DESCONTO]]</f>
        <v>119.37256000000001</v>
      </c>
      <c r="L871" s="53">
        <f>Tabela6[[#This Row],[CUSTO TOTAL]]/Tabela6[[#This Row],[CONSUMO]]</f>
        <v>5.36</v>
      </c>
      <c r="M871" s="50">
        <f>Tabela6[[#This Row],[KM ATUAL]]-E870</f>
        <v>187</v>
      </c>
      <c r="N871" s="51">
        <f>Tabela6[[#This Row],[KM Rodados ]]/Tabela6[[#This Row],[CONSUMO]]</f>
        <v>8.3965695298819085</v>
      </c>
    </row>
    <row r="872" spans="1:14" x14ac:dyDescent="0.25">
      <c r="A872" s="47">
        <v>174640</v>
      </c>
      <c r="B872" s="78">
        <v>45031</v>
      </c>
      <c r="C872" s="47" t="s">
        <v>43</v>
      </c>
      <c r="D872" s="49" t="s">
        <v>262</v>
      </c>
      <c r="E872" s="47">
        <v>117179</v>
      </c>
      <c r="G872" s="50" t="s">
        <v>89</v>
      </c>
      <c r="H872" s="51">
        <v>36.131</v>
      </c>
      <c r="J872" s="51">
        <v>5.89</v>
      </c>
      <c r="K872" s="52">
        <f>Tabela6[[#This Row],[CONSUMO]]*Tabela6[[#This Row],[VALOR UNIT]]-Tabela6[[#This Row],[DESCONTO]]</f>
        <v>212.81159</v>
      </c>
      <c r="L872" s="53">
        <f>Tabela6[[#This Row],[CUSTO TOTAL]]/Tabela6[[#This Row],[CONSUMO]]</f>
        <v>5.89</v>
      </c>
      <c r="M872" s="50">
        <f>Tabela6[[#This Row],[KM ATUAL]]-E871</f>
        <v>-17357</v>
      </c>
      <c r="N872" s="72">
        <f>Tabela6[[#This Row],[KM Rodados ]]/Tabela6[[#This Row],[CONSUMO]]</f>
        <v>-480.39080014392073</v>
      </c>
    </row>
    <row r="873" spans="1:14" x14ac:dyDescent="0.25">
      <c r="A873" s="47">
        <v>478628</v>
      </c>
      <c r="B873" s="78">
        <v>45031</v>
      </c>
      <c r="C873" s="47" t="s">
        <v>203</v>
      </c>
      <c r="D873" s="49" t="s">
        <v>235</v>
      </c>
      <c r="E873" s="47">
        <v>89542</v>
      </c>
      <c r="G873" s="50" t="s">
        <v>244</v>
      </c>
      <c r="H873" s="51">
        <v>44.107999999999997</v>
      </c>
      <c r="J873" s="51">
        <v>5.48</v>
      </c>
      <c r="K873" s="51">
        <f>Tabela6[[#This Row],[CONSUMO]]*Tabela6[[#This Row],[VALOR UNIT]]-Tabela6[[#This Row],[DESCONTO]]</f>
        <v>241.71184</v>
      </c>
      <c r="L873" s="53">
        <f>Tabela6[[#This Row],[CUSTO TOTAL]]/Tabela6[[#This Row],[CONSUMO]]</f>
        <v>5.48</v>
      </c>
      <c r="M873" s="50">
        <f>Tabela6[[#This Row],[KM ATUAL]]-E869</f>
        <v>12695</v>
      </c>
      <c r="N873" s="51">
        <f>Tabela6[[#This Row],[KM Rodados ]]/Tabela6[[#This Row],[CONSUMO]]</f>
        <v>287.81626915752247</v>
      </c>
    </row>
    <row r="874" spans="1:14" x14ac:dyDescent="0.25">
      <c r="A874" s="47">
        <v>159940</v>
      </c>
      <c r="B874" s="78">
        <v>45031</v>
      </c>
      <c r="C874" s="47" t="s">
        <v>40</v>
      </c>
      <c r="D874" s="49" t="s">
        <v>268</v>
      </c>
      <c r="E874" s="47">
        <v>134829</v>
      </c>
      <c r="G874" s="50" t="s">
        <v>244</v>
      </c>
      <c r="H874" s="51">
        <v>20.741</v>
      </c>
      <c r="J874" s="51">
        <v>5.39</v>
      </c>
      <c r="K874" s="74">
        <f>Tabela6[[#This Row],[CONSUMO]]*Tabela6[[#This Row],[VALOR UNIT]]-Tabela6[[#This Row],[DESCONTO]]</f>
        <v>111.79398999999999</v>
      </c>
      <c r="L874" s="53">
        <f>Tabela6[[#This Row],[CUSTO TOTAL]]/Tabela6[[#This Row],[CONSUMO]]</f>
        <v>5.39</v>
      </c>
      <c r="M874" s="50">
        <f>Tabela6[[#This Row],[KM ATUAL]]-E871</f>
        <v>293</v>
      </c>
      <c r="N874" s="51">
        <f>Tabela6[[#This Row],[KM Rodados ]]/Tabela6[[#This Row],[CONSUMO]]</f>
        <v>14.126609131671568</v>
      </c>
    </row>
    <row r="875" spans="1:14" x14ac:dyDescent="0.25">
      <c r="A875" s="47" t="s">
        <v>314</v>
      </c>
      <c r="B875" s="78">
        <v>45031</v>
      </c>
      <c r="C875" s="47" t="s">
        <v>74</v>
      </c>
      <c r="E875" s="47">
        <v>47273</v>
      </c>
      <c r="G875" s="50" t="s">
        <v>89</v>
      </c>
      <c r="H875" s="51">
        <v>83</v>
      </c>
      <c r="K875" s="52">
        <f>Tabela6[[#This Row],[CONSUMO]]*Tabela6[[#This Row],[VALOR UNIT]]-Tabela6[[#This Row],[DESCONTO]]</f>
        <v>0</v>
      </c>
      <c r="L875" s="53">
        <f>Tabela6[[#This Row],[CUSTO TOTAL]]/Tabela6[[#This Row],[CONSUMO]]</f>
        <v>0</v>
      </c>
      <c r="M875" s="50">
        <f>Tabela6[[#This Row],[KM ATUAL]]-E870</f>
        <v>-87076</v>
      </c>
      <c r="N875" s="51">
        <f>Tabela6[[#This Row],[KM Rodados ]]/Tabela6[[#This Row],[CONSUMO]]</f>
        <v>-1049.1084337349398</v>
      </c>
    </row>
    <row r="876" spans="1:14" x14ac:dyDescent="0.25">
      <c r="A876" s="47">
        <v>174948</v>
      </c>
      <c r="B876" s="78">
        <v>45032</v>
      </c>
      <c r="C876" s="47" t="s">
        <v>43</v>
      </c>
      <c r="D876" s="49" t="s">
        <v>262</v>
      </c>
      <c r="E876" s="47">
        <v>117290</v>
      </c>
      <c r="G876" s="50" t="s">
        <v>89</v>
      </c>
      <c r="H876" s="51">
        <v>13.851000000000001</v>
      </c>
      <c r="J876" s="51">
        <v>5.89</v>
      </c>
      <c r="K876" s="52">
        <f>Tabela6[[#This Row],[CONSUMO]]*Tabela6[[#This Row],[VALOR UNIT]]-Tabela6[[#This Row],[DESCONTO]]</f>
        <v>81.582390000000004</v>
      </c>
      <c r="L876" s="53">
        <f>Tabela6[[#This Row],[CUSTO TOTAL]]/Tabela6[[#This Row],[CONSUMO]]</f>
        <v>5.89</v>
      </c>
      <c r="M876" s="50">
        <f>Tabela6[[#This Row],[KM ATUAL]]-E874</f>
        <v>-17539</v>
      </c>
      <c r="N876" s="72">
        <f>Tabela6[[#This Row],[KM Rodados ]]/Tabela6[[#This Row],[CONSUMO]]</f>
        <v>-1266.2623637282506</v>
      </c>
    </row>
    <row r="877" spans="1:14" x14ac:dyDescent="0.25">
      <c r="A877" s="47">
        <v>115862</v>
      </c>
      <c r="B877" s="78">
        <v>45032</v>
      </c>
      <c r="C877" s="47" t="s">
        <v>203</v>
      </c>
      <c r="D877" s="49" t="s">
        <v>260</v>
      </c>
      <c r="E877" s="47">
        <v>89836</v>
      </c>
      <c r="G877" s="50" t="s">
        <v>244</v>
      </c>
      <c r="H877" s="51">
        <v>22.85</v>
      </c>
      <c r="J877" s="51">
        <v>5.39</v>
      </c>
      <c r="K877" s="51">
        <f>Tabela6[[#This Row],[CONSUMO]]*Tabela6[[#This Row],[VALOR UNIT]]-Tabela6[[#This Row],[DESCONTO]]</f>
        <v>123.1615</v>
      </c>
      <c r="L877" s="53">
        <f>Tabela6[[#This Row],[CUSTO TOTAL]]/Tabela6[[#This Row],[CONSUMO]]</f>
        <v>5.39</v>
      </c>
      <c r="M877" s="50">
        <f>Tabela6[[#This Row],[KM ATUAL]]-E873</f>
        <v>294</v>
      </c>
      <c r="N877" s="51">
        <f>Tabela6[[#This Row],[KM Rodados ]]/Tabela6[[#This Row],[CONSUMO]]</f>
        <v>12.86652078774617</v>
      </c>
    </row>
    <row r="878" spans="1:14" x14ac:dyDescent="0.25">
      <c r="A878" s="47" t="s">
        <v>314</v>
      </c>
      <c r="B878" s="78">
        <v>45032</v>
      </c>
      <c r="C878" s="47" t="s">
        <v>16</v>
      </c>
      <c r="E878" s="47">
        <v>293558</v>
      </c>
      <c r="G878" s="50" t="s">
        <v>89</v>
      </c>
      <c r="H878" s="51">
        <v>106.3</v>
      </c>
      <c r="K878" s="52">
        <f>Tabela6[[#This Row],[CONSUMO]]*Tabela6[[#This Row],[VALOR UNIT]]-Tabela6[[#This Row],[DESCONTO]]</f>
        <v>0</v>
      </c>
      <c r="L878" s="53">
        <f>Tabela6[[#This Row],[CUSTO TOTAL]]/Tabela6[[#This Row],[CONSUMO]]</f>
        <v>0</v>
      </c>
      <c r="M878" s="50">
        <f>Tabela6[[#This Row],[KM ATUAL]]-E855</f>
        <v>166069</v>
      </c>
      <c r="N878" s="51">
        <f>Tabela6[[#This Row],[KM Rodados ]]/Tabela6[[#This Row],[CONSUMO]]</f>
        <v>1562.2671683913452</v>
      </c>
    </row>
    <row r="879" spans="1:14" x14ac:dyDescent="0.25">
      <c r="A879" s="47" t="s">
        <v>314</v>
      </c>
      <c r="B879" s="78">
        <v>45032</v>
      </c>
      <c r="C879" s="47" t="s">
        <v>23</v>
      </c>
      <c r="E879" s="47">
        <v>219794</v>
      </c>
      <c r="G879" s="50" t="s">
        <v>89</v>
      </c>
      <c r="H879" s="51">
        <v>98.62</v>
      </c>
      <c r="K879" s="52">
        <f>Tabela6[[#This Row],[CONSUMO]]*Tabela6[[#This Row],[VALOR UNIT]]-Tabela6[[#This Row],[DESCONTO]]</f>
        <v>0</v>
      </c>
      <c r="L879" s="53">
        <f>Tabela6[[#This Row],[CUSTO TOTAL]]/Tabela6[[#This Row],[CONSUMO]]</f>
        <v>0</v>
      </c>
      <c r="M879" s="50">
        <f>Tabela6[[#This Row],[KM ATUAL]]-E855</f>
        <v>92305</v>
      </c>
      <c r="N879" s="72">
        <f>Tabela6[[#This Row],[KM Rodados ]]/Tabela6[[#This Row],[CONSUMO]]</f>
        <v>935.96633542891902</v>
      </c>
    </row>
    <row r="880" spans="1:14" x14ac:dyDescent="0.25">
      <c r="A880" s="47">
        <v>325451</v>
      </c>
      <c r="B880" s="78">
        <v>45032</v>
      </c>
      <c r="C880" s="47" t="s">
        <v>23</v>
      </c>
      <c r="D880" s="49" t="s">
        <v>281</v>
      </c>
      <c r="E880" s="47">
        <v>220048</v>
      </c>
      <c r="G880" s="50" t="s">
        <v>89</v>
      </c>
      <c r="H880" s="51">
        <v>52.731999999999999</v>
      </c>
      <c r="J880" s="51">
        <v>5.47</v>
      </c>
      <c r="K880" s="51">
        <f>Tabela6[[#This Row],[CONSUMO]]*Tabela6[[#This Row],[VALOR UNIT]]-Tabela6[[#This Row],[DESCONTO]]</f>
        <v>288.44403999999997</v>
      </c>
      <c r="L880" s="53">
        <f>Tabela6[[#This Row],[CUSTO TOTAL]]/Tabela6[[#This Row],[CONSUMO]]</f>
        <v>5.47</v>
      </c>
      <c r="M880" s="50">
        <f>Tabela6[[#This Row],[KM ATUAL]]-E879</f>
        <v>254</v>
      </c>
      <c r="N880" s="51">
        <f>Tabela6[[#This Row],[KM Rodados ]]/Tabela6[[#This Row],[CONSUMO]]</f>
        <v>4.8168095274216798</v>
      </c>
    </row>
    <row r="881" spans="1:14" x14ac:dyDescent="0.25">
      <c r="A881" s="47">
        <v>175062</v>
      </c>
      <c r="B881" s="78">
        <v>45033</v>
      </c>
      <c r="C881" s="47" t="s">
        <v>68</v>
      </c>
      <c r="D881" s="49" t="s">
        <v>262</v>
      </c>
      <c r="E881" s="47">
        <v>878923</v>
      </c>
      <c r="G881" s="50" t="s">
        <v>89</v>
      </c>
      <c r="H881" s="51">
        <v>488.87900000000002</v>
      </c>
      <c r="J881" s="51">
        <v>5.89</v>
      </c>
      <c r="K881" s="51">
        <f>Tabela6[[#This Row],[CONSUMO]]*Tabela6[[#This Row],[VALOR UNIT]]-Tabela6[[#This Row],[DESCONTO]]</f>
        <v>2879.4973099999997</v>
      </c>
      <c r="L881" s="53">
        <f>Tabela6[[#This Row],[CUSTO TOTAL]]/Tabela6[[#This Row],[CONSUMO]]</f>
        <v>5.89</v>
      </c>
      <c r="M881" s="50">
        <f>Tabela6[[#This Row],[KM ATUAL]]-E839</f>
        <v>223806</v>
      </c>
      <c r="N881" s="51">
        <f>Tabela6[[#This Row],[KM Rodados ]]/Tabela6[[#This Row],[CONSUMO]]</f>
        <v>457.79425992934853</v>
      </c>
    </row>
    <row r="882" spans="1:14" x14ac:dyDescent="0.25">
      <c r="A882" s="47">
        <v>288933</v>
      </c>
      <c r="B882" s="78">
        <v>45033</v>
      </c>
      <c r="C882" s="47" t="s">
        <v>43</v>
      </c>
      <c r="D882" s="49" t="s">
        <v>276</v>
      </c>
      <c r="E882" s="47">
        <v>117733</v>
      </c>
      <c r="G882" s="50" t="s">
        <v>89</v>
      </c>
      <c r="H882" s="51">
        <v>45.08</v>
      </c>
      <c r="J882" s="51">
        <v>5.99</v>
      </c>
      <c r="K882" s="52">
        <f>Tabela6[[#This Row],[CONSUMO]]*Tabela6[[#This Row],[VALOR UNIT]]-Tabela6[[#This Row],[DESCONTO]]</f>
        <v>270.0292</v>
      </c>
      <c r="L882" s="53">
        <f>Tabela6[[#This Row],[CUSTO TOTAL]]/Tabela6[[#This Row],[CONSUMO]]</f>
        <v>5.99</v>
      </c>
      <c r="M882" s="50">
        <f>Tabela6[[#This Row],[KM ATUAL]]-E874</f>
        <v>-17096</v>
      </c>
      <c r="N882" s="72">
        <f>Tabela6[[#This Row],[KM Rodados ]]/Tabela6[[#This Row],[CONSUMO]]</f>
        <v>-379.23691215616685</v>
      </c>
    </row>
    <row r="883" spans="1:14" x14ac:dyDescent="0.25">
      <c r="A883" s="47">
        <v>175048</v>
      </c>
      <c r="B883" s="78">
        <v>45033</v>
      </c>
      <c r="C883" s="47" t="s">
        <v>42</v>
      </c>
      <c r="D883" s="49" t="s">
        <v>262</v>
      </c>
      <c r="E883" s="47">
        <v>360602</v>
      </c>
      <c r="G883" s="50" t="s">
        <v>89</v>
      </c>
      <c r="H883" s="51">
        <v>36.5</v>
      </c>
      <c r="J883" s="51">
        <v>5.89</v>
      </c>
      <c r="K883" s="51">
        <f>Tabela6[[#This Row],[CONSUMO]]*Tabela6[[#This Row],[VALOR UNIT]]-Tabela6[[#This Row],[DESCONTO]]</f>
        <v>214.98499999999999</v>
      </c>
      <c r="L883" s="53">
        <f>Tabela6[[#This Row],[CUSTO TOTAL]]/Tabela6[[#This Row],[CONSUMO]]</f>
        <v>5.89</v>
      </c>
      <c r="M883" s="50">
        <f>Tabela6[[#This Row],[KM ATUAL]]-E862</f>
        <v>3140</v>
      </c>
      <c r="N883" s="51">
        <f>Tabela6[[#This Row],[KM Rodados ]]/Tabela6[[#This Row],[CONSUMO]]</f>
        <v>86.027397260273972</v>
      </c>
    </row>
    <row r="884" spans="1:14" x14ac:dyDescent="0.25">
      <c r="A884" s="47">
        <v>161288</v>
      </c>
      <c r="B884" s="78">
        <v>45033</v>
      </c>
      <c r="C884" s="47" t="s">
        <v>222</v>
      </c>
      <c r="D884" s="49" t="s">
        <v>268</v>
      </c>
      <c r="E884" s="47">
        <v>468588</v>
      </c>
      <c r="G884" s="50" t="s">
        <v>89</v>
      </c>
      <c r="H884" s="51">
        <v>430</v>
      </c>
      <c r="J884" s="51">
        <v>5.49</v>
      </c>
      <c r="K884" s="51">
        <f>Tabela6[[#This Row],[CONSUMO]]*Tabela6[[#This Row],[VALOR UNIT]]-Tabela6[[#This Row],[DESCONTO]]</f>
        <v>2360.7000000000003</v>
      </c>
      <c r="L884" s="53">
        <f>Tabela6[[#This Row],[CUSTO TOTAL]]/Tabela6[[#This Row],[CONSUMO]]</f>
        <v>5.49</v>
      </c>
      <c r="M884" s="50">
        <f>Tabela6[[#This Row],[KM ATUAL]]-E847</f>
        <v>1112</v>
      </c>
      <c r="N884" s="51">
        <f>Tabela6[[#This Row],[KM Rodados ]]/Tabela6[[#This Row],[CONSUMO]]</f>
        <v>2.5860465116279068</v>
      </c>
    </row>
    <row r="885" spans="1:14" x14ac:dyDescent="0.25">
      <c r="A885" s="47">
        <v>349336</v>
      </c>
      <c r="B885" s="78">
        <v>45033</v>
      </c>
      <c r="C885" s="47" t="s">
        <v>67</v>
      </c>
      <c r="D885" s="49" t="s">
        <v>253</v>
      </c>
      <c r="E885" s="47">
        <v>660495</v>
      </c>
      <c r="G885" s="50" t="s">
        <v>89</v>
      </c>
      <c r="H885" s="51">
        <v>149.01</v>
      </c>
      <c r="I885" s="49">
        <v>44.7</v>
      </c>
      <c r="J885" s="51">
        <v>6.09</v>
      </c>
      <c r="K885" s="51">
        <f>Tabela6[[#This Row],[CONSUMO]]*Tabela6[[#This Row],[VALOR UNIT]]-Tabela6[[#This Row],[DESCONTO]]</f>
        <v>862.77089999999987</v>
      </c>
      <c r="L885" s="53">
        <f>Tabela6[[#This Row],[CUSTO TOTAL]]/Tabela6[[#This Row],[CONSUMO]]</f>
        <v>5.7900201328769878</v>
      </c>
      <c r="M885" s="50">
        <f>Tabela6[[#This Row],[KM ATUAL]]-E827</f>
        <v>584680</v>
      </c>
      <c r="N885" s="51">
        <f>Tabela6[[#This Row],[KM Rodados ]]/Tabela6[[#This Row],[CONSUMO]]</f>
        <v>3923.7635058049796</v>
      </c>
    </row>
    <row r="886" spans="1:14" x14ac:dyDescent="0.25">
      <c r="A886" s="47">
        <v>175009</v>
      </c>
      <c r="B886" s="78">
        <v>45033</v>
      </c>
      <c r="C886" s="47" t="s">
        <v>22</v>
      </c>
      <c r="D886" s="49" t="s">
        <v>262</v>
      </c>
      <c r="E886" s="47">
        <v>321670</v>
      </c>
      <c r="G886" s="50" t="s">
        <v>89</v>
      </c>
      <c r="H886" s="51">
        <v>143.25</v>
      </c>
      <c r="J886" s="51">
        <v>5.89</v>
      </c>
      <c r="K886" s="74">
        <f>Tabela6[[#This Row],[CONSUMO]]*Tabela6[[#This Row],[VALOR UNIT]]-Tabela6[[#This Row],[DESCONTO]]</f>
        <v>843.74249999999995</v>
      </c>
      <c r="L886" s="53">
        <f>Tabela6[[#This Row],[CUSTO TOTAL]]/Tabela6[[#This Row],[CONSUMO]]</f>
        <v>5.89</v>
      </c>
      <c r="M886" s="50">
        <f>Tabela6[[#This Row],[KM ATUAL]]-E836</f>
        <v>233891</v>
      </c>
      <c r="N886" s="51">
        <f>Tabela6[[#This Row],[KM Rodados ]]/Tabela6[[#This Row],[CONSUMO]]</f>
        <v>1632.7469458987784</v>
      </c>
    </row>
    <row r="887" spans="1:14" x14ac:dyDescent="0.25">
      <c r="A887" s="47">
        <v>348784</v>
      </c>
      <c r="B887" s="78">
        <v>45033</v>
      </c>
      <c r="C887" s="47" t="s">
        <v>12</v>
      </c>
      <c r="D887" s="49" t="s">
        <v>253</v>
      </c>
      <c r="E887" s="47">
        <v>308775</v>
      </c>
      <c r="G887" s="50" t="s">
        <v>89</v>
      </c>
      <c r="H887" s="51">
        <v>90.56</v>
      </c>
      <c r="I887" s="49">
        <v>27.17</v>
      </c>
      <c r="J887" s="51">
        <v>6.09</v>
      </c>
      <c r="K887" s="51">
        <f>Tabela6[[#This Row],[CONSUMO]]*Tabela6[[#This Row],[VALOR UNIT]]-Tabela6[[#This Row],[DESCONTO]]</f>
        <v>524.34040000000005</v>
      </c>
      <c r="L887" s="53">
        <f>Tabela6[[#This Row],[CUSTO TOTAL]]/Tabela6[[#This Row],[CONSUMO]]</f>
        <v>5.7899779151943465</v>
      </c>
      <c r="M887" s="50">
        <f>Tabela6[[#This Row],[KM ATUAL]]-E836</f>
        <v>220996</v>
      </c>
      <c r="N887" s="51">
        <f>Tabela6[[#This Row],[KM Rodados ]]/Tabela6[[#This Row],[CONSUMO]]</f>
        <v>2440.3268551236747</v>
      </c>
    </row>
    <row r="888" spans="1:14" x14ac:dyDescent="0.25">
      <c r="A888" s="47">
        <v>646620</v>
      </c>
      <c r="B888" s="78">
        <v>45033</v>
      </c>
      <c r="C888" s="47" t="s">
        <v>13</v>
      </c>
      <c r="D888" s="47" t="s">
        <v>250</v>
      </c>
      <c r="E888" s="47">
        <v>611892</v>
      </c>
      <c r="G888" s="50" t="s">
        <v>89</v>
      </c>
      <c r="H888" s="51">
        <v>135</v>
      </c>
      <c r="J888" s="51">
        <v>5.59</v>
      </c>
      <c r="K888" s="52">
        <f>Tabela6[[#This Row],[CONSUMO]]*Tabela6[[#This Row],[VALOR UNIT]]-Tabela6[[#This Row],[DESCONTO]]</f>
        <v>754.65</v>
      </c>
      <c r="L888" s="53">
        <f>Tabela6[[#This Row],[CUSTO TOTAL]]/Tabela6[[#This Row],[CONSUMO]]</f>
        <v>5.59</v>
      </c>
      <c r="M888" s="50">
        <f>Tabela6[[#This Row],[KM ATUAL]]-E864</f>
        <v>368985</v>
      </c>
      <c r="N888" s="51">
        <f>Tabela6[[#This Row],[KM Rodados ]]/Tabela6[[#This Row],[CONSUMO]]</f>
        <v>2733.2222222222222</v>
      </c>
    </row>
    <row r="889" spans="1:14" x14ac:dyDescent="0.25">
      <c r="A889" s="47">
        <v>641902</v>
      </c>
      <c r="B889" s="78">
        <v>45033</v>
      </c>
      <c r="C889" s="47" t="s">
        <v>13</v>
      </c>
      <c r="D889" s="47" t="s">
        <v>264</v>
      </c>
      <c r="E889" s="47">
        <v>612301</v>
      </c>
      <c r="G889" s="50" t="s">
        <v>89</v>
      </c>
      <c r="H889" s="51">
        <v>76.013999999999996</v>
      </c>
      <c r="J889" s="51">
        <v>5.61</v>
      </c>
      <c r="K889" s="52">
        <f>Tabela6[[#This Row],[CONSUMO]]*Tabela6[[#This Row],[VALOR UNIT]]-Tabela6[[#This Row],[DESCONTO]]</f>
        <v>426.43853999999999</v>
      </c>
      <c r="L889" s="53">
        <f>Tabela6[[#This Row],[CUSTO TOTAL]]/Tabela6[[#This Row],[CONSUMO]]</f>
        <v>5.61</v>
      </c>
      <c r="M889" s="50">
        <f>Tabela6[[#This Row],[KM ATUAL]]-E888</f>
        <v>409</v>
      </c>
      <c r="N889" s="51">
        <f>Tabela6[[#This Row],[KM Rodados ]]/Tabela6[[#This Row],[CONSUMO]]</f>
        <v>5.3805877864603895</v>
      </c>
    </row>
    <row r="890" spans="1:14" x14ac:dyDescent="0.25">
      <c r="A890" s="47">
        <v>153694</v>
      </c>
      <c r="B890" s="78">
        <v>45033</v>
      </c>
      <c r="C890" s="47" t="s">
        <v>15</v>
      </c>
      <c r="D890" s="49" t="s">
        <v>246</v>
      </c>
      <c r="E890" s="47">
        <v>358844</v>
      </c>
      <c r="G890" s="50" t="s">
        <v>89</v>
      </c>
      <c r="H890" s="51">
        <v>117.595</v>
      </c>
      <c r="I890" s="49">
        <v>62.32</v>
      </c>
      <c r="J890" s="51">
        <v>5.92</v>
      </c>
      <c r="K890" s="52">
        <f>Tabela6[[#This Row],[CONSUMO]]*Tabela6[[#This Row],[VALOR UNIT]]-Tabela6[[#This Row],[DESCONTO]]</f>
        <v>633.84239999999988</v>
      </c>
      <c r="L890" s="53">
        <f>Tabela6[[#This Row],[CUSTO TOTAL]]/Tabela6[[#This Row],[CONSUMO]]</f>
        <v>5.390045495131595</v>
      </c>
      <c r="M890" s="50">
        <f>Tabela6[[#This Row],[KM ATUAL]]-E865</f>
        <v>224769</v>
      </c>
      <c r="N890" s="51">
        <f>Tabela6[[#This Row],[KM Rodados ]]/Tabela6[[#This Row],[CONSUMO]]</f>
        <v>1911.382286661848</v>
      </c>
    </row>
    <row r="891" spans="1:14" x14ac:dyDescent="0.25">
      <c r="A891" s="47">
        <v>348968</v>
      </c>
      <c r="B891" s="78">
        <v>45033</v>
      </c>
      <c r="C891" s="47" t="s">
        <v>40</v>
      </c>
      <c r="D891" s="49" t="s">
        <v>253</v>
      </c>
      <c r="E891" s="47">
        <v>135285</v>
      </c>
      <c r="G891" s="50" t="s">
        <v>244</v>
      </c>
      <c r="H891" s="51">
        <v>34.89</v>
      </c>
      <c r="J891" s="51">
        <v>5.99</v>
      </c>
      <c r="K891" s="74">
        <f>Tabela6[[#This Row],[CONSUMO]]*Tabela6[[#This Row],[VALOR UNIT]]-Tabela6[[#This Row],[DESCONTO]]</f>
        <v>208.99110000000002</v>
      </c>
      <c r="L891" s="53">
        <f>Tabela6[[#This Row],[CUSTO TOTAL]]/Tabela6[[#This Row],[CONSUMO]]</f>
        <v>5.99</v>
      </c>
      <c r="M891" s="50">
        <f>Tabela6[[#This Row],[KM ATUAL]]-E882</f>
        <v>17552</v>
      </c>
      <c r="N891" s="51">
        <f>Tabela6[[#This Row],[KM Rodados ]]/Tabela6[[#This Row],[CONSUMO]]</f>
        <v>503.06678131269706</v>
      </c>
    </row>
    <row r="892" spans="1:14" x14ac:dyDescent="0.25">
      <c r="A892" s="47">
        <v>269341</v>
      </c>
      <c r="B892" s="78">
        <v>45034</v>
      </c>
      <c r="C892" s="47" t="s">
        <v>43</v>
      </c>
      <c r="D892" s="49" t="s">
        <v>270</v>
      </c>
      <c r="E892" s="47">
        <v>118151</v>
      </c>
      <c r="G892" s="50" t="s">
        <v>89</v>
      </c>
      <c r="H892" s="51">
        <v>52.38</v>
      </c>
      <c r="J892" s="51">
        <v>5.49</v>
      </c>
      <c r="K892" s="52">
        <f>Tabela6[[#This Row],[CONSUMO]]*Tabela6[[#This Row],[VALOR UNIT]]-Tabela6[[#This Row],[DESCONTO]]</f>
        <v>287.56620000000004</v>
      </c>
      <c r="L892" s="53">
        <f>Tabela6[[#This Row],[CUSTO TOTAL]]/Tabela6[[#This Row],[CONSUMO]]</f>
        <v>5.49</v>
      </c>
      <c r="M892" s="50">
        <f>Tabela6[[#This Row],[KM ATUAL]]-E876</f>
        <v>861</v>
      </c>
      <c r="N892" s="72">
        <f>Tabela6[[#This Row],[KM Rodados ]]/Tabela6[[#This Row],[CONSUMO]]</f>
        <v>16.437571592210766</v>
      </c>
    </row>
    <row r="893" spans="1:14" x14ac:dyDescent="0.25">
      <c r="A893" s="47">
        <v>593434</v>
      </c>
      <c r="B893" s="78">
        <v>45034</v>
      </c>
      <c r="C893" s="47" t="s">
        <v>9</v>
      </c>
      <c r="D893" s="49" t="s">
        <v>271</v>
      </c>
      <c r="E893" s="47">
        <v>597804</v>
      </c>
      <c r="G893" s="50" t="s">
        <v>89</v>
      </c>
      <c r="H893" s="51">
        <v>162</v>
      </c>
      <c r="J893" s="51">
        <v>5.59</v>
      </c>
      <c r="K893" s="51">
        <f>Tabela6[[#This Row],[CONSUMO]]*Tabela6[[#This Row],[VALOR UNIT]]-Tabela6[[#This Row],[DESCONTO]]</f>
        <v>905.57999999999993</v>
      </c>
      <c r="L893" s="53">
        <f>Tabela6[[#This Row],[CUSTO TOTAL]]/Tabela6[[#This Row],[CONSUMO]]</f>
        <v>5.59</v>
      </c>
      <c r="M893" s="50">
        <f>Tabela6[[#This Row],[KM ATUAL]]-E782</f>
        <v>481978</v>
      </c>
      <c r="N893" s="51">
        <f>Tabela6[[#This Row],[KM Rodados ]]/Tabela6[[#This Row],[CONSUMO]]</f>
        <v>2975.1728395061727</v>
      </c>
    </row>
    <row r="894" spans="1:14" x14ac:dyDescent="0.25">
      <c r="A894" s="47" t="s">
        <v>314</v>
      </c>
      <c r="B894" s="78">
        <v>45034</v>
      </c>
      <c r="C894" s="47" t="s">
        <v>215</v>
      </c>
      <c r="E894" s="47">
        <v>221780</v>
      </c>
      <c r="G894" s="50" t="s">
        <v>244</v>
      </c>
      <c r="H894" s="51">
        <v>41</v>
      </c>
      <c r="K894" s="52">
        <f>Tabela6[[#This Row],[CONSUMO]]*Tabela6[[#This Row],[VALOR UNIT]]-Tabela6[[#This Row],[DESCONTO]]</f>
        <v>0</v>
      </c>
      <c r="L894" s="53">
        <f>Tabela6[[#This Row],[CUSTO TOTAL]]/Tabela6[[#This Row],[CONSUMO]]</f>
        <v>0</v>
      </c>
      <c r="M894" s="50">
        <f>Tabela6[[#This Row],[KM ATUAL]]-E790</f>
        <v>88348</v>
      </c>
      <c r="N894" s="51">
        <f>Tabela6[[#This Row],[KM Rodados ]]/Tabela6[[#This Row],[CONSUMO]]</f>
        <v>2154.8292682926831</v>
      </c>
    </row>
    <row r="895" spans="1:14" x14ac:dyDescent="0.25">
      <c r="A895" s="47">
        <v>289034</v>
      </c>
      <c r="B895" s="78">
        <v>45034</v>
      </c>
      <c r="C895" s="47" t="s">
        <v>203</v>
      </c>
      <c r="D895" s="49" t="s">
        <v>276</v>
      </c>
      <c r="E895" s="47">
        <v>90275</v>
      </c>
      <c r="G895" s="50" t="s">
        <v>244</v>
      </c>
      <c r="H895" s="51">
        <v>37.109000000000002</v>
      </c>
      <c r="J895" s="51">
        <v>5.39</v>
      </c>
      <c r="K895" s="51">
        <f>Tabela6[[#This Row],[CONSUMO]]*Tabela6[[#This Row],[VALOR UNIT]]-Tabela6[[#This Row],[DESCONTO]]</f>
        <v>200.01750999999999</v>
      </c>
      <c r="L895" s="53">
        <f>Tabela6[[#This Row],[CUSTO TOTAL]]/Tabela6[[#This Row],[CONSUMO]]</f>
        <v>5.39</v>
      </c>
      <c r="M895" s="50">
        <f>Tabela6[[#This Row],[KM ATUAL]]-E880</f>
        <v>-129773</v>
      </c>
      <c r="N895" s="51">
        <f>Tabela6[[#This Row],[KM Rodados ]]/Tabela6[[#This Row],[CONSUMO]]</f>
        <v>-3497.0761809803548</v>
      </c>
    </row>
    <row r="896" spans="1:14" x14ac:dyDescent="0.25">
      <c r="A896" s="47">
        <v>289192</v>
      </c>
      <c r="B896" s="78">
        <v>45034</v>
      </c>
      <c r="C896" s="47" t="s">
        <v>203</v>
      </c>
      <c r="D896" s="49" t="s">
        <v>276</v>
      </c>
      <c r="E896" s="47">
        <v>90386</v>
      </c>
      <c r="G896" s="50" t="s">
        <v>244</v>
      </c>
      <c r="H896" s="51">
        <v>11.3</v>
      </c>
      <c r="J896" s="51">
        <v>5.39</v>
      </c>
      <c r="K896" s="51">
        <f>Tabela6[[#This Row],[CONSUMO]]*Tabela6[[#This Row],[VALOR UNIT]]-Tabela6[[#This Row],[DESCONTO]]</f>
        <v>60.907000000000004</v>
      </c>
      <c r="L896" s="53">
        <f>Tabela6[[#This Row],[CUSTO TOTAL]]/Tabela6[[#This Row],[CONSUMO]]</f>
        <v>5.39</v>
      </c>
      <c r="M896" s="50">
        <f>Tabela6[[#This Row],[KM ATUAL]]-E895</f>
        <v>111</v>
      </c>
      <c r="N896" s="51">
        <f>Tabela6[[#This Row],[KM Rodados ]]/Tabela6[[#This Row],[CONSUMO]]</f>
        <v>9.823008849557521</v>
      </c>
    </row>
    <row r="897" spans="1:14" x14ac:dyDescent="0.25">
      <c r="A897" s="47">
        <v>597865</v>
      </c>
      <c r="B897" s="78">
        <v>45034</v>
      </c>
      <c r="C897" s="47" t="s">
        <v>203</v>
      </c>
      <c r="D897" s="49" t="s">
        <v>271</v>
      </c>
      <c r="E897" s="47">
        <v>90532</v>
      </c>
      <c r="G897" s="50" t="s">
        <v>244</v>
      </c>
      <c r="H897" s="51">
        <v>10.3</v>
      </c>
      <c r="J897" s="51">
        <v>5.39</v>
      </c>
      <c r="K897" s="52">
        <f>Tabela6[[#This Row],[CONSUMO]]*Tabela6[[#This Row],[VALOR UNIT]]-Tabela6[[#This Row],[DESCONTO]]</f>
        <v>55.517000000000003</v>
      </c>
      <c r="L897" s="53">
        <f>Tabela6[[#This Row],[CUSTO TOTAL]]/Tabela6[[#This Row],[CONSUMO]]</f>
        <v>5.39</v>
      </c>
      <c r="M897" s="50">
        <f>Tabela6[[#This Row],[KM ATUAL]]-E896</f>
        <v>146</v>
      </c>
      <c r="N897" s="51">
        <f>Tabela6[[#This Row],[KM Rodados ]]/Tabela6[[#This Row],[CONSUMO]]</f>
        <v>14.174757281553397</v>
      </c>
    </row>
    <row r="898" spans="1:14" x14ac:dyDescent="0.25">
      <c r="A898" s="47" t="s">
        <v>314</v>
      </c>
      <c r="B898" s="78">
        <v>45034</v>
      </c>
      <c r="C898" s="47" t="s">
        <v>72</v>
      </c>
      <c r="E898" s="47">
        <v>382795</v>
      </c>
      <c r="G898" s="50" t="s">
        <v>89</v>
      </c>
      <c r="H898" s="51">
        <v>42.5</v>
      </c>
      <c r="K898" s="52">
        <f>Tabela6[[#This Row],[CONSUMO]]*Tabela6[[#This Row],[VALOR UNIT]]-Tabela6[[#This Row],[DESCONTO]]</f>
        <v>0</v>
      </c>
      <c r="L898" s="53">
        <f>Tabela6[[#This Row],[CUSTO TOTAL]]/Tabela6[[#This Row],[CONSUMO]]</f>
        <v>0</v>
      </c>
      <c r="M898" s="50">
        <f>Tabela6[[#This Row],[KM ATUAL]]-E820</f>
        <v>23524</v>
      </c>
      <c r="N898" s="51">
        <f>Tabela6[[#This Row],[KM Rodados ]]/Tabela6[[#This Row],[CONSUMO]]</f>
        <v>553.50588235294117</v>
      </c>
    </row>
    <row r="899" spans="1:14" x14ac:dyDescent="0.25">
      <c r="A899" s="47" t="s">
        <v>314</v>
      </c>
      <c r="B899" s="78">
        <v>45034</v>
      </c>
      <c r="C899" s="47" t="s">
        <v>72</v>
      </c>
      <c r="E899" s="47">
        <v>383157</v>
      </c>
      <c r="G899" s="50" t="s">
        <v>89</v>
      </c>
      <c r="H899" s="51">
        <v>44</v>
      </c>
      <c r="K899" s="52">
        <f>Tabela6[[#This Row],[CONSUMO]]*Tabela6[[#This Row],[VALOR UNIT]]-Tabela6[[#This Row],[DESCONTO]]</f>
        <v>0</v>
      </c>
      <c r="L899" s="53">
        <f>Tabela6[[#This Row],[CUSTO TOTAL]]/Tabela6[[#This Row],[CONSUMO]]</f>
        <v>0</v>
      </c>
      <c r="M899" s="50">
        <f>Tabela6[[#This Row],[KM ATUAL]]-E897</f>
        <v>292625</v>
      </c>
      <c r="N899" s="51">
        <f>Tabela6[[#This Row],[KM Rodados ]]/Tabela6[[#This Row],[CONSUMO]]</f>
        <v>6650.568181818182</v>
      </c>
    </row>
    <row r="900" spans="1:14" x14ac:dyDescent="0.25">
      <c r="A900" s="47">
        <v>147825</v>
      </c>
      <c r="B900" s="78">
        <v>45034</v>
      </c>
      <c r="C900" s="47" t="s">
        <v>73</v>
      </c>
      <c r="D900" s="49" t="s">
        <v>274</v>
      </c>
      <c r="E900" s="47">
        <v>115261</v>
      </c>
      <c r="G900" s="50" t="s">
        <v>89</v>
      </c>
      <c r="H900" s="51">
        <v>186.7791</v>
      </c>
      <c r="J900" s="51">
        <v>5.59</v>
      </c>
      <c r="K900" s="51">
        <f>Tabela6[[#This Row],[CONSUMO]]*Tabela6[[#This Row],[VALOR UNIT]]-Tabela6[[#This Row],[DESCONTO]]</f>
        <v>1044.0951689999999</v>
      </c>
      <c r="L900" s="53">
        <f>Tabela6[[#This Row],[CUSTO TOTAL]]/Tabela6[[#This Row],[CONSUMO]]</f>
        <v>5.59</v>
      </c>
      <c r="M900" s="50">
        <f>Tabela6[[#This Row],[KM ATUAL]]-E625</f>
        <v>-488873</v>
      </c>
      <c r="N900" s="51">
        <f>Tabela6[[#This Row],[KM Rodados ]]/Tabela6[[#This Row],[CONSUMO]]</f>
        <v>-2617.3859923299769</v>
      </c>
    </row>
    <row r="901" spans="1:14" x14ac:dyDescent="0.25">
      <c r="A901" s="47" t="s">
        <v>314</v>
      </c>
      <c r="B901" s="78">
        <v>45034</v>
      </c>
      <c r="C901" s="47" t="s">
        <v>64</v>
      </c>
      <c r="E901" s="47">
        <v>77229</v>
      </c>
      <c r="G901" s="50" t="s">
        <v>89</v>
      </c>
      <c r="H901" s="51">
        <v>136.5</v>
      </c>
      <c r="K901" s="52">
        <f>Tabela6[[#This Row],[CONSUMO]]*Tabela6[[#This Row],[VALOR UNIT]]-Tabela6[[#This Row],[DESCONTO]]</f>
        <v>0</v>
      </c>
      <c r="L901" s="53">
        <f>Tabela6[[#This Row],[CUSTO TOTAL]]/Tabela6[[#This Row],[CONSUMO]]</f>
        <v>0</v>
      </c>
      <c r="M901" s="50">
        <f>Tabela6[[#This Row],[KM ATUAL]]-E878</f>
        <v>-216329</v>
      </c>
      <c r="N901" s="51">
        <f>Tabela6[[#This Row],[KM Rodados ]]/Tabela6[[#This Row],[CONSUMO]]</f>
        <v>-1584.8278388278388</v>
      </c>
    </row>
    <row r="902" spans="1:14" x14ac:dyDescent="0.25">
      <c r="A902" s="47" t="s">
        <v>314</v>
      </c>
      <c r="B902" s="78">
        <v>45034</v>
      </c>
      <c r="C902" s="47" t="s">
        <v>64</v>
      </c>
      <c r="E902" s="47">
        <v>77610</v>
      </c>
      <c r="G902" s="50" t="s">
        <v>89</v>
      </c>
      <c r="H902" s="51">
        <v>142.30000000000001</v>
      </c>
      <c r="K902" s="52">
        <f>Tabela6[[#This Row],[CONSUMO]]*Tabela6[[#This Row],[VALOR UNIT]]-Tabela6[[#This Row],[DESCONTO]]</f>
        <v>0</v>
      </c>
      <c r="L902" s="53">
        <f>Tabela6[[#This Row],[CUSTO TOTAL]]/Tabela6[[#This Row],[CONSUMO]]</f>
        <v>0</v>
      </c>
      <c r="M902" s="50">
        <f>Tabela6[[#This Row],[KM ATUAL]]-E901</f>
        <v>381</v>
      </c>
      <c r="N902" s="51">
        <f>Tabela6[[#This Row],[KM Rodados ]]/Tabela6[[#This Row],[CONSUMO]]</f>
        <v>2.6774420238931831</v>
      </c>
    </row>
    <row r="903" spans="1:14" x14ac:dyDescent="0.25">
      <c r="A903" s="47">
        <v>349965</v>
      </c>
      <c r="B903" s="78">
        <v>45034</v>
      </c>
      <c r="C903" s="47" t="s">
        <v>64</v>
      </c>
      <c r="D903" s="49" t="s">
        <v>253</v>
      </c>
      <c r="E903" s="47">
        <v>77995</v>
      </c>
      <c r="G903" s="50" t="s">
        <v>89</v>
      </c>
      <c r="H903" s="51">
        <v>141.81</v>
      </c>
      <c r="I903" s="49">
        <v>42.54</v>
      </c>
      <c r="J903" s="51">
        <v>6.09</v>
      </c>
      <c r="K903" s="52">
        <f>Tabela6[[#This Row],[CONSUMO]]*Tabela6[[#This Row],[VALOR UNIT]]-Tabela6[[#This Row],[DESCONTO]]</f>
        <v>821.0829</v>
      </c>
      <c r="L903" s="53">
        <f>Tabela6[[#This Row],[CUSTO TOTAL]]/Tabela6[[#This Row],[CONSUMO]]</f>
        <v>5.7900211550666381</v>
      </c>
      <c r="M903" s="50">
        <f>Tabela6[[#This Row],[KM ATUAL]]-E902</f>
        <v>385</v>
      </c>
      <c r="N903" s="51">
        <f>Tabela6[[#This Row],[KM Rodados ]]/Tabela6[[#This Row],[CONSUMO]]</f>
        <v>2.7149002186023554</v>
      </c>
    </row>
    <row r="904" spans="1:14" x14ac:dyDescent="0.25">
      <c r="A904" s="47" t="s">
        <v>314</v>
      </c>
      <c r="B904" s="78">
        <v>45034</v>
      </c>
      <c r="C904" s="47" t="s">
        <v>19</v>
      </c>
      <c r="D904" s="47"/>
      <c r="E904" s="47">
        <v>297811</v>
      </c>
      <c r="G904" s="50" t="s">
        <v>89</v>
      </c>
      <c r="H904" s="51">
        <v>196.3</v>
      </c>
      <c r="K904" s="52">
        <f>Tabela6[[#This Row],[CONSUMO]]*Tabela6[[#This Row],[VALOR UNIT]]-Tabela6[[#This Row],[DESCONTO]]</f>
        <v>0</v>
      </c>
      <c r="L904" s="53">
        <f>Tabela6[[#This Row],[CUSTO TOTAL]]/Tabela6[[#This Row],[CONSUMO]]</f>
        <v>0</v>
      </c>
      <c r="M904" s="50">
        <f>Tabela6[[#This Row],[KM ATUAL]]-E693</f>
        <v>185050</v>
      </c>
      <c r="N904" s="51">
        <f>Tabela6[[#This Row],[KM Rodados ]]/Tabela6[[#This Row],[CONSUMO]]</f>
        <v>942.68976057055522</v>
      </c>
    </row>
    <row r="905" spans="1:14" x14ac:dyDescent="0.25">
      <c r="A905" s="47" t="s">
        <v>314</v>
      </c>
      <c r="B905" s="78">
        <v>45034</v>
      </c>
      <c r="C905" s="47" t="s">
        <v>19</v>
      </c>
      <c r="D905" s="47"/>
      <c r="E905" s="47">
        <v>298786</v>
      </c>
      <c r="G905" s="50" t="s">
        <v>89</v>
      </c>
      <c r="H905" s="51">
        <v>198.52</v>
      </c>
      <c r="K905" s="52">
        <f>Tabela6[[#This Row],[CONSUMO]]*Tabela6[[#This Row],[VALOR UNIT]]-Tabela6[[#This Row],[DESCONTO]]</f>
        <v>0</v>
      </c>
      <c r="L905" s="53">
        <f>Tabela6[[#This Row],[CUSTO TOTAL]]/Tabela6[[#This Row],[CONSUMO]]</f>
        <v>0</v>
      </c>
      <c r="M905" s="50">
        <f>Tabela6[[#This Row],[KM ATUAL]]-E904</f>
        <v>975</v>
      </c>
      <c r="N905" s="51">
        <f>Tabela6[[#This Row],[KM Rodados ]]/Tabela6[[#This Row],[CONSUMO]]</f>
        <v>4.9113439451944387</v>
      </c>
    </row>
    <row r="906" spans="1:14" x14ac:dyDescent="0.25">
      <c r="A906" s="47" t="s">
        <v>314</v>
      </c>
      <c r="B906" s="78">
        <v>45034</v>
      </c>
      <c r="C906" s="47" t="s">
        <v>19</v>
      </c>
      <c r="D906" s="47"/>
      <c r="E906" s="47">
        <v>299744</v>
      </c>
      <c r="G906" s="50" t="s">
        <v>89</v>
      </c>
      <c r="H906" s="51">
        <v>184.3</v>
      </c>
      <c r="K906" s="52">
        <f>Tabela6[[#This Row],[CONSUMO]]*Tabela6[[#This Row],[VALOR UNIT]]-Tabela6[[#This Row],[DESCONTO]]</f>
        <v>0</v>
      </c>
      <c r="L906" s="53">
        <f>Tabela6[[#This Row],[CUSTO TOTAL]]/Tabela6[[#This Row],[CONSUMO]]</f>
        <v>0</v>
      </c>
      <c r="M906" s="50">
        <f>Tabela6[[#This Row],[KM ATUAL]]-E905</f>
        <v>958</v>
      </c>
      <c r="N906" s="51">
        <f>Tabela6[[#This Row],[KM Rodados ]]/Tabela6[[#This Row],[CONSUMO]]</f>
        <v>5.198046663049376</v>
      </c>
    </row>
    <row r="907" spans="1:14" x14ac:dyDescent="0.25">
      <c r="A907" s="47" t="s">
        <v>314</v>
      </c>
      <c r="B907" s="78">
        <v>45034</v>
      </c>
      <c r="C907" s="47" t="s">
        <v>19</v>
      </c>
      <c r="D907" s="47"/>
      <c r="E907" s="47">
        <v>300739</v>
      </c>
      <c r="G907" s="50" t="s">
        <v>89</v>
      </c>
      <c r="H907" s="51">
        <v>195.3</v>
      </c>
      <c r="K907" s="52">
        <f>Tabela6[[#This Row],[CONSUMO]]*Tabela6[[#This Row],[VALOR UNIT]]-Tabela6[[#This Row],[DESCONTO]]</f>
        <v>0</v>
      </c>
      <c r="L907" s="53">
        <f>Tabela6[[#This Row],[CUSTO TOTAL]]/Tabela6[[#This Row],[CONSUMO]]</f>
        <v>0</v>
      </c>
      <c r="M907" s="50">
        <f>Tabela6[[#This Row],[KM ATUAL]]-E906</f>
        <v>995</v>
      </c>
      <c r="N907" s="51">
        <f>Tabela6[[#This Row],[KM Rodados ]]/Tabela6[[#This Row],[CONSUMO]]</f>
        <v>5.0947260624679975</v>
      </c>
    </row>
    <row r="908" spans="1:14" x14ac:dyDescent="0.25">
      <c r="A908" s="47" t="s">
        <v>314</v>
      </c>
      <c r="B908" s="78">
        <v>45034</v>
      </c>
      <c r="C908" s="47" t="s">
        <v>19</v>
      </c>
      <c r="D908" s="47"/>
      <c r="E908" s="47">
        <v>301763</v>
      </c>
      <c r="G908" s="50" t="s">
        <v>89</v>
      </c>
      <c r="H908" s="51">
        <v>194.3</v>
      </c>
      <c r="K908" s="52">
        <f>Tabela6[[#This Row],[CONSUMO]]*Tabela6[[#This Row],[VALOR UNIT]]-Tabela6[[#This Row],[DESCONTO]]</f>
        <v>0</v>
      </c>
      <c r="L908" s="53">
        <f>Tabela6[[#This Row],[CUSTO TOTAL]]/Tabela6[[#This Row],[CONSUMO]]</f>
        <v>0</v>
      </c>
      <c r="M908" s="50">
        <f>Tabela6[[#This Row],[KM ATUAL]]-E907</f>
        <v>1024</v>
      </c>
      <c r="N908" s="51">
        <f>Tabela6[[#This Row],[KM Rodados ]]/Tabela6[[#This Row],[CONSUMO]]</f>
        <v>5.2702007205352546</v>
      </c>
    </row>
    <row r="909" spans="1:14" x14ac:dyDescent="0.25">
      <c r="A909" s="47">
        <v>388664</v>
      </c>
      <c r="B909" s="78">
        <v>45034</v>
      </c>
      <c r="C909" s="47" t="s">
        <v>19</v>
      </c>
      <c r="D909" s="49" t="s">
        <v>273</v>
      </c>
      <c r="E909" s="47">
        <v>302724</v>
      </c>
      <c r="G909" s="50" t="s">
        <v>89</v>
      </c>
      <c r="H909" s="51">
        <v>170</v>
      </c>
      <c r="J909" s="51">
        <v>5.59</v>
      </c>
      <c r="K909" s="52">
        <f>Tabela6[[#This Row],[CONSUMO]]*Tabela6[[#This Row],[VALOR UNIT]]-Tabela6[[#This Row],[DESCONTO]]</f>
        <v>950.3</v>
      </c>
      <c r="L909" s="53">
        <f>Tabela6[[#This Row],[CUSTO TOTAL]]/Tabela6[[#This Row],[CONSUMO]]</f>
        <v>5.59</v>
      </c>
      <c r="M909" s="50">
        <f>Tabela6[[#This Row],[KM ATUAL]]-E908</f>
        <v>961</v>
      </c>
      <c r="N909" s="51">
        <f>Tabela6[[#This Row],[KM Rodados ]]/Tabela6[[#This Row],[CONSUMO]]</f>
        <v>5.6529411764705886</v>
      </c>
    </row>
    <row r="910" spans="1:14" x14ac:dyDescent="0.25">
      <c r="A910" s="47" t="s">
        <v>314</v>
      </c>
      <c r="B910" s="78">
        <v>45034</v>
      </c>
      <c r="C910" s="47" t="s">
        <v>20</v>
      </c>
      <c r="E910" s="47">
        <v>243356</v>
      </c>
      <c r="G910" s="50" t="s">
        <v>89</v>
      </c>
      <c r="H910" s="51">
        <v>58.6</v>
      </c>
      <c r="K910" s="52">
        <f>Tabela6[[#This Row],[CONSUMO]]*Tabela6[[#This Row],[VALOR UNIT]]-Tabela6[[#This Row],[DESCONTO]]</f>
        <v>0</v>
      </c>
      <c r="L910" s="53">
        <f>Tabela6[[#This Row],[CUSTO TOTAL]]/Tabela6[[#This Row],[CONSUMO]]</f>
        <v>0</v>
      </c>
      <c r="M910" s="50">
        <f>Tabela6[[#This Row],[KM ATUAL]]-E877</f>
        <v>153520</v>
      </c>
      <c r="N910" s="51">
        <f>Tabela6[[#This Row],[KM Rodados ]]/Tabela6[[#This Row],[CONSUMO]]</f>
        <v>2619.7952218430032</v>
      </c>
    </row>
    <row r="911" spans="1:14" x14ac:dyDescent="0.25">
      <c r="A911" s="47">
        <v>200831</v>
      </c>
      <c r="B911" s="78">
        <v>45034</v>
      </c>
      <c r="C911" s="47" t="s">
        <v>20</v>
      </c>
      <c r="D911" s="47" t="s">
        <v>282</v>
      </c>
      <c r="E911" s="47">
        <v>243703</v>
      </c>
      <c r="G911" s="50" t="s">
        <v>89</v>
      </c>
      <c r="H911" s="51">
        <v>40.33</v>
      </c>
      <c r="J911" s="51">
        <v>5.71</v>
      </c>
      <c r="K911" s="52">
        <f>Tabela6[[#This Row],[CONSUMO]]*Tabela6[[#This Row],[VALOR UNIT]]-Tabela6[[#This Row],[DESCONTO]]</f>
        <v>230.2843</v>
      </c>
      <c r="L911" s="53">
        <f>Tabela6[[#This Row],[CUSTO TOTAL]]/Tabela6[[#This Row],[CONSUMO]]</f>
        <v>5.71</v>
      </c>
      <c r="M911" s="50">
        <f>Tabela6[[#This Row],[KM ATUAL]]-E910</f>
        <v>347</v>
      </c>
      <c r="N911" s="51">
        <f>Tabela6[[#This Row],[KM Rodados ]]/Tabela6[[#This Row],[CONSUMO]]</f>
        <v>8.6040168608975947</v>
      </c>
    </row>
    <row r="912" spans="1:14" x14ac:dyDescent="0.25">
      <c r="A912" s="47">
        <v>175192</v>
      </c>
      <c r="B912" s="78">
        <v>45034</v>
      </c>
      <c r="C912" s="47" t="s">
        <v>23</v>
      </c>
      <c r="D912" s="49" t="s">
        <v>262</v>
      </c>
      <c r="E912" s="47">
        <v>220706</v>
      </c>
      <c r="G912" s="50" t="s">
        <v>89</v>
      </c>
      <c r="H912" s="51">
        <v>139.99</v>
      </c>
      <c r="J912" s="51">
        <v>5.89</v>
      </c>
      <c r="K912" s="52">
        <f>Tabela6[[#This Row],[CONSUMO]]*Tabela6[[#This Row],[VALOR UNIT]]-Tabela6[[#This Row],[DESCONTO]]</f>
        <v>824.54110000000003</v>
      </c>
      <c r="L912" s="53">
        <f>Tabela6[[#This Row],[CUSTO TOTAL]]/Tabela6[[#This Row],[CONSUMO]]</f>
        <v>5.89</v>
      </c>
      <c r="M912" s="50">
        <f>Tabela6[[#This Row],[KM ATUAL]]-E896</f>
        <v>130320</v>
      </c>
      <c r="N912" s="51">
        <f>Tabela6[[#This Row],[KM Rodados ]]/Tabela6[[#This Row],[CONSUMO]]</f>
        <v>930.9236374026716</v>
      </c>
    </row>
    <row r="913" spans="1:14" x14ac:dyDescent="0.25">
      <c r="A913" s="47">
        <v>80456</v>
      </c>
      <c r="B913" s="78">
        <v>45034</v>
      </c>
      <c r="C913" s="47" t="s">
        <v>40</v>
      </c>
      <c r="D913" s="49" t="s">
        <v>263</v>
      </c>
      <c r="E913" s="47">
        <v>135810</v>
      </c>
      <c r="G913" s="50" t="s">
        <v>244</v>
      </c>
      <c r="H913" s="51">
        <v>38.64</v>
      </c>
      <c r="J913" s="51">
        <v>5.36</v>
      </c>
      <c r="K913" s="74">
        <f>Tabela6[[#This Row],[CONSUMO]]*Tabela6[[#This Row],[VALOR UNIT]]-Tabela6[[#This Row],[DESCONTO]]</f>
        <v>207.11040000000003</v>
      </c>
      <c r="L913" s="53">
        <f>Tabela6[[#This Row],[CUSTO TOTAL]]/Tabela6[[#This Row],[CONSUMO]]</f>
        <v>5.36</v>
      </c>
      <c r="M913" s="50">
        <f>Tabela6[[#This Row],[KM ATUAL]]-E901</f>
        <v>58581</v>
      </c>
      <c r="N913" s="51">
        <f>Tabela6[[#This Row],[KM Rodados ]]/Tabela6[[#This Row],[CONSUMO]]</f>
        <v>1516.0714285714284</v>
      </c>
    </row>
    <row r="914" spans="1:14" x14ac:dyDescent="0.25">
      <c r="A914" s="47" t="s">
        <v>314</v>
      </c>
      <c r="B914" s="78">
        <v>45034</v>
      </c>
      <c r="C914" s="47" t="s">
        <v>74</v>
      </c>
      <c r="E914" s="47">
        <v>47990</v>
      </c>
      <c r="G914" s="50" t="s">
        <v>89</v>
      </c>
      <c r="H914" s="51">
        <v>85.3</v>
      </c>
      <c r="K914" s="52">
        <f>Tabela6[[#This Row],[CONSUMO]]*Tabela6[[#This Row],[VALOR UNIT]]-Tabela6[[#This Row],[DESCONTO]]</f>
        <v>0</v>
      </c>
      <c r="L914" s="53">
        <f>Tabela6[[#This Row],[CUSTO TOTAL]]/Tabela6[[#This Row],[CONSUMO]]</f>
        <v>0</v>
      </c>
      <c r="M914" s="50">
        <f>Tabela6[[#This Row],[KM ATUAL]]-E876</f>
        <v>-69300</v>
      </c>
      <c r="N914" s="51">
        <f>Tabela6[[#This Row],[KM Rodados ]]/Tabela6[[#This Row],[CONSUMO]]</f>
        <v>-812.42672919109032</v>
      </c>
    </row>
    <row r="915" spans="1:14" x14ac:dyDescent="0.25">
      <c r="A915" s="47">
        <v>289460</v>
      </c>
      <c r="B915" s="78">
        <v>45035</v>
      </c>
      <c r="C915" s="47" t="s">
        <v>203</v>
      </c>
      <c r="D915" s="49" t="s">
        <v>276</v>
      </c>
      <c r="E915" s="47">
        <v>91240</v>
      </c>
      <c r="G915" s="50" t="s">
        <v>244</v>
      </c>
      <c r="H915" s="51">
        <v>43.8</v>
      </c>
      <c r="J915" s="51">
        <v>5.39</v>
      </c>
      <c r="K915" s="52">
        <f>Tabela6[[#This Row],[CONSUMO]]*Tabela6[[#This Row],[VALOR UNIT]]-Tabela6[[#This Row],[DESCONTO]]</f>
        <v>236.08199999999997</v>
      </c>
      <c r="L915" s="53">
        <f>Tabela6[[#This Row],[CUSTO TOTAL]]/Tabela6[[#This Row],[CONSUMO]]</f>
        <v>5.39</v>
      </c>
      <c r="M915" s="50">
        <f>Tabela6[[#This Row],[KM ATUAL]]-E898</f>
        <v>-291555</v>
      </c>
      <c r="N915" s="51">
        <f>Tabela6[[#This Row],[KM Rodados ]]/Tabela6[[#This Row],[CONSUMO]]</f>
        <v>-6656.5068493150693</v>
      </c>
    </row>
    <row r="916" spans="1:14" x14ac:dyDescent="0.25">
      <c r="A916" s="47" t="s">
        <v>314</v>
      </c>
      <c r="B916" s="78">
        <v>45035</v>
      </c>
      <c r="C916" s="47" t="s">
        <v>72</v>
      </c>
      <c r="E916" s="47">
        <v>383517</v>
      </c>
      <c r="G916" s="50" t="s">
        <v>89</v>
      </c>
      <c r="H916" s="51">
        <v>43.1</v>
      </c>
      <c r="K916" s="52">
        <f>Tabela6[[#This Row],[CONSUMO]]*Tabela6[[#This Row],[VALOR UNIT]]-Tabela6[[#This Row],[DESCONTO]]</f>
        <v>0</v>
      </c>
      <c r="L916" s="53">
        <f>Tabela6[[#This Row],[CUSTO TOTAL]]/Tabela6[[#This Row],[CONSUMO]]</f>
        <v>0</v>
      </c>
      <c r="M916" s="50">
        <f>Tabela6[[#This Row],[KM ATUAL]]-E914</f>
        <v>335527</v>
      </c>
      <c r="N916" s="51">
        <f>Tabela6[[#This Row],[KM Rodados ]]/Tabela6[[#This Row],[CONSUMO]]</f>
        <v>7784.8491879350349</v>
      </c>
    </row>
    <row r="917" spans="1:14" x14ac:dyDescent="0.25">
      <c r="A917" s="47" t="s">
        <v>314</v>
      </c>
      <c r="B917" s="78">
        <v>45035</v>
      </c>
      <c r="C917" s="47" t="s">
        <v>72</v>
      </c>
      <c r="E917" s="47">
        <v>383882</v>
      </c>
      <c r="G917" s="50" t="s">
        <v>89</v>
      </c>
      <c r="H917" s="51">
        <v>40.6</v>
      </c>
      <c r="K917" s="52">
        <f>Tabela6[[#This Row],[CONSUMO]]*Tabela6[[#This Row],[VALOR UNIT]]-Tabela6[[#This Row],[DESCONTO]]</f>
        <v>0</v>
      </c>
      <c r="L917" s="53">
        <f>Tabela6[[#This Row],[CUSTO TOTAL]]/Tabela6[[#This Row],[CONSUMO]]</f>
        <v>0</v>
      </c>
      <c r="M917" s="50">
        <f>Tabela6[[#This Row],[KM ATUAL]]-E916</f>
        <v>365</v>
      </c>
      <c r="N917" s="51">
        <f>Tabela6[[#This Row],[KM Rodados ]]/Tabela6[[#This Row],[CONSUMO]]</f>
        <v>8.9901477832512313</v>
      </c>
    </row>
    <row r="918" spans="1:14" x14ac:dyDescent="0.25">
      <c r="A918" s="47" t="s">
        <v>314</v>
      </c>
      <c r="B918" s="78">
        <v>45035</v>
      </c>
      <c r="C918" s="47" t="s">
        <v>72</v>
      </c>
      <c r="E918" s="47">
        <v>384621</v>
      </c>
      <c r="G918" s="50" t="s">
        <v>89</v>
      </c>
      <c r="H918" s="51">
        <v>45.6</v>
      </c>
      <c r="K918" s="52">
        <f>Tabela6[[#This Row],[CONSUMO]]*Tabela6[[#This Row],[VALOR UNIT]]-Tabela6[[#This Row],[DESCONTO]]</f>
        <v>0</v>
      </c>
      <c r="L918" s="53">
        <f>Tabela6[[#This Row],[CUSTO TOTAL]]/Tabela6[[#This Row],[CONSUMO]]</f>
        <v>0</v>
      </c>
      <c r="M918" s="50">
        <f>Tabela6[[#This Row],[KM ATUAL]]-E917</f>
        <v>739</v>
      </c>
      <c r="N918" s="51">
        <f>Tabela6[[#This Row],[KM Rodados ]]/Tabela6[[#This Row],[CONSUMO]]</f>
        <v>16.206140350877192</v>
      </c>
    </row>
    <row r="919" spans="1:14" x14ac:dyDescent="0.25">
      <c r="A919" s="47" t="s">
        <v>314</v>
      </c>
      <c r="B919" s="78">
        <v>45035</v>
      </c>
      <c r="C919" s="47" t="s">
        <v>72</v>
      </c>
      <c r="E919" s="47">
        <v>384987</v>
      </c>
      <c r="G919" s="50" t="s">
        <v>89</v>
      </c>
      <c r="H919" s="51">
        <v>41.5</v>
      </c>
      <c r="K919" s="52">
        <f>Tabela6[[#This Row],[CONSUMO]]*Tabela6[[#This Row],[VALOR UNIT]]-Tabela6[[#This Row],[DESCONTO]]</f>
        <v>0</v>
      </c>
      <c r="L919" s="53">
        <f>Tabela6[[#This Row],[CUSTO TOTAL]]/Tabela6[[#This Row],[CONSUMO]]</f>
        <v>0</v>
      </c>
      <c r="M919" s="50">
        <f>Tabela6[[#This Row],[KM ATUAL]]-E918</f>
        <v>366</v>
      </c>
      <c r="N919" s="51">
        <f>Tabela6[[#This Row],[KM Rodados ]]/Tabela6[[#This Row],[CONSUMO]]</f>
        <v>8.8192771084337345</v>
      </c>
    </row>
    <row r="920" spans="1:14" x14ac:dyDescent="0.25">
      <c r="A920" s="47">
        <v>289471</v>
      </c>
      <c r="B920" s="78">
        <v>45035</v>
      </c>
      <c r="C920" s="47" t="s">
        <v>72</v>
      </c>
      <c r="D920" s="49" t="s">
        <v>276</v>
      </c>
      <c r="E920" s="47">
        <v>385353</v>
      </c>
      <c r="G920" s="50" t="s">
        <v>89</v>
      </c>
      <c r="H920" s="51">
        <v>47.420999999999999</v>
      </c>
      <c r="J920" s="51">
        <v>5.99</v>
      </c>
      <c r="K920" s="52">
        <f>Tabela6[[#This Row],[CONSUMO]]*Tabela6[[#This Row],[VALOR UNIT]]-Tabela6[[#This Row],[DESCONTO]]</f>
        <v>284.05178999999998</v>
      </c>
      <c r="L920" s="53">
        <f>Tabela6[[#This Row],[CUSTO TOTAL]]/Tabela6[[#This Row],[CONSUMO]]</f>
        <v>5.9899999999999993</v>
      </c>
      <c r="M920" s="50">
        <f>Tabela6[[#This Row],[KM ATUAL]]-E919</f>
        <v>366</v>
      </c>
      <c r="N920" s="51">
        <f>Tabela6[[#This Row],[KM Rodados ]]/Tabela6[[#This Row],[CONSUMO]]</f>
        <v>7.7180995761371545</v>
      </c>
    </row>
    <row r="921" spans="1:14" x14ac:dyDescent="0.25">
      <c r="A921" s="47">
        <v>73967</v>
      </c>
      <c r="B921" s="78">
        <v>45035</v>
      </c>
      <c r="C921" s="47" t="s">
        <v>72</v>
      </c>
      <c r="D921" s="49" t="s">
        <v>271</v>
      </c>
      <c r="E921" s="47">
        <v>384255</v>
      </c>
      <c r="G921" s="50" t="s">
        <v>89</v>
      </c>
      <c r="H921" s="51">
        <v>41.79</v>
      </c>
      <c r="J921" s="51">
        <v>5.69</v>
      </c>
      <c r="K921" s="52">
        <f>Tabela6[[#This Row],[CONSUMO]]*Tabela6[[#This Row],[VALOR UNIT]]-Tabela6[[#This Row],[DESCONTO]]</f>
        <v>237.7851</v>
      </c>
      <c r="L921" s="53">
        <f>Tabela6[[#This Row],[CUSTO TOTAL]]/Tabela6[[#This Row],[CONSUMO]]</f>
        <v>5.69</v>
      </c>
      <c r="M921" s="50">
        <f>Tabela6[[#This Row],[KM ATUAL]]-E920</f>
        <v>-1098</v>
      </c>
      <c r="N921" s="51">
        <f>Tabela6[[#This Row],[KM Rodados ]]/Tabela6[[#This Row],[CONSUMO]]</f>
        <v>-26.274228284278536</v>
      </c>
    </row>
    <row r="922" spans="1:14" x14ac:dyDescent="0.25">
      <c r="A922" s="47">
        <v>1035622</v>
      </c>
      <c r="B922" s="78">
        <v>45035</v>
      </c>
      <c r="C922" s="47" t="s">
        <v>73</v>
      </c>
      <c r="D922" s="49" t="s">
        <v>252</v>
      </c>
      <c r="E922" s="47">
        <v>116128</v>
      </c>
      <c r="G922" s="50" t="s">
        <v>241</v>
      </c>
      <c r="H922" s="51">
        <v>25.212</v>
      </c>
      <c r="J922" s="51">
        <v>3.29</v>
      </c>
      <c r="K922" s="51">
        <f>Tabela6[[#This Row],[CONSUMO]]*Tabela6[[#This Row],[VALOR UNIT]]-Tabela6[[#This Row],[DESCONTO]]</f>
        <v>82.947479999999999</v>
      </c>
      <c r="L922" s="53">
        <f>Tabela6[[#This Row],[CUSTO TOTAL]]/Tabela6[[#This Row],[CONSUMO]]</f>
        <v>3.29</v>
      </c>
      <c r="M922" s="50"/>
      <c r="N922"/>
    </row>
    <row r="923" spans="1:14" x14ac:dyDescent="0.25">
      <c r="A923" s="47">
        <v>1035622</v>
      </c>
      <c r="B923" s="78">
        <v>45035</v>
      </c>
      <c r="C923" s="47" t="s">
        <v>73</v>
      </c>
      <c r="D923" s="49" t="s">
        <v>252</v>
      </c>
      <c r="E923" s="47">
        <v>116128</v>
      </c>
      <c r="G923" s="50" t="s">
        <v>89</v>
      </c>
      <c r="H923" s="51">
        <v>233.02</v>
      </c>
      <c r="J923" s="51">
        <v>5.15</v>
      </c>
      <c r="K923" s="51">
        <f>Tabela6[[#This Row],[CONSUMO]]*Tabela6[[#This Row],[VALOR UNIT]]-Tabela6[[#This Row],[DESCONTO]]</f>
        <v>1200.0530000000001</v>
      </c>
      <c r="L923" s="53">
        <f>Tabela6[[#This Row],[CUSTO TOTAL]]/Tabela6[[#This Row],[CONSUMO]]</f>
        <v>5.15</v>
      </c>
      <c r="M923" s="50">
        <f>Tabela6[[#This Row],[KM ATUAL]]-E891</f>
        <v>-19157</v>
      </c>
      <c r="N923" s="51">
        <f>Tabela6[[#This Row],[KM Rodados ]]/Tabela6[[#This Row],[CONSUMO]]</f>
        <v>-82.21182731096043</v>
      </c>
    </row>
    <row r="924" spans="1:14" x14ac:dyDescent="0.25">
      <c r="A924" s="47" t="s">
        <v>314</v>
      </c>
      <c r="B924" s="78">
        <v>45035</v>
      </c>
      <c r="C924" s="47" t="s">
        <v>21</v>
      </c>
      <c r="E924" s="47">
        <v>136101</v>
      </c>
      <c r="G924" s="50" t="s">
        <v>89</v>
      </c>
      <c r="H924" s="51">
        <v>182.63</v>
      </c>
      <c r="K924" s="52">
        <f>Tabela6[[#This Row],[CONSUMO]]*Tabela6[[#This Row],[VALOR UNIT]]-Tabela6[[#This Row],[DESCONTO]]</f>
        <v>0</v>
      </c>
      <c r="L924" s="53">
        <f>Tabela6[[#This Row],[CUSTO TOTAL]]/Tabela6[[#This Row],[CONSUMO]]</f>
        <v>0</v>
      </c>
      <c r="M924" s="50">
        <f>Tabela6[[#This Row],[KM ATUAL]]-E842</f>
        <v>-474557</v>
      </c>
      <c r="N924" s="51">
        <f>Tabela6[[#This Row],[KM Rodados ]]/Tabela6[[#This Row],[CONSUMO]]</f>
        <v>-2598.4613699830256</v>
      </c>
    </row>
    <row r="925" spans="1:14" x14ac:dyDescent="0.25">
      <c r="A925" s="47">
        <v>289249</v>
      </c>
      <c r="B925" s="78">
        <v>45035</v>
      </c>
      <c r="C925" s="47" t="s">
        <v>41</v>
      </c>
      <c r="D925" s="49" t="s">
        <v>276</v>
      </c>
      <c r="E925" s="47">
        <v>656504</v>
      </c>
      <c r="G925" s="50" t="s">
        <v>89</v>
      </c>
      <c r="H925" s="51">
        <v>163.69900000000001</v>
      </c>
      <c r="J925" s="51">
        <v>5.89</v>
      </c>
      <c r="K925" s="51">
        <f>Tabela6[[#This Row],[CONSUMO]]*Tabela6[[#This Row],[VALOR UNIT]]-Tabela6[[#This Row],[DESCONTO]]</f>
        <v>964.18711000000008</v>
      </c>
      <c r="L925" s="53">
        <f>Tabela6[[#This Row],[CUSTO TOTAL]]/Tabela6[[#This Row],[CONSUMO]]</f>
        <v>5.89</v>
      </c>
      <c r="M925" s="50">
        <f>Tabela6[[#This Row],[KM ATUAL]]-E868</f>
        <v>567545</v>
      </c>
      <c r="N925" s="51">
        <f>Tabela6[[#This Row],[KM Rodados ]]/Tabela6[[#This Row],[CONSUMO]]</f>
        <v>3467.0034636741821</v>
      </c>
    </row>
    <row r="926" spans="1:14" x14ac:dyDescent="0.25">
      <c r="A926" s="47">
        <v>162613</v>
      </c>
      <c r="B926" s="78">
        <v>45035</v>
      </c>
      <c r="C926" s="47" t="s">
        <v>206</v>
      </c>
      <c r="D926" s="49" t="s">
        <v>268</v>
      </c>
      <c r="E926" s="47">
        <v>931946</v>
      </c>
      <c r="G926" s="50" t="s">
        <v>89</v>
      </c>
      <c r="H926" s="51">
        <v>342</v>
      </c>
      <c r="J926" s="51">
        <v>5.49</v>
      </c>
      <c r="K926" s="51">
        <f>Tabela6[[#This Row],[CONSUMO]]*Tabela6[[#This Row],[VALOR UNIT]]-Tabela6[[#This Row],[DESCONTO]]</f>
        <v>1877.5800000000002</v>
      </c>
      <c r="L926" s="53">
        <f>Tabela6[[#This Row],[CUSTO TOTAL]]/Tabela6[[#This Row],[CONSUMO]]</f>
        <v>5.49</v>
      </c>
      <c r="M926" s="50">
        <f>Tabela6[[#This Row],[KM ATUAL]]-E794</f>
        <v>845267</v>
      </c>
      <c r="N926" s="51">
        <f>Tabela6[[#This Row],[KM Rodados ]]/Tabela6[[#This Row],[CONSUMO]]</f>
        <v>2471.5409356725145</v>
      </c>
    </row>
    <row r="927" spans="1:14" x14ac:dyDescent="0.25">
      <c r="A927" s="47">
        <v>648642</v>
      </c>
      <c r="B927" s="78">
        <v>45035</v>
      </c>
      <c r="C927" s="47" t="s">
        <v>13</v>
      </c>
      <c r="D927" s="47" t="s">
        <v>250</v>
      </c>
      <c r="E927" s="47">
        <v>612914</v>
      </c>
      <c r="G927" s="50" t="s">
        <v>89</v>
      </c>
      <c r="H927" s="51">
        <v>154.34</v>
      </c>
      <c r="J927" s="51">
        <v>5.59</v>
      </c>
      <c r="K927" s="52">
        <f>Tabela6[[#This Row],[CONSUMO]]*Tabela6[[#This Row],[VALOR UNIT]]-Tabela6[[#This Row],[DESCONTO]]</f>
        <v>862.76059999999995</v>
      </c>
      <c r="L927" s="53">
        <f>Tabela6[[#This Row],[CUSTO TOTAL]]/Tabela6[[#This Row],[CONSUMO]]</f>
        <v>5.59</v>
      </c>
      <c r="M927" s="50">
        <f>Tabela6[[#This Row],[KM ATUAL]]-E897</f>
        <v>522382</v>
      </c>
      <c r="N927" s="51">
        <f>Tabela6[[#This Row],[KM Rodados ]]/Tabela6[[#This Row],[CONSUMO]]</f>
        <v>3384.6183750161981</v>
      </c>
    </row>
    <row r="928" spans="1:14" x14ac:dyDescent="0.25">
      <c r="A928" s="47">
        <v>89429</v>
      </c>
      <c r="B928" s="78">
        <v>45035</v>
      </c>
      <c r="C928" s="47" t="s">
        <v>15</v>
      </c>
      <c r="D928" s="49" t="s">
        <v>246</v>
      </c>
      <c r="E928" s="47">
        <v>359359</v>
      </c>
      <c r="G928" s="50" t="s">
        <v>89</v>
      </c>
      <c r="H928" s="51">
        <v>91.234999999999999</v>
      </c>
      <c r="I928" s="49">
        <v>48.35</v>
      </c>
      <c r="J928" s="51">
        <v>5.92</v>
      </c>
      <c r="K928" s="51">
        <f>Tabela6[[#This Row],[CONSUMO]]*Tabela6[[#This Row],[VALOR UNIT]]-Tabela6[[#This Row],[DESCONTO]]</f>
        <v>491.76119999999992</v>
      </c>
      <c r="L928" s="53">
        <f>Tabela6[[#This Row],[CUSTO TOTAL]]/Tabela6[[#This Row],[CONSUMO]]</f>
        <v>5.3900498712117049</v>
      </c>
      <c r="M928" s="50">
        <f>Tabela6[[#This Row],[KM ATUAL]]-E886</f>
        <v>37689</v>
      </c>
      <c r="N928" s="51">
        <f>Tabela6[[#This Row],[KM Rodados ]]/Tabela6[[#This Row],[CONSUMO]]</f>
        <v>413.09804351400231</v>
      </c>
    </row>
    <row r="929" spans="1:14" x14ac:dyDescent="0.25">
      <c r="A929" s="47" t="s">
        <v>314</v>
      </c>
      <c r="B929" s="78">
        <v>45035</v>
      </c>
      <c r="C929" s="47" t="s">
        <v>17</v>
      </c>
      <c r="E929" s="47">
        <v>340647</v>
      </c>
      <c r="G929" s="50" t="s">
        <v>89</v>
      </c>
      <c r="H929" s="51">
        <v>150.26</v>
      </c>
      <c r="K929" s="52">
        <f>Tabela6[[#This Row],[CONSUMO]]*Tabela6[[#This Row],[VALOR UNIT]]-Tabela6[[#This Row],[DESCONTO]]</f>
        <v>0</v>
      </c>
      <c r="L929" s="53">
        <f>Tabela6[[#This Row],[CUSTO TOTAL]]/Tabela6[[#This Row],[CONSUMO]]</f>
        <v>0</v>
      </c>
      <c r="M929" s="50">
        <f>Tabela6[[#This Row],[KM ATUAL]]-E548</f>
        <v>44771</v>
      </c>
      <c r="N929" s="51">
        <f>Tabela6[[#This Row],[KM Rodados ]]/Tabela6[[#This Row],[CONSUMO]]</f>
        <v>297.95687475043258</v>
      </c>
    </row>
    <row r="930" spans="1:14" x14ac:dyDescent="0.25">
      <c r="A930" s="47" t="s">
        <v>314</v>
      </c>
      <c r="B930" s="78">
        <v>45035</v>
      </c>
      <c r="C930" s="47" t="s">
        <v>17</v>
      </c>
      <c r="E930" s="47">
        <v>341367</v>
      </c>
      <c r="G930" s="50" t="s">
        <v>89</v>
      </c>
      <c r="H930" s="51">
        <v>149.5</v>
      </c>
      <c r="K930" s="52">
        <f>Tabela6[[#This Row],[CONSUMO]]*Tabela6[[#This Row],[VALOR UNIT]]-Tabela6[[#This Row],[DESCONTO]]</f>
        <v>0</v>
      </c>
      <c r="L930" s="53">
        <f>Tabela6[[#This Row],[CUSTO TOTAL]]/Tabela6[[#This Row],[CONSUMO]]</f>
        <v>0</v>
      </c>
      <c r="M930" s="50">
        <f>Tabela6[[#This Row],[KM ATUAL]]-E928</f>
        <v>-17992</v>
      </c>
      <c r="N930" s="51">
        <f>Tabela6[[#This Row],[KM Rodados ]]/Tabela6[[#This Row],[CONSUMO]]</f>
        <v>-120.34782608695652</v>
      </c>
    </row>
    <row r="931" spans="1:14" x14ac:dyDescent="0.25">
      <c r="A931" s="47" t="s">
        <v>314</v>
      </c>
      <c r="B931" s="78">
        <v>45035</v>
      </c>
      <c r="C931" s="47" t="s">
        <v>17</v>
      </c>
      <c r="E931" s="47">
        <v>342467</v>
      </c>
      <c r="G931" s="50" t="s">
        <v>89</v>
      </c>
      <c r="H931" s="51">
        <v>229.5</v>
      </c>
      <c r="K931" s="52">
        <f>Tabela6[[#This Row],[CONSUMO]]*Tabela6[[#This Row],[VALOR UNIT]]-Tabela6[[#This Row],[DESCONTO]]</f>
        <v>0</v>
      </c>
      <c r="L931" s="53">
        <f>Tabela6[[#This Row],[CUSTO TOTAL]]/Tabela6[[#This Row],[CONSUMO]]</f>
        <v>0</v>
      </c>
      <c r="M931" s="50">
        <f>Tabela6[[#This Row],[KM ATUAL]]-E929</f>
        <v>1820</v>
      </c>
      <c r="N931" s="51">
        <f>Tabela6[[#This Row],[KM Rodados ]]/Tabela6[[#This Row],[CONSUMO]]</f>
        <v>7.9302832244008714</v>
      </c>
    </row>
    <row r="932" spans="1:14" x14ac:dyDescent="0.25">
      <c r="A932" s="47" t="s">
        <v>314</v>
      </c>
      <c r="B932" s="78">
        <v>45035</v>
      </c>
      <c r="C932" s="47" t="s">
        <v>17</v>
      </c>
      <c r="E932" s="47">
        <v>343467</v>
      </c>
      <c r="G932" s="50" t="s">
        <v>89</v>
      </c>
      <c r="H932" s="51">
        <v>228.6</v>
      </c>
      <c r="K932" s="52">
        <f>Tabela6[[#This Row],[CONSUMO]]*Tabela6[[#This Row],[VALOR UNIT]]-Tabela6[[#This Row],[DESCONTO]]</f>
        <v>0</v>
      </c>
      <c r="L932" s="53">
        <f>Tabela6[[#This Row],[CUSTO TOTAL]]/Tabela6[[#This Row],[CONSUMO]]</f>
        <v>0</v>
      </c>
      <c r="M932" s="50">
        <f>Tabela6[[#This Row],[KM ATUAL]]-E931</f>
        <v>1000</v>
      </c>
      <c r="N932" s="51">
        <f>Tabela6[[#This Row],[KM Rodados ]]/Tabela6[[#This Row],[CONSUMO]]</f>
        <v>4.3744531933508313</v>
      </c>
    </row>
    <row r="933" spans="1:14" x14ac:dyDescent="0.25">
      <c r="A933" s="47" t="s">
        <v>314</v>
      </c>
      <c r="B933" s="78">
        <v>45035</v>
      </c>
      <c r="C933" s="47" t="s">
        <v>17</v>
      </c>
      <c r="E933" s="47">
        <v>344219</v>
      </c>
      <c r="G933" s="50" t="s">
        <v>89</v>
      </c>
      <c r="H933" s="51">
        <v>152.30000000000001</v>
      </c>
      <c r="K933" s="52">
        <f>Tabela6[[#This Row],[CONSUMO]]*Tabela6[[#This Row],[VALOR UNIT]]-Tabela6[[#This Row],[DESCONTO]]</f>
        <v>0</v>
      </c>
      <c r="L933" s="53">
        <f>Tabela6[[#This Row],[CUSTO TOTAL]]/Tabela6[[#This Row],[CONSUMO]]</f>
        <v>0</v>
      </c>
      <c r="M933" s="50">
        <f>Tabela6[[#This Row],[KM ATUAL]]-E932</f>
        <v>752</v>
      </c>
      <c r="N933" s="51">
        <f>Tabela6[[#This Row],[KM Rodados ]]/Tabela6[[#This Row],[CONSUMO]]</f>
        <v>4.9376231122783976</v>
      </c>
    </row>
    <row r="934" spans="1:14" x14ac:dyDescent="0.25">
      <c r="A934" s="47" t="s">
        <v>314</v>
      </c>
      <c r="B934" s="78">
        <v>45035</v>
      </c>
      <c r="C934" s="47" t="s">
        <v>17</v>
      </c>
      <c r="E934" s="47">
        <v>344889</v>
      </c>
      <c r="G934" s="50" t="s">
        <v>89</v>
      </c>
      <c r="H934" s="51">
        <v>142.30000000000001</v>
      </c>
      <c r="K934" s="52">
        <f>Tabela6[[#This Row],[CONSUMO]]*Tabela6[[#This Row],[VALOR UNIT]]-Tabela6[[#This Row],[DESCONTO]]</f>
        <v>0</v>
      </c>
      <c r="L934" s="53">
        <f>Tabela6[[#This Row],[CUSTO TOTAL]]/Tabela6[[#This Row],[CONSUMO]]</f>
        <v>0</v>
      </c>
      <c r="M934" s="50">
        <f>Tabela6[[#This Row],[KM ATUAL]]-E933</f>
        <v>670</v>
      </c>
      <c r="N934" s="51">
        <f>Tabela6[[#This Row],[KM Rodados ]]/Tabela6[[#This Row],[CONSUMO]]</f>
        <v>4.7083626141953614</v>
      </c>
    </row>
    <row r="935" spans="1:14" x14ac:dyDescent="0.25">
      <c r="A935" s="47">
        <v>289496</v>
      </c>
      <c r="B935" s="78">
        <v>45035</v>
      </c>
      <c r="C935" s="47" t="s">
        <v>17</v>
      </c>
      <c r="D935" s="49" t="s">
        <v>276</v>
      </c>
      <c r="E935" s="47">
        <v>345687</v>
      </c>
      <c r="G935" s="50" t="s">
        <v>89</v>
      </c>
      <c r="H935" s="51">
        <v>150</v>
      </c>
      <c r="J935" s="51">
        <v>5.99</v>
      </c>
      <c r="K935" s="52">
        <f>Tabela6[[#This Row],[CONSUMO]]*Tabela6[[#This Row],[VALOR UNIT]]-Tabela6[[#This Row],[DESCONTO]]</f>
        <v>898.5</v>
      </c>
      <c r="L935" s="53">
        <f>Tabela6[[#This Row],[CUSTO TOTAL]]/Tabela6[[#This Row],[CONSUMO]]</f>
        <v>5.99</v>
      </c>
      <c r="M935" s="50">
        <f>Tabela6[[#This Row],[KM ATUAL]]-E934</f>
        <v>798</v>
      </c>
      <c r="N935" s="51">
        <f>Tabela6[[#This Row],[KM Rodados ]]/Tabela6[[#This Row],[CONSUMO]]</f>
        <v>5.32</v>
      </c>
    </row>
    <row r="936" spans="1:14" x14ac:dyDescent="0.25">
      <c r="A936" s="47">
        <v>175430</v>
      </c>
      <c r="B936" s="78">
        <v>45035</v>
      </c>
      <c r="C936" s="47" t="s">
        <v>20</v>
      </c>
      <c r="D936" s="49" t="s">
        <v>262</v>
      </c>
      <c r="E936" s="47">
        <v>244228</v>
      </c>
      <c r="G936" s="50" t="s">
        <v>89</v>
      </c>
      <c r="H936" s="51">
        <v>64.38</v>
      </c>
      <c r="J936" s="51">
        <v>5.89</v>
      </c>
      <c r="K936" s="52">
        <f>Tabela6[[#This Row],[CONSUMO]]*Tabela6[[#This Row],[VALOR UNIT]]-Tabela6[[#This Row],[DESCONTO]]</f>
        <v>379.19819999999993</v>
      </c>
      <c r="L936" s="53">
        <f>Tabela6[[#This Row],[CUSTO TOTAL]]/Tabela6[[#This Row],[CONSUMO]]</f>
        <v>5.89</v>
      </c>
      <c r="M936" s="50">
        <f>Tabela6[[#This Row],[KM ATUAL]]-E905</f>
        <v>-54558</v>
      </c>
      <c r="N936" s="51">
        <f>Tabela6[[#This Row],[KM Rodados ]]/Tabela6[[#This Row],[CONSUMO]]</f>
        <v>-847.43709226467854</v>
      </c>
    </row>
    <row r="937" spans="1:14" x14ac:dyDescent="0.25">
      <c r="A937" s="47" t="s">
        <v>314</v>
      </c>
      <c r="B937" s="78">
        <v>45035</v>
      </c>
      <c r="C937" s="47" t="s">
        <v>40</v>
      </c>
      <c r="E937" s="47">
        <v>136335</v>
      </c>
      <c r="G937" s="50" t="s">
        <v>244</v>
      </c>
      <c r="H937" s="51">
        <v>42.38</v>
      </c>
      <c r="K937" s="52">
        <f>Tabela6[[#This Row],[CONSUMO]]*Tabela6[[#This Row],[VALOR UNIT]]-Tabela6[[#This Row],[DESCONTO]]</f>
        <v>0</v>
      </c>
      <c r="L937" s="53">
        <f>Tabela6[[#This Row],[CUSTO TOTAL]]/Tabela6[[#This Row],[CONSUMO]]</f>
        <v>0</v>
      </c>
      <c r="M937" s="50">
        <f>Tabela6[[#This Row],[KM ATUAL]]-E860</f>
        <v>-519445</v>
      </c>
      <c r="N937" s="51">
        <f>Tabela6[[#This Row],[KM Rodados ]]/Tabela6[[#This Row],[CONSUMO]]</f>
        <v>-12256.842850401132</v>
      </c>
    </row>
    <row r="938" spans="1:14" x14ac:dyDescent="0.25">
      <c r="A938" s="47">
        <v>175723</v>
      </c>
      <c r="B938" s="78">
        <v>45036</v>
      </c>
      <c r="C938" s="47" t="s">
        <v>68</v>
      </c>
      <c r="D938" s="49" t="s">
        <v>262</v>
      </c>
      <c r="E938" s="47">
        <v>880122</v>
      </c>
      <c r="G938" s="50" t="s">
        <v>89</v>
      </c>
      <c r="H938" s="51">
        <v>540.221</v>
      </c>
      <c r="J938" s="51">
        <v>5.89</v>
      </c>
      <c r="K938" s="51">
        <f>Tabela6[[#This Row],[CONSUMO]]*Tabela6[[#This Row],[VALOR UNIT]]-Tabela6[[#This Row],[DESCONTO]]</f>
        <v>3181.9016899999997</v>
      </c>
      <c r="L938" s="53">
        <f>Tabela6[[#This Row],[CUSTO TOTAL]]/Tabela6[[#This Row],[CONSUMO]]</f>
        <v>5.89</v>
      </c>
      <c r="M938" s="50">
        <f>Tabela6[[#This Row],[KM ATUAL]]-E884</f>
        <v>411534</v>
      </c>
      <c r="N938" s="51">
        <f>Tabela6[[#This Row],[KM Rodados ]]/Tabela6[[#This Row],[CONSUMO]]</f>
        <v>761.78823111282236</v>
      </c>
    </row>
    <row r="939" spans="1:14" x14ac:dyDescent="0.25">
      <c r="A939" s="47">
        <v>351321</v>
      </c>
      <c r="B939" s="78">
        <v>45036</v>
      </c>
      <c r="C939" s="47" t="s">
        <v>42</v>
      </c>
      <c r="D939" s="49" t="s">
        <v>253</v>
      </c>
      <c r="E939" s="47">
        <v>360723</v>
      </c>
      <c r="G939" s="50" t="s">
        <v>89</v>
      </c>
      <c r="H939" s="51">
        <v>24.1</v>
      </c>
      <c r="I939" s="49">
        <v>12.66</v>
      </c>
      <c r="J939" s="51">
        <v>6.09</v>
      </c>
      <c r="K939" s="52">
        <f>Tabela6[[#This Row],[CONSUMO]]*Tabela6[[#This Row],[VALOR UNIT]]-Tabela6[[#This Row],[DESCONTO]]</f>
        <v>134.10900000000001</v>
      </c>
      <c r="L939" s="53">
        <f>Tabela6[[#This Row],[CUSTO TOTAL]]/Tabela6[[#This Row],[CONSUMO]]</f>
        <v>5.5646887966804979</v>
      </c>
      <c r="M939" s="50">
        <f>Tabela6[[#This Row],[KM ATUAL]]-E881</f>
        <v>-518200</v>
      </c>
      <c r="N939" s="51">
        <f>Tabela6[[#This Row],[KM Rodados ]]/Tabela6[[#This Row],[CONSUMO]]</f>
        <v>-21502.074688796678</v>
      </c>
    </row>
    <row r="940" spans="1:14" x14ac:dyDescent="0.25">
      <c r="A940" s="47">
        <v>351302</v>
      </c>
      <c r="B940" s="78">
        <v>45036</v>
      </c>
      <c r="C940" s="47" t="s">
        <v>67</v>
      </c>
      <c r="D940" s="49" t="s">
        <v>253</v>
      </c>
      <c r="E940" s="47">
        <v>661026</v>
      </c>
      <c r="G940" s="50" t="s">
        <v>89</v>
      </c>
      <c r="H940" s="51">
        <v>161.97</v>
      </c>
      <c r="I940" s="49">
        <v>48.59</v>
      </c>
      <c r="J940" s="51">
        <v>6.09</v>
      </c>
      <c r="K940" s="51">
        <f>Tabela6[[#This Row],[CONSUMO]]*Tabela6[[#This Row],[VALOR UNIT]]-Tabela6[[#This Row],[DESCONTO]]</f>
        <v>937.80729999999994</v>
      </c>
      <c r="L940" s="53">
        <f>Tabela6[[#This Row],[CUSTO TOTAL]]/Tabela6[[#This Row],[CONSUMO]]</f>
        <v>5.7900061739828361</v>
      </c>
      <c r="M940" s="50">
        <f>Tabela6[[#This Row],[KM ATUAL]]-E878</f>
        <v>367468</v>
      </c>
      <c r="N940" s="51">
        <f>Tabela6[[#This Row],[KM Rodados ]]/Tabela6[[#This Row],[CONSUMO]]</f>
        <v>2268.7411248996727</v>
      </c>
    </row>
    <row r="941" spans="1:14" x14ac:dyDescent="0.25">
      <c r="A941" s="47" t="s">
        <v>314</v>
      </c>
      <c r="B941" s="78">
        <v>45036</v>
      </c>
      <c r="C941" s="47" t="s">
        <v>70</v>
      </c>
      <c r="D941" s="47"/>
      <c r="E941" s="47">
        <v>194722</v>
      </c>
      <c r="G941" s="50" t="s">
        <v>89</v>
      </c>
      <c r="H941" s="51">
        <v>612.52</v>
      </c>
      <c r="K941" s="52">
        <f>Tabela6[[#This Row],[CONSUMO]]*Tabela6[[#This Row],[VALOR UNIT]]-Tabela6[[#This Row],[DESCONTO]]</f>
        <v>0</v>
      </c>
      <c r="L941" s="53">
        <f>Tabela6[[#This Row],[CUSTO TOTAL]]/Tabela6[[#This Row],[CONSUMO]]</f>
        <v>0</v>
      </c>
      <c r="M941" s="50">
        <f>Tabela6[[#This Row],[KM ATUAL]]-E832</f>
        <v>-24058</v>
      </c>
      <c r="N941" s="51">
        <f>Tabela6[[#This Row],[KM Rodados ]]/Tabela6[[#This Row],[CONSUMO]]</f>
        <v>-39.277084829883108</v>
      </c>
    </row>
    <row r="942" spans="1:14" x14ac:dyDescent="0.25">
      <c r="A942" s="47">
        <v>535514</v>
      </c>
      <c r="B942" s="78">
        <v>45036</v>
      </c>
      <c r="C942" s="47" t="s">
        <v>70</v>
      </c>
      <c r="D942" s="47" t="s">
        <v>275</v>
      </c>
      <c r="E942" s="47">
        <v>196162</v>
      </c>
      <c r="G942" s="50" t="s">
        <v>89</v>
      </c>
      <c r="H942" s="51">
        <v>619.721</v>
      </c>
      <c r="J942" s="51">
        <v>5.79</v>
      </c>
      <c r="K942" s="51">
        <f>Tabela6[[#This Row],[CONSUMO]]*Tabela6[[#This Row],[VALOR UNIT]]-Tabela6[[#This Row],[DESCONTO]]</f>
        <v>3588.1845899999998</v>
      </c>
      <c r="L942" s="53">
        <f>Tabela6[[#This Row],[CUSTO TOTAL]]/Tabela6[[#This Row],[CONSUMO]]</f>
        <v>5.79</v>
      </c>
      <c r="M942" s="50">
        <f>Tabela6[[#This Row],[KM ATUAL]]-E940</f>
        <v>-464864</v>
      </c>
      <c r="N942" s="51">
        <f>Tabela6[[#This Row],[KM Rodados ]]/Tabela6[[#This Row],[CONSUMO]]</f>
        <v>-750.11819835054803</v>
      </c>
    </row>
    <row r="943" spans="1:14" x14ac:dyDescent="0.25">
      <c r="A943" s="47">
        <v>289693</v>
      </c>
      <c r="B943" s="78">
        <v>45036</v>
      </c>
      <c r="C943" s="47" t="s">
        <v>203</v>
      </c>
      <c r="D943" s="49" t="s">
        <v>276</v>
      </c>
      <c r="E943" s="47">
        <v>91679</v>
      </c>
      <c r="G943" s="50" t="s">
        <v>244</v>
      </c>
      <c r="H943" s="51">
        <v>36.091000000000001</v>
      </c>
      <c r="J943" s="51">
        <v>5.39</v>
      </c>
      <c r="K943" s="51">
        <f>Tabela6[[#This Row],[CONSUMO]]*Tabela6[[#This Row],[VALOR UNIT]]-Tabela6[[#This Row],[DESCONTO]]</f>
        <v>194.53048999999999</v>
      </c>
      <c r="L943" s="53">
        <f>Tabela6[[#This Row],[CUSTO TOTAL]]/Tabela6[[#This Row],[CONSUMO]]</f>
        <v>5.39</v>
      </c>
      <c r="M943" s="50">
        <f>Tabela6[[#This Row],[KM ATUAL]]-E920</f>
        <v>-293674</v>
      </c>
      <c r="N943" s="51">
        <f>Tabela6[[#This Row],[KM Rodados ]]/Tabela6[[#This Row],[CONSUMO]]</f>
        <v>-8137.0424759635362</v>
      </c>
    </row>
    <row r="944" spans="1:14" x14ac:dyDescent="0.25">
      <c r="A944" s="47" t="s">
        <v>314</v>
      </c>
      <c r="B944" s="78">
        <v>45036</v>
      </c>
      <c r="C944" s="119" t="s">
        <v>72</v>
      </c>
      <c r="D944" s="47"/>
      <c r="E944" s="119">
        <v>385736</v>
      </c>
      <c r="G944" s="50" t="s">
        <v>89</v>
      </c>
      <c r="H944" s="51">
        <v>45.6</v>
      </c>
      <c r="K944" s="52">
        <f>Tabela6[[#This Row],[CONSUMO]]*Tabela6[[#This Row],[VALOR UNIT]]-Tabela6[[#This Row],[DESCONTO]]</f>
        <v>0</v>
      </c>
      <c r="L944" s="53">
        <f>Tabela6[[#This Row],[CUSTO TOTAL]]/Tabela6[[#This Row],[CONSUMO]]</f>
        <v>0</v>
      </c>
      <c r="M944" s="50">
        <f>Tabela6[[#This Row],[KM ATUAL]]-E915</f>
        <v>294496</v>
      </c>
      <c r="N944" s="51">
        <f>Tabela6[[#This Row],[KM Rodados ]]/Tabela6[[#This Row],[CONSUMO]]</f>
        <v>6458.2456140350878</v>
      </c>
    </row>
    <row r="945" spans="1:14" x14ac:dyDescent="0.25">
      <c r="A945" s="47">
        <v>594307</v>
      </c>
      <c r="B945" s="78">
        <v>45036</v>
      </c>
      <c r="C945" s="119" t="s">
        <v>72</v>
      </c>
      <c r="D945" s="49" t="s">
        <v>271</v>
      </c>
      <c r="E945" s="119">
        <v>386119</v>
      </c>
      <c r="G945" s="50" t="s">
        <v>89</v>
      </c>
      <c r="H945" s="51">
        <v>47.722999999999999</v>
      </c>
      <c r="J945" s="51">
        <v>5.49</v>
      </c>
      <c r="K945" s="52">
        <f>Tabela6[[#This Row],[CONSUMO]]*Tabela6[[#This Row],[VALOR UNIT]]-Tabela6[[#This Row],[DESCONTO]]</f>
        <v>261.99927000000002</v>
      </c>
      <c r="L945" s="53">
        <f>Tabela6[[#This Row],[CUSTO TOTAL]]/Tabela6[[#This Row],[CONSUMO]]</f>
        <v>5.49</v>
      </c>
      <c r="M945" s="50">
        <f>Tabela6[[#This Row],[KM ATUAL]]-E944</f>
        <v>383</v>
      </c>
      <c r="N945" s="51">
        <f>Tabela6[[#This Row],[KM Rodados ]]/Tabela6[[#This Row],[CONSUMO]]</f>
        <v>8.0254803763384537</v>
      </c>
    </row>
    <row r="946" spans="1:14" x14ac:dyDescent="0.25">
      <c r="A946" s="47">
        <v>351655</v>
      </c>
      <c r="B946" s="78">
        <v>45036</v>
      </c>
      <c r="C946" s="47" t="s">
        <v>21</v>
      </c>
      <c r="D946" s="49" t="s">
        <v>253</v>
      </c>
      <c r="E946" s="47">
        <v>136676</v>
      </c>
      <c r="G946" s="50" t="s">
        <v>89</v>
      </c>
      <c r="H946" s="51">
        <v>174.2</v>
      </c>
      <c r="I946" s="49">
        <v>52.26</v>
      </c>
      <c r="J946" s="51">
        <v>6.09</v>
      </c>
      <c r="K946" s="52">
        <f>Tabela6[[#This Row],[CONSUMO]]*Tabela6[[#This Row],[VALOR UNIT]]-Tabela6[[#This Row],[DESCONTO]]</f>
        <v>1008.6179999999999</v>
      </c>
      <c r="L946" s="53">
        <f>Tabela6[[#This Row],[CUSTO TOTAL]]/Tabela6[[#This Row],[CONSUMO]]</f>
        <v>5.79</v>
      </c>
      <c r="M946" s="50">
        <f>Tabela6[[#This Row],[KM ATUAL]]-E943</f>
        <v>44997</v>
      </c>
      <c r="N946" s="51">
        <f>Tabela6[[#This Row],[KM Rodados ]]/Tabela6[[#This Row],[CONSUMO]]</f>
        <v>258.30654420206662</v>
      </c>
    </row>
    <row r="947" spans="1:14" x14ac:dyDescent="0.25">
      <c r="A947" s="47">
        <v>175572</v>
      </c>
      <c r="B947" s="78">
        <v>45036</v>
      </c>
      <c r="C947" s="47" t="s">
        <v>10</v>
      </c>
      <c r="D947" s="49" t="s">
        <v>262</v>
      </c>
      <c r="E947" s="47">
        <v>710648</v>
      </c>
      <c r="G947" s="50" t="s">
        <v>89</v>
      </c>
      <c r="H947" s="51">
        <v>150.26</v>
      </c>
      <c r="J947" s="51">
        <v>5.89</v>
      </c>
      <c r="K947" s="51">
        <f>Tabela6[[#This Row],[CONSUMO]]*Tabela6[[#This Row],[VALOR UNIT]]-Tabela6[[#This Row],[DESCONTO]]</f>
        <v>885.03139999999985</v>
      </c>
      <c r="L947" s="53">
        <f>Tabela6[[#This Row],[CUSTO TOTAL]]/Tabela6[[#This Row],[CONSUMO]]</f>
        <v>5.89</v>
      </c>
      <c r="M947" s="50">
        <f>Tabela6[[#This Row],[KM ATUAL]]-E767</f>
        <v>407601</v>
      </c>
      <c r="N947" s="51">
        <f>Tabela6[[#This Row],[KM Rodados ]]/Tabela6[[#This Row],[CONSUMO]]</f>
        <v>2712.6380939704513</v>
      </c>
    </row>
    <row r="948" spans="1:14" x14ac:dyDescent="0.25">
      <c r="A948" s="47">
        <v>351385</v>
      </c>
      <c r="B948" s="78">
        <v>45036</v>
      </c>
      <c r="C948" s="47" t="s">
        <v>11</v>
      </c>
      <c r="D948" s="49" t="s">
        <v>253</v>
      </c>
      <c r="E948" s="47">
        <v>390263</v>
      </c>
      <c r="G948" s="50" t="s">
        <v>89</v>
      </c>
      <c r="H948" s="51">
        <v>96.52</v>
      </c>
      <c r="I948" s="49">
        <v>28.96</v>
      </c>
      <c r="J948" s="51">
        <v>6.09</v>
      </c>
      <c r="K948" s="51">
        <f>Tabela6[[#This Row],[CONSUMO]]*Tabela6[[#This Row],[VALOR UNIT]]-Tabela6[[#This Row],[DESCONTO]]</f>
        <v>558.84679999999992</v>
      </c>
      <c r="L948" s="53">
        <f>Tabela6[[#This Row],[CUSTO TOTAL]]/Tabela6[[#This Row],[CONSUMO]]</f>
        <v>5.7899585578118522</v>
      </c>
      <c r="M948" s="50">
        <f>Tabela6[[#This Row],[KM ATUAL]]-E852</f>
        <v>594</v>
      </c>
      <c r="N948" s="51">
        <f>Tabela6[[#This Row],[KM Rodados ]]/Tabela6[[#This Row],[CONSUMO]]</f>
        <v>6.1541649399088278</v>
      </c>
    </row>
    <row r="949" spans="1:14" x14ac:dyDescent="0.25">
      <c r="A949" s="47">
        <v>235415</v>
      </c>
      <c r="B949" s="78">
        <v>45036</v>
      </c>
      <c r="C949" s="47" t="s">
        <v>13</v>
      </c>
      <c r="D949" s="47" t="s">
        <v>272</v>
      </c>
      <c r="E949" s="47">
        <v>613349</v>
      </c>
      <c r="G949" s="50" t="s">
        <v>241</v>
      </c>
      <c r="H949" s="51">
        <v>23.53</v>
      </c>
      <c r="J949" s="51">
        <v>2.89</v>
      </c>
      <c r="K949" s="51">
        <f>Tabela6[[#This Row],[CONSUMO]]*Tabela6[[#This Row],[VALOR UNIT]]-Tabela6[[#This Row],[DESCONTO]]</f>
        <v>68.0017</v>
      </c>
      <c r="L949" s="53">
        <f>Tabela6[[#This Row],[CUSTO TOTAL]]/Tabela6[[#This Row],[CONSUMO]]</f>
        <v>2.8899999999999997</v>
      </c>
      <c r="M949" s="50"/>
      <c r="N949"/>
    </row>
    <row r="950" spans="1:14" x14ac:dyDescent="0.25">
      <c r="A950" s="47">
        <v>235414</v>
      </c>
      <c r="B950" s="78">
        <v>45036</v>
      </c>
      <c r="C950" s="47" t="s">
        <v>13</v>
      </c>
      <c r="D950" s="47" t="s">
        <v>272</v>
      </c>
      <c r="E950" s="47">
        <v>613349</v>
      </c>
      <c r="G950" s="50" t="s">
        <v>89</v>
      </c>
      <c r="H950" s="51">
        <v>96.471999999999994</v>
      </c>
      <c r="J950" s="51">
        <v>5.34</v>
      </c>
      <c r="K950" s="51">
        <f>Tabela6[[#This Row],[CONSUMO]]*Tabela6[[#This Row],[VALOR UNIT]]-Tabela6[[#This Row],[DESCONTO]]</f>
        <v>515.16048000000001</v>
      </c>
      <c r="L950" s="53">
        <f>Tabela6[[#This Row],[CUSTO TOTAL]]/Tabela6[[#This Row],[CONSUMO]]</f>
        <v>5.3400000000000007</v>
      </c>
      <c r="M950" s="50">
        <f>Tabela6[[#This Row],[KM ATUAL]]-E927</f>
        <v>435</v>
      </c>
      <c r="N950" s="51">
        <f>Tabela6[[#This Row],[KM Rodados ]]/Tabela6[[#This Row],[CONSUMO]]</f>
        <v>4.5090803549216352</v>
      </c>
    </row>
    <row r="951" spans="1:14" x14ac:dyDescent="0.25">
      <c r="A951" s="47" t="s">
        <v>314</v>
      </c>
      <c r="B951" s="78">
        <v>45036</v>
      </c>
      <c r="C951" s="47" t="s">
        <v>18</v>
      </c>
      <c r="E951" s="47">
        <v>306201</v>
      </c>
      <c r="G951" s="50" t="s">
        <v>89</v>
      </c>
      <c r="H951" s="51">
        <v>101.54</v>
      </c>
      <c r="K951" s="52">
        <f>Tabela6[[#This Row],[CONSUMO]]*Tabela6[[#This Row],[VALOR UNIT]]-Tabela6[[#This Row],[DESCONTO]]</f>
        <v>0</v>
      </c>
      <c r="L951" s="53">
        <f>Tabela6[[#This Row],[CUSTO TOTAL]]/Tabela6[[#This Row],[CONSUMO]]</f>
        <v>0</v>
      </c>
      <c r="M951" s="50">
        <f>Tabela6[[#This Row],[KM ATUAL]]-E857</f>
        <v>-54199</v>
      </c>
      <c r="N951" s="51">
        <f>Tabela6[[#This Row],[KM Rodados ]]/Tabela6[[#This Row],[CONSUMO]]</f>
        <v>-533.76994287965329</v>
      </c>
    </row>
    <row r="952" spans="1:14" x14ac:dyDescent="0.25">
      <c r="A952" s="47">
        <v>528295</v>
      </c>
      <c r="B952" s="78">
        <v>45036</v>
      </c>
      <c r="C952" s="47" t="s">
        <v>38</v>
      </c>
      <c r="D952" s="49" t="s">
        <v>255</v>
      </c>
      <c r="E952" s="47">
        <v>128027</v>
      </c>
      <c r="G952" s="50" t="s">
        <v>244</v>
      </c>
      <c r="H952" s="51">
        <v>52.290999999999997</v>
      </c>
      <c r="J952" s="51">
        <v>5.64</v>
      </c>
      <c r="K952" s="51">
        <f>Tabela6[[#This Row],[CONSUMO]]*Tabela6[[#This Row],[VALOR UNIT]]-Tabela6[[#This Row],[DESCONTO]]</f>
        <v>294.92123999999995</v>
      </c>
      <c r="L952" s="53">
        <f>Tabela6[[#This Row],[CUSTO TOTAL]]/Tabela6[[#This Row],[CONSUMO]]</f>
        <v>5.64</v>
      </c>
      <c r="M952" s="50">
        <f>Tabela6[[#This Row],[KM ATUAL]]-E866</f>
        <v>81449</v>
      </c>
      <c r="N952" s="51">
        <f>Tabela6[[#This Row],[KM Rodados ]]/Tabela6[[#This Row],[CONSUMO]]</f>
        <v>1557.6102962268842</v>
      </c>
    </row>
    <row r="953" spans="1:14" x14ac:dyDescent="0.25">
      <c r="A953" s="47" t="s">
        <v>314</v>
      </c>
      <c r="B953" s="78">
        <v>45036</v>
      </c>
      <c r="C953" s="47" t="s">
        <v>40</v>
      </c>
      <c r="E953" s="47">
        <v>136881</v>
      </c>
      <c r="G953" s="50" t="s">
        <v>244</v>
      </c>
      <c r="H953" s="51">
        <v>41.96</v>
      </c>
      <c r="K953" s="52">
        <f>Tabela6[[#This Row],[CONSUMO]]*Tabela6[[#This Row],[VALOR UNIT]]-Tabela6[[#This Row],[DESCONTO]]</f>
        <v>0</v>
      </c>
      <c r="L953" s="53">
        <f>Tabela6[[#This Row],[CUSTO TOTAL]]/Tabela6[[#This Row],[CONSUMO]]</f>
        <v>0</v>
      </c>
      <c r="M953" s="50">
        <f>Tabela6[[#This Row],[KM ATUAL]]-E952</f>
        <v>8854</v>
      </c>
      <c r="N953" s="51">
        <f>Tabela6[[#This Row],[KM Rodados ]]/Tabela6[[#This Row],[CONSUMO]]</f>
        <v>211.01048617731172</v>
      </c>
    </row>
    <row r="954" spans="1:14" x14ac:dyDescent="0.25">
      <c r="A954" s="47">
        <v>270032</v>
      </c>
      <c r="B954" s="78">
        <v>45037</v>
      </c>
      <c r="C954" s="47" t="s">
        <v>22</v>
      </c>
      <c r="D954" s="49" t="s">
        <v>270</v>
      </c>
      <c r="E954" s="47">
        <v>322448</v>
      </c>
      <c r="G954" s="50" t="s">
        <v>89</v>
      </c>
      <c r="H954" s="51">
        <v>159.22</v>
      </c>
      <c r="J954" s="51">
        <v>5.59</v>
      </c>
      <c r="K954" s="74">
        <f>Tabela6[[#This Row],[CONSUMO]]*Tabela6[[#This Row],[VALOR UNIT]]-Tabela6[[#This Row],[DESCONTO]]</f>
        <v>890.03980000000001</v>
      </c>
      <c r="L954" s="53">
        <f>Tabela6[[#This Row],[CUSTO TOTAL]]/Tabela6[[#This Row],[CONSUMO]]</f>
        <v>5.59</v>
      </c>
      <c r="M954" s="50">
        <f>Tabela6[[#This Row],[KM ATUAL]]-E885</f>
        <v>-338047</v>
      </c>
      <c r="N954" s="51">
        <f>Tabela6[[#This Row],[KM Rodados ]]/Tabela6[[#This Row],[CONSUMO]]</f>
        <v>-2123.1440773772138</v>
      </c>
    </row>
    <row r="955" spans="1:14" x14ac:dyDescent="0.25">
      <c r="A955" s="47">
        <v>289944</v>
      </c>
      <c r="B955" s="78">
        <v>45037</v>
      </c>
      <c r="C955" s="47" t="s">
        <v>203</v>
      </c>
      <c r="D955" s="49" t="s">
        <v>276</v>
      </c>
      <c r="E955" s="47">
        <v>92019</v>
      </c>
      <c r="G955" s="50" t="s">
        <v>244</v>
      </c>
      <c r="H955" s="51">
        <v>27.649000000000001</v>
      </c>
      <c r="J955" s="51">
        <v>5.39</v>
      </c>
      <c r="K955" s="51">
        <f>Tabela6[[#This Row],[CONSUMO]]*Tabela6[[#This Row],[VALOR UNIT]]-Tabela6[[#This Row],[DESCONTO]]</f>
        <v>149.02811</v>
      </c>
      <c r="L955" s="53">
        <f>Tabela6[[#This Row],[CUSTO TOTAL]]/Tabela6[[#This Row],[CONSUMO]]</f>
        <v>5.39</v>
      </c>
      <c r="M955" s="50">
        <f>Tabela6[[#This Row],[KM ATUAL]]-E940</f>
        <v>-569007</v>
      </c>
      <c r="N955" s="51">
        <f>Tabela6[[#This Row],[KM Rodados ]]/Tabela6[[#This Row],[CONSUMO]]</f>
        <v>-20579.659300517196</v>
      </c>
    </row>
    <row r="956" spans="1:14" x14ac:dyDescent="0.25">
      <c r="A956" s="47">
        <v>768471</v>
      </c>
      <c r="B956" s="78">
        <v>45037</v>
      </c>
      <c r="C956" s="47" t="s">
        <v>73</v>
      </c>
      <c r="D956" s="49" t="s">
        <v>252</v>
      </c>
      <c r="E956" s="47">
        <v>116839</v>
      </c>
      <c r="G956" s="50" t="s">
        <v>241</v>
      </c>
      <c r="H956" s="51">
        <v>17</v>
      </c>
      <c r="J956" s="51">
        <v>3.79</v>
      </c>
      <c r="K956" s="51">
        <f>Tabela6[[#This Row],[CONSUMO]]*Tabela6[[#This Row],[VALOR UNIT]]-Tabela6[[#This Row],[DESCONTO]]</f>
        <v>64.430000000000007</v>
      </c>
      <c r="L956" s="53">
        <f>Tabela6[[#This Row],[CUSTO TOTAL]]/Tabela6[[#This Row],[CONSUMO]]</f>
        <v>3.7900000000000005</v>
      </c>
      <c r="M956" s="50"/>
      <c r="N956"/>
    </row>
    <row r="957" spans="1:14" x14ac:dyDescent="0.25">
      <c r="A957" s="47">
        <v>768471</v>
      </c>
      <c r="B957" s="78">
        <v>45037</v>
      </c>
      <c r="C957" s="47" t="s">
        <v>73</v>
      </c>
      <c r="D957" s="49" t="s">
        <v>252</v>
      </c>
      <c r="E957" s="47">
        <v>116839</v>
      </c>
      <c r="G957" s="50" t="s">
        <v>89</v>
      </c>
      <c r="H957" s="51">
        <v>181</v>
      </c>
      <c r="I957" s="49">
        <v>51.94</v>
      </c>
      <c r="J957" s="51">
        <v>5.49</v>
      </c>
      <c r="K957" s="51">
        <f>Tabela6[[#This Row],[CONSUMO]]*Tabela6[[#This Row],[VALOR UNIT]]-Tabela6[[#This Row],[DESCONTO]]</f>
        <v>941.75</v>
      </c>
      <c r="L957" s="53">
        <f>Tabela6[[#This Row],[CUSTO TOTAL]]/Tabela6[[#This Row],[CONSUMO]]</f>
        <v>5.2030386740331496</v>
      </c>
      <c r="M957" s="50">
        <f>Tabela6[[#This Row],[KM ATUAL]]-E935</f>
        <v>-228848</v>
      </c>
      <c r="N957" s="51">
        <f>Tabela6[[#This Row],[KM Rodados ]]/Tabela6[[#This Row],[CONSUMO]]</f>
        <v>-1264.353591160221</v>
      </c>
    </row>
    <row r="958" spans="1:14" x14ac:dyDescent="0.25">
      <c r="A958" s="47" t="s">
        <v>314</v>
      </c>
      <c r="B958" s="78">
        <v>45037</v>
      </c>
      <c r="C958" s="47" t="s">
        <v>206</v>
      </c>
      <c r="E958" s="47">
        <v>933144</v>
      </c>
      <c r="G958" s="50" t="s">
        <v>89</v>
      </c>
      <c r="H958" s="51">
        <v>415</v>
      </c>
      <c r="K958" s="52">
        <f>Tabela6[[#This Row],[CONSUMO]]*Tabela6[[#This Row],[VALOR UNIT]]-Tabela6[[#This Row],[DESCONTO]]</f>
        <v>0</v>
      </c>
      <c r="L958" s="53">
        <f>Tabela6[[#This Row],[CUSTO TOTAL]]/Tabela6[[#This Row],[CONSUMO]]</f>
        <v>0</v>
      </c>
      <c r="M958" s="50">
        <f>Tabela6[[#This Row],[KM ATUAL]]-E917</f>
        <v>549262</v>
      </c>
      <c r="N958" s="72">
        <f>Tabela6[[#This Row],[KM Rodados ]]/Tabela6[[#This Row],[CONSUMO]]</f>
        <v>1323.5228915662651</v>
      </c>
    </row>
    <row r="959" spans="1:14" x14ac:dyDescent="0.25">
      <c r="A959" s="47">
        <v>175954</v>
      </c>
      <c r="B959" s="78">
        <v>45037</v>
      </c>
      <c r="C959" s="47" t="s">
        <v>20</v>
      </c>
      <c r="D959" s="49" t="s">
        <v>262</v>
      </c>
      <c r="E959" s="47">
        <v>244700</v>
      </c>
      <c r="G959" s="50" t="s">
        <v>89</v>
      </c>
      <c r="H959" s="51">
        <v>61.969000000000001</v>
      </c>
      <c r="J959" s="51">
        <v>5.89</v>
      </c>
      <c r="K959" s="51">
        <f>Tabela6[[#This Row],[CONSUMO]]*Tabela6[[#This Row],[VALOR UNIT]]-Tabela6[[#This Row],[DESCONTO]]</f>
        <v>364.99741</v>
      </c>
      <c r="L959" s="53">
        <f>Tabela6[[#This Row],[CUSTO TOTAL]]/Tabela6[[#This Row],[CONSUMO]]</f>
        <v>5.89</v>
      </c>
      <c r="M959" s="50">
        <f>Tabela6[[#This Row],[KM ATUAL]]-E934</f>
        <v>-100189</v>
      </c>
      <c r="N959" s="51">
        <f>Tabela6[[#This Row],[KM Rodados ]]/Tabela6[[#This Row],[CONSUMO]]</f>
        <v>-1616.7599928996756</v>
      </c>
    </row>
    <row r="960" spans="1:14" x14ac:dyDescent="0.25">
      <c r="A960" s="47" t="s">
        <v>314</v>
      </c>
      <c r="B960" s="78">
        <v>45037</v>
      </c>
      <c r="C960" s="47" t="s">
        <v>74</v>
      </c>
      <c r="E960" s="47">
        <v>48321</v>
      </c>
      <c r="G960" s="50" t="s">
        <v>89</v>
      </c>
      <c r="H960" s="51">
        <v>41.36</v>
      </c>
      <c r="K960" s="52">
        <f>Tabela6[[#This Row],[CONSUMO]]*Tabela6[[#This Row],[VALOR UNIT]]-Tabela6[[#This Row],[DESCONTO]]</f>
        <v>0</v>
      </c>
      <c r="L960" s="53">
        <f>Tabela6[[#This Row],[CUSTO TOTAL]]/Tabela6[[#This Row],[CONSUMO]]</f>
        <v>0</v>
      </c>
      <c r="M960" s="50">
        <f>Tabela6[[#This Row],[KM ATUAL]]-E910</f>
        <v>-195035</v>
      </c>
      <c r="N960" s="51">
        <f>Tabela6[[#This Row],[KM Rodados ]]/Tabela6[[#This Row],[CONSUMO]]</f>
        <v>-4715.5464216634427</v>
      </c>
    </row>
    <row r="961" spans="1:14" x14ac:dyDescent="0.25">
      <c r="A961" s="47" t="s">
        <v>314</v>
      </c>
      <c r="B961" s="78">
        <v>45038</v>
      </c>
      <c r="C961" s="47" t="s">
        <v>16</v>
      </c>
      <c r="E961" s="47">
        <v>294128</v>
      </c>
      <c r="G961" s="50" t="s">
        <v>89</v>
      </c>
      <c r="H961" s="51">
        <v>102.5</v>
      </c>
      <c r="K961" s="52">
        <f>Tabela6[[#This Row],[CONSUMO]]*Tabela6[[#This Row],[VALOR UNIT]]-Tabela6[[#This Row],[DESCONTO]]</f>
        <v>0</v>
      </c>
      <c r="L961" s="53">
        <f>Tabela6[[#This Row],[CUSTO TOTAL]]/Tabela6[[#This Row],[CONSUMO]]</f>
        <v>0</v>
      </c>
      <c r="M961" s="50">
        <f>Tabela6[[#This Row],[KM ATUAL]]-E875</f>
        <v>246855</v>
      </c>
      <c r="N961" s="51">
        <f>Tabela6[[#This Row],[KM Rodados ]]/Tabela6[[#This Row],[CONSUMO]]</f>
        <v>2408.3414634146343</v>
      </c>
    </row>
    <row r="962" spans="1:14" x14ac:dyDescent="0.25">
      <c r="A962" s="47" t="s">
        <v>314</v>
      </c>
      <c r="B962" s="78">
        <v>45038</v>
      </c>
      <c r="C962" s="47" t="s">
        <v>18</v>
      </c>
      <c r="E962" s="47">
        <v>306989</v>
      </c>
      <c r="G962" s="50" t="s">
        <v>89</v>
      </c>
      <c r="H962" s="51">
        <v>103.3</v>
      </c>
      <c r="K962" s="52">
        <f>Tabela6[[#This Row],[CONSUMO]]*Tabela6[[#This Row],[VALOR UNIT]]-Tabela6[[#This Row],[DESCONTO]]</f>
        <v>0</v>
      </c>
      <c r="L962" s="53">
        <f>Tabela6[[#This Row],[CUSTO TOTAL]]/Tabela6[[#This Row],[CONSUMO]]</f>
        <v>0</v>
      </c>
      <c r="M962" s="50">
        <f>Tabela6[[#This Row],[KM ATUAL]]-E950</f>
        <v>-306360</v>
      </c>
      <c r="N962" s="51">
        <f>Tabela6[[#This Row],[KM Rodados ]]/Tabela6[[#This Row],[CONSUMO]]</f>
        <v>-2965.7308809293322</v>
      </c>
    </row>
    <row r="963" spans="1:14" x14ac:dyDescent="0.25">
      <c r="A963" s="47">
        <v>538810</v>
      </c>
      <c r="B963" s="78">
        <v>45039</v>
      </c>
      <c r="C963" s="47" t="s">
        <v>70</v>
      </c>
      <c r="D963" s="47" t="s">
        <v>275</v>
      </c>
      <c r="E963" s="47">
        <v>197538</v>
      </c>
      <c r="G963" s="50" t="s">
        <v>241</v>
      </c>
      <c r="H963" s="51">
        <v>63</v>
      </c>
      <c r="J963" s="51">
        <v>3.79</v>
      </c>
      <c r="K963" s="51">
        <f>Tabela6[[#This Row],[CONSUMO]]*Tabela6[[#This Row],[VALOR UNIT]]-Tabela6[[#This Row],[DESCONTO]]</f>
        <v>238.77</v>
      </c>
      <c r="L963" s="53">
        <f>Tabela6[[#This Row],[CUSTO TOTAL]]/Tabela6[[#This Row],[CONSUMO]]</f>
        <v>3.79</v>
      </c>
      <c r="M963" s="50"/>
      <c r="N963"/>
    </row>
    <row r="964" spans="1:14" x14ac:dyDescent="0.25">
      <c r="A964" s="47">
        <v>538810</v>
      </c>
      <c r="B964" s="78">
        <v>45039</v>
      </c>
      <c r="C964" s="47" t="s">
        <v>70</v>
      </c>
      <c r="D964" s="47" t="s">
        <v>275</v>
      </c>
      <c r="E964" s="47">
        <v>197538</v>
      </c>
      <c r="G964" s="50" t="s">
        <v>89</v>
      </c>
      <c r="H964" s="51">
        <v>675.25</v>
      </c>
      <c r="J964" s="51">
        <v>5.69</v>
      </c>
      <c r="K964" s="51">
        <f>Tabela6[[#This Row],[CONSUMO]]*Tabela6[[#This Row],[VALOR UNIT]]-Tabela6[[#This Row],[DESCONTO]]</f>
        <v>3842.1725000000001</v>
      </c>
      <c r="L964" s="53">
        <f>Tabela6[[#This Row],[CUSTO TOTAL]]/Tabela6[[#This Row],[CONSUMO]]</f>
        <v>5.69</v>
      </c>
      <c r="M964" s="50">
        <f>Tabela6[[#This Row],[KM ATUAL]]-E944</f>
        <v>-188198</v>
      </c>
      <c r="N964" s="51">
        <f>Tabela6[[#This Row],[KM Rodados ]]/Tabela6[[#This Row],[CONSUMO]]</f>
        <v>-278.70862643465381</v>
      </c>
    </row>
    <row r="965" spans="1:14" x14ac:dyDescent="0.25">
      <c r="A965" s="47">
        <v>246166</v>
      </c>
      <c r="B965" s="78">
        <v>45040</v>
      </c>
      <c r="C965" s="47" t="s">
        <v>43</v>
      </c>
      <c r="D965" s="49" t="s">
        <v>263</v>
      </c>
      <c r="E965" s="47">
        <v>118426</v>
      </c>
      <c r="G965" s="50" t="s">
        <v>89</v>
      </c>
      <c r="H965" s="51">
        <v>38.700000000000003</v>
      </c>
      <c r="I965" s="49">
        <v>3.87</v>
      </c>
      <c r="J965" s="51">
        <v>5.53</v>
      </c>
      <c r="K965" s="51">
        <f>Tabela6[[#This Row],[CONSUMO]]*Tabela6[[#This Row],[VALOR UNIT]]-Tabela6[[#This Row],[DESCONTO]]</f>
        <v>210.14100000000002</v>
      </c>
      <c r="L965" s="53">
        <f>Tabela6[[#This Row],[CUSTO TOTAL]]/Tabela6[[#This Row],[CONSUMO]]</f>
        <v>5.43</v>
      </c>
      <c r="M965" s="50">
        <f>Tabela6[[#This Row],[KM ATUAL]]-E889</f>
        <v>-493875</v>
      </c>
      <c r="N965" s="72">
        <f>Tabela6[[#This Row],[KM Rodados ]]/Tabela6[[#This Row],[CONSUMO]]</f>
        <v>-12761.627906976742</v>
      </c>
    </row>
    <row r="966" spans="1:14" x14ac:dyDescent="0.25">
      <c r="A966" s="47">
        <v>354399</v>
      </c>
      <c r="B966" s="78">
        <v>45040</v>
      </c>
      <c r="C966" s="47" t="s">
        <v>9</v>
      </c>
      <c r="D966" s="47" t="s">
        <v>253</v>
      </c>
      <c r="E966" s="47">
        <v>598465</v>
      </c>
      <c r="G966" s="50" t="s">
        <v>89</v>
      </c>
      <c r="H966" s="51">
        <v>165.44</v>
      </c>
      <c r="I966" s="49">
        <v>49.63</v>
      </c>
      <c r="J966" s="51">
        <v>6.09</v>
      </c>
      <c r="K966" s="51">
        <f>Tabela6[[#This Row],[CONSUMO]]*Tabela6[[#This Row],[VALOR UNIT]]-Tabela6[[#This Row],[DESCONTO]]</f>
        <v>957.89959999999996</v>
      </c>
      <c r="L966" s="53">
        <f>Tabela6[[#This Row],[CUSTO TOTAL]]/Tabela6[[#This Row],[CONSUMO]]</f>
        <v>5.790012088974855</v>
      </c>
      <c r="M966" s="50">
        <f>Tabela6[[#This Row],[KM ATUAL]]-E893</f>
        <v>661</v>
      </c>
      <c r="N966" s="51">
        <f>Tabela6[[#This Row],[KM Rodados ]]/Tabela6[[#This Row],[CONSUMO]]</f>
        <v>3.9954061895551258</v>
      </c>
    </row>
    <row r="967" spans="1:14" x14ac:dyDescent="0.25">
      <c r="A967" s="47">
        <v>270650</v>
      </c>
      <c r="B967" s="78">
        <v>45040</v>
      </c>
      <c r="C967" s="47" t="s">
        <v>222</v>
      </c>
      <c r="D967" s="49" t="s">
        <v>270</v>
      </c>
      <c r="E967" s="47">
        <v>469483</v>
      </c>
      <c r="G967" s="50" t="s">
        <v>241</v>
      </c>
      <c r="H967" s="51">
        <v>40.729999999999997</v>
      </c>
      <c r="J967" s="51">
        <v>3.69</v>
      </c>
      <c r="K967" s="51">
        <f>Tabela6[[#This Row],[CONSUMO]]*Tabela6[[#This Row],[VALOR UNIT]]-Tabela6[[#This Row],[DESCONTO]]</f>
        <v>150.29369999999997</v>
      </c>
      <c r="L967" s="53">
        <f>Tabela6[[#This Row],[CUSTO TOTAL]]/Tabela6[[#This Row],[CONSUMO]]</f>
        <v>3.6899999999999995</v>
      </c>
      <c r="M967" s="50"/>
      <c r="N967"/>
    </row>
    <row r="968" spans="1:14" x14ac:dyDescent="0.25">
      <c r="A968" s="47">
        <v>270650</v>
      </c>
      <c r="B968" s="78">
        <v>45040</v>
      </c>
      <c r="C968" s="47" t="s">
        <v>222</v>
      </c>
      <c r="D968" s="49" t="s">
        <v>270</v>
      </c>
      <c r="E968" s="47">
        <v>469483</v>
      </c>
      <c r="G968" s="50" t="s">
        <v>89</v>
      </c>
      <c r="H968" s="51">
        <v>377.41</v>
      </c>
      <c r="J968" s="51">
        <v>5.5368000000000004</v>
      </c>
      <c r="K968" s="51">
        <f>Tabela6[[#This Row],[CONSUMO]]*Tabela6[[#This Row],[VALOR UNIT]]-Tabela6[[#This Row],[DESCONTO]]</f>
        <v>2089.6436880000001</v>
      </c>
      <c r="L968" s="53">
        <f>Tabela6[[#This Row],[CUSTO TOTAL]]/Tabela6[[#This Row],[CONSUMO]]</f>
        <v>5.5367999999999995</v>
      </c>
      <c r="M968" s="50">
        <f>Tabela6[[#This Row],[KM ATUAL]]-E885</f>
        <v>-191012</v>
      </c>
      <c r="N968" s="51">
        <f>Tabela6[[#This Row],[KM Rodados ]]/Tabela6[[#This Row],[CONSUMO]]</f>
        <v>-506.11271561431863</v>
      </c>
    </row>
    <row r="969" spans="1:14" x14ac:dyDescent="0.25">
      <c r="A969" s="47">
        <v>354450</v>
      </c>
      <c r="B969" s="54">
        <v>45040</v>
      </c>
      <c r="C969" s="47" t="s">
        <v>215</v>
      </c>
      <c r="D969" s="49" t="s">
        <v>253</v>
      </c>
      <c r="E969" s="47">
        <v>222229</v>
      </c>
      <c r="G969" s="50" t="s">
        <v>244</v>
      </c>
      <c r="H969" s="51">
        <v>39.67</v>
      </c>
      <c r="J969" s="51">
        <v>5.57</v>
      </c>
      <c r="K969" s="51">
        <f>Tabela6[[#This Row],[CONSUMO]]*Tabela6[[#This Row],[VALOR UNIT]]-Tabela6[[#This Row],[DESCONTO]]</f>
        <v>220.96190000000001</v>
      </c>
      <c r="L969" s="53">
        <f>Tabela6[[#This Row],[CUSTO TOTAL]]/Tabela6[[#This Row],[CONSUMO]]</f>
        <v>5.57</v>
      </c>
      <c r="M969" s="50">
        <f>Tabela6[[#This Row],[KM ATUAL]]-E968</f>
        <v>-247254</v>
      </c>
      <c r="N969" s="51">
        <f>Tabela6[[#This Row],[KM Rodados ]]/H864</f>
        <v>-4024.31640625</v>
      </c>
    </row>
    <row r="970" spans="1:14" x14ac:dyDescent="0.25">
      <c r="A970" s="47">
        <v>354337</v>
      </c>
      <c r="B970" s="78">
        <v>45040</v>
      </c>
      <c r="C970" s="47" t="s">
        <v>72</v>
      </c>
      <c r="D970" s="49" t="s">
        <v>253</v>
      </c>
      <c r="E970" s="47">
        <v>386414</v>
      </c>
      <c r="G970" s="50" t="s">
        <v>89</v>
      </c>
      <c r="H970" s="51">
        <v>37.83</v>
      </c>
      <c r="I970" s="49">
        <v>11.35</v>
      </c>
      <c r="J970" s="51">
        <v>6.09</v>
      </c>
      <c r="K970" s="51">
        <f>Tabela6[[#This Row],[CONSUMO]]*Tabela6[[#This Row],[VALOR UNIT]]-Tabela6[[#This Row],[DESCONTO]]</f>
        <v>219.03469999999999</v>
      </c>
      <c r="L970" s="53">
        <f>Tabela6[[#This Row],[CUSTO TOTAL]]/Tabela6[[#This Row],[CONSUMO]]</f>
        <v>5.7899735659529474</v>
      </c>
      <c r="M970" s="50">
        <f>Tabela6[[#This Row],[KM ATUAL]]-E950</f>
        <v>-226935</v>
      </c>
      <c r="N970" s="51">
        <f>Tabela6[[#This Row],[KM Rodados ]]/Tabela6[[#This Row],[CONSUMO]]</f>
        <v>-5998.810467882633</v>
      </c>
    </row>
    <row r="971" spans="1:14" x14ac:dyDescent="0.25">
      <c r="A971" s="47" t="s">
        <v>314</v>
      </c>
      <c r="B971" s="78">
        <v>45040</v>
      </c>
      <c r="C971" s="47" t="s">
        <v>73</v>
      </c>
      <c r="D971" s="47"/>
      <c r="E971" s="47">
        <v>117195</v>
      </c>
      <c r="G971" s="50" t="s">
        <v>89</v>
      </c>
      <c r="H971" s="51">
        <v>103.6</v>
      </c>
      <c r="K971" s="52">
        <f>Tabela6[[#This Row],[CONSUMO]]*Tabela6[[#This Row],[VALOR UNIT]]-Tabela6[[#This Row],[DESCONTO]]</f>
        <v>0</v>
      </c>
      <c r="L971" s="53">
        <f>Tabela6[[#This Row],[CUSTO TOTAL]]/Tabela6[[#This Row],[CONSUMO]]</f>
        <v>0</v>
      </c>
      <c r="M971" s="50">
        <f>Tabela6[[#This Row],[KM ATUAL]]-E954</f>
        <v>-205253</v>
      </c>
      <c r="N971" s="51">
        <f>Tabela6[[#This Row],[KM Rodados ]]/Tabela6[[#This Row],[CONSUMO]]</f>
        <v>-1981.2065637065639</v>
      </c>
    </row>
    <row r="972" spans="1:14" x14ac:dyDescent="0.25">
      <c r="A972" s="47">
        <v>176626</v>
      </c>
      <c r="B972" s="78">
        <v>45040</v>
      </c>
      <c r="C972" s="47" t="s">
        <v>73</v>
      </c>
      <c r="D972" s="49" t="s">
        <v>262</v>
      </c>
      <c r="E972" s="47">
        <v>117551</v>
      </c>
      <c r="G972" s="50" t="s">
        <v>89</v>
      </c>
      <c r="H972" s="51">
        <v>100.01</v>
      </c>
      <c r="J972" s="51">
        <v>5.89</v>
      </c>
      <c r="K972" s="51">
        <f>Tabela6[[#This Row],[CONSUMO]]*Tabela6[[#This Row],[VALOR UNIT]]-Tabela6[[#This Row],[DESCONTO]]</f>
        <v>589.05889999999999</v>
      </c>
      <c r="L972" s="53">
        <f>Tabela6[[#This Row],[CUSTO TOTAL]]/Tabela6[[#This Row],[CONSUMO]]</f>
        <v>5.89</v>
      </c>
      <c r="M972" s="50">
        <f>Tabela6[[#This Row],[KM ATUAL]]-E970</f>
        <v>-268863</v>
      </c>
      <c r="N972" s="51">
        <f>Tabela6[[#This Row],[KM Rodados ]]/Tabela6[[#This Row],[CONSUMO]]</f>
        <v>-2688.3611638836114</v>
      </c>
    </row>
    <row r="973" spans="1:14" x14ac:dyDescent="0.25">
      <c r="A973" s="47">
        <v>330432</v>
      </c>
      <c r="B973" s="78">
        <v>45040</v>
      </c>
      <c r="C973" s="47" t="s">
        <v>64</v>
      </c>
      <c r="D973" s="49" t="s">
        <v>253</v>
      </c>
      <c r="E973" s="47">
        <v>78291</v>
      </c>
      <c r="G973" s="50" t="s">
        <v>89</v>
      </c>
      <c r="H973" s="51">
        <v>142.43</v>
      </c>
      <c r="I973" s="49">
        <v>42.73</v>
      </c>
      <c r="J973" s="51">
        <v>6.29</v>
      </c>
      <c r="K973" s="51">
        <f>Tabela6[[#This Row],[CONSUMO]]*Tabela6[[#This Row],[VALOR UNIT]]-Tabela6[[#This Row],[DESCONTO]]</f>
        <v>853.15470000000005</v>
      </c>
      <c r="L973" s="53">
        <f>Tabela6[[#This Row],[CUSTO TOTAL]]/Tabela6[[#This Row],[CONSUMO]]</f>
        <v>5.9899929790072317</v>
      </c>
      <c r="M973" s="50">
        <f>Tabela6[[#This Row],[KM ATUAL]]-E900</f>
        <v>-36970</v>
      </c>
      <c r="N973" s="51">
        <f>Tabela6[[#This Row],[KM Rodados ]]/Tabela6[[#This Row],[CONSUMO]]</f>
        <v>-259.56610264691426</v>
      </c>
    </row>
    <row r="974" spans="1:14" x14ac:dyDescent="0.25">
      <c r="A974" s="47">
        <v>652669</v>
      </c>
      <c r="B974" s="78">
        <v>45040</v>
      </c>
      <c r="C974" s="47" t="s">
        <v>13</v>
      </c>
      <c r="D974" s="49" t="s">
        <v>250</v>
      </c>
      <c r="E974" s="47">
        <v>613866</v>
      </c>
      <c r="G974" s="50" t="s">
        <v>89</v>
      </c>
      <c r="H974" s="51">
        <f>88.45+8.109</f>
        <v>96.558999999999997</v>
      </c>
      <c r="J974" s="51">
        <v>5.49</v>
      </c>
      <c r="K974" s="51">
        <f>Tabela6[[#This Row],[CONSUMO]]*Tabela6[[#This Row],[VALOR UNIT]]-Tabela6[[#This Row],[DESCONTO]]</f>
        <v>530.10891000000004</v>
      </c>
      <c r="L974" s="53">
        <f>Tabela6[[#This Row],[CUSTO TOTAL]]/Tabela6[[#This Row],[CONSUMO]]</f>
        <v>5.49</v>
      </c>
      <c r="M974" s="50">
        <f>Tabela6[[#This Row],[KM ATUAL]]-E941</f>
        <v>419144</v>
      </c>
      <c r="N974" s="51">
        <f>Tabela6[[#This Row],[KM Rodados ]]/Tabela6[[#This Row],[CONSUMO]]</f>
        <v>4340.8071748878929</v>
      </c>
    </row>
    <row r="975" spans="1:14" x14ac:dyDescent="0.25">
      <c r="A975" s="47">
        <v>165623</v>
      </c>
      <c r="B975" s="78">
        <v>45040</v>
      </c>
      <c r="C975" s="47" t="s">
        <v>23</v>
      </c>
      <c r="D975" s="49" t="s">
        <v>268</v>
      </c>
      <c r="E975" s="47">
        <v>221163</v>
      </c>
      <c r="G975" s="50" t="s">
        <v>89</v>
      </c>
      <c r="H975" s="51">
        <v>102.56</v>
      </c>
      <c r="J975" s="51">
        <v>5.49</v>
      </c>
      <c r="K975" s="51">
        <f>Tabela6[[#This Row],[CONSUMO]]*Tabela6[[#This Row],[VALOR UNIT]]-Tabela6[[#This Row],[DESCONTO]]</f>
        <v>563.05439999999999</v>
      </c>
      <c r="L975" s="53">
        <f>Tabela6[[#This Row],[CUSTO TOTAL]]/Tabela6[[#This Row],[CONSUMO]]</f>
        <v>5.4899999999999993</v>
      </c>
      <c r="M975" s="50">
        <f>Tabela6[[#This Row],[KM ATUAL]]-E901</f>
        <v>143934</v>
      </c>
      <c r="N975" s="51">
        <f>Tabela6[[#This Row],[KM Rodados ]]/Tabela6[[#This Row],[CONSUMO]]</f>
        <v>1403.4126365054601</v>
      </c>
    </row>
    <row r="976" spans="1:14" x14ac:dyDescent="0.25">
      <c r="A976" s="47">
        <v>176940</v>
      </c>
      <c r="B976" s="78">
        <v>45041</v>
      </c>
      <c r="C976" s="47" t="s">
        <v>68</v>
      </c>
      <c r="D976" s="49" t="s">
        <v>262</v>
      </c>
      <c r="E976" s="47">
        <v>880982</v>
      </c>
      <c r="G976" s="50" t="s">
        <v>89</v>
      </c>
      <c r="H976" s="51">
        <v>351.51</v>
      </c>
      <c r="J976" s="51">
        <v>5.69</v>
      </c>
      <c r="K976" s="51">
        <f>Tabela6[[#This Row],[CONSUMO]]*Tabela6[[#This Row],[VALOR UNIT]]-Tabela6[[#This Row],[DESCONTO]]</f>
        <v>2000.0919000000001</v>
      </c>
      <c r="L976" s="53">
        <f>Tabela6[[#This Row],[CUSTO TOTAL]]/Tabela6[[#This Row],[CONSUMO]]</f>
        <v>5.69</v>
      </c>
      <c r="M976" s="50">
        <f>Tabela6[[#This Row],[KM ATUAL]]-E936</f>
        <v>636754</v>
      </c>
      <c r="N976" s="51">
        <f>Tabela6[[#This Row],[KM Rodados ]]/Tabela6[[#This Row],[CONSUMO]]</f>
        <v>1811.4818924070439</v>
      </c>
    </row>
    <row r="977" spans="1:14" x14ac:dyDescent="0.25">
      <c r="A977" s="47" t="s">
        <v>314</v>
      </c>
      <c r="B977" s="78">
        <v>45041</v>
      </c>
      <c r="C977" s="47" t="s">
        <v>43</v>
      </c>
      <c r="E977" s="47">
        <v>118857</v>
      </c>
      <c r="G977" s="50" t="s">
        <v>89</v>
      </c>
      <c r="H977" s="51">
        <v>44</v>
      </c>
      <c r="K977" s="52">
        <f>Tabela6[[#This Row],[CONSUMO]]*Tabela6[[#This Row],[VALOR UNIT]]-Tabela6[[#This Row],[DESCONTO]]</f>
        <v>0</v>
      </c>
      <c r="L977" s="53">
        <f>Tabela6[[#This Row],[CUSTO TOTAL]]/Tabela6[[#This Row],[CONSUMO]]</f>
        <v>0</v>
      </c>
      <c r="M977" s="50">
        <f>Tabela6[[#This Row],[KM ATUAL]]-E969</f>
        <v>-103372</v>
      </c>
      <c r="N977" s="51">
        <f>Tabela6[[#This Row],[KM Rodados ]]/Tabela6[[#This Row],[CONSUMO]]</f>
        <v>-2349.3636363636365</v>
      </c>
    </row>
    <row r="978" spans="1:14" x14ac:dyDescent="0.25">
      <c r="A978" s="47" t="s">
        <v>314</v>
      </c>
      <c r="B978" s="78">
        <v>45041</v>
      </c>
      <c r="C978" s="47" t="s">
        <v>43</v>
      </c>
      <c r="E978" s="47">
        <v>119107</v>
      </c>
      <c r="G978" s="50" t="s">
        <v>89</v>
      </c>
      <c r="H978" s="51">
        <v>34</v>
      </c>
      <c r="K978" s="52">
        <f>Tabela6[[#This Row],[CONSUMO]]*Tabela6[[#This Row],[VALOR UNIT]]-Tabela6[[#This Row],[DESCONTO]]</f>
        <v>0</v>
      </c>
      <c r="L978" s="53">
        <f>Tabela6[[#This Row],[CUSTO TOTAL]]/Tabela6[[#This Row],[CONSUMO]]</f>
        <v>0</v>
      </c>
      <c r="M978" s="50">
        <f>Tabela6[[#This Row],[KM ATUAL]]-E977</f>
        <v>250</v>
      </c>
      <c r="N978" s="51">
        <f>Tabela6[[#This Row],[KM Rodados ]]/Tabela6[[#This Row],[CONSUMO]]</f>
        <v>7.3529411764705879</v>
      </c>
    </row>
    <row r="979" spans="1:14" x14ac:dyDescent="0.25">
      <c r="A979" s="47" t="s">
        <v>314</v>
      </c>
      <c r="B979" s="78">
        <v>45041</v>
      </c>
      <c r="C979" s="47" t="s">
        <v>43</v>
      </c>
      <c r="E979" s="47">
        <v>119372</v>
      </c>
      <c r="G979" s="50" t="s">
        <v>89</v>
      </c>
      <c r="H979" s="51">
        <v>36</v>
      </c>
      <c r="K979" s="52">
        <f>Tabela6[[#This Row],[CONSUMO]]*Tabela6[[#This Row],[VALOR UNIT]]-Tabela6[[#This Row],[DESCONTO]]</f>
        <v>0</v>
      </c>
      <c r="L979" s="53">
        <f>Tabela6[[#This Row],[CUSTO TOTAL]]/Tabela6[[#This Row],[CONSUMO]]</f>
        <v>0</v>
      </c>
      <c r="M979" s="50">
        <f>Tabela6[[#This Row],[KM ATUAL]]-E978</f>
        <v>265</v>
      </c>
      <c r="N979" s="51">
        <f>Tabela6[[#This Row],[KM Rodados ]]/Tabela6[[#This Row],[CONSUMO]]</f>
        <v>7.3611111111111107</v>
      </c>
    </row>
    <row r="980" spans="1:14" x14ac:dyDescent="0.25">
      <c r="A980" s="47">
        <v>158486</v>
      </c>
      <c r="B980" s="78">
        <v>45041</v>
      </c>
      <c r="C980" s="47" t="s">
        <v>43</v>
      </c>
      <c r="D980" s="47" t="s">
        <v>246</v>
      </c>
      <c r="E980" s="47">
        <v>119891</v>
      </c>
      <c r="G980" s="50" t="s">
        <v>89</v>
      </c>
      <c r="H980" s="51">
        <v>9.6199999999999992</v>
      </c>
      <c r="I980" s="49">
        <v>13.77</v>
      </c>
      <c r="J980" s="51">
        <v>5.92</v>
      </c>
      <c r="K980" s="52">
        <f>Tabela6[[#This Row],[CONSUMO]]*Tabela6[[#This Row],[VALOR UNIT]]-Tabela6[[#This Row],[DESCONTO]]</f>
        <v>43.180399999999992</v>
      </c>
      <c r="L980" s="53">
        <f>Tabela6[[#This Row],[CUSTO TOTAL]]/Tabela6[[#This Row],[CONSUMO]]</f>
        <v>4.4886070686070685</v>
      </c>
      <c r="M980" s="50">
        <f>Tabela6[[#This Row],[KM ATUAL]]-E979</f>
        <v>519</v>
      </c>
      <c r="N980" s="72">
        <f>Tabela6[[#This Row],[KM Rodados ]]/Tabela6[[#This Row],[CONSUMO]]</f>
        <v>53.950103950103951</v>
      </c>
    </row>
    <row r="981" spans="1:14" x14ac:dyDescent="0.25">
      <c r="A981" s="47">
        <v>402423</v>
      </c>
      <c r="B981" s="78">
        <v>45041</v>
      </c>
      <c r="C981" s="47" t="s">
        <v>43</v>
      </c>
      <c r="D981" s="49" t="s">
        <v>257</v>
      </c>
      <c r="E981" s="47">
        <v>119818</v>
      </c>
      <c r="G981" s="50" t="s">
        <v>89</v>
      </c>
      <c r="H981" s="51">
        <v>42.45</v>
      </c>
      <c r="J981" s="51">
        <v>5.47</v>
      </c>
      <c r="K981" s="52">
        <f>Tabela6[[#This Row],[CONSUMO]]*Tabela6[[#This Row],[VALOR UNIT]]-Tabela6[[#This Row],[DESCONTO]]</f>
        <v>232.20150000000001</v>
      </c>
      <c r="L981" s="53">
        <f>Tabela6[[#This Row],[CUSTO TOTAL]]/Tabela6[[#This Row],[CONSUMO]]</f>
        <v>5.47</v>
      </c>
      <c r="M981" s="50">
        <f>Tabela6[[#This Row],[KM ATUAL]]-E980</f>
        <v>-73</v>
      </c>
      <c r="N981" s="72">
        <f>Tabela6[[#This Row],[KM Rodados ]]/Tabela6[[#This Row],[CONSUMO]]</f>
        <v>-1.719670200235571</v>
      </c>
    </row>
    <row r="982" spans="1:14" x14ac:dyDescent="0.25">
      <c r="A982" s="47">
        <v>270845</v>
      </c>
      <c r="B982" s="78">
        <v>45041</v>
      </c>
      <c r="C982" s="47" t="s">
        <v>67</v>
      </c>
      <c r="D982" s="49" t="s">
        <v>270</v>
      </c>
      <c r="E982" s="47">
        <v>661575</v>
      </c>
      <c r="G982" s="50" t="s">
        <v>89</v>
      </c>
      <c r="H982" s="51">
        <v>123.4</v>
      </c>
      <c r="J982" s="51">
        <v>5.5736999999999997</v>
      </c>
      <c r="K982" s="51">
        <f>Tabela6[[#This Row],[CONSUMO]]*Tabela6[[#This Row],[VALOR UNIT]]-Tabela6[[#This Row],[DESCONTO]]</f>
        <v>687.79458</v>
      </c>
      <c r="L982" s="53">
        <f>Tabela6[[#This Row],[CUSTO TOTAL]]/Tabela6[[#This Row],[CONSUMO]]</f>
        <v>5.5736999999999997</v>
      </c>
      <c r="M982" s="50">
        <f>Tabela6[[#This Row],[KM ATUAL]]-E949</f>
        <v>48226</v>
      </c>
      <c r="N982" s="51">
        <f>Tabela6[[#This Row],[KM Rodados ]]/Tabela6[[#This Row],[CONSUMO]]</f>
        <v>390.81037277147487</v>
      </c>
    </row>
    <row r="983" spans="1:14" x14ac:dyDescent="0.25">
      <c r="A983" s="47">
        <v>291191</v>
      </c>
      <c r="B983" s="78">
        <v>45041</v>
      </c>
      <c r="C983" s="47" t="s">
        <v>203</v>
      </c>
      <c r="D983" s="49" t="s">
        <v>276</v>
      </c>
      <c r="E983" s="47">
        <v>92478</v>
      </c>
      <c r="G983" s="50" t="s">
        <v>244</v>
      </c>
      <c r="H983" s="51">
        <v>39.18</v>
      </c>
      <c r="J983" s="51">
        <v>5.49</v>
      </c>
      <c r="K983" s="51">
        <f>Tabela6[[#This Row],[CONSUMO]]*Tabela6[[#This Row],[VALOR UNIT]]-Tabela6[[#This Row],[DESCONTO]]</f>
        <v>215.09820000000002</v>
      </c>
      <c r="L983" s="53">
        <f>Tabela6[[#This Row],[CUSTO TOTAL]]/Tabela6[[#This Row],[CONSUMO]]</f>
        <v>5.49</v>
      </c>
      <c r="M983" s="50">
        <f>Tabela6[[#This Row],[KM ATUAL]]-E963</f>
        <v>-105060</v>
      </c>
      <c r="N983" s="51">
        <f>Tabela6[[#This Row],[KM Rodados ]]/Tabela6[[#This Row],[CONSUMO]]</f>
        <v>-2681.4701378254213</v>
      </c>
    </row>
    <row r="984" spans="1:14" x14ac:dyDescent="0.25">
      <c r="A984" s="47">
        <v>291318</v>
      </c>
      <c r="B984" s="78">
        <v>45041</v>
      </c>
      <c r="C984" s="47" t="s">
        <v>203</v>
      </c>
      <c r="D984" s="49" t="s">
        <v>276</v>
      </c>
      <c r="E984" s="47">
        <v>92905</v>
      </c>
      <c r="G984" s="50" t="s">
        <v>244</v>
      </c>
      <c r="H984" s="51">
        <v>33.159999999999997</v>
      </c>
      <c r="J984" s="51">
        <v>5.49</v>
      </c>
      <c r="K984" s="51">
        <f>Tabela6[[#This Row],[CONSUMO]]*Tabela6[[#This Row],[VALOR UNIT]]-Tabela6[[#This Row],[DESCONTO]]</f>
        <v>182.04839999999999</v>
      </c>
      <c r="L984" s="53">
        <f>Tabela6[[#This Row],[CUSTO TOTAL]]/Tabela6[[#This Row],[CONSUMO]]</f>
        <v>5.49</v>
      </c>
      <c r="M984" s="50">
        <f>Tabela6[[#This Row],[KM ATUAL]]-E983</f>
        <v>427</v>
      </c>
      <c r="N984" s="51">
        <f>Tabela6[[#This Row],[KM Rodados ]]/Tabela6[[#This Row],[CONSUMO]]</f>
        <v>12.876960193003621</v>
      </c>
    </row>
    <row r="985" spans="1:14" x14ac:dyDescent="0.25">
      <c r="A985" s="47">
        <v>291123</v>
      </c>
      <c r="B985" s="78">
        <v>45041</v>
      </c>
      <c r="C985" s="47" t="s">
        <v>72</v>
      </c>
      <c r="D985" s="49" t="s">
        <v>276</v>
      </c>
      <c r="E985" s="47">
        <v>386706</v>
      </c>
      <c r="G985" s="50" t="s">
        <v>89</v>
      </c>
      <c r="H985" s="51">
        <v>42.21</v>
      </c>
      <c r="J985" s="51">
        <v>5.99</v>
      </c>
      <c r="K985" s="52">
        <f>Tabela6[[#This Row],[CONSUMO]]*Tabela6[[#This Row],[VALOR UNIT]]-Tabela6[[#This Row],[DESCONTO]]</f>
        <v>252.83790000000002</v>
      </c>
      <c r="L985" s="53">
        <f>Tabela6[[#This Row],[CUSTO TOTAL]]/Tabela6[[#This Row],[CONSUMO]]</f>
        <v>5.99</v>
      </c>
      <c r="M985" s="50">
        <f>Tabela6[[#This Row],[KM ATUAL]]-E975</f>
        <v>165543</v>
      </c>
      <c r="N985" s="51">
        <f>Tabela6[[#This Row],[KM Rodados ]]/Tabela6[[#This Row],[CONSUMO]]</f>
        <v>3921.8905472636816</v>
      </c>
    </row>
    <row r="986" spans="1:14" x14ac:dyDescent="0.25">
      <c r="A986" s="47">
        <v>291323</v>
      </c>
      <c r="B986" s="78">
        <v>45041</v>
      </c>
      <c r="C986" s="47" t="s">
        <v>72</v>
      </c>
      <c r="D986" s="49" t="s">
        <v>276</v>
      </c>
      <c r="E986" s="47">
        <v>387138</v>
      </c>
      <c r="G986" s="50" t="s">
        <v>89</v>
      </c>
      <c r="H986" s="51">
        <v>50.789000000000001</v>
      </c>
      <c r="J986" s="51">
        <v>5.79</v>
      </c>
      <c r="K986" s="51">
        <f>Tabela6[[#This Row],[CONSUMO]]*Tabela6[[#This Row],[VALOR UNIT]]-Tabela6[[#This Row],[DESCONTO]]</f>
        <v>294.06831</v>
      </c>
      <c r="L986" s="53">
        <f>Tabela6[[#This Row],[CUSTO TOTAL]]/Tabela6[[#This Row],[CONSUMO]]</f>
        <v>5.79</v>
      </c>
      <c r="M986" s="50">
        <f>Tabela6[[#This Row],[KM ATUAL]]-E984</f>
        <v>294233</v>
      </c>
      <c r="N986" s="51">
        <f>Tabela6[[#This Row],[KM Rodados ]]/Tabela6[[#This Row],[CONSUMO]]</f>
        <v>5793.2426312784264</v>
      </c>
    </row>
    <row r="987" spans="1:14" x14ac:dyDescent="0.25">
      <c r="A987" s="47">
        <v>354930</v>
      </c>
      <c r="B987" s="78">
        <v>45041</v>
      </c>
      <c r="C987" s="47" t="s">
        <v>73</v>
      </c>
      <c r="D987" s="49" t="s">
        <v>253</v>
      </c>
      <c r="E987" s="47">
        <v>117751</v>
      </c>
      <c r="G987" s="50" t="s">
        <v>89</v>
      </c>
      <c r="H987" s="51">
        <v>52.3</v>
      </c>
      <c r="I987" s="49">
        <v>59.65</v>
      </c>
      <c r="J987" s="51">
        <v>6.09</v>
      </c>
      <c r="K987" s="51">
        <f>Tabela6[[#This Row],[CONSUMO]]*Tabela6[[#This Row],[VALOR UNIT]]-Tabela6[[#This Row],[DESCONTO]]</f>
        <v>258.85699999999997</v>
      </c>
      <c r="L987" s="53">
        <f>Tabela6[[#This Row],[CUSTO TOTAL]]/Tabela6[[#This Row],[CONSUMO]]</f>
        <v>4.949464627151051</v>
      </c>
      <c r="M987" s="50">
        <f>Tabela6[[#This Row],[KM ATUAL]]-E969</f>
        <v>-104478</v>
      </c>
      <c r="N987" s="51">
        <f>Tabela6[[#This Row],[KM Rodados ]]/Tabela6[[#This Row],[CONSUMO]]</f>
        <v>-1997.6673040152964</v>
      </c>
    </row>
    <row r="988" spans="1:14" x14ac:dyDescent="0.25">
      <c r="A988" s="47">
        <v>192806</v>
      </c>
      <c r="B988" s="78">
        <v>45041</v>
      </c>
      <c r="C988" s="47" t="s">
        <v>21</v>
      </c>
      <c r="D988" s="47" t="s">
        <v>247</v>
      </c>
      <c r="E988" s="47">
        <v>137311</v>
      </c>
      <c r="G988" s="50" t="s">
        <v>89</v>
      </c>
      <c r="H988" s="51">
        <v>157</v>
      </c>
      <c r="J988" s="51">
        <v>5.69</v>
      </c>
      <c r="K988" s="52">
        <f>Tabela6[[#This Row],[CONSUMO]]*Tabela6[[#This Row],[VALOR UNIT]]-Tabela6[[#This Row],[DESCONTO]]</f>
        <v>893.33</v>
      </c>
      <c r="L988" s="53">
        <f>Tabela6[[#This Row],[CUSTO TOTAL]]/Tabela6[[#This Row],[CONSUMO]]</f>
        <v>5.69</v>
      </c>
      <c r="M988" s="50">
        <f>Tabela6[[#This Row],[KM ATUAL]]-E945</f>
        <v>-248808</v>
      </c>
      <c r="N988" s="51">
        <f>Tabela6[[#This Row],[KM Rodados ]]/Tabela6[[#This Row],[CONSUMO]]</f>
        <v>-1584.7643312101911</v>
      </c>
    </row>
    <row r="989" spans="1:14" x14ac:dyDescent="0.25">
      <c r="A989" s="47">
        <v>176819</v>
      </c>
      <c r="B989" s="78">
        <v>45041</v>
      </c>
      <c r="C989" s="47" t="s">
        <v>10</v>
      </c>
      <c r="D989" s="49" t="s">
        <v>262</v>
      </c>
      <c r="E989" s="47">
        <v>710994</v>
      </c>
      <c r="G989" s="50" t="s">
        <v>89</v>
      </c>
      <c r="H989" s="51">
        <v>95.99</v>
      </c>
      <c r="J989" s="51">
        <v>5.89</v>
      </c>
      <c r="K989" s="51">
        <f>Tabela6[[#This Row],[CONSUMO]]*Tabela6[[#This Row],[VALOR UNIT]]-Tabela6[[#This Row],[DESCONTO]]</f>
        <v>565.38109999999995</v>
      </c>
      <c r="L989" s="53">
        <f>Tabela6[[#This Row],[CUSTO TOTAL]]/Tabela6[[#This Row],[CONSUMO]]</f>
        <v>5.89</v>
      </c>
      <c r="M989" s="50">
        <f>Tabela6[[#This Row],[KM ATUAL]]-E949</f>
        <v>97645</v>
      </c>
      <c r="N989" s="51">
        <f>Tabela6[[#This Row],[KM Rodados ]]/Tabela6[[#This Row],[CONSUMO]]</f>
        <v>1017.2413793103449</v>
      </c>
    </row>
    <row r="990" spans="1:14" x14ac:dyDescent="0.25">
      <c r="A990" s="47">
        <v>354911</v>
      </c>
      <c r="B990" s="78">
        <v>45041</v>
      </c>
      <c r="C990" s="47" t="s">
        <v>12</v>
      </c>
      <c r="D990" s="49" t="s">
        <v>253</v>
      </c>
      <c r="E990" s="47">
        <v>309222</v>
      </c>
      <c r="G990" s="50" t="s">
        <v>89</v>
      </c>
      <c r="H990" s="51">
        <v>86.81</v>
      </c>
      <c r="I990" s="49">
        <v>23.04</v>
      </c>
      <c r="J990" s="51">
        <v>6.09</v>
      </c>
      <c r="K990" s="51">
        <f>Tabela6[[#This Row],[CONSUMO]]*Tabela6[[#This Row],[VALOR UNIT]]-Tabela6[[#This Row],[DESCONTO]]</f>
        <v>505.63290000000001</v>
      </c>
      <c r="L990" s="53">
        <f>Tabela6[[#This Row],[CUSTO TOTAL]]/Tabela6[[#This Row],[CONSUMO]]</f>
        <v>5.8245927888492108</v>
      </c>
      <c r="M990" s="50">
        <f>Tabela6[[#This Row],[KM ATUAL]]-E901</f>
        <v>231993</v>
      </c>
      <c r="N990" s="51">
        <f>Tabela6[[#This Row],[KM Rodados ]]/Tabela6[[#This Row],[CONSUMO]]</f>
        <v>2672.4225319663633</v>
      </c>
    </row>
    <row r="991" spans="1:14" x14ac:dyDescent="0.25">
      <c r="A991" s="47">
        <v>229957</v>
      </c>
      <c r="B991" s="78">
        <v>45041</v>
      </c>
      <c r="C991" s="47" t="s">
        <v>13</v>
      </c>
      <c r="D991" s="49" t="s">
        <v>273</v>
      </c>
      <c r="E991" s="47">
        <v>614531</v>
      </c>
      <c r="G991" s="50" t="s">
        <v>89</v>
      </c>
      <c r="H991" s="51">
        <v>143.01</v>
      </c>
      <c r="J991" s="51">
        <v>5.49</v>
      </c>
      <c r="K991" s="51">
        <f>Tabela6[[#This Row],[CONSUMO]]*Tabela6[[#This Row],[VALOR UNIT]]-Tabela6[[#This Row],[DESCONTO]]</f>
        <v>785.12490000000003</v>
      </c>
      <c r="L991" s="53">
        <f>Tabela6[[#This Row],[CUSTO TOTAL]]/Tabela6[[#This Row],[CONSUMO]]</f>
        <v>5.49</v>
      </c>
      <c r="M991" s="50">
        <f>Tabela6[[#This Row],[KM ATUAL]]-E978</f>
        <v>495424</v>
      </c>
      <c r="N991" s="51">
        <f>Tabela6[[#This Row],[KM Rodados ]]/Tabela6[[#This Row],[CONSUMO]]</f>
        <v>3464.2612404726942</v>
      </c>
    </row>
    <row r="992" spans="1:14" x14ac:dyDescent="0.25">
      <c r="A992" s="47">
        <v>176885</v>
      </c>
      <c r="B992" s="78">
        <v>45041</v>
      </c>
      <c r="C992" s="47" t="s">
        <v>20</v>
      </c>
      <c r="D992" s="49" t="s">
        <v>262</v>
      </c>
      <c r="E992" s="47">
        <v>245202</v>
      </c>
      <c r="G992" s="50" t="s">
        <v>89</v>
      </c>
      <c r="H992" s="51">
        <v>61.84</v>
      </c>
      <c r="J992" s="51">
        <v>5.89</v>
      </c>
      <c r="K992" s="51">
        <f>Tabela6[[#This Row],[CONSUMO]]*Tabela6[[#This Row],[VALOR UNIT]]-Tabela6[[#This Row],[DESCONTO]]</f>
        <v>364.23759999999999</v>
      </c>
      <c r="L992" s="53">
        <f>Tabela6[[#This Row],[CUSTO TOTAL]]/Tabela6[[#This Row],[CONSUMO]]</f>
        <v>5.89</v>
      </c>
      <c r="M992" s="50">
        <f>Tabela6[[#This Row],[KM ATUAL]]-E957</f>
        <v>128363</v>
      </c>
      <c r="N992" s="51">
        <f>Tabela6[[#This Row],[KM Rodados ]]/Tabela6[[#This Row],[CONSUMO]]</f>
        <v>2075.7276843467012</v>
      </c>
    </row>
    <row r="993" spans="1:14" x14ac:dyDescent="0.25">
      <c r="A993" s="47">
        <v>176884</v>
      </c>
      <c r="B993" s="78">
        <v>45041</v>
      </c>
      <c r="C993" s="47" t="s">
        <v>23</v>
      </c>
      <c r="D993" s="49" t="s">
        <v>262</v>
      </c>
      <c r="E993" s="47">
        <v>221408</v>
      </c>
      <c r="G993" s="50" t="s">
        <v>241</v>
      </c>
      <c r="H993" s="51">
        <v>20.048999999999999</v>
      </c>
      <c r="J993" s="51">
        <v>3.69</v>
      </c>
      <c r="K993" s="51">
        <f>Tabela6[[#This Row],[CONSUMO]]*Tabela6[[#This Row],[VALOR UNIT]]-Tabela6[[#This Row],[DESCONTO]]</f>
        <v>73.980809999999991</v>
      </c>
      <c r="L993" s="53">
        <f>Tabela6[[#This Row],[CUSTO TOTAL]]/Tabela6[[#This Row],[CONSUMO]]</f>
        <v>3.6899999999999995</v>
      </c>
      <c r="M993" s="50"/>
      <c r="N993"/>
    </row>
    <row r="994" spans="1:14" x14ac:dyDescent="0.25">
      <c r="A994" s="47">
        <v>176884</v>
      </c>
      <c r="B994" s="78">
        <v>45041</v>
      </c>
      <c r="C994" s="47" t="s">
        <v>23</v>
      </c>
      <c r="D994" s="49" t="s">
        <v>262</v>
      </c>
      <c r="E994" s="47">
        <v>221408</v>
      </c>
      <c r="G994" s="50" t="s">
        <v>89</v>
      </c>
      <c r="H994" s="51">
        <v>56.030999999999999</v>
      </c>
      <c r="I994" s="49">
        <v>7.22</v>
      </c>
      <c r="J994" s="51">
        <v>5.89</v>
      </c>
      <c r="K994" s="51">
        <f>Tabela6[[#This Row],[CONSUMO]]*Tabela6[[#This Row],[VALOR UNIT]]-Tabela6[[#This Row],[DESCONTO]]</f>
        <v>322.80258999999995</v>
      </c>
      <c r="L994" s="53">
        <f>Tabela6[[#This Row],[CUSTO TOTAL]]/Tabela6[[#This Row],[CONSUMO]]</f>
        <v>5.7611427602577141</v>
      </c>
      <c r="M994" s="50">
        <f>Tabela6[[#This Row],[KM ATUAL]]-E971</f>
        <v>104213</v>
      </c>
      <c r="N994" s="51">
        <f>Tabela6[[#This Row],[KM Rodados ]]/Tabela6[[#This Row],[CONSUMO]]</f>
        <v>1859.9168317538506</v>
      </c>
    </row>
    <row r="995" spans="1:14" x14ac:dyDescent="0.25">
      <c r="A995" s="47">
        <v>176853</v>
      </c>
      <c r="B995" s="78">
        <v>45041</v>
      </c>
      <c r="C995" s="47" t="s">
        <v>40</v>
      </c>
      <c r="D995" s="49" t="s">
        <v>262</v>
      </c>
      <c r="E995" s="47">
        <v>137552</v>
      </c>
      <c r="G995" s="50" t="s">
        <v>244</v>
      </c>
      <c r="H995" s="51">
        <v>44.970999999999997</v>
      </c>
      <c r="J995" s="51">
        <v>5.49</v>
      </c>
      <c r="K995" s="74">
        <f>Tabela6[[#This Row],[CONSUMO]]*Tabela6[[#This Row],[VALOR UNIT]]-Tabela6[[#This Row],[DESCONTO]]</f>
        <v>246.89078999999998</v>
      </c>
      <c r="L995" s="53">
        <f>Tabela6[[#This Row],[CUSTO TOTAL]]/Tabela6[[#This Row],[CONSUMO]]</f>
        <v>5.49</v>
      </c>
      <c r="M995" s="50">
        <f>Tabela6[[#This Row],[KM ATUAL]]-E994</f>
        <v>-83856</v>
      </c>
      <c r="N995" s="51">
        <f>Tabela6[[#This Row],[KM Rodados ]]/Tabela6[[#This Row],[CONSUMO]]</f>
        <v>-1864.6683418202842</v>
      </c>
    </row>
    <row r="996" spans="1:14" x14ac:dyDescent="0.25">
      <c r="A996" s="47">
        <v>83909</v>
      </c>
      <c r="B996" s="78">
        <v>45041</v>
      </c>
      <c r="C996" s="47" t="s">
        <v>74</v>
      </c>
      <c r="D996" s="49" t="s">
        <v>263</v>
      </c>
      <c r="E996" s="47">
        <v>48559</v>
      </c>
      <c r="G996" s="50" t="s">
        <v>89</v>
      </c>
      <c r="H996" s="51">
        <v>31.541</v>
      </c>
      <c r="I996" s="49">
        <v>3.16</v>
      </c>
      <c r="J996" s="51">
        <v>5.53</v>
      </c>
      <c r="K996" s="52">
        <f>Tabela6[[#This Row],[CONSUMO]]*Tabela6[[#This Row],[VALOR UNIT]]-Tabela6[[#This Row],[DESCONTO]]</f>
        <v>171.26173</v>
      </c>
      <c r="L996" s="53">
        <f>Tabela6[[#This Row],[CUSTO TOTAL]]/Tabela6[[#This Row],[CONSUMO]]</f>
        <v>5.4298129418851655</v>
      </c>
      <c r="M996" s="50">
        <f>Tabela6[[#This Row],[KM ATUAL]]-E970</f>
        <v>-337855</v>
      </c>
      <c r="N996" s="51">
        <f>Tabela6[[#This Row],[KM Rodados ]]/Tabela6[[#This Row],[CONSUMO]]</f>
        <v>-10711.613455502362</v>
      </c>
    </row>
    <row r="997" spans="1:14" x14ac:dyDescent="0.25">
      <c r="A997" s="47">
        <v>653823</v>
      </c>
      <c r="B997" s="78">
        <v>45042</v>
      </c>
      <c r="C997" s="47" t="s">
        <v>43</v>
      </c>
      <c r="D997" s="49" t="s">
        <v>250</v>
      </c>
      <c r="E997" s="47">
        <v>119914</v>
      </c>
      <c r="G997" s="50" t="s">
        <v>89</v>
      </c>
      <c r="H997" s="51">
        <v>8</v>
      </c>
      <c r="J997" s="51">
        <v>5.47</v>
      </c>
      <c r="K997" s="52">
        <f>Tabela6[[#This Row],[CONSUMO]]*Tabela6[[#This Row],[VALOR UNIT]]-Tabela6[[#This Row],[DESCONTO]]</f>
        <v>43.76</v>
      </c>
      <c r="L997" s="53">
        <f>Tabela6[[#This Row],[CUSTO TOTAL]]/Tabela6[[#This Row],[CONSUMO]]</f>
        <v>5.47</v>
      </c>
      <c r="M997" s="50">
        <f>Tabela6[[#This Row],[KM ATUAL]]-E990</f>
        <v>-189308</v>
      </c>
      <c r="N997" s="51">
        <f>Tabela6[[#This Row],[KM Rodados ]]/Tabela6[[#This Row],[CONSUMO]]</f>
        <v>-23663.5</v>
      </c>
    </row>
    <row r="998" spans="1:14" x14ac:dyDescent="0.25">
      <c r="A998" s="47">
        <v>794761</v>
      </c>
      <c r="B998" s="78">
        <v>45042</v>
      </c>
      <c r="C998" s="47" t="s">
        <v>43</v>
      </c>
      <c r="D998" s="47" t="s">
        <v>251</v>
      </c>
      <c r="E998" s="47">
        <v>119996</v>
      </c>
      <c r="G998" s="50" t="s">
        <v>89</v>
      </c>
      <c r="H998" s="51">
        <v>12.6</v>
      </c>
      <c r="J998" s="51">
        <v>5.54</v>
      </c>
      <c r="K998" s="51">
        <f>Tabela6[[#This Row],[CONSUMO]]*Tabela6[[#This Row],[VALOR UNIT]]-Tabela6[[#This Row],[DESCONTO]]</f>
        <v>69.804000000000002</v>
      </c>
      <c r="L998" s="53">
        <f>Tabela6[[#This Row],[CUSTO TOTAL]]/Tabela6[[#This Row],[CONSUMO]]</f>
        <v>5.54</v>
      </c>
      <c r="M998" s="50">
        <f>Tabela6[[#This Row],[KM ATUAL]]-E996</f>
        <v>71437</v>
      </c>
      <c r="N998" s="72">
        <f>Tabela6[[#This Row],[KM Rodados ]]/Tabela6[[#This Row],[CONSUMO]]</f>
        <v>5669.6031746031749</v>
      </c>
    </row>
    <row r="999" spans="1:14" x14ac:dyDescent="0.25">
      <c r="A999" s="47">
        <v>291631</v>
      </c>
      <c r="B999" s="78">
        <v>45042</v>
      </c>
      <c r="C999" s="47" t="s">
        <v>43</v>
      </c>
      <c r="D999" s="49" t="s">
        <v>276</v>
      </c>
      <c r="E999" s="47">
        <v>120206</v>
      </c>
      <c r="F999" s="50" t="s">
        <v>89</v>
      </c>
      <c r="G999" s="51" t="s">
        <v>89</v>
      </c>
      <c r="H999" s="49">
        <v>27.9</v>
      </c>
      <c r="I999" s="51">
        <v>5.79</v>
      </c>
      <c r="J999" s="51">
        <v>5.54</v>
      </c>
      <c r="K999" s="51">
        <f>Tabela6[[#This Row],[CONSUMO]]*Tabela6[[#This Row],[VALOR UNIT]]-Tabela6[[#This Row],[DESCONTO]]</f>
        <v>148.77600000000001</v>
      </c>
      <c r="L999" s="53">
        <f>Tabela6[[#This Row],[CUSTO TOTAL]]/Tabela6[[#This Row],[CONSUMO]]</f>
        <v>5.3324731182795704</v>
      </c>
      <c r="M999" s="50">
        <f>Tabela6[[#This Row],[KM ATUAL]]-E989</f>
        <v>-590788</v>
      </c>
      <c r="N999" s="51">
        <f>Tabela6[[#This Row],[KM Rodados ]]/Tabela6[[#This Row],[CONSUMO]]</f>
        <v>-21175.197132616489</v>
      </c>
    </row>
    <row r="1000" spans="1:14" x14ac:dyDescent="0.25">
      <c r="A1000" s="47">
        <v>356078</v>
      </c>
      <c r="B1000" s="78">
        <v>45042</v>
      </c>
      <c r="C1000" s="47" t="s">
        <v>9</v>
      </c>
      <c r="D1000" s="47" t="s">
        <v>253</v>
      </c>
      <c r="E1000" s="47">
        <v>598905</v>
      </c>
      <c r="G1000" s="50" t="s">
        <v>89</v>
      </c>
      <c r="H1000" s="51">
        <v>123.16</v>
      </c>
      <c r="I1000" s="49">
        <v>36.950000000000003</v>
      </c>
      <c r="J1000" s="51">
        <v>6.09</v>
      </c>
      <c r="K1000" s="51">
        <f>Tabela6[[#This Row],[CONSUMO]]*Tabela6[[#This Row],[VALOR UNIT]]-Tabela6[[#This Row],[DESCONTO]]</f>
        <v>713.09439999999995</v>
      </c>
      <c r="L1000" s="53">
        <f>Tabela6[[#This Row],[CUSTO TOTAL]]/Tabela6[[#This Row],[CONSUMO]]</f>
        <v>5.7899837609613511</v>
      </c>
      <c r="M1000" s="50">
        <f>Tabela6[[#This Row],[KM ATUAL]]-E973</f>
        <v>520614</v>
      </c>
      <c r="N1000" s="51">
        <f>Tabela6[[#This Row],[KM Rodados ]]/Tabela6[[#This Row],[CONSUMO]]</f>
        <v>4227.1354335823316</v>
      </c>
    </row>
    <row r="1001" spans="1:14" x14ac:dyDescent="0.25">
      <c r="A1001" s="47">
        <v>177163</v>
      </c>
      <c r="B1001" s="78">
        <v>45042</v>
      </c>
      <c r="C1001" s="47" t="s">
        <v>42</v>
      </c>
      <c r="D1001" s="49" t="s">
        <v>262</v>
      </c>
      <c r="E1001" s="47">
        <v>361497</v>
      </c>
      <c r="G1001" s="50" t="s">
        <v>89</v>
      </c>
      <c r="H1001" s="51">
        <v>134.43899999999999</v>
      </c>
      <c r="J1001" s="51">
        <v>5.69</v>
      </c>
      <c r="K1001" s="51">
        <f>Tabela6[[#This Row],[CONSUMO]]*Tabela6[[#This Row],[VALOR UNIT]]-Tabela6[[#This Row],[DESCONTO]]</f>
        <v>764.95790999999997</v>
      </c>
      <c r="L1001" s="53">
        <f>Tabela6[[#This Row],[CUSTO TOTAL]]/Tabela6[[#This Row],[CONSUMO]]</f>
        <v>5.69</v>
      </c>
      <c r="M1001" s="50">
        <f>Tabela6[[#This Row],[KM ATUAL]]-E940</f>
        <v>-299529</v>
      </c>
      <c r="N1001" s="51">
        <f>Tabela6[[#This Row],[KM Rodados ]]/Tabela6[[#This Row],[CONSUMO]]</f>
        <v>-2227.9918773570171</v>
      </c>
    </row>
    <row r="1002" spans="1:14" x14ac:dyDescent="0.25">
      <c r="A1002" s="47">
        <v>167307</v>
      </c>
      <c r="B1002" s="78">
        <v>45042</v>
      </c>
      <c r="C1002" s="47" t="s">
        <v>222</v>
      </c>
      <c r="D1002" s="49" t="s">
        <v>268</v>
      </c>
      <c r="E1002" s="47">
        <v>470234</v>
      </c>
      <c r="G1002" s="50" t="s">
        <v>89</v>
      </c>
      <c r="H1002" s="51">
        <v>328</v>
      </c>
      <c r="J1002" s="51">
        <v>5.49</v>
      </c>
      <c r="K1002" s="51">
        <f>Tabela6[[#This Row],[CONSUMO]]*Tabela6[[#This Row],[VALOR UNIT]]-Tabela6[[#This Row],[DESCONTO]]</f>
        <v>1800.72</v>
      </c>
      <c r="L1002" s="53">
        <f>Tabela6[[#This Row],[CUSTO TOTAL]]/Tabela6[[#This Row],[CONSUMO]]</f>
        <v>5.49</v>
      </c>
      <c r="M1002" s="50">
        <f>Tabela6[[#This Row],[KM ATUAL]]-E978</f>
        <v>351127</v>
      </c>
      <c r="N1002" s="51">
        <f>Tabela6[[#This Row],[KM Rodados ]]/Tabela6[[#This Row],[CONSUMO]]</f>
        <v>1070.5091463414635</v>
      </c>
    </row>
    <row r="1003" spans="1:14" x14ac:dyDescent="0.25">
      <c r="A1003" s="47" t="s">
        <v>314</v>
      </c>
      <c r="B1003" s="78">
        <v>45042</v>
      </c>
      <c r="C1003" s="47" t="s">
        <v>39</v>
      </c>
      <c r="E1003" s="47">
        <v>82945</v>
      </c>
      <c r="G1003" s="50" t="s">
        <v>89</v>
      </c>
      <c r="H1003" s="51">
        <v>94.1</v>
      </c>
      <c r="K1003" s="52">
        <f>Tabela6[[#This Row],[CONSUMO]]*Tabela6[[#This Row],[VALOR UNIT]]-Tabela6[[#This Row],[DESCONTO]]</f>
        <v>0</v>
      </c>
      <c r="L1003" s="53">
        <f>Tabela6[[#This Row],[CUSTO TOTAL]]/Tabela6[[#This Row],[CONSUMO]]</f>
        <v>0</v>
      </c>
      <c r="M1003" s="50">
        <f>Tabela6[[#This Row],[KM ATUAL]]-E825</f>
        <v>-299237</v>
      </c>
      <c r="N1003" s="51">
        <f>Tabela6[[#This Row],[KM Rodados ]]/Tabela6[[#This Row],[CONSUMO]]</f>
        <v>-3179.9893730074391</v>
      </c>
    </row>
    <row r="1004" spans="1:14" x14ac:dyDescent="0.25">
      <c r="A1004" s="47">
        <v>355822</v>
      </c>
      <c r="B1004" s="78">
        <v>45042</v>
      </c>
      <c r="C1004" s="47" t="s">
        <v>39</v>
      </c>
      <c r="D1004" s="49" t="s">
        <v>253</v>
      </c>
      <c r="E1004" s="47">
        <v>83533</v>
      </c>
      <c r="G1004" s="50" t="s">
        <v>89</v>
      </c>
      <c r="H1004" s="51">
        <v>85.3</v>
      </c>
      <c r="I1004" s="49">
        <v>25.59</v>
      </c>
      <c r="J1004" s="51">
        <v>6.09</v>
      </c>
      <c r="K1004" s="52">
        <f>Tabela6[[#This Row],[CONSUMO]]*Tabela6[[#This Row],[VALOR UNIT]]-Tabela6[[#This Row],[DESCONTO]]</f>
        <v>493.887</v>
      </c>
      <c r="L1004" s="53">
        <f>Tabela6[[#This Row],[CUSTO TOTAL]]/Tabela6[[#This Row],[CONSUMO]]</f>
        <v>5.79</v>
      </c>
      <c r="M1004" s="50">
        <f>Tabela6[[#This Row],[KM ATUAL]]-E1003</f>
        <v>588</v>
      </c>
      <c r="N1004" s="51">
        <f>Tabela6[[#This Row],[KM Rodados ]]/Tabela6[[#This Row],[CONSUMO]]</f>
        <v>6.8933177022274332</v>
      </c>
    </row>
    <row r="1005" spans="1:14" x14ac:dyDescent="0.25">
      <c r="A1005" s="47">
        <v>167493</v>
      </c>
      <c r="B1005" s="78">
        <v>45042</v>
      </c>
      <c r="C1005" s="47" t="s">
        <v>71</v>
      </c>
      <c r="D1005" s="49" t="s">
        <v>268</v>
      </c>
      <c r="E1005" s="47">
        <v>98326</v>
      </c>
      <c r="G1005" s="50" t="s">
        <v>89</v>
      </c>
      <c r="H1005" s="51">
        <v>500</v>
      </c>
      <c r="J1005" s="51">
        <v>5.49</v>
      </c>
      <c r="K1005" s="51">
        <f>Tabela6[[#This Row],[CONSUMO]]*Tabela6[[#This Row],[VALOR UNIT]]-Tabela6[[#This Row],[DESCONTO]]</f>
        <v>2745</v>
      </c>
      <c r="L1005" s="53">
        <f>Tabela6[[#This Row],[CUSTO TOTAL]]/Tabela6[[#This Row],[CONSUMO]]</f>
        <v>5.49</v>
      </c>
      <c r="M1005" s="50">
        <f>Tabela6[[#This Row],[KM ATUAL]]-E856</f>
        <v>-120991</v>
      </c>
      <c r="N1005" s="51">
        <f>Tabela6[[#This Row],[KM Rodados ]]/Tabela6[[#This Row],[CONSUMO]]</f>
        <v>-241.982</v>
      </c>
    </row>
    <row r="1006" spans="1:14" x14ac:dyDescent="0.25">
      <c r="A1006" s="47">
        <v>355702</v>
      </c>
      <c r="B1006" s="78">
        <v>45042</v>
      </c>
      <c r="C1006" s="47" t="s">
        <v>41</v>
      </c>
      <c r="D1006" s="49" t="s">
        <v>253</v>
      </c>
      <c r="E1006" s="47">
        <v>657101</v>
      </c>
      <c r="G1006" s="50" t="s">
        <v>89</v>
      </c>
      <c r="H1006" s="51">
        <v>147.66999999999999</v>
      </c>
      <c r="I1006" s="49">
        <v>44.3</v>
      </c>
      <c r="J1006" s="51">
        <v>6.09</v>
      </c>
      <c r="K1006" s="51">
        <f>Tabela6[[#This Row],[CONSUMO]]*Tabela6[[#This Row],[VALOR UNIT]]-Tabela6[[#This Row],[DESCONTO]]</f>
        <v>855.01029999999992</v>
      </c>
      <c r="L1006" s="53">
        <f>Tabela6[[#This Row],[CUSTO TOTAL]]/Tabela6[[#This Row],[CONSUMO]]</f>
        <v>5.7900067718561656</v>
      </c>
      <c r="M1006" s="50">
        <f>Tabela6[[#This Row],[KM ATUAL]]-E930</f>
        <v>315734</v>
      </c>
      <c r="N1006" s="51">
        <f>Tabela6[[#This Row],[KM Rodados ]]/Tabela6[[#This Row],[CONSUMO]]</f>
        <v>2138.1052346448164</v>
      </c>
    </row>
    <row r="1007" spans="1:14" x14ac:dyDescent="0.25">
      <c r="A1007" s="47">
        <v>169460</v>
      </c>
      <c r="B1007" s="78">
        <v>45042</v>
      </c>
      <c r="C1007" s="47" t="s">
        <v>15</v>
      </c>
      <c r="D1007" s="49" t="s">
        <v>269</v>
      </c>
      <c r="E1007" s="47">
        <v>360002</v>
      </c>
      <c r="G1007" s="50" t="s">
        <v>89</v>
      </c>
      <c r="H1007" s="51">
        <v>120</v>
      </c>
      <c r="J1007" s="51">
        <v>5.49</v>
      </c>
      <c r="K1007" s="51">
        <f>Tabela6[[#This Row],[CONSUMO]]*Tabela6[[#This Row],[VALOR UNIT]]-Tabela6[[#This Row],[DESCONTO]]</f>
        <v>658.80000000000007</v>
      </c>
      <c r="L1007" s="53">
        <f>Tabela6[[#This Row],[CUSTO TOTAL]]/Tabela6[[#This Row],[CONSUMO]]</f>
        <v>5.49</v>
      </c>
      <c r="M1007" s="50">
        <f>Tabela6[[#This Row],[KM ATUAL]]-E936</f>
        <v>115774</v>
      </c>
      <c r="N1007" s="51">
        <f>Tabela6[[#This Row],[KM Rodados ]]/Tabela6[[#This Row],[CONSUMO]]</f>
        <v>964.7833333333333</v>
      </c>
    </row>
    <row r="1008" spans="1:14" x14ac:dyDescent="0.25">
      <c r="A1008" s="47" t="s">
        <v>314</v>
      </c>
      <c r="B1008" s="78">
        <v>45042</v>
      </c>
      <c r="C1008" s="47" t="s">
        <v>18</v>
      </c>
      <c r="E1008" s="47">
        <v>307481</v>
      </c>
      <c r="G1008" s="50" t="s">
        <v>89</v>
      </c>
      <c r="H1008" s="51">
        <v>55.23</v>
      </c>
      <c r="K1008" s="52">
        <f>Tabela6[[#This Row],[CONSUMO]]*Tabela6[[#This Row],[VALOR UNIT]]-Tabela6[[#This Row],[DESCONTO]]</f>
        <v>0</v>
      </c>
      <c r="L1008" s="53">
        <f>Tabela6[[#This Row],[CUSTO TOTAL]]/Tabela6[[#This Row],[CONSUMO]]</f>
        <v>0</v>
      </c>
      <c r="M1008" s="50">
        <f>Tabela6[[#This Row],[KM ATUAL]]-E966</f>
        <v>-290984</v>
      </c>
      <c r="N1008" s="51">
        <f>Tabela6[[#This Row],[KM Rodados ]]/Tabela6[[#This Row],[CONSUMO]]</f>
        <v>-5268.5859134528337</v>
      </c>
    </row>
    <row r="1009" spans="1:14" x14ac:dyDescent="0.25">
      <c r="A1009" s="47">
        <v>167367</v>
      </c>
      <c r="B1009" s="78">
        <v>45042</v>
      </c>
      <c r="C1009" s="47" t="s">
        <v>20</v>
      </c>
      <c r="D1009" s="49" t="s">
        <v>268</v>
      </c>
      <c r="E1009" s="47">
        <v>245728</v>
      </c>
      <c r="G1009" s="50" t="s">
        <v>89</v>
      </c>
      <c r="H1009" s="51">
        <v>62.48</v>
      </c>
      <c r="J1009" s="51">
        <v>5.49</v>
      </c>
      <c r="K1009" s="51">
        <f>Tabela6[[#This Row],[CONSUMO]]*Tabela6[[#This Row],[VALOR UNIT]]-Tabela6[[#This Row],[DESCONTO]]</f>
        <v>343.01519999999999</v>
      </c>
      <c r="L1009" s="53">
        <f>Tabela6[[#This Row],[CUSTO TOTAL]]/Tabela6[[#This Row],[CONSUMO]]</f>
        <v>5.49</v>
      </c>
      <c r="M1009" s="50">
        <f>Tabela6[[#This Row],[KM ATUAL]]-E998</f>
        <v>125732</v>
      </c>
      <c r="N1009" s="51">
        <f>Tabela6[[#This Row],[KM Rodados ]]/Tabela6[[#This Row],[CONSUMO]]</f>
        <v>2012.3559539052499</v>
      </c>
    </row>
    <row r="1010" spans="1:14" x14ac:dyDescent="0.25">
      <c r="A1010" s="47">
        <v>168524</v>
      </c>
      <c r="B1010" s="78">
        <v>45043</v>
      </c>
      <c r="C1010" s="47" t="s">
        <v>68</v>
      </c>
      <c r="D1010" s="49" t="s">
        <v>268</v>
      </c>
      <c r="E1010" s="47">
        <v>882079</v>
      </c>
      <c r="G1010" s="50" t="s">
        <v>89</v>
      </c>
      <c r="H1010" s="51">
        <v>496</v>
      </c>
      <c r="J1010" s="51">
        <v>5.49</v>
      </c>
      <c r="K1010" s="51">
        <f>Tabela6[[#This Row],[CONSUMO]]*Tabela6[[#This Row],[VALOR UNIT]]-Tabela6[[#This Row],[DESCONTO]]</f>
        <v>2723.04</v>
      </c>
      <c r="L1010" s="53">
        <f>Tabela6[[#This Row],[CUSTO TOTAL]]/Tabela6[[#This Row],[CONSUMO]]</f>
        <v>5.49</v>
      </c>
      <c r="M1010" s="50">
        <f>Tabela6[[#This Row],[KM ATUAL]]-E974</f>
        <v>268213</v>
      </c>
      <c r="N1010" s="51">
        <f>Tabela6[[#This Row],[KM Rodados ]]/Tabela6[[#This Row],[CONSUMO]]</f>
        <v>540.75201612903231</v>
      </c>
    </row>
    <row r="1011" spans="1:14" x14ac:dyDescent="0.25">
      <c r="A1011" s="47">
        <v>177222</v>
      </c>
      <c r="B1011" s="78">
        <v>45043</v>
      </c>
      <c r="C1011" s="47" t="s">
        <v>22</v>
      </c>
      <c r="D1011" s="49" t="s">
        <v>262</v>
      </c>
      <c r="E1011" s="47">
        <v>322880</v>
      </c>
      <c r="G1011" s="50" t="s">
        <v>89</v>
      </c>
      <c r="H1011" s="51">
        <v>112</v>
      </c>
      <c r="J1011" s="51">
        <v>5.69</v>
      </c>
      <c r="K1011" s="74">
        <f>Tabela6[[#This Row],[CONSUMO]]*Tabela6[[#This Row],[VALOR UNIT]]-Tabela6[[#This Row],[DESCONTO]]</f>
        <v>637.28000000000009</v>
      </c>
      <c r="L1011" s="53">
        <f>Tabela6[[#This Row],[CUSTO TOTAL]]/Tabela6[[#This Row],[CONSUMO]]</f>
        <v>5.69</v>
      </c>
      <c r="M1011" s="50">
        <f>Tabela6[[#This Row],[KM ATUAL]]-E954</f>
        <v>432</v>
      </c>
      <c r="N1011" s="51">
        <f>Tabela6[[#This Row],[KM Rodados ]]/Tabela6[[#This Row],[CONSUMO]]</f>
        <v>3.8571428571428572</v>
      </c>
    </row>
    <row r="1012" spans="1:14" x14ac:dyDescent="0.25">
      <c r="A1012" s="47" t="s">
        <v>314</v>
      </c>
      <c r="B1012" s="78">
        <v>45043</v>
      </c>
      <c r="C1012" s="47" t="s">
        <v>203</v>
      </c>
      <c r="E1012" s="47">
        <v>93394</v>
      </c>
      <c r="G1012" s="50" t="s">
        <v>244</v>
      </c>
      <c r="H1012" s="51">
        <v>36.520000000000003</v>
      </c>
      <c r="K1012" s="74">
        <f>Tabela6[[#This Row],[CONSUMO]]*Tabela6[[#This Row],[VALOR UNIT]]-Tabela6[[#This Row],[DESCONTO]]</f>
        <v>0</v>
      </c>
      <c r="L1012" s="53">
        <f>Tabela6[[#This Row],[CUSTO TOTAL]]/Tabela6[[#This Row],[CONSUMO]]</f>
        <v>0</v>
      </c>
      <c r="M1012" s="50">
        <f>Tabela6[[#This Row],[KM ATUAL]]-E951</f>
        <v>-212807</v>
      </c>
      <c r="N1012" s="51">
        <f>Tabela6[[#This Row],[KM Rodados ]]/Tabela6[[#This Row],[CONSUMO]]</f>
        <v>-5827.135815991237</v>
      </c>
    </row>
    <row r="1013" spans="1:14" x14ac:dyDescent="0.25">
      <c r="A1013" s="47">
        <v>177185</v>
      </c>
      <c r="B1013" s="78">
        <v>45043</v>
      </c>
      <c r="C1013" s="47" t="s">
        <v>72</v>
      </c>
      <c r="D1013" s="49" t="s">
        <v>262</v>
      </c>
      <c r="E1013" s="47">
        <v>387333</v>
      </c>
      <c r="G1013" s="50" t="s">
        <v>89</v>
      </c>
      <c r="H1013" s="51">
        <v>28.271000000000001</v>
      </c>
      <c r="J1013" s="51">
        <v>5.69</v>
      </c>
      <c r="K1013" s="51">
        <f>Tabela6[[#This Row],[CONSUMO]]*Tabela6[[#This Row],[VALOR UNIT]]-Tabela6[[#This Row],[DESCONTO]]</f>
        <v>160.86199000000002</v>
      </c>
      <c r="L1013" s="53">
        <f>Tabela6[[#This Row],[CUSTO TOTAL]]/Tabela6[[#This Row],[CONSUMO]]</f>
        <v>5.69</v>
      </c>
      <c r="M1013" s="50">
        <f>Tabela6[[#This Row],[KM ATUAL]]-E985</f>
        <v>627</v>
      </c>
      <c r="N1013" s="51">
        <f>Tabela6[[#This Row],[KM Rodados ]]/Tabela6[[#This Row],[CONSUMO]]</f>
        <v>22.17820381309469</v>
      </c>
    </row>
    <row r="1014" spans="1:14" x14ac:dyDescent="0.25">
      <c r="A1014" s="47">
        <v>356763</v>
      </c>
      <c r="B1014" s="78">
        <v>45043</v>
      </c>
      <c r="C1014" s="47" t="s">
        <v>72</v>
      </c>
      <c r="D1014" s="49" t="s">
        <v>253</v>
      </c>
      <c r="E1014" s="47">
        <v>387484</v>
      </c>
      <c r="G1014" s="50" t="s">
        <v>89</v>
      </c>
      <c r="H1014" s="51">
        <v>21.42</v>
      </c>
      <c r="I1014" s="49">
        <v>12.13</v>
      </c>
      <c r="J1014" s="51">
        <v>6.09</v>
      </c>
      <c r="K1014" s="51">
        <f>Tabela6[[#This Row],[CONSUMO]]*Tabela6[[#This Row],[VALOR UNIT]]-Tabela6[[#This Row],[DESCONTO]]</f>
        <v>118.31780000000001</v>
      </c>
      <c r="L1014" s="53">
        <f>Tabela6[[#This Row],[CUSTO TOTAL]]/Tabela6[[#This Row],[CONSUMO]]</f>
        <v>5.5237068160597573</v>
      </c>
      <c r="M1014" s="50">
        <f>Tabela6[[#This Row],[KM ATUAL]]-E1013</f>
        <v>151</v>
      </c>
      <c r="N1014" s="51">
        <f>Tabela6[[#This Row],[KM Rodados ]]/Tabela6[[#This Row],[CONSUMO]]</f>
        <v>7.049486461251167</v>
      </c>
    </row>
    <row r="1015" spans="1:14" x14ac:dyDescent="0.25">
      <c r="A1015" s="47">
        <v>597557</v>
      </c>
      <c r="B1015" s="78">
        <v>45043</v>
      </c>
      <c r="C1015" s="47" t="s">
        <v>73</v>
      </c>
      <c r="D1015" s="49" t="s">
        <v>271</v>
      </c>
      <c r="E1015" s="47">
        <v>118457</v>
      </c>
      <c r="G1015" s="50" t="s">
        <v>89</v>
      </c>
      <c r="H1015" s="51">
        <v>179</v>
      </c>
      <c r="J1015" s="51">
        <v>5.6040999999999999</v>
      </c>
      <c r="K1015" s="51">
        <f>Tabela6[[#This Row],[CONSUMO]]*Tabela6[[#This Row],[VALOR UNIT]]-Tabela6[[#This Row],[DESCONTO]]</f>
        <v>1003.1338999999999</v>
      </c>
      <c r="L1015" s="53">
        <f>Tabela6[[#This Row],[CUSTO TOTAL]]/Tabela6[[#This Row],[CONSUMO]]</f>
        <v>5.6040999999999999</v>
      </c>
      <c r="M1015" s="50">
        <f>Tabela6[[#This Row],[KM ATUAL]]-E993</f>
        <v>-102951</v>
      </c>
      <c r="N1015" s="51">
        <f>Tabela6[[#This Row],[KM Rodados ]]/Tabela6[[#This Row],[CONSUMO]]</f>
        <v>-575.14525139664806</v>
      </c>
    </row>
    <row r="1016" spans="1:14" x14ac:dyDescent="0.25">
      <c r="A1016" s="47">
        <v>177200</v>
      </c>
      <c r="B1016" s="78">
        <v>45043</v>
      </c>
      <c r="C1016" s="47" t="s">
        <v>21</v>
      </c>
      <c r="D1016" s="49" t="s">
        <v>262</v>
      </c>
      <c r="E1016" s="47">
        <v>137922</v>
      </c>
      <c r="G1016" s="50" t="s">
        <v>89</v>
      </c>
      <c r="H1016" s="51">
        <v>143.209</v>
      </c>
      <c r="J1016" s="51">
        <v>5.69</v>
      </c>
      <c r="K1016" s="52">
        <f>Tabela6[[#This Row],[CONSUMO]]*Tabela6[[#This Row],[VALOR UNIT]]-Tabela6[[#This Row],[DESCONTO]]</f>
        <v>814.85921000000008</v>
      </c>
      <c r="L1016" s="53">
        <f>Tabela6[[#This Row],[CUSTO TOTAL]]/Tabela6[[#This Row],[CONSUMO]]</f>
        <v>5.69</v>
      </c>
      <c r="M1016" s="50">
        <f>Tabela6[[#This Row],[KM ATUAL]]-E974</f>
        <v>-475944</v>
      </c>
      <c r="N1016" s="51">
        <f>Tabela6[[#This Row],[KM Rodados ]]/Tabela6[[#This Row],[CONSUMO]]</f>
        <v>-3323.4224106026854</v>
      </c>
    </row>
    <row r="1017" spans="1:14" x14ac:dyDescent="0.25">
      <c r="A1017" s="47">
        <v>655246</v>
      </c>
      <c r="B1017" s="78">
        <v>45043</v>
      </c>
      <c r="C1017" s="47" t="s">
        <v>13</v>
      </c>
      <c r="D1017" s="49" t="s">
        <v>250</v>
      </c>
      <c r="E1017" s="47">
        <v>615182</v>
      </c>
      <c r="G1017" s="50" t="s">
        <v>89</v>
      </c>
      <c r="H1017" s="51">
        <v>149.06899999999999</v>
      </c>
      <c r="J1017" s="51">
        <v>5.49</v>
      </c>
      <c r="K1017" s="51">
        <f>Tabela6[[#This Row],[CONSUMO]]*Tabela6[[#This Row],[VALOR UNIT]]-Tabela6[[#This Row],[DESCONTO]]</f>
        <v>818.38880999999992</v>
      </c>
      <c r="L1017" s="53">
        <f>Tabela6[[#This Row],[CUSTO TOTAL]]/Tabela6[[#This Row],[CONSUMO]]</f>
        <v>5.49</v>
      </c>
      <c r="M1017" s="50">
        <f>Tabela6[[#This Row],[KM ATUAL]]-E985</f>
        <v>228476</v>
      </c>
      <c r="N1017" s="51">
        <f>Tabela6[[#This Row],[KM Rodados ]]/Tabela6[[#This Row],[CONSUMO]]</f>
        <v>1532.6862057168157</v>
      </c>
    </row>
    <row r="1018" spans="1:14" x14ac:dyDescent="0.25">
      <c r="A1018" s="47">
        <v>177209</v>
      </c>
      <c r="B1018" s="78">
        <v>45043</v>
      </c>
      <c r="C1018" s="47" t="s">
        <v>40</v>
      </c>
      <c r="D1018" s="49" t="s">
        <v>262</v>
      </c>
      <c r="E1018" s="47">
        <v>137921</v>
      </c>
      <c r="G1018" s="50" t="s">
        <v>244</v>
      </c>
      <c r="H1018" s="51">
        <v>32.67</v>
      </c>
      <c r="J1018" s="51">
        <v>5.49</v>
      </c>
      <c r="K1018" s="74">
        <f>Tabela6[[#This Row],[CONSUMO]]*Tabela6[[#This Row],[VALOR UNIT]]-Tabela6[[#This Row],[DESCONTO]]</f>
        <v>179.35830000000001</v>
      </c>
      <c r="L1018" s="53">
        <f>Tabela6[[#This Row],[CUSTO TOTAL]]/Tabela6[[#This Row],[CONSUMO]]</f>
        <v>5.49</v>
      </c>
      <c r="M1018" s="50">
        <f>Tabela6[[#This Row],[KM ATUAL]]-E980</f>
        <v>18030</v>
      </c>
      <c r="N1018" s="51">
        <f>Tabela6[[#This Row],[KM Rodados ]]/Tabela6[[#This Row],[CONSUMO]]</f>
        <v>551.88246097337003</v>
      </c>
    </row>
    <row r="1019" spans="1:14" x14ac:dyDescent="0.25">
      <c r="A1019" s="47">
        <v>84865</v>
      </c>
      <c r="B1019" s="78">
        <v>45043</v>
      </c>
      <c r="C1019" s="47" t="s">
        <v>74</v>
      </c>
      <c r="D1019" s="49" t="s">
        <v>263</v>
      </c>
      <c r="E1019" s="47">
        <v>49214</v>
      </c>
      <c r="G1019" s="50" t="s">
        <v>89</v>
      </c>
      <c r="H1019" s="51">
        <v>75.620999999999995</v>
      </c>
      <c r="I1019" s="49">
        <v>7.56</v>
      </c>
      <c r="J1019" s="51">
        <v>5.53</v>
      </c>
      <c r="K1019" s="51">
        <f>Tabela6[[#This Row],[CONSUMO]]*Tabela6[[#This Row],[VALOR UNIT]]-Tabela6[[#This Row],[DESCONTO]]</f>
        <v>410.62412999999998</v>
      </c>
      <c r="L1019" s="53">
        <f>Tabela6[[#This Row],[CUSTO TOTAL]]/Tabela6[[#This Row],[CONSUMO]]</f>
        <v>5.4300277700638713</v>
      </c>
      <c r="M1019" s="50">
        <f>Tabela6[[#This Row],[KM ATUAL]]-E993</f>
        <v>-172194</v>
      </c>
      <c r="N1019" s="51">
        <f>Tabela6[[#This Row],[KM Rodados ]]/Tabela6[[#This Row],[CONSUMO]]</f>
        <v>-2277.0658943944145</v>
      </c>
    </row>
    <row r="1020" spans="1:14" x14ac:dyDescent="0.25">
      <c r="A1020" s="47">
        <v>85203</v>
      </c>
      <c r="B1020" s="78">
        <v>45044</v>
      </c>
      <c r="C1020" s="47" t="s">
        <v>43</v>
      </c>
      <c r="D1020" s="49" t="s">
        <v>263</v>
      </c>
      <c r="E1020" s="47">
        <v>120337</v>
      </c>
      <c r="G1020" s="50" t="s">
        <v>89</v>
      </c>
      <c r="H1020" s="51">
        <v>18.66</v>
      </c>
      <c r="I1020" s="49">
        <v>1.87</v>
      </c>
      <c r="J1020" s="51">
        <v>5.53</v>
      </c>
      <c r="K1020" s="51">
        <f>Tabela6[[#This Row],[CONSUMO]]*Tabela6[[#This Row],[VALOR UNIT]]-Tabela6[[#This Row],[DESCONTO]]</f>
        <v>101.3198</v>
      </c>
      <c r="L1020" s="53">
        <f>Tabela6[[#This Row],[CUSTO TOTAL]]/Tabela6[[#This Row],[CONSUMO]]</f>
        <v>5.4297856377277602</v>
      </c>
      <c r="M1020" s="50">
        <f>Tabela6[[#This Row],[KM ATUAL]]-E1000</f>
        <v>-478568</v>
      </c>
      <c r="N1020" s="72">
        <f>Tabela6[[#This Row],[KM Rodados ]]/Tabela6[[#This Row],[CONSUMO]]</f>
        <v>-25646.730975348339</v>
      </c>
    </row>
    <row r="1021" spans="1:14" x14ac:dyDescent="0.25">
      <c r="A1021" s="47">
        <v>513775</v>
      </c>
      <c r="B1021" s="78">
        <v>45044</v>
      </c>
      <c r="C1021" s="47" t="s">
        <v>43</v>
      </c>
      <c r="D1021" s="49" t="s">
        <v>283</v>
      </c>
      <c r="E1021" s="47">
        <v>120699</v>
      </c>
      <c r="G1021" s="50" t="s">
        <v>89</v>
      </c>
      <c r="H1021" s="51">
        <v>40.72</v>
      </c>
      <c r="J1021" s="51">
        <v>6.49</v>
      </c>
      <c r="K1021" s="52">
        <f>Tabela6[[#This Row],[CONSUMO]]*Tabela6[[#This Row],[VALOR UNIT]]-Tabela6[[#This Row],[DESCONTO]]</f>
        <v>264.27280000000002</v>
      </c>
      <c r="L1021" s="53">
        <f>Tabela6[[#This Row],[CUSTO TOTAL]]/Tabela6[[#This Row],[CONSUMO]]</f>
        <v>6.49</v>
      </c>
      <c r="M1021" s="50">
        <f>Tabela6[[#This Row],[KM ATUAL]]-E1020</f>
        <v>362</v>
      </c>
      <c r="N1021" s="72">
        <f>Tabela6[[#This Row],[KM Rodados ]]/Tabela6[[#This Row],[CONSUMO]]</f>
        <v>8.8899803536345772</v>
      </c>
    </row>
    <row r="1022" spans="1:14" x14ac:dyDescent="0.25">
      <c r="A1022" s="47">
        <v>271744</v>
      </c>
      <c r="B1022" s="78">
        <v>45044</v>
      </c>
      <c r="C1022" s="47" t="s">
        <v>43</v>
      </c>
      <c r="D1022" s="49" t="s">
        <v>270</v>
      </c>
      <c r="E1022" s="47">
        <v>121064</v>
      </c>
      <c r="G1022" s="50" t="s">
        <v>89</v>
      </c>
      <c r="H1022" s="51">
        <v>44.17</v>
      </c>
      <c r="J1022" s="51">
        <v>5.59</v>
      </c>
      <c r="K1022" s="51">
        <f>Tabela6[[#This Row],[CONSUMO]]*Tabela6[[#This Row],[VALOR UNIT]]-Tabela6[[#This Row],[DESCONTO]]</f>
        <v>246.91030000000001</v>
      </c>
      <c r="L1022" s="53">
        <f>Tabela6[[#This Row],[CUSTO TOTAL]]/Tabela6[[#This Row],[CONSUMO]]</f>
        <v>5.59</v>
      </c>
      <c r="M1022" s="50">
        <f>Tabela6[[#This Row],[KM ATUAL]]-E1021</f>
        <v>365</v>
      </c>
      <c r="N1022" s="72">
        <f>Tabela6[[#This Row],[KM Rodados ]]/Tabela6[[#This Row],[CONSUMO]]</f>
        <v>8.2635272809599272</v>
      </c>
    </row>
    <row r="1023" spans="1:14" x14ac:dyDescent="0.25">
      <c r="A1023" s="47">
        <v>357745</v>
      </c>
      <c r="B1023" s="78">
        <v>45044</v>
      </c>
      <c r="C1023" s="47" t="s">
        <v>9</v>
      </c>
      <c r="D1023" s="49" t="s">
        <v>253</v>
      </c>
      <c r="E1023" s="47">
        <v>599478</v>
      </c>
      <c r="G1023" s="50" t="s">
        <v>89</v>
      </c>
      <c r="H1023" s="51">
        <v>153.47</v>
      </c>
      <c r="I1023" s="49">
        <v>46.04</v>
      </c>
      <c r="J1023" s="51">
        <v>6.09</v>
      </c>
      <c r="K1023" s="51">
        <f>Tabela6[[#This Row],[CONSUMO]]*Tabela6[[#This Row],[VALOR UNIT]]-Tabela6[[#This Row],[DESCONTO]]</f>
        <v>888.59230000000002</v>
      </c>
      <c r="L1023" s="53">
        <f>Tabela6[[#This Row],[CUSTO TOTAL]]/Tabela6[[#This Row],[CONSUMO]]</f>
        <v>5.7900065159314522</v>
      </c>
      <c r="M1023" s="50">
        <f>Tabela6[[#This Row],[KM ATUAL]]-E995</f>
        <v>461926</v>
      </c>
      <c r="N1023" s="51">
        <f>Tabela6[[#This Row],[KM Rodados ]]/Tabela6[[#This Row],[CONSUMO]]</f>
        <v>3009.8781520818402</v>
      </c>
    </row>
    <row r="1024" spans="1:14" x14ac:dyDescent="0.25">
      <c r="A1024" s="47">
        <v>271745</v>
      </c>
      <c r="B1024" s="78">
        <v>45044</v>
      </c>
      <c r="C1024" s="47" t="s">
        <v>222</v>
      </c>
      <c r="D1024" s="49" t="s">
        <v>270</v>
      </c>
      <c r="E1024" s="47">
        <v>471046</v>
      </c>
      <c r="G1024" s="50" t="s">
        <v>89</v>
      </c>
      <c r="H1024" s="51">
        <v>367.05</v>
      </c>
      <c r="J1024" s="51">
        <v>5.59</v>
      </c>
      <c r="K1024" s="51">
        <f>Tabela6[[#This Row],[CONSUMO]]*Tabela6[[#This Row],[VALOR UNIT]]-Tabela6[[#This Row],[DESCONTO]]</f>
        <v>2051.8094999999998</v>
      </c>
      <c r="L1024" s="53">
        <f>Tabela6[[#This Row],[CUSTO TOTAL]]/Tabela6[[#This Row],[CONSUMO]]</f>
        <v>5.589999999999999</v>
      </c>
      <c r="M1024" s="50">
        <f>Tabela6[[#This Row],[KM ATUAL]]-E990</f>
        <v>161824</v>
      </c>
      <c r="N1024" s="51">
        <f>Tabela6[[#This Row],[KM Rodados ]]/Tabela6[[#This Row],[CONSUMO]]</f>
        <v>440.87726467783682</v>
      </c>
    </row>
    <row r="1025" spans="1:14" x14ac:dyDescent="0.25">
      <c r="A1025" s="47">
        <v>357408</v>
      </c>
      <c r="B1025" s="78">
        <v>45044</v>
      </c>
      <c r="C1025" s="47" t="s">
        <v>67</v>
      </c>
      <c r="D1025" s="49" t="s">
        <v>253</v>
      </c>
      <c r="E1025" s="47">
        <v>662474</v>
      </c>
      <c r="G1025" s="50" t="s">
        <v>89</v>
      </c>
      <c r="H1025" s="51">
        <v>39.4</v>
      </c>
      <c r="I1025" s="49">
        <v>7.5</v>
      </c>
      <c r="J1025" s="51">
        <v>6.09</v>
      </c>
      <c r="K1025" s="52">
        <f>Tabela6[[#This Row],[CONSUMO]]*Tabela6[[#This Row],[VALOR UNIT]]-Tabela6[[#This Row],[DESCONTO]]</f>
        <v>232.446</v>
      </c>
      <c r="L1025" s="53">
        <f>Tabela6[[#This Row],[CUSTO TOTAL]]/Tabela6[[#This Row],[CONSUMO]]</f>
        <v>5.8996446700507619</v>
      </c>
      <c r="M1025" s="50">
        <f>Tabela6[[#This Row],[KM ATUAL]]-E1024</f>
        <v>191428</v>
      </c>
      <c r="N1025" s="51">
        <f>Tabela6[[#This Row],[KM Rodados ]]/Tabela6[[#This Row],[CONSUMO]]</f>
        <v>4858.5786802030461</v>
      </c>
    </row>
    <row r="1026" spans="1:14" x14ac:dyDescent="0.25">
      <c r="A1026" s="47">
        <v>271626</v>
      </c>
      <c r="B1026" s="78">
        <v>45044</v>
      </c>
      <c r="C1026" s="47" t="s">
        <v>67</v>
      </c>
      <c r="D1026" s="49" t="s">
        <v>270</v>
      </c>
      <c r="E1026" s="47">
        <v>662322</v>
      </c>
      <c r="G1026" s="50" t="s">
        <v>89</v>
      </c>
      <c r="H1026" s="51">
        <v>168.3</v>
      </c>
      <c r="J1026" s="51">
        <v>5.59</v>
      </c>
      <c r="K1026" s="51">
        <f>Tabela6[[#This Row],[CONSUMO]]*Tabela6[[#This Row],[VALOR UNIT]]-Tabela6[[#This Row],[DESCONTO]]</f>
        <v>940.79700000000003</v>
      </c>
      <c r="L1026" s="53">
        <f>Tabela6[[#This Row],[CUSTO TOTAL]]/Tabela6[[#This Row],[CONSUMO]]</f>
        <v>5.59</v>
      </c>
      <c r="M1026" s="50">
        <f>Tabela6[[#This Row],[KM ATUAL]]-E979</f>
        <v>542950</v>
      </c>
      <c r="N1026" s="51">
        <f>Tabela6[[#This Row],[KM Rodados ]]/Tabela6[[#This Row],[CONSUMO]]</f>
        <v>3226.0843731431964</v>
      </c>
    </row>
    <row r="1027" spans="1:14" x14ac:dyDescent="0.25">
      <c r="A1027" s="47">
        <v>292165</v>
      </c>
      <c r="B1027" s="78">
        <v>45044</v>
      </c>
      <c r="C1027" s="47" t="s">
        <v>207</v>
      </c>
      <c r="D1027" s="49" t="s">
        <v>276</v>
      </c>
      <c r="E1027" s="47">
        <v>63284</v>
      </c>
      <c r="G1027" s="50" t="s">
        <v>244</v>
      </c>
      <c r="H1027" s="51">
        <v>6.76</v>
      </c>
      <c r="J1027" s="51">
        <v>5.49</v>
      </c>
      <c r="K1027" s="51">
        <f>Tabela6[[#This Row],[CONSUMO]]*Tabela6[[#This Row],[VALOR UNIT]]-Tabela6[[#This Row],[DESCONTO]]</f>
        <v>37.112400000000001</v>
      </c>
      <c r="L1027" s="53">
        <f>Tabela6[[#This Row],[CUSTO TOTAL]]/Tabela6[[#This Row],[CONSUMO]]</f>
        <v>5.49</v>
      </c>
      <c r="M1027" s="50">
        <f>Tabela6[[#This Row],[KM ATUAL]]-E845</f>
        <v>-814445</v>
      </c>
      <c r="N1027" s="51">
        <f>Tabela6[[#This Row],[KM Rodados ]]/Tabela6[[#This Row],[CONSUMO]]</f>
        <v>-120480.02958579882</v>
      </c>
    </row>
    <row r="1028" spans="1:14" x14ac:dyDescent="0.25">
      <c r="A1028" s="47">
        <v>357397</v>
      </c>
      <c r="B1028" s="78">
        <v>45044</v>
      </c>
      <c r="C1028" s="47" t="s">
        <v>11</v>
      </c>
      <c r="D1028" s="49" t="s">
        <v>253</v>
      </c>
      <c r="E1028" s="47">
        <v>390743</v>
      </c>
      <c r="G1028" s="50" t="s">
        <v>89</v>
      </c>
      <c r="H1028" s="51">
        <v>107.97</v>
      </c>
      <c r="I1028" s="49">
        <v>32.39</v>
      </c>
      <c r="J1028" s="51">
        <v>6.09</v>
      </c>
      <c r="K1028" s="51">
        <f>Tabela6[[#This Row],[CONSUMO]]*Tabela6[[#This Row],[VALOR UNIT]]-Tabela6[[#This Row],[DESCONTO]]</f>
        <v>625.14729999999997</v>
      </c>
      <c r="L1028" s="53">
        <f>Tabela6[[#This Row],[CUSTO TOTAL]]/Tabela6[[#This Row],[CONSUMO]]</f>
        <v>5.7900092618319903</v>
      </c>
      <c r="M1028" s="50">
        <f>Tabela6[[#This Row],[KM ATUAL]]-E944</f>
        <v>5007</v>
      </c>
      <c r="N1028" s="51">
        <f>Tabela6[[#This Row],[KM Rodados ]]/Tabela6[[#This Row],[CONSUMO]]</f>
        <v>46.37399277577105</v>
      </c>
    </row>
    <row r="1029" spans="1:14" x14ac:dyDescent="0.25">
      <c r="A1029" s="47" t="s">
        <v>314</v>
      </c>
      <c r="B1029" s="78">
        <v>45044</v>
      </c>
      <c r="C1029" s="47" t="s">
        <v>206</v>
      </c>
      <c r="E1029" s="47">
        <v>934264</v>
      </c>
      <c r="G1029" s="50" t="s">
        <v>89</v>
      </c>
      <c r="H1029" s="51">
        <v>406.23</v>
      </c>
      <c r="K1029" s="52">
        <f>Tabela6[[#This Row],[CONSUMO]]*Tabela6[[#This Row],[VALOR UNIT]]-Tabela6[[#This Row],[DESCONTO]]</f>
        <v>0</v>
      </c>
      <c r="L1029" s="53">
        <f>Tabela6[[#This Row],[CUSTO TOTAL]]/Tabela6[[#This Row],[CONSUMO]]</f>
        <v>0</v>
      </c>
      <c r="M1029" s="50">
        <f>Tabela6[[#This Row],[KM ATUAL]]-E958</f>
        <v>1120</v>
      </c>
      <c r="N1029" s="72">
        <f>Tabela6[[#This Row],[KM Rodados ]]/Tabela6[[#This Row],[CONSUMO]]</f>
        <v>2.7570588090490609</v>
      </c>
    </row>
    <row r="1030" spans="1:14" x14ac:dyDescent="0.25">
      <c r="A1030" s="47">
        <v>177380</v>
      </c>
      <c r="B1030" s="78">
        <v>45044</v>
      </c>
      <c r="C1030" s="47" t="s">
        <v>20</v>
      </c>
      <c r="D1030" s="49" t="s">
        <v>262</v>
      </c>
      <c r="E1030" s="47">
        <v>245976</v>
      </c>
      <c r="G1030" s="50" t="s">
        <v>89</v>
      </c>
      <c r="H1030" s="51">
        <v>35.81</v>
      </c>
      <c r="J1030" s="51">
        <v>5.69</v>
      </c>
      <c r="K1030" s="51">
        <f>Tabela6[[#This Row],[CONSUMO]]*Tabela6[[#This Row],[VALOR UNIT]]-Tabela6[[#This Row],[DESCONTO]]</f>
        <v>203.75890000000004</v>
      </c>
      <c r="L1030" s="53">
        <f>Tabela6[[#This Row],[CUSTO TOTAL]]/Tabela6[[#This Row],[CONSUMO]]</f>
        <v>5.69</v>
      </c>
      <c r="M1030" s="50">
        <f>Tabela6[[#This Row],[KM ATUAL]]-E1001</f>
        <v>-115521</v>
      </c>
      <c r="N1030" s="51">
        <f>Tabela6[[#This Row],[KM Rodados ]]/Tabela6[[#This Row],[CONSUMO]]</f>
        <v>-3225.9424741692264</v>
      </c>
    </row>
    <row r="1031" spans="1:14" x14ac:dyDescent="0.25">
      <c r="A1031" s="47">
        <v>530129</v>
      </c>
      <c r="B1031" s="78">
        <v>45044</v>
      </c>
      <c r="C1031" s="47" t="s">
        <v>38</v>
      </c>
      <c r="D1031" s="49" t="s">
        <v>255</v>
      </c>
      <c r="E1031" s="47">
        <v>128500</v>
      </c>
      <c r="G1031" s="50" t="s">
        <v>244</v>
      </c>
      <c r="H1031" s="51">
        <v>47.19</v>
      </c>
      <c r="J1031" s="51">
        <v>5.74</v>
      </c>
      <c r="K1031" s="51">
        <f>Tabela6[[#This Row],[CONSUMO]]*Tabela6[[#This Row],[VALOR UNIT]]-Tabela6[[#This Row],[DESCONTO]]</f>
        <v>270.87060000000002</v>
      </c>
      <c r="L1031" s="53">
        <f>Tabela6[[#This Row],[CUSTO TOTAL]]/Tabela6[[#This Row],[CONSUMO]]</f>
        <v>5.7400000000000011</v>
      </c>
      <c r="M1031" s="50">
        <f>Tabela6[[#This Row],[KM ATUAL]]-E946</f>
        <v>-8176</v>
      </c>
      <c r="N1031" s="51">
        <f>Tabela6[[#This Row],[KM Rodados ]]/Tabela6[[#This Row],[CONSUMO]]</f>
        <v>-173.25704598431872</v>
      </c>
    </row>
    <row r="1032" spans="1:14" x14ac:dyDescent="0.25">
      <c r="A1032" s="47">
        <v>170160</v>
      </c>
      <c r="B1032" s="78">
        <v>45044</v>
      </c>
      <c r="C1032" s="47" t="s">
        <v>23</v>
      </c>
      <c r="D1032" s="49" t="s">
        <v>269</v>
      </c>
      <c r="E1032" s="47">
        <v>222007</v>
      </c>
      <c r="G1032" s="50" t="s">
        <v>89</v>
      </c>
      <c r="H1032" s="51">
        <v>140.12100000000001</v>
      </c>
      <c r="J1032" s="51">
        <v>5.49</v>
      </c>
      <c r="K1032" s="52">
        <f>Tabela6[[#This Row],[CONSUMO]]*Tabela6[[#This Row],[VALOR UNIT]]-Tabela6[[#This Row],[DESCONTO]]</f>
        <v>769.26429000000007</v>
      </c>
      <c r="L1032" s="53">
        <f>Tabela6[[#This Row],[CUSTO TOTAL]]/Tabela6[[#This Row],[CONSUMO]]</f>
        <v>5.49</v>
      </c>
      <c r="M1032" s="50">
        <f>Tabela6[[#This Row],[KM ATUAL]]-E991</f>
        <v>-392524</v>
      </c>
      <c r="N1032" s="51">
        <f>Tabela6[[#This Row],[KM Rodados ]]/Tabela6[[#This Row],[CONSUMO]]</f>
        <v>-2801.3217148036338</v>
      </c>
    </row>
    <row r="1033" spans="1:14" x14ac:dyDescent="0.25">
      <c r="A1033" s="47" t="s">
        <v>314</v>
      </c>
      <c r="B1033" s="78">
        <v>45044</v>
      </c>
      <c r="C1033" s="47" t="s">
        <v>40</v>
      </c>
      <c r="E1033" s="47">
        <v>138430</v>
      </c>
      <c r="G1033" s="50" t="s">
        <v>244</v>
      </c>
      <c r="H1033" s="51">
        <v>38.56</v>
      </c>
      <c r="K1033" s="52">
        <f>Tabela6[[#This Row],[CONSUMO]]*Tabela6[[#This Row],[VALOR UNIT]]-Tabela6[[#This Row],[DESCONTO]]</f>
        <v>0</v>
      </c>
      <c r="L1033" s="53">
        <f>Tabela6[[#This Row],[CUSTO TOTAL]]/Tabela6[[#This Row],[CONSUMO]]</f>
        <v>0</v>
      </c>
      <c r="M1033" s="50">
        <f>Tabela6[[#This Row],[KM ATUAL]]-E1016</f>
        <v>508</v>
      </c>
      <c r="N1033" s="51">
        <f>Tabela6[[#This Row],[KM Rodados ]]/Tabela6[[#This Row],[CONSUMO]]</f>
        <v>13.174273858921161</v>
      </c>
    </row>
    <row r="1034" spans="1:14" x14ac:dyDescent="0.25">
      <c r="A1034" s="47" t="s">
        <v>314</v>
      </c>
      <c r="B1034" s="78">
        <v>45045</v>
      </c>
      <c r="C1034" s="47" t="s">
        <v>39</v>
      </c>
      <c r="E1034" s="47">
        <v>84041</v>
      </c>
      <c r="G1034" s="50" t="s">
        <v>89</v>
      </c>
      <c r="H1034" s="51">
        <v>82.45</v>
      </c>
      <c r="K1034" s="52">
        <f>Tabela6[[#This Row],[CONSUMO]]*Tabela6[[#This Row],[VALOR UNIT]]-Tabela6[[#This Row],[DESCONTO]]</f>
        <v>0</v>
      </c>
      <c r="L1034" s="53">
        <f>Tabela6[[#This Row],[CUSTO TOTAL]]/Tabela6[[#This Row],[CONSUMO]]</f>
        <v>0</v>
      </c>
      <c r="M1034" s="50">
        <f>Tabela6[[#This Row],[KM ATUAL]]-E1000</f>
        <v>-514864</v>
      </c>
      <c r="N1034" s="51">
        <f>Tabela6[[#This Row],[KM Rodados ]]/Tabela6[[#This Row],[CONSUMO]]</f>
        <v>-6244.5603395997568</v>
      </c>
    </row>
    <row r="1035" spans="1:14" x14ac:dyDescent="0.25">
      <c r="A1035" s="47" t="s">
        <v>314</v>
      </c>
      <c r="B1035" s="78">
        <v>45045</v>
      </c>
      <c r="C1035" s="47" t="s">
        <v>18</v>
      </c>
      <c r="E1035" s="47">
        <v>307993</v>
      </c>
      <c r="G1035" s="50" t="s">
        <v>89</v>
      </c>
      <c r="H1035" s="51">
        <v>78.599999999999994</v>
      </c>
      <c r="K1035" s="52">
        <f>Tabela6[[#This Row],[CONSUMO]]*Tabela6[[#This Row],[VALOR UNIT]]-Tabela6[[#This Row],[DESCONTO]]</f>
        <v>0</v>
      </c>
      <c r="L1035" s="53">
        <f>Tabela6[[#This Row],[CUSTO TOTAL]]/Tabela6[[#This Row],[CONSUMO]]</f>
        <v>0</v>
      </c>
      <c r="M1035" s="50">
        <f>Tabela6[[#This Row],[KM ATUAL]]-E1007</f>
        <v>-52009</v>
      </c>
      <c r="N1035" s="51">
        <f>Tabela6[[#This Row],[KM Rodados ]]/Tabela6[[#This Row],[CONSUMO]]</f>
        <v>-661.69211195928756</v>
      </c>
    </row>
    <row r="1036" spans="1:14" x14ac:dyDescent="0.25">
      <c r="A1036" s="47">
        <v>292520</v>
      </c>
      <c r="B1036" s="78">
        <v>45045</v>
      </c>
      <c r="C1036" s="47" t="s">
        <v>40</v>
      </c>
      <c r="D1036" s="49" t="s">
        <v>276</v>
      </c>
      <c r="E1036" s="47">
        <v>138967</v>
      </c>
      <c r="G1036" s="50" t="s">
        <v>244</v>
      </c>
      <c r="H1036" s="51">
        <v>40.619</v>
      </c>
      <c r="J1036" s="51">
        <v>5.49</v>
      </c>
      <c r="K1036" s="74">
        <f>Tabela6[[#This Row],[CONSUMO]]*Tabela6[[#This Row],[VALOR UNIT]]-Tabela6[[#This Row],[DESCONTO]]</f>
        <v>222.99831</v>
      </c>
      <c r="L1036" s="53">
        <f>Tabela6[[#This Row],[CUSTO TOTAL]]/Tabela6[[#This Row],[CONSUMO]]</f>
        <v>5.49</v>
      </c>
      <c r="M1036" s="50">
        <f>Tabela6[[#This Row],[KM ATUAL]]-E1035</f>
        <v>-169026</v>
      </c>
      <c r="N1036" s="51">
        <f>Tabela6[[#This Row],[KM Rodados ]]/Tabela6[[#This Row],[CONSUMO]]</f>
        <v>-4161.2545852925969</v>
      </c>
    </row>
    <row r="1037" spans="1:14" x14ac:dyDescent="0.25">
      <c r="A1037" s="47" t="s">
        <v>314</v>
      </c>
      <c r="B1037" s="78">
        <v>45046</v>
      </c>
      <c r="C1037" s="47" t="s">
        <v>203</v>
      </c>
      <c r="E1037" s="47">
        <v>93546</v>
      </c>
      <c r="G1037" s="50" t="s">
        <v>244</v>
      </c>
      <c r="H1037" s="51">
        <v>12.3</v>
      </c>
      <c r="K1037" s="74">
        <f>Tabela6[[#This Row],[CONSUMO]]*Tabela6[[#This Row],[VALOR UNIT]]-Tabela6[[#This Row],[DESCONTO]]</f>
        <v>0</v>
      </c>
      <c r="L1037" s="53">
        <f>Tabela6[[#This Row],[CUSTO TOTAL]]/Tabela6[[#This Row],[CONSUMO]]</f>
        <v>0</v>
      </c>
      <c r="M1037" s="50">
        <f>Tabela6[[#This Row],[KM ATUAL]]-E1036</f>
        <v>-45421</v>
      </c>
      <c r="N1037" s="51">
        <f>Tabela6[[#This Row],[KM Rodados ]]/Tabela6[[#This Row],[CONSUMO]]</f>
        <v>-3692.7642276422762</v>
      </c>
    </row>
    <row r="1038" spans="1:14" x14ac:dyDescent="0.25">
      <c r="A1038" s="47" t="s">
        <v>314</v>
      </c>
      <c r="B1038" s="78">
        <v>45046</v>
      </c>
      <c r="C1038" s="47" t="s">
        <v>16</v>
      </c>
      <c r="E1038" s="47">
        <v>294701</v>
      </c>
      <c r="G1038" s="50" t="s">
        <v>89</v>
      </c>
      <c r="H1038" s="51">
        <v>111.2</v>
      </c>
      <c r="K1038" s="52">
        <f>Tabela6[[#This Row],[CONSUMO]]*Tabela6[[#This Row],[VALOR UNIT]]-Tabela6[[#This Row],[DESCONTO]]</f>
        <v>0</v>
      </c>
      <c r="L1038" s="53">
        <f>Tabela6[[#This Row],[CUSTO TOTAL]]/Tabela6[[#This Row],[CONSUMO]]</f>
        <v>0</v>
      </c>
      <c r="M1038" s="50">
        <f>Tabela6[[#This Row],[KM ATUAL]]-E965</f>
        <v>176275</v>
      </c>
      <c r="N1038" s="51">
        <f>Tabela6[[#This Row],[KM Rodados ]]/Tabela6[[#This Row],[CONSUMO]]</f>
        <v>1585.2068345323742</v>
      </c>
    </row>
    <row r="1039" spans="1:14" x14ac:dyDescent="0.25">
      <c r="A1039" s="47" t="s">
        <v>314</v>
      </c>
      <c r="B1039" s="78">
        <v>45047</v>
      </c>
      <c r="C1039" s="47" t="s">
        <v>215</v>
      </c>
      <c r="E1039" s="47">
        <v>222415</v>
      </c>
      <c r="G1039" s="50" t="s">
        <v>244</v>
      </c>
      <c r="H1039" s="51">
        <v>20</v>
      </c>
      <c r="K1039" s="52">
        <f>Tabela6[[#This Row],[CONSUMO]]*Tabela6[[#This Row],[VALOR UNIT]]-Tabela6[[#This Row],[DESCONTO]]</f>
        <v>0</v>
      </c>
      <c r="L1039" s="53">
        <f>Tabela6[[#This Row],[CUSTO TOTAL]]/Tabela6[[#This Row],[CONSUMO]]</f>
        <v>0</v>
      </c>
      <c r="M1039" s="50">
        <f>Tabela6[[#This Row],[KM ATUAL]]-E870</f>
        <v>88066</v>
      </c>
      <c r="N1039" s="49">
        <f>Tabela6[[#This Row],[KM Rodados ]]/Tabela6[[#This Row],[CONSUMO]]</f>
        <v>4403.3</v>
      </c>
    </row>
    <row r="1040" spans="1:14" x14ac:dyDescent="0.25">
      <c r="A1040" s="47">
        <v>117869</v>
      </c>
      <c r="B1040" s="78">
        <v>45047</v>
      </c>
      <c r="C1040" s="47" t="s">
        <v>203</v>
      </c>
      <c r="D1040" s="49" t="s">
        <v>260</v>
      </c>
      <c r="E1040" s="47">
        <v>93686</v>
      </c>
      <c r="G1040" s="50" t="s">
        <v>244</v>
      </c>
      <c r="H1040" s="51">
        <v>11.69</v>
      </c>
      <c r="J1040" s="51">
        <v>5.39</v>
      </c>
      <c r="K1040" s="52">
        <f>Tabela6[[#This Row],[CONSUMO]]*Tabela6[[#This Row],[VALOR UNIT]]-Tabela6[[#This Row],[DESCONTO]]</f>
        <v>63.009099999999997</v>
      </c>
      <c r="L1040" s="53">
        <f>Tabela6[[#This Row],[CUSTO TOTAL]]/Tabela6[[#This Row],[CONSUMO]]</f>
        <v>5.39</v>
      </c>
      <c r="M1040" s="50">
        <f>Tabela6[[#This Row],[KM ATUAL]]-E1039</f>
        <v>-128729</v>
      </c>
      <c r="N1040" s="51">
        <f>Tabela6[[#This Row],[KM Rodados ]]/Tabela6[[#This Row],[CONSUMO]]</f>
        <v>-11011.890504704876</v>
      </c>
    </row>
    <row r="1041" spans="1:14" x14ac:dyDescent="0.25">
      <c r="A1041" s="47" t="s">
        <v>314</v>
      </c>
      <c r="B1041" s="78">
        <v>45047</v>
      </c>
      <c r="C1041" s="47" t="s">
        <v>72</v>
      </c>
      <c r="E1041" s="47">
        <v>387604</v>
      </c>
      <c r="G1041" s="50" t="s">
        <v>89</v>
      </c>
      <c r="H1041" s="51">
        <v>15.62</v>
      </c>
      <c r="K1041" s="52">
        <f>Tabela6[[#This Row],[CONSUMO]]*Tabela6[[#This Row],[VALOR UNIT]]-Tabela6[[#This Row],[DESCONTO]]</f>
        <v>0</v>
      </c>
      <c r="L1041" s="53">
        <f>Tabela6[[#This Row],[CUSTO TOTAL]]/Tabela6[[#This Row],[CONSUMO]]</f>
        <v>0</v>
      </c>
      <c r="M1041" s="50">
        <f>Tabela6[[#This Row],[KM ATUAL]]-E1011</f>
        <v>64724</v>
      </c>
      <c r="N1041" s="51">
        <f>Tabela6[[#This Row],[KM Rodados ]]/Tabela6[[#This Row],[CONSUMO]]</f>
        <v>4143.6619718309857</v>
      </c>
    </row>
    <row r="1042" spans="1:14" x14ac:dyDescent="0.25">
      <c r="A1042" s="47">
        <v>178269</v>
      </c>
      <c r="B1042" s="78">
        <v>45047</v>
      </c>
      <c r="C1042" s="47" t="s">
        <v>10</v>
      </c>
      <c r="D1042" s="49" t="s">
        <v>262</v>
      </c>
      <c r="E1042" s="47">
        <v>711474</v>
      </c>
      <c r="G1042" s="50" t="s">
        <v>89</v>
      </c>
      <c r="H1042" s="51">
        <v>136.37100000000001</v>
      </c>
      <c r="J1042" s="51">
        <v>5.69</v>
      </c>
      <c r="K1042" s="51">
        <f>Tabela6[[#This Row],[CONSUMO]]*Tabela6[[#This Row],[VALOR UNIT]]-Tabela6[[#This Row],[DESCONTO]]</f>
        <v>775.95099000000016</v>
      </c>
      <c r="L1042" s="53">
        <f>Tabela6[[#This Row],[CUSTO TOTAL]]/Tabela6[[#This Row],[CONSUMO]]</f>
        <v>5.69</v>
      </c>
      <c r="M1042" s="50">
        <f>Tabela6[[#This Row],[KM ATUAL]]-E996</f>
        <v>662915</v>
      </c>
      <c r="N1042" s="51">
        <f>Tabela6[[#This Row],[KM Rodados ]]/Tabela6[[#This Row],[CONSUMO]]</f>
        <v>4861.1141665016748</v>
      </c>
    </row>
    <row r="1043" spans="1:14" x14ac:dyDescent="0.25">
      <c r="A1043" s="47" t="s">
        <v>314</v>
      </c>
      <c r="B1043" s="78">
        <v>45047</v>
      </c>
      <c r="C1043" s="47" t="s">
        <v>40</v>
      </c>
      <c r="E1043" s="47">
        <v>139332</v>
      </c>
      <c r="G1043" s="50" t="s">
        <v>244</v>
      </c>
      <c r="H1043" s="51">
        <v>31.6</v>
      </c>
      <c r="K1043" s="52">
        <f>Tabela6[[#This Row],[CONSUMO]]*Tabela6[[#This Row],[VALOR UNIT]]-Tabela6[[#This Row],[DESCONTO]]</f>
        <v>0</v>
      </c>
      <c r="L1043" s="53">
        <f>Tabela6[[#This Row],[CUSTO TOTAL]]/Tabela6[[#This Row],[CONSUMO]]</f>
        <v>0</v>
      </c>
      <c r="M1043" s="50">
        <f>Tabela6[[#This Row],[KM ATUAL]]-E1002</f>
        <v>-330902</v>
      </c>
      <c r="N1043" s="51">
        <f>Tabela6[[#This Row],[KM Rodados ]]/Tabela6[[#This Row],[CONSUMO]]</f>
        <v>-10471.582278481012</v>
      </c>
    </row>
    <row r="1044" spans="1:14" x14ac:dyDescent="0.25">
      <c r="A1044" s="47">
        <v>293483</v>
      </c>
      <c r="B1044" s="78">
        <v>45048</v>
      </c>
      <c r="C1044" s="47" t="s">
        <v>203</v>
      </c>
      <c r="D1044" s="49" t="s">
        <v>276</v>
      </c>
      <c r="E1044" s="47">
        <v>94187</v>
      </c>
      <c r="G1044" s="50" t="s">
        <v>244</v>
      </c>
      <c r="H1044" s="51">
        <v>41.35</v>
      </c>
      <c r="J1044" s="51">
        <v>5.49</v>
      </c>
      <c r="K1044" s="52">
        <f>Tabela6[[#This Row],[CONSUMO]]*Tabela6[[#This Row],[VALOR UNIT]]-Tabela6[[#This Row],[DESCONTO]]</f>
        <v>227.01150000000001</v>
      </c>
      <c r="L1044" s="53">
        <f>Tabela6[[#This Row],[CUSTO TOTAL]]/Tabela6[[#This Row],[CONSUMO]]</f>
        <v>5.49</v>
      </c>
      <c r="M1044" s="50">
        <f>Tabela6[[#This Row],[KM ATUAL]]-E1042</f>
        <v>-617287</v>
      </c>
      <c r="N1044" s="51">
        <f>Tabela6[[#This Row],[KM Rodados ]]/Tabela6[[#This Row],[CONSUMO]]</f>
        <v>-14928.343409915356</v>
      </c>
    </row>
    <row r="1045" spans="1:14" x14ac:dyDescent="0.25">
      <c r="A1045" s="47">
        <v>178326</v>
      </c>
      <c r="B1045" s="78">
        <v>45048</v>
      </c>
      <c r="C1045" s="47" t="s">
        <v>72</v>
      </c>
      <c r="D1045" s="49" t="s">
        <v>262</v>
      </c>
      <c r="E1045" s="47">
        <v>387977</v>
      </c>
      <c r="G1045" s="50" t="s">
        <v>89</v>
      </c>
      <c r="H1045" s="51">
        <v>41.65</v>
      </c>
      <c r="J1045" s="51">
        <v>5.69</v>
      </c>
      <c r="K1045" s="51">
        <f>Tabela6[[#This Row],[CONSUMO]]*Tabela6[[#This Row],[VALOR UNIT]]-Tabela6[[#This Row],[DESCONTO]]</f>
        <v>236.98850000000002</v>
      </c>
      <c r="L1045" s="53">
        <f>Tabela6[[#This Row],[CUSTO TOTAL]]/Tabela6[[#This Row],[CONSUMO]]</f>
        <v>5.69</v>
      </c>
      <c r="M1045" s="50">
        <f>Tabela6[[#This Row],[KM ATUAL]]-E1044</f>
        <v>293790</v>
      </c>
      <c r="N1045" s="51">
        <f>Tabela6[[#This Row],[KM Rodados ]]/Tabela6[[#This Row],[CONSUMO]]</f>
        <v>7053.7815126050418</v>
      </c>
    </row>
    <row r="1046" spans="1:14" x14ac:dyDescent="0.25">
      <c r="A1046" s="47">
        <v>360516</v>
      </c>
      <c r="B1046" s="78">
        <v>45048</v>
      </c>
      <c r="C1046" s="47" t="s">
        <v>41</v>
      </c>
      <c r="D1046" s="49" t="s">
        <v>253</v>
      </c>
      <c r="E1046" s="47">
        <v>657703</v>
      </c>
      <c r="G1046" s="50" t="s">
        <v>89</v>
      </c>
      <c r="H1046" s="51">
        <v>135.4</v>
      </c>
      <c r="I1046" s="49">
        <v>40.619999999999997</v>
      </c>
      <c r="J1046" s="51">
        <v>6.09</v>
      </c>
      <c r="K1046" s="51">
        <f>Tabela6[[#This Row],[CONSUMO]]*Tabela6[[#This Row],[VALOR UNIT]]-Tabela6[[#This Row],[DESCONTO]]</f>
        <v>783.96600000000001</v>
      </c>
      <c r="L1046" s="53">
        <f>Tabela6[[#This Row],[CUSTO TOTAL]]/Tabela6[[#This Row],[CONSUMO]]</f>
        <v>5.79</v>
      </c>
      <c r="M1046" s="50">
        <f>Tabela6[[#This Row],[KM ATUAL]]-E994</f>
        <v>436295</v>
      </c>
      <c r="N1046" s="51">
        <f>Tabela6[[#This Row],[KM Rodados ]]/Tabela6[[#This Row],[CONSUMO]]</f>
        <v>3222.2673559822747</v>
      </c>
    </row>
    <row r="1047" spans="1:14" x14ac:dyDescent="0.25">
      <c r="A1047" s="47">
        <v>360374</v>
      </c>
      <c r="B1047" s="78">
        <v>45048</v>
      </c>
      <c r="C1047" s="47" t="s">
        <v>12</v>
      </c>
      <c r="D1047" s="49" t="s">
        <v>253</v>
      </c>
      <c r="E1047" s="47">
        <v>309827</v>
      </c>
      <c r="G1047" s="50" t="s">
        <v>89</v>
      </c>
      <c r="H1047" s="51">
        <v>105.72</v>
      </c>
      <c r="I1047" s="49">
        <v>31.72</v>
      </c>
      <c r="J1047" s="51">
        <v>6.09</v>
      </c>
      <c r="K1047" s="51">
        <f>Tabela6[[#This Row],[CONSUMO]]*Tabela6[[#This Row],[VALOR UNIT]]-Tabela6[[#This Row],[DESCONTO]]</f>
        <v>612.11479999999995</v>
      </c>
      <c r="L1047" s="53">
        <f>Tabela6[[#This Row],[CUSTO TOTAL]]/Tabela6[[#This Row],[CONSUMO]]</f>
        <v>5.7899621642073393</v>
      </c>
      <c r="M1047" s="50">
        <f>Tabela6[[#This Row],[KM ATUAL]]-E978</f>
        <v>190720</v>
      </c>
      <c r="N1047" s="51">
        <f>Tabela6[[#This Row],[KM Rodados ]]/Tabela6[[#This Row],[CONSUMO]]</f>
        <v>1804.0105940219448</v>
      </c>
    </row>
    <row r="1048" spans="1:14" x14ac:dyDescent="0.25">
      <c r="A1048" s="47">
        <v>531042</v>
      </c>
      <c r="B1048" s="78">
        <v>45048</v>
      </c>
      <c r="C1048" s="47" t="s">
        <v>16</v>
      </c>
      <c r="D1048" s="49" t="s">
        <v>255</v>
      </c>
      <c r="E1048" s="47">
        <v>295371</v>
      </c>
      <c r="G1048" s="50" t="s">
        <v>89</v>
      </c>
      <c r="H1048" s="51">
        <v>125.05</v>
      </c>
      <c r="J1048" s="51">
        <v>6.27</v>
      </c>
      <c r="K1048" s="52">
        <f>Tabela6[[#This Row],[CONSUMO]]*Tabela6[[#This Row],[VALOR UNIT]]-Tabela6[[#This Row],[DESCONTO]]</f>
        <v>784.06349999999998</v>
      </c>
      <c r="L1048" s="53">
        <f>Tabela6[[#This Row],[CUSTO TOTAL]]/Tabela6[[#This Row],[CONSUMO]]</f>
        <v>6.27</v>
      </c>
      <c r="M1048" s="50">
        <f>Tabela6[[#This Row],[KM ATUAL]]-E1035</f>
        <v>-12622</v>
      </c>
      <c r="N1048" s="51">
        <f>Tabela6[[#This Row],[KM Rodados ]]/Tabela6[[#This Row],[CONSUMO]]</f>
        <v>-100.93562574970012</v>
      </c>
    </row>
    <row r="1049" spans="1:14" x14ac:dyDescent="0.25">
      <c r="A1049" s="47">
        <v>178493</v>
      </c>
      <c r="B1049" s="78">
        <v>45048</v>
      </c>
      <c r="C1049" s="47" t="s">
        <v>19</v>
      </c>
      <c r="D1049" s="49" t="s">
        <v>262</v>
      </c>
      <c r="E1049" s="47">
        <v>303799</v>
      </c>
      <c r="G1049" s="50" t="s">
        <v>89</v>
      </c>
      <c r="H1049" s="51">
        <v>212.56100000000001</v>
      </c>
      <c r="J1049" s="51">
        <v>5.69</v>
      </c>
      <c r="K1049" s="52">
        <f>Tabela6[[#This Row],[CONSUMO]]*Tabela6[[#This Row],[VALOR UNIT]]-Tabela6[[#This Row],[DESCONTO]]</f>
        <v>1209.4720900000002</v>
      </c>
      <c r="L1049" s="53">
        <f>Tabela6[[#This Row],[CUSTO TOTAL]]/Tabela6[[#This Row],[CONSUMO]]</f>
        <v>5.69</v>
      </c>
      <c r="M1049" s="50">
        <f>Tabela6[[#This Row],[KM ATUAL]]-E915</f>
        <v>212559</v>
      </c>
      <c r="N1049" s="51">
        <f>Tabela6[[#This Row],[KM Rodados ]]/Tabela6[[#This Row],[CONSUMO]]</f>
        <v>999.99059093624885</v>
      </c>
    </row>
    <row r="1050" spans="1:14" x14ac:dyDescent="0.25">
      <c r="A1050" s="47">
        <v>178327</v>
      </c>
      <c r="B1050" s="78">
        <v>45048</v>
      </c>
      <c r="C1050" s="47" t="s">
        <v>20</v>
      </c>
      <c r="D1050" s="49" t="s">
        <v>262</v>
      </c>
      <c r="E1050" s="47">
        <v>246303</v>
      </c>
      <c r="G1050" s="50" t="s">
        <v>89</v>
      </c>
      <c r="H1050" s="51">
        <v>47.58</v>
      </c>
      <c r="J1050" s="51">
        <v>5.69</v>
      </c>
      <c r="K1050" s="51">
        <f>Tabela6[[#This Row],[CONSUMO]]*Tabela6[[#This Row],[VALOR UNIT]]-Tabela6[[#This Row],[DESCONTO]]</f>
        <v>270.73020000000002</v>
      </c>
      <c r="L1050" s="53">
        <f>Tabela6[[#This Row],[CUSTO TOTAL]]/Tabela6[[#This Row],[CONSUMO]]</f>
        <v>5.69</v>
      </c>
      <c r="M1050" s="50">
        <f>Tabela6[[#This Row],[KM ATUAL]]-E1035</f>
        <v>-61690</v>
      </c>
      <c r="N1050" s="51">
        <f>Tabela6[[#This Row],[KM Rodados ]]/Tabela6[[#This Row],[CONSUMO]]</f>
        <v>-1296.553173602354</v>
      </c>
    </row>
    <row r="1051" spans="1:14" x14ac:dyDescent="0.25">
      <c r="A1051" s="47">
        <v>171678</v>
      </c>
      <c r="B1051" s="78">
        <v>45048</v>
      </c>
      <c r="C1051" s="47" t="s">
        <v>23</v>
      </c>
      <c r="D1051" s="49" t="s">
        <v>268</v>
      </c>
      <c r="E1051" s="47">
        <v>222378</v>
      </c>
      <c r="G1051" s="50" t="s">
        <v>89</v>
      </c>
      <c r="H1051" s="51">
        <v>85</v>
      </c>
      <c r="J1051" s="51">
        <v>5.49</v>
      </c>
      <c r="K1051" s="51">
        <f>Tabela6[[#This Row],[CONSUMO]]*Tabela6[[#This Row],[VALOR UNIT]]-Tabela6[[#This Row],[DESCONTO]]</f>
        <v>466.65000000000003</v>
      </c>
      <c r="L1051" s="53">
        <f>Tabela6[[#This Row],[CUSTO TOTAL]]/Tabela6[[#This Row],[CONSUMO]]</f>
        <v>5.49</v>
      </c>
      <c r="M1051" s="50">
        <f>Tabela6[[#This Row],[KM ATUAL]]-E1038</f>
        <v>-72323</v>
      </c>
      <c r="N1051" s="51">
        <f>Tabela6[[#This Row],[KM Rodados ]]/Tabela6[[#This Row],[CONSUMO]]</f>
        <v>-850.85882352941178</v>
      </c>
    </row>
    <row r="1052" spans="1:14" x14ac:dyDescent="0.25">
      <c r="A1052" s="47">
        <v>659026</v>
      </c>
      <c r="B1052" s="78">
        <v>45048</v>
      </c>
      <c r="C1052" s="47" t="s">
        <v>74</v>
      </c>
      <c r="D1052" s="49" t="s">
        <v>250</v>
      </c>
      <c r="E1052" s="47">
        <v>49238</v>
      </c>
      <c r="G1052" s="50" t="s">
        <v>89</v>
      </c>
      <c r="H1052" s="51">
        <v>4.6900000000000004</v>
      </c>
      <c r="J1052" s="51">
        <v>5.49</v>
      </c>
      <c r="K1052" s="52">
        <f>Tabela6[[#This Row],[CONSUMO]]*Tabela6[[#This Row],[VALOR UNIT]]-Tabela6[[#This Row],[DESCONTO]]</f>
        <v>25.748100000000004</v>
      </c>
      <c r="L1052" s="53">
        <f>Tabela6[[#This Row],[CUSTO TOTAL]]/Tabela6[[#This Row],[CONSUMO]]</f>
        <v>5.49</v>
      </c>
      <c r="M1052" s="50">
        <f>Tabela6[[#This Row],[KM ATUAL]]-E1023</f>
        <v>-550240</v>
      </c>
      <c r="N1052" s="51">
        <f>Tabela6[[#This Row],[KM Rodados ]]/Tabela6[[#This Row],[CONSUMO]]</f>
        <v>-117321.96162046907</v>
      </c>
    </row>
    <row r="1053" spans="1:14" x14ac:dyDescent="0.25">
      <c r="A1053" s="47">
        <v>178623</v>
      </c>
      <c r="B1053" s="78">
        <v>45049</v>
      </c>
      <c r="C1053" s="47" t="s">
        <v>68</v>
      </c>
      <c r="D1053" s="49" t="s">
        <v>262</v>
      </c>
      <c r="E1053" s="47">
        <v>882970</v>
      </c>
      <c r="G1053" s="50" t="s">
        <v>89</v>
      </c>
      <c r="H1053" s="51">
        <v>353.30099999999999</v>
      </c>
      <c r="J1053" s="51">
        <v>5.69</v>
      </c>
      <c r="K1053" s="51">
        <f>Tabela6[[#This Row],[CONSUMO]]*Tabela6[[#This Row],[VALOR UNIT]]-Tabela6[[#This Row],[DESCONTO]]</f>
        <v>2010.28269</v>
      </c>
      <c r="L1053" s="53">
        <f>Tabela6[[#This Row],[CUSTO TOTAL]]/Tabela6[[#This Row],[CONSUMO]]</f>
        <v>5.69</v>
      </c>
      <c r="M1053" s="50">
        <f>Tabela6[[#This Row],[KM ATUAL]]-E1011</f>
        <v>560090</v>
      </c>
      <c r="N1053" s="51">
        <f>Tabela6[[#This Row],[KM Rodados ]]/Tabela6[[#This Row],[CONSUMO]]</f>
        <v>1585.3054477626727</v>
      </c>
    </row>
    <row r="1054" spans="1:14" x14ac:dyDescent="0.25">
      <c r="A1054" s="47" t="s">
        <v>314</v>
      </c>
      <c r="B1054" s="78">
        <v>45049</v>
      </c>
      <c r="C1054" s="47" t="s">
        <v>43</v>
      </c>
      <c r="E1054" s="47">
        <v>121468</v>
      </c>
      <c r="G1054" s="50" t="s">
        <v>89</v>
      </c>
      <c r="H1054" s="51">
        <v>45.6</v>
      </c>
      <c r="K1054" s="52">
        <f>Tabela6[[#This Row],[CONSUMO]]*Tabela6[[#This Row],[VALOR UNIT]]-Tabela6[[#This Row],[DESCONTO]]</f>
        <v>0</v>
      </c>
      <c r="L1054" s="53">
        <f>Tabela6[[#This Row],[CUSTO TOTAL]]/Tabela6[[#This Row],[CONSUMO]]</f>
        <v>0</v>
      </c>
      <c r="M1054" s="50">
        <f>Tabela6[[#This Row],[KM ATUAL]]-E1027</f>
        <v>58184</v>
      </c>
      <c r="N1054" s="51">
        <f>Tabela6[[#This Row],[KM Rodados ]]/Tabela6[[#This Row],[CONSUMO]]</f>
        <v>1275.9649122807018</v>
      </c>
    </row>
    <row r="1055" spans="1:14" x14ac:dyDescent="0.25">
      <c r="A1055" s="47">
        <v>293772</v>
      </c>
      <c r="B1055" s="78">
        <v>45049</v>
      </c>
      <c r="C1055" s="47" t="s">
        <v>43</v>
      </c>
      <c r="D1055" s="49" t="s">
        <v>276</v>
      </c>
      <c r="E1055" s="47">
        <v>121573</v>
      </c>
      <c r="G1055" s="50" t="s">
        <v>89</v>
      </c>
      <c r="H1055" s="51">
        <v>14.5</v>
      </c>
      <c r="J1055" s="51">
        <v>5.6</v>
      </c>
      <c r="K1055" s="52">
        <f>Tabela6[[#This Row],[CONSUMO]]*Tabela6[[#This Row],[VALOR UNIT]]-Tabela6[[#This Row],[DESCONTO]]</f>
        <v>81.199999999999989</v>
      </c>
      <c r="L1055" s="53">
        <f>Tabela6[[#This Row],[CUSTO TOTAL]]/Tabela6[[#This Row],[CONSUMO]]</f>
        <v>5.6</v>
      </c>
      <c r="M1055" s="50">
        <f>Tabela6[[#This Row],[KM ATUAL]]-E1054</f>
        <v>105</v>
      </c>
      <c r="N1055" s="72">
        <f>Tabela6[[#This Row],[KM Rodados ]]/Tabela6[[#This Row],[CONSUMO]]</f>
        <v>7.2413793103448274</v>
      </c>
    </row>
    <row r="1056" spans="1:14" x14ac:dyDescent="0.25">
      <c r="A1056" s="47">
        <v>361283</v>
      </c>
      <c r="B1056" s="78">
        <v>45049</v>
      </c>
      <c r="C1056" s="47" t="s">
        <v>9</v>
      </c>
      <c r="D1056" s="49" t="s">
        <v>253</v>
      </c>
      <c r="E1056" s="47">
        <v>599926</v>
      </c>
      <c r="G1056" s="50" t="s">
        <v>89</v>
      </c>
      <c r="H1056" s="51">
        <v>122.27</v>
      </c>
      <c r="I1056" s="49">
        <v>36.68</v>
      </c>
      <c r="J1056" s="51">
        <v>6.09</v>
      </c>
      <c r="K1056" s="51">
        <f>Tabela6[[#This Row],[CONSUMO]]*Tabela6[[#This Row],[VALOR UNIT]]-Tabela6[[#This Row],[DESCONTO]]</f>
        <v>707.9443</v>
      </c>
      <c r="L1056" s="53">
        <f>Tabela6[[#This Row],[CUSTO TOTAL]]/Tabela6[[#This Row],[CONSUMO]]</f>
        <v>5.7900081786210844</v>
      </c>
      <c r="M1056" s="50">
        <f>Tabela6[[#This Row],[KM ATUAL]]-E1018</f>
        <v>462005</v>
      </c>
      <c r="N1056" s="51">
        <f>Tabela6[[#This Row],[KM Rodados ]]/Tabela6[[#This Row],[CONSUMO]]</f>
        <v>3778.5638341375648</v>
      </c>
    </row>
    <row r="1057" spans="1:14" x14ac:dyDescent="0.25">
      <c r="A1057" s="47">
        <v>361292</v>
      </c>
      <c r="B1057" s="78">
        <v>45049</v>
      </c>
      <c r="C1057" s="47" t="s">
        <v>42</v>
      </c>
      <c r="D1057" s="49" t="s">
        <v>253</v>
      </c>
      <c r="E1057" s="47">
        <v>361849</v>
      </c>
      <c r="G1057" s="50" t="s">
        <v>89</v>
      </c>
      <c r="H1057" s="51">
        <v>64.5</v>
      </c>
      <c r="I1057" s="49">
        <v>9.85</v>
      </c>
      <c r="J1057" s="51">
        <v>6.09</v>
      </c>
      <c r="K1057" s="52">
        <f>Tabela6[[#This Row],[CONSUMO]]*Tabela6[[#This Row],[VALOR UNIT]]-Tabela6[[#This Row],[DESCONTO]]</f>
        <v>382.95499999999998</v>
      </c>
      <c r="L1057" s="53">
        <f>Tabela6[[#This Row],[CUSTO TOTAL]]/Tabela6[[#This Row],[CONSUMO]]</f>
        <v>5.9372868217054258</v>
      </c>
      <c r="M1057" s="50">
        <f>Tabela6[[#This Row],[KM ATUAL]]-E998</f>
        <v>241853</v>
      </c>
      <c r="N1057" s="51">
        <f>Tabela6[[#This Row],[KM Rodados ]]/Tabela6[[#This Row],[CONSUMO]]</f>
        <v>3749.6589147286822</v>
      </c>
    </row>
    <row r="1058" spans="1:14" x14ac:dyDescent="0.25">
      <c r="A1058" s="47">
        <v>361179</v>
      </c>
      <c r="B1058" s="78">
        <v>45049</v>
      </c>
      <c r="C1058" s="47" t="s">
        <v>67</v>
      </c>
      <c r="D1058" s="49" t="s">
        <v>253</v>
      </c>
      <c r="E1058" s="47">
        <v>662724</v>
      </c>
      <c r="G1058" s="50" t="s">
        <v>241</v>
      </c>
      <c r="H1058" s="51">
        <v>17.035</v>
      </c>
      <c r="J1058" s="51">
        <v>4.99</v>
      </c>
      <c r="K1058" s="51">
        <f>Tabela6[[#This Row],[CONSUMO]]*Tabela6[[#This Row],[VALOR UNIT]]-Tabela6[[#This Row],[DESCONTO]]</f>
        <v>85.004649999999998</v>
      </c>
      <c r="L1058" s="53">
        <f>Tabela6[[#This Row],[CUSTO TOTAL]]/Tabela6[[#This Row],[CONSUMO]]</f>
        <v>4.99</v>
      </c>
      <c r="M1058" s="50"/>
      <c r="N1058"/>
    </row>
    <row r="1059" spans="1:14" x14ac:dyDescent="0.25">
      <c r="A1059" s="47">
        <v>361179</v>
      </c>
      <c r="B1059" s="78">
        <v>45049</v>
      </c>
      <c r="C1059" s="47" t="s">
        <v>67</v>
      </c>
      <c r="D1059" s="49" t="s">
        <v>253</v>
      </c>
      <c r="E1059" s="47">
        <v>662724</v>
      </c>
      <c r="G1059" s="50" t="s">
        <v>241</v>
      </c>
      <c r="H1059" s="51">
        <v>17.035</v>
      </c>
      <c r="J1059" s="51">
        <v>4.99</v>
      </c>
      <c r="K1059" s="51">
        <f>Tabela6[[#This Row],[CONSUMO]]*Tabela6[[#This Row],[VALOR UNIT]]-Tabela6[[#This Row],[DESCONTO]]</f>
        <v>85.004649999999998</v>
      </c>
      <c r="L1059" s="53">
        <f>Tabela6[[#This Row],[CUSTO TOTAL]]/Tabela6[[#This Row],[CONSUMO]]</f>
        <v>4.99</v>
      </c>
      <c r="M1059" s="50"/>
      <c r="N1059" s="49"/>
    </row>
    <row r="1060" spans="1:14" x14ac:dyDescent="0.25">
      <c r="A1060" s="47">
        <v>272864</v>
      </c>
      <c r="B1060" s="78">
        <v>45049</v>
      </c>
      <c r="C1060" s="47" t="s">
        <v>67</v>
      </c>
      <c r="D1060" s="49" t="s">
        <v>270</v>
      </c>
      <c r="E1060" s="47">
        <v>662928</v>
      </c>
      <c r="G1060" s="50" t="s">
        <v>89</v>
      </c>
      <c r="H1060" s="51">
        <v>131.82</v>
      </c>
      <c r="J1060" s="51">
        <v>5.39</v>
      </c>
      <c r="K1060" s="52">
        <f>Tabela6[[#This Row],[CONSUMO]]*Tabela6[[#This Row],[VALOR UNIT]]-Tabela6[[#This Row],[DESCONTO]]</f>
        <v>710.50979999999993</v>
      </c>
      <c r="L1060" s="53">
        <f>Tabela6[[#This Row],[CUSTO TOTAL]]/Tabela6[[#This Row],[CONSUMO]]</f>
        <v>5.39</v>
      </c>
      <c r="M1060" s="50">
        <f>Tabela6[[#This Row],[KM ATUAL]]-E1030</f>
        <v>416952</v>
      </c>
      <c r="N1060" s="51">
        <f>Tabela6[[#This Row],[KM Rodados ]]/Tabela6[[#This Row],[CONSUMO]]</f>
        <v>3163.0405097860721</v>
      </c>
    </row>
    <row r="1061" spans="1:14" x14ac:dyDescent="0.25">
      <c r="A1061" s="47">
        <v>178559</v>
      </c>
      <c r="B1061" s="78">
        <v>45049</v>
      </c>
      <c r="C1061" s="47" t="s">
        <v>22</v>
      </c>
      <c r="D1061" s="49" t="s">
        <v>262</v>
      </c>
      <c r="E1061" s="47">
        <v>323276</v>
      </c>
      <c r="G1061" s="50" t="s">
        <v>89</v>
      </c>
      <c r="H1061" s="51">
        <v>109.59099999999999</v>
      </c>
      <c r="J1061" s="51">
        <v>5.69</v>
      </c>
      <c r="K1061" s="74">
        <f>Tabela6[[#This Row],[CONSUMO]]*Tabela6[[#This Row],[VALOR UNIT]]-Tabela6[[#This Row],[DESCONTO]]</f>
        <v>623.57279000000005</v>
      </c>
      <c r="L1061" s="53">
        <f>Tabela6[[#This Row],[CUSTO TOTAL]]/Tabela6[[#This Row],[CONSUMO]]</f>
        <v>5.69</v>
      </c>
      <c r="M1061" s="50">
        <f>Tabela6[[#This Row],[KM ATUAL]]-E1020</f>
        <v>202939</v>
      </c>
      <c r="N1061" s="51">
        <f>Tabela6[[#This Row],[KM Rodados ]]/Tabela6[[#This Row],[CONSUMO]]</f>
        <v>1851.7852743382214</v>
      </c>
    </row>
    <row r="1062" spans="1:14" x14ac:dyDescent="0.25">
      <c r="A1062" s="47">
        <v>293732</v>
      </c>
      <c r="B1062" s="78">
        <v>45049</v>
      </c>
      <c r="C1062" s="47" t="s">
        <v>203</v>
      </c>
      <c r="D1062" s="49" t="s">
        <v>276</v>
      </c>
      <c r="E1062" s="47">
        <v>94352</v>
      </c>
      <c r="G1062" s="50" t="s">
        <v>244</v>
      </c>
      <c r="H1062" s="51">
        <v>12.891</v>
      </c>
      <c r="J1062" s="51">
        <v>5.49</v>
      </c>
      <c r="K1062" s="52">
        <f>Tabela6[[#This Row],[CONSUMO]]*Tabela6[[#This Row],[VALOR UNIT]]-Tabela6[[#This Row],[DESCONTO]]</f>
        <v>70.771590000000003</v>
      </c>
      <c r="L1062" s="53">
        <f>Tabela6[[#This Row],[CUSTO TOTAL]]/Tabela6[[#This Row],[CONSUMO]]</f>
        <v>5.49</v>
      </c>
      <c r="M1062" s="50">
        <f>Tabela6[[#This Row],[KM ATUAL]]-E1043</f>
        <v>-44980</v>
      </c>
      <c r="N1062" s="51">
        <f>Tabela6[[#This Row],[KM Rodados ]]/Tabela6[[#This Row],[CONSUMO]]</f>
        <v>-3489.2560701264447</v>
      </c>
    </row>
    <row r="1063" spans="1:14" x14ac:dyDescent="0.25">
      <c r="A1063" s="47">
        <v>293723</v>
      </c>
      <c r="B1063" s="78">
        <v>45049</v>
      </c>
      <c r="C1063" s="47" t="s">
        <v>72</v>
      </c>
      <c r="D1063" s="49" t="s">
        <v>276</v>
      </c>
      <c r="E1063" s="47">
        <v>388074</v>
      </c>
      <c r="G1063" s="50" t="s">
        <v>89</v>
      </c>
      <c r="H1063" s="51">
        <v>16.41</v>
      </c>
      <c r="J1063" s="51">
        <v>5.6</v>
      </c>
      <c r="K1063" s="52">
        <f>Tabela6[[#This Row],[CONSUMO]]*Tabela6[[#This Row],[VALOR UNIT]]-Tabela6[[#This Row],[DESCONTO]]</f>
        <v>91.896000000000001</v>
      </c>
      <c r="L1063" s="53">
        <f>Tabela6[[#This Row],[CUSTO TOTAL]]/Tabela6[[#This Row],[CONSUMO]]</f>
        <v>5.6</v>
      </c>
      <c r="M1063" s="50">
        <f>Tabela6[[#This Row],[KM ATUAL]]-E1052</f>
        <v>338836</v>
      </c>
      <c r="N1063" s="51">
        <f>Tabela6[[#This Row],[KM Rodados ]]/Tabela6[[#This Row],[CONSUMO]]</f>
        <v>20648.14137720902</v>
      </c>
    </row>
    <row r="1064" spans="1:14" x14ac:dyDescent="0.25">
      <c r="A1064" s="47">
        <v>178519</v>
      </c>
      <c r="B1064" s="78">
        <v>45049</v>
      </c>
      <c r="C1064" s="119" t="s">
        <v>72</v>
      </c>
      <c r="D1064" s="49" t="s">
        <v>262</v>
      </c>
      <c r="E1064" s="119">
        <v>388343</v>
      </c>
      <c r="G1064" s="120" t="s">
        <v>89</v>
      </c>
      <c r="H1064" s="51">
        <v>41.36</v>
      </c>
      <c r="J1064" s="51">
        <v>5.69</v>
      </c>
      <c r="K1064" s="52">
        <f>Tabela6[[#This Row],[CONSUMO]]*Tabela6[[#This Row],[VALOR UNIT]]-Tabela6[[#This Row],[DESCONTO]]</f>
        <v>235.33840000000001</v>
      </c>
      <c r="L1064" s="53">
        <f>Tabela6[[#This Row],[CUSTO TOTAL]]/Tabela6[[#This Row],[CONSUMO]]</f>
        <v>5.69</v>
      </c>
      <c r="M1064" s="50">
        <f>Tabela6[[#This Row],[KM ATUAL]]-E1063</f>
        <v>269</v>
      </c>
      <c r="N1064" s="51">
        <f>Tabela6[[#This Row],[KM Rodados ]]/Tabela6[[#This Row],[CONSUMO]]</f>
        <v>6.5038684719535782</v>
      </c>
    </row>
    <row r="1065" spans="1:14" x14ac:dyDescent="0.25">
      <c r="A1065" s="47" t="s">
        <v>314</v>
      </c>
      <c r="B1065" s="78">
        <v>45049</v>
      </c>
      <c r="C1065" s="47" t="s">
        <v>206</v>
      </c>
      <c r="E1065" s="47">
        <v>935479</v>
      </c>
      <c r="G1065" s="50" t="s">
        <v>89</v>
      </c>
      <c r="H1065" s="51">
        <v>426</v>
      </c>
      <c r="K1065" s="52">
        <f>Tabela6[[#This Row],[CONSUMO]]*Tabela6[[#This Row],[VALOR UNIT]]-Tabela6[[#This Row],[DESCONTO]]</f>
        <v>0</v>
      </c>
      <c r="L1065" s="53">
        <f>Tabela6[[#This Row],[CUSTO TOTAL]]/Tabela6[[#This Row],[CONSUMO]]</f>
        <v>0</v>
      </c>
      <c r="M1065" s="50">
        <f>Tabela6[[#This Row],[KM ATUAL]]-E1033</f>
        <v>797049</v>
      </c>
      <c r="N1065" s="72">
        <f>Tabela6[[#This Row],[KM Rodados ]]/Tabela6[[#This Row],[CONSUMO]]</f>
        <v>1871.0070422535211</v>
      </c>
    </row>
    <row r="1066" spans="1:14" x14ac:dyDescent="0.25">
      <c r="A1066" s="47">
        <v>88058</v>
      </c>
      <c r="B1066" s="78">
        <v>45049</v>
      </c>
      <c r="C1066" s="47" t="s">
        <v>13</v>
      </c>
      <c r="D1066" s="49" t="s">
        <v>263</v>
      </c>
      <c r="E1066" s="47">
        <v>615725</v>
      </c>
      <c r="G1066" s="50" t="s">
        <v>89</v>
      </c>
      <c r="H1066" s="51">
        <v>133.77099999999999</v>
      </c>
      <c r="I1066" s="49">
        <v>13.38</v>
      </c>
      <c r="J1066" s="51">
        <v>5.49</v>
      </c>
      <c r="K1066" s="51">
        <f>Tabela6[[#This Row],[CONSUMO]]*Tabela6[[#This Row],[VALOR UNIT]]-Tabela6[[#This Row],[DESCONTO]]</f>
        <v>721.02278999999999</v>
      </c>
      <c r="L1066" s="53">
        <f>Tabela6[[#This Row],[CUSTO TOTAL]]/Tabela6[[#This Row],[CONSUMO]]</f>
        <v>5.3899783211607906</v>
      </c>
      <c r="M1066" s="50">
        <f>Tabela6[[#This Row],[KM ATUAL]]-E1026</f>
        <v>-46597</v>
      </c>
      <c r="N1066" s="51">
        <f>Tabela6[[#This Row],[KM Rodados ]]/Tabela6[[#This Row],[CONSUMO]]</f>
        <v>-348.33409333861601</v>
      </c>
    </row>
    <row r="1067" spans="1:14" x14ac:dyDescent="0.25">
      <c r="A1067" s="47">
        <v>178530</v>
      </c>
      <c r="B1067" s="78">
        <v>45049</v>
      </c>
      <c r="C1067" s="47" t="s">
        <v>15</v>
      </c>
      <c r="D1067" s="49" t="s">
        <v>262</v>
      </c>
      <c r="E1067" s="47">
        <v>360745</v>
      </c>
      <c r="G1067" s="50" t="s">
        <v>89</v>
      </c>
      <c r="H1067" s="51">
        <v>139.6</v>
      </c>
      <c r="J1067" s="51">
        <v>5.69</v>
      </c>
      <c r="K1067" s="52">
        <f>Tabela6[[#This Row],[CONSUMO]]*Tabela6[[#This Row],[VALOR UNIT]]-Tabela6[[#This Row],[DESCONTO]]</f>
        <v>794.32400000000007</v>
      </c>
      <c r="L1067" s="53">
        <f>Tabela6[[#This Row],[CUSTO TOTAL]]/Tabela6[[#This Row],[CONSUMO]]</f>
        <v>5.69</v>
      </c>
      <c r="M1067" s="50">
        <f>Tabela6[[#This Row],[KM ATUAL]]-E1007</f>
        <v>743</v>
      </c>
      <c r="N1067" s="51">
        <f>Tabela6[[#This Row],[KM Rodados ]]/Tabela6[[#This Row],[CONSUMO]]</f>
        <v>5.322349570200573</v>
      </c>
    </row>
    <row r="1068" spans="1:14" x14ac:dyDescent="0.25">
      <c r="A1068" s="47">
        <v>178518</v>
      </c>
      <c r="B1068" s="78">
        <v>45049</v>
      </c>
      <c r="C1068" s="47" t="s">
        <v>20</v>
      </c>
      <c r="D1068" s="49" t="s">
        <v>262</v>
      </c>
      <c r="E1068" s="47">
        <v>246810</v>
      </c>
      <c r="G1068" s="50" t="s">
        <v>89</v>
      </c>
      <c r="H1068" s="51">
        <v>51.87</v>
      </c>
      <c r="J1068" s="51">
        <v>5.69</v>
      </c>
      <c r="K1068" s="52">
        <f>Tabela6[[#This Row],[CONSUMO]]*Tabela6[[#This Row],[VALOR UNIT]]-Tabela6[[#This Row],[DESCONTO]]</f>
        <v>295.14030000000002</v>
      </c>
      <c r="L1068" s="53">
        <f>Tabela6[[#This Row],[CUSTO TOTAL]]/Tabela6[[#This Row],[CONSUMO]]</f>
        <v>5.69</v>
      </c>
      <c r="M1068" s="50">
        <f>Tabela6[[#This Row],[KM ATUAL]]-E1052</f>
        <v>197572</v>
      </c>
      <c r="N1068" s="51">
        <f>Tabela6[[#This Row],[KM Rodados ]]/Tabela6[[#This Row],[CONSUMO]]</f>
        <v>3808.9839984576829</v>
      </c>
    </row>
    <row r="1069" spans="1:14" x14ac:dyDescent="0.25">
      <c r="A1069" s="47" t="s">
        <v>314</v>
      </c>
      <c r="B1069" s="78">
        <v>45050</v>
      </c>
      <c r="C1069" s="47" t="s">
        <v>43</v>
      </c>
      <c r="E1069" s="47">
        <v>121741</v>
      </c>
      <c r="G1069" s="50" t="s">
        <v>89</v>
      </c>
      <c r="H1069" s="51">
        <v>25.63</v>
      </c>
      <c r="K1069" s="52">
        <f>Tabela6[[#This Row],[CONSUMO]]*Tabela6[[#This Row],[VALOR UNIT]]-Tabela6[[#This Row],[DESCONTO]]</f>
        <v>0</v>
      </c>
      <c r="L1069" s="53">
        <f>Tabela6[[#This Row],[CUSTO TOTAL]]/Tabela6[[#This Row],[CONSUMO]]</f>
        <v>0</v>
      </c>
      <c r="M1069" s="50">
        <f>Tabela6[[#This Row],[KM ATUAL]]-E1055</f>
        <v>168</v>
      </c>
      <c r="N1069" s="51">
        <f>Tabela6[[#This Row],[KM Rodados ]]/Tabela6[[#This Row],[CONSUMO]]</f>
        <v>6.5548185719859546</v>
      </c>
    </row>
    <row r="1070" spans="1:14" x14ac:dyDescent="0.25">
      <c r="A1070" s="47">
        <v>294045</v>
      </c>
      <c r="B1070" s="78">
        <v>45050</v>
      </c>
      <c r="C1070" s="47" t="s">
        <v>43</v>
      </c>
      <c r="D1070" s="49" t="s">
        <v>276</v>
      </c>
      <c r="E1070" s="47">
        <v>122054</v>
      </c>
      <c r="G1070" s="50" t="s">
        <v>89</v>
      </c>
      <c r="H1070" s="51">
        <v>47.55</v>
      </c>
      <c r="J1070" s="51">
        <v>5.6</v>
      </c>
      <c r="K1070" s="52">
        <f>Tabela6[[#This Row],[CONSUMO]]*Tabela6[[#This Row],[VALOR UNIT]]-Tabela6[[#This Row],[DESCONTO]]</f>
        <v>266.27999999999997</v>
      </c>
      <c r="L1070" s="53">
        <f>Tabela6[[#This Row],[CUSTO TOTAL]]/Tabela6[[#This Row],[CONSUMO]]</f>
        <v>5.6</v>
      </c>
      <c r="M1070" s="50">
        <f>Tabela6[[#This Row],[KM ATUAL]]-E1069</f>
        <v>313</v>
      </c>
      <c r="N1070" s="72">
        <f>Tabela6[[#This Row],[KM Rodados ]]/Tabela6[[#This Row],[CONSUMO]]</f>
        <v>6.5825446898002111</v>
      </c>
    </row>
    <row r="1071" spans="1:14" x14ac:dyDescent="0.25">
      <c r="A1071" s="47">
        <v>178844</v>
      </c>
      <c r="B1071" s="78">
        <v>45050</v>
      </c>
      <c r="C1071" s="47" t="s">
        <v>203</v>
      </c>
      <c r="D1071" s="49" t="s">
        <v>262</v>
      </c>
      <c r="E1071" s="47">
        <v>94524</v>
      </c>
      <c r="G1071" s="50" t="s">
        <v>244</v>
      </c>
      <c r="H1071" s="51">
        <v>14.53</v>
      </c>
      <c r="J1071" s="51">
        <v>5.49</v>
      </c>
      <c r="K1071" s="51">
        <f>Tabela6[[#This Row],[CONSUMO]]*Tabela6[[#This Row],[VALOR UNIT]]-Tabela6[[#This Row],[DESCONTO]]</f>
        <v>79.7697</v>
      </c>
      <c r="L1071" s="53">
        <f>Tabela6[[#This Row],[CUSTO TOTAL]]/Tabela6[[#This Row],[CONSUMO]]</f>
        <v>5.49</v>
      </c>
      <c r="M1071" s="50">
        <f>Tabela6[[#This Row],[KM ATUAL]]-E1058</f>
        <v>-568200</v>
      </c>
      <c r="N1071" s="51">
        <f>Tabela6[[#This Row],[KM Rodados ]]/Tabela6[[#This Row],[CONSUMO]]</f>
        <v>-39105.299380591881</v>
      </c>
    </row>
    <row r="1072" spans="1:14" x14ac:dyDescent="0.25">
      <c r="A1072" s="47" t="s">
        <v>314</v>
      </c>
      <c r="B1072" s="78">
        <v>45050</v>
      </c>
      <c r="C1072" s="47" t="s">
        <v>21</v>
      </c>
      <c r="E1072" s="47">
        <v>138440</v>
      </c>
      <c r="G1072" s="50" t="s">
        <v>89</v>
      </c>
      <c r="H1072" s="51">
        <v>138.52000000000001</v>
      </c>
      <c r="K1072" s="52">
        <f>Tabela6[[#This Row],[CONSUMO]]*Tabela6[[#This Row],[VALOR UNIT]]-Tabela6[[#This Row],[DESCONTO]]</f>
        <v>0</v>
      </c>
      <c r="L1072" s="53">
        <f>Tabela6[[#This Row],[CUSTO TOTAL]]/Tabela6[[#This Row],[CONSUMO]]</f>
        <v>0</v>
      </c>
      <c r="M1072" s="50">
        <f>Tabela6[[#This Row],[KM ATUAL]]-E1021</f>
        <v>17741</v>
      </c>
      <c r="N1072" s="51">
        <f>Tabela6[[#This Row],[KM Rodados ]]/Tabela6[[#This Row],[CONSUMO]]</f>
        <v>128.07536817788045</v>
      </c>
    </row>
    <row r="1073" spans="1:14" x14ac:dyDescent="0.25">
      <c r="A1073" s="47" t="s">
        <v>314</v>
      </c>
      <c r="B1073" s="78">
        <v>45050</v>
      </c>
      <c r="C1073" s="47" t="s">
        <v>21</v>
      </c>
      <c r="E1073" s="47">
        <v>138957</v>
      </c>
      <c r="G1073" s="50" t="s">
        <v>89</v>
      </c>
      <c r="H1073" s="51">
        <v>135.21</v>
      </c>
      <c r="K1073" s="52">
        <f>Tabela6[[#This Row],[CONSUMO]]*Tabela6[[#This Row],[VALOR UNIT]]-Tabela6[[#This Row],[DESCONTO]]</f>
        <v>0</v>
      </c>
      <c r="L1073" s="53">
        <f>Tabela6[[#This Row],[CUSTO TOTAL]]/Tabela6[[#This Row],[CONSUMO]]</f>
        <v>0</v>
      </c>
      <c r="M1073" s="50">
        <f>Tabela6[[#This Row],[KM ATUAL]]-E1072</f>
        <v>517</v>
      </c>
      <c r="N1073" s="51">
        <f>Tabela6[[#This Row],[KM Rodados ]]/Tabela6[[#This Row],[CONSUMO]]</f>
        <v>3.8236816803490865</v>
      </c>
    </row>
    <row r="1074" spans="1:14" x14ac:dyDescent="0.25">
      <c r="A1074" s="47">
        <v>652847</v>
      </c>
      <c r="B1074" s="78">
        <v>45050</v>
      </c>
      <c r="C1074" s="47" t="s">
        <v>21</v>
      </c>
      <c r="D1074" s="49" t="s">
        <v>264</v>
      </c>
      <c r="E1074" s="47">
        <v>139478</v>
      </c>
      <c r="G1074" s="50" t="s">
        <v>89</v>
      </c>
      <c r="H1074" s="51">
        <v>142.18299999999999</v>
      </c>
      <c r="J1074" s="51">
        <v>5.45</v>
      </c>
      <c r="K1074" s="52">
        <f>Tabela6[[#This Row],[CONSUMO]]*Tabela6[[#This Row],[VALOR UNIT]]-Tabela6[[#This Row],[DESCONTO]]</f>
        <v>774.89734999999996</v>
      </c>
      <c r="L1074" s="53">
        <f>Tabela6[[#This Row],[CUSTO TOTAL]]/Tabela6[[#This Row],[CONSUMO]]</f>
        <v>5.45</v>
      </c>
      <c r="M1074" s="50">
        <f>Tabela6[[#This Row],[KM ATUAL]]-E1072</f>
        <v>1038</v>
      </c>
      <c r="N1074" s="51">
        <f>Tabela6[[#This Row],[KM Rodados ]]/Tabela6[[#This Row],[CONSUMO]]</f>
        <v>7.3004508274547595</v>
      </c>
    </row>
    <row r="1075" spans="1:14" x14ac:dyDescent="0.25">
      <c r="A1075" s="47">
        <v>88512</v>
      </c>
      <c r="B1075" s="78">
        <v>45050</v>
      </c>
      <c r="C1075" s="47" t="s">
        <v>10</v>
      </c>
      <c r="D1075" s="49" t="s">
        <v>263</v>
      </c>
      <c r="E1075" s="47">
        <v>711888</v>
      </c>
      <c r="G1075" s="50" t="s">
        <v>89</v>
      </c>
      <c r="H1075" s="51">
        <v>122.6</v>
      </c>
      <c r="I1075" s="49">
        <v>12.26</v>
      </c>
      <c r="J1075" s="51">
        <v>5.49</v>
      </c>
      <c r="K1075" s="51">
        <f>Tabela6[[#This Row],[CONSUMO]]*Tabela6[[#This Row],[VALOR UNIT]]-Tabela6[[#This Row],[DESCONTO]]</f>
        <v>660.81399999999996</v>
      </c>
      <c r="L1075" s="53">
        <f>Tabela6[[#This Row],[CUSTO TOTAL]]/Tabela6[[#This Row],[CONSUMO]]</f>
        <v>5.39</v>
      </c>
      <c r="M1075" s="50">
        <f>Tabela6[[#This Row],[KM ATUAL]]-E1040</f>
        <v>618202</v>
      </c>
      <c r="N1075" s="51">
        <f>Tabela6[[#This Row],[KM Rodados ]]/Tabela6[[#This Row],[CONSUMO]]</f>
        <v>5042.4306688417619</v>
      </c>
    </row>
    <row r="1076" spans="1:14" x14ac:dyDescent="0.25">
      <c r="A1076" s="47">
        <v>332575</v>
      </c>
      <c r="B1076" s="78">
        <v>45050</v>
      </c>
      <c r="C1076" s="47" t="s">
        <v>19</v>
      </c>
      <c r="D1076" s="49" t="s">
        <v>281</v>
      </c>
      <c r="E1076" s="47">
        <v>304396</v>
      </c>
      <c r="G1076" s="50" t="s">
        <v>89</v>
      </c>
      <c r="H1076" s="51">
        <v>98.236000000000004</v>
      </c>
      <c r="I1076" s="49">
        <v>55.99</v>
      </c>
      <c r="J1076" s="51">
        <v>5.86</v>
      </c>
      <c r="K1076" s="52">
        <f>Tabela6[[#This Row],[CONSUMO]]*Tabela6[[#This Row],[VALOR UNIT]]-Tabela6[[#This Row],[DESCONTO]]</f>
        <v>519.6729600000001</v>
      </c>
      <c r="L1076" s="53">
        <f>Tabela6[[#This Row],[CUSTO TOTAL]]/Tabela6[[#This Row],[CONSUMO]]</f>
        <v>5.2900460116454262</v>
      </c>
      <c r="M1076" s="50">
        <f>Tabela6[[#This Row],[KM ATUAL]]-E1046</f>
        <v>-353307</v>
      </c>
      <c r="N1076" s="51">
        <f>Tabela6[[#This Row],[KM Rodados ]]/Tabela6[[#This Row],[CONSUMO]]</f>
        <v>-3596.5124801498432</v>
      </c>
    </row>
    <row r="1077" spans="1:14" x14ac:dyDescent="0.25">
      <c r="A1077" s="47">
        <v>178881</v>
      </c>
      <c r="B1077" s="78">
        <v>45050</v>
      </c>
      <c r="C1077" s="47" t="s">
        <v>20</v>
      </c>
      <c r="D1077" s="49" t="s">
        <v>262</v>
      </c>
      <c r="E1077" s="47">
        <v>247270</v>
      </c>
      <c r="G1077" s="50" t="s">
        <v>89</v>
      </c>
      <c r="H1077" s="51">
        <v>56.84</v>
      </c>
      <c r="J1077" s="51">
        <v>5.49</v>
      </c>
      <c r="K1077" s="51">
        <f>Tabela6[[#This Row],[CONSUMO]]*Tabela6[[#This Row],[VALOR UNIT]]-Tabela6[[#This Row],[DESCONTO]]</f>
        <v>312.05160000000001</v>
      </c>
      <c r="L1077" s="53">
        <f>Tabela6[[#This Row],[CUSTO TOTAL]]/Tabela6[[#This Row],[CONSUMO]]</f>
        <v>5.49</v>
      </c>
      <c r="M1077" s="50">
        <f>Tabela6[[#This Row],[KM ATUAL]]-E1063</f>
        <v>-140804</v>
      </c>
      <c r="N1077" s="51">
        <f>Tabela6[[#This Row],[KM Rodados ]]/Tabela6[[#This Row],[CONSUMO]]</f>
        <v>-2477.1991555242785</v>
      </c>
    </row>
    <row r="1078" spans="1:14" x14ac:dyDescent="0.25">
      <c r="A1078" s="47">
        <v>172987</v>
      </c>
      <c r="B1078" s="78">
        <v>45050</v>
      </c>
      <c r="C1078" s="47" t="s">
        <v>23</v>
      </c>
      <c r="D1078" s="49" t="s">
        <v>268</v>
      </c>
      <c r="E1078" s="47">
        <v>222995</v>
      </c>
      <c r="G1078" s="50" t="s">
        <v>89</v>
      </c>
      <c r="H1078" s="51">
        <v>126.06</v>
      </c>
      <c r="J1078" s="51">
        <v>5.3887</v>
      </c>
      <c r="K1078" s="51">
        <f>Tabela6[[#This Row],[CONSUMO]]*Tabela6[[#This Row],[VALOR UNIT]]-Tabela6[[#This Row],[DESCONTO]]</f>
        <v>679.29952200000002</v>
      </c>
      <c r="L1078" s="53">
        <f>Tabela6[[#This Row],[CUSTO TOTAL]]/Tabela6[[#This Row],[CONSUMO]]</f>
        <v>5.3887</v>
      </c>
      <c r="M1078" s="50">
        <f>Tabela6[[#This Row],[KM ATUAL]]-E1054</f>
        <v>101527</v>
      </c>
      <c r="N1078" s="51">
        <f>Tabela6[[#This Row],[KM Rodados ]]/Tabela6[[#This Row],[CONSUMO]]</f>
        <v>805.38632397271135</v>
      </c>
    </row>
    <row r="1079" spans="1:14" x14ac:dyDescent="0.25">
      <c r="A1079" s="47">
        <v>178840</v>
      </c>
      <c r="B1079" s="78">
        <v>45050</v>
      </c>
      <c r="C1079" s="47" t="s">
        <v>40</v>
      </c>
      <c r="D1079" s="49" t="s">
        <v>262</v>
      </c>
      <c r="E1079" s="47">
        <v>139661</v>
      </c>
      <c r="G1079" s="50" t="s">
        <v>244</v>
      </c>
      <c r="H1079" s="51">
        <v>32.18</v>
      </c>
      <c r="J1079" s="51">
        <v>5.49</v>
      </c>
      <c r="K1079" s="74">
        <f>Tabela6[[#This Row],[CONSUMO]]*Tabela6[[#This Row],[VALOR UNIT]]-Tabela6[[#This Row],[DESCONTO]]</f>
        <v>176.66820000000001</v>
      </c>
      <c r="L1079" s="53">
        <f>Tabela6[[#This Row],[CUSTO TOTAL]]/Tabela6[[#This Row],[CONSUMO]]</f>
        <v>5.49</v>
      </c>
      <c r="M1079" s="50">
        <f>Tabela6[[#This Row],[KM ATUAL]]-E1078</f>
        <v>-83334</v>
      </c>
      <c r="N1079" s="51">
        <f>Tabela6[[#This Row],[KM Rodados ]]/Tabela6[[#This Row],[CONSUMO]]</f>
        <v>-2589.6208825357367</v>
      </c>
    </row>
    <row r="1080" spans="1:14" x14ac:dyDescent="0.25">
      <c r="A1080" s="47" t="s">
        <v>314</v>
      </c>
      <c r="B1080" s="78">
        <v>45050</v>
      </c>
      <c r="C1080" s="47" t="s">
        <v>74</v>
      </c>
      <c r="E1080" s="47">
        <v>49691</v>
      </c>
      <c r="G1080" s="50" t="s">
        <v>89</v>
      </c>
      <c r="H1080" s="51">
        <v>59.5</v>
      </c>
      <c r="K1080" s="52">
        <f>Tabela6[[#This Row],[CONSUMO]]*Tabela6[[#This Row],[VALOR UNIT]]-Tabela6[[#This Row],[DESCONTO]]</f>
        <v>0</v>
      </c>
      <c r="L1080" s="53">
        <f>Tabela6[[#This Row],[CUSTO TOTAL]]/Tabela6[[#This Row],[CONSUMO]]</f>
        <v>0</v>
      </c>
      <c r="M1080" s="50">
        <f>Tabela6[[#This Row],[KM ATUAL]]-E1056</f>
        <v>-550235</v>
      </c>
      <c r="N1080" s="51">
        <f>Tabela6[[#This Row],[KM Rodados ]]/Tabela6[[#This Row],[CONSUMO]]</f>
        <v>-9247.6470588235297</v>
      </c>
    </row>
    <row r="1081" spans="1:14" x14ac:dyDescent="0.25">
      <c r="A1081" s="47">
        <v>363189</v>
      </c>
      <c r="B1081" s="78">
        <v>45051</v>
      </c>
      <c r="C1081" s="47" t="s">
        <v>9</v>
      </c>
      <c r="D1081" s="49" t="s">
        <v>253</v>
      </c>
      <c r="E1081" s="47">
        <v>600361</v>
      </c>
      <c r="G1081" s="50" t="s">
        <v>89</v>
      </c>
      <c r="H1081" s="51">
        <v>112.04</v>
      </c>
      <c r="I1081" s="49">
        <v>33.61</v>
      </c>
      <c r="J1081" s="51">
        <v>6.09</v>
      </c>
      <c r="K1081" s="51">
        <f>Tabela6[[#This Row],[CONSUMO]]*Tabela6[[#This Row],[VALOR UNIT]]-Tabela6[[#This Row],[DESCONTO]]</f>
        <v>648.71360000000004</v>
      </c>
      <c r="L1081" s="53">
        <f>Tabela6[[#This Row],[CUSTO TOTAL]]/Tabela6[[#This Row],[CONSUMO]]</f>
        <v>5.7900178507675832</v>
      </c>
      <c r="M1081" s="50">
        <f>Tabela6[[#This Row],[KM ATUAL]]-E1059</f>
        <v>-62363</v>
      </c>
      <c r="N1081" s="51">
        <f>Tabela6[[#This Row],[KM Rodados ]]/Tabela6[[#This Row],[CONSUMO]]</f>
        <v>-556.6137093895037</v>
      </c>
    </row>
    <row r="1082" spans="1:14" x14ac:dyDescent="0.25">
      <c r="A1082" s="47">
        <v>273374</v>
      </c>
      <c r="B1082" s="78">
        <v>45051</v>
      </c>
      <c r="C1082" s="47" t="s">
        <v>67</v>
      </c>
      <c r="D1082" s="49" t="s">
        <v>270</v>
      </c>
      <c r="E1082" s="47">
        <v>663338</v>
      </c>
      <c r="G1082" s="50" t="s">
        <v>89</v>
      </c>
      <c r="H1082" s="51">
        <v>103.43</v>
      </c>
      <c r="J1082" s="51">
        <v>5.49</v>
      </c>
      <c r="K1082" s="51">
        <f>Tabela6[[#This Row],[CONSUMO]]*Tabela6[[#This Row],[VALOR UNIT]]-Tabela6[[#This Row],[DESCONTO]]</f>
        <v>567.83070000000009</v>
      </c>
      <c r="L1082" s="53">
        <f>Tabela6[[#This Row],[CUSTO TOTAL]]/Tabela6[[#This Row],[CONSUMO]]</f>
        <v>5.49</v>
      </c>
      <c r="M1082" s="50">
        <f>Tabela6[[#This Row],[KM ATUAL]]-E1062</f>
        <v>568986</v>
      </c>
      <c r="N1082" s="51">
        <f>Tabela6[[#This Row],[KM Rodados ]]/Tabela6[[#This Row],[CONSUMO]]</f>
        <v>5501.1698733442909</v>
      </c>
    </row>
    <row r="1083" spans="1:14" x14ac:dyDescent="0.25">
      <c r="A1083" s="47">
        <v>300209</v>
      </c>
      <c r="B1083" s="78">
        <v>45051</v>
      </c>
      <c r="C1083" s="47" t="s">
        <v>203</v>
      </c>
      <c r="D1083" s="49" t="s">
        <v>276</v>
      </c>
      <c r="E1083" s="47">
        <v>94771</v>
      </c>
      <c r="G1083" s="50" t="s">
        <v>244</v>
      </c>
      <c r="H1083" s="51">
        <v>22.63</v>
      </c>
      <c r="J1083" s="51">
        <v>5.09</v>
      </c>
      <c r="K1083" s="52">
        <f>Tabela6[[#This Row],[CONSUMO]]*Tabela6[[#This Row],[VALOR UNIT]]-Tabela6[[#This Row],[DESCONTO]]</f>
        <v>115.18669999999999</v>
      </c>
      <c r="L1083" s="53">
        <f>Tabela6[[#This Row],[CUSTO TOTAL]]/Tabela6[[#This Row],[CONSUMO]]</f>
        <v>5.09</v>
      </c>
      <c r="M1083" s="50">
        <f>Tabela6[[#This Row],[KM ATUAL]]-E1068</f>
        <v>-152039</v>
      </c>
      <c r="N1083" s="51">
        <f>Tabela6[[#This Row],[KM Rodados ]]/Tabela6[[#This Row],[CONSUMO]]</f>
        <v>-6718.4710561201946</v>
      </c>
    </row>
    <row r="1084" spans="1:14" x14ac:dyDescent="0.25">
      <c r="A1084" s="47">
        <v>294273</v>
      </c>
      <c r="B1084" s="78">
        <v>45051</v>
      </c>
      <c r="C1084" s="47" t="s">
        <v>41</v>
      </c>
      <c r="D1084" s="49" t="s">
        <v>276</v>
      </c>
      <c r="E1084" s="47">
        <v>658447</v>
      </c>
      <c r="G1084" s="50" t="s">
        <v>89</v>
      </c>
      <c r="H1084" s="51">
        <v>158.47</v>
      </c>
      <c r="J1084" s="51">
        <v>5.49</v>
      </c>
      <c r="K1084" s="51">
        <f>Tabela6[[#This Row],[CONSUMO]]*Tabela6[[#This Row],[VALOR UNIT]]-Tabela6[[#This Row],[DESCONTO]]</f>
        <v>870.00030000000004</v>
      </c>
      <c r="L1084" s="53">
        <f>Tabela6[[#This Row],[CUSTO TOTAL]]/Tabela6[[#This Row],[CONSUMO]]</f>
        <v>5.49</v>
      </c>
      <c r="M1084" s="50">
        <f>Tabela6[[#This Row],[KM ATUAL]]-E1047</f>
        <v>348620</v>
      </c>
      <c r="N1084" s="51">
        <f>Tabela6[[#This Row],[KM Rodados ]]/Tabela6[[#This Row],[CONSUMO]]</f>
        <v>2199.9116552028777</v>
      </c>
    </row>
    <row r="1085" spans="1:14" x14ac:dyDescent="0.25">
      <c r="A1085" s="47">
        <v>89368</v>
      </c>
      <c r="B1085" s="78">
        <v>45051</v>
      </c>
      <c r="C1085" s="47" t="s">
        <v>13</v>
      </c>
      <c r="D1085" s="49" t="s">
        <v>263</v>
      </c>
      <c r="E1085" s="47">
        <v>616306</v>
      </c>
      <c r="G1085" s="50" t="s">
        <v>89</v>
      </c>
      <c r="H1085" s="51">
        <v>108.54</v>
      </c>
      <c r="I1085" s="49">
        <v>10.85</v>
      </c>
      <c r="J1085" s="51">
        <v>5.49</v>
      </c>
      <c r="K1085" s="51">
        <f>Tabela6[[#This Row],[CONSUMO]]*Tabela6[[#This Row],[VALOR UNIT]]-Tabela6[[#This Row],[DESCONTO]]</f>
        <v>585.03460000000007</v>
      </c>
      <c r="L1085" s="53">
        <f>Tabela6[[#This Row],[CUSTO TOTAL]]/Tabela6[[#This Row],[CONSUMO]]</f>
        <v>5.3900368527731715</v>
      </c>
      <c r="M1085" s="50">
        <f>Tabela6[[#This Row],[KM ATUAL]]-E1063</f>
        <v>228232</v>
      </c>
      <c r="N1085" s="51">
        <f>Tabela6[[#This Row],[KM Rodados ]]/Tabela6[[#This Row],[CONSUMO]]</f>
        <v>2102.7455316012529</v>
      </c>
    </row>
    <row r="1086" spans="1:14" x14ac:dyDescent="0.25">
      <c r="A1086" s="47">
        <v>179164</v>
      </c>
      <c r="B1086" s="78">
        <v>45051</v>
      </c>
      <c r="C1086" s="47" t="s">
        <v>15</v>
      </c>
      <c r="D1086" s="49" t="s">
        <v>262</v>
      </c>
      <c r="E1086" s="47">
        <v>361500</v>
      </c>
      <c r="G1086" s="50" t="s">
        <v>89</v>
      </c>
      <c r="H1086" s="51">
        <v>127.51900000000001</v>
      </c>
      <c r="J1086" s="51">
        <v>5.49</v>
      </c>
      <c r="K1086" s="51">
        <f>Tabela6[[#This Row],[CONSUMO]]*Tabela6[[#This Row],[VALOR UNIT]]-Tabela6[[#This Row],[DESCONTO]]</f>
        <v>700.07931000000008</v>
      </c>
      <c r="L1086" s="53">
        <f>Tabela6[[#This Row],[CUSTO TOTAL]]/Tabela6[[#This Row],[CONSUMO]]</f>
        <v>5.49</v>
      </c>
      <c r="M1086" s="50">
        <f>Tabela6[[#This Row],[KM ATUAL]]-E1065</f>
        <v>-573979</v>
      </c>
      <c r="N1086" s="51">
        <f>Tabela6[[#This Row],[KM Rodados ]]/Tabela6[[#This Row],[CONSUMO]]</f>
        <v>-4501.1253225009605</v>
      </c>
    </row>
    <row r="1087" spans="1:14" x14ac:dyDescent="0.25">
      <c r="A1087" s="47" t="s">
        <v>314</v>
      </c>
      <c r="B1087" s="78">
        <v>45051</v>
      </c>
      <c r="C1087" s="47" t="s">
        <v>17</v>
      </c>
      <c r="E1087" s="47">
        <v>346787</v>
      </c>
      <c r="G1087" s="50" t="s">
        <v>89</v>
      </c>
      <c r="H1087" s="51">
        <v>220.2</v>
      </c>
      <c r="K1087" s="52">
        <f>Tabela6[[#This Row],[CONSUMO]]*Tabela6[[#This Row],[VALOR UNIT]]-Tabela6[[#This Row],[DESCONTO]]</f>
        <v>0</v>
      </c>
      <c r="L1087" s="53">
        <f>Tabela6[[#This Row],[CUSTO TOTAL]]/Tabela6[[#This Row],[CONSUMO]]</f>
        <v>0</v>
      </c>
      <c r="M1087" s="50">
        <f>Tabela6[[#This Row],[KM ATUAL]]-E937</f>
        <v>210452</v>
      </c>
      <c r="N1087" s="51">
        <f>Tabela6[[#This Row],[KM Rodados ]]/Tabela6[[#This Row],[CONSUMO]]</f>
        <v>955.73115349682109</v>
      </c>
    </row>
    <row r="1088" spans="1:14" x14ac:dyDescent="0.25">
      <c r="A1088" s="47">
        <v>363108</v>
      </c>
      <c r="B1088" s="78">
        <v>45051</v>
      </c>
      <c r="C1088" s="47" t="s">
        <v>17</v>
      </c>
      <c r="D1088" s="49" t="s">
        <v>253</v>
      </c>
      <c r="E1088" s="47">
        <v>347075</v>
      </c>
      <c r="G1088" s="50" t="s">
        <v>89</v>
      </c>
      <c r="H1088" s="51">
        <v>50</v>
      </c>
      <c r="I1088" s="49">
        <v>15</v>
      </c>
      <c r="J1088" s="51">
        <v>6.09</v>
      </c>
      <c r="K1088" s="52">
        <f>Tabela6[[#This Row],[CONSUMO]]*Tabela6[[#This Row],[VALOR UNIT]]-Tabela6[[#This Row],[DESCONTO]]</f>
        <v>289.5</v>
      </c>
      <c r="L1088" s="53">
        <f>Tabela6[[#This Row],[CUSTO TOTAL]]/Tabela6[[#This Row],[CONSUMO]]</f>
        <v>5.79</v>
      </c>
      <c r="M1088" s="50">
        <f>Tabela6[[#This Row],[KM ATUAL]]-E1087</f>
        <v>288</v>
      </c>
      <c r="N1088" s="51">
        <f>Tabela6[[#This Row],[KM Rodados ]]/Tabela6[[#This Row],[CONSUMO]]</f>
        <v>5.76</v>
      </c>
    </row>
    <row r="1089" spans="1:14" x14ac:dyDescent="0.25">
      <c r="A1089" s="47">
        <v>293473</v>
      </c>
      <c r="B1089" s="78">
        <v>45051</v>
      </c>
      <c r="C1089" s="47" t="s">
        <v>74</v>
      </c>
      <c r="D1089" s="49" t="s">
        <v>276</v>
      </c>
      <c r="E1089" s="47">
        <v>50249</v>
      </c>
      <c r="G1089" s="50" t="s">
        <v>89</v>
      </c>
      <c r="H1089" s="51">
        <v>78.42</v>
      </c>
      <c r="J1089" s="51">
        <v>5.79</v>
      </c>
      <c r="K1089" s="52">
        <f>Tabela6[[#This Row],[CONSUMO]]*Tabela6[[#This Row],[VALOR UNIT]]-Tabela6[[#This Row],[DESCONTO]]</f>
        <v>454.05180000000001</v>
      </c>
      <c r="L1089" s="53">
        <f>Tabela6[[#This Row],[CUSTO TOTAL]]/Tabela6[[#This Row],[CONSUMO]]</f>
        <v>5.79</v>
      </c>
      <c r="M1089" s="50">
        <f>Tabela6[[#This Row],[KM ATUAL]]-E1077</f>
        <v>-197021</v>
      </c>
      <c r="N1089" s="51">
        <f>Tabela6[[#This Row],[KM Rodados ]]/Tabela6[[#This Row],[CONSUMO]]</f>
        <v>-2512.3820453965823</v>
      </c>
    </row>
    <row r="1090" spans="1:14" x14ac:dyDescent="0.25">
      <c r="A1090" s="47">
        <v>273450</v>
      </c>
      <c r="B1090" s="78">
        <v>45052</v>
      </c>
      <c r="C1090" s="47" t="s">
        <v>17</v>
      </c>
      <c r="D1090" s="49" t="s">
        <v>270</v>
      </c>
      <c r="E1090" s="47">
        <v>348281</v>
      </c>
      <c r="G1090" s="50" t="s">
        <v>89</v>
      </c>
      <c r="H1090" s="51">
        <v>245.18</v>
      </c>
      <c r="J1090" s="51">
        <v>5.29</v>
      </c>
      <c r="K1090" s="52">
        <f>Tabela6[[#This Row],[CONSUMO]]*Tabela6[[#This Row],[VALOR UNIT]]-Tabela6[[#This Row],[DESCONTO]]</f>
        <v>1297.0022000000001</v>
      </c>
      <c r="L1090" s="53">
        <f>Tabela6[[#This Row],[CUSTO TOTAL]]/Tabela6[[#This Row],[CONSUMO]]</f>
        <v>5.29</v>
      </c>
      <c r="M1090" s="50">
        <f>Tabela6[[#This Row],[KM ATUAL]]-E1085</f>
        <v>-268025</v>
      </c>
      <c r="N1090" s="51">
        <f>Tabela6[[#This Row],[KM Rodados ]]/Tabela6[[#This Row],[CONSUMO]]</f>
        <v>-1093.1764417978627</v>
      </c>
    </row>
    <row r="1091" spans="1:14" x14ac:dyDescent="0.25">
      <c r="A1091" s="47">
        <v>249844</v>
      </c>
      <c r="B1091" s="78">
        <v>45054</v>
      </c>
      <c r="C1091" s="47" t="s">
        <v>43</v>
      </c>
      <c r="D1091" s="49" t="s">
        <v>263</v>
      </c>
      <c r="E1091" s="47">
        <v>122312</v>
      </c>
      <c r="G1091" s="50" t="s">
        <v>89</v>
      </c>
      <c r="H1091" s="51">
        <v>32.82</v>
      </c>
      <c r="I1091" s="49">
        <v>3.29</v>
      </c>
      <c r="J1091" s="51">
        <v>5.49</v>
      </c>
      <c r="K1091" s="51">
        <f>Tabela6[[#This Row],[CONSUMO]]*Tabela6[[#This Row],[VALOR UNIT]]-Tabela6[[#This Row],[DESCONTO]]</f>
        <v>176.89180000000002</v>
      </c>
      <c r="L1091" s="53">
        <f>Tabela6[[#This Row],[CUSTO TOTAL]]/Tabela6[[#This Row],[CONSUMO]]</f>
        <v>5.3897562461913475</v>
      </c>
      <c r="M1091" s="50">
        <f>Tabela6[[#This Row],[KM ATUAL]]-E1067</f>
        <v>-238433</v>
      </c>
      <c r="N1091" s="72">
        <f>Tabela6[[#This Row],[KM Rodados ]]/Tabela6[[#This Row],[CONSUMO]]</f>
        <v>-7264.8689823278492</v>
      </c>
    </row>
    <row r="1092" spans="1:14" x14ac:dyDescent="0.25">
      <c r="A1092" s="47">
        <v>273986</v>
      </c>
      <c r="B1092" s="78">
        <v>45054</v>
      </c>
      <c r="C1092" s="47" t="s">
        <v>43</v>
      </c>
      <c r="D1092" s="49" t="s">
        <v>270</v>
      </c>
      <c r="E1092" s="47">
        <v>122591</v>
      </c>
      <c r="G1092" s="50" t="s">
        <v>89</v>
      </c>
      <c r="H1092" s="51">
        <v>32.19</v>
      </c>
      <c r="J1092" s="51">
        <v>5.29</v>
      </c>
      <c r="K1092" s="51">
        <f>Tabela6[[#This Row],[CONSUMO]]*Tabela6[[#This Row],[VALOR UNIT]]-Tabela6[[#This Row],[DESCONTO]]</f>
        <v>170.2851</v>
      </c>
      <c r="L1092" s="53">
        <f>Tabela6[[#This Row],[CUSTO TOTAL]]/Tabela6[[#This Row],[CONSUMO]]</f>
        <v>5.29</v>
      </c>
      <c r="M1092" s="50">
        <f>Tabela6[[#This Row],[KM ATUAL]]-E1091</f>
        <v>279</v>
      </c>
      <c r="N1092" s="72">
        <f>Tabela6[[#This Row],[KM Rodados ]]/Tabela6[[#This Row],[CONSUMO]]</f>
        <v>8.6672879776328067</v>
      </c>
    </row>
    <row r="1093" spans="1:14" x14ac:dyDescent="0.25">
      <c r="A1093" s="47">
        <v>295310</v>
      </c>
      <c r="B1093" s="78">
        <v>45054</v>
      </c>
      <c r="C1093" s="47" t="s">
        <v>203</v>
      </c>
      <c r="D1093" s="49" t="s">
        <v>276</v>
      </c>
      <c r="E1093" s="47">
        <v>94858</v>
      </c>
      <c r="G1093" s="50" t="s">
        <v>244</v>
      </c>
      <c r="H1093" s="51">
        <v>8.7799999999999994</v>
      </c>
      <c r="J1093" s="51">
        <v>5.49</v>
      </c>
      <c r="K1093" s="51">
        <f>Tabela6[[#This Row],[CONSUMO]]*Tabela6[[#This Row],[VALOR UNIT]]-Tabela6[[#This Row],[DESCONTO]]</f>
        <v>48.202199999999998</v>
      </c>
      <c r="L1093" s="53">
        <f>Tabela6[[#This Row],[CUSTO TOTAL]]/Tabela6[[#This Row],[CONSUMO]]</f>
        <v>5.49</v>
      </c>
      <c r="M1093" s="50">
        <f>Tabela6[[#This Row],[KM ATUAL]]-E1086</f>
        <v>-266642</v>
      </c>
      <c r="N1093" s="51">
        <f>Tabela6[[#This Row],[KM Rodados ]]/Tabela6[[#This Row],[CONSUMO]]</f>
        <v>-30369.248291571756</v>
      </c>
    </row>
    <row r="1094" spans="1:14" x14ac:dyDescent="0.25">
      <c r="A1094" s="47" t="s">
        <v>314</v>
      </c>
      <c r="B1094" s="78">
        <v>45054</v>
      </c>
      <c r="C1094" s="119" t="s">
        <v>72</v>
      </c>
      <c r="E1094" s="119">
        <v>388630</v>
      </c>
      <c r="G1094" s="120" t="s">
        <v>89</v>
      </c>
      <c r="H1094" s="51">
        <v>33.4</v>
      </c>
      <c r="K1094" s="52">
        <f>Tabela6[[#This Row],[CONSUMO]]*Tabela6[[#This Row],[VALOR UNIT]]-Tabela6[[#This Row],[DESCONTO]]</f>
        <v>0</v>
      </c>
      <c r="L1094" s="53">
        <f>Tabela6[[#This Row],[CUSTO TOTAL]]/Tabela6[[#This Row],[CONSUMO]]</f>
        <v>0</v>
      </c>
      <c r="M1094" s="50">
        <f>Tabela6[[#This Row],[KM ATUAL]]-E1056</f>
        <v>-211296</v>
      </c>
      <c r="N1094" s="51">
        <f>Tabela6[[#This Row],[KM Rodados ]]/Tabela6[[#This Row],[CONSUMO]]</f>
        <v>-6326.2275449101799</v>
      </c>
    </row>
    <row r="1095" spans="1:14" x14ac:dyDescent="0.25">
      <c r="A1095" s="47" t="s">
        <v>314</v>
      </c>
      <c r="B1095" s="78">
        <v>45054</v>
      </c>
      <c r="C1095" s="119" t="s">
        <v>72</v>
      </c>
      <c r="E1095" s="119">
        <v>388917</v>
      </c>
      <c r="G1095" s="120" t="s">
        <v>89</v>
      </c>
      <c r="H1095" s="51">
        <v>36.5</v>
      </c>
      <c r="K1095" s="52">
        <f>Tabela6[[#This Row],[CONSUMO]]*Tabela6[[#This Row],[VALOR UNIT]]-Tabela6[[#This Row],[DESCONTO]]</f>
        <v>0</v>
      </c>
      <c r="L1095" s="53">
        <f>Tabela6[[#This Row],[CUSTO TOTAL]]/Tabela6[[#This Row],[CONSUMO]]</f>
        <v>0</v>
      </c>
      <c r="M1095" s="50">
        <f>Tabela6[[#This Row],[KM ATUAL]]-E1094</f>
        <v>287</v>
      </c>
      <c r="N1095" s="51">
        <f>Tabela6[[#This Row],[KM Rodados ]]/Tabela6[[#This Row],[CONSUMO]]</f>
        <v>7.8630136986301373</v>
      </c>
    </row>
    <row r="1096" spans="1:14" x14ac:dyDescent="0.25">
      <c r="A1096" s="47">
        <v>527573</v>
      </c>
      <c r="B1096" s="78">
        <v>45054</v>
      </c>
      <c r="C1096" s="119" t="s">
        <v>72</v>
      </c>
      <c r="D1096" s="49" t="s">
        <v>283</v>
      </c>
      <c r="E1096" s="119">
        <v>389206</v>
      </c>
      <c r="G1096" s="120" t="s">
        <v>89</v>
      </c>
      <c r="H1096" s="51">
        <v>30.51</v>
      </c>
      <c r="J1096" s="51">
        <v>6.49</v>
      </c>
      <c r="K1096" s="52">
        <f>Tabela6[[#This Row],[CONSUMO]]*Tabela6[[#This Row],[VALOR UNIT]]-Tabela6[[#This Row],[DESCONTO]]</f>
        <v>198.00990000000002</v>
      </c>
      <c r="L1096" s="53">
        <f>Tabela6[[#This Row],[CUSTO TOTAL]]/Tabela6[[#This Row],[CONSUMO]]</f>
        <v>6.49</v>
      </c>
      <c r="M1096" s="50">
        <f>Tabela6[[#This Row],[KM ATUAL]]-E1095</f>
        <v>289</v>
      </c>
      <c r="N1096" s="51">
        <f>Tabela6[[#This Row],[KM Rodados ]]/Tabela6[[#This Row],[CONSUMO]]</f>
        <v>9.4723041625696496</v>
      </c>
    </row>
    <row r="1097" spans="1:14" x14ac:dyDescent="0.25">
      <c r="A1097" s="47">
        <v>175978</v>
      </c>
      <c r="B1097" s="78">
        <v>45054</v>
      </c>
      <c r="C1097" s="47" t="s">
        <v>72</v>
      </c>
      <c r="D1097" s="49" t="s">
        <v>268</v>
      </c>
      <c r="E1097" s="119">
        <v>389585</v>
      </c>
      <c r="G1097" s="120" t="s">
        <v>89</v>
      </c>
      <c r="H1097" s="51">
        <v>50.951000000000001</v>
      </c>
      <c r="J1097" s="51">
        <v>5.29</v>
      </c>
      <c r="K1097" s="51">
        <f>Tabela6[[#This Row],[CONSUMO]]*Tabela6[[#This Row],[VALOR UNIT]]-Tabela6[[#This Row],[DESCONTO]]</f>
        <v>269.53079000000002</v>
      </c>
      <c r="L1097" s="53">
        <f>Tabela6[[#This Row],[CUSTO TOTAL]]/Tabela6[[#This Row],[CONSUMO]]</f>
        <v>5.29</v>
      </c>
      <c r="M1097" s="50">
        <f>Tabela6[[#This Row],[KM ATUAL]]-E1096</f>
        <v>379</v>
      </c>
      <c r="N1097" s="51">
        <f>Tabela6[[#This Row],[KM Rodados ]]/Tabela6[[#This Row],[CONSUMO]]</f>
        <v>7.4385193617397105</v>
      </c>
    </row>
    <row r="1098" spans="1:14" x14ac:dyDescent="0.25">
      <c r="A1098" s="47">
        <v>179697</v>
      </c>
      <c r="B1098" s="78">
        <v>45054</v>
      </c>
      <c r="C1098" s="47" t="s">
        <v>10</v>
      </c>
      <c r="D1098" s="49" t="s">
        <v>262</v>
      </c>
      <c r="E1098" s="47">
        <v>712311</v>
      </c>
      <c r="G1098" s="50" t="s">
        <v>89</v>
      </c>
      <c r="H1098" s="51">
        <v>129.911</v>
      </c>
      <c r="J1098" s="51">
        <v>5.49</v>
      </c>
      <c r="K1098" s="51">
        <f>Tabela6[[#This Row],[CONSUMO]]*Tabela6[[#This Row],[VALOR UNIT]]-Tabela6[[#This Row],[DESCONTO]]</f>
        <v>713.21139000000005</v>
      </c>
      <c r="L1098" s="53">
        <f>Tabela6[[#This Row],[CUSTO TOTAL]]/Tabela6[[#This Row],[CONSUMO]]</f>
        <v>5.49</v>
      </c>
      <c r="M1098" s="50">
        <f>Tabela6[[#This Row],[KM ATUAL]]-E1077</f>
        <v>465041</v>
      </c>
      <c r="N1098" s="51">
        <f>Tabela6[[#This Row],[KM Rodados ]]/Tabela6[[#This Row],[CONSUMO]]</f>
        <v>3579.6891718176289</v>
      </c>
    </row>
    <row r="1099" spans="1:14" x14ac:dyDescent="0.25">
      <c r="A1099" s="47">
        <v>274065</v>
      </c>
      <c r="B1099" s="78">
        <v>45054</v>
      </c>
      <c r="C1099" s="47" t="s">
        <v>206</v>
      </c>
      <c r="D1099" s="49" t="s">
        <v>270</v>
      </c>
      <c r="E1099" s="47">
        <v>936741</v>
      </c>
      <c r="G1099" s="50" t="s">
        <v>89</v>
      </c>
      <c r="H1099" s="51">
        <v>420</v>
      </c>
      <c r="J1099" s="51">
        <v>5.29</v>
      </c>
      <c r="K1099" s="52">
        <f>Tabela6[[#This Row],[CONSUMO]]*Tabela6[[#This Row],[VALOR UNIT]]-Tabela6[[#This Row],[DESCONTO]]</f>
        <v>2221.8000000000002</v>
      </c>
      <c r="L1099" s="53">
        <f>Tabela6[[#This Row],[CUSTO TOTAL]]/Tabela6[[#This Row],[CONSUMO]]</f>
        <v>5.29</v>
      </c>
      <c r="M1099" s="50">
        <f>Tabela6[[#This Row],[KM ATUAL]]-E1068</f>
        <v>689931</v>
      </c>
      <c r="N1099" s="51">
        <f>Tabela6[[#This Row],[KM Rodados ]]/Tabela6[[#This Row],[CONSUMO]]</f>
        <v>1642.6928571428571</v>
      </c>
    </row>
    <row r="1100" spans="1:14" x14ac:dyDescent="0.25">
      <c r="A1100" s="47">
        <v>532398</v>
      </c>
      <c r="B1100" s="78">
        <v>45054</v>
      </c>
      <c r="C1100" s="47" t="s">
        <v>18</v>
      </c>
      <c r="D1100" s="49" t="s">
        <v>255</v>
      </c>
      <c r="E1100" s="47">
        <v>308624</v>
      </c>
      <c r="G1100" s="50" t="s">
        <v>89</v>
      </c>
      <c r="H1100" s="51">
        <v>71.171000000000006</v>
      </c>
      <c r="J1100" s="51">
        <v>6.27</v>
      </c>
      <c r="K1100" s="52">
        <f>Tabela6[[#This Row],[CONSUMO]]*Tabela6[[#This Row],[VALOR UNIT]]-Tabela6[[#This Row],[DESCONTO]]</f>
        <v>446.24216999999999</v>
      </c>
      <c r="L1100" s="53">
        <f>Tabela6[[#This Row],[CUSTO TOTAL]]/Tabela6[[#This Row],[CONSUMO]]</f>
        <v>6.27</v>
      </c>
      <c r="M1100" s="50">
        <f>Tabela6[[#This Row],[KM ATUAL]]-E1037</f>
        <v>215078</v>
      </c>
      <c r="N1100" s="51">
        <f>Tabela6[[#This Row],[KM Rodados ]]/Tabela6[[#This Row],[CONSUMO]]</f>
        <v>3021.9892933919714</v>
      </c>
    </row>
    <row r="1101" spans="1:14" x14ac:dyDescent="0.25">
      <c r="A1101" s="47">
        <v>296572</v>
      </c>
      <c r="B1101" s="78">
        <v>45054</v>
      </c>
      <c r="C1101" s="47" t="s">
        <v>19</v>
      </c>
      <c r="D1101" s="49" t="s">
        <v>269</v>
      </c>
      <c r="E1101" s="47">
        <v>305032</v>
      </c>
      <c r="G1101" s="50" t="s">
        <v>89</v>
      </c>
      <c r="H1101" s="51">
        <v>182.42</v>
      </c>
      <c r="J1101" s="51">
        <v>5.29</v>
      </c>
      <c r="K1101" s="51">
        <f>Tabela6[[#This Row],[CONSUMO]]*Tabela6[[#This Row],[VALOR UNIT]]-Tabela6[[#This Row],[DESCONTO]]</f>
        <v>965.00179999999989</v>
      </c>
      <c r="L1101" s="53">
        <f>Tabela6[[#This Row],[CUSTO TOTAL]]/Tabela6[[#This Row],[CONSUMO]]</f>
        <v>5.29</v>
      </c>
      <c r="M1101" s="50">
        <f>Tabela6[[#This Row],[KM ATUAL]]-E1074</f>
        <v>165554</v>
      </c>
      <c r="N1101" s="51">
        <f>Tabela6[[#This Row],[KM Rodados ]]/Tabela6[[#This Row],[CONSUMO]]</f>
        <v>907.54303256221908</v>
      </c>
    </row>
    <row r="1102" spans="1:14" x14ac:dyDescent="0.25">
      <c r="A1102" s="47">
        <v>295363</v>
      </c>
      <c r="B1102" s="78">
        <v>45054</v>
      </c>
      <c r="C1102" s="47" t="s">
        <v>20</v>
      </c>
      <c r="D1102" s="47" t="s">
        <v>276</v>
      </c>
      <c r="E1102" s="47">
        <v>247811</v>
      </c>
      <c r="G1102" s="50" t="s">
        <v>89</v>
      </c>
      <c r="H1102" s="51">
        <v>67.400000000000006</v>
      </c>
      <c r="J1102" s="51">
        <v>5.6</v>
      </c>
      <c r="K1102" s="52">
        <f>Tabela6[[#This Row],[CONSUMO]]*Tabela6[[#This Row],[VALOR UNIT]]-Tabela6[[#This Row],[DESCONTO]]</f>
        <v>377.44</v>
      </c>
      <c r="L1102" s="53">
        <f>Tabela6[[#This Row],[CUSTO TOTAL]]/Tabela6[[#This Row],[CONSUMO]]</f>
        <v>5.6</v>
      </c>
      <c r="M1102" s="50">
        <f>Tabela6[[#This Row],[KM ATUAL]]-E1092</f>
        <v>125220</v>
      </c>
      <c r="N1102" s="51">
        <f>Tabela6[[#This Row],[KM Rodados ]]/Tabela6[[#This Row],[CONSUMO]]</f>
        <v>1857.8635014836793</v>
      </c>
    </row>
    <row r="1103" spans="1:14" x14ac:dyDescent="0.25">
      <c r="A1103" s="47">
        <v>543330</v>
      </c>
      <c r="B1103" s="78">
        <v>45054</v>
      </c>
      <c r="C1103" s="47" t="s">
        <v>23</v>
      </c>
      <c r="D1103" s="49" t="s">
        <v>275</v>
      </c>
      <c r="E1103" s="47">
        <v>223744</v>
      </c>
      <c r="G1103" s="50" t="s">
        <v>89</v>
      </c>
      <c r="H1103" s="51">
        <v>156.9</v>
      </c>
      <c r="J1103" s="51">
        <v>5.49</v>
      </c>
      <c r="K1103" s="51">
        <f>Tabela6[[#This Row],[CONSUMO]]*Tabela6[[#This Row],[VALOR UNIT]]-Tabela6[[#This Row],[DESCONTO]]</f>
        <v>861.38100000000009</v>
      </c>
      <c r="L1103" s="53">
        <f>Tabela6[[#This Row],[CUSTO TOTAL]]/Tabela6[[#This Row],[CONSUMO]]</f>
        <v>5.49</v>
      </c>
      <c r="M1103" s="50">
        <f>Tabela6[[#This Row],[KM ATUAL]]-E1082</f>
        <v>-439594</v>
      </c>
      <c r="N1103" s="51">
        <f>Tabela6[[#This Row],[KM Rodados ]]/Tabela6[[#This Row],[CONSUMO]]</f>
        <v>-2801.7463352453792</v>
      </c>
    </row>
    <row r="1104" spans="1:14" x14ac:dyDescent="0.25">
      <c r="A1104" s="47">
        <v>237402</v>
      </c>
      <c r="B1104" s="78">
        <v>45055</v>
      </c>
      <c r="C1104" s="47" t="s">
        <v>43</v>
      </c>
      <c r="D1104" s="49" t="s">
        <v>285</v>
      </c>
      <c r="E1104" s="47">
        <v>122815</v>
      </c>
      <c r="G1104" s="50" t="s">
        <v>89</v>
      </c>
      <c r="H1104" s="51">
        <v>27.36</v>
      </c>
      <c r="J1104" s="51">
        <v>5.39</v>
      </c>
      <c r="K1104" s="51">
        <f>Tabela6[[#This Row],[CONSUMO]]*Tabela6[[#This Row],[VALOR UNIT]]-Tabela6[[#This Row],[DESCONTO]]</f>
        <v>147.47039999999998</v>
      </c>
      <c r="L1104" s="53">
        <f>Tabela6[[#This Row],[CUSTO TOTAL]]/Tabela6[[#This Row],[CONSUMO]]</f>
        <v>5.39</v>
      </c>
      <c r="M1104" s="50">
        <f>Tabela6[[#This Row],[KM ATUAL]]-E1095</f>
        <v>-266102</v>
      </c>
      <c r="N1104" s="72">
        <f>Tabela6[[#This Row],[KM Rodados ]]/Tabela6[[#This Row],[CONSUMO]]</f>
        <v>-9725.9502923976615</v>
      </c>
    </row>
    <row r="1105" spans="1:14" x14ac:dyDescent="0.25">
      <c r="A1105" s="47">
        <v>295643</v>
      </c>
      <c r="B1105" s="78">
        <v>45055</v>
      </c>
      <c r="C1105" s="47" t="s">
        <v>43</v>
      </c>
      <c r="D1105" s="49" t="s">
        <v>276</v>
      </c>
      <c r="E1105" s="47">
        <v>123094</v>
      </c>
      <c r="G1105" s="50" t="s">
        <v>89</v>
      </c>
      <c r="H1105" s="51">
        <v>31.97</v>
      </c>
      <c r="J1105" s="51">
        <v>5.6</v>
      </c>
      <c r="K1105" s="52">
        <f>Tabela6[[#This Row],[CONSUMO]]*Tabela6[[#This Row],[VALOR UNIT]]-Tabela6[[#This Row],[DESCONTO]]</f>
        <v>179.03199999999998</v>
      </c>
      <c r="L1105" s="53">
        <f>Tabela6[[#This Row],[CUSTO TOTAL]]/Tabela6[[#This Row],[CONSUMO]]</f>
        <v>5.6</v>
      </c>
      <c r="M1105" s="50">
        <f>Tabela6[[#This Row],[KM ATUAL]]-E1104</f>
        <v>279</v>
      </c>
      <c r="N1105" s="72">
        <f>Tabela6[[#This Row],[KM Rodados ]]/Tabela6[[#This Row],[CONSUMO]]</f>
        <v>8.7269314982796367</v>
      </c>
    </row>
    <row r="1106" spans="1:14" x14ac:dyDescent="0.25">
      <c r="A1106" s="47">
        <v>366177</v>
      </c>
      <c r="B1106" s="78">
        <v>45055</v>
      </c>
      <c r="C1106" s="47" t="s">
        <v>9</v>
      </c>
      <c r="D1106" s="49" t="s">
        <v>253</v>
      </c>
      <c r="E1106" s="47">
        <v>600910</v>
      </c>
      <c r="G1106" s="50" t="s">
        <v>89</v>
      </c>
      <c r="H1106" s="51">
        <v>138.66</v>
      </c>
      <c r="I1106" s="49">
        <v>41.6</v>
      </c>
      <c r="J1106" s="51">
        <v>5.99</v>
      </c>
      <c r="K1106" s="51">
        <f>Tabela6[[#This Row],[CONSUMO]]*Tabela6[[#This Row],[VALOR UNIT]]-Tabela6[[#This Row],[DESCONTO]]</f>
        <v>788.97339999999997</v>
      </c>
      <c r="L1106" s="53">
        <f>Tabela6[[#This Row],[CUSTO TOTAL]]/Tabela6[[#This Row],[CONSUMO]]</f>
        <v>5.6899855762296268</v>
      </c>
      <c r="M1106" s="50">
        <f>Tabela6[[#This Row],[KM ATUAL]]-E1080</f>
        <v>551219</v>
      </c>
      <c r="N1106" s="51">
        <f>Tabela6[[#This Row],[KM Rodados ]]/Tabela6[[#This Row],[CONSUMO]]</f>
        <v>3975.3281407759991</v>
      </c>
    </row>
    <row r="1107" spans="1:14" x14ac:dyDescent="0.25">
      <c r="A1107" s="47">
        <v>602615</v>
      </c>
      <c r="B1107" s="78">
        <v>45055</v>
      </c>
      <c r="C1107" s="47" t="s">
        <v>222</v>
      </c>
      <c r="D1107" s="49" t="s">
        <v>271</v>
      </c>
      <c r="E1107" s="47">
        <v>472790</v>
      </c>
      <c r="G1107" s="50" t="s">
        <v>241</v>
      </c>
      <c r="H1107" s="51">
        <v>32.518999999999998</v>
      </c>
      <c r="J1107" s="51">
        <v>3.1920000000000002</v>
      </c>
      <c r="K1107" s="51">
        <f>Tabela6[[#This Row],[CONSUMO]]*Tabela6[[#This Row],[VALOR UNIT]]-Tabela6[[#This Row],[DESCONTO]]</f>
        <v>103.800648</v>
      </c>
      <c r="L1107" s="53">
        <f>Tabela6[[#This Row],[CUSTO TOTAL]]/Tabela6[[#This Row],[CONSUMO]]</f>
        <v>3.1920000000000002</v>
      </c>
      <c r="M1107" s="50"/>
      <c r="N1107"/>
    </row>
    <row r="1108" spans="1:14" x14ac:dyDescent="0.25">
      <c r="A1108" s="47">
        <v>602615</v>
      </c>
      <c r="B1108" s="78">
        <v>45055</v>
      </c>
      <c r="C1108" s="47" t="s">
        <v>222</v>
      </c>
      <c r="D1108" s="49" t="s">
        <v>271</v>
      </c>
      <c r="E1108" s="47">
        <v>472790</v>
      </c>
      <c r="G1108" s="50" t="s">
        <v>89</v>
      </c>
      <c r="H1108" s="51">
        <v>463</v>
      </c>
      <c r="J1108" s="51">
        <v>5.29</v>
      </c>
      <c r="K1108" s="51">
        <f>Tabela6[[#This Row],[CONSUMO]]*Tabela6[[#This Row],[VALOR UNIT]]-Tabela6[[#This Row],[DESCONTO]]</f>
        <v>2449.27</v>
      </c>
      <c r="L1108" s="53">
        <f>Tabela6[[#This Row],[CUSTO TOTAL]]/Tabela6[[#This Row],[CONSUMO]]</f>
        <v>5.29</v>
      </c>
      <c r="M1108" s="50">
        <f>Tabela6[[#This Row],[KM ATUAL]]-E1032</f>
        <v>250783</v>
      </c>
      <c r="N1108" s="51">
        <f>Tabela6[[#This Row],[KM Rodados ]]/Tabela6[[#This Row],[CONSUMO]]</f>
        <v>541.6479481641469</v>
      </c>
    </row>
    <row r="1109" spans="1:14" x14ac:dyDescent="0.25">
      <c r="A1109" s="47">
        <v>91396</v>
      </c>
      <c r="B1109" s="78">
        <v>45055</v>
      </c>
      <c r="C1109" s="47" t="s">
        <v>39</v>
      </c>
      <c r="D1109" s="49" t="s">
        <v>263</v>
      </c>
      <c r="E1109" s="47">
        <v>84549</v>
      </c>
      <c r="G1109" s="50" t="s">
        <v>89</v>
      </c>
      <c r="H1109" s="51">
        <v>85.57</v>
      </c>
      <c r="I1109" s="49">
        <v>8.56</v>
      </c>
      <c r="J1109" s="51">
        <v>5.39</v>
      </c>
      <c r="K1109" s="52">
        <f>Tabela6[[#This Row],[CONSUMO]]*Tabela6[[#This Row],[VALOR UNIT]]-Tabela6[[#This Row],[DESCONTO]]</f>
        <v>452.66229999999996</v>
      </c>
      <c r="L1109" s="53">
        <f>Tabela6[[#This Row],[CUSTO TOTAL]]/Tabela6[[#This Row],[CONSUMO]]</f>
        <v>5.2899649409839897</v>
      </c>
      <c r="M1109" s="50">
        <f>Tabela6[[#This Row],[KM ATUAL]]-E1035</f>
        <v>-223444</v>
      </c>
      <c r="N1109" s="51">
        <f>Tabela6[[#This Row],[KM Rodados ]]/Tabela6[[#This Row],[CONSUMO]]</f>
        <v>-2611.2422578006313</v>
      </c>
    </row>
    <row r="1110" spans="1:14" x14ac:dyDescent="0.25">
      <c r="A1110" s="47">
        <v>543664</v>
      </c>
      <c r="B1110" s="78">
        <v>45055</v>
      </c>
      <c r="C1110" s="47" t="s">
        <v>70</v>
      </c>
      <c r="D1110" s="49" t="s">
        <v>275</v>
      </c>
      <c r="E1110" s="47">
        <v>199406</v>
      </c>
      <c r="G1110" s="50" t="s">
        <v>89</v>
      </c>
      <c r="H1110" s="51">
        <v>726.36</v>
      </c>
      <c r="J1110" s="51">
        <v>5.39</v>
      </c>
      <c r="K1110" s="51">
        <f>Tabela6[[#This Row],[CONSUMO]]*Tabela6[[#This Row],[VALOR UNIT]]-Tabela6[[#This Row],[DESCONTO]]</f>
        <v>3915.0803999999998</v>
      </c>
      <c r="L1110" s="53">
        <f>Tabela6[[#This Row],[CUSTO TOTAL]]/Tabela6[[#This Row],[CONSUMO]]</f>
        <v>5.39</v>
      </c>
      <c r="M1110" s="50">
        <f>Tabela6[[#This Row],[KM ATUAL]]-E969</f>
        <v>-22823</v>
      </c>
      <c r="N1110" s="51">
        <f>Tabela6[[#This Row],[KM Rodados ]]/Tabela6[[#This Row],[CONSUMO]]</f>
        <v>-31.421058428327552</v>
      </c>
    </row>
    <row r="1111" spans="1:14" x14ac:dyDescent="0.25">
      <c r="A1111" s="47">
        <v>374544</v>
      </c>
      <c r="B1111" s="78">
        <v>45055</v>
      </c>
      <c r="C1111" s="47" t="s">
        <v>72</v>
      </c>
      <c r="D1111" s="47" t="s">
        <v>250</v>
      </c>
      <c r="E1111" s="119">
        <v>389960</v>
      </c>
      <c r="G1111" s="120" t="s">
        <v>89</v>
      </c>
      <c r="H1111" s="51">
        <v>55.363999999999997</v>
      </c>
      <c r="J1111" s="51">
        <v>6.49</v>
      </c>
      <c r="K1111" s="51">
        <f>Tabela6[[#This Row],[CONSUMO]]*Tabela6[[#This Row],[VALOR UNIT]]-Tabela6[[#This Row],[DESCONTO]]</f>
        <v>359.31236000000001</v>
      </c>
      <c r="L1111" s="53">
        <f>Tabela6[[#This Row],[CUSTO TOTAL]]/Tabela6[[#This Row],[CONSUMO]]</f>
        <v>6.49</v>
      </c>
      <c r="M1111" s="50">
        <f>Tabela6[[#This Row],[KM ATUAL]]-E1103</f>
        <v>166216</v>
      </c>
      <c r="N1111" s="51">
        <f>Tabela6[[#This Row],[KM Rodados ]]/Tabela6[[#This Row],[CONSUMO]]</f>
        <v>3002.2397225633986</v>
      </c>
    </row>
    <row r="1112" spans="1:14" x14ac:dyDescent="0.25">
      <c r="A1112" s="47">
        <v>665530</v>
      </c>
      <c r="B1112" s="78">
        <v>45055</v>
      </c>
      <c r="C1112" s="47" t="s">
        <v>13</v>
      </c>
      <c r="D1112" s="49" t="s">
        <v>250</v>
      </c>
      <c r="E1112" s="47">
        <v>616413</v>
      </c>
      <c r="G1112" s="50" t="s">
        <v>241</v>
      </c>
      <c r="H1112" s="51">
        <v>21</v>
      </c>
      <c r="J1112" s="51">
        <v>3.39</v>
      </c>
      <c r="K1112" s="51">
        <f>Tabela6[[#This Row],[CONSUMO]]*Tabela6[[#This Row],[VALOR UNIT]]-Tabela6[[#This Row],[DESCONTO]]</f>
        <v>71.19</v>
      </c>
      <c r="L1112" s="53">
        <f>Tabela6[[#This Row],[CUSTO TOTAL]]/Tabela6[[#This Row],[CONSUMO]]</f>
        <v>3.3899999999999997</v>
      </c>
      <c r="M1112" s="50"/>
      <c r="N1112"/>
    </row>
    <row r="1113" spans="1:14" x14ac:dyDescent="0.25">
      <c r="A1113" s="47">
        <v>665526</v>
      </c>
      <c r="B1113" s="78">
        <v>45055</v>
      </c>
      <c r="C1113" s="119" t="s">
        <v>13</v>
      </c>
      <c r="D1113" s="49" t="s">
        <v>250</v>
      </c>
      <c r="E1113" s="119">
        <v>616413</v>
      </c>
      <c r="G1113" s="50" t="s">
        <v>89</v>
      </c>
      <c r="H1113" s="51">
        <v>21.3</v>
      </c>
      <c r="J1113" s="51">
        <v>5.39</v>
      </c>
      <c r="K1113" s="52">
        <f>Tabela6[[#This Row],[CONSUMO]]*Tabela6[[#This Row],[VALOR UNIT]]-Tabela6[[#This Row],[DESCONTO]]</f>
        <v>114.807</v>
      </c>
      <c r="L1113" s="53">
        <f>Tabela6[[#This Row],[CUSTO TOTAL]]/Tabela6[[#This Row],[CONSUMO]]</f>
        <v>5.39</v>
      </c>
      <c r="M1113" s="50">
        <f>Tabela6[[#This Row],[KM ATUAL]]-E1087</f>
        <v>269626</v>
      </c>
      <c r="N1113" s="51">
        <f>Tabela6[[#This Row],[KM Rodados ]]/Tabela6[[#This Row],[CONSUMO]]</f>
        <v>12658.497652582158</v>
      </c>
    </row>
    <row r="1114" spans="1:14" x14ac:dyDescent="0.25">
      <c r="A1114" s="47">
        <v>250071</v>
      </c>
      <c r="B1114" s="78">
        <v>45055</v>
      </c>
      <c r="C1114" s="47" t="s">
        <v>23</v>
      </c>
      <c r="D1114" s="49" t="s">
        <v>263</v>
      </c>
      <c r="E1114" s="47">
        <v>223927</v>
      </c>
      <c r="G1114" s="50" t="s">
        <v>241</v>
      </c>
      <c r="H1114" s="51">
        <v>17</v>
      </c>
      <c r="J1114" s="51">
        <v>3.49</v>
      </c>
      <c r="K1114" s="51">
        <f>Tabela6[[#This Row],[CONSUMO]]*Tabela6[[#This Row],[VALOR UNIT]]-Tabela6[[#This Row],[DESCONTO]]</f>
        <v>59.330000000000005</v>
      </c>
      <c r="L1114" s="53">
        <f>Tabela6[[#This Row],[CUSTO TOTAL]]/Tabela6[[#This Row],[CONSUMO]]</f>
        <v>3.49</v>
      </c>
      <c r="M1114" s="50"/>
      <c r="N1114"/>
    </row>
    <row r="1115" spans="1:14" x14ac:dyDescent="0.25">
      <c r="A1115" s="47">
        <v>179983</v>
      </c>
      <c r="B1115" s="78">
        <v>45055</v>
      </c>
      <c r="C1115" s="47" t="s">
        <v>74</v>
      </c>
      <c r="D1115" s="49" t="s">
        <v>262</v>
      </c>
      <c r="E1115" s="47">
        <v>50508</v>
      </c>
      <c r="G1115" s="50" t="s">
        <v>89</v>
      </c>
      <c r="H1115" s="51">
        <v>37.5</v>
      </c>
      <c r="J1115" s="51">
        <v>5.49</v>
      </c>
      <c r="K1115" s="51">
        <f>Tabela6[[#This Row],[CONSUMO]]*Tabela6[[#This Row],[VALOR UNIT]]-Tabela6[[#This Row],[DESCONTO]]</f>
        <v>205.875</v>
      </c>
      <c r="L1115" s="53">
        <f>Tabela6[[#This Row],[CUSTO TOTAL]]/Tabela6[[#This Row],[CONSUMO]]</f>
        <v>5.49</v>
      </c>
      <c r="M1115" s="50">
        <f>Tabela6[[#This Row],[KM ATUAL]]-E1092</f>
        <v>-72083</v>
      </c>
      <c r="N1115" s="51">
        <f>Tabela6[[#This Row],[KM Rodados ]]/Tabela6[[#This Row],[CONSUMO]]</f>
        <v>-1922.2133333333334</v>
      </c>
    </row>
    <row r="1116" spans="1:14" x14ac:dyDescent="0.25">
      <c r="A1116" s="47">
        <v>274531</v>
      </c>
      <c r="B1116" s="78">
        <v>45056</v>
      </c>
      <c r="C1116" s="47" t="s">
        <v>68</v>
      </c>
      <c r="D1116" s="49" t="s">
        <v>270</v>
      </c>
      <c r="E1116" s="47">
        <v>884043</v>
      </c>
      <c r="G1116" s="50" t="s">
        <v>89</v>
      </c>
      <c r="H1116" s="51">
        <v>415.34</v>
      </c>
      <c r="J1116" s="51">
        <v>5.29</v>
      </c>
      <c r="K1116" s="51">
        <f>Tabela6[[#This Row],[CONSUMO]]*Tabela6[[#This Row],[VALOR UNIT]]-Tabela6[[#This Row],[DESCONTO]]</f>
        <v>2197.1486</v>
      </c>
      <c r="L1116" s="53">
        <f>Tabela6[[#This Row],[CUSTO TOTAL]]/Tabela6[[#This Row],[CONSUMO]]</f>
        <v>5.29</v>
      </c>
      <c r="M1116" s="50">
        <f>Tabela6[[#This Row],[KM ATUAL]]-E1057</f>
        <v>522194</v>
      </c>
      <c r="N1116" s="51">
        <f>Tabela6[[#This Row],[KM Rodados ]]/Tabela6[[#This Row],[CONSUMO]]</f>
        <v>1257.2687436798767</v>
      </c>
    </row>
    <row r="1117" spans="1:14" x14ac:dyDescent="0.25">
      <c r="A1117" s="47">
        <v>274522</v>
      </c>
      <c r="B1117" s="78">
        <v>45056</v>
      </c>
      <c r="C1117" s="47" t="s">
        <v>43</v>
      </c>
      <c r="D1117" s="49" t="s">
        <v>270</v>
      </c>
      <c r="E1117" s="47">
        <v>123397</v>
      </c>
      <c r="G1117" s="50" t="s">
        <v>89</v>
      </c>
      <c r="H1117" s="51">
        <v>35.799999999999997</v>
      </c>
      <c r="J1117" s="51">
        <v>5.29</v>
      </c>
      <c r="K1117" s="51">
        <f>Tabela6[[#This Row],[CONSUMO]]*Tabela6[[#This Row],[VALOR UNIT]]-Tabela6[[#This Row],[DESCONTO]]</f>
        <v>189.38199999999998</v>
      </c>
      <c r="L1117" s="53">
        <f>Tabela6[[#This Row],[CUSTO TOTAL]]/Tabela6[[#This Row],[CONSUMO]]</f>
        <v>5.29</v>
      </c>
      <c r="M1117" s="50">
        <f>Tabela6[[#This Row],[KM ATUAL]]-E1110</f>
        <v>-76009</v>
      </c>
      <c r="N1117" s="72">
        <f>Tabela6[[#This Row],[KM Rodados ]]/Tabela6[[#This Row],[CONSUMO]]</f>
        <v>-2123.1564245810059</v>
      </c>
    </row>
    <row r="1118" spans="1:14" x14ac:dyDescent="0.25">
      <c r="A1118" s="47">
        <v>366582</v>
      </c>
      <c r="B1118" s="78">
        <v>45056</v>
      </c>
      <c r="C1118" s="47" t="s">
        <v>42</v>
      </c>
      <c r="D1118" s="49" t="s">
        <v>253</v>
      </c>
      <c r="E1118" s="47">
        <v>362287</v>
      </c>
      <c r="G1118" s="50" t="s">
        <v>89</v>
      </c>
      <c r="H1118" s="51">
        <v>78.069999999999993</v>
      </c>
      <c r="I1118" s="49">
        <v>23.42</v>
      </c>
      <c r="J1118" s="51">
        <v>5.99</v>
      </c>
      <c r="K1118" s="52">
        <f>Tabela6[[#This Row],[CONSUMO]]*Tabela6[[#This Row],[VALOR UNIT]]-Tabela6[[#This Row],[DESCONTO]]</f>
        <v>444.21929999999998</v>
      </c>
      <c r="L1118" s="53">
        <f>Tabela6[[#This Row],[CUSTO TOTAL]]/Tabela6[[#This Row],[CONSUMO]]</f>
        <v>5.6900128090175484</v>
      </c>
      <c r="M1118" s="50">
        <f>Tabela6[[#This Row],[KM ATUAL]]-E1052</f>
        <v>313049</v>
      </c>
      <c r="N1118" s="51">
        <f>Tabela6[[#This Row],[KM Rodados ]]/Tabela6[[#This Row],[CONSUMO]]</f>
        <v>4009.8501344946844</v>
      </c>
    </row>
    <row r="1119" spans="1:14" x14ac:dyDescent="0.25">
      <c r="A1119" s="47">
        <v>177280</v>
      </c>
      <c r="B1119" s="78">
        <v>45056</v>
      </c>
      <c r="C1119" s="47" t="s">
        <v>67</v>
      </c>
      <c r="D1119" s="49" t="s">
        <v>268</v>
      </c>
      <c r="E1119" s="47">
        <v>664032</v>
      </c>
      <c r="G1119" s="50" t="s">
        <v>89</v>
      </c>
      <c r="H1119" s="51">
        <v>166</v>
      </c>
      <c r="J1119" s="51">
        <v>5.29</v>
      </c>
      <c r="K1119" s="51">
        <f>Tabela6[[#This Row],[CONSUMO]]*Tabela6[[#This Row],[VALOR UNIT]]-Tabela6[[#This Row],[DESCONTO]]</f>
        <v>878.14</v>
      </c>
      <c r="L1119" s="53">
        <f>Tabela6[[#This Row],[CUSTO TOTAL]]/Tabela6[[#This Row],[CONSUMO]]</f>
        <v>5.29</v>
      </c>
      <c r="M1119" s="50">
        <f>Tabela6[[#This Row],[KM ATUAL]]-E1085</f>
        <v>47726</v>
      </c>
      <c r="N1119" s="51">
        <f>Tabela6[[#This Row],[KM Rodados ]]/Tabela6[[#This Row],[CONSUMO]]</f>
        <v>287.50602409638554</v>
      </c>
    </row>
    <row r="1120" spans="1:14" x14ac:dyDescent="0.25">
      <c r="A1120" s="47">
        <v>295869</v>
      </c>
      <c r="B1120" s="78">
        <v>45056</v>
      </c>
      <c r="C1120" s="47" t="s">
        <v>215</v>
      </c>
      <c r="D1120" s="49" t="s">
        <v>276</v>
      </c>
      <c r="E1120" s="47">
        <v>222602</v>
      </c>
      <c r="G1120" s="50" t="s">
        <v>244</v>
      </c>
      <c r="H1120" s="51">
        <v>18.215</v>
      </c>
      <c r="J1120" s="51">
        <v>5.49</v>
      </c>
      <c r="K1120" s="51">
        <f>Tabela6[[#This Row],[CONSUMO]]*Tabela6[[#This Row],[VALOR UNIT]]-Tabela6[[#This Row],[DESCONTO]]</f>
        <v>100.00035</v>
      </c>
      <c r="L1120" s="53">
        <f>Tabela6[[#This Row],[CUSTO TOTAL]]/Tabela6[[#This Row],[CONSUMO]]</f>
        <v>5.49</v>
      </c>
      <c r="M1120" s="50">
        <f>Tabela6[[#This Row],[KM ATUAL]]-E1119</f>
        <v>-441430</v>
      </c>
      <c r="N1120" s="51">
        <f>Tabela6[[#This Row],[KM Rodados ]]/H1053</f>
        <v>-1249.4445246404625</v>
      </c>
    </row>
    <row r="1121" spans="1:14" ht="13.7" customHeight="1" x14ac:dyDescent="0.25">
      <c r="A1121" s="47" t="s">
        <v>314</v>
      </c>
      <c r="B1121" s="78">
        <v>45056</v>
      </c>
      <c r="C1121" s="47" t="s">
        <v>22</v>
      </c>
      <c r="E1121" s="47">
        <v>323770</v>
      </c>
      <c r="G1121" s="50" t="s">
        <v>89</v>
      </c>
      <c r="H1121" s="51">
        <v>109.4</v>
      </c>
      <c r="K1121" s="74">
        <f>Tabela6[[#This Row],[CONSUMO]]*Tabela6[[#This Row],[VALOR UNIT]]-Tabela6[[#This Row],[DESCONTO]]</f>
        <v>0</v>
      </c>
      <c r="L1121" s="53">
        <f>Tabela6[[#This Row],[CUSTO TOTAL]]/Tabela6[[#This Row],[CONSUMO]]</f>
        <v>0</v>
      </c>
      <c r="M1121" s="50">
        <f>Tabela6[[#This Row],[KM ATUAL]]-E1052</f>
        <v>274532</v>
      </c>
      <c r="N1121" s="51">
        <f>Tabela6[[#This Row],[KM Rodados ]]/Tabela6[[#This Row],[CONSUMO]]</f>
        <v>2509.433272394881</v>
      </c>
    </row>
    <row r="1122" spans="1:14" x14ac:dyDescent="0.25">
      <c r="A1122" s="47">
        <v>180070</v>
      </c>
      <c r="B1122" s="78">
        <v>45056</v>
      </c>
      <c r="C1122" s="47" t="s">
        <v>22</v>
      </c>
      <c r="D1122" s="49" t="s">
        <v>262</v>
      </c>
      <c r="E1122" s="47">
        <v>324265</v>
      </c>
      <c r="G1122" s="50" t="s">
        <v>89</v>
      </c>
      <c r="H1122" s="51">
        <v>116.559</v>
      </c>
      <c r="J1122" s="51">
        <v>5.49</v>
      </c>
      <c r="K1122" s="74">
        <f>Tabela6[[#This Row],[CONSUMO]]*Tabela6[[#This Row],[VALOR UNIT]]-Tabela6[[#This Row],[DESCONTO]]</f>
        <v>639.90890999999999</v>
      </c>
      <c r="L1122" s="53">
        <f>Tabela6[[#This Row],[CUSTO TOTAL]]/Tabela6[[#This Row],[CONSUMO]]</f>
        <v>5.49</v>
      </c>
      <c r="M1122" s="50">
        <f>Tabela6[[#This Row],[KM ATUAL]]-E1121</f>
        <v>495</v>
      </c>
      <c r="N1122" s="51">
        <f>Tabela6[[#This Row],[KM Rodados ]]/Tabela6[[#This Row],[CONSUMO]]</f>
        <v>4.2467763107095982</v>
      </c>
    </row>
    <row r="1123" spans="1:14" x14ac:dyDescent="0.25">
      <c r="A1123" s="47">
        <v>177288</v>
      </c>
      <c r="B1123" s="78">
        <v>45056</v>
      </c>
      <c r="C1123" s="47" t="s">
        <v>71</v>
      </c>
      <c r="D1123" s="49" t="s">
        <v>268</v>
      </c>
      <c r="E1123" s="47">
        <v>100002</v>
      </c>
      <c r="G1123" s="50" t="s">
        <v>89</v>
      </c>
      <c r="H1123" s="51">
        <v>553</v>
      </c>
      <c r="J1123" s="51">
        <v>5.29</v>
      </c>
      <c r="K1123" s="51">
        <f>Tabela6[[#This Row],[CONSUMO]]*Tabela6[[#This Row],[VALOR UNIT]]-Tabela6[[#This Row],[DESCONTO]]</f>
        <v>2925.37</v>
      </c>
      <c r="L1123" s="53">
        <f>Tabela6[[#This Row],[CUSTO TOTAL]]/Tabela6[[#This Row],[CONSUMO]]</f>
        <v>5.29</v>
      </c>
      <c r="M1123" s="50">
        <f>Tabela6[[#This Row],[KM ATUAL]]-E1004</f>
        <v>16469</v>
      </c>
      <c r="N1123" s="51">
        <f>Tabela6[[#This Row],[KM Rodados ]]/Tabela6[[#This Row],[CONSUMO]]</f>
        <v>29.78119349005425</v>
      </c>
    </row>
    <row r="1124" spans="1:14" x14ac:dyDescent="0.25">
      <c r="A1124" s="47">
        <v>91841</v>
      </c>
      <c r="B1124" s="78">
        <v>45056</v>
      </c>
      <c r="C1124" s="47" t="s">
        <v>21</v>
      </c>
      <c r="D1124" s="49" t="s">
        <v>263</v>
      </c>
      <c r="E1124" s="47">
        <v>140101</v>
      </c>
      <c r="G1124" s="50" t="s">
        <v>89</v>
      </c>
      <c r="H1124" s="51">
        <v>154.48099999999999</v>
      </c>
      <c r="I1124" s="49">
        <v>15.45</v>
      </c>
      <c r="J1124" s="51">
        <v>5.39</v>
      </c>
      <c r="K1124" s="52">
        <f>Tabela6[[#This Row],[CONSUMO]]*Tabela6[[#This Row],[VALOR UNIT]]-Tabela6[[#This Row],[DESCONTO]]</f>
        <v>817.20258999999987</v>
      </c>
      <c r="L1124" s="53">
        <f>Tabela6[[#This Row],[CUSTO TOTAL]]/Tabela6[[#This Row],[CONSUMO]]</f>
        <v>5.2899877007528424</v>
      </c>
      <c r="M1124" s="50">
        <f>Tabela6[[#This Row],[KM ATUAL]]-E1075</f>
        <v>-571787</v>
      </c>
      <c r="N1124" s="51">
        <f>Tabela6[[#This Row],[KM Rodados ]]/Tabela6[[#This Row],[CONSUMO]]</f>
        <v>-3701.3419125976657</v>
      </c>
    </row>
    <row r="1125" spans="1:14" x14ac:dyDescent="0.25">
      <c r="A1125" s="47">
        <v>91787</v>
      </c>
      <c r="B1125" s="78">
        <v>45056</v>
      </c>
      <c r="C1125" s="47" t="s">
        <v>10</v>
      </c>
      <c r="D1125" s="49" t="s">
        <v>263</v>
      </c>
      <c r="E1125" s="47">
        <v>713049</v>
      </c>
      <c r="G1125" s="50" t="s">
        <v>89</v>
      </c>
      <c r="H1125" s="51">
        <v>204.09100000000001</v>
      </c>
      <c r="I1125" s="49">
        <v>20.41</v>
      </c>
      <c r="J1125" s="51">
        <v>5.39</v>
      </c>
      <c r="K1125" s="51">
        <f>Tabela6[[#This Row],[CONSUMO]]*Tabela6[[#This Row],[VALOR UNIT]]-Tabela6[[#This Row],[DESCONTO]]</f>
        <v>1079.64049</v>
      </c>
      <c r="L1125" s="53">
        <f>Tabela6[[#This Row],[CUSTO TOTAL]]/Tabela6[[#This Row],[CONSUMO]]</f>
        <v>5.2899955902024098</v>
      </c>
      <c r="M1125" s="50">
        <f>Tabela6[[#This Row],[KM ATUAL]]-E1095</f>
        <v>324132</v>
      </c>
      <c r="N1125" s="51">
        <f>Tabela6[[#This Row],[KM Rodados ]]/Tabela6[[#This Row],[CONSUMO]]</f>
        <v>1588.1739028178606</v>
      </c>
    </row>
    <row r="1126" spans="1:14" x14ac:dyDescent="0.25">
      <c r="A1126" s="47">
        <v>366556</v>
      </c>
      <c r="B1126" s="78">
        <v>45056</v>
      </c>
      <c r="C1126" s="47" t="s">
        <v>12</v>
      </c>
      <c r="D1126" s="49" t="s">
        <v>253</v>
      </c>
      <c r="E1126" s="47">
        <v>310410</v>
      </c>
      <c r="G1126" s="50" t="s">
        <v>89</v>
      </c>
      <c r="H1126" s="51">
        <v>104.61</v>
      </c>
      <c r="I1126" s="49">
        <v>31.38</v>
      </c>
      <c r="J1126" s="51">
        <v>5.99</v>
      </c>
      <c r="K1126" s="51">
        <f>Tabela6[[#This Row],[CONSUMO]]*Tabela6[[#This Row],[VALOR UNIT]]-Tabela6[[#This Row],[DESCONTO]]</f>
        <v>595.23390000000006</v>
      </c>
      <c r="L1126" s="53">
        <f>Tabela6[[#This Row],[CUSTO TOTAL]]/Tabela6[[#This Row],[CONSUMO]]</f>
        <v>5.6900286779466596</v>
      </c>
      <c r="M1126" s="50">
        <f>Tabela6[[#This Row],[KM ATUAL]]-E1057</f>
        <v>-51439</v>
      </c>
      <c r="N1126" s="51">
        <f>Tabela6[[#This Row],[KM Rodados ]]/Tabela6[[#This Row],[CONSUMO]]</f>
        <v>-491.72163273109646</v>
      </c>
    </row>
    <row r="1127" spans="1:14" x14ac:dyDescent="0.25">
      <c r="A1127" s="47" t="s">
        <v>314</v>
      </c>
      <c r="B1127" s="78">
        <v>45056</v>
      </c>
      <c r="C1127" s="119" t="s">
        <v>13</v>
      </c>
      <c r="E1127" s="119">
        <v>616815</v>
      </c>
      <c r="G1127" s="50" t="s">
        <v>89</v>
      </c>
      <c r="H1127" s="51">
        <v>102.3</v>
      </c>
      <c r="K1127" s="52">
        <f>Tabela6[[#This Row],[CONSUMO]]*Tabela6[[#This Row],[VALOR UNIT]]-Tabela6[[#This Row],[DESCONTO]]</f>
        <v>0</v>
      </c>
      <c r="L1127" s="53">
        <f>Tabela6[[#This Row],[CUSTO TOTAL]]/Tabela6[[#This Row],[CONSUMO]]</f>
        <v>0</v>
      </c>
      <c r="M1127" s="50">
        <f>Tabela6[[#This Row],[KM ATUAL]]-E1119</f>
        <v>-47217</v>
      </c>
      <c r="N1127" s="51">
        <f>Tabela6[[#This Row],[KM Rodados ]]/Tabela6[[#This Row],[CONSUMO]]</f>
        <v>-461.5542521994135</v>
      </c>
    </row>
    <row r="1128" spans="1:14" x14ac:dyDescent="0.25">
      <c r="A1128" s="47">
        <v>239813</v>
      </c>
      <c r="B1128" s="78">
        <v>45056</v>
      </c>
      <c r="C1128" s="47" t="s">
        <v>13</v>
      </c>
      <c r="D1128" s="49" t="s">
        <v>272</v>
      </c>
      <c r="E1128" s="47">
        <v>617216</v>
      </c>
      <c r="G1128" s="50" t="s">
        <v>89</v>
      </c>
      <c r="H1128" s="51">
        <v>100.52800000000001</v>
      </c>
      <c r="J1128" s="51">
        <v>5.19</v>
      </c>
      <c r="K1128" s="52">
        <f>Tabela6[[#This Row],[CONSUMO]]*Tabela6[[#This Row],[VALOR UNIT]]-Tabela6[[#This Row],[DESCONTO]]</f>
        <v>521.74032000000011</v>
      </c>
      <c r="L1128" s="53">
        <f>Tabela6[[#This Row],[CUSTO TOTAL]]/Tabela6[[#This Row],[CONSUMO]]</f>
        <v>5.19</v>
      </c>
      <c r="M1128" s="50">
        <f>Tabela6[[#This Row],[KM ATUAL]]-E1127</f>
        <v>401</v>
      </c>
      <c r="N1128" s="51">
        <f>Tabela6[[#This Row],[KM Rodados ]]/Tabela6[[#This Row],[CONSUMO]]</f>
        <v>3.988938405220436</v>
      </c>
    </row>
    <row r="1129" spans="1:14" x14ac:dyDescent="0.25">
      <c r="A1129" s="47">
        <v>295885</v>
      </c>
      <c r="B1129" s="78">
        <v>45056</v>
      </c>
      <c r="C1129" s="47" t="s">
        <v>20</v>
      </c>
      <c r="D1129" s="49" t="s">
        <v>276</v>
      </c>
      <c r="E1129" s="47">
        <v>248394</v>
      </c>
      <c r="G1129" s="50" t="s">
        <v>89</v>
      </c>
      <c r="H1129" s="51">
        <v>66.460999999999999</v>
      </c>
      <c r="J1129" s="51">
        <v>5.6</v>
      </c>
      <c r="K1129" s="51">
        <f>Tabela6[[#This Row],[CONSUMO]]*Tabela6[[#This Row],[VALOR UNIT]]-Tabela6[[#This Row],[DESCONTO]]</f>
        <v>372.18159999999995</v>
      </c>
      <c r="L1129" s="53">
        <f>Tabela6[[#This Row],[CUSTO TOTAL]]/Tabela6[[#This Row],[CONSUMO]]</f>
        <v>5.6</v>
      </c>
      <c r="M1129" s="50">
        <f>Tabela6[[#This Row],[KM ATUAL]]-E1105</f>
        <v>125300</v>
      </c>
      <c r="N1129" s="51">
        <f>Tabela6[[#This Row],[KM Rodados ]]/Tabela6[[#This Row],[CONSUMO]]</f>
        <v>1885.316200478476</v>
      </c>
    </row>
    <row r="1130" spans="1:14" x14ac:dyDescent="0.25">
      <c r="A1130" s="47">
        <v>532902</v>
      </c>
      <c r="B1130" s="78">
        <v>45056</v>
      </c>
      <c r="C1130" s="47" t="s">
        <v>38</v>
      </c>
      <c r="D1130" s="49" t="s">
        <v>255</v>
      </c>
      <c r="E1130" s="47">
        <v>129013</v>
      </c>
      <c r="G1130" s="50" t="s">
        <v>244</v>
      </c>
      <c r="H1130" s="51">
        <v>54.46</v>
      </c>
      <c r="J1130" s="51">
        <v>5.74</v>
      </c>
      <c r="K1130" s="51">
        <f>Tabela6[[#This Row],[CONSUMO]]*Tabela6[[#This Row],[VALOR UNIT]]-Tabela6[[#This Row],[DESCONTO]]</f>
        <v>312.60040000000004</v>
      </c>
      <c r="L1130" s="53">
        <f>Tabela6[[#This Row],[CUSTO TOTAL]]/Tabela6[[#This Row],[CONSUMO]]</f>
        <v>5.74</v>
      </c>
      <c r="M1130" s="50">
        <f>Tabela6[[#This Row],[KM ATUAL]]-E1016</f>
        <v>-8909</v>
      </c>
      <c r="N1130" s="51">
        <f>Tabela6[[#This Row],[KM Rodados ]]/Tabela6[[#This Row],[CONSUMO]]</f>
        <v>-163.58795446199045</v>
      </c>
    </row>
    <row r="1131" spans="1:14" x14ac:dyDescent="0.25">
      <c r="A1131" s="47">
        <v>295772</v>
      </c>
      <c r="B1131" s="78">
        <v>45056</v>
      </c>
      <c r="C1131" s="47" t="s">
        <v>23</v>
      </c>
      <c r="D1131" s="49" t="s">
        <v>276</v>
      </c>
      <c r="E1131" s="47">
        <v>224278</v>
      </c>
      <c r="G1131" s="50" t="s">
        <v>89</v>
      </c>
      <c r="H1131" s="51">
        <v>108.1</v>
      </c>
      <c r="J1131" s="51">
        <v>5.6</v>
      </c>
      <c r="K1131" s="51">
        <f>Tabela6[[#This Row],[CONSUMO]]*Tabela6[[#This Row],[VALOR UNIT]]-Tabela6[[#This Row],[DESCONTO]]</f>
        <v>605.3599999999999</v>
      </c>
      <c r="L1131" s="53">
        <f>Tabela6[[#This Row],[CUSTO TOTAL]]/Tabela6[[#This Row],[CONSUMO]]</f>
        <v>5.6</v>
      </c>
      <c r="M1131" s="50">
        <f>Tabela6[[#This Row],[KM ATUAL]]-E1093</f>
        <v>129420</v>
      </c>
      <c r="N1131" s="51">
        <f>Tabela6[[#This Row],[KM Rodados ]]/Tabela6[[#This Row],[CONSUMO]]</f>
        <v>1197.2247918593896</v>
      </c>
    </row>
    <row r="1132" spans="1:14" x14ac:dyDescent="0.25">
      <c r="A1132" s="47" t="s">
        <v>314</v>
      </c>
      <c r="B1132" s="78">
        <v>45056</v>
      </c>
      <c r="C1132" s="47" t="s">
        <v>74</v>
      </c>
      <c r="E1132" s="47">
        <v>50818</v>
      </c>
      <c r="G1132" s="50" t="s">
        <v>89</v>
      </c>
      <c r="H1132" s="51">
        <v>40.200000000000003</v>
      </c>
      <c r="K1132" s="52">
        <f>Tabela6[[#This Row],[CONSUMO]]*Tabela6[[#This Row],[VALOR UNIT]]-Tabela6[[#This Row],[DESCONTO]]</f>
        <v>0</v>
      </c>
      <c r="L1132" s="53">
        <f>Tabela6[[#This Row],[CUSTO TOTAL]]/Tabela6[[#This Row],[CONSUMO]]</f>
        <v>0</v>
      </c>
      <c r="M1132" s="50">
        <f>Tabela6[[#This Row],[KM ATUAL]]-E1105</f>
        <v>-72276</v>
      </c>
      <c r="N1132" s="51">
        <f>Tabela6[[#This Row],[KM Rodados ]]/Tabela6[[#This Row],[CONSUMO]]</f>
        <v>-1797.9104477611938</v>
      </c>
    </row>
    <row r="1133" spans="1:14" x14ac:dyDescent="0.25">
      <c r="A1133" s="47">
        <v>367838</v>
      </c>
      <c r="B1133" s="78">
        <v>45057</v>
      </c>
      <c r="C1133" s="47" t="s">
        <v>9</v>
      </c>
      <c r="D1133" s="49" t="s">
        <v>253</v>
      </c>
      <c r="E1133" s="47">
        <v>601425</v>
      </c>
      <c r="G1133" s="50" t="s">
        <v>89</v>
      </c>
      <c r="H1133" s="51">
        <v>131.32</v>
      </c>
      <c r="I1133" s="49">
        <v>39.4</v>
      </c>
      <c r="J1133" s="51">
        <v>5.99</v>
      </c>
      <c r="K1133" s="51">
        <f>Tabela6[[#This Row],[CONSUMO]]*Tabela6[[#This Row],[VALOR UNIT]]-Tabela6[[#This Row],[DESCONTO]]</f>
        <v>747.20680000000004</v>
      </c>
      <c r="L1133" s="53">
        <f>Tabela6[[#This Row],[CUSTO TOTAL]]/Tabela6[[#This Row],[CONSUMO]]</f>
        <v>5.6899695400548289</v>
      </c>
      <c r="M1133" s="50">
        <f>Tabela6[[#This Row],[KM ATUAL]]-E1100</f>
        <v>292801</v>
      </c>
      <c r="N1133" s="51">
        <f>Tabela6[[#This Row],[KM Rodados ]]/Tabela6[[#This Row],[CONSUMO]]</f>
        <v>2229.6756015839173</v>
      </c>
    </row>
    <row r="1134" spans="1:14" x14ac:dyDescent="0.25">
      <c r="A1134" s="47">
        <v>180417</v>
      </c>
      <c r="B1134" s="78">
        <v>45057</v>
      </c>
      <c r="C1134" s="47" t="s">
        <v>39</v>
      </c>
      <c r="D1134" s="49" t="s">
        <v>262</v>
      </c>
      <c r="E1134" s="47">
        <v>85147</v>
      </c>
      <c r="G1134" s="50" t="s">
        <v>241</v>
      </c>
      <c r="H1134" s="51">
        <v>17.04</v>
      </c>
      <c r="J1134" s="51">
        <v>3.69</v>
      </c>
      <c r="K1134" s="51">
        <f>Tabela6[[#This Row],[CONSUMO]]*Tabela6[[#This Row],[VALOR UNIT]]-Tabela6[[#This Row],[DESCONTO]]</f>
        <v>62.877599999999994</v>
      </c>
      <c r="L1134" s="53">
        <f>Tabela6[[#This Row],[CUSTO TOTAL]]/Tabela6[[#This Row],[CONSUMO]]</f>
        <v>3.69</v>
      </c>
      <c r="M1134" s="50"/>
      <c r="N1134"/>
    </row>
    <row r="1135" spans="1:14" x14ac:dyDescent="0.25">
      <c r="A1135" s="47">
        <v>180417</v>
      </c>
      <c r="B1135" s="78">
        <v>45057</v>
      </c>
      <c r="C1135" s="47" t="s">
        <v>39</v>
      </c>
      <c r="D1135" s="49" t="s">
        <v>262</v>
      </c>
      <c r="E1135" s="47">
        <v>85147</v>
      </c>
      <c r="G1135" s="50" t="s">
        <v>89</v>
      </c>
      <c r="H1135" s="51">
        <v>99.850999999999999</v>
      </c>
      <c r="I1135" s="49">
        <v>6.14</v>
      </c>
      <c r="J1135" s="51">
        <v>5.29</v>
      </c>
      <c r="K1135" s="51">
        <f>Tabela6[[#This Row],[CONSUMO]]*Tabela6[[#This Row],[VALOR UNIT]]-Tabela6[[#This Row],[DESCONTO]]</f>
        <v>522.07178999999996</v>
      </c>
      <c r="L1135" s="53">
        <f>Tabela6[[#This Row],[CUSTO TOTAL]]/Tabela6[[#This Row],[CONSUMO]]</f>
        <v>5.2285083774824486</v>
      </c>
      <c r="M1135" s="50">
        <f>Tabela6[[#This Row],[KM ATUAL]]-E1111</f>
        <v>-304813</v>
      </c>
      <c r="N1135" s="51">
        <f>Tabela6[[#This Row],[KM Rodados ]]/Tabela6[[#This Row],[CONSUMO]]</f>
        <v>-3052.6784909515177</v>
      </c>
    </row>
    <row r="1136" spans="1:14" x14ac:dyDescent="0.25">
      <c r="A1136" s="47">
        <v>180238</v>
      </c>
      <c r="B1136" s="78">
        <v>45057</v>
      </c>
      <c r="C1136" s="47" t="s">
        <v>72</v>
      </c>
      <c r="D1136" s="49" t="s">
        <v>262</v>
      </c>
      <c r="E1136" s="119">
        <v>390280</v>
      </c>
      <c r="G1136" s="120" t="s">
        <v>89</v>
      </c>
      <c r="H1136" s="51">
        <v>45.301000000000002</v>
      </c>
      <c r="J1136" s="51">
        <v>5.49</v>
      </c>
      <c r="K1136" s="51">
        <f>Tabela6[[#This Row],[CONSUMO]]*Tabela6[[#This Row],[VALOR UNIT]]-Tabela6[[#This Row],[DESCONTO]]</f>
        <v>248.70249000000001</v>
      </c>
      <c r="L1136" s="53">
        <f>Tabela6[[#This Row],[CUSTO TOTAL]]/Tabela6[[#This Row],[CONSUMO]]</f>
        <v>5.49</v>
      </c>
      <c r="M1136" s="50">
        <f>Tabela6[[#This Row],[KM ATUAL]]-E1102</f>
        <v>142469</v>
      </c>
      <c r="N1136" s="51">
        <f>Tabela6[[#This Row],[KM Rodados ]]/Tabela6[[#This Row],[CONSUMO]]</f>
        <v>3144.9416127679301</v>
      </c>
    </row>
    <row r="1137" spans="1:14" x14ac:dyDescent="0.25">
      <c r="A1137" s="47">
        <v>367295</v>
      </c>
      <c r="B1137" s="78">
        <v>45057</v>
      </c>
      <c r="C1137" s="47" t="s">
        <v>41</v>
      </c>
      <c r="D1137" s="49" t="s">
        <v>253</v>
      </c>
      <c r="E1137" s="47">
        <v>659076</v>
      </c>
      <c r="G1137" s="50" t="s">
        <v>245</v>
      </c>
      <c r="H1137" s="51">
        <v>25.062000000000001</v>
      </c>
      <c r="J1137" s="51">
        <v>3.99</v>
      </c>
      <c r="K1137" s="51">
        <f>Tabela6[[#This Row],[CONSUMO]]*Tabela6[[#This Row],[VALOR UNIT]]-Tabela6[[#This Row],[DESCONTO]]</f>
        <v>99.997380000000007</v>
      </c>
      <c r="L1137" s="53">
        <f>Tabela6[[#This Row],[CUSTO TOTAL]]/Tabela6[[#This Row],[CONSUMO]]</f>
        <v>3.99</v>
      </c>
      <c r="M1137" s="50"/>
      <c r="N1137"/>
    </row>
    <row r="1138" spans="1:14" x14ac:dyDescent="0.25">
      <c r="A1138" s="47">
        <v>367295</v>
      </c>
      <c r="B1138" s="78">
        <v>45057</v>
      </c>
      <c r="C1138" s="47" t="s">
        <v>41</v>
      </c>
      <c r="D1138" s="49" t="s">
        <v>253</v>
      </c>
      <c r="E1138" s="47">
        <v>659076</v>
      </c>
      <c r="G1138" s="50" t="s">
        <v>89</v>
      </c>
      <c r="H1138" s="51">
        <v>150.38999999999999</v>
      </c>
      <c r="I1138" s="49">
        <v>45.12</v>
      </c>
      <c r="J1138" s="51">
        <v>5.99</v>
      </c>
      <c r="K1138" s="51">
        <f>Tabela6[[#This Row],[CONSUMO]]*Tabela6[[#This Row],[VALOR UNIT]]-Tabela6[[#This Row],[DESCONTO]]</f>
        <v>855.71609999999998</v>
      </c>
      <c r="L1138" s="53">
        <f>Tabela6[[#This Row],[CUSTO TOTAL]]/Tabela6[[#This Row],[CONSUMO]]</f>
        <v>5.6899800518651507</v>
      </c>
      <c r="M1138" s="50">
        <f>Tabela6[[#This Row],[KM ATUAL]]-E1083</f>
        <v>564305</v>
      </c>
      <c r="N1138" s="51">
        <f>Tabela6[[#This Row],[KM Rodados ]]/Tabela6[[#This Row],[CONSUMO]]</f>
        <v>3752.2774120619724</v>
      </c>
    </row>
    <row r="1139" spans="1:14" x14ac:dyDescent="0.25">
      <c r="A1139" s="47">
        <v>250541</v>
      </c>
      <c r="B1139" s="78">
        <v>45057</v>
      </c>
      <c r="C1139" s="47" t="s">
        <v>10</v>
      </c>
      <c r="D1139" s="49" t="s">
        <v>263</v>
      </c>
      <c r="E1139" s="47">
        <v>713547</v>
      </c>
      <c r="G1139" s="50" t="s">
        <v>89</v>
      </c>
      <c r="H1139" s="51">
        <v>142.86099999999999</v>
      </c>
      <c r="I1139" s="49">
        <v>14.29</v>
      </c>
      <c r="J1139" s="51">
        <v>5.39</v>
      </c>
      <c r="K1139" s="51">
        <f>Tabela6[[#This Row],[CONSUMO]]*Tabela6[[#This Row],[VALOR UNIT]]-Tabela6[[#This Row],[DESCONTO]]</f>
        <v>755.73078999999996</v>
      </c>
      <c r="L1139" s="53">
        <f>Tabela6[[#This Row],[CUSTO TOTAL]]/Tabela6[[#This Row],[CONSUMO]]</f>
        <v>5.2899727007370805</v>
      </c>
      <c r="M1139" s="50">
        <f>Tabela6[[#This Row],[KM ATUAL]]-E1123</f>
        <v>613545</v>
      </c>
      <c r="N1139" s="51">
        <f>Tabela6[[#This Row],[KM Rodados ]]/Tabela6[[#This Row],[CONSUMO]]</f>
        <v>4294.6990431258355</v>
      </c>
    </row>
    <row r="1140" spans="1:14" x14ac:dyDescent="0.25">
      <c r="A1140" s="47">
        <v>367397</v>
      </c>
      <c r="B1140" s="78">
        <v>45057</v>
      </c>
      <c r="C1140" s="47" t="s">
        <v>11</v>
      </c>
      <c r="D1140" s="49" t="s">
        <v>253</v>
      </c>
      <c r="E1140" s="47">
        <v>391399</v>
      </c>
      <c r="G1140" s="50" t="s">
        <v>89</v>
      </c>
      <c r="H1140" s="51">
        <v>96.44</v>
      </c>
      <c r="I1140" s="49">
        <v>28.93</v>
      </c>
      <c r="J1140" s="51">
        <v>5.99</v>
      </c>
      <c r="K1140" s="51">
        <f>Tabela6[[#This Row],[CONSUMO]]*Tabela6[[#This Row],[VALOR UNIT]]-Tabela6[[#This Row],[DESCONTO]]</f>
        <v>548.74560000000008</v>
      </c>
      <c r="L1140" s="53">
        <f>Tabela6[[#This Row],[CUSTO TOTAL]]/Tabela6[[#This Row],[CONSUMO]]</f>
        <v>5.6900207382828709</v>
      </c>
      <c r="M1140" s="50">
        <f>Tabela6[[#This Row],[KM ATUAL]]-E1023</f>
        <v>-208079</v>
      </c>
      <c r="N1140" s="51">
        <f>Tabela6[[#This Row],[KM Rodados ]]/Tabela6[[#This Row],[CONSUMO]]</f>
        <v>-2157.6005806719204</v>
      </c>
    </row>
    <row r="1141" spans="1:14" x14ac:dyDescent="0.25">
      <c r="A1141" s="47">
        <v>96115</v>
      </c>
      <c r="B1141" s="78">
        <v>45057</v>
      </c>
      <c r="C1141" s="47" t="s">
        <v>13</v>
      </c>
      <c r="D1141" s="49" t="s">
        <v>286</v>
      </c>
      <c r="E1141" s="47">
        <v>617830</v>
      </c>
      <c r="G1141" s="50" t="s">
        <v>89</v>
      </c>
      <c r="H1141" s="51">
        <v>153</v>
      </c>
      <c r="J1141" s="51">
        <v>5.62</v>
      </c>
      <c r="K1141" s="51">
        <f>Tabela6[[#This Row],[CONSUMO]]*Tabela6[[#This Row],[VALOR UNIT]]-Tabela6[[#This Row],[DESCONTO]]</f>
        <v>859.86</v>
      </c>
      <c r="L1141" s="53">
        <f>Tabela6[[#This Row],[CUSTO TOTAL]]/Tabela6[[#This Row],[CONSUMO]]</f>
        <v>5.62</v>
      </c>
      <c r="M1141" s="50">
        <f>Tabela6[[#This Row],[KM ATUAL]]-E1121</f>
        <v>294060</v>
      </c>
      <c r="N1141" s="51">
        <f>Tabela6[[#This Row],[KM Rodados ]]/Tabela6[[#This Row],[CONSUMO]]</f>
        <v>1921.9607843137255</v>
      </c>
    </row>
    <row r="1142" spans="1:14" x14ac:dyDescent="0.25">
      <c r="A1142" s="47">
        <v>533023</v>
      </c>
      <c r="B1142" s="78">
        <v>45057</v>
      </c>
      <c r="C1142" s="47" t="s">
        <v>18</v>
      </c>
      <c r="D1142" s="49" t="s">
        <v>255</v>
      </c>
      <c r="E1142" s="47">
        <v>309204</v>
      </c>
      <c r="G1142" s="50" t="s">
        <v>89</v>
      </c>
      <c r="H1142" s="51">
        <v>69.75</v>
      </c>
      <c r="J1142" s="51">
        <v>5.84</v>
      </c>
      <c r="K1142" s="51">
        <f>Tabela6[[#This Row],[CONSUMO]]*Tabela6[[#This Row],[VALOR UNIT]]-Tabela6[[#This Row],[DESCONTO]]</f>
        <v>407.34</v>
      </c>
      <c r="L1142" s="53">
        <f>Tabela6[[#This Row],[CUSTO TOTAL]]/Tabela6[[#This Row],[CONSUMO]]</f>
        <v>5.84</v>
      </c>
      <c r="M1142" s="50">
        <f>Tabela6[[#This Row],[KM ATUAL]]-E1102</f>
        <v>61393</v>
      </c>
      <c r="N1142" s="51">
        <f>Tabela6[[#This Row],[KM Rodados ]]/Tabela6[[#This Row],[CONSUMO]]</f>
        <v>880.18637992831543</v>
      </c>
    </row>
    <row r="1143" spans="1:14" x14ac:dyDescent="0.25">
      <c r="A1143" s="47">
        <v>180250</v>
      </c>
      <c r="B1143" s="78">
        <v>45057</v>
      </c>
      <c r="C1143" s="47" t="s">
        <v>19</v>
      </c>
      <c r="D1143" s="49" t="s">
        <v>262</v>
      </c>
      <c r="E1143" s="47">
        <v>0</v>
      </c>
      <c r="G1143" s="50" t="s">
        <v>241</v>
      </c>
      <c r="H1143" s="51">
        <v>18.545999999999999</v>
      </c>
      <c r="I1143" s="49">
        <v>6.67</v>
      </c>
      <c r="J1143" s="51">
        <v>3.69</v>
      </c>
      <c r="K1143" s="51">
        <f>Tabela6[[#This Row],[CONSUMO]]*Tabela6[[#This Row],[VALOR UNIT]]-Tabela6[[#This Row],[DESCONTO]]</f>
        <v>61.764739999999989</v>
      </c>
      <c r="L1143" s="53">
        <f>Tabela6[[#This Row],[CUSTO TOTAL]]/Tabela6[[#This Row],[CONSUMO]]</f>
        <v>3.3303537150868108</v>
      </c>
      <c r="M1143" s="50"/>
      <c r="N1143"/>
    </row>
    <row r="1144" spans="1:14" x14ac:dyDescent="0.25">
      <c r="A1144" s="47">
        <v>94685</v>
      </c>
      <c r="B1144" s="78">
        <v>45057</v>
      </c>
      <c r="C1144" s="47" t="s">
        <v>19</v>
      </c>
      <c r="D1144" s="49" t="s">
        <v>263</v>
      </c>
      <c r="E1144" s="47">
        <v>305867</v>
      </c>
      <c r="G1144" s="50" t="s">
        <v>89</v>
      </c>
      <c r="H1144" s="51">
        <v>186</v>
      </c>
      <c r="I1144" s="49">
        <v>18.600000000000001</v>
      </c>
      <c r="J1144" s="51">
        <v>5.29</v>
      </c>
      <c r="K1144" s="51">
        <f>Tabela6[[#This Row],[CONSUMO]]*Tabela6[[#This Row],[VALOR UNIT]]-Tabela6[[#This Row],[DESCONTO]]</f>
        <v>965.34</v>
      </c>
      <c r="L1144" s="53">
        <f>Tabela6[[#This Row],[CUSTO TOTAL]]/Tabela6[[#This Row],[CONSUMO]]</f>
        <v>5.19</v>
      </c>
      <c r="M1144" s="50">
        <f>Tabela6[[#This Row],[KM ATUAL]]-E1098</f>
        <v>-406444</v>
      </c>
      <c r="N1144" s="51">
        <f>Tabela6[[#This Row],[KM Rodados ]]/Tabela6[[#This Row],[CONSUMO]]</f>
        <v>-2185.1827956989246</v>
      </c>
    </row>
    <row r="1145" spans="1:14" x14ac:dyDescent="0.25">
      <c r="A1145" s="47" t="s">
        <v>314</v>
      </c>
      <c r="B1145" s="78">
        <v>45057</v>
      </c>
      <c r="C1145" s="47" t="s">
        <v>23</v>
      </c>
      <c r="E1145" s="47">
        <v>224497</v>
      </c>
      <c r="G1145" s="50" t="s">
        <v>89</v>
      </c>
      <c r="H1145" s="51">
        <v>47.5</v>
      </c>
      <c r="K1145" s="52">
        <f>Tabela6[[#This Row],[CONSUMO]]*Tabela6[[#This Row],[VALOR UNIT]]-Tabela6[[#This Row],[DESCONTO]]</f>
        <v>0</v>
      </c>
      <c r="L1145" s="53">
        <f>Tabela6[[#This Row],[CUSTO TOTAL]]/Tabela6[[#This Row],[CONSUMO]]</f>
        <v>0</v>
      </c>
      <c r="M1145" s="50">
        <f>Tabela6[[#This Row],[KM ATUAL]]-E1130</f>
        <v>95484</v>
      </c>
      <c r="N1145" s="51">
        <f>Tabela6[[#This Row],[KM Rodados ]]/Tabela6[[#This Row],[CONSUMO]]</f>
        <v>2010.1894736842105</v>
      </c>
    </row>
    <row r="1146" spans="1:14" x14ac:dyDescent="0.25">
      <c r="A1146" s="47">
        <v>443105</v>
      </c>
      <c r="B1146" s="78">
        <v>45057</v>
      </c>
      <c r="C1146" s="47" t="s">
        <v>23</v>
      </c>
      <c r="D1146" s="49" t="s">
        <v>290</v>
      </c>
      <c r="E1146" s="47">
        <v>224962</v>
      </c>
      <c r="G1146" s="50" t="s">
        <v>89</v>
      </c>
      <c r="H1146" s="51">
        <v>97.08</v>
      </c>
      <c r="I1146" s="49">
        <v>65.040000000000006</v>
      </c>
      <c r="J1146" s="51">
        <v>5.82</v>
      </c>
      <c r="K1146" s="51">
        <f>Tabela6[[#This Row],[CONSUMO]]*Tabela6[[#This Row],[VALOR UNIT]]-Tabela6[[#This Row],[DESCONTO]]</f>
        <v>499.96560000000005</v>
      </c>
      <c r="L1146" s="53">
        <f>Tabela6[[#This Row],[CUSTO TOTAL]]/Tabela6[[#This Row],[CONSUMO]]</f>
        <v>5.1500370828182946</v>
      </c>
      <c r="M1146" s="50">
        <f>Tabela6[[#This Row],[KM ATUAL]]-E1145</f>
        <v>465</v>
      </c>
      <c r="N1146" s="51">
        <f>Tabela6[[#This Row],[KM Rodados ]]/Tabela6[[#This Row],[CONSUMO]]</f>
        <v>4.7898640296662549</v>
      </c>
    </row>
    <row r="1147" spans="1:14" x14ac:dyDescent="0.25">
      <c r="A1147" s="47">
        <v>180291</v>
      </c>
      <c r="B1147" s="78">
        <v>45057</v>
      </c>
      <c r="C1147" s="47" t="s">
        <v>40</v>
      </c>
      <c r="D1147" s="49" t="s">
        <v>262</v>
      </c>
      <c r="E1147" s="47">
        <v>140163</v>
      </c>
      <c r="G1147" s="50" t="s">
        <v>244</v>
      </c>
      <c r="H1147" s="51">
        <v>42.930999999999997</v>
      </c>
      <c r="J1147" s="51">
        <v>5.49</v>
      </c>
      <c r="K1147" s="74">
        <f>Tabela6[[#This Row],[CONSUMO]]*Tabela6[[#This Row],[VALOR UNIT]]-Tabela6[[#This Row],[DESCONTO]]</f>
        <v>235.69119000000001</v>
      </c>
      <c r="L1147" s="53">
        <f>Tabela6[[#This Row],[CUSTO TOTAL]]/Tabela6[[#This Row],[CONSUMO]]</f>
        <v>5.49</v>
      </c>
      <c r="M1147" s="50">
        <f>Tabela6[[#This Row],[KM ATUAL]]-E1074</f>
        <v>685</v>
      </c>
      <c r="N1147" s="51">
        <f>Tabela6[[#This Row],[KM Rodados ]]/Tabela6[[#This Row],[CONSUMO]]</f>
        <v>15.955836109105309</v>
      </c>
    </row>
    <row r="1148" spans="1:14" x14ac:dyDescent="0.25">
      <c r="A1148" s="47">
        <v>311123</v>
      </c>
      <c r="B1148" s="78">
        <v>45057</v>
      </c>
      <c r="C1148" s="47" t="s">
        <v>74</v>
      </c>
      <c r="D1148" s="49" t="s">
        <v>250</v>
      </c>
      <c r="E1148" s="47">
        <v>51138</v>
      </c>
      <c r="G1148" s="50" t="s">
        <v>89</v>
      </c>
      <c r="H1148" s="51">
        <v>42.53</v>
      </c>
      <c r="J1148" s="51">
        <v>5.39</v>
      </c>
      <c r="K1148" s="51">
        <f>Tabela6[[#This Row],[CONSUMO]]*Tabela6[[#This Row],[VALOR UNIT]]-Tabela6[[#This Row],[DESCONTO]]</f>
        <v>229.23669999999998</v>
      </c>
      <c r="L1148" s="53">
        <f>Tabela6[[#This Row],[CUSTO TOTAL]]/Tabela6[[#This Row],[CONSUMO]]</f>
        <v>5.39</v>
      </c>
      <c r="M1148" s="50">
        <f>Tabela6[[#This Row],[KM ATUAL]]-E1144</f>
        <v>-254729</v>
      </c>
      <c r="N1148" s="51">
        <f>Tabela6[[#This Row],[KM Rodados ]]/Tabela6[[#This Row],[CONSUMO]]</f>
        <v>-5989.3957206677642</v>
      </c>
    </row>
    <row r="1149" spans="1:14" x14ac:dyDescent="0.25">
      <c r="A1149" s="47">
        <v>275001</v>
      </c>
      <c r="B1149" s="78">
        <v>45058</v>
      </c>
      <c r="C1149" s="47" t="s">
        <v>222</v>
      </c>
      <c r="D1149" s="49" t="s">
        <v>270</v>
      </c>
      <c r="E1149" s="47">
        <v>473855</v>
      </c>
      <c r="G1149" s="50" t="s">
        <v>89</v>
      </c>
      <c r="H1149" s="51">
        <v>410</v>
      </c>
      <c r="J1149" s="51">
        <v>5.29</v>
      </c>
      <c r="K1149" s="51">
        <f>Tabela6[[#This Row],[CONSUMO]]*Tabela6[[#This Row],[VALOR UNIT]]-Tabela6[[#This Row],[DESCONTO]]</f>
        <v>2168.9</v>
      </c>
      <c r="L1149" s="53">
        <f>Tabela6[[#This Row],[CUSTO TOTAL]]/Tabela6[[#This Row],[CONSUMO]]</f>
        <v>5.29</v>
      </c>
      <c r="M1149" s="50">
        <f>Tabela6[[#This Row],[KM ATUAL]]-E1111</f>
        <v>83895</v>
      </c>
      <c r="N1149" s="51">
        <f>Tabela6[[#This Row],[KM Rodados ]]/Tabela6[[#This Row],[CONSUMO]]</f>
        <v>204.6219512195122</v>
      </c>
    </row>
    <row r="1150" spans="1:14" x14ac:dyDescent="0.25">
      <c r="A1150" s="47">
        <v>240329</v>
      </c>
      <c r="B1150" s="78">
        <v>45058</v>
      </c>
      <c r="C1150" s="47" t="s">
        <v>13</v>
      </c>
      <c r="D1150" s="49" t="s">
        <v>272</v>
      </c>
      <c r="E1150" s="47">
        <v>618100</v>
      </c>
      <c r="G1150" s="50" t="s">
        <v>89</v>
      </c>
      <c r="H1150" s="51">
        <v>58.253</v>
      </c>
      <c r="J1150" s="51">
        <v>5.19</v>
      </c>
      <c r="K1150" s="51">
        <f>Tabela6[[#This Row],[CONSUMO]]*Tabela6[[#This Row],[VALOR UNIT]]-Tabela6[[#This Row],[DESCONTO]]</f>
        <v>302.33307000000002</v>
      </c>
      <c r="L1150" s="53">
        <f>Tabela6[[#This Row],[CUSTO TOTAL]]/Tabela6[[#This Row],[CONSUMO]]</f>
        <v>5.19</v>
      </c>
      <c r="M1150" s="50">
        <f>Tabela6[[#This Row],[KM ATUAL]]-E1140</f>
        <v>226701</v>
      </c>
      <c r="N1150" s="51">
        <f>Tabela6[[#This Row],[KM Rodados ]]/Tabela6[[#This Row],[CONSUMO]]</f>
        <v>3891.6622319880521</v>
      </c>
    </row>
    <row r="1151" spans="1:14" x14ac:dyDescent="0.25">
      <c r="A1151" s="47" t="s">
        <v>314</v>
      </c>
      <c r="B1151" s="78">
        <v>45058</v>
      </c>
      <c r="C1151" s="47" t="s">
        <v>15</v>
      </c>
      <c r="E1151" s="47">
        <v>362103</v>
      </c>
      <c r="G1151" s="50" t="s">
        <v>89</v>
      </c>
      <c r="H1151" s="51">
        <v>103.51</v>
      </c>
      <c r="K1151" s="52">
        <f>Tabela6[[#This Row],[CONSUMO]]*Tabela6[[#This Row],[VALOR UNIT]]-Tabela6[[#This Row],[DESCONTO]]</f>
        <v>0</v>
      </c>
      <c r="L1151" s="53">
        <f>Tabela6[[#This Row],[CUSTO TOTAL]]/Tabela6[[#This Row],[CONSUMO]]</f>
        <v>0</v>
      </c>
      <c r="M1151" s="50">
        <f>Tabela6[[#This Row],[KM ATUAL]]-E1088</f>
        <v>15028</v>
      </c>
      <c r="N1151" s="51">
        <f>Tabela6[[#This Row],[KM Rodados ]]/Tabela6[[#This Row],[CONSUMO]]</f>
        <v>145.18404018935368</v>
      </c>
    </row>
    <row r="1152" spans="1:14" x14ac:dyDescent="0.25">
      <c r="A1152" s="47" t="s">
        <v>314</v>
      </c>
      <c r="B1152" s="78">
        <v>45058</v>
      </c>
      <c r="C1152" s="47" t="s">
        <v>15</v>
      </c>
      <c r="E1152" s="47">
        <v>362721</v>
      </c>
      <c r="G1152" s="50" t="s">
        <v>89</v>
      </c>
      <c r="H1152" s="51">
        <v>119.6</v>
      </c>
      <c r="K1152" s="52">
        <f>Tabela6[[#This Row],[CONSUMO]]*Tabela6[[#This Row],[VALOR UNIT]]-Tabela6[[#This Row],[DESCONTO]]</f>
        <v>0</v>
      </c>
      <c r="L1152" s="53">
        <f>Tabela6[[#This Row],[CUSTO TOTAL]]/Tabela6[[#This Row],[CONSUMO]]</f>
        <v>0</v>
      </c>
      <c r="M1152" s="50">
        <f>Tabela6[[#This Row],[KM ATUAL]]-E1151</f>
        <v>618</v>
      </c>
      <c r="N1152" s="51">
        <f>Tabela6[[#This Row],[KM Rodados ]]/Tabela6[[#This Row],[CONSUMO]]</f>
        <v>5.1672240802675589</v>
      </c>
    </row>
    <row r="1153" spans="1:14" x14ac:dyDescent="0.25">
      <c r="A1153" s="47">
        <v>296543</v>
      </c>
      <c r="B1153" s="78">
        <v>45058</v>
      </c>
      <c r="C1153" s="47" t="s">
        <v>15</v>
      </c>
      <c r="D1153" s="49" t="s">
        <v>276</v>
      </c>
      <c r="E1153" s="47">
        <v>363051</v>
      </c>
      <c r="G1153" s="50" t="s">
        <v>89</v>
      </c>
      <c r="H1153" s="51">
        <v>55.67</v>
      </c>
      <c r="J1153" s="51">
        <v>5.39</v>
      </c>
      <c r="K1153" s="52">
        <f>Tabela6[[#This Row],[CONSUMO]]*Tabela6[[#This Row],[VALOR UNIT]]-Tabela6[[#This Row],[DESCONTO]]</f>
        <v>300.06130000000002</v>
      </c>
      <c r="L1153" s="53">
        <f>Tabela6[[#This Row],[CUSTO TOTAL]]/Tabela6[[#This Row],[CONSUMO]]</f>
        <v>5.3900000000000006</v>
      </c>
      <c r="M1153" s="50">
        <f>Tabela6[[#This Row],[KM ATUAL]]-E1152</f>
        <v>330</v>
      </c>
      <c r="N1153" s="51">
        <f>Tabela6[[#This Row],[KM Rodados ]]/Tabela6[[#This Row],[CONSUMO]]</f>
        <v>5.9277887551643609</v>
      </c>
    </row>
    <row r="1154" spans="1:14" x14ac:dyDescent="0.25">
      <c r="A1154" s="47">
        <v>533480</v>
      </c>
      <c r="B1154" s="78">
        <v>45058</v>
      </c>
      <c r="C1154" s="47" t="s">
        <v>16</v>
      </c>
      <c r="D1154" s="49" t="s">
        <v>255</v>
      </c>
      <c r="E1154" s="47">
        <v>295918</v>
      </c>
      <c r="G1154" s="50" t="s">
        <v>89</v>
      </c>
      <c r="H1154" s="51">
        <v>116.53100000000001</v>
      </c>
      <c r="J1154" s="51">
        <v>5.84</v>
      </c>
      <c r="K1154" s="51">
        <f>Tabela6[[#This Row],[CONSUMO]]*Tabela6[[#This Row],[VALOR UNIT]]-Tabela6[[#This Row],[DESCONTO]]</f>
        <v>680.54104000000007</v>
      </c>
      <c r="L1154" s="53">
        <f>Tabela6[[#This Row],[CUSTO TOTAL]]/Tabela6[[#This Row],[CONSUMO]]</f>
        <v>5.84</v>
      </c>
      <c r="M1154" s="50">
        <f>Tabela6[[#This Row],[KM ATUAL]]-E1056</f>
        <v>-304008</v>
      </c>
      <c r="N1154" s="51">
        <f>Tabela6[[#This Row],[KM Rodados ]]/Tabela6[[#This Row],[CONSUMO]]</f>
        <v>-2608.8165380885771</v>
      </c>
    </row>
    <row r="1155" spans="1:14" x14ac:dyDescent="0.25">
      <c r="A1155" s="47" t="s">
        <v>314</v>
      </c>
      <c r="B1155" s="78">
        <v>45060</v>
      </c>
      <c r="C1155" s="47" t="s">
        <v>215</v>
      </c>
      <c r="E1155" s="47">
        <v>222759</v>
      </c>
      <c r="G1155" s="50" t="s">
        <v>244</v>
      </c>
      <c r="H1155" s="51">
        <v>15</v>
      </c>
      <c r="K1155" s="52">
        <f>Tabela6[[#This Row],[CONSUMO]]*Tabela6[[#This Row],[VALOR UNIT]]-Tabela6[[#This Row],[DESCONTO]]</f>
        <v>0</v>
      </c>
      <c r="L1155" s="53">
        <f>Tabela6[[#This Row],[CUSTO TOTAL]]/Tabela6[[#This Row],[CONSUMO]]</f>
        <v>0</v>
      </c>
      <c r="M1155" s="50">
        <f>Tabela6[[#This Row],[KM ATUAL]]-E1112</f>
        <v>-393654</v>
      </c>
      <c r="N1155" s="51">
        <f>Tabela6[[#This Row],[KM Rodados ]]/Tabela6[[#This Row],[CONSUMO]]</f>
        <v>-26243.599999999999</v>
      </c>
    </row>
    <row r="1156" spans="1:14" x14ac:dyDescent="0.25">
      <c r="A1156" s="47">
        <v>905817</v>
      </c>
      <c r="B1156" s="78">
        <v>45061</v>
      </c>
      <c r="C1156" s="47" t="s">
        <v>43</v>
      </c>
      <c r="D1156" s="49" t="s">
        <v>233</v>
      </c>
      <c r="E1156" s="47">
        <v>123723</v>
      </c>
      <c r="G1156" s="50" t="s">
        <v>89</v>
      </c>
      <c r="H1156" s="51">
        <v>42.19</v>
      </c>
      <c r="J1156" s="51">
        <v>5.49</v>
      </c>
      <c r="K1156" s="51">
        <f>Tabela6[[#This Row],[CONSUMO]]*Tabela6[[#This Row],[VALOR UNIT]]-Tabela6[[#This Row],[DESCONTO]]</f>
        <v>231.62309999999999</v>
      </c>
      <c r="L1156" s="53">
        <f>Tabela6[[#This Row],[CUSTO TOTAL]]/Tabela6[[#This Row],[CONSUMO]]</f>
        <v>5.49</v>
      </c>
      <c r="M1156" s="50">
        <f>Tabela6[[#This Row],[KM ATUAL]]-E1109</f>
        <v>39174</v>
      </c>
      <c r="N1156" s="72">
        <f>Tabela6[[#This Row],[KM Rodados ]]/Tabela6[[#This Row],[CONSUMO]]</f>
        <v>928.51386584498698</v>
      </c>
    </row>
    <row r="1157" spans="1:14" x14ac:dyDescent="0.25">
      <c r="A1157" s="47">
        <v>370844</v>
      </c>
      <c r="B1157" s="78">
        <v>45061</v>
      </c>
      <c r="C1157" s="47" t="s">
        <v>9</v>
      </c>
      <c r="D1157" s="49" t="s">
        <v>253</v>
      </c>
      <c r="E1157" s="47">
        <v>601966</v>
      </c>
      <c r="G1157" s="50" t="s">
        <v>89</v>
      </c>
      <c r="H1157" s="51">
        <v>134.94999999999999</v>
      </c>
      <c r="I1157" s="49">
        <v>40.479999999999997</v>
      </c>
      <c r="J1157" s="51">
        <v>5.99</v>
      </c>
      <c r="K1157" s="51">
        <f>Tabela6[[#This Row],[CONSUMO]]*Tabela6[[#This Row],[VALOR UNIT]]-Tabela6[[#This Row],[DESCONTO]]</f>
        <v>767.87049999999999</v>
      </c>
      <c r="L1157" s="53">
        <f>Tabela6[[#This Row],[CUSTO TOTAL]]/Tabela6[[#This Row],[CONSUMO]]</f>
        <v>5.6900370507595408</v>
      </c>
      <c r="M1157" s="50">
        <f>Tabela6[[#This Row],[KM ATUAL]]-E1140</f>
        <v>210567</v>
      </c>
      <c r="N1157" s="51">
        <f>Tabela6[[#This Row],[KM Rodados ]]/Tabela6[[#This Row],[CONSUMO]]</f>
        <v>1560.3334568358653</v>
      </c>
    </row>
    <row r="1158" spans="1:14" x14ac:dyDescent="0.25">
      <c r="A1158" s="47">
        <v>181199</v>
      </c>
      <c r="B1158" s="78">
        <v>45061</v>
      </c>
      <c r="C1158" s="47" t="s">
        <v>22</v>
      </c>
      <c r="D1158" s="49" t="s">
        <v>262</v>
      </c>
      <c r="E1158" s="47">
        <v>324716</v>
      </c>
      <c r="G1158" s="50" t="s">
        <v>89</v>
      </c>
      <c r="H1158" s="51">
        <v>127.9</v>
      </c>
      <c r="J1158" s="51">
        <v>5.29</v>
      </c>
      <c r="K1158" s="74">
        <f>Tabela6[[#This Row],[CONSUMO]]*Tabela6[[#This Row],[VALOR UNIT]]-Tabela6[[#This Row],[DESCONTO]]</f>
        <v>676.59100000000001</v>
      </c>
      <c r="L1158" s="53">
        <f>Tabela6[[#This Row],[CUSTO TOTAL]]/Tabela6[[#This Row],[CONSUMO]]</f>
        <v>5.29</v>
      </c>
      <c r="M1158" s="50">
        <f>Tabela6[[#This Row],[KM ATUAL]]-E1128</f>
        <v>-292500</v>
      </c>
      <c r="N1158" s="51">
        <f>Tabela6[[#This Row],[KM Rodados ]]/Tabela6[[#This Row],[CONSUMO]]</f>
        <v>-2286.9429241594994</v>
      </c>
    </row>
    <row r="1159" spans="1:14" x14ac:dyDescent="0.25">
      <c r="A1159" s="47" t="s">
        <v>314</v>
      </c>
      <c r="B1159" s="78">
        <v>45061</v>
      </c>
      <c r="C1159" s="47" t="s">
        <v>21</v>
      </c>
      <c r="E1159" s="47">
        <v>140504</v>
      </c>
      <c r="G1159" s="50" t="s">
        <v>89</v>
      </c>
      <c r="H1159" s="51">
        <v>132.5</v>
      </c>
      <c r="K1159" s="52">
        <f>Tabela6[[#This Row],[CONSUMO]]*Tabela6[[#This Row],[VALOR UNIT]]-Tabela6[[#This Row],[DESCONTO]]</f>
        <v>0</v>
      </c>
      <c r="L1159" s="53">
        <f>Tabela6[[#This Row],[CUSTO TOTAL]]/Tabela6[[#This Row],[CONSUMO]]</f>
        <v>0</v>
      </c>
      <c r="M1159" s="50">
        <f>Tabela6[[#This Row],[KM ATUAL]]-E1123</f>
        <v>40502</v>
      </c>
      <c r="N1159" s="51">
        <f>Tabela6[[#This Row],[KM Rodados ]]/Tabela6[[#This Row],[CONSUMO]]</f>
        <v>305.6754716981132</v>
      </c>
    </row>
    <row r="1160" spans="1:14" x14ac:dyDescent="0.25">
      <c r="A1160" s="47">
        <v>666763</v>
      </c>
      <c r="B1160" s="78">
        <v>45061</v>
      </c>
      <c r="C1160" s="47" t="s">
        <v>13</v>
      </c>
      <c r="D1160" s="49" t="s">
        <v>250</v>
      </c>
      <c r="E1160" s="47">
        <v>618518</v>
      </c>
      <c r="G1160" s="50" t="s">
        <v>89</v>
      </c>
      <c r="H1160" s="51">
        <v>94.26</v>
      </c>
      <c r="J1160" s="51">
        <v>5.39</v>
      </c>
      <c r="K1160" s="51">
        <f>Tabela6[[#This Row],[CONSUMO]]*Tabela6[[#This Row],[VALOR UNIT]]-Tabela6[[#This Row],[DESCONTO]]</f>
        <v>508.06139999999999</v>
      </c>
      <c r="L1160" s="53">
        <f>Tabela6[[#This Row],[CUSTO TOTAL]]/Tabela6[[#This Row],[CONSUMO]]</f>
        <v>5.39</v>
      </c>
      <c r="M1160" s="50">
        <f>Tabela6[[#This Row],[KM ATUAL]]-E1150</f>
        <v>418</v>
      </c>
      <c r="N1160" s="51">
        <f>Tabela6[[#This Row],[KM Rodados ]]/Tabela6[[#This Row],[CONSUMO]]</f>
        <v>4.4345427540844469</v>
      </c>
    </row>
    <row r="1161" spans="1:14" x14ac:dyDescent="0.25">
      <c r="A1161" s="47">
        <v>370637</v>
      </c>
      <c r="B1161" s="78">
        <v>45061</v>
      </c>
      <c r="C1161" s="47" t="s">
        <v>17</v>
      </c>
      <c r="D1161" s="49" t="s">
        <v>253</v>
      </c>
      <c r="E1161" s="47">
        <v>348448</v>
      </c>
      <c r="G1161" s="50" t="s">
        <v>241</v>
      </c>
      <c r="H1161" s="51">
        <v>9.3949999999999996</v>
      </c>
      <c r="J1161" s="51">
        <v>4.99</v>
      </c>
      <c r="K1161" s="51">
        <f>Tabela6[[#This Row],[CONSUMO]]*Tabela6[[#This Row],[VALOR UNIT]]-Tabela6[[#This Row],[DESCONTO]]</f>
        <v>46.881050000000002</v>
      </c>
      <c r="L1161" s="53">
        <f>Tabela6[[#This Row],[CUSTO TOTAL]]/Tabela6[[#This Row],[CONSUMO]]</f>
        <v>4.99</v>
      </c>
      <c r="M1161" s="50"/>
      <c r="N1161"/>
    </row>
    <row r="1162" spans="1:14" x14ac:dyDescent="0.25">
      <c r="A1162" s="47">
        <v>370629</v>
      </c>
      <c r="B1162" s="78">
        <v>45061</v>
      </c>
      <c r="C1162" s="47" t="s">
        <v>17</v>
      </c>
      <c r="D1162" s="49" t="s">
        <v>253</v>
      </c>
      <c r="E1162" s="47">
        <v>348448</v>
      </c>
      <c r="G1162" s="50" t="s">
        <v>89</v>
      </c>
      <c r="H1162" s="51">
        <v>36.299999999999997</v>
      </c>
      <c r="I1162" s="49">
        <v>21</v>
      </c>
      <c r="J1162" s="51">
        <v>5.99</v>
      </c>
      <c r="K1162" s="52">
        <f>Tabela6[[#This Row],[CONSUMO]]*Tabela6[[#This Row],[VALOR UNIT]]-Tabela6[[#This Row],[DESCONTO]]</f>
        <v>196.43699999999998</v>
      </c>
      <c r="L1162" s="53">
        <f>Tabela6[[#This Row],[CUSTO TOTAL]]/Tabela6[[#This Row],[CONSUMO]]</f>
        <v>5.411487603305785</v>
      </c>
      <c r="M1162" s="50">
        <f>Tabela6[[#This Row],[KM ATUAL]]-E1091</f>
        <v>226136</v>
      </c>
      <c r="N1162" s="51">
        <f>Tabela6[[#This Row],[KM Rodados ]]/Tabela6[[#This Row],[CONSUMO]]</f>
        <v>6229.6418732782377</v>
      </c>
    </row>
    <row r="1163" spans="1:14" x14ac:dyDescent="0.25">
      <c r="A1163" s="47">
        <v>275846</v>
      </c>
      <c r="B1163" s="78">
        <v>45061</v>
      </c>
      <c r="C1163" s="47" t="s">
        <v>17</v>
      </c>
      <c r="D1163" s="49" t="s">
        <v>270</v>
      </c>
      <c r="E1163" s="47">
        <v>348657</v>
      </c>
      <c r="G1163" s="50" t="s">
        <v>89</v>
      </c>
      <c r="H1163" s="51">
        <v>42.3</v>
      </c>
      <c r="J1163" s="51">
        <v>5.19</v>
      </c>
      <c r="K1163" s="52">
        <f>Tabela6[[#This Row],[CONSUMO]]*Tabela6[[#This Row],[VALOR UNIT]]-Tabela6[[#This Row],[DESCONTO]]</f>
        <v>219.53700000000001</v>
      </c>
      <c r="L1163" s="53">
        <f>Tabela6[[#This Row],[CUSTO TOTAL]]/Tabela6[[#This Row],[CONSUMO]]</f>
        <v>5.19</v>
      </c>
      <c r="M1163" s="50">
        <f>Tabela6[[#This Row],[KM ATUAL]]-E1162</f>
        <v>209</v>
      </c>
      <c r="N1163" s="51">
        <f>Tabela6[[#This Row],[KM Rodados ]]/Tabela6[[#This Row],[CONSUMO]]</f>
        <v>4.9408983451536646</v>
      </c>
    </row>
    <row r="1164" spans="1:14" x14ac:dyDescent="0.25">
      <c r="A1164" s="47">
        <v>534114</v>
      </c>
      <c r="B1164" s="78">
        <v>45061</v>
      </c>
      <c r="C1164" s="47" t="s">
        <v>18</v>
      </c>
      <c r="D1164" s="49" t="s">
        <v>255</v>
      </c>
      <c r="E1164" s="47">
        <v>309917</v>
      </c>
      <c r="G1164" s="50" t="s">
        <v>89</v>
      </c>
      <c r="H1164" s="51">
        <v>87.831000000000003</v>
      </c>
      <c r="J1164" s="51">
        <v>5.84</v>
      </c>
      <c r="K1164" s="51">
        <f>Tabela6[[#This Row],[CONSUMO]]*Tabela6[[#This Row],[VALOR UNIT]]-Tabela6[[#This Row],[DESCONTO]]</f>
        <v>512.93304000000001</v>
      </c>
      <c r="L1164" s="53">
        <f>Tabela6[[#This Row],[CUSTO TOTAL]]/Tabela6[[#This Row],[CONSUMO]]</f>
        <v>5.84</v>
      </c>
      <c r="M1164" s="50">
        <f>Tabela6[[#This Row],[KM ATUAL]]-E1148</f>
        <v>258779</v>
      </c>
      <c r="N1164" s="51">
        <f>Tabela6[[#This Row],[KM Rodados ]]/Tabela6[[#This Row],[CONSUMO]]</f>
        <v>2946.3287449761474</v>
      </c>
    </row>
    <row r="1165" spans="1:14" x14ac:dyDescent="0.25">
      <c r="A1165" s="47">
        <v>370575</v>
      </c>
      <c r="B1165" s="78">
        <v>45061</v>
      </c>
      <c r="C1165" s="47" t="s">
        <v>20</v>
      </c>
      <c r="D1165" s="49" t="s">
        <v>253</v>
      </c>
      <c r="E1165" s="47">
        <v>248817</v>
      </c>
      <c r="G1165" s="50" t="s">
        <v>89</v>
      </c>
      <c r="H1165" s="51">
        <v>59.52</v>
      </c>
      <c r="I1165" s="49">
        <v>17.86</v>
      </c>
      <c r="J1165" s="51">
        <v>5.99</v>
      </c>
      <c r="K1165" s="51">
        <f>Tabela6[[#This Row],[CONSUMO]]*Tabela6[[#This Row],[VALOR UNIT]]-Tabela6[[#This Row],[DESCONTO]]</f>
        <v>338.66480000000001</v>
      </c>
      <c r="L1165" s="53">
        <f>Tabela6[[#This Row],[CUSTO TOTAL]]/Tabela6[[#This Row],[CONSUMO]]</f>
        <v>5.6899327956989243</v>
      </c>
      <c r="M1165" s="50">
        <f>Tabela6[[#This Row],[KM ATUAL]]-E1125</f>
        <v>-464232</v>
      </c>
      <c r="N1165" s="51">
        <f>Tabela6[[#This Row],[KM Rodados ]]/Tabela6[[#This Row],[CONSUMO]]</f>
        <v>-7799.5967741935483</v>
      </c>
    </row>
    <row r="1166" spans="1:14" x14ac:dyDescent="0.25">
      <c r="A1166" s="47">
        <v>180377</v>
      </c>
      <c r="B1166" s="78">
        <v>45061</v>
      </c>
      <c r="C1166" s="47" t="s">
        <v>74</v>
      </c>
      <c r="D1166" s="49" t="s">
        <v>268</v>
      </c>
      <c r="E1166" s="47">
        <v>51532</v>
      </c>
      <c r="G1166" s="50" t="s">
        <v>89</v>
      </c>
      <c r="H1166" s="51">
        <v>49.95</v>
      </c>
      <c r="J1166" s="51">
        <v>5.19</v>
      </c>
      <c r="K1166" s="51">
        <f>Tabela6[[#This Row],[CONSUMO]]*Tabela6[[#This Row],[VALOR UNIT]]-Tabela6[[#This Row],[DESCONTO]]</f>
        <v>259.24050000000005</v>
      </c>
      <c r="L1166" s="53">
        <f>Tabela6[[#This Row],[CUSTO TOTAL]]/Tabela6[[#This Row],[CONSUMO]]</f>
        <v>5.19</v>
      </c>
      <c r="M1166" s="50">
        <f>Tabela6[[#This Row],[KM ATUAL]]-E1143</f>
        <v>51532</v>
      </c>
      <c r="N1166" s="51">
        <f>Tabela6[[#This Row],[KM Rodados ]]/Tabela6[[#This Row],[CONSUMO]]</f>
        <v>1031.6716716716717</v>
      </c>
    </row>
    <row r="1167" spans="1:14" x14ac:dyDescent="0.25">
      <c r="A1167" s="47">
        <v>275930</v>
      </c>
      <c r="B1167" s="78">
        <v>45062</v>
      </c>
      <c r="C1167" s="47" t="s">
        <v>68</v>
      </c>
      <c r="D1167" s="49" t="s">
        <v>270</v>
      </c>
      <c r="E1167" s="47">
        <v>885252</v>
      </c>
      <c r="G1167" s="50" t="s">
        <v>89</v>
      </c>
      <c r="H1167" s="51">
        <v>490</v>
      </c>
      <c r="J1167" s="51">
        <v>5.19</v>
      </c>
      <c r="K1167" s="51">
        <f>Tabela6[[#This Row],[CONSUMO]]*Tabela6[[#This Row],[VALOR UNIT]]-Tabela6[[#This Row],[DESCONTO]]</f>
        <v>2543.1000000000004</v>
      </c>
      <c r="L1167" s="53">
        <f>Tabela6[[#This Row],[CUSTO TOTAL]]/Tabela6[[#This Row],[CONSUMO]]</f>
        <v>5.19</v>
      </c>
      <c r="M1167" s="50">
        <f>Tabela6[[#This Row],[KM ATUAL]]-E1117</f>
        <v>761855</v>
      </c>
      <c r="N1167" s="51">
        <f>Tabela6[[#This Row],[KM Rodados ]]/Tabela6[[#This Row],[CONSUMO]]</f>
        <v>1554.8061224489795</v>
      </c>
    </row>
    <row r="1168" spans="1:14" x14ac:dyDescent="0.25">
      <c r="A1168" s="47">
        <v>371631</v>
      </c>
      <c r="B1168" s="78">
        <v>45062</v>
      </c>
      <c r="C1168" s="47" t="s">
        <v>42</v>
      </c>
      <c r="D1168" s="49" t="s">
        <v>253</v>
      </c>
      <c r="E1168" s="47">
        <v>362859</v>
      </c>
      <c r="G1168" s="50" t="s">
        <v>89</v>
      </c>
      <c r="H1168" s="51">
        <v>103.51</v>
      </c>
      <c r="I1168" s="49">
        <v>31.05</v>
      </c>
      <c r="J1168" s="51">
        <v>5.99</v>
      </c>
      <c r="K1168" s="52">
        <f>Tabela6[[#This Row],[CONSUMO]]*Tabela6[[#This Row],[VALOR UNIT]]-Tabela6[[#This Row],[DESCONTO]]</f>
        <v>588.97490000000005</v>
      </c>
      <c r="L1168" s="53">
        <f>Tabela6[[#This Row],[CUSTO TOTAL]]/Tabela6[[#This Row],[CONSUMO]]</f>
        <v>5.690028982706985</v>
      </c>
      <c r="M1168" s="50">
        <f>Tabela6[[#This Row],[KM ATUAL]]-E1120</f>
        <v>140257</v>
      </c>
      <c r="N1168" s="51">
        <f>Tabela6[[#This Row],[KM Rodados ]]/Tabela6[[#This Row],[CONSUMO]]</f>
        <v>1355.0091778572119</v>
      </c>
    </row>
    <row r="1169" spans="1:14" x14ac:dyDescent="0.25">
      <c r="A1169" s="47">
        <v>181475</v>
      </c>
      <c r="B1169" s="78">
        <v>45062</v>
      </c>
      <c r="C1169" s="47" t="s">
        <v>215</v>
      </c>
      <c r="D1169" s="49" t="s">
        <v>262</v>
      </c>
      <c r="E1169" s="47">
        <v>222976</v>
      </c>
      <c r="G1169" s="50" t="s">
        <v>244</v>
      </c>
      <c r="H1169" s="51">
        <v>37.020000000000003</v>
      </c>
      <c r="J1169" s="51">
        <v>5.39</v>
      </c>
      <c r="K1169" s="51">
        <f>Tabela6[[#This Row],[CONSUMO]]*Tabela6[[#This Row],[VALOR UNIT]]-Tabela6[[#This Row],[DESCONTO]]</f>
        <v>199.5378</v>
      </c>
      <c r="L1169" s="53">
        <f>Tabela6[[#This Row],[CUSTO TOTAL]]/Tabela6[[#This Row],[CONSUMO]]</f>
        <v>5.39</v>
      </c>
      <c r="M1169" s="50">
        <f>Tabela6[[#This Row],[KM ATUAL]]-E1168</f>
        <v>-139883</v>
      </c>
      <c r="N1169" s="51">
        <f>Tabela6[[#This Row],[KM Rodados ]]/H1125</f>
        <v>-685.3952403584675</v>
      </c>
    </row>
    <row r="1170" spans="1:14" x14ac:dyDescent="0.25">
      <c r="A1170" s="47">
        <v>546602</v>
      </c>
      <c r="B1170" s="78">
        <v>45062</v>
      </c>
      <c r="C1170" s="47" t="s">
        <v>70</v>
      </c>
      <c r="D1170" s="49" t="s">
        <v>275</v>
      </c>
      <c r="E1170" s="47">
        <v>201069</v>
      </c>
      <c r="G1170" s="50" t="s">
        <v>89</v>
      </c>
      <c r="H1170" s="51">
        <v>724.40099999999995</v>
      </c>
      <c r="J1170" s="51">
        <v>5.39</v>
      </c>
      <c r="K1170" s="51">
        <f>Tabela6[[#This Row],[CONSUMO]]*Tabela6[[#This Row],[VALOR UNIT]]-Tabela6[[#This Row],[DESCONTO]]</f>
        <v>3904.5213899999994</v>
      </c>
      <c r="L1170" s="53">
        <f>Tabela6[[#This Row],[CUSTO TOTAL]]/Tabela6[[#This Row],[CONSUMO]]</f>
        <v>5.39</v>
      </c>
      <c r="M1170" s="50">
        <f>Tabela6[[#This Row],[KM ATUAL]]-E1110</f>
        <v>1663</v>
      </c>
      <c r="N1170" s="51">
        <f>Tabela6[[#This Row],[KM Rodados ]]/Tabela6[[#This Row],[CONSUMO]]</f>
        <v>2.2956898182084235</v>
      </c>
    </row>
    <row r="1171" spans="1:14" x14ac:dyDescent="0.25">
      <c r="A1171" s="47" t="s">
        <v>314</v>
      </c>
      <c r="B1171" s="78">
        <v>45062</v>
      </c>
      <c r="C1171" s="47" t="s">
        <v>72</v>
      </c>
      <c r="E1171" s="119">
        <v>390418</v>
      </c>
      <c r="G1171" s="120" t="s">
        <v>89</v>
      </c>
      <c r="H1171" s="51">
        <v>19.559999999999999</v>
      </c>
      <c r="K1171" s="52">
        <f>Tabela6[[#This Row],[CONSUMO]]*Tabela6[[#This Row],[VALOR UNIT]]-Tabela6[[#This Row],[DESCONTO]]</f>
        <v>0</v>
      </c>
      <c r="L1171" s="53">
        <f>Tabela6[[#This Row],[CUSTO TOTAL]]/Tabela6[[#This Row],[CONSUMO]]</f>
        <v>0</v>
      </c>
      <c r="M1171" s="50">
        <f>Tabela6[[#This Row],[KM ATUAL]]-E1136</f>
        <v>138</v>
      </c>
      <c r="N1171" s="51">
        <f>Tabela6[[#This Row],[KM Rodados ]]/Tabela6[[#This Row],[CONSUMO]]</f>
        <v>7.0552147239263805</v>
      </c>
    </row>
    <row r="1172" spans="1:14" x14ac:dyDescent="0.25">
      <c r="A1172" s="47" t="s">
        <v>314</v>
      </c>
      <c r="B1172" s="78">
        <v>45062</v>
      </c>
      <c r="C1172" s="47" t="s">
        <v>72</v>
      </c>
      <c r="E1172" s="119">
        <v>390763</v>
      </c>
      <c r="G1172" s="120" t="s">
        <v>89</v>
      </c>
      <c r="H1172" s="51">
        <v>43.45</v>
      </c>
      <c r="K1172" s="52">
        <f>Tabela6[[#This Row],[CONSUMO]]*Tabela6[[#This Row],[VALOR UNIT]]-Tabela6[[#This Row],[DESCONTO]]</f>
        <v>0</v>
      </c>
      <c r="L1172" s="53">
        <f>Tabela6[[#This Row],[CUSTO TOTAL]]/Tabela6[[#This Row],[CONSUMO]]</f>
        <v>0</v>
      </c>
      <c r="M1172" s="50">
        <f>Tabela6[[#This Row],[KM ATUAL]]-E1171</f>
        <v>345</v>
      </c>
      <c r="N1172" s="51">
        <f>Tabela6[[#This Row],[KM Rodados ]]/Tabela6[[#This Row],[CONSUMO]]</f>
        <v>7.940161104718066</v>
      </c>
    </row>
    <row r="1173" spans="1:14" x14ac:dyDescent="0.25">
      <c r="A1173" s="47">
        <v>181403</v>
      </c>
      <c r="B1173" s="78">
        <v>45062</v>
      </c>
      <c r="C1173" s="47" t="s">
        <v>72</v>
      </c>
      <c r="D1173" s="49" t="s">
        <v>262</v>
      </c>
      <c r="E1173" s="119">
        <v>390995</v>
      </c>
      <c r="G1173" s="120" t="s">
        <v>89</v>
      </c>
      <c r="H1173" s="51">
        <v>30.94</v>
      </c>
      <c r="J1173" s="51">
        <v>5.29</v>
      </c>
      <c r="K1173" s="52">
        <f>Tabela6[[#This Row],[CONSUMO]]*Tabela6[[#This Row],[VALOR UNIT]]-Tabela6[[#This Row],[DESCONTO]]</f>
        <v>163.67260000000002</v>
      </c>
      <c r="L1173" s="53">
        <f>Tabela6[[#This Row],[CUSTO TOTAL]]/Tabela6[[#This Row],[CONSUMO]]</f>
        <v>5.29</v>
      </c>
      <c r="M1173" s="50">
        <f>Tabela6[[#This Row],[KM ATUAL]]-E1172</f>
        <v>232</v>
      </c>
      <c r="N1173" s="51">
        <f>Tabela6[[#This Row],[KM Rodados ]]/Tabela6[[#This Row],[CONSUMO]]</f>
        <v>7.4983839689722043</v>
      </c>
    </row>
    <row r="1174" spans="1:14" x14ac:dyDescent="0.25">
      <c r="A1174" s="47">
        <v>181162</v>
      </c>
      <c r="B1174" s="78">
        <v>45062</v>
      </c>
      <c r="C1174" s="47" t="s">
        <v>72</v>
      </c>
      <c r="D1174" s="49" t="s">
        <v>268</v>
      </c>
      <c r="E1174" s="119">
        <v>391409</v>
      </c>
      <c r="G1174" s="120" t="s">
        <v>89</v>
      </c>
      <c r="H1174" s="51">
        <v>54.92</v>
      </c>
      <c r="J1174" s="51">
        <v>5.19</v>
      </c>
      <c r="K1174" s="51">
        <f>Tabela6[[#This Row],[CONSUMO]]*Tabela6[[#This Row],[VALOR UNIT]]-Tabela6[[#This Row],[DESCONTO]]</f>
        <v>285.03480000000002</v>
      </c>
      <c r="L1174" s="53">
        <f>Tabela6[[#This Row],[CUSTO TOTAL]]/Tabela6[[#This Row],[CONSUMO]]</f>
        <v>5.19</v>
      </c>
      <c r="M1174" s="50">
        <f>Tabela6[[#This Row],[KM ATUAL]]-E1173</f>
        <v>414</v>
      </c>
      <c r="N1174" s="51">
        <f>Tabela6[[#This Row],[KM Rodados ]]/Tabela6[[#This Row],[CONSUMO]]</f>
        <v>7.538237436270939</v>
      </c>
    </row>
    <row r="1175" spans="1:14" x14ac:dyDescent="0.25">
      <c r="A1175" s="47">
        <v>181323</v>
      </c>
      <c r="B1175" s="78">
        <v>45062</v>
      </c>
      <c r="C1175" s="47" t="s">
        <v>71</v>
      </c>
      <c r="D1175" s="49" t="s">
        <v>268</v>
      </c>
      <c r="E1175" s="47">
        <v>101246</v>
      </c>
      <c r="G1175" s="50" t="s">
        <v>89</v>
      </c>
      <c r="H1175" s="51">
        <v>385</v>
      </c>
      <c r="J1175" s="51">
        <v>5.19</v>
      </c>
      <c r="K1175" s="51">
        <f>Tabela6[[#This Row],[CONSUMO]]*Tabela6[[#This Row],[VALOR UNIT]]-Tabela6[[#This Row],[DESCONTO]]</f>
        <v>1998.15</v>
      </c>
      <c r="L1175" s="53">
        <f>Tabela6[[#This Row],[CUSTO TOTAL]]/Tabela6[[#This Row],[CONSUMO]]</f>
        <v>5.19</v>
      </c>
      <c r="M1175" s="50">
        <f>Tabela6[[#This Row],[KM ATUAL]]-E1119</f>
        <v>-562786</v>
      </c>
      <c r="N1175" s="51">
        <f>Tabela6[[#This Row],[KM Rodados ]]/Tabela6[[#This Row],[CONSUMO]]</f>
        <v>-1461.7818181818182</v>
      </c>
    </row>
    <row r="1176" spans="1:14" x14ac:dyDescent="0.25">
      <c r="A1176" s="47" t="s">
        <v>314</v>
      </c>
      <c r="B1176" s="78">
        <v>45062</v>
      </c>
      <c r="C1176" s="47" t="s">
        <v>21</v>
      </c>
      <c r="E1176" s="47">
        <v>140906</v>
      </c>
      <c r="G1176" s="50" t="s">
        <v>89</v>
      </c>
      <c r="H1176" s="51">
        <v>124.3</v>
      </c>
      <c r="K1176" s="52">
        <f>Tabela6[[#This Row],[CONSUMO]]*Tabela6[[#This Row],[VALOR UNIT]]-Tabela6[[#This Row],[DESCONTO]]</f>
        <v>0</v>
      </c>
      <c r="L1176" s="53">
        <f>Tabela6[[#This Row],[CUSTO TOTAL]]/Tabela6[[#This Row],[CONSUMO]]</f>
        <v>0</v>
      </c>
      <c r="M1176" s="50">
        <f>Tabela6[[#This Row],[KM ATUAL]]-E1161</f>
        <v>-207542</v>
      </c>
      <c r="N1176" s="51">
        <f>Tabela6[[#This Row],[KM Rodados ]]/Tabela6[[#This Row],[CONSUMO]]</f>
        <v>-1669.6862429605792</v>
      </c>
    </row>
    <row r="1177" spans="1:14" x14ac:dyDescent="0.25">
      <c r="A1177" s="47">
        <v>181435</v>
      </c>
      <c r="B1177" s="78">
        <v>45062</v>
      </c>
      <c r="C1177" s="47" t="s">
        <v>10</v>
      </c>
      <c r="D1177" s="49" t="s">
        <v>262</v>
      </c>
      <c r="E1177" s="47">
        <v>714298</v>
      </c>
      <c r="G1177" s="50" t="s">
        <v>89</v>
      </c>
      <c r="H1177" s="51">
        <v>225.28</v>
      </c>
      <c r="J1177" s="51">
        <v>5.29</v>
      </c>
      <c r="K1177" s="51">
        <f>Tabela6[[#This Row],[CONSUMO]]*Tabela6[[#This Row],[VALOR UNIT]]-Tabela6[[#This Row],[DESCONTO]]</f>
        <v>1191.7311999999999</v>
      </c>
      <c r="L1177" s="53">
        <f>Tabela6[[#This Row],[CUSTO TOTAL]]/Tabela6[[#This Row],[CONSUMO]]</f>
        <v>5.29</v>
      </c>
      <c r="M1177" s="50">
        <f>Tabela6[[#This Row],[KM ATUAL]]-E1143</f>
        <v>714298</v>
      </c>
      <c r="N1177" s="51">
        <f>Tabela6[[#This Row],[KM Rodados ]]/Tabela6[[#This Row],[CONSUMO]]</f>
        <v>3170.712002840909</v>
      </c>
    </row>
    <row r="1178" spans="1:14" x14ac:dyDescent="0.25">
      <c r="A1178" s="47">
        <v>667677</v>
      </c>
      <c r="B1178" s="78">
        <v>45062</v>
      </c>
      <c r="C1178" s="47" t="s">
        <v>13</v>
      </c>
      <c r="D1178" s="49" t="s">
        <v>250</v>
      </c>
      <c r="E1178" s="47">
        <v>619170</v>
      </c>
      <c r="G1178" s="50" t="s">
        <v>89</v>
      </c>
      <c r="H1178" s="51">
        <v>138.02000000000001</v>
      </c>
      <c r="J1178" s="51">
        <v>5.39</v>
      </c>
      <c r="K1178" s="51">
        <f>Tabela6[[#This Row],[CONSUMO]]*Tabela6[[#This Row],[VALOR UNIT]]-Tabela6[[#This Row],[DESCONTO]]</f>
        <v>743.92780000000005</v>
      </c>
      <c r="L1178" s="53">
        <f>Tabela6[[#This Row],[CUSTO TOTAL]]/Tabela6[[#This Row],[CONSUMO]]</f>
        <v>5.39</v>
      </c>
      <c r="M1178" s="50">
        <f>Tabela6[[#This Row],[KM ATUAL]]-E1166</f>
        <v>567638</v>
      </c>
      <c r="N1178" s="51">
        <f>Tabela6[[#This Row],[KM Rodados ]]/Tabela6[[#This Row],[CONSUMO]]</f>
        <v>4112.7227937979997</v>
      </c>
    </row>
    <row r="1179" spans="1:14" x14ac:dyDescent="0.25">
      <c r="A1179" s="47">
        <v>181437</v>
      </c>
      <c r="B1179" s="78">
        <v>45062</v>
      </c>
      <c r="C1179" s="47" t="s">
        <v>40</v>
      </c>
      <c r="D1179" s="49" t="s">
        <v>262</v>
      </c>
      <c r="E1179" s="47">
        <v>140687</v>
      </c>
      <c r="G1179" s="50" t="s">
        <v>244</v>
      </c>
      <c r="H1179" s="51">
        <v>41.301000000000002</v>
      </c>
      <c r="J1179" s="51">
        <v>5.39</v>
      </c>
      <c r="K1179" s="74">
        <f>Tabela6[[#This Row],[CONSUMO]]*Tabela6[[#This Row],[VALOR UNIT]]-Tabela6[[#This Row],[DESCONTO]]</f>
        <v>222.61239</v>
      </c>
      <c r="L1179" s="53">
        <f>Tabela6[[#This Row],[CUSTO TOTAL]]/Tabela6[[#This Row],[CONSUMO]]</f>
        <v>5.39</v>
      </c>
      <c r="M1179" s="50">
        <f>Tabela6[[#This Row],[KM ATUAL]]-E1148</f>
        <v>89549</v>
      </c>
      <c r="N1179" s="51">
        <f>Tabela6[[#This Row],[KM Rodados ]]/Tabela6[[#This Row],[CONSUMO]]</f>
        <v>2168.2041597055759</v>
      </c>
    </row>
    <row r="1180" spans="1:14" x14ac:dyDescent="0.25">
      <c r="A1180" s="47">
        <v>667689</v>
      </c>
      <c r="B1180" s="78">
        <v>45062</v>
      </c>
      <c r="C1180" s="47" t="s">
        <v>74</v>
      </c>
      <c r="D1180" s="49" t="s">
        <v>250</v>
      </c>
      <c r="E1180" s="47">
        <v>52101</v>
      </c>
      <c r="G1180" s="50" t="s">
        <v>89</v>
      </c>
      <c r="H1180" s="51">
        <v>72.790000000000006</v>
      </c>
      <c r="J1180" s="51">
        <v>5.39</v>
      </c>
      <c r="K1180" s="52">
        <f>Tabela6[[#This Row],[CONSUMO]]*Tabela6[[#This Row],[VALOR UNIT]]-Tabela6[[#This Row],[DESCONTO]]</f>
        <v>392.3381</v>
      </c>
      <c r="L1180" s="53">
        <f>Tabela6[[#This Row],[CUSTO TOTAL]]/Tabela6[[#This Row],[CONSUMO]]</f>
        <v>5.39</v>
      </c>
      <c r="M1180" s="50">
        <f>Tabela6[[#This Row],[KM ATUAL]]-E1168</f>
        <v>-310758</v>
      </c>
      <c r="N1180" s="51">
        <f>Tabela6[[#This Row],[KM Rodados ]]/Tabela6[[#This Row],[CONSUMO]]</f>
        <v>-4269.2402802582765</v>
      </c>
    </row>
    <row r="1181" spans="1:14" x14ac:dyDescent="0.25">
      <c r="A1181" s="47">
        <v>372234</v>
      </c>
      <c r="B1181" s="78">
        <v>45063</v>
      </c>
      <c r="C1181" s="47" t="s">
        <v>9</v>
      </c>
      <c r="D1181" s="49" t="s">
        <v>253</v>
      </c>
      <c r="E1181" s="47">
        <v>602525</v>
      </c>
      <c r="G1181" s="50" t="s">
        <v>89</v>
      </c>
      <c r="H1181" s="51">
        <v>142.13999999999999</v>
      </c>
      <c r="I1181" s="49">
        <v>42.64</v>
      </c>
      <c r="J1181" s="51">
        <v>5.99</v>
      </c>
      <c r="K1181" s="51">
        <f>Tabela6[[#This Row],[CONSUMO]]*Tabela6[[#This Row],[VALOR UNIT]]-Tabela6[[#This Row],[DESCONTO]]</f>
        <v>808.77859999999998</v>
      </c>
      <c r="L1181" s="53">
        <f>Tabela6[[#This Row],[CUSTO TOTAL]]/Tabela6[[#This Row],[CONSUMO]]</f>
        <v>5.6900140706345859</v>
      </c>
      <c r="M1181" s="50">
        <f>Tabela6[[#This Row],[KM ATUAL]]-E1160</f>
        <v>-15993</v>
      </c>
      <c r="N1181" s="51">
        <f>Tabela6[[#This Row],[KM Rodados ]]/Tabela6[[#This Row],[CONSUMO]]</f>
        <v>-112.51582946390883</v>
      </c>
    </row>
    <row r="1182" spans="1:14" x14ac:dyDescent="0.25">
      <c r="A1182" s="47">
        <v>372024</v>
      </c>
      <c r="B1182" s="78">
        <v>45063</v>
      </c>
      <c r="C1182" s="47" t="s">
        <v>67</v>
      </c>
      <c r="D1182" s="49" t="s">
        <v>253</v>
      </c>
      <c r="E1182" s="47">
        <v>664719</v>
      </c>
      <c r="G1182" s="50" t="s">
        <v>89</v>
      </c>
      <c r="H1182" s="51">
        <v>175.91</v>
      </c>
      <c r="I1182" s="49">
        <v>52.77</v>
      </c>
      <c r="J1182" s="51">
        <v>5.99</v>
      </c>
      <c r="K1182" s="51">
        <f>Tabela6[[#This Row],[CONSUMO]]*Tabela6[[#This Row],[VALOR UNIT]]-Tabela6[[#This Row],[DESCONTO]]</f>
        <v>1000.9309000000001</v>
      </c>
      <c r="L1182" s="53">
        <f>Tabela6[[#This Row],[CUSTO TOTAL]]/Tabela6[[#This Row],[CONSUMO]]</f>
        <v>5.6900170541754314</v>
      </c>
      <c r="M1182" s="50">
        <f>Tabela6[[#This Row],[KM ATUAL]]-E1116</f>
        <v>-219324</v>
      </c>
      <c r="N1182" s="51">
        <f>Tabela6[[#This Row],[KM Rodados ]]/Tabela6[[#This Row],[CONSUMO]]</f>
        <v>-1246.7966573816157</v>
      </c>
    </row>
    <row r="1183" spans="1:14" x14ac:dyDescent="0.25">
      <c r="A1183" s="47">
        <v>181692</v>
      </c>
      <c r="B1183" s="78">
        <v>45063</v>
      </c>
      <c r="C1183" s="47" t="s">
        <v>72</v>
      </c>
      <c r="D1183" s="49" t="s">
        <v>262</v>
      </c>
      <c r="E1183" s="119">
        <v>391618</v>
      </c>
      <c r="G1183" s="120" t="s">
        <v>89</v>
      </c>
      <c r="H1183" s="51">
        <v>28.359000000000002</v>
      </c>
      <c r="J1183" s="51">
        <v>5.29</v>
      </c>
      <c r="K1183" s="51">
        <f>Tabela6[[#This Row],[CONSUMO]]*Tabela6[[#This Row],[VALOR UNIT]]-Tabela6[[#This Row],[DESCONTO]]</f>
        <v>150.01911000000001</v>
      </c>
      <c r="L1183" s="53">
        <f>Tabela6[[#This Row],[CUSTO TOTAL]]/Tabela6[[#This Row],[CONSUMO]]</f>
        <v>5.29</v>
      </c>
      <c r="M1183" s="50">
        <f>Tabela6[[#This Row],[KM ATUAL]]-E1177</f>
        <v>-322680</v>
      </c>
      <c r="N1183" s="51">
        <f>Tabela6[[#This Row],[KM Rodados ]]/Tabela6[[#This Row],[CONSUMO]]</f>
        <v>-11378.398392044854</v>
      </c>
    </row>
    <row r="1184" spans="1:14" x14ac:dyDescent="0.25">
      <c r="A1184" s="47">
        <v>534622</v>
      </c>
      <c r="B1184" s="78">
        <v>45063</v>
      </c>
      <c r="C1184" s="47" t="s">
        <v>16</v>
      </c>
      <c r="D1184" s="49" t="s">
        <v>255</v>
      </c>
      <c r="E1184" s="47">
        <v>296459</v>
      </c>
      <c r="G1184" s="50" t="s">
        <v>89</v>
      </c>
      <c r="H1184" s="51">
        <v>106.14100000000001</v>
      </c>
      <c r="J1184" s="51">
        <v>5.84</v>
      </c>
      <c r="K1184" s="51">
        <f>Tabela6[[#This Row],[CONSUMO]]*Tabela6[[#This Row],[VALOR UNIT]]-Tabela6[[#This Row],[DESCONTO]]</f>
        <v>619.86343999999997</v>
      </c>
      <c r="L1184" s="53">
        <f>Tabela6[[#This Row],[CUSTO TOTAL]]/Tabela6[[#This Row],[CONSUMO]]</f>
        <v>5.839999999999999</v>
      </c>
      <c r="M1184" s="50">
        <f>Tabela6[[#This Row],[KM ATUAL]]-E1147</f>
        <v>156296</v>
      </c>
      <c r="N1184" s="51">
        <f>Tabela6[[#This Row],[KM Rodados ]]/Tabela6[[#This Row],[CONSUMO]]</f>
        <v>1472.531820879773</v>
      </c>
    </row>
    <row r="1185" spans="1:14" x14ac:dyDescent="0.25">
      <c r="A1185" s="47">
        <v>661070</v>
      </c>
      <c r="B1185" s="78">
        <v>45063</v>
      </c>
      <c r="C1185" s="47" t="s">
        <v>19</v>
      </c>
      <c r="D1185" s="49" t="s">
        <v>264</v>
      </c>
      <c r="E1185" s="47">
        <v>306825</v>
      </c>
      <c r="G1185" s="50" t="s">
        <v>89</v>
      </c>
      <c r="H1185" s="51">
        <v>191.702</v>
      </c>
      <c r="J1185" s="51">
        <v>5.45</v>
      </c>
      <c r="K1185" s="51">
        <f>Tabela6[[#This Row],[CONSUMO]]*Tabela6[[#This Row],[VALOR UNIT]]-Tabela6[[#This Row],[DESCONTO]]</f>
        <v>1044.7759000000001</v>
      </c>
      <c r="L1185" s="53">
        <f>Tabela6[[#This Row],[CUSTO TOTAL]]/Tabela6[[#This Row],[CONSUMO]]</f>
        <v>5.45</v>
      </c>
      <c r="M1185" s="50">
        <f>Tabela6[[#This Row],[KM ATUAL]]-E1149</f>
        <v>-167030</v>
      </c>
      <c r="N1185" s="51">
        <f>Tabela6[[#This Row],[KM Rodados ]]/Tabela6[[#This Row],[CONSUMO]]</f>
        <v>-871.30024725876626</v>
      </c>
    </row>
    <row r="1186" spans="1:14" x14ac:dyDescent="0.25">
      <c r="A1186" s="47">
        <v>95830</v>
      </c>
      <c r="B1186" s="78">
        <v>45063</v>
      </c>
      <c r="C1186" s="47" t="s">
        <v>74</v>
      </c>
      <c r="D1186" s="49" t="s">
        <v>263</v>
      </c>
      <c r="E1186" s="47">
        <v>52571</v>
      </c>
      <c r="G1186" s="50" t="s">
        <v>89</v>
      </c>
      <c r="H1186" s="51">
        <v>59.850999999999999</v>
      </c>
      <c r="I1186" s="49">
        <v>5.99</v>
      </c>
      <c r="J1186" s="51">
        <v>5.29</v>
      </c>
      <c r="K1186" s="51">
        <f>Tabela6[[#This Row],[CONSUMO]]*Tabela6[[#This Row],[VALOR UNIT]]-Tabela6[[#This Row],[DESCONTO]]</f>
        <v>310.62178999999998</v>
      </c>
      <c r="L1186" s="53">
        <f>Tabela6[[#This Row],[CUSTO TOTAL]]/Tabela6[[#This Row],[CONSUMO]]</f>
        <v>5.1899181300228898</v>
      </c>
      <c r="M1186" s="50">
        <f>Tabela6[[#This Row],[KM ATUAL]]-E1176</f>
        <v>-88335</v>
      </c>
      <c r="N1186" s="51">
        <f>Tabela6[[#This Row],[KM Rodados ]]/Tabela6[[#This Row],[CONSUMO]]</f>
        <v>-1475.9151893869778</v>
      </c>
    </row>
    <row r="1187" spans="1:14" x14ac:dyDescent="0.25">
      <c r="A1187" s="47">
        <v>182641</v>
      </c>
      <c r="B1187" s="78">
        <v>45064</v>
      </c>
      <c r="C1187" s="47" t="s">
        <v>222</v>
      </c>
      <c r="D1187" s="49" t="s">
        <v>268</v>
      </c>
      <c r="E1187" s="47">
        <v>475016</v>
      </c>
      <c r="G1187" s="50" t="s">
        <v>89</v>
      </c>
      <c r="H1187" s="51">
        <v>422</v>
      </c>
      <c r="J1187" s="51">
        <v>5.19</v>
      </c>
      <c r="K1187" s="51">
        <f>Tabela6[[#This Row],[CONSUMO]]*Tabela6[[#This Row],[VALOR UNIT]]-Tabela6[[#This Row],[DESCONTO]]</f>
        <v>2190.1800000000003</v>
      </c>
      <c r="L1187" s="53">
        <f>Tabela6[[#This Row],[CUSTO TOTAL]]/Tabela6[[#This Row],[CONSUMO]]</f>
        <v>5.19</v>
      </c>
      <c r="M1187" s="50">
        <f>Tabela6[[#This Row],[KM ATUAL]]-E1146</f>
        <v>250054</v>
      </c>
      <c r="N1187" s="51">
        <f>Tabela6[[#This Row],[KM Rodados ]]/Tabela6[[#This Row],[CONSUMO]]</f>
        <v>592.54502369668251</v>
      </c>
    </row>
    <row r="1188" spans="1:14" x14ac:dyDescent="0.25">
      <c r="A1188" s="47">
        <v>181416</v>
      </c>
      <c r="B1188" s="78">
        <v>45064</v>
      </c>
      <c r="C1188" s="47" t="s">
        <v>39</v>
      </c>
      <c r="D1188" s="49" t="s">
        <v>262</v>
      </c>
      <c r="E1188" s="47">
        <v>85666</v>
      </c>
      <c r="G1188" s="50" t="s">
        <v>89</v>
      </c>
      <c r="H1188" s="51">
        <v>101.88</v>
      </c>
      <c r="J1188" s="51">
        <v>6.09</v>
      </c>
      <c r="K1188" s="51">
        <f>Tabela6[[#This Row],[CONSUMO]]*Tabela6[[#This Row],[VALOR UNIT]]-Tabela6[[#This Row],[DESCONTO]]</f>
        <v>620.44919999999991</v>
      </c>
      <c r="L1188" s="53">
        <f>Tabela6[[#This Row],[CUSTO TOTAL]]/Tabela6[[#This Row],[CONSUMO]]</f>
        <v>6.089999999999999</v>
      </c>
      <c r="M1188" s="50">
        <f>Tabela6[[#This Row],[KM ATUAL]]-E1134</f>
        <v>519</v>
      </c>
      <c r="N1188" s="51">
        <f>Tabela6[[#This Row],[KM Rodados ]]/Tabela6[[#This Row],[CONSUMO]]</f>
        <v>5.0942285041224977</v>
      </c>
    </row>
    <row r="1189" spans="1:14" x14ac:dyDescent="0.25">
      <c r="A1189" s="47">
        <v>298186</v>
      </c>
      <c r="B1189" s="78">
        <v>45064</v>
      </c>
      <c r="C1189" s="47" t="s">
        <v>203</v>
      </c>
      <c r="D1189" s="49" t="s">
        <v>276</v>
      </c>
      <c r="E1189" s="47">
        <v>95312</v>
      </c>
      <c r="G1189" s="50" t="s">
        <v>244</v>
      </c>
      <c r="H1189" s="51">
        <v>38.811</v>
      </c>
      <c r="J1189" s="51">
        <v>5.49</v>
      </c>
      <c r="K1189" s="51">
        <f>Tabela6[[#This Row],[CONSUMO]]*Tabela6[[#This Row],[VALOR UNIT]]-Tabela6[[#This Row],[DESCONTO]]</f>
        <v>213.07239000000001</v>
      </c>
      <c r="L1189" s="53">
        <f>Tabela6[[#This Row],[CUSTO TOTAL]]/Tabela6[[#This Row],[CONSUMO]]</f>
        <v>5.49</v>
      </c>
      <c r="M1189" s="50">
        <f>Tabela6[[#This Row],[KM ATUAL]]-E1082</f>
        <v>-568026</v>
      </c>
      <c r="N1189" s="51">
        <f>Tabela6[[#This Row],[KM Rodados ]]/Tabela6[[#This Row],[CONSUMO]]</f>
        <v>-14635.696065548427</v>
      </c>
    </row>
    <row r="1190" spans="1:14" x14ac:dyDescent="0.25">
      <c r="A1190" s="47">
        <v>181823</v>
      </c>
      <c r="B1190" s="78">
        <v>45064</v>
      </c>
      <c r="C1190" s="47" t="s">
        <v>41</v>
      </c>
      <c r="D1190" s="49" t="s">
        <v>262</v>
      </c>
      <c r="E1190" s="47">
        <v>659832</v>
      </c>
      <c r="G1190" s="50" t="s">
        <v>89</v>
      </c>
      <c r="H1190" s="51">
        <v>179.511</v>
      </c>
      <c r="J1190" s="51">
        <v>5.19</v>
      </c>
      <c r="K1190" s="51">
        <f>Tabela6[[#This Row],[CONSUMO]]*Tabela6[[#This Row],[VALOR UNIT]]-Tabela6[[#This Row],[DESCONTO]]</f>
        <v>931.66209000000003</v>
      </c>
      <c r="L1190" s="53">
        <f>Tabela6[[#This Row],[CUSTO TOTAL]]/Tabela6[[#This Row],[CONSUMO]]</f>
        <v>5.19</v>
      </c>
      <c r="M1190" s="50">
        <f>Tabela6[[#This Row],[KM ATUAL]]-E1138</f>
        <v>756</v>
      </c>
      <c r="N1190" s="51">
        <f>Tabela6[[#This Row],[KM Rodados ]]/Tabela6[[#This Row],[CONSUMO]]</f>
        <v>4.2114410816050274</v>
      </c>
    </row>
    <row r="1191" spans="1:14" x14ac:dyDescent="0.25">
      <c r="A1191" s="47">
        <v>373008</v>
      </c>
      <c r="B1191" s="78">
        <v>45064</v>
      </c>
      <c r="C1191" s="47" t="s">
        <v>11</v>
      </c>
      <c r="D1191" s="49" t="s">
        <v>253</v>
      </c>
      <c r="E1191" s="47">
        <v>391821</v>
      </c>
      <c r="G1191" s="50" t="s">
        <v>89</v>
      </c>
      <c r="H1191" s="51">
        <v>114.64</v>
      </c>
      <c r="I1191" s="49">
        <v>34.39</v>
      </c>
      <c r="J1191" s="51">
        <v>5.69</v>
      </c>
      <c r="K1191" s="51">
        <f>Tabela6[[#This Row],[CONSUMO]]*Tabela6[[#This Row],[VALOR UNIT]]-Tabela6[[#This Row],[DESCONTO]]</f>
        <v>617.91160000000002</v>
      </c>
      <c r="L1191" s="53">
        <f>Tabela6[[#This Row],[CUSTO TOTAL]]/Tabela6[[#This Row],[CONSUMO]]</f>
        <v>5.3900174459176551</v>
      </c>
      <c r="M1191" s="50">
        <f>Tabela6[[#This Row],[KM ATUAL]]-E1140</f>
        <v>422</v>
      </c>
      <c r="N1191" s="51">
        <f>Tabela6[[#This Row],[KM Rodados ]]/Tabela6[[#This Row],[CONSUMO]]</f>
        <v>3.6810886252616886</v>
      </c>
    </row>
    <row r="1192" spans="1:14" x14ac:dyDescent="0.25">
      <c r="A1192" s="47">
        <v>372998</v>
      </c>
      <c r="B1192" s="78">
        <v>45064</v>
      </c>
      <c r="C1192" s="47" t="s">
        <v>12</v>
      </c>
      <c r="D1192" s="49" t="s">
        <v>253</v>
      </c>
      <c r="E1192" s="47">
        <v>311035</v>
      </c>
      <c r="G1192" s="50" t="s">
        <v>89</v>
      </c>
      <c r="H1192" s="51">
        <v>109.77</v>
      </c>
      <c r="I1192" s="49">
        <v>32.93</v>
      </c>
      <c r="J1192" s="51">
        <v>5.69</v>
      </c>
      <c r="K1192" s="51">
        <f>Tabela6[[#This Row],[CONSUMO]]*Tabela6[[#This Row],[VALOR UNIT]]-Tabela6[[#This Row],[DESCONTO]]</f>
        <v>591.6613000000001</v>
      </c>
      <c r="L1192" s="53">
        <f>Tabela6[[#This Row],[CUSTO TOTAL]]/Tabela6[[#This Row],[CONSUMO]]</f>
        <v>5.3900091099571839</v>
      </c>
      <c r="M1192" s="50">
        <f>Tabela6[[#This Row],[KM ATUAL]]-E1118</f>
        <v>-51252</v>
      </c>
      <c r="N1192" s="51">
        <f>Tabela6[[#This Row],[KM Rodados ]]/Tabela6[[#This Row],[CONSUMO]]</f>
        <v>-466.90352555342992</v>
      </c>
    </row>
    <row r="1193" spans="1:14" x14ac:dyDescent="0.25">
      <c r="A1193" s="47">
        <v>534836</v>
      </c>
      <c r="B1193" s="78">
        <v>45064</v>
      </c>
      <c r="C1193" s="47" t="s">
        <v>18</v>
      </c>
      <c r="D1193" s="49" t="s">
        <v>255</v>
      </c>
      <c r="E1193" s="47">
        <v>310675</v>
      </c>
      <c r="G1193" s="50" t="s">
        <v>89</v>
      </c>
      <c r="H1193" s="51">
        <v>96.11</v>
      </c>
      <c r="J1193" s="51">
        <v>5.64</v>
      </c>
      <c r="K1193" s="51">
        <f>Tabela6[[#This Row],[CONSUMO]]*Tabela6[[#This Row],[VALOR UNIT]]-Tabela6[[#This Row],[DESCONTO]]</f>
        <v>542.06039999999996</v>
      </c>
      <c r="L1193" s="53">
        <f>Tabela6[[#This Row],[CUSTO TOTAL]]/Tabela6[[#This Row],[CONSUMO]]</f>
        <v>5.64</v>
      </c>
      <c r="M1193" s="50">
        <f>Tabela6[[#This Row],[KM ATUAL]]-E1154</f>
        <v>14757</v>
      </c>
      <c r="N1193" s="51">
        <f>Tabela6[[#This Row],[KM Rodados ]]/Tabela6[[#This Row],[CONSUMO]]</f>
        <v>153.54281552387889</v>
      </c>
    </row>
    <row r="1194" spans="1:14" x14ac:dyDescent="0.25">
      <c r="A1194" s="47">
        <v>181822</v>
      </c>
      <c r="B1194" s="78">
        <v>45064</v>
      </c>
      <c r="C1194" s="47" t="s">
        <v>20</v>
      </c>
      <c r="D1194" s="49" t="s">
        <v>260</v>
      </c>
      <c r="E1194" s="47">
        <v>249155</v>
      </c>
      <c r="G1194" s="50" t="s">
        <v>89</v>
      </c>
      <c r="H1194" s="51">
        <v>43.35</v>
      </c>
      <c r="J1194" s="51">
        <v>5.29</v>
      </c>
      <c r="K1194" s="51">
        <f>Tabela6[[#This Row],[CONSUMO]]*Tabela6[[#This Row],[VALOR UNIT]]-Tabela6[[#This Row],[DESCONTO]]</f>
        <v>229.32150000000001</v>
      </c>
      <c r="L1194" s="53">
        <f>Tabela6[[#This Row],[CUSTO TOTAL]]/Tabela6[[#This Row],[CONSUMO]]</f>
        <v>5.29</v>
      </c>
      <c r="M1194" s="50">
        <f>Tabela6[[#This Row],[KM ATUAL]]-E1160</f>
        <v>-369363</v>
      </c>
      <c r="N1194" s="51">
        <f>Tabela6[[#This Row],[KM Rodados ]]/Tabela6[[#This Row],[CONSUMO]]</f>
        <v>-8520.4844290657438</v>
      </c>
    </row>
    <row r="1195" spans="1:14" x14ac:dyDescent="0.25">
      <c r="A1195" s="47" t="s">
        <v>314</v>
      </c>
      <c r="B1195" s="78">
        <v>45064</v>
      </c>
      <c r="C1195" s="47" t="s">
        <v>20</v>
      </c>
      <c r="E1195" s="47">
        <v>249678</v>
      </c>
      <c r="G1195" s="50" t="s">
        <v>89</v>
      </c>
      <c r="H1195" s="51">
        <v>68.52</v>
      </c>
      <c r="K1195" s="52">
        <f>Tabela6[[#This Row],[CONSUMO]]*Tabela6[[#This Row],[VALOR UNIT]]-Tabela6[[#This Row],[DESCONTO]]</f>
        <v>0</v>
      </c>
      <c r="L1195" s="53">
        <f>Tabela6[[#This Row],[CUSTO TOTAL]]/Tabela6[[#This Row],[CONSUMO]]</f>
        <v>0</v>
      </c>
      <c r="M1195" s="50">
        <f>Tabela6[[#This Row],[KM ATUAL]]-E1184</f>
        <v>-46781</v>
      </c>
      <c r="N1195" s="51">
        <f>Tabela6[[#This Row],[KM Rodados ]]/Tabela6[[#This Row],[CONSUMO]]</f>
        <v>-682.73496789258616</v>
      </c>
    </row>
    <row r="1196" spans="1:14" x14ac:dyDescent="0.25">
      <c r="A1196" s="47">
        <v>534725</v>
      </c>
      <c r="B1196" s="78">
        <v>45064</v>
      </c>
      <c r="C1196" s="47" t="s">
        <v>38</v>
      </c>
      <c r="D1196" s="49" t="s">
        <v>255</v>
      </c>
      <c r="E1196" s="47">
        <v>129542</v>
      </c>
      <c r="G1196" s="50" t="s">
        <v>244</v>
      </c>
      <c r="H1196" s="51">
        <v>52.45</v>
      </c>
      <c r="J1196" s="51">
        <v>5.74</v>
      </c>
      <c r="K1196" s="51">
        <f>Tabela6[[#This Row],[CONSUMO]]*Tabela6[[#This Row],[VALOR UNIT]]-Tabela6[[#This Row],[DESCONTO]]</f>
        <v>301.06300000000005</v>
      </c>
      <c r="L1196" s="53">
        <f>Tabela6[[#This Row],[CUSTO TOTAL]]/Tabela6[[#This Row],[CONSUMO]]</f>
        <v>5.74</v>
      </c>
      <c r="M1196" s="50">
        <f>Tabela6[[#This Row],[KM ATUAL]]-E1137</f>
        <v>-529534</v>
      </c>
      <c r="N1196" s="51">
        <f>Tabela6[[#This Row],[KM Rodados ]]/Tabela6[[#This Row],[CONSUMO]]</f>
        <v>-10095.977121067683</v>
      </c>
    </row>
    <row r="1197" spans="1:14" x14ac:dyDescent="0.25">
      <c r="A1197" s="47">
        <v>298247</v>
      </c>
      <c r="B1197" s="78">
        <v>45064</v>
      </c>
      <c r="C1197" s="47" t="s">
        <v>74</v>
      </c>
      <c r="D1197" s="49" t="s">
        <v>276</v>
      </c>
      <c r="E1197" s="47">
        <v>53209</v>
      </c>
      <c r="G1197" s="50" t="s">
        <v>89</v>
      </c>
      <c r="H1197" s="51">
        <v>79.59</v>
      </c>
      <c r="J1197" s="51">
        <v>5.39</v>
      </c>
      <c r="K1197" s="52">
        <f>Tabela6[[#This Row],[CONSUMO]]*Tabela6[[#This Row],[VALOR UNIT]]-Tabela6[[#This Row],[DESCONTO]]</f>
        <v>428.99009999999998</v>
      </c>
      <c r="L1197" s="53">
        <f>Tabela6[[#This Row],[CUSTO TOTAL]]/Tabela6[[#This Row],[CONSUMO]]</f>
        <v>5.39</v>
      </c>
      <c r="M1197" s="50">
        <f>Tabela6[[#This Row],[KM ATUAL]]-E1185</f>
        <v>-253616</v>
      </c>
      <c r="N1197" s="51">
        <f>Tabela6[[#This Row],[KM Rodados ]]/Tabela6[[#This Row],[CONSUMO]]</f>
        <v>-3186.5309712275412</v>
      </c>
    </row>
    <row r="1198" spans="1:14" x14ac:dyDescent="0.25">
      <c r="A1198" s="47">
        <v>97410</v>
      </c>
      <c r="B1198" s="78">
        <v>45065</v>
      </c>
      <c r="C1198" s="47" t="s">
        <v>68</v>
      </c>
      <c r="D1198" s="49" t="s">
        <v>263</v>
      </c>
      <c r="E1198" s="47">
        <v>886298</v>
      </c>
      <c r="G1198" s="50" t="s">
        <v>89</v>
      </c>
      <c r="H1198" s="51">
        <f>373.69+58.351</f>
        <v>432.041</v>
      </c>
      <c r="I1198" s="49">
        <v>43.21</v>
      </c>
      <c r="J1198" s="51">
        <v>4.99</v>
      </c>
      <c r="K1198" s="51">
        <f>Tabela6[[#This Row],[CONSUMO]]*Tabela6[[#This Row],[VALOR UNIT]]-Tabela6[[#This Row],[DESCONTO]]</f>
        <v>2112.6745900000001</v>
      </c>
      <c r="L1198" s="53">
        <f>Tabela6[[#This Row],[CUSTO TOTAL]]/Tabela6[[#This Row],[CONSUMO]]</f>
        <v>4.8899863438886593</v>
      </c>
      <c r="M1198" s="50">
        <f>Tabela6[[#This Row],[KM ATUAL]]-E1165</f>
        <v>637481</v>
      </c>
      <c r="N1198" s="51">
        <f>Tabela6[[#This Row],[KM Rodados ]]/Tabela6[[#This Row],[CONSUMO]]</f>
        <v>1475.5104260938199</v>
      </c>
    </row>
    <row r="1199" spans="1:14" x14ac:dyDescent="0.25">
      <c r="A1199" s="47">
        <v>183482</v>
      </c>
      <c r="B1199" s="78">
        <v>45065</v>
      </c>
      <c r="C1199" s="47" t="s">
        <v>43</v>
      </c>
      <c r="D1199" s="49" t="s">
        <v>268</v>
      </c>
      <c r="E1199" s="47">
        <v>124300</v>
      </c>
      <c r="G1199" s="50" t="s">
        <v>241</v>
      </c>
      <c r="H1199" s="51">
        <v>32.909999999999997</v>
      </c>
      <c r="J1199" s="51">
        <v>4.8899999999999997</v>
      </c>
      <c r="K1199" s="51">
        <f>Tabela6[[#This Row],[CONSUMO]]*Tabela6[[#This Row],[VALOR UNIT]]-Tabela6[[#This Row],[DESCONTO]]</f>
        <v>160.92989999999998</v>
      </c>
      <c r="L1199" s="53">
        <f>Tabela6[[#This Row],[CUSTO TOTAL]]/Tabela6[[#This Row],[CONSUMO]]</f>
        <v>4.8899999999999997</v>
      </c>
      <c r="M1199" s="50"/>
      <c r="N1199" s="76"/>
    </row>
    <row r="1200" spans="1:14" x14ac:dyDescent="0.25">
      <c r="A1200" s="47">
        <v>182037</v>
      </c>
      <c r="B1200" s="78">
        <v>45065</v>
      </c>
      <c r="C1200" s="47" t="s">
        <v>43</v>
      </c>
      <c r="D1200" s="49" t="s">
        <v>262</v>
      </c>
      <c r="E1200" s="47">
        <v>124024</v>
      </c>
      <c r="G1200" s="50" t="s">
        <v>89</v>
      </c>
      <c r="H1200" s="51">
        <v>9.1</v>
      </c>
      <c r="J1200" s="51">
        <v>5.29</v>
      </c>
      <c r="K1200" s="52">
        <f>Tabela6[[#This Row],[CONSUMO]]*Tabela6[[#This Row],[VALOR UNIT]]-Tabela6[[#This Row],[DESCONTO]]</f>
        <v>48.138999999999996</v>
      </c>
      <c r="L1200" s="53">
        <f>Tabela6[[#This Row],[CUSTO TOTAL]]/Tabela6[[#This Row],[CONSUMO]]</f>
        <v>5.29</v>
      </c>
      <c r="M1200" s="50">
        <f>Tabela6[[#This Row],[KM ATUAL]]-E1198</f>
        <v>-762274</v>
      </c>
      <c r="N1200" s="72">
        <f>Tabela6[[#This Row],[KM Rodados ]]/Tabela6[[#This Row],[CONSUMO]]</f>
        <v>-83766.373626373635</v>
      </c>
    </row>
    <row r="1201" spans="1:14" x14ac:dyDescent="0.25">
      <c r="A1201" s="47">
        <v>183482</v>
      </c>
      <c r="B1201" s="78">
        <v>45065</v>
      </c>
      <c r="C1201" s="47" t="s">
        <v>43</v>
      </c>
      <c r="D1201" s="49" t="s">
        <v>268</v>
      </c>
      <c r="E1201" s="47">
        <v>123952</v>
      </c>
      <c r="G1201" s="50" t="s">
        <v>89</v>
      </c>
      <c r="H1201" s="51">
        <v>32.909999999999997</v>
      </c>
      <c r="J1201" s="51">
        <v>4.8899999999999997</v>
      </c>
      <c r="K1201" s="52">
        <f>Tabela6[[#This Row],[CONSUMO]]*Tabela6[[#This Row],[VALOR UNIT]]-Tabela6[[#This Row],[DESCONTO]]</f>
        <v>160.92989999999998</v>
      </c>
      <c r="L1201" s="53">
        <f>Tabela6[[#This Row],[CUSTO TOTAL]]/Tabela6[[#This Row],[CONSUMO]]</f>
        <v>4.8899999999999997</v>
      </c>
      <c r="M1201" s="50">
        <f>Tabela6[[#This Row],[KM ATUAL]]-E1156</f>
        <v>229</v>
      </c>
      <c r="N1201" s="72">
        <f>Tabela6[[#This Row],[KM Rodados ]]/Tabela6[[#This Row],[CONSUMO]]</f>
        <v>6.9583713157095115</v>
      </c>
    </row>
    <row r="1202" spans="1:14" x14ac:dyDescent="0.25">
      <c r="A1202" s="47">
        <v>374054</v>
      </c>
      <c r="B1202" s="78">
        <v>45065</v>
      </c>
      <c r="C1202" s="47" t="s">
        <v>9</v>
      </c>
      <c r="D1202" s="49" t="s">
        <v>253</v>
      </c>
      <c r="E1202" s="47">
        <v>602986</v>
      </c>
      <c r="G1202" s="50" t="s">
        <v>89</v>
      </c>
      <c r="H1202" s="51">
        <v>122.4</v>
      </c>
      <c r="I1202" s="49">
        <v>36.72</v>
      </c>
      <c r="J1202" s="51">
        <v>5.69</v>
      </c>
      <c r="K1202" s="51">
        <f>Tabela6[[#This Row],[CONSUMO]]*Tabela6[[#This Row],[VALOR UNIT]]-Tabela6[[#This Row],[DESCONTO]]</f>
        <v>659.7360000000001</v>
      </c>
      <c r="L1202" s="53">
        <f>Tabela6[[#This Row],[CUSTO TOTAL]]/Tabela6[[#This Row],[CONSUMO]]</f>
        <v>5.3900000000000006</v>
      </c>
      <c r="M1202" s="50">
        <f>Tabela6[[#This Row],[KM ATUAL]]-E1180</f>
        <v>550885</v>
      </c>
      <c r="N1202" s="51">
        <f>Tabela6[[#This Row],[KM Rodados ]]/Tabela6[[#This Row],[CONSUMO]]</f>
        <v>4500.6944444444443</v>
      </c>
    </row>
    <row r="1203" spans="1:14" x14ac:dyDescent="0.25">
      <c r="A1203" s="47">
        <v>182082</v>
      </c>
      <c r="B1203" s="78">
        <v>45065</v>
      </c>
      <c r="C1203" s="47" t="s">
        <v>22</v>
      </c>
      <c r="D1203" s="49" t="s">
        <v>262</v>
      </c>
      <c r="E1203" s="47">
        <v>325227</v>
      </c>
      <c r="G1203" s="50" t="s">
        <v>89</v>
      </c>
      <c r="H1203" s="51">
        <v>141.25</v>
      </c>
      <c r="J1203" s="51">
        <v>5.29</v>
      </c>
      <c r="K1203" s="74">
        <f>Tabela6[[#This Row],[CONSUMO]]*Tabela6[[#This Row],[VALOR UNIT]]-Tabela6[[#This Row],[DESCONTO]]</f>
        <v>747.21249999999998</v>
      </c>
      <c r="L1203" s="53">
        <f>Tabela6[[#This Row],[CUSTO TOTAL]]/Tabela6[[#This Row],[CONSUMO]]</f>
        <v>5.29</v>
      </c>
      <c r="M1203" s="50">
        <f>Tabela6[[#This Row],[KM ATUAL]]-E1156</f>
        <v>201504</v>
      </c>
      <c r="N1203" s="51">
        <f>Tabela6[[#This Row],[KM Rodados ]]/Tabela6[[#This Row],[CONSUMO]]</f>
        <v>1426.5769911504424</v>
      </c>
    </row>
    <row r="1204" spans="1:14" x14ac:dyDescent="0.25">
      <c r="A1204" s="47">
        <v>182051</v>
      </c>
      <c r="B1204" s="78">
        <v>45065</v>
      </c>
      <c r="C1204" s="47" t="s">
        <v>39</v>
      </c>
      <c r="D1204" s="49" t="s">
        <v>262</v>
      </c>
      <c r="E1204" s="47">
        <v>86164</v>
      </c>
      <c r="G1204" s="50" t="s">
        <v>89</v>
      </c>
      <c r="H1204" s="51">
        <v>95.769000000000005</v>
      </c>
      <c r="J1204" s="51">
        <v>5.29</v>
      </c>
      <c r="K1204" s="51">
        <f>Tabela6[[#This Row],[CONSUMO]]*Tabela6[[#This Row],[VALOR UNIT]]-Tabela6[[#This Row],[DESCONTO]]</f>
        <v>506.61801000000003</v>
      </c>
      <c r="L1204" s="53">
        <f>Tabela6[[#This Row],[CUSTO TOTAL]]/Tabela6[[#This Row],[CONSUMO]]</f>
        <v>5.29</v>
      </c>
      <c r="M1204" s="50">
        <f>Tabela6[[#This Row],[KM ATUAL]]-E1190</f>
        <v>-573668</v>
      </c>
      <c r="N1204" s="51">
        <f>Tabela6[[#This Row],[KM Rodados ]]/Tabela6[[#This Row],[CONSUMO]]</f>
        <v>-5990.1220645511594</v>
      </c>
    </row>
    <row r="1205" spans="1:14" x14ac:dyDescent="0.25">
      <c r="A1205" s="47">
        <v>182101</v>
      </c>
      <c r="B1205" s="78">
        <v>45065</v>
      </c>
      <c r="C1205" s="47" t="s">
        <v>72</v>
      </c>
      <c r="D1205" s="49" t="s">
        <v>262</v>
      </c>
      <c r="E1205" s="119">
        <v>391931</v>
      </c>
      <c r="G1205" s="120" t="s">
        <v>89</v>
      </c>
      <c r="H1205" s="51">
        <v>36.908999999999999</v>
      </c>
      <c r="J1205" s="51">
        <v>5.29</v>
      </c>
      <c r="K1205" s="51">
        <f>Tabela6[[#This Row],[CONSUMO]]*Tabela6[[#This Row],[VALOR UNIT]]-Tabela6[[#This Row],[DESCONTO]]</f>
        <v>195.24860999999999</v>
      </c>
      <c r="L1205" s="53">
        <f>Tabela6[[#This Row],[CUSTO TOTAL]]/Tabela6[[#This Row],[CONSUMO]]</f>
        <v>5.29</v>
      </c>
      <c r="M1205" s="50">
        <f>Tabela6[[#This Row],[KM ATUAL]]-E1186</f>
        <v>339360</v>
      </c>
      <c r="N1205" s="51">
        <f>Tabela6[[#This Row],[KM Rodados ]]/Tabela6[[#This Row],[CONSUMO]]</f>
        <v>9194.5054051857278</v>
      </c>
    </row>
    <row r="1206" spans="1:14" x14ac:dyDescent="0.25">
      <c r="A1206" s="47" t="s">
        <v>314</v>
      </c>
      <c r="B1206" s="78">
        <v>45065</v>
      </c>
      <c r="C1206" s="47" t="s">
        <v>21</v>
      </c>
      <c r="E1206" s="47">
        <v>141305</v>
      </c>
      <c r="G1206" s="50" t="s">
        <v>89</v>
      </c>
      <c r="H1206" s="51">
        <v>126.8</v>
      </c>
      <c r="K1206" s="52">
        <f>Tabela6[[#This Row],[CONSUMO]]*Tabela6[[#This Row],[VALOR UNIT]]-Tabela6[[#This Row],[DESCONTO]]</f>
        <v>0</v>
      </c>
      <c r="L1206" s="53">
        <f>Tabela6[[#This Row],[CUSTO TOTAL]]/Tabela6[[#This Row],[CONSUMO]]</f>
        <v>0</v>
      </c>
      <c r="M1206" s="50">
        <f>Tabela6[[#This Row],[KM ATUAL]]-E1174</f>
        <v>-250104</v>
      </c>
      <c r="N1206" s="51">
        <f>Tabela6[[#This Row],[KM Rodados ]]/Tabela6[[#This Row],[CONSUMO]]</f>
        <v>-1972.4290220820189</v>
      </c>
    </row>
    <row r="1207" spans="1:14" x14ac:dyDescent="0.25">
      <c r="A1207" s="47">
        <v>96916</v>
      </c>
      <c r="B1207" s="78">
        <v>45065</v>
      </c>
      <c r="C1207" s="47" t="s">
        <v>10</v>
      </c>
      <c r="D1207" s="49" t="s">
        <v>263</v>
      </c>
      <c r="E1207" s="47">
        <v>714787</v>
      </c>
      <c r="G1207" s="50" t="s">
        <v>89</v>
      </c>
      <c r="H1207" s="51">
        <v>151.12100000000001</v>
      </c>
      <c r="I1207" s="49">
        <v>15.11</v>
      </c>
      <c r="J1207" s="51">
        <v>4.99</v>
      </c>
      <c r="K1207" s="51">
        <f>Tabela6[[#This Row],[CONSUMO]]*Tabela6[[#This Row],[VALOR UNIT]]-Tabela6[[#This Row],[DESCONTO]]</f>
        <v>738.98379000000011</v>
      </c>
      <c r="L1207" s="53">
        <f>Tabela6[[#This Row],[CUSTO TOTAL]]/Tabela6[[#This Row],[CONSUMO]]</f>
        <v>4.8900138961494433</v>
      </c>
      <c r="M1207" s="50">
        <f>Tabela6[[#This Row],[KM ATUAL]]-E1178</f>
        <v>95617</v>
      </c>
      <c r="N1207" s="51">
        <f>Tabela6[[#This Row],[KM Rodados ]]/Tabela6[[#This Row],[CONSUMO]]</f>
        <v>632.7181530032226</v>
      </c>
    </row>
    <row r="1208" spans="1:14" x14ac:dyDescent="0.25">
      <c r="A1208" s="47" t="s">
        <v>314</v>
      </c>
      <c r="B1208" s="78">
        <v>45065</v>
      </c>
      <c r="C1208" s="47" t="s">
        <v>15</v>
      </c>
      <c r="E1208" s="47">
        <v>363817</v>
      </c>
      <c r="G1208" s="50" t="s">
        <v>89</v>
      </c>
      <c r="H1208" s="51">
        <v>128.51</v>
      </c>
      <c r="K1208" s="52">
        <f>Tabela6[[#This Row],[CONSUMO]]*Tabela6[[#This Row],[VALOR UNIT]]-Tabela6[[#This Row],[DESCONTO]]</f>
        <v>0</v>
      </c>
      <c r="L1208" s="53">
        <f>Tabela6[[#This Row],[CUSTO TOTAL]]/Tabela6[[#This Row],[CONSUMO]]</f>
        <v>0</v>
      </c>
      <c r="M1208" s="50">
        <f>Tabela6[[#This Row],[KM ATUAL]]-E1151</f>
        <v>1714</v>
      </c>
      <c r="N1208" s="51">
        <f>Tabela6[[#This Row],[KM Rodados ]]/Tabela6[[#This Row],[CONSUMO]]</f>
        <v>13.337483464321844</v>
      </c>
    </row>
    <row r="1209" spans="1:14" x14ac:dyDescent="0.25">
      <c r="A1209" s="47">
        <v>182126</v>
      </c>
      <c r="B1209" s="78">
        <v>45065</v>
      </c>
      <c r="C1209" s="47" t="s">
        <v>19</v>
      </c>
      <c r="D1209" s="49" t="s">
        <v>262</v>
      </c>
      <c r="E1209" s="47">
        <v>307311</v>
      </c>
      <c r="G1209" s="50" t="s">
        <v>241</v>
      </c>
      <c r="H1209" s="51">
        <v>15.010999999999999</v>
      </c>
      <c r="J1209" s="51">
        <v>3.69</v>
      </c>
      <c r="K1209" s="51">
        <f>Tabela6[[#This Row],[CONSUMO]]*Tabela6[[#This Row],[VALOR UNIT]]-Tabela6[[#This Row],[DESCONTO]]</f>
        <v>55.390589999999996</v>
      </c>
      <c r="L1209" s="53">
        <f>Tabela6[[#This Row],[CUSTO TOTAL]]/Tabela6[[#This Row],[CONSUMO]]</f>
        <v>3.69</v>
      </c>
      <c r="M1209" s="50"/>
      <c r="N1209"/>
    </row>
    <row r="1210" spans="1:14" x14ac:dyDescent="0.25">
      <c r="A1210" s="47">
        <v>182126</v>
      </c>
      <c r="B1210" s="78">
        <v>45065</v>
      </c>
      <c r="C1210" s="47" t="s">
        <v>19</v>
      </c>
      <c r="D1210" s="49" t="s">
        <v>262</v>
      </c>
      <c r="E1210" s="47">
        <v>307311</v>
      </c>
      <c r="G1210" s="50" t="s">
        <v>89</v>
      </c>
      <c r="H1210" s="51">
        <v>100.2</v>
      </c>
      <c r="I1210" s="49">
        <v>5.4</v>
      </c>
      <c r="J1210" s="51">
        <v>4.99</v>
      </c>
      <c r="K1210" s="51">
        <f>Tabela6[[#This Row],[CONSUMO]]*Tabela6[[#This Row],[VALOR UNIT]]-Tabela6[[#This Row],[DESCONTO]]</f>
        <v>494.59800000000007</v>
      </c>
      <c r="L1210" s="53">
        <f>Tabela6[[#This Row],[CUSTO TOTAL]]/Tabela6[[#This Row],[CONSUMO]]</f>
        <v>4.9361077844311385</v>
      </c>
      <c r="M1210" s="50">
        <f>Tabela6[[#This Row],[KM ATUAL]]-E1190</f>
        <v>-352521</v>
      </c>
      <c r="N1210" s="51">
        <f>Tabela6[[#This Row],[KM Rodados ]]/Tabela6[[#This Row],[CONSUMO]]</f>
        <v>-3518.1736526946106</v>
      </c>
    </row>
    <row r="1211" spans="1:14" x14ac:dyDescent="0.25">
      <c r="A1211" s="47">
        <v>480354</v>
      </c>
      <c r="B1211" s="78">
        <v>45065</v>
      </c>
      <c r="C1211" s="47" t="s">
        <v>40</v>
      </c>
      <c r="D1211" s="49" t="s">
        <v>289</v>
      </c>
      <c r="E1211" s="47">
        <v>140942</v>
      </c>
      <c r="G1211" s="50" t="s">
        <v>244</v>
      </c>
      <c r="H1211" s="51">
        <v>22.501999999999999</v>
      </c>
      <c r="J1211" s="51">
        <v>5.09</v>
      </c>
      <c r="K1211" s="74">
        <f>Tabela6[[#This Row],[CONSUMO]]*Tabela6[[#This Row],[VALOR UNIT]]-Tabela6[[#This Row],[DESCONTO]]</f>
        <v>114.53518</v>
      </c>
      <c r="L1211" s="53">
        <f>Tabela6[[#This Row],[CUSTO TOTAL]]/Tabela6[[#This Row],[CONSUMO]]</f>
        <v>5.09</v>
      </c>
      <c r="M1211" s="50">
        <f>Tabela6[[#This Row],[KM ATUAL]]-E1179</f>
        <v>255</v>
      </c>
      <c r="N1211" s="51">
        <f>Tabela6[[#This Row],[KM Rodados ]]/Tabela6[[#This Row],[CONSUMO]]</f>
        <v>11.332326015465293</v>
      </c>
    </row>
    <row r="1212" spans="1:14" x14ac:dyDescent="0.25">
      <c r="A1212" s="47">
        <v>298808</v>
      </c>
      <c r="B1212" s="78">
        <v>45066</v>
      </c>
      <c r="C1212" s="47" t="s">
        <v>40</v>
      </c>
      <c r="D1212" s="49" t="s">
        <v>276</v>
      </c>
      <c r="E1212" s="47">
        <v>141395</v>
      </c>
      <c r="G1212" s="50" t="s">
        <v>244</v>
      </c>
      <c r="H1212" s="51">
        <v>33.478999999999999</v>
      </c>
      <c r="J1212" s="51">
        <v>5.09</v>
      </c>
      <c r="K1212" s="74">
        <f>Tabela6[[#This Row],[CONSUMO]]*Tabela6[[#This Row],[VALOR UNIT]]-Tabela6[[#This Row],[DESCONTO]]</f>
        <v>170.40810999999999</v>
      </c>
      <c r="L1212" s="53">
        <f>Tabela6[[#This Row],[CUSTO TOTAL]]/Tabela6[[#This Row],[CONSUMO]]</f>
        <v>5.09</v>
      </c>
      <c r="M1212" s="50">
        <f>Tabela6[[#This Row],[KM ATUAL]]-E1201</f>
        <v>17443</v>
      </c>
      <c r="N1212" s="51">
        <f>Tabela6[[#This Row],[KM Rodados ]]/Tabela6[[#This Row],[CONSUMO]]</f>
        <v>521.01317243645269</v>
      </c>
    </row>
    <row r="1213" spans="1:14" x14ac:dyDescent="0.25">
      <c r="A1213" s="47" t="s">
        <v>314</v>
      </c>
      <c r="B1213" s="78">
        <v>45067</v>
      </c>
      <c r="C1213" s="47" t="s">
        <v>21</v>
      </c>
      <c r="E1213" s="47">
        <v>141710</v>
      </c>
      <c r="G1213" s="50" t="s">
        <v>89</v>
      </c>
      <c r="H1213" s="51">
        <v>129.5</v>
      </c>
      <c r="K1213" s="52">
        <f>Tabela6[[#This Row],[CONSUMO]]*Tabela6[[#This Row],[VALOR UNIT]]-Tabela6[[#This Row],[DESCONTO]]</f>
        <v>0</v>
      </c>
      <c r="L1213" s="53">
        <f>Tabela6[[#This Row],[CUSTO TOTAL]]/Tabela6[[#This Row],[CONSUMO]]</f>
        <v>0</v>
      </c>
      <c r="M1213" s="50">
        <f>Tabela6[[#This Row],[KM ATUAL]]-E1212</f>
        <v>315</v>
      </c>
      <c r="N1213" s="51">
        <f>Tabela6[[#This Row],[KM Rodados ]]/Tabela6[[#This Row],[CONSUMO]]</f>
        <v>2.4324324324324325</v>
      </c>
    </row>
    <row r="1214" spans="1:14" x14ac:dyDescent="0.25">
      <c r="A1214" s="47" t="s">
        <v>314</v>
      </c>
      <c r="B1214" s="78">
        <v>45068</v>
      </c>
      <c r="C1214" s="47" t="s">
        <v>43</v>
      </c>
      <c r="E1214" s="47">
        <v>124293</v>
      </c>
      <c r="G1214" s="50" t="s">
        <v>89</v>
      </c>
      <c r="H1214" s="51">
        <v>36.24</v>
      </c>
      <c r="K1214" s="52">
        <f>Tabela6[[#This Row],[CONSUMO]]*Tabela6[[#This Row],[VALOR UNIT]]-Tabela6[[#This Row],[DESCONTO]]</f>
        <v>0</v>
      </c>
      <c r="L1214" s="53">
        <f>Tabela6[[#This Row],[CUSTO TOTAL]]/Tabela6[[#This Row],[CONSUMO]]</f>
        <v>0</v>
      </c>
      <c r="M1214" s="50">
        <f>Tabela6[[#This Row],[KM ATUAL]]-E1206</f>
        <v>-17012</v>
      </c>
      <c r="N1214" s="51">
        <f>Tabela6[[#This Row],[KM Rodados ]]/Tabela6[[#This Row],[CONSUMO]]</f>
        <v>-469.42604856512139</v>
      </c>
    </row>
    <row r="1215" spans="1:14" x14ac:dyDescent="0.25">
      <c r="A1215" s="47">
        <v>672759</v>
      </c>
      <c r="B1215" s="78">
        <v>45068</v>
      </c>
      <c r="C1215" s="47" t="s">
        <v>13</v>
      </c>
      <c r="D1215" s="49" t="s">
        <v>250</v>
      </c>
      <c r="E1215" s="47">
        <v>619718</v>
      </c>
      <c r="G1215" s="50" t="s">
        <v>89</v>
      </c>
      <c r="H1215" s="51">
        <v>142.65</v>
      </c>
      <c r="J1215" s="51">
        <v>5.09</v>
      </c>
      <c r="K1215" s="51">
        <f>Tabela6[[#This Row],[CONSUMO]]*Tabela6[[#This Row],[VALOR UNIT]]-Tabela6[[#This Row],[DESCONTO]]</f>
        <v>726.08849999999995</v>
      </c>
      <c r="L1215" s="53">
        <f>Tabela6[[#This Row],[CUSTO TOTAL]]/Tabela6[[#This Row],[CONSUMO]]</f>
        <v>5.09</v>
      </c>
      <c r="M1215" s="50">
        <f>Tabela6[[#This Row],[KM ATUAL]]-E1172</f>
        <v>228955</v>
      </c>
      <c r="N1215" s="51">
        <f>Tabela6[[#This Row],[KM Rodados ]]/Tabela6[[#This Row],[CONSUMO]]</f>
        <v>1605.012267788293</v>
      </c>
    </row>
    <row r="1216" spans="1:14" x14ac:dyDescent="0.25">
      <c r="A1216" s="47">
        <v>375852</v>
      </c>
      <c r="B1216" s="78">
        <v>45068</v>
      </c>
      <c r="C1216" s="47" t="s">
        <v>15</v>
      </c>
      <c r="D1216" s="49" t="s">
        <v>253</v>
      </c>
      <c r="E1216" s="47">
        <v>364583</v>
      </c>
      <c r="G1216" s="50" t="s">
        <v>89</v>
      </c>
      <c r="H1216" s="51">
        <v>133.41999999999999</v>
      </c>
      <c r="I1216" s="49">
        <v>40.03</v>
      </c>
      <c r="J1216" s="51">
        <v>5.69</v>
      </c>
      <c r="K1216" s="52">
        <f>Tabela6[[#This Row],[CONSUMO]]*Tabela6[[#This Row],[VALOR UNIT]]-Tabela6[[#This Row],[DESCONTO]]</f>
        <v>719.12980000000005</v>
      </c>
      <c r="L1216" s="53">
        <f>Tabela6[[#This Row],[CUSTO TOTAL]]/Tabela6[[#This Row],[CONSUMO]]</f>
        <v>5.3899700194873343</v>
      </c>
      <c r="M1216" s="50">
        <f>Tabela6[[#This Row],[KM ATUAL]]-E1213</f>
        <v>222873</v>
      </c>
      <c r="N1216" s="51">
        <f>Tabela6[[#This Row],[KM Rodados ]]/Tabela6[[#This Row],[CONSUMO]]</f>
        <v>1670.4616998950683</v>
      </c>
    </row>
    <row r="1217" spans="1:14" x14ac:dyDescent="0.25">
      <c r="A1217" s="47" t="s">
        <v>314</v>
      </c>
      <c r="B1217" s="78">
        <v>45068</v>
      </c>
      <c r="C1217" s="47" t="s">
        <v>16</v>
      </c>
      <c r="E1217" s="47">
        <v>296955</v>
      </c>
      <c r="G1217" s="50" t="s">
        <v>89</v>
      </c>
      <c r="H1217" s="51">
        <v>94.3</v>
      </c>
      <c r="K1217" s="52">
        <f>Tabela6[[#This Row],[CONSUMO]]*Tabela6[[#This Row],[VALOR UNIT]]-Tabela6[[#This Row],[DESCONTO]]</f>
        <v>0</v>
      </c>
      <c r="L1217" s="53">
        <f>Tabela6[[#This Row],[CUSTO TOTAL]]/Tabela6[[#This Row],[CONSUMO]]</f>
        <v>0</v>
      </c>
      <c r="M1217" s="50">
        <f>Tabela6[[#This Row],[KM ATUAL]]-E1186</f>
        <v>244384</v>
      </c>
      <c r="N1217" s="51">
        <f>Tabela6[[#This Row],[KM Rodados ]]/Tabela6[[#This Row],[CONSUMO]]</f>
        <v>2591.5588547189823</v>
      </c>
    </row>
    <row r="1218" spans="1:14" x14ac:dyDescent="0.25">
      <c r="A1218" s="47">
        <v>299626</v>
      </c>
      <c r="B1218" s="78">
        <v>45068</v>
      </c>
      <c r="C1218" s="47" t="s">
        <v>74</v>
      </c>
      <c r="D1218" s="49" t="s">
        <v>276</v>
      </c>
      <c r="E1218" s="47">
        <v>53862</v>
      </c>
      <c r="G1218" s="50" t="s">
        <v>89</v>
      </c>
      <c r="H1218" s="51">
        <v>84.78</v>
      </c>
      <c r="J1218" s="51">
        <v>5.19</v>
      </c>
      <c r="K1218" s="52">
        <f>Tabela6[[#This Row],[CONSUMO]]*Tabela6[[#This Row],[VALOR UNIT]]-Tabela6[[#This Row],[DESCONTO]]</f>
        <v>440.00820000000004</v>
      </c>
      <c r="L1218" s="53">
        <f>Tabela6[[#This Row],[CUSTO TOTAL]]/Tabela6[[#This Row],[CONSUMO]]</f>
        <v>5.19</v>
      </c>
      <c r="M1218" s="50">
        <f>Tabela6[[#This Row],[KM ATUAL]]-E1195</f>
        <v>-195816</v>
      </c>
      <c r="N1218" s="51">
        <f>Tabela6[[#This Row],[KM Rodados ]]/Tabela6[[#This Row],[CONSUMO]]</f>
        <v>-2309.6956829440905</v>
      </c>
    </row>
    <row r="1219" spans="1:14" x14ac:dyDescent="0.25">
      <c r="A1219" s="47">
        <v>183054</v>
      </c>
      <c r="B1219" s="78">
        <v>45069</v>
      </c>
      <c r="C1219" s="47" t="s">
        <v>68</v>
      </c>
      <c r="D1219" s="49" t="s">
        <v>262</v>
      </c>
      <c r="E1219" s="47">
        <v>887056</v>
      </c>
      <c r="G1219" s="50" t="s">
        <v>89</v>
      </c>
      <c r="H1219" s="51">
        <v>318.8</v>
      </c>
      <c r="J1219" s="51">
        <v>4.99</v>
      </c>
      <c r="K1219" s="51">
        <f>Tabela6[[#This Row],[CONSUMO]]*Tabela6[[#This Row],[VALOR UNIT]]-Tabela6[[#This Row],[DESCONTO]]</f>
        <v>1590.8120000000001</v>
      </c>
      <c r="L1219" s="53">
        <f>Tabela6[[#This Row],[CUSTO TOTAL]]/Tabela6[[#This Row],[CONSUMO]]</f>
        <v>4.99</v>
      </c>
      <c r="M1219" s="50">
        <f>Tabela6[[#This Row],[KM ATUAL]]-E1189</f>
        <v>791744</v>
      </c>
      <c r="N1219" s="51">
        <f>Tabela6[[#This Row],[KM Rodados ]]/Tabela6[[#This Row],[CONSUMO]]</f>
        <v>2483.513174404015</v>
      </c>
    </row>
    <row r="1220" spans="1:14" x14ac:dyDescent="0.25">
      <c r="A1220" s="47">
        <v>182965</v>
      </c>
      <c r="B1220" s="78">
        <v>45069</v>
      </c>
      <c r="C1220" s="47" t="s">
        <v>43</v>
      </c>
      <c r="D1220" s="49" t="s">
        <v>262</v>
      </c>
      <c r="E1220" s="47">
        <v>124503</v>
      </c>
      <c r="G1220" s="50" t="s">
        <v>89</v>
      </c>
      <c r="H1220" s="51">
        <v>23.658999999999999</v>
      </c>
      <c r="J1220" s="51">
        <v>4.99</v>
      </c>
      <c r="K1220" s="52">
        <f>Tabela6[[#This Row],[CONSUMO]]*Tabela6[[#This Row],[VALOR UNIT]]-Tabela6[[#This Row],[DESCONTO]]</f>
        <v>118.05840999999999</v>
      </c>
      <c r="L1220" s="53">
        <f>Tabela6[[#This Row],[CUSTO TOTAL]]/Tabela6[[#This Row],[CONSUMO]]</f>
        <v>4.99</v>
      </c>
      <c r="M1220" s="50">
        <f>Tabela6[[#This Row],[KM ATUAL]]-E1216</f>
        <v>-240080</v>
      </c>
      <c r="N1220" s="72">
        <f>Tabela6[[#This Row],[KM Rodados ]]/Tabela6[[#This Row],[CONSUMO]]</f>
        <v>-10147.512574495964</v>
      </c>
    </row>
    <row r="1221" spans="1:14" x14ac:dyDescent="0.25">
      <c r="A1221" s="47">
        <v>376885</v>
      </c>
      <c r="B1221" s="78">
        <v>45069</v>
      </c>
      <c r="C1221" s="47" t="s">
        <v>43</v>
      </c>
      <c r="D1221" s="49" t="s">
        <v>253</v>
      </c>
      <c r="E1221" s="47">
        <v>124770</v>
      </c>
      <c r="G1221" s="50" t="s">
        <v>89</v>
      </c>
      <c r="H1221" s="51">
        <v>30.79</v>
      </c>
      <c r="I1221" s="49">
        <v>9.24</v>
      </c>
      <c r="J1221" s="51">
        <v>5.69</v>
      </c>
      <c r="K1221" s="52">
        <f>Tabela6[[#This Row],[CONSUMO]]*Tabela6[[#This Row],[VALOR UNIT]]-Tabela6[[#This Row],[DESCONTO]]</f>
        <v>165.95509999999999</v>
      </c>
      <c r="L1221" s="53">
        <f>Tabela6[[#This Row],[CUSTO TOTAL]]/Tabela6[[#This Row],[CONSUMO]]</f>
        <v>5.3899025657681063</v>
      </c>
      <c r="M1221" s="50">
        <f>Tabela6[[#This Row],[KM ATUAL]]-E1220</f>
        <v>267</v>
      </c>
      <c r="N1221" s="72">
        <f>Tabela6[[#This Row],[KM Rodados ]]/Tabela6[[#This Row],[CONSUMO]]</f>
        <v>8.6716466385190003</v>
      </c>
    </row>
    <row r="1222" spans="1:14" x14ac:dyDescent="0.25">
      <c r="A1222" s="47">
        <v>299800</v>
      </c>
      <c r="B1222" s="78">
        <v>45069</v>
      </c>
      <c r="C1222" s="47" t="s">
        <v>203</v>
      </c>
      <c r="D1222" s="49" t="s">
        <v>276</v>
      </c>
      <c r="E1222" s="47">
        <v>95751</v>
      </c>
      <c r="G1222" s="50" t="s">
        <v>244</v>
      </c>
      <c r="H1222" s="51">
        <v>38.31</v>
      </c>
      <c r="J1222" s="51">
        <v>5.09</v>
      </c>
      <c r="K1222" s="51">
        <f>Tabela6[[#This Row],[CONSUMO]]*Tabela6[[#This Row],[VALOR UNIT]]-Tabela6[[#This Row],[DESCONTO]]</f>
        <v>194.99790000000002</v>
      </c>
      <c r="L1222" s="53">
        <f>Tabela6[[#This Row],[CUSTO TOTAL]]/Tabela6[[#This Row],[CONSUMO]]</f>
        <v>5.09</v>
      </c>
      <c r="M1222" s="50">
        <f>Tabela6[[#This Row],[KM ATUAL]]-E1188</f>
        <v>10085</v>
      </c>
      <c r="N1222" s="51">
        <f>Tabela6[[#This Row],[KM Rodados ]]/Tabela6[[#This Row],[CONSUMO]]</f>
        <v>263.24719394413989</v>
      </c>
    </row>
    <row r="1223" spans="1:14" x14ac:dyDescent="0.25">
      <c r="A1223" s="47">
        <v>183010</v>
      </c>
      <c r="B1223" s="78">
        <v>45069</v>
      </c>
      <c r="C1223" s="47" t="s">
        <v>72</v>
      </c>
      <c r="D1223" s="49" t="s">
        <v>262</v>
      </c>
      <c r="E1223" s="119">
        <v>392360</v>
      </c>
      <c r="G1223" s="120" t="s">
        <v>89</v>
      </c>
      <c r="H1223" s="51">
        <v>50.628999999999998</v>
      </c>
      <c r="J1223" s="51">
        <v>4.99</v>
      </c>
      <c r="K1223" s="51">
        <f>Tabela6[[#This Row],[CONSUMO]]*Tabela6[[#This Row],[VALOR UNIT]]-Tabela6[[#This Row],[DESCONTO]]</f>
        <v>252.63871</v>
      </c>
      <c r="L1223" s="53">
        <f>Tabela6[[#This Row],[CUSTO TOTAL]]/Tabela6[[#This Row],[CONSUMO]]</f>
        <v>4.99</v>
      </c>
      <c r="M1223" s="50">
        <f>Tabela6[[#This Row],[KM ATUAL]]-E1193</f>
        <v>81685</v>
      </c>
      <c r="N1223" s="51">
        <f>Tabela6[[#This Row],[KM Rodados ]]/Tabela6[[#This Row],[CONSUMO]]</f>
        <v>1613.403385411523</v>
      </c>
    </row>
    <row r="1224" spans="1:14" x14ac:dyDescent="0.25">
      <c r="A1224" s="47" t="s">
        <v>314</v>
      </c>
      <c r="B1224" s="78">
        <v>45069</v>
      </c>
      <c r="C1224" s="47" t="s">
        <v>73</v>
      </c>
      <c r="E1224" s="47">
        <v>119236</v>
      </c>
      <c r="G1224" s="50" t="s">
        <v>89</v>
      </c>
      <c r="H1224" s="51">
        <v>184.32</v>
      </c>
      <c r="K1224" s="52">
        <f>Tabela6[[#This Row],[CONSUMO]]*Tabela6[[#This Row],[VALOR UNIT]]-Tabela6[[#This Row],[DESCONTO]]</f>
        <v>0</v>
      </c>
      <c r="L1224" s="53">
        <f>Tabela6[[#This Row],[CUSTO TOTAL]]/Tabela6[[#This Row],[CONSUMO]]</f>
        <v>0</v>
      </c>
      <c r="M1224" s="50">
        <f>Tabela6[[#This Row],[KM ATUAL]]-E1016</f>
        <v>-18686</v>
      </c>
      <c r="N1224" s="51">
        <f>Tabela6[[#This Row],[KM Rodados ]]/Tabela6[[#This Row],[CONSUMO]]</f>
        <v>-101.37803819444444</v>
      </c>
    </row>
    <row r="1225" spans="1:14" x14ac:dyDescent="0.25">
      <c r="A1225" s="47">
        <v>185967</v>
      </c>
      <c r="B1225" s="78">
        <v>45069</v>
      </c>
      <c r="C1225" s="47" t="s">
        <v>73</v>
      </c>
      <c r="D1225" s="49" t="s">
        <v>268</v>
      </c>
      <c r="E1225" s="47">
        <v>120016</v>
      </c>
      <c r="G1225" s="50" t="s">
        <v>89</v>
      </c>
      <c r="H1225" s="51">
        <v>229</v>
      </c>
      <c r="J1225" s="51">
        <v>4.8899999999999997</v>
      </c>
      <c r="K1225" s="52">
        <f>Tabela6[[#This Row],[CONSUMO]]*Tabela6[[#This Row],[VALOR UNIT]]-Tabela6[[#This Row],[DESCONTO]]</f>
        <v>1119.81</v>
      </c>
      <c r="L1225" s="53">
        <f>Tabela6[[#This Row],[CUSTO TOTAL]]/Tabela6[[#This Row],[CONSUMO]]</f>
        <v>4.8899999999999997</v>
      </c>
      <c r="M1225" s="50">
        <f>Tabela6[[#This Row],[KM ATUAL]]-E1224</f>
        <v>780</v>
      </c>
      <c r="N1225" s="51">
        <f>Tabela6[[#This Row],[KM Rodados ]]/Tabela6[[#This Row],[CONSUMO]]</f>
        <v>3.4061135371179039</v>
      </c>
    </row>
    <row r="1226" spans="1:14" x14ac:dyDescent="0.25">
      <c r="A1226" s="47">
        <v>299716</v>
      </c>
      <c r="B1226" s="78">
        <v>45069</v>
      </c>
      <c r="C1226" s="47" t="s">
        <v>207</v>
      </c>
      <c r="D1226" s="49" t="s">
        <v>276</v>
      </c>
      <c r="E1226" s="47">
        <v>63644</v>
      </c>
      <c r="G1226" s="50" t="s">
        <v>244</v>
      </c>
      <c r="H1226" s="51">
        <v>12.58</v>
      </c>
      <c r="J1226" s="51">
        <v>5.09</v>
      </c>
      <c r="K1226" s="51">
        <f>Tabela6[[#This Row],[CONSUMO]]*Tabela6[[#This Row],[VALOR UNIT]]-Tabela6[[#This Row],[DESCONTO]]</f>
        <v>64.032200000000003</v>
      </c>
      <c r="L1226" s="53">
        <f>Tabela6[[#This Row],[CUSTO TOTAL]]/Tabela6[[#This Row],[CONSUMO]]</f>
        <v>5.09</v>
      </c>
      <c r="M1226" s="50">
        <f>Tabela6[[#This Row],[KM ATUAL]]-E1022</f>
        <v>-57420</v>
      </c>
      <c r="N1226" s="51">
        <f>Tabela6[[#This Row],[KM Rodados ]]/Tabela6[[#This Row],[CONSUMO]]</f>
        <v>-4564.3879173290934</v>
      </c>
    </row>
    <row r="1227" spans="1:14" x14ac:dyDescent="0.25">
      <c r="A1227" s="47">
        <v>299917</v>
      </c>
      <c r="B1227" s="78">
        <v>45069</v>
      </c>
      <c r="C1227" s="47" t="s">
        <v>41</v>
      </c>
      <c r="D1227" s="49" t="s">
        <v>276</v>
      </c>
      <c r="E1227" s="47">
        <v>660533</v>
      </c>
      <c r="G1227" s="50" t="s">
        <v>89</v>
      </c>
      <c r="H1227" s="51">
        <v>163.24</v>
      </c>
      <c r="J1227" s="51">
        <v>5.09</v>
      </c>
      <c r="K1227" s="51">
        <f>Tabela6[[#This Row],[CONSUMO]]*Tabela6[[#This Row],[VALOR UNIT]]-Tabela6[[#This Row],[DESCONTO]]</f>
        <v>830.89160000000004</v>
      </c>
      <c r="L1227" s="53">
        <f>Tabela6[[#This Row],[CUSTO TOTAL]]/Tabela6[[#This Row],[CONSUMO]]</f>
        <v>5.09</v>
      </c>
      <c r="M1227" s="50">
        <f>Tabela6[[#This Row],[KM ATUAL]]-E1188</f>
        <v>574867</v>
      </c>
      <c r="N1227" s="51">
        <f>Tabela6[[#This Row],[KM Rodados ]]/Tabela6[[#This Row],[CONSUMO]]</f>
        <v>3521.6062239647144</v>
      </c>
    </row>
    <row r="1228" spans="1:14" x14ac:dyDescent="0.25">
      <c r="A1228" s="47">
        <v>875603</v>
      </c>
      <c r="B1228" s="78">
        <v>45069</v>
      </c>
      <c r="C1228" s="47" t="s">
        <v>11</v>
      </c>
      <c r="D1228" s="49" t="s">
        <v>253</v>
      </c>
      <c r="E1228" s="47">
        <v>392152</v>
      </c>
      <c r="G1228" s="50" t="s">
        <v>89</v>
      </c>
      <c r="H1228" s="51">
        <v>107.46</v>
      </c>
      <c r="J1228" s="51">
        <v>5.99</v>
      </c>
      <c r="K1228" s="52">
        <f>Tabela6[[#This Row],[CONSUMO]]*Tabela6[[#This Row],[VALOR UNIT]]-Tabela6[[#This Row],[DESCONTO]]</f>
        <v>643.68539999999996</v>
      </c>
      <c r="L1228" s="53">
        <f>Tabela6[[#This Row],[CUSTO TOTAL]]/Tabela6[[#This Row],[CONSUMO]]</f>
        <v>5.99</v>
      </c>
      <c r="M1228" s="50">
        <f>Tabela6[[#This Row],[KM ATUAL]]-E1188</f>
        <v>306486</v>
      </c>
      <c r="N1228" s="51">
        <f>Tabela6[[#This Row],[KM Rodados ]]/Tabela6[[#This Row],[CONSUMO]]</f>
        <v>2852.093802345059</v>
      </c>
    </row>
    <row r="1229" spans="1:14" x14ac:dyDescent="0.25">
      <c r="A1229" s="47">
        <v>376853</v>
      </c>
      <c r="B1229" s="78">
        <v>45069</v>
      </c>
      <c r="C1229" s="47" t="s">
        <v>17</v>
      </c>
      <c r="D1229" s="49" t="s">
        <v>253</v>
      </c>
      <c r="E1229" s="47">
        <v>349732</v>
      </c>
      <c r="G1229" s="50" t="s">
        <v>89</v>
      </c>
      <c r="H1229" s="51">
        <v>211.41</v>
      </c>
      <c r="J1229" s="51">
        <v>5.69</v>
      </c>
      <c r="K1229" s="52">
        <f>Tabela6[[#This Row],[CONSUMO]]*Tabela6[[#This Row],[VALOR UNIT]]-Tabela6[[#This Row],[DESCONTO]]</f>
        <v>1202.9229</v>
      </c>
      <c r="L1229" s="53">
        <f>Tabela6[[#This Row],[CUSTO TOTAL]]/Tabela6[[#This Row],[CONSUMO]]</f>
        <v>5.69</v>
      </c>
      <c r="M1229" s="50">
        <f>Tabela6[[#This Row],[KM ATUAL]]-E1165</f>
        <v>100915</v>
      </c>
      <c r="N1229" s="51">
        <f>Tabela6[[#This Row],[KM Rodados ]]/Tabela6[[#This Row],[CONSUMO]]</f>
        <v>477.34260441795561</v>
      </c>
    </row>
    <row r="1230" spans="1:14" x14ac:dyDescent="0.25">
      <c r="A1230" s="47">
        <v>277842</v>
      </c>
      <c r="B1230" s="78">
        <v>45069</v>
      </c>
      <c r="C1230" s="47" t="s">
        <v>17</v>
      </c>
      <c r="D1230" s="49" t="s">
        <v>270</v>
      </c>
      <c r="E1230" s="47">
        <v>349933</v>
      </c>
      <c r="G1230" s="50" t="s">
        <v>89</v>
      </c>
      <c r="H1230" s="51">
        <v>45.3</v>
      </c>
      <c r="J1230" s="51">
        <v>4.8899999999999997</v>
      </c>
      <c r="K1230" s="52">
        <f>Tabela6[[#This Row],[CONSUMO]]*Tabela6[[#This Row],[VALOR UNIT]]-Tabela6[[#This Row],[DESCONTO]]</f>
        <v>221.51699999999997</v>
      </c>
      <c r="L1230" s="53">
        <f>Tabela6[[#This Row],[CUSTO TOTAL]]/Tabela6[[#This Row],[CONSUMO]]</f>
        <v>4.8899999999999997</v>
      </c>
      <c r="M1230" s="50">
        <f>Tabela6[[#This Row],[KM ATUAL]]-E1229</f>
        <v>201</v>
      </c>
      <c r="N1230" s="51">
        <f>Tabela6[[#This Row],[KM Rodados ]]/Tabela6[[#This Row],[CONSUMO]]</f>
        <v>4.4370860927152318</v>
      </c>
    </row>
    <row r="1231" spans="1:14" x14ac:dyDescent="0.25">
      <c r="A1231" s="47" t="s">
        <v>314</v>
      </c>
      <c r="B1231" s="78">
        <v>45069</v>
      </c>
      <c r="C1231" s="47" t="s">
        <v>18</v>
      </c>
      <c r="E1231" s="47">
        <v>311209</v>
      </c>
      <c r="G1231" s="50" t="s">
        <v>89</v>
      </c>
      <c r="H1231" s="51">
        <v>82.3</v>
      </c>
      <c r="K1231" s="52">
        <f>Tabela6[[#This Row],[CONSUMO]]*Tabela6[[#This Row],[VALOR UNIT]]-Tabela6[[#This Row],[DESCONTO]]</f>
        <v>0</v>
      </c>
      <c r="L1231" s="53">
        <f>Tabela6[[#This Row],[CUSTO TOTAL]]/Tabela6[[#This Row],[CONSUMO]]</f>
        <v>0</v>
      </c>
      <c r="M1231" s="50">
        <f>Tabela6[[#This Row],[KM ATUAL]]-E1199</f>
        <v>186909</v>
      </c>
      <c r="N1231" s="51">
        <f>Tabela6[[#This Row],[KM Rodados ]]/Tabela6[[#This Row],[CONSUMO]]</f>
        <v>2271.0692588092347</v>
      </c>
    </row>
    <row r="1232" spans="1:14" x14ac:dyDescent="0.25">
      <c r="A1232" s="47">
        <v>535947</v>
      </c>
      <c r="B1232" s="78">
        <v>45069</v>
      </c>
      <c r="C1232" s="47" t="s">
        <v>18</v>
      </c>
      <c r="D1232" s="49" t="s">
        <v>255</v>
      </c>
      <c r="E1232" s="47">
        <v>311744</v>
      </c>
      <c r="G1232" s="50" t="s">
        <v>89</v>
      </c>
      <c r="H1232" s="51">
        <v>77.561000000000007</v>
      </c>
      <c r="J1232" s="51">
        <v>5.64</v>
      </c>
      <c r="K1232" s="52">
        <f>Tabela6[[#This Row],[CONSUMO]]*Tabela6[[#This Row],[VALOR UNIT]]-Tabela6[[#This Row],[DESCONTO]]</f>
        <v>437.44404000000003</v>
      </c>
      <c r="L1232" s="53">
        <f>Tabela6[[#This Row],[CUSTO TOTAL]]/Tabela6[[#This Row],[CONSUMO]]</f>
        <v>5.64</v>
      </c>
      <c r="M1232" s="50">
        <f>Tabela6[[#This Row],[KM ATUAL]]-E1231</f>
        <v>535</v>
      </c>
      <c r="N1232" s="51">
        <f>Tabela6[[#This Row],[KM Rodados ]]/Tabela6[[#This Row],[CONSUMO]]</f>
        <v>6.8977965730199449</v>
      </c>
    </row>
    <row r="1233" spans="1:14" x14ac:dyDescent="0.25">
      <c r="A1233" s="47">
        <v>299873</v>
      </c>
      <c r="B1233" s="78">
        <v>45069</v>
      </c>
      <c r="C1233" s="47" t="s">
        <v>20</v>
      </c>
      <c r="D1233" s="49" t="s">
        <v>276</v>
      </c>
      <c r="E1233" s="47">
        <v>250136</v>
      </c>
      <c r="G1233" s="50" t="s">
        <v>89</v>
      </c>
      <c r="H1233" s="51">
        <v>59.389000000000003</v>
      </c>
      <c r="J1233" s="51">
        <v>5.19</v>
      </c>
      <c r="K1233" s="52">
        <f>Tabela6[[#This Row],[CONSUMO]]*Tabela6[[#This Row],[VALOR UNIT]]-Tabela6[[#This Row],[DESCONTO]]</f>
        <v>308.22891000000004</v>
      </c>
      <c r="L1233" s="53">
        <f>Tabela6[[#This Row],[CUSTO TOTAL]]/Tabela6[[#This Row],[CONSUMO]]</f>
        <v>5.19</v>
      </c>
      <c r="M1233" s="50">
        <f>Tabela6[[#This Row],[KM ATUAL]]-E1212</f>
        <v>108741</v>
      </c>
      <c r="N1233" s="51">
        <f>Tabela6[[#This Row],[KM Rodados ]]/Tabela6[[#This Row],[CONSUMO]]</f>
        <v>1830.9956389230329</v>
      </c>
    </row>
    <row r="1234" spans="1:14" x14ac:dyDescent="0.25">
      <c r="A1234" s="47" t="s">
        <v>314</v>
      </c>
      <c r="B1234" s="78">
        <v>45069</v>
      </c>
      <c r="C1234" s="47" t="s">
        <v>74</v>
      </c>
      <c r="E1234" s="47">
        <v>53991</v>
      </c>
      <c r="G1234" s="50" t="s">
        <v>89</v>
      </c>
      <c r="H1234" s="51">
        <v>17.52</v>
      </c>
      <c r="K1234" s="52">
        <f>Tabela6[[#This Row],[CONSUMO]]*Tabela6[[#This Row],[VALOR UNIT]]-Tabela6[[#This Row],[DESCONTO]]</f>
        <v>0</v>
      </c>
      <c r="L1234" s="53">
        <f>Tabela6[[#This Row],[CUSTO TOTAL]]/Tabela6[[#This Row],[CONSUMO]]</f>
        <v>0</v>
      </c>
      <c r="M1234" s="50">
        <f>Tabela6[[#This Row],[KM ATUAL]]-E1216</f>
        <v>-310592</v>
      </c>
      <c r="N1234" s="51">
        <f>Tabela6[[#This Row],[KM Rodados ]]/Tabela6[[#This Row],[CONSUMO]]</f>
        <v>-17727.853881278541</v>
      </c>
    </row>
    <row r="1235" spans="1:14" x14ac:dyDescent="0.25">
      <c r="A1235" s="80">
        <v>183255</v>
      </c>
      <c r="B1235" s="78">
        <v>45070</v>
      </c>
      <c r="C1235" s="47" t="s">
        <v>43</v>
      </c>
      <c r="D1235" s="49" t="s">
        <v>262</v>
      </c>
      <c r="E1235" s="47">
        <v>125030</v>
      </c>
      <c r="G1235" s="50" t="s">
        <v>89</v>
      </c>
      <c r="H1235" s="51">
        <v>32.22</v>
      </c>
      <c r="J1235" s="51">
        <v>4.99</v>
      </c>
      <c r="K1235" s="51">
        <f>Tabela6[[#This Row],[CONSUMO]]*Tabela6[[#This Row],[VALOR UNIT]]-Tabela6[[#This Row],[DESCONTO]]</f>
        <v>160.77780000000001</v>
      </c>
      <c r="L1235" s="53">
        <f>Tabela6[[#This Row],[CUSTO TOTAL]]/Tabela6[[#This Row],[CONSUMO]]</f>
        <v>4.99</v>
      </c>
      <c r="M1235" s="50">
        <f>Tabela6[[#This Row],[KM ATUAL]]-E1215</f>
        <v>-494688</v>
      </c>
      <c r="N1235" s="72">
        <f>Tabela6[[#This Row],[KM Rodados ]]/Tabela6[[#This Row],[CONSUMO]]</f>
        <v>-15353.445065176909</v>
      </c>
    </row>
    <row r="1236" spans="1:14" x14ac:dyDescent="0.25">
      <c r="A1236" s="47">
        <v>377840</v>
      </c>
      <c r="B1236" s="78">
        <v>45070</v>
      </c>
      <c r="C1236" s="47" t="s">
        <v>9</v>
      </c>
      <c r="D1236" s="49" t="s">
        <v>253</v>
      </c>
      <c r="E1236" s="47">
        <v>603478</v>
      </c>
      <c r="G1236" s="50" t="s">
        <v>89</v>
      </c>
      <c r="H1236" s="51">
        <v>130.54</v>
      </c>
      <c r="I1236" s="49">
        <v>39.1</v>
      </c>
      <c r="J1236" s="51">
        <v>5.69</v>
      </c>
      <c r="K1236" s="51">
        <f>Tabela6[[#This Row],[CONSUMO]]*Tabela6[[#This Row],[VALOR UNIT]]-Tabela6[[#This Row],[DESCONTO]]</f>
        <v>703.67259999999999</v>
      </c>
      <c r="L1236" s="53">
        <f>Tabela6[[#This Row],[CUSTO TOTAL]]/Tabela6[[#This Row],[CONSUMO]]</f>
        <v>5.3904749502068334</v>
      </c>
      <c r="M1236" s="50">
        <f>Tabela6[[#This Row],[KM ATUAL]]-E1194</f>
        <v>354323</v>
      </c>
      <c r="N1236" s="51">
        <f>Tabela6[[#This Row],[KM Rodados ]]/Tabela6[[#This Row],[CONSUMO]]</f>
        <v>2714.2868086410299</v>
      </c>
    </row>
    <row r="1237" spans="1:14" x14ac:dyDescent="0.25">
      <c r="A1237" s="47">
        <v>377875</v>
      </c>
      <c r="B1237" s="78">
        <v>45070</v>
      </c>
      <c r="C1237" s="47" t="s">
        <v>42</v>
      </c>
      <c r="D1237" s="49" t="s">
        <v>253</v>
      </c>
      <c r="E1237" s="47">
        <v>363404</v>
      </c>
      <c r="G1237" s="50" t="s">
        <v>89</v>
      </c>
      <c r="H1237" s="51">
        <v>82.78</v>
      </c>
      <c r="I1237" s="49">
        <v>24.83</v>
      </c>
      <c r="J1237" s="51">
        <v>5.69</v>
      </c>
      <c r="K1237" s="51">
        <f>Tabela6[[#This Row],[CONSUMO]]*Tabela6[[#This Row],[VALOR UNIT]]-Tabela6[[#This Row],[DESCONTO]]</f>
        <v>446.18820000000005</v>
      </c>
      <c r="L1237" s="53">
        <f>Tabela6[[#This Row],[CUSTO TOTAL]]/Tabela6[[#This Row],[CONSUMO]]</f>
        <v>5.3900483208504477</v>
      </c>
      <c r="M1237" s="50">
        <f>Tabela6[[#This Row],[KM ATUAL]]-E1168</f>
        <v>545</v>
      </c>
      <c r="N1237" s="51">
        <f>Tabela6[[#This Row],[KM Rodados ]]/Tabela6[[#This Row],[CONSUMO]]</f>
        <v>6.5837158733993721</v>
      </c>
    </row>
    <row r="1238" spans="1:14" x14ac:dyDescent="0.25">
      <c r="A1238" s="47">
        <v>288145</v>
      </c>
      <c r="B1238" s="78">
        <v>45070</v>
      </c>
      <c r="C1238" s="47" t="s">
        <v>222</v>
      </c>
      <c r="D1238" s="49" t="s">
        <v>270</v>
      </c>
      <c r="E1238" s="47">
        <v>475909</v>
      </c>
      <c r="G1238" s="50" t="s">
        <v>89</v>
      </c>
      <c r="H1238" s="51">
        <v>322.02100000000002</v>
      </c>
      <c r="J1238" s="51">
        <v>4.8899999999999997</v>
      </c>
      <c r="K1238" s="51">
        <f>Tabela6[[#This Row],[CONSUMO]]*Tabela6[[#This Row],[VALOR UNIT]]-Tabela6[[#This Row],[DESCONTO]]</f>
        <v>1574.6826899999999</v>
      </c>
      <c r="L1238" s="53">
        <f>Tabela6[[#This Row],[CUSTO TOTAL]]/Tabela6[[#This Row],[CONSUMO]]</f>
        <v>4.8899999999999997</v>
      </c>
      <c r="M1238" s="50">
        <f>Tabela6[[#This Row],[KM ATUAL]]-E1183</f>
        <v>84291</v>
      </c>
      <c r="N1238" s="51">
        <f>Tabela6[[#This Row],[KM Rodados ]]/Tabela6[[#This Row],[CONSUMO]]</f>
        <v>261.75622086758318</v>
      </c>
    </row>
    <row r="1239" spans="1:14" x14ac:dyDescent="0.25">
      <c r="A1239" s="47">
        <v>377908</v>
      </c>
      <c r="B1239" s="78">
        <v>45070</v>
      </c>
      <c r="C1239" s="47" t="s">
        <v>67</v>
      </c>
      <c r="D1239" s="49" t="s">
        <v>253</v>
      </c>
      <c r="E1239" s="47">
        <v>665398</v>
      </c>
      <c r="G1239" s="50" t="s">
        <v>241</v>
      </c>
      <c r="H1239" s="51">
        <v>24.094999999999999</v>
      </c>
      <c r="J1239" s="51">
        <v>4.99</v>
      </c>
      <c r="K1239" s="51">
        <f>Tabela6[[#This Row],[CONSUMO]]*Tabela6[[#This Row],[VALOR UNIT]]-Tabela6[[#This Row],[DESCONTO]]</f>
        <v>120.23405</v>
      </c>
      <c r="L1239" s="53">
        <f>Tabela6[[#This Row],[CUSTO TOTAL]]/Tabela6[[#This Row],[CONSUMO]]</f>
        <v>4.99</v>
      </c>
      <c r="M1239" s="50"/>
      <c r="N1239"/>
    </row>
    <row r="1240" spans="1:14" x14ac:dyDescent="0.25">
      <c r="A1240" s="47">
        <v>377908</v>
      </c>
      <c r="B1240" s="78">
        <v>45070</v>
      </c>
      <c r="C1240" s="47" t="s">
        <v>67</v>
      </c>
      <c r="D1240" s="49" t="s">
        <v>253</v>
      </c>
      <c r="E1240" s="47">
        <v>665398</v>
      </c>
      <c r="G1240" s="50" t="s">
        <v>89</v>
      </c>
      <c r="H1240" s="51">
        <v>158.38</v>
      </c>
      <c r="I1240" s="49">
        <v>47.51</v>
      </c>
      <c r="J1240" s="51">
        <v>5.69</v>
      </c>
      <c r="K1240" s="51">
        <f>Tabela6[[#This Row],[CONSUMO]]*Tabela6[[#This Row],[VALOR UNIT]]-Tabela6[[#This Row],[DESCONTO]]</f>
        <v>853.67220000000009</v>
      </c>
      <c r="L1240" s="53">
        <f>Tabela6[[#This Row],[CUSTO TOTAL]]/Tabela6[[#This Row],[CONSUMO]]</f>
        <v>5.3900252557141064</v>
      </c>
      <c r="M1240" s="50">
        <f>Tabela6[[#This Row],[KM ATUAL]]-E1176</f>
        <v>524492</v>
      </c>
      <c r="N1240" s="51">
        <f>Tabela6[[#This Row],[KM Rodados ]]/Tabela6[[#This Row],[CONSUMO]]</f>
        <v>3311.6050006313931</v>
      </c>
    </row>
    <row r="1241" spans="1:14" x14ac:dyDescent="0.25">
      <c r="A1241" s="47">
        <v>183191</v>
      </c>
      <c r="B1241" s="78">
        <v>45070</v>
      </c>
      <c r="C1241" s="47" t="s">
        <v>22</v>
      </c>
      <c r="D1241" s="49" t="s">
        <v>262</v>
      </c>
      <c r="E1241" s="47">
        <v>325635</v>
      </c>
      <c r="G1241" s="50" t="s">
        <v>89</v>
      </c>
      <c r="H1241" s="51">
        <v>110.251</v>
      </c>
      <c r="J1241" s="51">
        <v>4.99</v>
      </c>
      <c r="K1241" s="74">
        <f>Tabela6[[#This Row],[CONSUMO]]*Tabela6[[#This Row],[VALOR UNIT]]-Tabela6[[#This Row],[DESCONTO]]</f>
        <v>550.15249000000006</v>
      </c>
      <c r="L1241" s="53">
        <f>Tabela6[[#This Row],[CUSTO TOTAL]]/Tabela6[[#This Row],[CONSUMO]]</f>
        <v>4.99</v>
      </c>
      <c r="M1241" s="50">
        <f>Tabela6[[#This Row],[KM ATUAL]]-E1200</f>
        <v>201611</v>
      </c>
      <c r="N1241" s="51">
        <f>Tabela6[[#This Row],[KM Rodados ]]/Tabela6[[#This Row],[CONSUMO]]</f>
        <v>1828.6546153776383</v>
      </c>
    </row>
    <row r="1242" spans="1:14" x14ac:dyDescent="0.25">
      <c r="A1242" s="47">
        <v>549901</v>
      </c>
      <c r="B1242" s="78">
        <v>45070</v>
      </c>
      <c r="C1242" s="47" t="s">
        <v>70</v>
      </c>
      <c r="D1242" s="49" t="s">
        <v>275</v>
      </c>
      <c r="E1242" s="47">
        <v>202647</v>
      </c>
      <c r="G1242" s="50" t="s">
        <v>241</v>
      </c>
      <c r="H1242" s="51">
        <v>46</v>
      </c>
      <c r="J1242" s="51">
        <v>3.79</v>
      </c>
      <c r="K1242" s="51">
        <f>Tabela6[[#This Row],[CONSUMO]]*Tabela6[[#This Row],[VALOR UNIT]]-Tabela6[[#This Row],[DESCONTO]]</f>
        <v>174.34</v>
      </c>
      <c r="L1242" s="53">
        <f>Tabela6[[#This Row],[CUSTO TOTAL]]/Tabela6[[#This Row],[CONSUMO]]</f>
        <v>3.79</v>
      </c>
      <c r="M1242" s="50"/>
      <c r="N1242"/>
    </row>
    <row r="1243" spans="1:14" x14ac:dyDescent="0.25">
      <c r="A1243" s="47">
        <v>549901</v>
      </c>
      <c r="B1243" s="78">
        <v>45070</v>
      </c>
      <c r="C1243" s="47" t="s">
        <v>70</v>
      </c>
      <c r="D1243" s="49" t="s">
        <v>275</v>
      </c>
      <c r="E1243" s="47">
        <v>202647</v>
      </c>
      <c r="G1243" s="50" t="s">
        <v>89</v>
      </c>
      <c r="H1243" s="51">
        <v>660.12</v>
      </c>
      <c r="J1243" s="51">
        <v>5.09</v>
      </c>
      <c r="K1243" s="51">
        <f>Tabela6[[#This Row],[CONSUMO]]*Tabela6[[#This Row],[VALOR UNIT]]-Tabela6[[#This Row],[DESCONTO]]</f>
        <v>3360.0108</v>
      </c>
      <c r="L1243" s="53">
        <f>Tabela6[[#This Row],[CUSTO TOTAL]]/Tabela6[[#This Row],[CONSUMO]]</f>
        <v>5.09</v>
      </c>
      <c r="M1243" s="50">
        <f>Tabela6[[#This Row],[KM ATUAL]]-E1174</f>
        <v>-188762</v>
      </c>
      <c r="N1243" s="51">
        <f>Tabela6[[#This Row],[KM Rodados ]]/Tabela6[[#This Row],[CONSUMO]]</f>
        <v>-285.95103920499304</v>
      </c>
    </row>
    <row r="1244" spans="1:14" x14ac:dyDescent="0.25">
      <c r="A1244" s="47" t="s">
        <v>314</v>
      </c>
      <c r="B1244" s="78">
        <v>45070</v>
      </c>
      <c r="C1244" s="47" t="s">
        <v>21</v>
      </c>
      <c r="E1244" s="47">
        <v>142111</v>
      </c>
      <c r="G1244" s="50" t="s">
        <v>89</v>
      </c>
      <c r="H1244" s="51">
        <v>122.2</v>
      </c>
      <c r="K1244" s="52">
        <f>Tabela6[[#This Row],[CONSUMO]]*Tabela6[[#This Row],[VALOR UNIT]]-Tabela6[[#This Row],[DESCONTO]]</f>
        <v>0</v>
      </c>
      <c r="L1244" s="53">
        <f>Tabela6[[#This Row],[CUSTO TOTAL]]/Tabela6[[#This Row],[CONSUMO]]</f>
        <v>0</v>
      </c>
      <c r="M1244" s="50">
        <f>Tabela6[[#This Row],[KM ATUAL]]-E1207</f>
        <v>-572676</v>
      </c>
      <c r="N1244" s="51">
        <f>Tabela6[[#This Row],[KM Rodados ]]/Tabela6[[#This Row],[CONSUMO]]</f>
        <v>-4686.3829787234044</v>
      </c>
    </row>
    <row r="1245" spans="1:14" x14ac:dyDescent="0.25">
      <c r="A1245" s="47" t="s">
        <v>314</v>
      </c>
      <c r="B1245" s="78">
        <v>45070</v>
      </c>
      <c r="C1245" s="47" t="s">
        <v>13</v>
      </c>
      <c r="E1245" s="47">
        <v>620357</v>
      </c>
      <c r="G1245" s="50" t="s">
        <v>89</v>
      </c>
      <c r="H1245" s="51">
        <v>128.4</v>
      </c>
      <c r="K1245" s="52">
        <f>Tabela6[[#This Row],[CONSUMO]]*Tabela6[[#This Row],[VALOR UNIT]]-Tabela6[[#This Row],[DESCONTO]]</f>
        <v>0</v>
      </c>
      <c r="L1245" s="53">
        <f>Tabela6[[#This Row],[CUSTO TOTAL]]/Tabela6[[#This Row],[CONSUMO]]</f>
        <v>0</v>
      </c>
      <c r="M1245" s="50">
        <f>Tabela6[[#This Row],[KM ATUAL]]-E1220</f>
        <v>495854</v>
      </c>
      <c r="N1245" s="51">
        <f>Tabela6[[#This Row],[KM Rodados ]]/Tabela6[[#This Row],[CONSUMO]]</f>
        <v>3861.7912772585669</v>
      </c>
    </row>
    <row r="1246" spans="1:14" x14ac:dyDescent="0.25">
      <c r="A1246" s="47">
        <v>674260</v>
      </c>
      <c r="B1246" s="78">
        <v>45070</v>
      </c>
      <c r="C1246" s="47" t="s">
        <v>13</v>
      </c>
      <c r="D1246" s="49" t="s">
        <v>250</v>
      </c>
      <c r="E1246" s="47">
        <v>620719</v>
      </c>
      <c r="G1246" s="50" t="s">
        <v>89</v>
      </c>
      <c r="H1246" s="51">
        <v>79.569999999999993</v>
      </c>
      <c r="J1246" s="51">
        <v>5.09</v>
      </c>
      <c r="K1246" s="52">
        <f>Tabela6[[#This Row],[CONSUMO]]*Tabela6[[#This Row],[VALOR UNIT]]-Tabela6[[#This Row],[DESCONTO]]</f>
        <v>405.01129999999995</v>
      </c>
      <c r="L1246" s="53">
        <f>Tabela6[[#This Row],[CUSTO TOTAL]]/Tabela6[[#This Row],[CONSUMO]]</f>
        <v>5.09</v>
      </c>
      <c r="M1246" s="50">
        <f>Tabela6[[#This Row],[KM ATUAL]]-E1245</f>
        <v>362</v>
      </c>
      <c r="N1246" s="51">
        <f>Tabela6[[#This Row],[KM Rodados ]]/Tabela6[[#This Row],[CONSUMO]]</f>
        <v>4.5494533115495797</v>
      </c>
    </row>
    <row r="1247" spans="1:14" x14ac:dyDescent="0.25">
      <c r="A1247" s="47">
        <v>199489</v>
      </c>
      <c r="B1247" s="78">
        <v>45070</v>
      </c>
      <c r="C1247" s="47" t="s">
        <v>20</v>
      </c>
      <c r="D1247" s="49" t="s">
        <v>291</v>
      </c>
      <c r="E1247" s="47">
        <v>250526</v>
      </c>
      <c r="G1247" s="50" t="s">
        <v>89</v>
      </c>
      <c r="H1247" s="51">
        <v>48.768999999999998</v>
      </c>
      <c r="J1247" s="51">
        <v>5.69</v>
      </c>
      <c r="K1247" s="52">
        <f>Tabela6[[#This Row],[CONSUMO]]*Tabela6[[#This Row],[VALOR UNIT]]-Tabela6[[#This Row],[DESCONTO]]</f>
        <v>277.49561</v>
      </c>
      <c r="L1247" s="53">
        <f>Tabela6[[#This Row],[CUSTO TOTAL]]/Tabela6[[#This Row],[CONSUMO]]</f>
        <v>5.69</v>
      </c>
      <c r="M1247" s="50">
        <f>Tabela6[[#This Row],[KM ATUAL]]-E1231</f>
        <v>-60683</v>
      </c>
      <c r="N1247" s="51">
        <f>Tabela6[[#This Row],[KM Rodados ]]/Tabela6[[#This Row],[CONSUMO]]</f>
        <v>-1244.2945313621358</v>
      </c>
    </row>
    <row r="1248" spans="1:14" x14ac:dyDescent="0.25">
      <c r="A1248" s="47">
        <v>300108</v>
      </c>
      <c r="B1248" s="78">
        <v>45070</v>
      </c>
      <c r="C1248" s="47" t="s">
        <v>20</v>
      </c>
      <c r="D1248" s="49" t="s">
        <v>276</v>
      </c>
      <c r="E1248" s="47">
        <v>250872</v>
      </c>
      <c r="G1248" s="50" t="s">
        <v>89</v>
      </c>
      <c r="H1248" s="51">
        <v>42.78</v>
      </c>
      <c r="J1248" s="51">
        <v>5.19</v>
      </c>
      <c r="K1248" s="52">
        <f>Tabela6[[#This Row],[CONSUMO]]*Tabela6[[#This Row],[VALOR UNIT]]-Tabela6[[#This Row],[DESCONTO]]</f>
        <v>222.02820000000003</v>
      </c>
      <c r="L1248" s="53">
        <f>Tabela6[[#This Row],[CUSTO TOTAL]]/Tabela6[[#This Row],[CONSUMO]]</f>
        <v>5.19</v>
      </c>
      <c r="M1248" s="50">
        <f>Tabela6[[#This Row],[KM ATUAL]]-E1247</f>
        <v>346</v>
      </c>
      <c r="N1248" s="51">
        <f>Tabela6[[#This Row],[KM Rodados ]]/Tabela6[[#This Row],[CONSUMO]]</f>
        <v>8.0878915381019159</v>
      </c>
    </row>
    <row r="1249" spans="1:14" x14ac:dyDescent="0.25">
      <c r="A1249" s="47">
        <v>915338</v>
      </c>
      <c r="B1249" s="78">
        <v>45071</v>
      </c>
      <c r="C1249" s="47" t="s">
        <v>43</v>
      </c>
      <c r="D1249" s="49" t="s">
        <v>233</v>
      </c>
      <c r="E1249" s="47">
        <v>125315</v>
      </c>
      <c r="G1249" s="50" t="s">
        <v>89</v>
      </c>
      <c r="H1249" s="51">
        <v>34.651000000000003</v>
      </c>
      <c r="J1249" s="51">
        <v>5.09</v>
      </c>
      <c r="K1249" s="51">
        <f>Tabela6[[#This Row],[CONSUMO]]*Tabela6[[#This Row],[VALOR UNIT]]-Tabela6[[#This Row],[DESCONTO]]</f>
        <v>176.37359000000001</v>
      </c>
      <c r="L1249" s="53">
        <f>Tabela6[[#This Row],[CUSTO TOTAL]]/Tabela6[[#This Row],[CONSUMO]]</f>
        <v>5.09</v>
      </c>
      <c r="M1249" s="50">
        <f>Tabela6[[#This Row],[KM ATUAL]]-E1238</f>
        <v>-350594</v>
      </c>
      <c r="N1249" s="72">
        <f>Tabela6[[#This Row],[KM Rodados ]]/Tabela6[[#This Row],[CONSUMO]]</f>
        <v>-10117.860956393753</v>
      </c>
    </row>
    <row r="1250" spans="1:14" x14ac:dyDescent="0.25">
      <c r="A1250" s="47" t="s">
        <v>314</v>
      </c>
      <c r="B1250" s="78">
        <v>45071</v>
      </c>
      <c r="C1250" s="47" t="s">
        <v>39</v>
      </c>
      <c r="E1250" s="47">
        <v>86668</v>
      </c>
      <c r="G1250" s="50" t="s">
        <v>89</v>
      </c>
      <c r="H1250" s="51">
        <v>96.42</v>
      </c>
      <c r="K1250" s="52">
        <f>Tabela6[[#This Row],[CONSUMO]]*Tabela6[[#This Row],[VALOR UNIT]]-Tabela6[[#This Row],[DESCONTO]]</f>
        <v>0</v>
      </c>
      <c r="L1250" s="53">
        <f>Tabela6[[#This Row],[CUSTO TOTAL]]/Tabela6[[#This Row],[CONSUMO]]</f>
        <v>0</v>
      </c>
      <c r="M1250" s="50">
        <f>Tabela6[[#This Row],[KM ATUAL]]-E1191</f>
        <v>-305153</v>
      </c>
      <c r="N1250" s="51">
        <f>Tabela6[[#This Row],[KM Rodados ]]/Tabela6[[#This Row],[CONSUMO]]</f>
        <v>-3164.8309479361128</v>
      </c>
    </row>
    <row r="1251" spans="1:14" x14ac:dyDescent="0.25">
      <c r="A1251" s="47" t="s">
        <v>314</v>
      </c>
      <c r="B1251" s="78">
        <v>45071</v>
      </c>
      <c r="C1251" s="47" t="s">
        <v>39</v>
      </c>
      <c r="E1251" s="47">
        <v>87169</v>
      </c>
      <c r="G1251" s="50" t="s">
        <v>89</v>
      </c>
      <c r="H1251" s="51">
        <v>98.4</v>
      </c>
      <c r="K1251" s="52">
        <f>Tabela6[[#This Row],[CONSUMO]]*Tabela6[[#This Row],[VALOR UNIT]]-Tabela6[[#This Row],[DESCONTO]]</f>
        <v>0</v>
      </c>
      <c r="L1251" s="53">
        <f>Tabela6[[#This Row],[CUSTO TOTAL]]/Tabela6[[#This Row],[CONSUMO]]</f>
        <v>0</v>
      </c>
      <c r="M1251" s="50">
        <f>Tabela6[[#This Row],[KM ATUAL]]-E1250</f>
        <v>501</v>
      </c>
      <c r="N1251" s="51">
        <f>Tabela6[[#This Row],[KM Rodados ]]/Tabela6[[#This Row],[CONSUMO]]</f>
        <v>5.0914634146341458</v>
      </c>
    </row>
    <row r="1252" spans="1:14" x14ac:dyDescent="0.25">
      <c r="A1252" s="47">
        <v>183349</v>
      </c>
      <c r="B1252" s="78">
        <v>45071</v>
      </c>
      <c r="C1252" s="47" t="s">
        <v>39</v>
      </c>
      <c r="D1252" s="49" t="s">
        <v>262</v>
      </c>
      <c r="E1252" s="47">
        <v>87677</v>
      </c>
      <c r="G1252" s="50" t="s">
        <v>89</v>
      </c>
      <c r="H1252" s="51">
        <v>84.430999999999997</v>
      </c>
      <c r="J1252" s="51">
        <v>4.99</v>
      </c>
      <c r="K1252" s="51">
        <f>Tabela6[[#This Row],[CONSUMO]]*Tabela6[[#This Row],[VALOR UNIT]]-Tabela6[[#This Row],[DESCONTO]]</f>
        <v>421.31069000000002</v>
      </c>
      <c r="L1252" s="53">
        <f>Tabela6[[#This Row],[CUSTO TOTAL]]/Tabela6[[#This Row],[CONSUMO]]</f>
        <v>4.99</v>
      </c>
      <c r="M1252" s="50">
        <f>Tabela6[[#This Row],[KM ATUAL]]-E1251</f>
        <v>508</v>
      </c>
      <c r="N1252" s="51">
        <f>Tabela6[[#This Row],[KM Rodados ]]/Tabela6[[#This Row],[CONSUMO]]</f>
        <v>6.0167474032049846</v>
      </c>
    </row>
    <row r="1253" spans="1:14" x14ac:dyDescent="0.25">
      <c r="A1253" s="47">
        <v>378541</v>
      </c>
      <c r="B1253" s="78">
        <v>45071</v>
      </c>
      <c r="C1253" s="47" t="s">
        <v>72</v>
      </c>
      <c r="D1253" s="49" t="s">
        <v>253</v>
      </c>
      <c r="E1253" s="119">
        <v>392619</v>
      </c>
      <c r="G1253" s="120" t="s">
        <v>89</v>
      </c>
      <c r="H1253" s="51">
        <v>36.94</v>
      </c>
      <c r="I1253" s="49">
        <v>11.08</v>
      </c>
      <c r="J1253" s="51">
        <v>5.59</v>
      </c>
      <c r="K1253" s="51">
        <f>Tabela6[[#This Row],[CONSUMO]]*Tabela6[[#This Row],[VALOR UNIT]]-Tabela6[[#This Row],[DESCONTO]]</f>
        <v>195.41459999999998</v>
      </c>
      <c r="L1253" s="53">
        <f>Tabela6[[#This Row],[CUSTO TOTAL]]/Tabela6[[#This Row],[CONSUMO]]</f>
        <v>5.2900541418516509</v>
      </c>
      <c r="M1253" s="50">
        <f>Tabela6[[#This Row],[KM ATUAL]]-E1226</f>
        <v>328975</v>
      </c>
      <c r="N1253" s="51">
        <f>Tabela6[[#This Row],[KM Rodados ]]/Tabela6[[#This Row],[CONSUMO]]</f>
        <v>8905.6578234975641</v>
      </c>
    </row>
    <row r="1254" spans="1:14" x14ac:dyDescent="0.25">
      <c r="A1254" s="47">
        <v>183406</v>
      </c>
      <c r="B1254" s="78">
        <v>45071</v>
      </c>
      <c r="C1254" s="47" t="s">
        <v>10</v>
      </c>
      <c r="D1254" s="49" t="s">
        <v>262</v>
      </c>
      <c r="E1254" s="47">
        <v>715452</v>
      </c>
      <c r="G1254" s="50" t="s">
        <v>89</v>
      </c>
      <c r="H1254" s="51">
        <v>201.27099999999999</v>
      </c>
      <c r="J1254" s="51">
        <v>4.99</v>
      </c>
      <c r="K1254" s="51">
        <f>Tabela6[[#This Row],[CONSUMO]]*Tabela6[[#This Row],[VALOR UNIT]]-Tabela6[[#This Row],[DESCONTO]]</f>
        <v>1004.3422899999999</v>
      </c>
      <c r="L1254" s="53">
        <f>Tabela6[[#This Row],[CUSTO TOTAL]]/Tabela6[[#This Row],[CONSUMO]]</f>
        <v>4.99</v>
      </c>
      <c r="M1254" s="50">
        <f>Tabela6[[#This Row],[KM ATUAL]]-E1203</f>
        <v>390225</v>
      </c>
      <c r="N1254" s="51">
        <f>Tabela6[[#This Row],[KM Rodados ]]/Tabela6[[#This Row],[CONSUMO]]</f>
        <v>1938.8039012078243</v>
      </c>
    </row>
    <row r="1255" spans="1:14" x14ac:dyDescent="0.25">
      <c r="A1255" s="47">
        <v>378441</v>
      </c>
      <c r="B1255" s="78">
        <v>45071</v>
      </c>
      <c r="C1255" s="47" t="s">
        <v>11</v>
      </c>
      <c r="D1255" s="49" t="s">
        <v>253</v>
      </c>
      <c r="E1255" s="47">
        <v>392446</v>
      </c>
      <c r="G1255" s="50" t="s">
        <v>89</v>
      </c>
      <c r="H1255" s="51">
        <v>96.28</v>
      </c>
      <c r="I1255" s="49">
        <v>28.88</v>
      </c>
      <c r="J1255" s="51">
        <v>5.59</v>
      </c>
      <c r="K1255" s="51">
        <f>Tabela6[[#This Row],[CONSUMO]]*Tabela6[[#This Row],[VALOR UNIT]]-Tabela6[[#This Row],[DESCONTO]]</f>
        <v>509.3252</v>
      </c>
      <c r="L1255" s="53">
        <f>Tabela6[[#This Row],[CUSTO TOTAL]]/Tabela6[[#This Row],[CONSUMO]]</f>
        <v>5.290041545492314</v>
      </c>
      <c r="M1255" s="50">
        <f>Tabela6[[#This Row],[KM ATUAL]]-E1230</f>
        <v>42513</v>
      </c>
      <c r="N1255" s="51">
        <f>Tabela6[[#This Row],[KM Rodados ]]/Tabela6[[#This Row],[CONSUMO]]</f>
        <v>441.55587868716242</v>
      </c>
    </row>
    <row r="1256" spans="1:14" x14ac:dyDescent="0.25">
      <c r="A1256" s="47">
        <v>100518</v>
      </c>
      <c r="B1256" s="78">
        <v>45071</v>
      </c>
      <c r="C1256" s="47" t="s">
        <v>206</v>
      </c>
      <c r="D1256" s="49" t="s">
        <v>263</v>
      </c>
      <c r="E1256" s="47">
        <v>938242</v>
      </c>
      <c r="G1256" s="50" t="s">
        <v>89</v>
      </c>
      <c r="H1256" s="51">
        <v>500</v>
      </c>
      <c r="I1256" s="49">
        <v>50</v>
      </c>
      <c r="J1256" s="51">
        <v>4.99</v>
      </c>
      <c r="K1256" s="51">
        <f>Tabela6[[#This Row],[CONSUMO]]*Tabela6[[#This Row],[VALOR UNIT]]-Tabela6[[#This Row],[DESCONTO]]</f>
        <v>2445</v>
      </c>
      <c r="L1256" s="53">
        <f>Tabela6[[#This Row],[CUSTO TOTAL]]/Tabela6[[#This Row],[CONSUMO]]</f>
        <v>4.8899999999999997</v>
      </c>
      <c r="M1256" s="50">
        <f>Tabela6[[#This Row],[KM ATUAL]]-E1097</f>
        <v>548657</v>
      </c>
      <c r="N1256" s="51">
        <f>Tabela6[[#This Row],[KM Rodados ]]/Tabela6[[#This Row],[CONSUMO]]</f>
        <v>1097.3140000000001</v>
      </c>
    </row>
    <row r="1257" spans="1:14" x14ac:dyDescent="0.25">
      <c r="A1257" s="47">
        <v>378451</v>
      </c>
      <c r="B1257" s="78">
        <v>45071</v>
      </c>
      <c r="C1257" s="47" t="s">
        <v>12</v>
      </c>
      <c r="D1257" s="49" t="s">
        <v>253</v>
      </c>
      <c r="E1257" s="47">
        <v>311557</v>
      </c>
      <c r="G1257" s="50" t="s">
        <v>89</v>
      </c>
      <c r="H1257" s="51">
        <v>98.29</v>
      </c>
      <c r="I1257" s="49">
        <v>29.49</v>
      </c>
      <c r="J1257" s="51">
        <v>5.59</v>
      </c>
      <c r="K1257" s="51">
        <f>Tabela6[[#This Row],[CONSUMO]]*Tabela6[[#This Row],[VALOR UNIT]]-Tabela6[[#This Row],[DESCONTO]]</f>
        <v>519.9511</v>
      </c>
      <c r="L1257" s="53">
        <f>Tabela6[[#This Row],[CUSTO TOTAL]]/Tabela6[[#This Row],[CONSUMO]]</f>
        <v>5.2899694780750837</v>
      </c>
      <c r="M1257" s="50">
        <f>Tabela6[[#This Row],[KM ATUAL]]-E1188</f>
        <v>225891</v>
      </c>
      <c r="N1257" s="51">
        <f>Tabela6[[#This Row],[KM Rodados ]]/Tabela6[[#This Row],[CONSUMO]]</f>
        <v>2298.2093804049241</v>
      </c>
    </row>
    <row r="1258" spans="1:14" x14ac:dyDescent="0.25">
      <c r="A1258" s="47">
        <v>410048</v>
      </c>
      <c r="B1258" s="78">
        <v>45071</v>
      </c>
      <c r="C1258" s="47" t="s">
        <v>13</v>
      </c>
      <c r="D1258" s="49" t="s">
        <v>257</v>
      </c>
      <c r="E1258" s="47">
        <v>621235</v>
      </c>
      <c r="G1258" s="50" t="s">
        <v>89</v>
      </c>
      <c r="H1258" s="51">
        <v>137.499</v>
      </c>
      <c r="J1258" s="51">
        <v>4.95</v>
      </c>
      <c r="K1258" s="52">
        <f>Tabela6[[#This Row],[CONSUMO]]*Tabela6[[#This Row],[VALOR UNIT]]-Tabela6[[#This Row],[DESCONTO]]</f>
        <v>680.62004999999999</v>
      </c>
      <c r="L1258" s="53">
        <f>Tabela6[[#This Row],[CUSTO TOTAL]]/Tabela6[[#This Row],[CONSUMO]]</f>
        <v>4.95</v>
      </c>
      <c r="M1258" s="50">
        <f>Tabela6[[#This Row],[KM ATUAL]]-E1247</f>
        <v>370709</v>
      </c>
      <c r="N1258" s="51">
        <f>Tabela6[[#This Row],[KM Rodados ]]/Tabela6[[#This Row],[CONSUMO]]</f>
        <v>2696.0850624368177</v>
      </c>
    </row>
    <row r="1259" spans="1:14" x14ac:dyDescent="0.25">
      <c r="A1259" s="47">
        <v>536160</v>
      </c>
      <c r="B1259" s="78">
        <v>45071</v>
      </c>
      <c r="C1259" s="47" t="s">
        <v>18</v>
      </c>
      <c r="D1259" s="49" t="s">
        <v>255</v>
      </c>
      <c r="E1259" s="47">
        <v>312289</v>
      </c>
      <c r="G1259" s="50" t="s">
        <v>89</v>
      </c>
      <c r="H1259" s="51">
        <v>71.781000000000006</v>
      </c>
      <c r="J1259" s="51">
        <v>5.64</v>
      </c>
      <c r="K1259" s="51">
        <f>Tabela6[[#This Row],[CONSUMO]]*Tabela6[[#This Row],[VALOR UNIT]]-Tabela6[[#This Row],[DESCONTO]]</f>
        <v>404.84484000000003</v>
      </c>
      <c r="L1259" s="53">
        <f>Tabela6[[#This Row],[CUSTO TOTAL]]/Tabela6[[#This Row],[CONSUMO]]</f>
        <v>5.64</v>
      </c>
      <c r="M1259" s="50">
        <f>Tabela6[[#This Row],[KM ATUAL]]-E1225</f>
        <v>192273</v>
      </c>
      <c r="N1259" s="51">
        <f>Tabela6[[#This Row],[KM Rodados ]]/Tabela6[[#This Row],[CONSUMO]]</f>
        <v>2678.605759184185</v>
      </c>
    </row>
    <row r="1260" spans="1:14" x14ac:dyDescent="0.25">
      <c r="A1260" s="47">
        <v>300365</v>
      </c>
      <c r="B1260" s="78">
        <v>45071</v>
      </c>
      <c r="C1260" s="47" t="s">
        <v>20</v>
      </c>
      <c r="D1260" s="49" t="s">
        <v>276</v>
      </c>
      <c r="E1260" s="47">
        <v>251254</v>
      </c>
      <c r="G1260" s="50" t="s">
        <v>89</v>
      </c>
      <c r="H1260" s="51">
        <v>48.57</v>
      </c>
      <c r="J1260" s="51">
        <v>5.09</v>
      </c>
      <c r="K1260" s="52">
        <f>Tabela6[[#This Row],[CONSUMO]]*Tabela6[[#This Row],[VALOR UNIT]]-Tabela6[[#This Row],[DESCONTO]]</f>
        <v>247.22129999999999</v>
      </c>
      <c r="L1260" s="53">
        <f>Tabela6[[#This Row],[CUSTO TOTAL]]/Tabela6[[#This Row],[CONSUMO]]</f>
        <v>5.09</v>
      </c>
      <c r="M1260" s="50">
        <f>Tabela6[[#This Row],[KM ATUAL]]-E1247</f>
        <v>728</v>
      </c>
      <c r="N1260" s="51">
        <f>Tabela6[[#This Row],[KM Rodados ]]/Tabela6[[#This Row],[CONSUMO]]</f>
        <v>14.988676137533457</v>
      </c>
    </row>
    <row r="1261" spans="1:14" x14ac:dyDescent="0.25">
      <c r="A1261" s="47">
        <v>536256</v>
      </c>
      <c r="B1261" s="78">
        <v>45071</v>
      </c>
      <c r="C1261" s="47" t="s">
        <v>38</v>
      </c>
      <c r="D1261" s="49" t="s">
        <v>255</v>
      </c>
      <c r="E1261" s="47">
        <v>129763</v>
      </c>
      <c r="G1261" s="50" t="s">
        <v>244</v>
      </c>
      <c r="H1261" s="51">
        <v>27.091000000000001</v>
      </c>
      <c r="J1261" s="51">
        <v>5.43</v>
      </c>
      <c r="K1261" s="51">
        <f>Tabela6[[#This Row],[CONSUMO]]*Tabela6[[#This Row],[VALOR UNIT]]-Tabela6[[#This Row],[DESCONTO]]</f>
        <v>147.10413</v>
      </c>
      <c r="L1261" s="53">
        <f>Tabela6[[#This Row],[CUSTO TOTAL]]/Tabela6[[#This Row],[CONSUMO]]</f>
        <v>5.43</v>
      </c>
      <c r="M1261" s="50">
        <f>Tabela6[[#This Row],[KM ATUAL]]-E1202</f>
        <v>-473223</v>
      </c>
      <c r="N1261" s="51">
        <f>Tabela6[[#This Row],[KM Rodados ]]/Tabela6[[#This Row],[CONSUMO]]</f>
        <v>-17467.904470119229</v>
      </c>
    </row>
    <row r="1262" spans="1:14" x14ac:dyDescent="0.25">
      <c r="A1262" s="47" t="s">
        <v>314</v>
      </c>
      <c r="B1262" s="78">
        <v>45071</v>
      </c>
      <c r="C1262" s="47" t="s">
        <v>23</v>
      </c>
      <c r="E1262" s="47">
        <v>225318</v>
      </c>
      <c r="G1262" s="50" t="s">
        <v>89</v>
      </c>
      <c r="H1262" s="51">
        <v>92.3</v>
      </c>
      <c r="K1262" s="52">
        <f>Tabela6[[#This Row],[CONSUMO]]*Tabela6[[#This Row],[VALOR UNIT]]-Tabela6[[#This Row],[DESCONTO]]</f>
        <v>0</v>
      </c>
      <c r="L1262" s="53">
        <f>Tabela6[[#This Row],[CUSTO TOTAL]]/Tabela6[[#This Row],[CONSUMO]]</f>
        <v>0</v>
      </c>
      <c r="M1262" s="50">
        <f>Tabela6[[#This Row],[KM ATUAL]]-E1153</f>
        <v>-137733</v>
      </c>
      <c r="N1262" s="72">
        <f>Tabela6[[#This Row],[KM Rodados ]]/Tabela6[[#This Row],[CONSUMO]]</f>
        <v>-1492.2318526543879</v>
      </c>
    </row>
    <row r="1263" spans="1:14" x14ac:dyDescent="0.25">
      <c r="A1263" s="47">
        <v>183543</v>
      </c>
      <c r="B1263" s="78">
        <v>45071</v>
      </c>
      <c r="C1263" s="47" t="s">
        <v>23</v>
      </c>
      <c r="D1263" s="49" t="s">
        <v>262</v>
      </c>
      <c r="E1263" s="47">
        <v>225940</v>
      </c>
      <c r="G1263" s="50" t="s">
        <v>89</v>
      </c>
      <c r="H1263" s="51">
        <v>137</v>
      </c>
      <c r="J1263" s="51">
        <v>4.99</v>
      </c>
      <c r="K1263" s="52">
        <f>Tabela6[[#This Row],[CONSUMO]]*Tabela6[[#This Row],[VALOR UNIT]]-Tabela6[[#This Row],[DESCONTO]]</f>
        <v>683.63</v>
      </c>
      <c r="L1263" s="53">
        <f>Tabela6[[#This Row],[CUSTO TOTAL]]/Tabela6[[#This Row],[CONSUMO]]</f>
        <v>4.99</v>
      </c>
      <c r="M1263" s="50">
        <f>Tabela6[[#This Row],[KM ATUAL]]-E1262</f>
        <v>622</v>
      </c>
      <c r="N1263" s="51">
        <f>Tabela6[[#This Row],[KM Rodados ]]/Tabela6[[#This Row],[CONSUMO]]</f>
        <v>4.5401459854014599</v>
      </c>
    </row>
    <row r="1264" spans="1:14" x14ac:dyDescent="0.25">
      <c r="A1264" s="47">
        <v>300368</v>
      </c>
      <c r="B1264" s="78">
        <v>45071</v>
      </c>
      <c r="C1264" s="47" t="s">
        <v>40</v>
      </c>
      <c r="D1264" s="49" t="s">
        <v>276</v>
      </c>
      <c r="E1264" s="47">
        <v>142703</v>
      </c>
      <c r="G1264" s="50" t="s">
        <v>244</v>
      </c>
      <c r="H1264" s="51">
        <v>44.2</v>
      </c>
      <c r="J1264" s="51">
        <v>5.09</v>
      </c>
      <c r="K1264" s="74">
        <f>Tabela6[[#This Row],[CONSUMO]]*Tabela6[[#This Row],[VALOR UNIT]]-Tabela6[[#This Row],[DESCONTO]]</f>
        <v>224.97800000000001</v>
      </c>
      <c r="L1264" s="53">
        <f>Tabela6[[#This Row],[CUSTO TOTAL]]/Tabela6[[#This Row],[CONSUMO]]</f>
        <v>5.09</v>
      </c>
      <c r="M1264" s="50">
        <f>Tabela6[[#This Row],[KM ATUAL]]-E1231</f>
        <v>-168506</v>
      </c>
      <c r="N1264" s="51">
        <f>Tabela6[[#This Row],[KM Rodados ]]/Tabela6[[#This Row],[CONSUMO]]</f>
        <v>-3812.3529411764703</v>
      </c>
    </row>
    <row r="1265" spans="1:14" x14ac:dyDescent="0.25">
      <c r="A1265" s="47">
        <v>183452</v>
      </c>
      <c r="B1265" s="78">
        <v>45071</v>
      </c>
      <c r="C1265" s="47" t="s">
        <v>74</v>
      </c>
      <c r="D1265" s="49" t="s">
        <v>262</v>
      </c>
      <c r="E1265" s="47">
        <v>54491</v>
      </c>
      <c r="G1265" s="50" t="s">
        <v>89</v>
      </c>
      <c r="H1265" s="51">
        <v>66.900000000000006</v>
      </c>
      <c r="J1265" s="51">
        <v>4.99</v>
      </c>
      <c r="K1265" s="52">
        <f>Tabela6[[#This Row],[CONSUMO]]*Tabela6[[#This Row],[VALOR UNIT]]-Tabela6[[#This Row],[DESCONTO]]</f>
        <v>333.83100000000002</v>
      </c>
      <c r="L1265" s="53">
        <f>Tabela6[[#This Row],[CUSTO TOTAL]]/Tabela6[[#This Row],[CONSUMO]]</f>
        <v>4.99</v>
      </c>
      <c r="M1265" s="50">
        <f>Tabela6[[#This Row],[KM ATUAL]]-E1246</f>
        <v>-566228</v>
      </c>
      <c r="N1265" s="51">
        <f>Tabela6[[#This Row],[KM Rodados ]]/Tabela6[[#This Row],[CONSUMO]]</f>
        <v>-8463.7967115097144</v>
      </c>
    </row>
    <row r="1266" spans="1:14" x14ac:dyDescent="0.25">
      <c r="A1266" s="47">
        <v>278538</v>
      </c>
      <c r="B1266" s="78">
        <v>45072</v>
      </c>
      <c r="C1266" s="47" t="s">
        <v>68</v>
      </c>
      <c r="D1266" s="49" t="s">
        <v>270</v>
      </c>
      <c r="E1266" s="47">
        <v>888208</v>
      </c>
      <c r="G1266" s="50" t="s">
        <v>89</v>
      </c>
      <c r="H1266" s="51">
        <v>485.28100000000001</v>
      </c>
      <c r="J1266" s="51">
        <v>4.8899999999999997</v>
      </c>
      <c r="K1266" s="51">
        <f>Tabela6[[#This Row],[CONSUMO]]*Tabela6[[#This Row],[VALOR UNIT]]-Tabela6[[#This Row],[DESCONTO]]</f>
        <v>2373.0240899999999</v>
      </c>
      <c r="L1266" s="53">
        <f>Tabela6[[#This Row],[CUSTO TOTAL]]/Tabela6[[#This Row],[CONSUMO]]</f>
        <v>4.8899999999999997</v>
      </c>
      <c r="M1266" s="50">
        <f>Tabela6[[#This Row],[KM ATUAL]]-E1227</f>
        <v>227675</v>
      </c>
      <c r="N1266" s="51">
        <f>Tabela6[[#This Row],[KM Rodados ]]/Tabela6[[#This Row],[CONSUMO]]</f>
        <v>469.16116641698312</v>
      </c>
    </row>
    <row r="1267" spans="1:14" x14ac:dyDescent="0.25">
      <c r="A1267" s="47">
        <v>610477</v>
      </c>
      <c r="B1267" s="78">
        <v>45072</v>
      </c>
      <c r="C1267" s="47" t="s">
        <v>43</v>
      </c>
      <c r="D1267" s="49" t="s">
        <v>271</v>
      </c>
      <c r="E1267" s="47">
        <v>125661</v>
      </c>
      <c r="G1267" s="50" t="s">
        <v>89</v>
      </c>
      <c r="H1267" s="51">
        <v>41.17</v>
      </c>
      <c r="J1267" s="51">
        <v>4.8899999999999997</v>
      </c>
      <c r="K1267" s="52">
        <f>Tabela6[[#This Row],[CONSUMO]]*Tabela6[[#This Row],[VALOR UNIT]]-Tabela6[[#This Row],[DESCONTO]]</f>
        <v>201.32130000000001</v>
      </c>
      <c r="L1267" s="53">
        <f>Tabela6[[#This Row],[CUSTO TOTAL]]/Tabela6[[#This Row],[CONSUMO]]</f>
        <v>4.8899999999999997</v>
      </c>
      <c r="M1267" s="50">
        <f>Tabela6[[#This Row],[KM ATUAL]]-E1254</f>
        <v>-589791</v>
      </c>
      <c r="N1267" s="72">
        <f>Tabela6[[#This Row],[KM Rodados ]]/Tabela6[[#This Row],[CONSUMO]]</f>
        <v>-14325.74690308477</v>
      </c>
    </row>
    <row r="1268" spans="1:14" x14ac:dyDescent="0.25">
      <c r="A1268" s="47">
        <v>300501</v>
      </c>
      <c r="B1268" s="78">
        <v>45072</v>
      </c>
      <c r="C1268" s="47" t="s">
        <v>215</v>
      </c>
      <c r="D1268" s="49" t="s">
        <v>276</v>
      </c>
      <c r="E1268" s="47">
        <v>223435</v>
      </c>
      <c r="G1268" s="50" t="s">
        <v>244</v>
      </c>
      <c r="H1268" s="51">
        <v>31.44</v>
      </c>
      <c r="J1268" s="51">
        <v>5.09</v>
      </c>
      <c r="K1268" s="51">
        <f>Tabela6[[#This Row],[CONSUMO]]*Tabela6[[#This Row],[VALOR UNIT]]-Tabela6[[#This Row],[DESCONTO]]</f>
        <v>160.02959999999999</v>
      </c>
      <c r="L1268" s="53">
        <f>Tabela6[[#This Row],[CUSTO TOTAL]]/Tabela6[[#This Row],[CONSUMO]]</f>
        <v>5.089999999999999</v>
      </c>
      <c r="M1268" s="50">
        <f>Tabela6[[#This Row],[KM ATUAL]]-E1174</f>
        <v>-167974</v>
      </c>
      <c r="N1268" s="51">
        <f>Tabela6[[#This Row],[KM Rodados ]]/H1174</f>
        <v>-3058.5214857975234</v>
      </c>
    </row>
    <row r="1269" spans="1:14" x14ac:dyDescent="0.25">
      <c r="A1269" s="47">
        <v>610478</v>
      </c>
      <c r="B1269" s="78">
        <v>45072</v>
      </c>
      <c r="C1269" s="47" t="s">
        <v>72</v>
      </c>
      <c r="D1269" s="49" t="s">
        <v>271</v>
      </c>
      <c r="E1269" s="119">
        <v>392885</v>
      </c>
      <c r="G1269" s="120" t="s">
        <v>89</v>
      </c>
      <c r="H1269" s="51">
        <v>39.47</v>
      </c>
      <c r="J1269" s="51">
        <v>4.8899999999999997</v>
      </c>
      <c r="K1269" s="51">
        <f>Tabela6[[#This Row],[CONSUMO]]*Tabela6[[#This Row],[VALOR UNIT]]-Tabela6[[#This Row],[DESCONTO]]</f>
        <v>193.00829999999999</v>
      </c>
      <c r="L1269" s="53">
        <f>Tabela6[[#This Row],[CUSTO TOTAL]]/Tabela6[[#This Row],[CONSUMO]]</f>
        <v>4.8899999999999997</v>
      </c>
      <c r="M1269" s="50">
        <f>Tabela6[[#This Row],[KM ATUAL]]-E1254</f>
        <v>-322567</v>
      </c>
      <c r="N1269" s="51">
        <f>Tabela6[[#This Row],[KM Rodados ]]/Tabela6[[#This Row],[CONSUMO]]</f>
        <v>-8172.4600962756522</v>
      </c>
    </row>
    <row r="1270" spans="1:14" x14ac:dyDescent="0.25">
      <c r="A1270" s="47" t="s">
        <v>314</v>
      </c>
      <c r="B1270" s="78">
        <v>45072</v>
      </c>
      <c r="C1270" s="47" t="s">
        <v>21</v>
      </c>
      <c r="E1270" s="47">
        <v>142514</v>
      </c>
      <c r="G1270" s="50" t="s">
        <v>89</v>
      </c>
      <c r="H1270" s="51">
        <v>125.1</v>
      </c>
      <c r="K1270" s="52">
        <f>Tabela6[[#This Row],[CONSUMO]]*Tabela6[[#This Row],[VALOR UNIT]]-Tabela6[[#This Row],[DESCONTO]]</f>
        <v>0</v>
      </c>
      <c r="L1270" s="53">
        <f>Tabela6[[#This Row],[CUSTO TOTAL]]/Tabela6[[#This Row],[CONSUMO]]</f>
        <v>0</v>
      </c>
      <c r="M1270" s="50">
        <f>Tabela6[[#This Row],[KM ATUAL]]-E1246</f>
        <v>-478205</v>
      </c>
      <c r="N1270" s="51">
        <f>Tabela6[[#This Row],[KM Rodados ]]/Tabela6[[#This Row],[CONSUMO]]</f>
        <v>-3822.5819344524384</v>
      </c>
    </row>
    <row r="1271" spans="1:14" x14ac:dyDescent="0.25">
      <c r="A1271" s="47">
        <v>100627</v>
      </c>
      <c r="B1271" s="78">
        <v>45072</v>
      </c>
      <c r="C1271" s="47" t="s">
        <v>19</v>
      </c>
      <c r="D1271" s="49" t="s">
        <v>263</v>
      </c>
      <c r="E1271" s="47">
        <v>308220</v>
      </c>
      <c r="G1271" s="50" t="s">
        <v>89</v>
      </c>
      <c r="H1271" s="51">
        <v>198.21100000000001</v>
      </c>
      <c r="I1271" s="49">
        <v>19.82</v>
      </c>
      <c r="J1271" s="51">
        <v>4.99</v>
      </c>
      <c r="K1271" s="51">
        <f>Tabela6[[#This Row],[CONSUMO]]*Tabela6[[#This Row],[VALOR UNIT]]-Tabela6[[#This Row],[DESCONTO]]</f>
        <v>969.25289000000009</v>
      </c>
      <c r="L1271" s="53">
        <f>Tabela6[[#This Row],[CUSTO TOTAL]]/Tabela6[[#This Row],[CONSUMO]]</f>
        <v>4.8900055496415433</v>
      </c>
      <c r="M1271" s="50">
        <f>Tabela6[[#This Row],[KM ATUAL]]-E1203</f>
        <v>-17007</v>
      </c>
      <c r="N1271" s="51">
        <f>Tabela6[[#This Row],[KM Rodados ]]/Tabela6[[#This Row],[CONSUMO]]</f>
        <v>-85.802503392849033</v>
      </c>
    </row>
    <row r="1272" spans="1:14" x14ac:dyDescent="0.25">
      <c r="A1272" s="47">
        <v>300538</v>
      </c>
      <c r="B1272" s="78">
        <v>45072</v>
      </c>
      <c r="C1272" s="47" t="s">
        <v>20</v>
      </c>
      <c r="D1272" s="49" t="s">
        <v>276</v>
      </c>
      <c r="E1272" s="47">
        <v>251568</v>
      </c>
      <c r="G1272" s="50" t="s">
        <v>89</v>
      </c>
      <c r="H1272" s="51">
        <v>42.048999999999999</v>
      </c>
      <c r="J1272" s="51">
        <v>5.09</v>
      </c>
      <c r="K1272" s="52">
        <f>Tabela6[[#This Row],[CONSUMO]]*Tabela6[[#This Row],[VALOR UNIT]]-Tabela6[[#This Row],[DESCONTO]]</f>
        <v>214.02940999999998</v>
      </c>
      <c r="L1272" s="53">
        <f>Tabela6[[#This Row],[CUSTO TOTAL]]/Tabela6[[#This Row],[CONSUMO]]</f>
        <v>5.09</v>
      </c>
      <c r="M1272" s="50">
        <f>Tabela6[[#This Row],[KM ATUAL]]-E1254</f>
        <v>-463884</v>
      </c>
      <c r="N1272" s="51">
        <f>Tabela6[[#This Row],[KM Rodados ]]/Tabela6[[#This Row],[CONSUMO]]</f>
        <v>-11031.986491949869</v>
      </c>
    </row>
    <row r="1273" spans="1:14" x14ac:dyDescent="0.25">
      <c r="A1273" s="47">
        <v>188790</v>
      </c>
      <c r="B1273" s="78">
        <v>45073</v>
      </c>
      <c r="C1273" s="47" t="s">
        <v>222</v>
      </c>
      <c r="D1273" s="49" t="s">
        <v>268</v>
      </c>
      <c r="E1273" s="47">
        <v>476670</v>
      </c>
      <c r="G1273" s="50" t="s">
        <v>89</v>
      </c>
      <c r="H1273" s="51">
        <v>317.01100000000002</v>
      </c>
      <c r="J1273" s="51">
        <v>4.8899999999999997</v>
      </c>
      <c r="K1273" s="51">
        <f>Tabela6[[#This Row],[CONSUMO]]*Tabela6[[#This Row],[VALOR UNIT]]-Tabela6[[#This Row],[DESCONTO]]</f>
        <v>1550.18379</v>
      </c>
      <c r="L1273" s="53">
        <f>Tabela6[[#This Row],[CUSTO TOTAL]]/Tabela6[[#This Row],[CONSUMO]]</f>
        <v>4.8899999999999997</v>
      </c>
      <c r="M1273" s="50">
        <f>Tabela6[[#This Row],[KM ATUAL]]-E1243</f>
        <v>274023</v>
      </c>
      <c r="N1273" s="51">
        <f>Tabela6[[#This Row],[KM Rodados ]]/Tabela6[[#This Row],[CONSUMO]]</f>
        <v>864.39587269842366</v>
      </c>
    </row>
    <row r="1274" spans="1:14" x14ac:dyDescent="0.25">
      <c r="A1274" s="47" t="s">
        <v>314</v>
      </c>
      <c r="B1274" s="78">
        <v>45073</v>
      </c>
      <c r="C1274" s="47" t="s">
        <v>203</v>
      </c>
      <c r="E1274" s="47">
        <v>96241</v>
      </c>
      <c r="G1274" s="50" t="s">
        <v>244</v>
      </c>
      <c r="H1274" s="51">
        <v>39.520000000000003</v>
      </c>
      <c r="K1274" s="52">
        <f>Tabela6[[#This Row],[CONSUMO]]*Tabela6[[#This Row],[VALOR UNIT]]-Tabela6[[#This Row],[DESCONTO]]</f>
        <v>0</v>
      </c>
      <c r="L1274" s="53">
        <f>Tabela6[[#This Row],[CUSTO TOTAL]]/Tabela6[[#This Row],[CONSUMO]]</f>
        <v>0</v>
      </c>
      <c r="M1274" s="50">
        <f>Tabela6[[#This Row],[KM ATUAL]]-E1144</f>
        <v>-209626</v>
      </c>
      <c r="N1274" s="51">
        <f>Tabela6[[#This Row],[KM Rodados ]]/Tabela6[[#This Row],[CONSUMO]]</f>
        <v>-5304.3016194331976</v>
      </c>
    </row>
    <row r="1275" spans="1:14" x14ac:dyDescent="0.25">
      <c r="A1275" s="47" t="s">
        <v>314</v>
      </c>
      <c r="B1275" s="78">
        <v>45074</v>
      </c>
      <c r="C1275" s="47" t="s">
        <v>16</v>
      </c>
      <c r="E1275" s="47">
        <v>297455</v>
      </c>
      <c r="G1275" s="50" t="s">
        <v>89</v>
      </c>
      <c r="H1275" s="51">
        <v>92.3</v>
      </c>
      <c r="K1275" s="52">
        <f>Tabela6[[#This Row],[CONSUMO]]*Tabela6[[#This Row],[VALOR UNIT]]-Tabela6[[#This Row],[DESCONTO]]</f>
        <v>0</v>
      </c>
      <c r="L1275" s="53">
        <f>Tabela6[[#This Row],[CUSTO TOTAL]]/Tabela6[[#This Row],[CONSUMO]]</f>
        <v>0</v>
      </c>
      <c r="M1275" s="50">
        <f>Tabela6[[#This Row],[KM ATUAL]]-E1217</f>
        <v>500</v>
      </c>
      <c r="N1275" s="51">
        <f>Tabela6[[#This Row],[KM Rodados ]]/Tabela6[[#This Row],[CONSUMO]]</f>
        <v>5.4171180931744312</v>
      </c>
    </row>
    <row r="1276" spans="1:14" x14ac:dyDescent="0.25">
      <c r="A1276" s="47" t="s">
        <v>314</v>
      </c>
      <c r="B1276" s="78">
        <v>45074</v>
      </c>
      <c r="C1276" s="47" t="s">
        <v>74</v>
      </c>
      <c r="E1276" s="47">
        <v>55214</v>
      </c>
      <c r="G1276" s="50" t="s">
        <v>89</v>
      </c>
      <c r="H1276" s="51">
        <v>95.3</v>
      </c>
      <c r="K1276" s="52">
        <f>Tabela6[[#This Row],[CONSUMO]]*Tabela6[[#This Row],[VALOR UNIT]]-Tabela6[[#This Row],[DESCONTO]]</f>
        <v>0</v>
      </c>
      <c r="L1276" s="53">
        <f>Tabela6[[#This Row],[CUSTO TOTAL]]/Tabela6[[#This Row],[CONSUMO]]</f>
        <v>0</v>
      </c>
      <c r="M1276" s="50">
        <f>Tabela6[[#This Row],[KM ATUAL]]-E1253</f>
        <v>-337405</v>
      </c>
      <c r="N1276" s="51">
        <f>Tabela6[[#This Row],[KM Rodados ]]/Tabela6[[#This Row],[CONSUMO]]</f>
        <v>-3540.4512067156347</v>
      </c>
    </row>
    <row r="1277" spans="1:14" x14ac:dyDescent="0.25">
      <c r="A1277" s="47">
        <v>918670</v>
      </c>
      <c r="B1277" s="78">
        <v>45075</v>
      </c>
      <c r="C1277" s="47" t="s">
        <v>43</v>
      </c>
      <c r="D1277" s="49" t="s">
        <v>233</v>
      </c>
      <c r="E1277" s="47">
        <v>125825</v>
      </c>
      <c r="G1277" s="50" t="s">
        <v>89</v>
      </c>
      <c r="H1277" s="51">
        <v>24.170999999999999</v>
      </c>
      <c r="J1277" s="51">
        <v>5.09</v>
      </c>
      <c r="K1277" s="51">
        <f>Tabela6[[#This Row],[CONSUMO]]*Tabela6[[#This Row],[VALOR UNIT]]-Tabela6[[#This Row],[DESCONTO]]</f>
        <v>123.03039</v>
      </c>
      <c r="L1277" s="53">
        <f>Tabela6[[#This Row],[CUSTO TOTAL]]/Tabela6[[#This Row],[CONSUMO]]</f>
        <v>5.09</v>
      </c>
      <c r="M1277" s="50">
        <f>Tabela6[[#This Row],[KM ATUAL]]-E1260</f>
        <v>-125429</v>
      </c>
      <c r="N1277" s="72">
        <f>Tabela6[[#This Row],[KM Rodados ]]/Tabela6[[#This Row],[CONSUMO]]</f>
        <v>-5189.2350337180924</v>
      </c>
    </row>
    <row r="1278" spans="1:14" x14ac:dyDescent="0.25">
      <c r="A1278" s="47">
        <v>381831</v>
      </c>
      <c r="B1278" s="78">
        <v>45075</v>
      </c>
      <c r="C1278" s="47" t="s">
        <v>9</v>
      </c>
      <c r="D1278" s="49" t="s">
        <v>253</v>
      </c>
      <c r="E1278" s="47">
        <v>604002</v>
      </c>
      <c r="G1278" s="50" t="s">
        <v>89</v>
      </c>
      <c r="H1278" s="51">
        <v>137.82</v>
      </c>
      <c r="I1278" s="49">
        <v>41.35</v>
      </c>
      <c r="J1278" s="51">
        <v>5.59</v>
      </c>
      <c r="K1278" s="51">
        <f>Tabela6[[#This Row],[CONSUMO]]*Tabela6[[#This Row],[VALOR UNIT]]-Tabela6[[#This Row],[DESCONTO]]</f>
        <v>729.0637999999999</v>
      </c>
      <c r="L1278" s="53">
        <f>Tabela6[[#This Row],[CUSTO TOTAL]]/Tabela6[[#This Row],[CONSUMO]]</f>
        <v>5.2899709766361918</v>
      </c>
      <c r="M1278" s="50">
        <f>Tabela6[[#This Row],[KM ATUAL]]-E1239</f>
        <v>-61396</v>
      </c>
      <c r="N1278" s="51">
        <f>Tabela6[[#This Row],[KM Rodados ]]/Tabela6[[#This Row],[CONSUMO]]</f>
        <v>-445.47961108692499</v>
      </c>
    </row>
    <row r="1279" spans="1:14" x14ac:dyDescent="0.25">
      <c r="A1279" s="47">
        <v>184188</v>
      </c>
      <c r="B1279" s="78">
        <v>45075</v>
      </c>
      <c r="C1279" s="47" t="s">
        <v>22</v>
      </c>
      <c r="D1279" s="49" t="s">
        <v>262</v>
      </c>
      <c r="E1279" s="47">
        <v>326040</v>
      </c>
      <c r="G1279" s="50" t="s">
        <v>89</v>
      </c>
      <c r="H1279" s="51">
        <v>116.84</v>
      </c>
      <c r="J1279" s="51">
        <v>4.99</v>
      </c>
      <c r="K1279" s="74">
        <f>Tabela6[[#This Row],[CONSUMO]]*Tabela6[[#This Row],[VALOR UNIT]]-Tabela6[[#This Row],[DESCONTO]]</f>
        <v>583.03160000000003</v>
      </c>
      <c r="L1279" s="53">
        <f>Tabela6[[#This Row],[CUSTO TOTAL]]/Tabela6[[#This Row],[CONSUMO]]</f>
        <v>4.99</v>
      </c>
      <c r="M1279" s="50">
        <f>Tabela6[[#This Row],[KM ATUAL]]-E1237</f>
        <v>-37364</v>
      </c>
      <c r="N1279" s="51">
        <f>Tabela6[[#This Row],[KM Rodados ]]/Tabela6[[#This Row],[CONSUMO]]</f>
        <v>-319.78774392331394</v>
      </c>
    </row>
    <row r="1280" spans="1:14" x14ac:dyDescent="0.25">
      <c r="A1280" s="47">
        <v>381134</v>
      </c>
      <c r="B1280" s="78">
        <v>45075</v>
      </c>
      <c r="C1280" s="47" t="s">
        <v>39</v>
      </c>
      <c r="D1280" s="49" t="s">
        <v>253</v>
      </c>
      <c r="E1280" s="47">
        <v>88199</v>
      </c>
      <c r="G1280" s="50" t="s">
        <v>89</v>
      </c>
      <c r="H1280" s="51">
        <v>117.5</v>
      </c>
      <c r="I1280" s="49">
        <v>35.25</v>
      </c>
      <c r="J1280" s="51">
        <v>5.59</v>
      </c>
      <c r="K1280" s="52">
        <f>Tabela6[[#This Row],[CONSUMO]]*Tabela6[[#This Row],[VALOR UNIT]]-Tabela6[[#This Row],[DESCONTO]]</f>
        <v>621.57499999999993</v>
      </c>
      <c r="L1280" s="53">
        <f>Tabela6[[#This Row],[CUSTO TOTAL]]/Tabela6[[#This Row],[CONSUMO]]</f>
        <v>5.2899999999999991</v>
      </c>
      <c r="M1280" s="50">
        <f>Tabela6[[#This Row],[KM ATUAL]]-E1267</f>
        <v>-37462</v>
      </c>
      <c r="N1280" s="51">
        <f>Tabela6[[#This Row],[KM Rodados ]]/Tabela6[[#This Row],[CONSUMO]]</f>
        <v>-318.82553191489365</v>
      </c>
    </row>
    <row r="1281" spans="1:14" x14ac:dyDescent="0.25">
      <c r="A1281" s="47">
        <v>381552</v>
      </c>
      <c r="B1281" s="78">
        <v>45075</v>
      </c>
      <c r="C1281" s="47" t="s">
        <v>72</v>
      </c>
      <c r="D1281" s="49" t="s">
        <v>253</v>
      </c>
      <c r="E1281" s="47">
        <v>393183</v>
      </c>
      <c r="G1281" s="50" t="s">
        <v>89</v>
      </c>
      <c r="H1281" s="51">
        <v>37.53</v>
      </c>
      <c r="I1281" s="49">
        <v>11.26</v>
      </c>
      <c r="J1281" s="51">
        <v>5.59</v>
      </c>
      <c r="K1281" s="51">
        <f>Tabela6[[#This Row],[CONSUMO]]*Tabela6[[#This Row],[VALOR UNIT]]-Tabela6[[#This Row],[DESCONTO]]</f>
        <v>198.53270000000001</v>
      </c>
      <c r="L1281" s="53">
        <f>Tabela6[[#This Row],[CUSTO TOTAL]]/Tabela6[[#This Row],[CONSUMO]]</f>
        <v>5.2899733546496135</v>
      </c>
      <c r="M1281" s="50">
        <f>Tabela6[[#This Row],[KM ATUAL]]-E1267</f>
        <v>267522</v>
      </c>
      <c r="N1281" s="51">
        <f>Tabela6[[#This Row],[KM Rodados ]]/Tabela6[[#This Row],[CONSUMO]]</f>
        <v>7128.2174260591528</v>
      </c>
    </row>
    <row r="1282" spans="1:14" x14ac:dyDescent="0.25">
      <c r="A1282" s="47">
        <v>381436</v>
      </c>
      <c r="B1282" s="78">
        <v>45075</v>
      </c>
      <c r="C1282" s="47" t="s">
        <v>41</v>
      </c>
      <c r="D1282" s="49" t="s">
        <v>253</v>
      </c>
      <c r="E1282" s="47">
        <v>661233</v>
      </c>
      <c r="G1282" s="50" t="s">
        <v>89</v>
      </c>
      <c r="H1282" s="51">
        <v>169.92</v>
      </c>
      <c r="I1282" s="49">
        <v>50.98</v>
      </c>
      <c r="J1282" s="51">
        <v>5.59</v>
      </c>
      <c r="K1282" s="51">
        <f>Tabela6[[#This Row],[CONSUMO]]*Tabela6[[#This Row],[VALOR UNIT]]-Tabela6[[#This Row],[DESCONTO]]</f>
        <v>898.87279999999987</v>
      </c>
      <c r="L1282" s="53">
        <f>Tabela6[[#This Row],[CUSTO TOTAL]]/Tabela6[[#This Row],[CONSUMO]]</f>
        <v>5.2899764595103571</v>
      </c>
      <c r="M1282" s="50">
        <f>Tabela6[[#This Row],[KM ATUAL]]-E1232</f>
        <v>349489</v>
      </c>
      <c r="N1282" s="51">
        <f>Tabela6[[#This Row],[KM Rodados ]]/Tabela6[[#This Row],[CONSUMO]]</f>
        <v>2056.7855461393597</v>
      </c>
    </row>
    <row r="1283" spans="1:14" x14ac:dyDescent="0.25">
      <c r="A1283" s="47">
        <v>678345</v>
      </c>
      <c r="B1283" s="78">
        <v>45075</v>
      </c>
      <c r="C1283" s="47" t="s">
        <v>13</v>
      </c>
      <c r="D1283" s="49" t="s">
        <v>250</v>
      </c>
      <c r="E1283" s="47">
        <v>621552</v>
      </c>
      <c r="G1283" s="50" t="s">
        <v>89</v>
      </c>
      <c r="H1283" s="51">
        <v>80</v>
      </c>
      <c r="J1283" s="51">
        <v>5.09</v>
      </c>
      <c r="K1283" s="51">
        <f>Tabela6[[#This Row],[CONSUMO]]*Tabela6[[#This Row],[VALOR UNIT]]-Tabela6[[#This Row],[DESCONTO]]</f>
        <v>407.2</v>
      </c>
      <c r="L1283" s="53">
        <f>Tabela6[[#This Row],[CUSTO TOTAL]]/Tabela6[[#This Row],[CONSUMO]]</f>
        <v>5.09</v>
      </c>
      <c r="M1283" s="50">
        <f>Tabela6[[#This Row],[KM ATUAL]]-E1253</f>
        <v>228933</v>
      </c>
      <c r="N1283" s="51">
        <f>Tabela6[[#This Row],[KM Rodados ]]/Tabela6[[#This Row],[CONSUMO]]</f>
        <v>2861.6624999999999</v>
      </c>
    </row>
    <row r="1284" spans="1:14" x14ac:dyDescent="0.25">
      <c r="A1284" s="47">
        <v>381400</v>
      </c>
      <c r="B1284" s="78">
        <v>45075</v>
      </c>
      <c r="C1284" s="47" t="s">
        <v>17</v>
      </c>
      <c r="D1284" s="49" t="s">
        <v>253</v>
      </c>
      <c r="E1284" s="47">
        <v>350806</v>
      </c>
      <c r="G1284" s="50" t="s">
        <v>241</v>
      </c>
      <c r="H1284" s="51">
        <v>10</v>
      </c>
      <c r="J1284" s="51">
        <v>4.99</v>
      </c>
      <c r="K1284" s="51">
        <f>Tabela6[[#This Row],[CONSUMO]]*Tabela6[[#This Row],[VALOR UNIT]]-Tabela6[[#This Row],[DESCONTO]]</f>
        <v>49.900000000000006</v>
      </c>
      <c r="L1284" s="53">
        <f>Tabela6[[#This Row],[CUSTO TOTAL]]/Tabela6[[#This Row],[CONSUMO]]</f>
        <v>4.99</v>
      </c>
      <c r="M1284" s="50"/>
      <c r="N1284"/>
    </row>
    <row r="1285" spans="1:14" x14ac:dyDescent="0.25">
      <c r="A1285" s="47">
        <v>279258</v>
      </c>
      <c r="B1285" s="78">
        <v>45075</v>
      </c>
      <c r="C1285" s="47" t="s">
        <v>17</v>
      </c>
      <c r="D1285" s="49" t="s">
        <v>270</v>
      </c>
      <c r="E1285" s="47">
        <v>351050</v>
      </c>
      <c r="G1285" s="50" t="s">
        <v>89</v>
      </c>
      <c r="H1285" s="51">
        <v>229</v>
      </c>
      <c r="J1285" s="51">
        <v>4.8899999999999997</v>
      </c>
      <c r="K1285" s="52">
        <f>Tabela6[[#This Row],[CONSUMO]]*Tabela6[[#This Row],[VALOR UNIT]]-Tabela6[[#This Row],[DESCONTO]]</f>
        <v>1119.81</v>
      </c>
      <c r="L1285" s="53">
        <f>Tabela6[[#This Row],[CUSTO TOTAL]]/Tabela6[[#This Row],[CONSUMO]]</f>
        <v>4.8899999999999997</v>
      </c>
      <c r="M1285" s="50">
        <f>Tabela6[[#This Row],[KM ATUAL]]-E1232</f>
        <v>39306</v>
      </c>
      <c r="N1285" s="51">
        <f>Tabela6[[#This Row],[KM Rodados ]]/Tabela6[[#This Row],[CONSUMO]]</f>
        <v>171.64192139737992</v>
      </c>
    </row>
    <row r="1286" spans="1:14" x14ac:dyDescent="0.25">
      <c r="A1286" s="47">
        <v>184219</v>
      </c>
      <c r="B1286" s="78">
        <v>45075</v>
      </c>
      <c r="C1286" s="47" t="s">
        <v>23</v>
      </c>
      <c r="D1286" s="49" t="s">
        <v>262</v>
      </c>
      <c r="E1286" s="47">
        <v>226448</v>
      </c>
      <c r="G1286" s="50" t="s">
        <v>89</v>
      </c>
      <c r="H1286" s="51">
        <v>119.709</v>
      </c>
      <c r="J1286" s="51">
        <v>4.99</v>
      </c>
      <c r="K1286" s="51">
        <f>Tabela6[[#This Row],[CONSUMO]]*Tabela6[[#This Row],[VALOR UNIT]]-Tabela6[[#This Row],[DESCONTO]]</f>
        <v>597.34791000000007</v>
      </c>
      <c r="L1286" s="53">
        <f>Tabela6[[#This Row],[CUSTO TOTAL]]/Tabela6[[#This Row],[CONSUMO]]</f>
        <v>4.99</v>
      </c>
      <c r="M1286" s="50">
        <f>Tabela6[[#This Row],[KM ATUAL]]-E1257</f>
        <v>-85109</v>
      </c>
      <c r="N1286" s="51">
        <f>Tabela6[[#This Row],[KM Rodados ]]/Tabela6[[#This Row],[CONSUMO]]</f>
        <v>-710.96575863134763</v>
      </c>
    </row>
    <row r="1287" spans="1:14" x14ac:dyDescent="0.25">
      <c r="A1287" s="47">
        <v>183373</v>
      </c>
      <c r="B1287" s="78">
        <v>45075</v>
      </c>
      <c r="C1287" s="47" t="s">
        <v>40</v>
      </c>
      <c r="D1287" s="49" t="s">
        <v>262</v>
      </c>
      <c r="E1287" s="47">
        <v>143276</v>
      </c>
      <c r="G1287" s="50" t="s">
        <v>244</v>
      </c>
      <c r="H1287" s="51">
        <v>27.478999999999999</v>
      </c>
      <c r="J1287" s="51">
        <v>5.09</v>
      </c>
      <c r="K1287" s="74">
        <f>Tabela6[[#This Row],[CONSUMO]]*Tabela6[[#This Row],[VALOR UNIT]]-Tabela6[[#This Row],[DESCONTO]]</f>
        <v>139.86811</v>
      </c>
      <c r="L1287" s="53">
        <f>Tabela6[[#This Row],[CUSTO TOTAL]]/Tabela6[[#This Row],[CONSUMO]]</f>
        <v>5.09</v>
      </c>
      <c r="M1287" s="50">
        <f>Tabela6[[#This Row],[KM ATUAL]]-E1261</f>
        <v>13513</v>
      </c>
      <c r="N1287" s="51">
        <f>Tabela6[[#This Row],[KM Rodados ]]/Tabela6[[#This Row],[CONSUMO]]</f>
        <v>491.75734197023183</v>
      </c>
    </row>
    <row r="1288" spans="1:14" x14ac:dyDescent="0.25">
      <c r="A1288" s="47">
        <v>184486</v>
      </c>
      <c r="B1288" s="78">
        <v>45076</v>
      </c>
      <c r="C1288" s="47" t="s">
        <v>68</v>
      </c>
      <c r="D1288" s="49" t="s">
        <v>262</v>
      </c>
      <c r="E1288" s="47">
        <v>889071</v>
      </c>
      <c r="G1288" s="50" t="s">
        <v>89</v>
      </c>
      <c r="H1288" s="51">
        <v>355.08</v>
      </c>
      <c r="J1288" s="51">
        <v>4.99</v>
      </c>
      <c r="K1288" s="51">
        <f>Tabela6[[#This Row],[CONSUMO]]*Tabela6[[#This Row],[VALOR UNIT]]-Tabela6[[#This Row],[DESCONTO]]</f>
        <v>1771.8492000000001</v>
      </c>
      <c r="L1288" s="53">
        <f>Tabela6[[#This Row],[CUSTO TOTAL]]/Tabela6[[#This Row],[CONSUMO]]</f>
        <v>4.99</v>
      </c>
      <c r="M1288" s="50">
        <f>Tabela6[[#This Row],[KM ATUAL]]-E1264</f>
        <v>746368</v>
      </c>
      <c r="N1288" s="51">
        <f>Tabela6[[#This Row],[KM Rodados ]]/Tabela6[[#This Row],[CONSUMO]]</f>
        <v>2101.971386729751</v>
      </c>
    </row>
    <row r="1289" spans="1:14" x14ac:dyDescent="0.25">
      <c r="A1289" s="47">
        <v>301594</v>
      </c>
      <c r="B1289" s="78">
        <v>45076</v>
      </c>
      <c r="C1289" s="47" t="s">
        <v>8</v>
      </c>
      <c r="D1289" s="49" t="s">
        <v>276</v>
      </c>
      <c r="E1289" s="47">
        <v>872713</v>
      </c>
      <c r="G1289" s="50" t="s">
        <v>89</v>
      </c>
      <c r="H1289" s="51">
        <v>56.12</v>
      </c>
      <c r="J1289" s="51">
        <v>4.99</v>
      </c>
      <c r="K1289" s="52">
        <f>Tabela6[[#This Row],[CONSUMO]]*Tabela6[[#This Row],[VALOR UNIT]]-Tabela6[[#This Row],[DESCONTO]]</f>
        <v>280.03879999999998</v>
      </c>
      <c r="L1289" s="53">
        <f>Tabela6[[#This Row],[CUSTO TOTAL]]/Tabela6[[#This Row],[CONSUMO]]</f>
        <v>4.99</v>
      </c>
      <c r="M1289" s="50">
        <f>Tabela6[[#This Row],[KM ATUAL]]-E1288</f>
        <v>-16358</v>
      </c>
      <c r="N1289" s="51">
        <f>Tabela6[[#This Row],[KM Rodados ]]/Tabela6[[#This Row],[CONSUMO]]</f>
        <v>-291.48253741981472</v>
      </c>
    </row>
    <row r="1290" spans="1:14" x14ac:dyDescent="0.25">
      <c r="A1290" s="47">
        <v>552892</v>
      </c>
      <c r="B1290" s="78">
        <v>45076</v>
      </c>
      <c r="C1290" s="47" t="s">
        <v>70</v>
      </c>
      <c r="D1290" s="49" t="s">
        <v>275</v>
      </c>
      <c r="E1290" s="47">
        <v>204367</v>
      </c>
      <c r="G1290" s="50" t="s">
        <v>89</v>
      </c>
      <c r="H1290" s="51">
        <v>701.41099999999994</v>
      </c>
      <c r="J1290" s="51">
        <v>4.99</v>
      </c>
      <c r="K1290" s="51">
        <f>Tabela6[[#This Row],[CONSUMO]]*Tabela6[[#This Row],[VALOR UNIT]]-Tabela6[[#This Row],[DESCONTO]]</f>
        <v>3500.0408899999998</v>
      </c>
      <c r="L1290" s="53">
        <f>Tabela6[[#This Row],[CUSTO TOTAL]]/Tabela6[[#This Row],[CONSUMO]]</f>
        <v>4.99</v>
      </c>
      <c r="M1290" s="50">
        <f>Tabela6[[#This Row],[KM ATUAL]]-E1239</f>
        <v>-461031</v>
      </c>
      <c r="N1290" s="51">
        <f>Tabela6[[#This Row],[KM Rodados ]]/Tabela6[[#This Row],[CONSUMO]]</f>
        <v>-657.29080382258053</v>
      </c>
    </row>
    <row r="1291" spans="1:14" x14ac:dyDescent="0.25">
      <c r="A1291" s="47">
        <v>102520</v>
      </c>
      <c r="B1291" s="78">
        <v>45076</v>
      </c>
      <c r="C1291" s="47" t="s">
        <v>10</v>
      </c>
      <c r="D1291" s="49" t="s">
        <v>263</v>
      </c>
      <c r="E1291" s="47">
        <v>715957</v>
      </c>
      <c r="G1291" s="50" t="s">
        <v>89</v>
      </c>
      <c r="H1291" s="51">
        <v>147.18100000000001</v>
      </c>
      <c r="I1291" s="49">
        <v>14.72</v>
      </c>
      <c r="J1291" s="51">
        <v>4.99</v>
      </c>
      <c r="K1291" s="51">
        <f>Tabela6[[#This Row],[CONSUMO]]*Tabela6[[#This Row],[VALOR UNIT]]-Tabela6[[#This Row],[DESCONTO]]</f>
        <v>719.71319000000005</v>
      </c>
      <c r="L1291" s="53">
        <f>Tabela6[[#This Row],[CUSTO TOTAL]]/Tabela6[[#This Row],[CONSUMO]]</f>
        <v>4.8899870907250254</v>
      </c>
      <c r="M1291" s="50">
        <f>Tabela6[[#This Row],[KM ATUAL]]-E1254</f>
        <v>505</v>
      </c>
      <c r="N1291" s="51">
        <f>Tabela6[[#This Row],[KM Rodados ]]/Tabela6[[#This Row],[CONSUMO]]</f>
        <v>3.4311494010775845</v>
      </c>
    </row>
    <row r="1292" spans="1:14" x14ac:dyDescent="0.25">
      <c r="A1292" s="47">
        <v>244062</v>
      </c>
      <c r="B1292" s="78">
        <v>45076</v>
      </c>
      <c r="C1292" s="47" t="s">
        <v>13</v>
      </c>
      <c r="D1292" s="49" t="s">
        <v>272</v>
      </c>
      <c r="E1292" s="47">
        <v>621954</v>
      </c>
      <c r="G1292" s="50" t="s">
        <v>89</v>
      </c>
      <c r="H1292" s="51">
        <v>92.02</v>
      </c>
      <c r="J1292" s="51">
        <v>4.79</v>
      </c>
      <c r="K1292" s="51">
        <f>Tabela6[[#This Row],[CONSUMO]]*Tabela6[[#This Row],[VALOR UNIT]]-Tabela6[[#This Row],[DESCONTO]]</f>
        <v>440.7758</v>
      </c>
      <c r="L1292" s="53">
        <f>Tabela6[[#This Row],[CUSTO TOTAL]]/Tabela6[[#This Row],[CONSUMO]]</f>
        <v>4.79</v>
      </c>
      <c r="M1292" s="50">
        <f>Tabela6[[#This Row],[KM ATUAL]]-E1283</f>
        <v>402</v>
      </c>
      <c r="N1292" s="51">
        <f>Tabela6[[#This Row],[KM Rodados ]]/Tabela6[[#This Row],[CONSUMO]]</f>
        <v>4.3686155183655728</v>
      </c>
    </row>
    <row r="1293" spans="1:14" x14ac:dyDescent="0.25">
      <c r="A1293" s="47">
        <v>537447</v>
      </c>
      <c r="B1293" s="78">
        <v>45076</v>
      </c>
      <c r="C1293" s="47" t="s">
        <v>38</v>
      </c>
      <c r="D1293" s="49" t="s">
        <v>255</v>
      </c>
      <c r="E1293" s="47">
        <v>130338</v>
      </c>
      <c r="G1293" s="50" t="s">
        <v>244</v>
      </c>
      <c r="H1293" s="51">
        <v>51.38</v>
      </c>
      <c r="J1293" s="51">
        <v>5.19</v>
      </c>
      <c r="K1293" s="51">
        <f>Tabela6[[#This Row],[CONSUMO]]*Tabela6[[#This Row],[VALOR UNIT]]-Tabela6[[#This Row],[DESCONTO]]</f>
        <v>266.66220000000004</v>
      </c>
      <c r="L1293" s="53">
        <f>Tabela6[[#This Row],[CUSTO TOTAL]]/Tabela6[[#This Row],[CONSUMO]]</f>
        <v>5.19</v>
      </c>
      <c r="M1293" s="50">
        <f>Tabela6[[#This Row],[KM ATUAL]]-E1258</f>
        <v>-490897</v>
      </c>
      <c r="N1293" s="51">
        <f>Tabela6[[#This Row],[KM Rodados ]]/Tabela6[[#This Row],[CONSUMO]]</f>
        <v>-9554.2428960685083</v>
      </c>
    </row>
    <row r="1294" spans="1:14" x14ac:dyDescent="0.25">
      <c r="A1294" s="47">
        <v>301581</v>
      </c>
      <c r="B1294" s="78">
        <v>45076</v>
      </c>
      <c r="C1294" s="47" t="s">
        <v>40</v>
      </c>
      <c r="D1294" s="49" t="s">
        <v>276</v>
      </c>
      <c r="E1294" s="47">
        <v>143844</v>
      </c>
      <c r="G1294" s="50" t="s">
        <v>244</v>
      </c>
      <c r="H1294" s="51">
        <v>44.8</v>
      </c>
      <c r="J1294" s="51">
        <v>5.09</v>
      </c>
      <c r="K1294" s="74">
        <f>Tabela6[[#This Row],[CONSUMO]]*Tabela6[[#This Row],[VALOR UNIT]]-Tabela6[[#This Row],[DESCONTO]]</f>
        <v>228.03199999999998</v>
      </c>
      <c r="L1294" s="53">
        <f>Tabela6[[#This Row],[CUSTO TOTAL]]/Tabela6[[#This Row],[CONSUMO]]</f>
        <v>5.09</v>
      </c>
      <c r="M1294" s="50">
        <f>Tabela6[[#This Row],[KM ATUAL]]-E1284</f>
        <v>-206962</v>
      </c>
      <c r="N1294" s="51">
        <f>Tabela6[[#This Row],[KM Rodados ]]/Tabela6[[#This Row],[CONSUMO]]</f>
        <v>-4619.6875</v>
      </c>
    </row>
    <row r="1295" spans="1:14" x14ac:dyDescent="0.25">
      <c r="A1295" s="47">
        <v>191204</v>
      </c>
      <c r="B1295" s="78">
        <v>45076</v>
      </c>
      <c r="C1295" s="47" t="s">
        <v>74</v>
      </c>
      <c r="D1295" s="49" t="s">
        <v>268</v>
      </c>
      <c r="E1295" s="47">
        <v>55938</v>
      </c>
      <c r="G1295" s="50" t="s">
        <v>89</v>
      </c>
      <c r="H1295" s="51">
        <v>99.07</v>
      </c>
      <c r="J1295" s="51">
        <v>4.8899999999999997</v>
      </c>
      <c r="K1295" s="52">
        <f>Tabela6[[#This Row],[CONSUMO]]*Tabela6[[#This Row],[VALOR UNIT]]-Tabela6[[#This Row],[DESCONTO]]</f>
        <v>484.45229999999992</v>
      </c>
      <c r="L1295" s="53">
        <f>Tabela6[[#This Row],[CUSTO TOTAL]]/Tabela6[[#This Row],[CONSUMO]]</f>
        <v>4.8899999999999997</v>
      </c>
      <c r="M1295" s="50">
        <f>Tabela6[[#This Row],[KM ATUAL]]-E1282</f>
        <v>-605295</v>
      </c>
      <c r="N1295" s="51">
        <f>Tabela6[[#This Row],[KM Rodados ]]/Tabela6[[#This Row],[CONSUMO]]</f>
        <v>-6109.7708690824675</v>
      </c>
    </row>
    <row r="1296" spans="1:14" x14ac:dyDescent="0.25">
      <c r="A1296" s="47">
        <v>163327</v>
      </c>
      <c r="B1296" s="78">
        <v>45077</v>
      </c>
      <c r="C1296" s="47" t="s">
        <v>8</v>
      </c>
      <c r="D1296" s="49" t="s">
        <v>274</v>
      </c>
      <c r="E1296" s="47">
        <v>873034</v>
      </c>
      <c r="G1296" s="50" t="s">
        <v>89</v>
      </c>
      <c r="H1296" s="51">
        <v>85.007999999999996</v>
      </c>
      <c r="J1296" s="51">
        <v>4.79</v>
      </c>
      <c r="K1296" s="52">
        <f>Tabela6[[#This Row],[CONSUMO]]*Tabela6[[#This Row],[VALOR UNIT]]-Tabela6[[#This Row],[DESCONTO]]</f>
        <v>407.18831999999998</v>
      </c>
      <c r="L1296" s="53">
        <f>Tabela6[[#This Row],[CUSTO TOTAL]]/Tabela6[[#This Row],[CONSUMO]]</f>
        <v>4.79</v>
      </c>
      <c r="M1296" s="50">
        <f>Tabela6[[#This Row],[KM ATUAL]]-E1291</f>
        <v>157077</v>
      </c>
      <c r="N1296" s="51">
        <f>Tabela6[[#This Row],[KM Rodados ]]/Tabela6[[#This Row],[CONSUMO]]</f>
        <v>1847.7907961603614</v>
      </c>
    </row>
    <row r="1297" spans="1:14" x14ac:dyDescent="0.25">
      <c r="A1297" s="47">
        <v>383053</v>
      </c>
      <c r="B1297" s="78">
        <v>45077</v>
      </c>
      <c r="C1297" s="47" t="s">
        <v>9</v>
      </c>
      <c r="D1297" s="49" t="s">
        <v>253</v>
      </c>
      <c r="E1297" s="47">
        <v>604451</v>
      </c>
      <c r="G1297" s="50" t="s">
        <v>89</v>
      </c>
      <c r="H1297" s="51">
        <v>118.17</v>
      </c>
      <c r="I1297" s="49">
        <v>35.450000000000003</v>
      </c>
      <c r="J1297" s="51">
        <v>5.59</v>
      </c>
      <c r="K1297" s="51">
        <f>Tabela6[[#This Row],[CONSUMO]]*Tabela6[[#This Row],[VALOR UNIT]]-Tabela6[[#This Row],[DESCONTO]]</f>
        <v>625.12029999999993</v>
      </c>
      <c r="L1297" s="53">
        <f>Tabela6[[#This Row],[CUSTO TOTAL]]/Tabela6[[#This Row],[CONSUMO]]</f>
        <v>5.2900084623846997</v>
      </c>
      <c r="M1297" s="50">
        <f>Tabela6[[#This Row],[KM ATUAL]]-E1279</f>
        <v>278411</v>
      </c>
      <c r="N1297" s="51">
        <f>Tabela6[[#This Row],[KM Rodados ]]/Tabela6[[#This Row],[CONSUMO]]</f>
        <v>2356.0209867140561</v>
      </c>
    </row>
    <row r="1298" spans="1:14" x14ac:dyDescent="0.25">
      <c r="A1298" s="47">
        <v>612640</v>
      </c>
      <c r="B1298" s="78">
        <v>45077</v>
      </c>
      <c r="C1298" s="47" t="s">
        <v>72</v>
      </c>
      <c r="D1298" s="49" t="s">
        <v>271</v>
      </c>
      <c r="E1298" s="47">
        <v>393462</v>
      </c>
      <c r="G1298" s="50" t="s">
        <v>89</v>
      </c>
      <c r="H1298" s="51">
        <v>38.9</v>
      </c>
      <c r="J1298" s="51">
        <v>4.8899999999999997</v>
      </c>
      <c r="K1298" s="51">
        <f>Tabela6[[#This Row],[CONSUMO]]*Tabela6[[#This Row],[VALOR UNIT]]-Tabela6[[#This Row],[DESCONTO]]</f>
        <v>190.22099999999998</v>
      </c>
      <c r="L1298" s="53">
        <f>Tabela6[[#This Row],[CUSTO TOTAL]]/Tabela6[[#This Row],[CONSUMO]]</f>
        <v>4.8899999999999997</v>
      </c>
      <c r="M1298" s="50">
        <f>Tabela6[[#This Row],[KM ATUAL]]-E1281</f>
        <v>279</v>
      </c>
      <c r="N1298" s="51">
        <f>Tabela6[[#This Row],[KM Rodados ]]/Tabela6[[#This Row],[CONSUMO]]</f>
        <v>7.1722365038560412</v>
      </c>
    </row>
    <row r="1299" spans="1:14" x14ac:dyDescent="0.25">
      <c r="A1299" s="47">
        <v>163379</v>
      </c>
      <c r="B1299" s="78">
        <v>45077</v>
      </c>
      <c r="C1299" s="47" t="s">
        <v>73</v>
      </c>
      <c r="D1299" s="49" t="s">
        <v>274</v>
      </c>
      <c r="E1299" s="47">
        <v>120803</v>
      </c>
      <c r="G1299" s="50" t="s">
        <v>89</v>
      </c>
      <c r="H1299" s="51">
        <v>163.86799999999999</v>
      </c>
      <c r="J1299" s="51">
        <v>4.8899999999999997</v>
      </c>
      <c r="K1299" s="51">
        <f>Tabela6[[#This Row],[CONSUMO]]*Tabela6[[#This Row],[VALOR UNIT]]-Tabela6[[#This Row],[DESCONTO]]</f>
        <v>801.3145199999999</v>
      </c>
      <c r="L1299" s="53">
        <f>Tabela6[[#This Row],[CUSTO TOTAL]]/Tabela6[[#This Row],[CONSUMO]]</f>
        <v>4.8899999999999997</v>
      </c>
      <c r="M1299" s="50">
        <f>Tabela6[[#This Row],[KM ATUAL]]-E1227</f>
        <v>-539730</v>
      </c>
      <c r="N1299" s="51">
        <f>Tabela6[[#This Row],[KM Rodados ]]/Tabela6[[#This Row],[CONSUMO]]</f>
        <v>-3293.6876022164183</v>
      </c>
    </row>
    <row r="1300" spans="1:14" x14ac:dyDescent="0.25">
      <c r="A1300" s="47">
        <v>279736</v>
      </c>
      <c r="B1300" s="78">
        <v>45077</v>
      </c>
      <c r="C1300" s="47" t="s">
        <v>71</v>
      </c>
      <c r="D1300" s="49" t="s">
        <v>270</v>
      </c>
      <c r="E1300" s="47">
        <v>102663</v>
      </c>
      <c r="G1300" s="50" t="s">
        <v>89</v>
      </c>
      <c r="H1300" s="51">
        <v>470</v>
      </c>
      <c r="J1300" s="51">
        <v>4.8899999999999997</v>
      </c>
      <c r="K1300" s="51">
        <f>Tabela6[[#This Row],[CONSUMO]]*Tabela6[[#This Row],[VALOR UNIT]]-Tabela6[[#This Row],[DESCONTO]]</f>
        <v>2298.2999999999997</v>
      </c>
      <c r="L1300" s="53">
        <f>Tabela6[[#This Row],[CUSTO TOTAL]]/Tabela6[[#This Row],[CONSUMO]]</f>
        <v>4.8899999999999997</v>
      </c>
      <c r="M1300" s="50">
        <f>Tabela6[[#This Row],[KM ATUAL]]-E1173</f>
        <v>-288332</v>
      </c>
      <c r="N1300" s="51">
        <f>Tabela6[[#This Row],[KM Rodados ]]/Tabela6[[#This Row],[CONSUMO]]</f>
        <v>-613.47234042553191</v>
      </c>
    </row>
    <row r="1301" spans="1:14" x14ac:dyDescent="0.25">
      <c r="A1301" s="47" t="s">
        <v>314</v>
      </c>
      <c r="B1301" s="78">
        <v>45077</v>
      </c>
      <c r="C1301" s="47" t="s">
        <v>15</v>
      </c>
      <c r="E1301" s="47">
        <v>365133</v>
      </c>
      <c r="G1301" s="50" t="s">
        <v>89</v>
      </c>
      <c r="H1301" s="51">
        <v>98.62</v>
      </c>
      <c r="K1301" s="52">
        <f>Tabela6[[#This Row],[CONSUMO]]*Tabela6[[#This Row],[VALOR UNIT]]-Tabela6[[#This Row],[DESCONTO]]</f>
        <v>0</v>
      </c>
      <c r="L1301" s="53">
        <f>Tabela6[[#This Row],[CUSTO TOTAL]]/Tabela6[[#This Row],[CONSUMO]]</f>
        <v>0</v>
      </c>
      <c r="M1301" s="50">
        <f>Tabela6[[#This Row],[KM ATUAL]]-E1216</f>
        <v>550</v>
      </c>
      <c r="N1301" s="51">
        <f>Tabela6[[#This Row],[KM Rodados ]]/Tabela6[[#This Row],[CONSUMO]]</f>
        <v>5.5769620766578782</v>
      </c>
    </row>
    <row r="1302" spans="1:14" x14ac:dyDescent="0.25">
      <c r="A1302" s="47" t="s">
        <v>314</v>
      </c>
      <c r="B1302" s="78">
        <v>45077</v>
      </c>
      <c r="C1302" s="47" t="s">
        <v>15</v>
      </c>
      <c r="E1302" s="47">
        <v>365755</v>
      </c>
      <c r="G1302" s="50" t="s">
        <v>89</v>
      </c>
      <c r="H1302" s="51">
        <v>105.23</v>
      </c>
      <c r="K1302" s="52">
        <f>Tabela6[[#This Row],[CONSUMO]]*Tabela6[[#This Row],[VALOR UNIT]]-Tabela6[[#This Row],[DESCONTO]]</f>
        <v>0</v>
      </c>
      <c r="L1302" s="53">
        <f>Tabela6[[#This Row],[CUSTO TOTAL]]/Tabela6[[#This Row],[CONSUMO]]</f>
        <v>0</v>
      </c>
      <c r="M1302" s="50">
        <f>Tabela6[[#This Row],[KM ATUAL]]-E1301</f>
        <v>622</v>
      </c>
      <c r="N1302" s="51">
        <f>Tabela6[[#This Row],[KM Rodados ]]/Tabela6[[#This Row],[CONSUMO]]</f>
        <v>5.9108619215052736</v>
      </c>
    </row>
    <row r="1303" spans="1:14" x14ac:dyDescent="0.25">
      <c r="A1303" s="47">
        <v>103060</v>
      </c>
      <c r="B1303" s="78">
        <v>45077</v>
      </c>
      <c r="C1303" s="47" t="s">
        <v>15</v>
      </c>
      <c r="D1303" s="49" t="s">
        <v>263</v>
      </c>
      <c r="E1303" s="47">
        <v>365998</v>
      </c>
      <c r="G1303" s="50" t="s">
        <v>89</v>
      </c>
      <c r="H1303" s="51">
        <v>40.081000000000003</v>
      </c>
      <c r="I1303" s="49">
        <v>4.01</v>
      </c>
      <c r="J1303" s="51">
        <v>4.99</v>
      </c>
      <c r="K1303" s="52">
        <f>Tabela6[[#This Row],[CONSUMO]]*Tabela6[[#This Row],[VALOR UNIT]]-Tabela6[[#This Row],[DESCONTO]]</f>
        <v>195.99419000000003</v>
      </c>
      <c r="L1303" s="53">
        <f>Tabela6[[#This Row],[CUSTO TOTAL]]/Tabela6[[#This Row],[CONSUMO]]</f>
        <v>4.8899525959931145</v>
      </c>
      <c r="M1303" s="50">
        <f>Tabela6[[#This Row],[KM ATUAL]]-E1301</f>
        <v>865</v>
      </c>
      <c r="N1303" s="51">
        <f>Tabela6[[#This Row],[KM Rodados ]]/Tabela6[[#This Row],[CONSUMO]]</f>
        <v>21.581297871809586</v>
      </c>
    </row>
    <row r="1304" spans="1:14" x14ac:dyDescent="0.25">
      <c r="A1304" s="47">
        <v>279774</v>
      </c>
      <c r="B1304" s="78">
        <v>45077</v>
      </c>
      <c r="C1304" s="47" t="s">
        <v>17</v>
      </c>
      <c r="D1304" s="49" t="s">
        <v>270</v>
      </c>
      <c r="E1304" s="47">
        <v>352235</v>
      </c>
      <c r="G1304" s="50" t="s">
        <v>89</v>
      </c>
      <c r="H1304" s="51">
        <v>241.32</v>
      </c>
      <c r="J1304" s="51">
        <v>4.8899999999999997</v>
      </c>
      <c r="K1304" s="51">
        <f>Tabela6[[#This Row],[CONSUMO]]*Tabela6[[#This Row],[VALOR UNIT]]-Tabela6[[#This Row],[DESCONTO]]</f>
        <v>1180.0547999999999</v>
      </c>
      <c r="L1304" s="53">
        <f>Tabela6[[#This Row],[CUSTO TOTAL]]/Tabela6[[#This Row],[CONSUMO]]</f>
        <v>4.8899999999999997</v>
      </c>
      <c r="M1304" s="50">
        <f>Tabela6[[#This Row],[KM ATUAL]]-E1288</f>
        <v>-536836</v>
      </c>
      <c r="N1304" s="51">
        <f>Tabela6[[#This Row],[KM Rodados ]]/Tabela6[[#This Row],[CONSUMO]]</f>
        <v>-2224.5814685894247</v>
      </c>
    </row>
    <row r="1305" spans="1:14" x14ac:dyDescent="0.25">
      <c r="A1305" s="47">
        <v>382772</v>
      </c>
      <c r="B1305" s="78">
        <v>45077</v>
      </c>
      <c r="C1305" s="47" t="s">
        <v>19</v>
      </c>
      <c r="D1305" s="49" t="s">
        <v>253</v>
      </c>
      <c r="E1305" s="47">
        <v>308868</v>
      </c>
      <c r="G1305" s="50" t="s">
        <v>89</v>
      </c>
      <c r="H1305" s="51">
        <v>128.82</v>
      </c>
      <c r="I1305" s="49">
        <v>38.64</v>
      </c>
      <c r="J1305" s="51">
        <v>5.59</v>
      </c>
      <c r="K1305" s="51">
        <f>Tabela6[[#This Row],[CONSUMO]]*Tabela6[[#This Row],[VALOR UNIT]]-Tabela6[[#This Row],[DESCONTO]]</f>
        <v>681.46379999999999</v>
      </c>
      <c r="L1305" s="53">
        <f>Tabela6[[#This Row],[CUSTO TOTAL]]/Tabela6[[#This Row],[CONSUMO]]</f>
        <v>5.2900465766185381</v>
      </c>
      <c r="M1305" s="50">
        <f>Tabela6[[#This Row],[KM ATUAL]]-E1270</f>
        <v>166354</v>
      </c>
      <c r="N1305" s="51">
        <f>Tabela6[[#This Row],[KM Rodados ]]/Tabela6[[#This Row],[CONSUMO]]</f>
        <v>1291.367800031051</v>
      </c>
    </row>
    <row r="1306" spans="1:14" x14ac:dyDescent="0.25">
      <c r="A1306" s="47">
        <v>184629</v>
      </c>
      <c r="B1306" s="78">
        <v>45077</v>
      </c>
      <c r="C1306" s="47" t="s">
        <v>20</v>
      </c>
      <c r="D1306" s="49" t="s">
        <v>262</v>
      </c>
      <c r="E1306" s="47">
        <v>252092</v>
      </c>
      <c r="G1306" s="50" t="s">
        <v>89</v>
      </c>
      <c r="H1306" s="51">
        <v>60.2</v>
      </c>
      <c r="J1306" s="51">
        <v>4.99</v>
      </c>
      <c r="K1306" s="52">
        <f>Tabela6[[#This Row],[CONSUMO]]*Tabela6[[#This Row],[VALOR UNIT]]-Tabela6[[#This Row],[DESCONTO]]</f>
        <v>300.39800000000002</v>
      </c>
      <c r="L1306" s="53">
        <f>Tabela6[[#This Row],[CUSTO TOTAL]]/Tabela6[[#This Row],[CONSUMO]]</f>
        <v>4.99</v>
      </c>
      <c r="M1306" s="50">
        <f>Tabela6[[#This Row],[KM ATUAL]]-E1272</f>
        <v>524</v>
      </c>
      <c r="N1306" s="51">
        <f>Tabela6[[#This Row],[KM Rodados ]]/Tabela6[[#This Row],[CONSUMO]]</f>
        <v>8.7043189368770761</v>
      </c>
    </row>
    <row r="1307" spans="1:14" x14ac:dyDescent="0.25">
      <c r="A1307" s="47">
        <v>254770</v>
      </c>
      <c r="B1307" s="78">
        <v>45078</v>
      </c>
      <c r="C1307" s="47" t="s">
        <v>68</v>
      </c>
      <c r="D1307" s="49" t="s">
        <v>263</v>
      </c>
      <c r="E1307" s="47">
        <v>889965</v>
      </c>
      <c r="G1307" s="50" t="s">
        <v>89</v>
      </c>
      <c r="H1307" s="51">
        <v>391.45100000000002</v>
      </c>
      <c r="I1307" s="49">
        <v>39.15</v>
      </c>
      <c r="J1307" s="51">
        <v>4.99</v>
      </c>
      <c r="K1307" s="51">
        <f>Tabela6[[#This Row],[CONSUMO]]*Tabela6[[#This Row],[VALOR UNIT]]-Tabela6[[#This Row],[DESCONTO]]</f>
        <v>1914.1904900000002</v>
      </c>
      <c r="L1307" s="53">
        <f>Tabela6[[#This Row],[CUSTO TOTAL]]/Tabela6[[#This Row],[CONSUMO]]</f>
        <v>4.8899874824690706</v>
      </c>
      <c r="M1307" s="50">
        <f>Tabela6[[#This Row],[KM ATUAL]]-E1280</f>
        <v>801766</v>
      </c>
      <c r="N1307" s="51">
        <f>Tabela6[[#This Row],[KM Rodados ]]/Tabela6[[#This Row],[CONSUMO]]</f>
        <v>2048.1899394815696</v>
      </c>
    </row>
    <row r="1308" spans="1:14" x14ac:dyDescent="0.25">
      <c r="A1308" s="47">
        <v>184830</v>
      </c>
      <c r="B1308" s="78">
        <v>45078</v>
      </c>
      <c r="C1308" s="47" t="s">
        <v>43</v>
      </c>
      <c r="D1308" s="49" t="s">
        <v>262</v>
      </c>
      <c r="E1308" s="47">
        <v>126165</v>
      </c>
      <c r="G1308" s="50" t="s">
        <v>89</v>
      </c>
      <c r="H1308" s="51">
        <v>42.91</v>
      </c>
      <c r="J1308" s="51">
        <v>4.99</v>
      </c>
      <c r="K1308" s="52">
        <f>Tabela6[[#This Row],[CONSUMO]]*Tabela6[[#This Row],[VALOR UNIT]]-Tabela6[[#This Row],[DESCONTO]]</f>
        <v>214.12090000000001</v>
      </c>
      <c r="L1308" s="53">
        <f>Tabela6[[#This Row],[CUSTO TOTAL]]/Tabela6[[#This Row],[CONSUMO]]</f>
        <v>4.99</v>
      </c>
      <c r="M1308" s="50">
        <f>Tabela6[[#This Row],[KM ATUAL]]-E1280</f>
        <v>37966</v>
      </c>
      <c r="N1308" s="72">
        <f>Tabela6[[#This Row],[KM Rodados ]]/Tabela6[[#This Row],[CONSUMO]]</f>
        <v>884.78210207410871</v>
      </c>
    </row>
    <row r="1309" spans="1:14" x14ac:dyDescent="0.25">
      <c r="A1309" s="47">
        <v>738181</v>
      </c>
      <c r="B1309" s="78">
        <v>45078</v>
      </c>
      <c r="C1309" s="47" t="s">
        <v>8</v>
      </c>
      <c r="D1309" s="49" t="s">
        <v>292</v>
      </c>
      <c r="E1309" s="47">
        <v>873373</v>
      </c>
      <c r="G1309" s="50" t="s">
        <v>89</v>
      </c>
      <c r="H1309" s="51">
        <v>85.87</v>
      </c>
      <c r="I1309" s="49">
        <v>12.88</v>
      </c>
      <c r="J1309" s="51">
        <v>4.8499999999999996</v>
      </c>
      <c r="K1309" s="52">
        <f>Tabela6[[#This Row],[CONSUMO]]*Tabela6[[#This Row],[VALOR UNIT]]-Tabela6[[#This Row],[DESCONTO]]</f>
        <v>403.58949999999999</v>
      </c>
      <c r="L1309" s="53">
        <f>Tabela6[[#This Row],[CUSTO TOTAL]]/Tabela6[[#This Row],[CONSUMO]]</f>
        <v>4.7000058227553279</v>
      </c>
      <c r="M1309" s="50">
        <f>Tabela6[[#This Row],[KM ATUAL]]-E1298</f>
        <v>479911</v>
      </c>
      <c r="N1309" s="51">
        <f>Tabela6[[#This Row],[KM Rodados ]]/Tabela6[[#This Row],[CONSUMO]]</f>
        <v>5588.8086642599274</v>
      </c>
    </row>
    <row r="1310" spans="1:14" x14ac:dyDescent="0.25">
      <c r="A1310" s="47">
        <v>667340</v>
      </c>
      <c r="B1310" s="78">
        <v>45078</v>
      </c>
      <c r="C1310" s="47" t="s">
        <v>8</v>
      </c>
      <c r="D1310" s="49" t="s">
        <v>274</v>
      </c>
      <c r="E1310" s="47">
        <v>873611</v>
      </c>
      <c r="G1310" s="50" t="s">
        <v>89</v>
      </c>
      <c r="H1310" s="51">
        <v>66.95</v>
      </c>
      <c r="J1310" s="51">
        <v>4.6900000000000004</v>
      </c>
      <c r="K1310" s="52">
        <f>Tabela6[[#This Row],[CONSUMO]]*Tabela6[[#This Row],[VALOR UNIT]]-Tabela6[[#This Row],[DESCONTO]]</f>
        <v>313.99550000000005</v>
      </c>
      <c r="L1310" s="53">
        <f>Tabela6[[#This Row],[CUSTO TOTAL]]/Tabela6[[#This Row],[CONSUMO]]</f>
        <v>4.6900000000000004</v>
      </c>
      <c r="M1310" s="50">
        <f>Tabela6[[#This Row],[KM ATUAL]]-E1304</f>
        <v>521376</v>
      </c>
      <c r="N1310" s="51">
        <f>Tabela6[[#This Row],[KM Rodados ]]/Tabela6[[#This Row],[CONSUMO]]</f>
        <v>7787.5429424943986</v>
      </c>
    </row>
    <row r="1311" spans="1:14" x14ac:dyDescent="0.25">
      <c r="A1311" s="47" t="s">
        <v>314</v>
      </c>
      <c r="B1311" s="78">
        <v>45078</v>
      </c>
      <c r="C1311" s="47" t="s">
        <v>42</v>
      </c>
      <c r="E1311" s="47">
        <v>363767</v>
      </c>
      <c r="G1311" s="50" t="s">
        <v>89</v>
      </c>
      <c r="H1311" s="51">
        <v>71.599999999999994</v>
      </c>
      <c r="K1311" s="52">
        <f>Tabela6[[#This Row],[CONSUMO]]*Tabela6[[#This Row],[VALOR UNIT]]-Tabela6[[#This Row],[DESCONTO]]</f>
        <v>0</v>
      </c>
      <c r="L1311" s="53">
        <f>Tabela6[[#This Row],[CUSTO TOTAL]]/Tabela6[[#This Row],[CONSUMO]]</f>
        <v>0</v>
      </c>
      <c r="M1311" s="50">
        <f>Tabela6[[#This Row],[KM ATUAL]]-E1246</f>
        <v>-256952</v>
      </c>
      <c r="N1311" s="72">
        <f>Tabela6[[#This Row],[KM Rodados ]]/Tabela6[[#This Row],[CONSUMO]]</f>
        <v>-3588.7150837988829</v>
      </c>
    </row>
    <row r="1312" spans="1:14" x14ac:dyDescent="0.25">
      <c r="A1312" s="47">
        <v>383680</v>
      </c>
      <c r="B1312" s="78">
        <v>45078</v>
      </c>
      <c r="C1312" s="47" t="s">
        <v>42</v>
      </c>
      <c r="D1312" s="49" t="s">
        <v>253</v>
      </c>
      <c r="E1312" s="47">
        <v>364130</v>
      </c>
      <c r="G1312" s="50" t="s">
        <v>89</v>
      </c>
      <c r="H1312" s="51">
        <v>69.709999999999994</v>
      </c>
      <c r="I1312" s="49">
        <v>20.91</v>
      </c>
      <c r="J1312" s="51">
        <v>5.59</v>
      </c>
      <c r="K1312" s="52">
        <f>Tabela6[[#This Row],[CONSUMO]]*Tabela6[[#This Row],[VALOR UNIT]]-Tabela6[[#This Row],[DESCONTO]]</f>
        <v>368.76889999999992</v>
      </c>
      <c r="L1312" s="53">
        <f>Tabela6[[#This Row],[CUSTO TOTAL]]/Tabela6[[#This Row],[CONSUMO]]</f>
        <v>5.2900430354325056</v>
      </c>
      <c r="M1312" s="50">
        <f>Tabela6[[#This Row],[KM ATUAL]]-E1311</f>
        <v>363</v>
      </c>
      <c r="N1312" s="51">
        <f>Tabela6[[#This Row],[KM Rodados ]]/Tabela6[[#This Row],[CONSUMO]]</f>
        <v>5.2072873332376997</v>
      </c>
    </row>
    <row r="1313" spans="1:14" x14ac:dyDescent="0.25">
      <c r="A1313" s="47">
        <v>279898</v>
      </c>
      <c r="B1313" s="78">
        <v>45078</v>
      </c>
      <c r="C1313" s="47" t="s">
        <v>222</v>
      </c>
      <c r="D1313" s="49" t="s">
        <v>270</v>
      </c>
      <c r="E1313" s="47">
        <v>477541</v>
      </c>
      <c r="G1313" s="50" t="s">
        <v>241</v>
      </c>
      <c r="H1313" s="51">
        <v>43.9</v>
      </c>
      <c r="J1313" s="51">
        <v>3.19</v>
      </c>
      <c r="K1313" s="51">
        <f>Tabela6[[#This Row],[CONSUMO]]*Tabela6[[#This Row],[VALOR UNIT]]-Tabela6[[#This Row],[DESCONTO]]</f>
        <v>140.041</v>
      </c>
      <c r="L1313" s="53">
        <f>Tabela6[[#This Row],[CUSTO TOTAL]]/Tabela6[[#This Row],[CONSUMO]]</f>
        <v>3.19</v>
      </c>
      <c r="M1313" s="50"/>
      <c r="N1313"/>
    </row>
    <row r="1314" spans="1:14" x14ac:dyDescent="0.25">
      <c r="A1314" s="47">
        <v>279898</v>
      </c>
      <c r="B1314" s="78">
        <v>45078</v>
      </c>
      <c r="C1314" s="47" t="s">
        <v>222</v>
      </c>
      <c r="D1314" s="49" t="s">
        <v>270</v>
      </c>
      <c r="E1314" s="47">
        <v>477541</v>
      </c>
      <c r="G1314" s="50" t="s">
        <v>89</v>
      </c>
      <c r="H1314" s="51">
        <v>330</v>
      </c>
      <c r="J1314" s="51">
        <v>4.8899999999999997</v>
      </c>
      <c r="K1314" s="51">
        <f>Tabela6[[#This Row],[CONSUMO]]*Tabela6[[#This Row],[VALOR UNIT]]-Tabela6[[#This Row],[DESCONTO]]</f>
        <v>1613.6999999999998</v>
      </c>
      <c r="L1314" s="53">
        <f>Tabela6[[#This Row],[CUSTO TOTAL]]/Tabela6[[#This Row],[CONSUMO]]</f>
        <v>4.8899999999999997</v>
      </c>
      <c r="M1314" s="50">
        <f>Tabela6[[#This Row],[KM ATUAL]]-E1273</f>
        <v>871</v>
      </c>
      <c r="N1314" s="51">
        <f>Tabela6[[#This Row],[KM Rodados ]]/Tabela6[[#This Row],[CONSUMO]]</f>
        <v>2.6393939393939392</v>
      </c>
    </row>
    <row r="1315" spans="1:14" x14ac:dyDescent="0.25">
      <c r="A1315" s="47">
        <v>384042</v>
      </c>
      <c r="B1315" s="78">
        <v>45078</v>
      </c>
      <c r="C1315" s="47" t="s">
        <v>67</v>
      </c>
      <c r="D1315" s="49" t="s">
        <v>253</v>
      </c>
      <c r="E1315" s="47">
        <v>666018</v>
      </c>
      <c r="G1315" s="50" t="s">
        <v>89</v>
      </c>
      <c r="H1315" s="51">
        <v>145.01</v>
      </c>
      <c r="I1315" s="49">
        <v>43.5</v>
      </c>
      <c r="J1315" s="51">
        <v>5.59</v>
      </c>
      <c r="K1315" s="51">
        <f>Tabela6[[#This Row],[CONSUMO]]*Tabela6[[#This Row],[VALOR UNIT]]-Tabela6[[#This Row],[DESCONTO]]</f>
        <v>767.10589999999991</v>
      </c>
      <c r="L1315" s="53">
        <f>Tabela6[[#This Row],[CUSTO TOTAL]]/Tabela6[[#This Row],[CONSUMO]]</f>
        <v>5.290020688228398</v>
      </c>
      <c r="M1315" s="50">
        <f>Tabela6[[#This Row],[KM ATUAL]]-E1251</f>
        <v>578849</v>
      </c>
      <c r="N1315" s="51">
        <f>Tabela6[[#This Row],[KM Rodados ]]/Tabela6[[#This Row],[CONSUMO]]</f>
        <v>3991.7867733259777</v>
      </c>
    </row>
    <row r="1316" spans="1:14" x14ac:dyDescent="0.25">
      <c r="A1316" s="47">
        <v>384036</v>
      </c>
      <c r="B1316" s="78">
        <v>45078</v>
      </c>
      <c r="C1316" s="47" t="s">
        <v>72</v>
      </c>
      <c r="D1316" s="49" t="s">
        <v>253</v>
      </c>
      <c r="E1316" s="47">
        <v>393828</v>
      </c>
      <c r="G1316" s="50" t="s">
        <v>89</v>
      </c>
      <c r="H1316" s="51">
        <v>43.89</v>
      </c>
      <c r="I1316" s="49">
        <v>13.17</v>
      </c>
      <c r="J1316" s="51">
        <v>5.59</v>
      </c>
      <c r="K1316" s="51">
        <f>Tabela6[[#This Row],[CONSUMO]]*Tabela6[[#This Row],[VALOR UNIT]]-Tabela6[[#This Row],[DESCONTO]]</f>
        <v>232.17510000000001</v>
      </c>
      <c r="L1316" s="53">
        <f>Tabela6[[#This Row],[CUSTO TOTAL]]/Tabela6[[#This Row],[CONSUMO]]</f>
        <v>5.2899316473000688</v>
      </c>
      <c r="M1316" s="50">
        <f>Tabela6[[#This Row],[KM ATUAL]]-E1310</f>
        <v>-479783</v>
      </c>
      <c r="N1316" s="51">
        <f>Tabela6[[#This Row],[KM Rodados ]]/Tabela6[[#This Row],[CONSUMO]]</f>
        <v>-10931.487810435179</v>
      </c>
    </row>
    <row r="1317" spans="1:14" x14ac:dyDescent="0.25">
      <c r="A1317" s="47">
        <v>383692</v>
      </c>
      <c r="B1317" s="78">
        <v>45078</v>
      </c>
      <c r="C1317" s="47" t="s">
        <v>11</v>
      </c>
      <c r="D1317" s="49" t="s">
        <v>253</v>
      </c>
      <c r="E1317" s="47">
        <v>393064</v>
      </c>
      <c r="G1317" s="50" t="s">
        <v>89</v>
      </c>
      <c r="H1317" s="51">
        <v>122.03</v>
      </c>
      <c r="I1317" s="49">
        <v>36.61</v>
      </c>
      <c r="J1317" s="51">
        <v>5.59</v>
      </c>
      <c r="K1317" s="51">
        <f>Tabela6[[#This Row],[CONSUMO]]*Tabela6[[#This Row],[VALOR UNIT]]-Tabela6[[#This Row],[DESCONTO]]</f>
        <v>645.53769999999997</v>
      </c>
      <c r="L1317" s="53">
        <f>Tabela6[[#This Row],[CUSTO TOTAL]]/Tabela6[[#This Row],[CONSUMO]]</f>
        <v>5.2899918052937798</v>
      </c>
      <c r="M1317" s="50">
        <f>Tabela6[[#This Row],[KM ATUAL]]-E1257</f>
        <v>81507</v>
      </c>
      <c r="N1317" s="51">
        <f>Tabela6[[#This Row],[KM Rodados ]]/Tabela6[[#This Row],[CONSUMO]]</f>
        <v>667.92591985577315</v>
      </c>
    </row>
    <row r="1318" spans="1:14" x14ac:dyDescent="0.25">
      <c r="A1318" s="47">
        <v>280042</v>
      </c>
      <c r="B1318" s="78">
        <v>45078</v>
      </c>
      <c r="C1318" s="47" t="s">
        <v>206</v>
      </c>
      <c r="D1318" s="49" t="s">
        <v>270</v>
      </c>
      <c r="E1318" s="47">
        <v>939761</v>
      </c>
      <c r="G1318" s="50" t="s">
        <v>89</v>
      </c>
      <c r="H1318" s="51">
        <v>557</v>
      </c>
      <c r="J1318" s="51">
        <v>4.8899999999999997</v>
      </c>
      <c r="K1318" s="51">
        <f>Tabela6[[#This Row],[CONSUMO]]*Tabela6[[#This Row],[VALOR UNIT]]-Tabela6[[#This Row],[DESCONTO]]</f>
        <v>2723.73</v>
      </c>
      <c r="L1318" s="53">
        <f>Tabela6[[#This Row],[CUSTO TOTAL]]/Tabela6[[#This Row],[CONSUMO]]</f>
        <v>4.8899999999999997</v>
      </c>
      <c r="M1318" s="50">
        <f>Tabela6[[#This Row],[KM ATUAL]]-E1260</f>
        <v>688507</v>
      </c>
      <c r="N1318" s="51">
        <f>Tabela6[[#This Row],[KM Rodados ]]/Tabela6[[#This Row],[CONSUMO]]</f>
        <v>1236.0987432675045</v>
      </c>
    </row>
    <row r="1319" spans="1:14" x14ac:dyDescent="0.25">
      <c r="A1319" s="47">
        <v>383738</v>
      </c>
      <c r="B1319" s="78">
        <v>45078</v>
      </c>
      <c r="C1319" s="47" t="s">
        <v>12</v>
      </c>
      <c r="D1319" s="49" t="s">
        <v>253</v>
      </c>
      <c r="E1319" s="47">
        <v>312135</v>
      </c>
      <c r="G1319" s="50" t="s">
        <v>89</v>
      </c>
      <c r="H1319" s="51">
        <v>107.13</v>
      </c>
      <c r="I1319" s="49">
        <v>32.14</v>
      </c>
      <c r="J1319" s="51">
        <v>5.59</v>
      </c>
      <c r="K1319" s="51">
        <f>Tabela6[[#This Row],[CONSUMO]]*Tabela6[[#This Row],[VALOR UNIT]]-Tabela6[[#This Row],[DESCONTO]]</f>
        <v>566.71669999999995</v>
      </c>
      <c r="L1319" s="53">
        <f>Tabela6[[#This Row],[CUSTO TOTAL]]/Tabela6[[#This Row],[CONSUMO]]</f>
        <v>5.2899906655465321</v>
      </c>
      <c r="M1319" s="50">
        <f>Tabela6[[#This Row],[KM ATUAL]]-E1259</f>
        <v>-154</v>
      </c>
      <c r="N1319" s="51">
        <f>Tabela6[[#This Row],[KM Rodados ]]/Tabela6[[#This Row],[CONSUMO]]</f>
        <v>-1.4375058340334175</v>
      </c>
    </row>
    <row r="1320" spans="1:14" x14ac:dyDescent="0.25">
      <c r="A1320" s="47">
        <v>244531</v>
      </c>
      <c r="B1320" s="78">
        <v>45078</v>
      </c>
      <c r="C1320" s="47" t="s">
        <v>13</v>
      </c>
      <c r="D1320" s="49" t="s">
        <v>272</v>
      </c>
      <c r="E1320" s="47">
        <v>622707</v>
      </c>
      <c r="G1320" s="50" t="s">
        <v>89</v>
      </c>
      <c r="H1320" s="51">
        <v>154.833</v>
      </c>
      <c r="J1320" s="51">
        <v>4.79</v>
      </c>
      <c r="K1320" s="52">
        <f>Tabela6[[#This Row],[CONSUMO]]*Tabela6[[#This Row],[VALOR UNIT]]-Tabela6[[#This Row],[DESCONTO]]</f>
        <v>741.65007000000003</v>
      </c>
      <c r="L1320" s="53">
        <f>Tabela6[[#This Row],[CUSTO TOTAL]]/Tabela6[[#This Row],[CONSUMO]]</f>
        <v>4.79</v>
      </c>
      <c r="M1320" s="50">
        <f>Tabela6[[#This Row],[KM ATUAL]]-E1303</f>
        <v>256709</v>
      </c>
      <c r="N1320" s="51">
        <f>Tabela6[[#This Row],[KM Rodados ]]/Tabela6[[#This Row],[CONSUMO]]</f>
        <v>1657.9734294368773</v>
      </c>
    </row>
    <row r="1321" spans="1:14" x14ac:dyDescent="0.25">
      <c r="A1321" s="47">
        <v>809864</v>
      </c>
      <c r="B1321" s="78">
        <v>45078</v>
      </c>
      <c r="C1321" s="47" t="s">
        <v>15</v>
      </c>
      <c r="D1321" s="49" t="s">
        <v>284</v>
      </c>
      <c r="E1321" s="47">
        <v>366280</v>
      </c>
      <c r="G1321" s="50" t="s">
        <v>89</v>
      </c>
      <c r="H1321" s="51">
        <v>49.5</v>
      </c>
      <c r="J1321" s="51">
        <v>4.79</v>
      </c>
      <c r="K1321" s="51">
        <f>Tabela6[[#This Row],[CONSUMO]]*Tabela6[[#This Row],[VALOR UNIT]]-Tabela6[[#This Row],[DESCONTO]]</f>
        <v>237.10499999999999</v>
      </c>
      <c r="L1321" s="53">
        <f>Tabela6[[#This Row],[CUSTO TOTAL]]/Tabela6[[#This Row],[CONSUMO]]</f>
        <v>4.79</v>
      </c>
      <c r="M1321" s="50">
        <f>Tabela6[[#This Row],[KM ATUAL]]-E1300</f>
        <v>263617</v>
      </c>
      <c r="N1321" s="51">
        <f>Tabela6[[#This Row],[KM Rodados ]]/Tabela6[[#This Row],[CONSUMO]]</f>
        <v>5325.5959595959594</v>
      </c>
    </row>
    <row r="1322" spans="1:14" x14ac:dyDescent="0.25">
      <c r="A1322" s="47">
        <v>302119</v>
      </c>
      <c r="B1322" s="78">
        <v>45078</v>
      </c>
      <c r="C1322" s="47" t="s">
        <v>20</v>
      </c>
      <c r="D1322" s="49" t="s">
        <v>276</v>
      </c>
      <c r="E1322" s="47">
        <v>252639</v>
      </c>
      <c r="G1322" s="50" t="s">
        <v>89</v>
      </c>
      <c r="H1322" s="51">
        <v>68.77</v>
      </c>
      <c r="J1322" s="51">
        <v>5.09</v>
      </c>
      <c r="K1322" s="52">
        <f>Tabela6[[#This Row],[CONSUMO]]*Tabela6[[#This Row],[VALOR UNIT]]-Tabela6[[#This Row],[DESCONTO]]</f>
        <v>350.03929999999997</v>
      </c>
      <c r="L1322" s="53">
        <f>Tabela6[[#This Row],[CUSTO TOTAL]]/Tabela6[[#This Row],[CONSUMO]]</f>
        <v>5.09</v>
      </c>
      <c r="M1322" s="50">
        <f>Tabela6[[#This Row],[KM ATUAL]]-E1300</f>
        <v>149976</v>
      </c>
      <c r="N1322" s="51">
        <f>Tabela6[[#This Row],[KM Rodados ]]/Tabela6[[#This Row],[CONSUMO]]</f>
        <v>2180.8346662789008</v>
      </c>
    </row>
    <row r="1323" spans="1:14" x14ac:dyDescent="0.25">
      <c r="A1323" s="47">
        <v>383958</v>
      </c>
      <c r="B1323" s="78">
        <v>45078</v>
      </c>
      <c r="C1323" s="47" t="s">
        <v>23</v>
      </c>
      <c r="D1323" s="49" t="s">
        <v>253</v>
      </c>
      <c r="E1323" s="47">
        <v>227197</v>
      </c>
      <c r="G1323" s="50" t="s">
        <v>89</v>
      </c>
      <c r="H1323" s="51">
        <v>153.37</v>
      </c>
      <c r="I1323" s="49">
        <v>46.01</v>
      </c>
      <c r="J1323" s="51">
        <v>5.59</v>
      </c>
      <c r="K1323" s="51">
        <f>Tabela6[[#This Row],[CONSUMO]]*Tabela6[[#This Row],[VALOR UNIT]]-Tabela6[[#This Row],[DESCONTO]]</f>
        <v>811.32830000000001</v>
      </c>
      <c r="L1323" s="53">
        <f>Tabela6[[#This Row],[CUSTO TOTAL]]/Tabela6[[#This Row],[CONSUMO]]</f>
        <v>5.2900065201799569</v>
      </c>
      <c r="M1323" s="50">
        <f>Tabela6[[#This Row],[KM ATUAL]]-E1289</f>
        <v>-645516</v>
      </c>
      <c r="N1323" s="51">
        <f>Tabela6[[#This Row],[KM Rodados ]]/Tabela6[[#This Row],[CONSUMO]]</f>
        <v>-4208.8804851013883</v>
      </c>
    </row>
    <row r="1324" spans="1:14" x14ac:dyDescent="0.25">
      <c r="A1324" s="47">
        <v>184924</v>
      </c>
      <c r="B1324" s="78">
        <v>45079</v>
      </c>
      <c r="C1324" s="47" t="s">
        <v>43</v>
      </c>
      <c r="D1324" s="49" t="s">
        <v>262</v>
      </c>
      <c r="E1324" s="47">
        <v>126285</v>
      </c>
      <c r="G1324" s="50" t="s">
        <v>89</v>
      </c>
      <c r="H1324" s="51">
        <v>15.391</v>
      </c>
      <c r="J1324" s="51">
        <v>4.99</v>
      </c>
      <c r="K1324" s="52">
        <f>Tabela6[[#This Row],[CONSUMO]]*Tabela6[[#This Row],[VALOR UNIT]]-Tabela6[[#This Row],[DESCONTO]]</f>
        <v>76.801090000000002</v>
      </c>
      <c r="L1324" s="53">
        <f>Tabela6[[#This Row],[CUSTO TOTAL]]/Tabela6[[#This Row],[CONSUMO]]</f>
        <v>4.99</v>
      </c>
      <c r="M1324" s="50">
        <f>Tabela6[[#This Row],[KM ATUAL]]-E1310</f>
        <v>-747326</v>
      </c>
      <c r="N1324" s="72">
        <f>Tabela6[[#This Row],[KM Rodados ]]/Tabela6[[#This Row],[CONSUMO]]</f>
        <v>-48556.039243713858</v>
      </c>
    </row>
    <row r="1325" spans="1:14" x14ac:dyDescent="0.25">
      <c r="A1325" s="47">
        <v>302302</v>
      </c>
      <c r="B1325" s="78">
        <v>45079</v>
      </c>
      <c r="C1325" s="47" t="s">
        <v>43</v>
      </c>
      <c r="D1325" s="49" t="s">
        <v>276</v>
      </c>
      <c r="E1325" s="47">
        <v>126609</v>
      </c>
      <c r="G1325" s="50" t="s">
        <v>89</v>
      </c>
      <c r="H1325" s="51">
        <v>38.709000000000003</v>
      </c>
      <c r="J1325" s="51">
        <v>5.09</v>
      </c>
      <c r="K1325" s="52">
        <f>Tabela6[[#This Row],[CONSUMO]]*Tabela6[[#This Row],[VALOR UNIT]]-Tabela6[[#This Row],[DESCONTO]]</f>
        <v>197.02881000000002</v>
      </c>
      <c r="L1325" s="53">
        <f>Tabela6[[#This Row],[CUSTO TOTAL]]/Tabela6[[#This Row],[CONSUMO]]</f>
        <v>5.09</v>
      </c>
      <c r="M1325" s="50">
        <f>Tabela6[[#This Row],[KM ATUAL]]-E1324</f>
        <v>324</v>
      </c>
      <c r="N1325" s="72">
        <f>Tabela6[[#This Row],[KM Rodados ]]/Tabela6[[#This Row],[CONSUMO]]</f>
        <v>8.3701464775633561</v>
      </c>
    </row>
    <row r="1326" spans="1:14" x14ac:dyDescent="0.25">
      <c r="A1326" s="47">
        <v>554030</v>
      </c>
      <c r="B1326" s="78">
        <v>45079</v>
      </c>
      <c r="C1326" s="47" t="s">
        <v>22</v>
      </c>
      <c r="D1326" s="49" t="s">
        <v>275</v>
      </c>
      <c r="E1326" s="47">
        <v>326576</v>
      </c>
      <c r="G1326" s="50" t="s">
        <v>89</v>
      </c>
      <c r="H1326" s="51">
        <v>145.261</v>
      </c>
      <c r="J1326" s="51">
        <v>4.99</v>
      </c>
      <c r="K1326" s="74">
        <f>Tabela6[[#This Row],[CONSUMO]]*Tabela6[[#This Row],[VALOR UNIT]]-Tabela6[[#This Row],[DESCONTO]]</f>
        <v>724.85239000000001</v>
      </c>
      <c r="L1326" s="53">
        <f>Tabela6[[#This Row],[CUSTO TOTAL]]/Tabela6[[#This Row],[CONSUMO]]</f>
        <v>4.99</v>
      </c>
      <c r="M1326" s="50">
        <f>Tabela6[[#This Row],[KM ATUAL]]-E1282</f>
        <v>-334657</v>
      </c>
      <c r="N1326" s="51">
        <f>Tabela6[[#This Row],[KM Rodados ]]/Tabela6[[#This Row],[CONSUMO]]</f>
        <v>-2303.8324120032216</v>
      </c>
    </row>
    <row r="1327" spans="1:14" x14ac:dyDescent="0.25">
      <c r="A1327" s="47">
        <v>302362</v>
      </c>
      <c r="B1327" s="78">
        <v>45079</v>
      </c>
      <c r="C1327" s="47" t="s">
        <v>72</v>
      </c>
      <c r="D1327" s="49" t="s">
        <v>276</v>
      </c>
      <c r="E1327" s="47">
        <v>394148</v>
      </c>
      <c r="G1327" s="50" t="s">
        <v>89</v>
      </c>
      <c r="H1327" s="51">
        <v>40.869999999999997</v>
      </c>
      <c r="J1327" s="51">
        <v>5.09</v>
      </c>
      <c r="K1327" s="51">
        <f>Tabela6[[#This Row],[CONSUMO]]*Tabela6[[#This Row],[VALOR UNIT]]-Tabela6[[#This Row],[DESCONTO]]</f>
        <v>208.02829999999997</v>
      </c>
      <c r="L1327" s="53">
        <f>Tabela6[[#This Row],[CUSTO TOTAL]]/Tabela6[[#This Row],[CONSUMO]]</f>
        <v>5.09</v>
      </c>
      <c r="M1327" s="50">
        <f>Tabela6[[#This Row],[KM ATUAL]]-E1305</f>
        <v>85280</v>
      </c>
      <c r="N1327" s="51">
        <f>Tabela6[[#This Row],[KM Rodados ]]/Tabela6[[#This Row],[CONSUMO]]</f>
        <v>2086.6160998287255</v>
      </c>
    </row>
    <row r="1328" spans="1:14" x14ac:dyDescent="0.25">
      <c r="A1328" s="47">
        <v>1070866</v>
      </c>
      <c r="B1328" s="78">
        <v>45079</v>
      </c>
      <c r="C1328" s="47" t="s">
        <v>73</v>
      </c>
      <c r="D1328" s="49" t="s">
        <v>252</v>
      </c>
      <c r="E1328" s="47">
        <v>121491</v>
      </c>
      <c r="G1328" s="50" t="s">
        <v>89</v>
      </c>
      <c r="H1328" s="51">
        <v>242.631</v>
      </c>
      <c r="I1328" s="49">
        <v>82.49</v>
      </c>
      <c r="J1328" s="51">
        <v>5.09</v>
      </c>
      <c r="K1328" s="51">
        <f>Tabela6[[#This Row],[CONSUMO]]*Tabela6[[#This Row],[VALOR UNIT]]-Tabela6[[#This Row],[DESCONTO]]</f>
        <v>1152.50179</v>
      </c>
      <c r="L1328" s="53">
        <f>Tabela6[[#This Row],[CUSTO TOTAL]]/Tabela6[[#This Row],[CONSUMO]]</f>
        <v>4.7500187115413945</v>
      </c>
      <c r="M1328" s="50">
        <f>Tabela6[[#This Row],[KM ATUAL]]-E1297</f>
        <v>-482960</v>
      </c>
      <c r="N1328" s="51">
        <f>Tabela6[[#This Row],[KM Rodados ]]/Tabela6[[#This Row],[CONSUMO]]</f>
        <v>-1990.5123417864988</v>
      </c>
    </row>
    <row r="1329" spans="1:14" x14ac:dyDescent="0.25">
      <c r="A1329" s="47">
        <v>385005</v>
      </c>
      <c r="B1329" s="78">
        <v>45079</v>
      </c>
      <c r="C1329" s="47" t="s">
        <v>41</v>
      </c>
      <c r="D1329" s="49" t="s">
        <v>253</v>
      </c>
      <c r="E1329" s="47">
        <v>661998</v>
      </c>
      <c r="G1329" s="50" t="s">
        <v>89</v>
      </c>
      <c r="H1329" s="51">
        <v>185.78</v>
      </c>
      <c r="I1329" s="49">
        <v>55.73</v>
      </c>
      <c r="J1329" s="51">
        <v>5.59</v>
      </c>
      <c r="K1329" s="51">
        <f>Tabela6[[#This Row],[CONSUMO]]*Tabela6[[#This Row],[VALOR UNIT]]-Tabela6[[#This Row],[DESCONTO]]</f>
        <v>982.78019999999992</v>
      </c>
      <c r="L1329" s="53">
        <f>Tabela6[[#This Row],[CUSTO TOTAL]]/Tabela6[[#This Row],[CONSUMO]]</f>
        <v>5.2900215308429317</v>
      </c>
      <c r="M1329" s="50">
        <f>Tabela6[[#This Row],[KM ATUAL]]-E1283</f>
        <v>40446</v>
      </c>
      <c r="N1329" s="51">
        <f>Tabela6[[#This Row],[KM Rodados ]]/Tabela6[[#This Row],[CONSUMO]]</f>
        <v>217.70911831198191</v>
      </c>
    </row>
    <row r="1330" spans="1:14" x14ac:dyDescent="0.25">
      <c r="A1330" s="47">
        <v>538290</v>
      </c>
      <c r="B1330" s="78">
        <v>45079</v>
      </c>
      <c r="C1330" s="47" t="s">
        <v>38</v>
      </c>
      <c r="D1330" s="49" t="s">
        <v>255</v>
      </c>
      <c r="E1330" s="47">
        <v>130766</v>
      </c>
      <c r="G1330" s="50" t="s">
        <v>244</v>
      </c>
      <c r="H1330" s="51">
        <v>40.621000000000002</v>
      </c>
      <c r="J1330" s="51">
        <v>5.29</v>
      </c>
      <c r="K1330" s="51">
        <f>Tabela6[[#This Row],[CONSUMO]]*Tabela6[[#This Row],[VALOR UNIT]]-Tabela6[[#This Row],[DESCONTO]]</f>
        <v>214.88509000000002</v>
      </c>
      <c r="L1330" s="53">
        <f>Tabela6[[#This Row],[CUSTO TOTAL]]/Tabela6[[#This Row],[CONSUMO]]</f>
        <v>5.29</v>
      </c>
      <c r="M1330" s="50">
        <f>Tabela6[[#This Row],[KM ATUAL]]-E1293</f>
        <v>428</v>
      </c>
      <c r="N1330" s="51">
        <f>Tabela6[[#This Row],[KM Rodados ]]/Tabela6[[#This Row],[CONSUMO]]</f>
        <v>10.536422047709312</v>
      </c>
    </row>
    <row r="1331" spans="1:14" x14ac:dyDescent="0.25">
      <c r="A1331" s="47">
        <v>302348</v>
      </c>
      <c r="B1331" s="78">
        <v>45079</v>
      </c>
      <c r="C1331" s="47" t="s">
        <v>74</v>
      </c>
      <c r="D1331" s="49" t="s">
        <v>276</v>
      </c>
      <c r="E1331" s="47">
        <v>56766</v>
      </c>
      <c r="G1331" s="50" t="s">
        <v>89</v>
      </c>
      <c r="H1331" s="51">
        <v>98.631</v>
      </c>
      <c r="J1331" s="51">
        <v>5.09</v>
      </c>
      <c r="K1331" s="51">
        <f>Tabela6[[#This Row],[CONSUMO]]*Tabela6[[#This Row],[VALOR UNIT]]-Tabela6[[#This Row],[DESCONTO]]</f>
        <v>502.03179</v>
      </c>
      <c r="L1331" s="53">
        <f>Tabela6[[#This Row],[CUSTO TOTAL]]/Tabela6[[#This Row],[CONSUMO]]</f>
        <v>5.09</v>
      </c>
      <c r="M1331" s="50">
        <f>Tabela6[[#This Row],[KM ATUAL]]-E1289</f>
        <v>-815947</v>
      </c>
      <c r="N1331" s="51">
        <f>Tabela6[[#This Row],[KM Rodados ]]/Tabela6[[#This Row],[CONSUMO]]</f>
        <v>-8272.7235858908462</v>
      </c>
    </row>
    <row r="1332" spans="1:14" x14ac:dyDescent="0.25">
      <c r="A1332" s="47">
        <v>302505</v>
      </c>
      <c r="B1332" s="78">
        <v>45080</v>
      </c>
      <c r="C1332" s="47" t="s">
        <v>8</v>
      </c>
      <c r="D1332" s="49" t="s">
        <v>276</v>
      </c>
      <c r="E1332" s="47">
        <v>873893</v>
      </c>
      <c r="G1332" s="50" t="s">
        <v>89</v>
      </c>
      <c r="H1332" s="51">
        <v>33.808999999999997</v>
      </c>
      <c r="J1332" s="51">
        <v>5.09</v>
      </c>
      <c r="K1332" s="52">
        <f>Tabela6[[#This Row],[CONSUMO]]*Tabela6[[#This Row],[VALOR UNIT]]-Tabela6[[#This Row],[DESCONTO]]</f>
        <v>172.08780999999999</v>
      </c>
      <c r="L1332" s="53">
        <f>Tabela6[[#This Row],[CUSTO TOTAL]]/Tabela6[[#This Row],[CONSUMO]]</f>
        <v>5.09</v>
      </c>
      <c r="M1332" s="50">
        <f>Tabela6[[#This Row],[KM ATUAL]]-E1313</f>
        <v>396352</v>
      </c>
      <c r="N1332" s="51">
        <f>Tabela6[[#This Row],[KM Rodados ]]/Tabela6[[#This Row],[CONSUMO]]</f>
        <v>11723.268952054188</v>
      </c>
    </row>
    <row r="1333" spans="1:14" x14ac:dyDescent="0.25">
      <c r="A1333" s="47">
        <v>667633</v>
      </c>
      <c r="B1333" s="78">
        <v>45080</v>
      </c>
      <c r="C1333" s="47" t="s">
        <v>73</v>
      </c>
      <c r="D1333" s="49" t="s">
        <v>274</v>
      </c>
      <c r="E1333" s="47">
        <v>122338</v>
      </c>
      <c r="G1333" s="50" t="s">
        <v>89</v>
      </c>
      <c r="H1333" s="51">
        <v>198.89</v>
      </c>
      <c r="J1333" s="51">
        <v>4.79</v>
      </c>
      <c r="K1333" s="51">
        <f>Tabela6[[#This Row],[CONSUMO]]*Tabela6[[#This Row],[VALOR UNIT]]-Tabela6[[#This Row],[DESCONTO]]</f>
        <v>952.68309999999997</v>
      </c>
      <c r="L1333" s="53">
        <f>Tabela6[[#This Row],[CUSTO TOTAL]]/Tabela6[[#This Row],[CONSUMO]]</f>
        <v>4.79</v>
      </c>
      <c r="M1333" s="50">
        <f>Tabela6[[#This Row],[KM ATUAL]]-E1328</f>
        <v>847</v>
      </c>
      <c r="N1333" s="51">
        <f>Tabela6[[#This Row],[KM Rodados ]]/Tabela6[[#This Row],[CONSUMO]]</f>
        <v>4.2586354266177286</v>
      </c>
    </row>
    <row r="1334" spans="1:14" x14ac:dyDescent="0.25">
      <c r="A1334" s="47">
        <v>385795</v>
      </c>
      <c r="B1334" s="78">
        <v>45080</v>
      </c>
      <c r="C1334" s="47" t="s">
        <v>40</v>
      </c>
      <c r="D1334" s="49" t="s">
        <v>253</v>
      </c>
      <c r="E1334" s="47">
        <v>144273</v>
      </c>
      <c r="G1334" s="50" t="s">
        <v>244</v>
      </c>
      <c r="H1334" s="51">
        <v>36.82</v>
      </c>
      <c r="J1334" s="51">
        <v>5.99</v>
      </c>
      <c r="K1334" s="74">
        <f>Tabela6[[#This Row],[CONSUMO]]*Tabela6[[#This Row],[VALOR UNIT]]-Tabela6[[#This Row],[DESCONTO]]</f>
        <v>220.55180000000001</v>
      </c>
      <c r="L1334" s="53">
        <f>Tabela6[[#This Row],[CUSTO TOTAL]]/Tabela6[[#This Row],[CONSUMO]]</f>
        <v>5.99</v>
      </c>
      <c r="M1334" s="50">
        <f>Tabela6[[#This Row],[KM ATUAL]]-E1288</f>
        <v>-744798</v>
      </c>
      <c r="N1334" s="51">
        <f>Tabela6[[#This Row],[KM Rodados ]]/Tabela6[[#This Row],[CONSUMO]]</f>
        <v>-20228.082563824009</v>
      </c>
    </row>
    <row r="1335" spans="1:14" x14ac:dyDescent="0.25">
      <c r="A1335" s="47" t="s">
        <v>314</v>
      </c>
      <c r="B1335" s="78">
        <v>45081</v>
      </c>
      <c r="C1335" s="47" t="s">
        <v>21</v>
      </c>
      <c r="E1335" s="47">
        <v>142916</v>
      </c>
      <c r="G1335" s="50" t="s">
        <v>89</v>
      </c>
      <c r="H1335" s="51">
        <v>120.6</v>
      </c>
      <c r="K1335" s="52">
        <f>Tabela6[[#This Row],[CONSUMO]]*Tabela6[[#This Row],[VALOR UNIT]]-Tabela6[[#This Row],[DESCONTO]]</f>
        <v>0</v>
      </c>
      <c r="L1335" s="53">
        <f>Tabela6[[#This Row],[CUSTO TOTAL]]/Tabela6[[#This Row],[CONSUMO]]</f>
        <v>0</v>
      </c>
      <c r="M1335" s="50">
        <f>Tabela6[[#This Row],[KM ATUAL]]-E1274</f>
        <v>46675</v>
      </c>
      <c r="N1335" s="51">
        <f>Tabela6[[#This Row],[KM Rodados ]]/Tabela6[[#This Row],[CONSUMO]]</f>
        <v>387.02321724709788</v>
      </c>
    </row>
    <row r="1336" spans="1:14" x14ac:dyDescent="0.25">
      <c r="A1336" s="47">
        <v>280961</v>
      </c>
      <c r="B1336" s="78">
        <v>45082</v>
      </c>
      <c r="C1336" s="47" t="s">
        <v>222</v>
      </c>
      <c r="D1336" s="49" t="s">
        <v>270</v>
      </c>
      <c r="E1336" s="47">
        <v>478334</v>
      </c>
      <c r="G1336" s="50" t="s">
        <v>89</v>
      </c>
      <c r="H1336" s="51">
        <v>308.02100000000002</v>
      </c>
      <c r="J1336" s="51">
        <v>4.8899999999999997</v>
      </c>
      <c r="K1336" s="51">
        <f>Tabela6[[#This Row],[CONSUMO]]*Tabela6[[#This Row],[VALOR UNIT]]-Tabela6[[#This Row],[DESCONTO]]</f>
        <v>1506.2226900000001</v>
      </c>
      <c r="L1336" s="53">
        <f>Tabela6[[#This Row],[CUSTO TOTAL]]/Tabela6[[#This Row],[CONSUMO]]</f>
        <v>4.8899999999999997</v>
      </c>
      <c r="M1336" s="50">
        <f>Tabela6[[#This Row],[KM ATUAL]]-E1314</f>
        <v>793</v>
      </c>
      <c r="N1336" s="51">
        <f>Tabela6[[#This Row],[KM Rodados ]]/Tabela6[[#This Row],[CONSUMO]]</f>
        <v>2.5744997905986926</v>
      </c>
    </row>
    <row r="1337" spans="1:14" x14ac:dyDescent="0.25">
      <c r="A1337" s="47">
        <v>195343</v>
      </c>
      <c r="B1337" s="78">
        <v>45082</v>
      </c>
      <c r="C1337" s="47" t="s">
        <v>72</v>
      </c>
      <c r="D1337" s="49" t="s">
        <v>268</v>
      </c>
      <c r="E1337" s="47">
        <v>394536</v>
      </c>
      <c r="G1337" s="50" t="s">
        <v>89</v>
      </c>
      <c r="H1337" s="51">
        <v>48.9</v>
      </c>
      <c r="J1337" s="51">
        <v>4.8899999999999997</v>
      </c>
      <c r="K1337" s="51">
        <f>Tabela6[[#This Row],[CONSUMO]]*Tabela6[[#This Row],[VALOR UNIT]]-Tabela6[[#This Row],[DESCONTO]]</f>
        <v>239.12099999999998</v>
      </c>
      <c r="L1337" s="53">
        <f>Tabela6[[#This Row],[CUSTO TOTAL]]/Tabela6[[#This Row],[CONSUMO]]</f>
        <v>4.8899999999999997</v>
      </c>
      <c r="M1337" s="50">
        <f>Tabela6[[#This Row],[KM ATUAL]]-E1328</f>
        <v>273045</v>
      </c>
      <c r="N1337" s="51">
        <f>Tabela6[[#This Row],[KM Rodados ]]/Tabela6[[#This Row],[CONSUMO]]</f>
        <v>5583.7423312883438</v>
      </c>
    </row>
    <row r="1338" spans="1:14" x14ac:dyDescent="0.25">
      <c r="A1338" s="47">
        <v>185495</v>
      </c>
      <c r="B1338" s="78">
        <v>45082</v>
      </c>
      <c r="C1338" s="47" t="s">
        <v>10</v>
      </c>
      <c r="D1338" s="49" t="s">
        <v>262</v>
      </c>
      <c r="E1338" s="47">
        <v>716577</v>
      </c>
      <c r="G1338" s="50" t="s">
        <v>89</v>
      </c>
      <c r="H1338" s="51">
        <v>180.36099999999999</v>
      </c>
      <c r="J1338" s="51">
        <v>4.99</v>
      </c>
      <c r="K1338" s="51">
        <f>Tabela6[[#This Row],[CONSUMO]]*Tabela6[[#This Row],[VALOR UNIT]]-Tabela6[[#This Row],[DESCONTO]]</f>
        <v>900.00139000000001</v>
      </c>
      <c r="L1338" s="53">
        <f>Tabela6[[#This Row],[CUSTO TOTAL]]/Tabela6[[#This Row],[CONSUMO]]</f>
        <v>4.99</v>
      </c>
      <c r="M1338" s="50">
        <f>Tabela6[[#This Row],[KM ATUAL]]-E1290</f>
        <v>512210</v>
      </c>
      <c r="N1338" s="51">
        <f>Tabela6[[#This Row],[KM Rodados ]]/Tabela6[[#This Row],[CONSUMO]]</f>
        <v>2839.9155027971678</v>
      </c>
    </row>
    <row r="1339" spans="1:14" x14ac:dyDescent="0.25">
      <c r="A1339" s="47" t="s">
        <v>314</v>
      </c>
      <c r="B1339" s="78">
        <v>45082</v>
      </c>
      <c r="C1339" s="119" t="s">
        <v>13</v>
      </c>
      <c r="E1339" s="119">
        <v>623011</v>
      </c>
      <c r="G1339" s="50" t="s">
        <v>89</v>
      </c>
      <c r="H1339" s="51">
        <v>62.53</v>
      </c>
      <c r="K1339" s="52">
        <f>Tabela6[[#This Row],[CONSUMO]]*Tabela6[[#This Row],[VALOR UNIT]]-Tabela6[[#This Row],[DESCONTO]]</f>
        <v>0</v>
      </c>
      <c r="L1339" s="53">
        <f>Tabela6[[#This Row],[CUSTO TOTAL]]/Tabela6[[#This Row],[CONSUMO]]</f>
        <v>0</v>
      </c>
      <c r="M1339" s="50">
        <f>Tabela6[[#This Row],[KM ATUAL]]-E1308</f>
        <v>496846</v>
      </c>
      <c r="N1339" s="51">
        <f>Tabela6[[#This Row],[KM Rodados ]]/Tabela6[[#This Row],[CONSUMO]]</f>
        <v>7945.7220534143607</v>
      </c>
    </row>
    <row r="1340" spans="1:14" x14ac:dyDescent="0.25">
      <c r="A1340" s="47">
        <v>245370</v>
      </c>
      <c r="B1340" s="78">
        <v>45082</v>
      </c>
      <c r="C1340" s="119" t="s">
        <v>13</v>
      </c>
      <c r="D1340" s="49" t="s">
        <v>272</v>
      </c>
      <c r="E1340" s="119">
        <v>623548</v>
      </c>
      <c r="G1340" s="50" t="s">
        <v>89</v>
      </c>
      <c r="H1340" s="51">
        <v>107.697</v>
      </c>
      <c r="J1340" s="51">
        <v>4.79</v>
      </c>
      <c r="K1340" s="51">
        <f>Tabela6[[#This Row],[CONSUMO]]*Tabela6[[#This Row],[VALOR UNIT]]-Tabela6[[#This Row],[DESCONTO]]</f>
        <v>515.86863000000005</v>
      </c>
      <c r="L1340" s="53">
        <f>Tabela6[[#This Row],[CUSTO TOTAL]]/Tabela6[[#This Row],[CONSUMO]]</f>
        <v>4.79</v>
      </c>
      <c r="M1340" s="50">
        <f>Tabela6[[#This Row],[KM ATUAL]]-E1339</f>
        <v>537</v>
      </c>
      <c r="N1340" s="51">
        <f>Tabela6[[#This Row],[KM Rodados ]]/Tabela6[[#This Row],[CONSUMO]]</f>
        <v>4.986211315078414</v>
      </c>
    </row>
    <row r="1341" spans="1:14" x14ac:dyDescent="0.25">
      <c r="A1341" s="47">
        <v>185800</v>
      </c>
      <c r="B1341" s="78">
        <v>45083</v>
      </c>
      <c r="C1341" s="47" t="s">
        <v>68</v>
      </c>
      <c r="D1341" s="49" t="s">
        <v>262</v>
      </c>
      <c r="E1341" s="47">
        <v>890953</v>
      </c>
      <c r="G1341" s="50" t="s">
        <v>89</v>
      </c>
      <c r="H1341" s="51">
        <v>301.26100000000002</v>
      </c>
      <c r="J1341" s="51">
        <v>4.99</v>
      </c>
      <c r="K1341" s="51">
        <f>Tabela6[[#This Row],[CONSUMO]]*Tabela6[[#This Row],[VALOR UNIT]]-Tabela6[[#This Row],[DESCONTO]]</f>
        <v>1503.2923900000003</v>
      </c>
      <c r="L1341" s="53">
        <f>Tabela6[[#This Row],[CUSTO TOTAL]]/Tabela6[[#This Row],[CONSUMO]]</f>
        <v>4.99</v>
      </c>
      <c r="M1341" s="50">
        <f>Tabela6[[#This Row],[KM ATUAL]]-E1315</f>
        <v>224935</v>
      </c>
      <c r="N1341" s="51">
        <f>Tabela6[[#This Row],[KM Rodados ]]/Tabela6[[#This Row],[CONSUMO]]</f>
        <v>746.64493578657698</v>
      </c>
    </row>
    <row r="1342" spans="1:14" x14ac:dyDescent="0.25">
      <c r="A1342" s="47">
        <v>185691</v>
      </c>
      <c r="B1342" s="78">
        <v>45083</v>
      </c>
      <c r="C1342" s="47" t="s">
        <v>43</v>
      </c>
      <c r="D1342" s="49" t="s">
        <v>262</v>
      </c>
      <c r="E1342" s="47">
        <v>126767</v>
      </c>
      <c r="G1342" s="50" t="s">
        <v>89</v>
      </c>
      <c r="H1342" s="51">
        <v>23.370999999999999</v>
      </c>
      <c r="J1342" s="51">
        <v>4.99</v>
      </c>
      <c r="K1342" s="52">
        <f>Tabela6[[#This Row],[CONSUMO]]*Tabela6[[#This Row],[VALOR UNIT]]-Tabela6[[#This Row],[DESCONTO]]</f>
        <v>116.62129</v>
      </c>
      <c r="L1342" s="53">
        <f>Tabela6[[#This Row],[CUSTO TOTAL]]/Tabela6[[#This Row],[CONSUMO]]</f>
        <v>4.99</v>
      </c>
      <c r="M1342" s="50">
        <f>Tabela6[[#This Row],[KM ATUAL]]-E1326</f>
        <v>-199809</v>
      </c>
      <c r="N1342" s="51">
        <f>Tabela6[[#This Row],[KM Rodados ]]/Tabela6[[#This Row],[CONSUMO]]</f>
        <v>-8549.4416156775496</v>
      </c>
    </row>
    <row r="1343" spans="1:14" x14ac:dyDescent="0.25">
      <c r="A1343" s="47">
        <v>387670</v>
      </c>
      <c r="B1343" s="78">
        <v>45083</v>
      </c>
      <c r="C1343" s="47" t="s">
        <v>43</v>
      </c>
      <c r="D1343" s="49" t="s">
        <v>253</v>
      </c>
      <c r="E1343" s="47">
        <v>127027</v>
      </c>
      <c r="G1343" s="50" t="s">
        <v>89</v>
      </c>
      <c r="H1343" s="51">
        <v>29.5</v>
      </c>
      <c r="I1343" s="49">
        <v>8.85</v>
      </c>
      <c r="J1343" s="51">
        <v>5.49</v>
      </c>
      <c r="K1343" s="52">
        <f>Tabela6[[#This Row],[CONSUMO]]*Tabela6[[#This Row],[VALOR UNIT]]-Tabela6[[#This Row],[DESCONTO]]</f>
        <v>153.10500000000002</v>
      </c>
      <c r="L1343" s="53">
        <f>Tabela6[[#This Row],[CUSTO TOTAL]]/Tabela6[[#This Row],[CONSUMO]]</f>
        <v>5.19</v>
      </c>
      <c r="M1343" s="50">
        <f>Tabela6[[#This Row],[KM ATUAL]]-E1342</f>
        <v>260</v>
      </c>
      <c r="N1343" s="72">
        <f>Tabela6[[#This Row],[KM Rodados ]]/Tabela6[[#This Row],[CONSUMO]]</f>
        <v>8.8135593220338979</v>
      </c>
    </row>
    <row r="1344" spans="1:14" x14ac:dyDescent="0.25">
      <c r="A1344" s="47" t="s">
        <v>314</v>
      </c>
      <c r="B1344" s="78">
        <v>45083</v>
      </c>
      <c r="C1344" s="47" t="s">
        <v>9</v>
      </c>
      <c r="E1344" s="47">
        <v>605008</v>
      </c>
      <c r="G1344" s="50" t="s">
        <v>89</v>
      </c>
      <c r="H1344" s="51">
        <v>135.4</v>
      </c>
      <c r="K1344" s="52">
        <f>Tabela6[[#This Row],[CONSUMO]]*Tabela6[[#This Row],[VALOR UNIT]]-Tabela6[[#This Row],[DESCONTO]]</f>
        <v>0</v>
      </c>
      <c r="L1344" s="53">
        <f>Tabela6[[#This Row],[CUSTO TOTAL]]/Tabela6[[#This Row],[CONSUMO]]</f>
        <v>0</v>
      </c>
      <c r="M1344" s="50">
        <f>Tabela6[[#This Row],[KM ATUAL]]-E1305</f>
        <v>296140</v>
      </c>
      <c r="N1344" s="72">
        <f>Tabela6[[#This Row],[KM Rodados ]]/Tabela6[[#This Row],[CONSUMO]]</f>
        <v>2187.1491875923189</v>
      </c>
    </row>
    <row r="1345" spans="1:14" x14ac:dyDescent="0.25">
      <c r="A1345" s="47">
        <v>281143</v>
      </c>
      <c r="B1345" s="78">
        <v>45083</v>
      </c>
      <c r="C1345" s="47" t="s">
        <v>9</v>
      </c>
      <c r="D1345" s="49" t="s">
        <v>270</v>
      </c>
      <c r="E1345" s="47">
        <v>605565</v>
      </c>
      <c r="G1345" s="50" t="s">
        <v>89</v>
      </c>
      <c r="H1345" s="51">
        <v>133.41</v>
      </c>
      <c r="J1345" s="51">
        <v>4.8899999999999997</v>
      </c>
      <c r="K1345" s="52">
        <f>Tabela6[[#This Row],[CONSUMO]]*Tabela6[[#This Row],[VALOR UNIT]]-Tabela6[[#This Row],[DESCONTO]]</f>
        <v>652.37489999999991</v>
      </c>
      <c r="L1345" s="53">
        <f>Tabela6[[#This Row],[CUSTO TOTAL]]/Tabela6[[#This Row],[CONSUMO]]</f>
        <v>4.8899999999999997</v>
      </c>
      <c r="M1345" s="50">
        <f>Tabela6[[#This Row],[KM ATUAL]]-E1344</f>
        <v>557</v>
      </c>
      <c r="N1345" s="51">
        <f>Tabela6[[#This Row],[KM Rodados ]]/Tabela6[[#This Row],[CONSUMO]]</f>
        <v>4.1750993178922124</v>
      </c>
    </row>
    <row r="1346" spans="1:14" x14ac:dyDescent="0.25">
      <c r="A1346" s="47">
        <v>387685</v>
      </c>
      <c r="B1346" s="78">
        <v>45083</v>
      </c>
      <c r="C1346" s="47" t="s">
        <v>67</v>
      </c>
      <c r="D1346" s="49" t="s">
        <v>253</v>
      </c>
      <c r="E1346" s="47">
        <v>666579</v>
      </c>
      <c r="G1346" s="50" t="s">
        <v>89</v>
      </c>
      <c r="H1346" s="51">
        <v>140.72999999999999</v>
      </c>
      <c r="I1346" s="49">
        <v>42.22</v>
      </c>
      <c r="J1346" s="51">
        <v>5.49</v>
      </c>
      <c r="K1346" s="51">
        <f>Tabela6[[#This Row],[CONSUMO]]*Tabela6[[#This Row],[VALOR UNIT]]-Tabela6[[#This Row],[DESCONTO]]</f>
        <v>730.3877</v>
      </c>
      <c r="L1346" s="53">
        <f>Tabela6[[#This Row],[CUSTO TOTAL]]/Tabela6[[#This Row],[CONSUMO]]</f>
        <v>5.1899928941945577</v>
      </c>
      <c r="M1346" s="50">
        <f>Tabela6[[#This Row],[KM ATUAL]]-E1310</f>
        <v>-207032</v>
      </c>
      <c r="N1346" s="51">
        <f>Tabela6[[#This Row],[KM Rodados ]]/Tabela6[[#This Row],[CONSUMO]]</f>
        <v>-1471.1291124849004</v>
      </c>
    </row>
    <row r="1347" spans="1:14" x14ac:dyDescent="0.25">
      <c r="A1347" s="47">
        <v>303299</v>
      </c>
      <c r="B1347" s="78">
        <v>45083</v>
      </c>
      <c r="C1347" s="47" t="s">
        <v>215</v>
      </c>
      <c r="D1347" s="49" t="s">
        <v>276</v>
      </c>
      <c r="E1347" s="47">
        <v>223894</v>
      </c>
      <c r="G1347" s="50" t="s">
        <v>244</v>
      </c>
      <c r="H1347" s="51">
        <v>39.530999999999999</v>
      </c>
      <c r="J1347" s="51">
        <v>5.39</v>
      </c>
      <c r="K1347" s="51">
        <f>Tabela6[[#This Row],[CONSUMO]]*Tabela6[[#This Row],[VALOR UNIT]]-Tabela6[[#This Row],[DESCONTO]]</f>
        <v>213.07208999999997</v>
      </c>
      <c r="L1347" s="53">
        <f>Tabela6[[#This Row],[CUSTO TOTAL]]/Tabela6[[#This Row],[CONSUMO]]</f>
        <v>5.39</v>
      </c>
      <c r="M1347" s="50">
        <f>Tabela6[[#This Row],[KM ATUAL]]-E1272</f>
        <v>-27674</v>
      </c>
      <c r="N1347" s="51">
        <f>Tabela6[[#This Row],[KM Rodados ]]/H1272</f>
        <v>-658.13693548003516</v>
      </c>
    </row>
    <row r="1348" spans="1:14" x14ac:dyDescent="0.25">
      <c r="A1348" s="47">
        <v>185860</v>
      </c>
      <c r="B1348" s="78">
        <v>45083</v>
      </c>
      <c r="C1348" s="47" t="s">
        <v>15</v>
      </c>
      <c r="D1348" s="49" t="s">
        <v>262</v>
      </c>
      <c r="E1348" s="47">
        <v>366753</v>
      </c>
      <c r="G1348" s="50" t="s">
        <v>89</v>
      </c>
      <c r="H1348" s="51">
        <v>88.771000000000001</v>
      </c>
      <c r="J1348" s="51">
        <v>4.8899999999999997</v>
      </c>
      <c r="K1348" s="51">
        <f>Tabela6[[#This Row],[CONSUMO]]*Tabela6[[#This Row],[VALOR UNIT]]-Tabela6[[#This Row],[DESCONTO]]</f>
        <v>434.09018999999995</v>
      </c>
      <c r="L1348" s="53">
        <f>Tabela6[[#This Row],[CUSTO TOTAL]]/Tabela6[[#This Row],[CONSUMO]]</f>
        <v>4.8899999999999997</v>
      </c>
      <c r="M1348" s="50">
        <f>Tabela6[[#This Row],[KM ATUAL]]-E1319</f>
        <v>54618</v>
      </c>
      <c r="N1348" s="51">
        <f>Tabela6[[#This Row],[KM Rodados ]]/Tabela6[[#This Row],[CONSUMO]]</f>
        <v>615.26849984792329</v>
      </c>
    </row>
    <row r="1349" spans="1:14" x14ac:dyDescent="0.25">
      <c r="A1349" s="47">
        <v>387808</v>
      </c>
      <c r="B1349" s="78">
        <v>45083</v>
      </c>
      <c r="C1349" s="47" t="s">
        <v>19</v>
      </c>
      <c r="D1349" s="49" t="s">
        <v>253</v>
      </c>
      <c r="E1349" s="47">
        <v>52532</v>
      </c>
      <c r="G1349" s="50" t="s">
        <v>241</v>
      </c>
      <c r="H1349" s="51">
        <v>16.170999999999999</v>
      </c>
      <c r="J1349" s="51">
        <v>4.99</v>
      </c>
      <c r="K1349" s="51">
        <f>Tabela6[[#This Row],[CONSUMO]]*Tabela6[[#This Row],[VALOR UNIT]]-Tabela6[[#This Row],[DESCONTO]]</f>
        <v>80.693290000000005</v>
      </c>
      <c r="L1349" s="53">
        <f>Tabela6[[#This Row],[CUSTO TOTAL]]/Tabela6[[#This Row],[CONSUMO]]</f>
        <v>4.99</v>
      </c>
      <c r="M1349" s="50"/>
      <c r="N1349"/>
    </row>
    <row r="1350" spans="1:14" x14ac:dyDescent="0.25">
      <c r="A1350" s="47">
        <v>185774</v>
      </c>
      <c r="B1350" s="78">
        <v>45083</v>
      </c>
      <c r="C1350" s="47" t="s">
        <v>23</v>
      </c>
      <c r="D1350" s="49" t="s">
        <v>262</v>
      </c>
      <c r="E1350" s="47">
        <v>227889</v>
      </c>
      <c r="G1350" s="50" t="s">
        <v>89</v>
      </c>
      <c r="H1350" s="51">
        <v>153.82</v>
      </c>
      <c r="J1350" s="51">
        <v>4.99</v>
      </c>
      <c r="K1350" s="51">
        <f>Tabela6[[#This Row],[CONSUMO]]*Tabela6[[#This Row],[VALOR UNIT]]-Tabela6[[#This Row],[DESCONTO]]</f>
        <v>767.56179999999995</v>
      </c>
      <c r="L1350" s="53">
        <f>Tabela6[[#This Row],[CUSTO TOTAL]]/Tabela6[[#This Row],[CONSUMO]]</f>
        <v>4.99</v>
      </c>
      <c r="M1350" s="50">
        <f>Tabela6[[#This Row],[KM ATUAL]]-E1320</f>
        <v>-394818</v>
      </c>
      <c r="N1350" s="51">
        <f>Tabela6[[#This Row],[KM Rodados ]]/Tabela6[[#This Row],[CONSUMO]]</f>
        <v>-2566.7533480691718</v>
      </c>
    </row>
    <row r="1351" spans="1:14" x14ac:dyDescent="0.25">
      <c r="A1351" s="47">
        <v>281374</v>
      </c>
      <c r="B1351" s="78">
        <v>45084</v>
      </c>
      <c r="C1351" s="47" t="s">
        <v>9</v>
      </c>
      <c r="D1351" s="49" t="s">
        <v>270</v>
      </c>
      <c r="E1351" s="47">
        <v>606027</v>
      </c>
      <c r="G1351" s="50" t="s">
        <v>89</v>
      </c>
      <c r="H1351" s="51">
        <v>117.28</v>
      </c>
      <c r="J1351" s="51">
        <v>4.8899999999999997</v>
      </c>
      <c r="K1351" s="51">
        <f>Tabela6[[#This Row],[CONSUMO]]*Tabela6[[#This Row],[VALOR UNIT]]-Tabela6[[#This Row],[DESCONTO]]</f>
        <v>573.49919999999997</v>
      </c>
      <c r="L1351" s="53">
        <f>Tabela6[[#This Row],[CUSTO TOTAL]]/Tabela6[[#This Row],[CONSUMO]]</f>
        <v>4.8899999999999997</v>
      </c>
      <c r="M1351" s="50">
        <f>Tabela6[[#This Row],[KM ATUAL]]-E1339</f>
        <v>-16984</v>
      </c>
      <c r="N1351" s="51">
        <f>Tabela6[[#This Row],[KM Rodados ]]/Tabela6[[#This Row],[CONSUMO]]</f>
        <v>-144.81582537517053</v>
      </c>
    </row>
    <row r="1352" spans="1:14" x14ac:dyDescent="0.25">
      <c r="A1352" s="47">
        <v>388629</v>
      </c>
      <c r="B1352" s="78">
        <v>45084</v>
      </c>
      <c r="C1352" s="47" t="s">
        <v>42</v>
      </c>
      <c r="D1352" s="49" t="s">
        <v>253</v>
      </c>
      <c r="E1352" s="47">
        <v>364555</v>
      </c>
      <c r="G1352" s="50" t="s">
        <v>89</v>
      </c>
      <c r="H1352" s="51">
        <v>137.88999999999999</v>
      </c>
      <c r="I1352" s="49">
        <v>41.37</v>
      </c>
      <c r="J1352" s="51">
        <v>5.49</v>
      </c>
      <c r="K1352" s="52">
        <f>Tabela6[[#This Row],[CONSUMO]]*Tabela6[[#This Row],[VALOR UNIT]]-Tabela6[[#This Row],[DESCONTO]]</f>
        <v>715.64609999999993</v>
      </c>
      <c r="L1352" s="53">
        <f>Tabela6[[#This Row],[CUSTO TOTAL]]/Tabela6[[#This Row],[CONSUMO]]</f>
        <v>5.1899782435274497</v>
      </c>
      <c r="M1352" s="50">
        <f>Tabela6[[#This Row],[KM ATUAL]]-E1313</f>
        <v>-112986</v>
      </c>
      <c r="N1352" s="51">
        <f>Tabela6[[#This Row],[KM Rodados ]]/Tabela6[[#This Row],[CONSUMO]]</f>
        <v>-819.39226920008707</v>
      </c>
    </row>
    <row r="1353" spans="1:14" x14ac:dyDescent="0.25">
      <c r="A1353" s="47" t="s">
        <v>314</v>
      </c>
      <c r="B1353" s="78">
        <v>45084</v>
      </c>
      <c r="C1353" s="47" t="s">
        <v>72</v>
      </c>
      <c r="E1353" s="47">
        <v>394709</v>
      </c>
      <c r="G1353" s="50" t="s">
        <v>89</v>
      </c>
      <c r="H1353" s="51">
        <v>22.4</v>
      </c>
      <c r="K1353" s="52">
        <f>Tabela6[[#This Row],[CONSUMO]]*Tabela6[[#This Row],[VALOR UNIT]]-Tabela6[[#This Row],[DESCONTO]]</f>
        <v>0</v>
      </c>
      <c r="L1353" s="53">
        <f>Tabela6[[#This Row],[CUSTO TOTAL]]/Tabela6[[#This Row],[CONSUMO]]</f>
        <v>0</v>
      </c>
      <c r="M1353" s="50">
        <f>Tabela6[[#This Row],[KM ATUAL]]-E1330</f>
        <v>263943</v>
      </c>
      <c r="N1353" s="51">
        <f>Tabela6[[#This Row],[KM Rodados ]]/Tabela6[[#This Row],[CONSUMO]]</f>
        <v>11783.169642857143</v>
      </c>
    </row>
    <row r="1354" spans="1:14" x14ac:dyDescent="0.25">
      <c r="A1354" s="47">
        <v>106642</v>
      </c>
      <c r="B1354" s="78">
        <v>45084</v>
      </c>
      <c r="C1354" s="47" t="s">
        <v>71</v>
      </c>
      <c r="D1354" s="49" t="s">
        <v>263</v>
      </c>
      <c r="E1354" s="47">
        <v>104077</v>
      </c>
      <c r="G1354" s="50" t="s">
        <v>89</v>
      </c>
      <c r="H1354" s="51">
        <v>499.85</v>
      </c>
      <c r="I1354" s="49">
        <v>49.99</v>
      </c>
      <c r="J1354" s="51">
        <v>4.99</v>
      </c>
      <c r="K1354" s="51">
        <f>Tabela6[[#This Row],[CONSUMO]]*Tabela6[[#This Row],[VALOR UNIT]]-Tabela6[[#This Row],[DESCONTO]]</f>
        <v>2444.2615000000005</v>
      </c>
      <c r="L1354" s="53">
        <f>Tabela6[[#This Row],[CUSTO TOTAL]]/Tabela6[[#This Row],[CONSUMO]]</f>
        <v>4.889989996999101</v>
      </c>
      <c r="M1354" s="50">
        <f>Tabela6[[#This Row],[KM ATUAL]]-E1303</f>
        <v>-261921</v>
      </c>
      <c r="N1354" s="51">
        <f>Tabela6[[#This Row],[KM Rodados ]]/Tabela6[[#This Row],[CONSUMO]]</f>
        <v>-523.99919975992793</v>
      </c>
    </row>
    <row r="1355" spans="1:14" x14ac:dyDescent="0.25">
      <c r="A1355" s="47">
        <v>185884</v>
      </c>
      <c r="B1355" s="78">
        <v>45084</v>
      </c>
      <c r="C1355" s="47" t="s">
        <v>10</v>
      </c>
      <c r="D1355" s="49" t="s">
        <v>262</v>
      </c>
      <c r="E1355" s="47">
        <v>717064</v>
      </c>
      <c r="G1355" s="50" t="s">
        <v>89</v>
      </c>
      <c r="H1355" s="51">
        <v>145</v>
      </c>
      <c r="J1355" s="51">
        <v>4.8899999999999997</v>
      </c>
      <c r="K1355" s="51">
        <f>Tabela6[[#This Row],[CONSUMO]]*Tabela6[[#This Row],[VALOR UNIT]]-Tabela6[[#This Row],[DESCONTO]]</f>
        <v>709.05</v>
      </c>
      <c r="L1355" s="53">
        <f>Tabela6[[#This Row],[CUSTO TOTAL]]/Tabela6[[#This Row],[CONSUMO]]</f>
        <v>4.8899999999999997</v>
      </c>
      <c r="M1355" s="50">
        <f>Tabela6[[#This Row],[KM ATUAL]]-E1338</f>
        <v>487</v>
      </c>
      <c r="N1355" s="51">
        <f>Tabela6[[#This Row],[KM Rodados ]]/Tabela6[[#This Row],[CONSUMO]]</f>
        <v>3.3586206896551722</v>
      </c>
    </row>
    <row r="1356" spans="1:14" x14ac:dyDescent="0.25">
      <c r="A1356" s="47">
        <v>388746</v>
      </c>
      <c r="B1356" s="78">
        <v>45084</v>
      </c>
      <c r="C1356" s="47" t="s">
        <v>11</v>
      </c>
      <c r="D1356" s="49" t="s">
        <v>253</v>
      </c>
      <c r="E1356" s="47">
        <v>393680</v>
      </c>
      <c r="G1356" s="50" t="s">
        <v>89</v>
      </c>
      <c r="H1356" s="51">
        <v>107.2</v>
      </c>
      <c r="I1356" s="49">
        <v>32.1</v>
      </c>
      <c r="J1356" s="51">
        <v>5.49</v>
      </c>
      <c r="K1356" s="51">
        <f>Tabela6[[#This Row],[CONSUMO]]*Tabela6[[#This Row],[VALOR UNIT]]-Tabela6[[#This Row],[DESCONTO]]</f>
        <v>556.428</v>
      </c>
      <c r="L1356" s="53">
        <f>Tabela6[[#This Row],[CUSTO TOTAL]]/Tabela6[[#This Row],[CONSUMO]]</f>
        <v>5.1905597014925373</v>
      </c>
      <c r="M1356" s="50">
        <f>Tabela6[[#This Row],[KM ATUAL]]-E1321</f>
        <v>27400</v>
      </c>
      <c r="N1356" s="51">
        <f>Tabela6[[#This Row],[KM Rodados ]]/Tabela6[[#This Row],[CONSUMO]]</f>
        <v>255.59701492537312</v>
      </c>
    </row>
    <row r="1357" spans="1:14" x14ac:dyDescent="0.25">
      <c r="A1357" s="47">
        <v>615546</v>
      </c>
      <c r="B1357" s="78">
        <v>45084</v>
      </c>
      <c r="C1357" s="47" t="s">
        <v>13</v>
      </c>
      <c r="D1357" s="49" t="s">
        <v>271</v>
      </c>
      <c r="E1357" s="47">
        <v>624214</v>
      </c>
      <c r="G1357" s="50" t="s">
        <v>89</v>
      </c>
      <c r="H1357" s="51">
        <v>133</v>
      </c>
      <c r="J1357" s="51">
        <v>4.8899999999999997</v>
      </c>
      <c r="K1357" s="52">
        <f>Tabela6[[#This Row],[CONSUMO]]*Tabela6[[#This Row],[VALOR UNIT]]-Tabela6[[#This Row],[DESCONTO]]</f>
        <v>650.37</v>
      </c>
      <c r="L1357" s="53">
        <f>Tabela6[[#This Row],[CUSTO TOTAL]]/Tabela6[[#This Row],[CONSUMO]]</f>
        <v>4.8899999999999997</v>
      </c>
      <c r="M1357" s="50">
        <f>Tabela6[[#This Row],[KM ATUAL]]-E1343</f>
        <v>497187</v>
      </c>
      <c r="N1357" s="51">
        <f>Tabela6[[#This Row],[KM Rodados ]]/Tabela6[[#This Row],[CONSUMO]]</f>
        <v>3738.2481203007519</v>
      </c>
    </row>
    <row r="1358" spans="1:14" x14ac:dyDescent="0.25">
      <c r="A1358" s="80" t="s">
        <v>314</v>
      </c>
      <c r="B1358" s="78">
        <v>45084</v>
      </c>
      <c r="C1358" s="47" t="s">
        <v>15</v>
      </c>
      <c r="E1358" s="47">
        <v>367176</v>
      </c>
      <c r="G1358" s="50" t="s">
        <v>89</v>
      </c>
      <c r="H1358" s="51">
        <v>71.25</v>
      </c>
      <c r="K1358" s="52">
        <f>Tabela6[[#This Row],[CONSUMO]]*Tabela6[[#This Row],[VALOR UNIT]]-Tabela6[[#This Row],[DESCONTO]]</f>
        <v>0</v>
      </c>
      <c r="L1358" s="53">
        <f>Tabela6[[#This Row],[CUSTO TOTAL]]/Tabela6[[#This Row],[CONSUMO]]</f>
        <v>0</v>
      </c>
      <c r="M1358" s="50">
        <f>Tabela6[[#This Row],[KM ATUAL]]-E1348</f>
        <v>423</v>
      </c>
      <c r="N1358" s="72">
        <f>Tabela6[[#This Row],[KM Rodados ]]/Tabela6[[#This Row],[CONSUMO]]</f>
        <v>5.9368421052631577</v>
      </c>
    </row>
    <row r="1359" spans="1:14" x14ac:dyDescent="0.25">
      <c r="A1359" s="47">
        <v>388619</v>
      </c>
      <c r="B1359" s="78">
        <v>45084</v>
      </c>
      <c r="C1359" s="47" t="s">
        <v>20</v>
      </c>
      <c r="D1359" s="49" t="s">
        <v>253</v>
      </c>
      <c r="E1359" s="47">
        <v>253081</v>
      </c>
      <c r="G1359" s="50" t="s">
        <v>89</v>
      </c>
      <c r="H1359" s="51">
        <v>56.59</v>
      </c>
      <c r="I1359" s="49">
        <v>16.98</v>
      </c>
      <c r="J1359" s="51">
        <v>5.49</v>
      </c>
      <c r="K1359" s="52">
        <f>Tabela6[[#This Row],[CONSUMO]]*Tabela6[[#This Row],[VALOR UNIT]]-Tabela6[[#This Row],[DESCONTO]]</f>
        <v>293.69909999999999</v>
      </c>
      <c r="L1359" s="53">
        <f>Tabela6[[#This Row],[CUSTO TOTAL]]/Tabela6[[#This Row],[CONSUMO]]</f>
        <v>5.1899469871001935</v>
      </c>
      <c r="M1359" s="50">
        <f>Tabela6[[#This Row],[KM ATUAL]]-E1323</f>
        <v>25884</v>
      </c>
      <c r="N1359" s="51">
        <f>Tabela6[[#This Row],[KM Rodados ]]/Tabela6[[#This Row],[CONSUMO]]</f>
        <v>457.39529952288387</v>
      </c>
    </row>
    <row r="1360" spans="1:14" x14ac:dyDescent="0.25">
      <c r="A1360" s="47">
        <v>185885</v>
      </c>
      <c r="B1360" s="78">
        <v>45084</v>
      </c>
      <c r="C1360" s="47" t="s">
        <v>74</v>
      </c>
      <c r="D1360" s="49" t="s">
        <v>262</v>
      </c>
      <c r="E1360" s="47">
        <v>57368</v>
      </c>
      <c r="G1360" s="50" t="s">
        <v>89</v>
      </c>
      <c r="H1360" s="51">
        <v>75</v>
      </c>
      <c r="J1360" s="51">
        <v>4.8899999999999997</v>
      </c>
      <c r="K1360" s="51">
        <f>Tabela6[[#This Row],[CONSUMO]]*Tabela6[[#This Row],[VALOR UNIT]]-Tabela6[[#This Row],[DESCONTO]]</f>
        <v>366.75</v>
      </c>
      <c r="L1360" s="53">
        <f>Tabela6[[#This Row],[CUSTO TOTAL]]/Tabela6[[#This Row],[CONSUMO]]</f>
        <v>4.8899999999999997</v>
      </c>
      <c r="M1360" s="50">
        <f>Tabela6[[#This Row],[KM ATUAL]]-E1331</f>
        <v>602</v>
      </c>
      <c r="N1360" s="51">
        <f>Tabela6[[#This Row],[KM Rodados ]]/Tabela6[[#This Row],[CONSUMO]]</f>
        <v>8.0266666666666673</v>
      </c>
    </row>
    <row r="1361" spans="1:14" x14ac:dyDescent="0.25">
      <c r="A1361" s="47">
        <v>512854</v>
      </c>
      <c r="B1361" s="78">
        <v>45085</v>
      </c>
      <c r="C1361" s="47" t="s">
        <v>203</v>
      </c>
      <c r="D1361" s="49" t="s">
        <v>257</v>
      </c>
      <c r="E1361" s="47">
        <v>96731</v>
      </c>
      <c r="G1361" s="50" t="s">
        <v>244</v>
      </c>
      <c r="H1361" s="51">
        <v>40.1</v>
      </c>
      <c r="J1361" s="51">
        <v>5.29</v>
      </c>
      <c r="K1361" s="52">
        <f>Tabela6[[#This Row],[CONSUMO]]*Tabela6[[#This Row],[VALOR UNIT]]-Tabela6[[#This Row],[DESCONTO]]</f>
        <v>212.12900000000002</v>
      </c>
      <c r="L1361" s="53">
        <f>Tabela6[[#This Row],[CUSTO TOTAL]]/Tabela6[[#This Row],[CONSUMO]]</f>
        <v>5.29</v>
      </c>
      <c r="M1361" s="50">
        <f>Tabela6[[#This Row],[KM ATUAL]]-E1360</f>
        <v>39363</v>
      </c>
      <c r="N1361" s="51">
        <f>Tabela6[[#This Row],[KM Rodados ]]/Tabela6[[#This Row],[CONSUMO]]</f>
        <v>981.62094763092261</v>
      </c>
    </row>
    <row r="1362" spans="1:14" x14ac:dyDescent="0.25">
      <c r="A1362" s="47">
        <v>390162</v>
      </c>
      <c r="B1362" s="78">
        <v>45086</v>
      </c>
      <c r="C1362" s="47" t="s">
        <v>8</v>
      </c>
      <c r="D1362" s="49" t="s">
        <v>253</v>
      </c>
      <c r="E1362" s="47">
        <v>874559</v>
      </c>
      <c r="G1362" s="50" t="s">
        <v>89</v>
      </c>
      <c r="H1362" s="51">
        <v>116.66</v>
      </c>
      <c r="I1362" s="49">
        <v>35</v>
      </c>
      <c r="J1362" s="51">
        <v>5.49</v>
      </c>
      <c r="K1362" s="52">
        <f>Tabela6[[#This Row],[CONSUMO]]*Tabela6[[#This Row],[VALOR UNIT]]-Tabela6[[#This Row],[DESCONTO]]</f>
        <v>605.46339999999998</v>
      </c>
      <c r="L1362" s="53">
        <f>Tabela6[[#This Row],[CUSTO TOTAL]]/Tabela6[[#This Row],[CONSUMO]]</f>
        <v>5.1899828561632093</v>
      </c>
      <c r="M1362" s="50">
        <f>Tabela6[[#This Row],[KM ATUAL]]-E1330</f>
        <v>743793</v>
      </c>
      <c r="N1362" s="51">
        <f>Tabela6[[#This Row],[KM Rodados ]]/Tabela6[[#This Row],[CONSUMO]]</f>
        <v>6375.7328990228016</v>
      </c>
    </row>
    <row r="1363" spans="1:14" x14ac:dyDescent="0.25">
      <c r="A1363" s="47">
        <v>304049</v>
      </c>
      <c r="B1363" s="78">
        <v>45086</v>
      </c>
      <c r="C1363" s="47" t="s">
        <v>39</v>
      </c>
      <c r="D1363" s="49" t="s">
        <v>276</v>
      </c>
      <c r="E1363" s="47">
        <v>88892</v>
      </c>
      <c r="G1363" s="50" t="s">
        <v>89</v>
      </c>
      <c r="H1363" s="51">
        <v>112.431</v>
      </c>
      <c r="J1363" s="51">
        <v>4.99</v>
      </c>
      <c r="K1363" s="52">
        <f>Tabela6[[#This Row],[CONSUMO]]*Tabela6[[#This Row],[VALOR UNIT]]-Tabela6[[#This Row],[DESCONTO]]</f>
        <v>561.03069000000005</v>
      </c>
      <c r="L1363" s="53">
        <f>Tabela6[[#This Row],[CUSTO TOTAL]]/Tabela6[[#This Row],[CONSUMO]]</f>
        <v>4.99</v>
      </c>
      <c r="M1363" s="50">
        <f>Tabela6[[#This Row],[KM ATUAL]]-E1271</f>
        <v>-219328</v>
      </c>
      <c r="N1363" s="51">
        <f>Tabela6[[#This Row],[KM Rodados ]]/Tabela6[[#This Row],[CONSUMO]]</f>
        <v>-1950.7786998247814</v>
      </c>
    </row>
    <row r="1364" spans="1:14" x14ac:dyDescent="0.25">
      <c r="A1364" s="47" t="s">
        <v>314</v>
      </c>
      <c r="B1364" s="78">
        <v>45086</v>
      </c>
      <c r="C1364" s="47" t="s">
        <v>72</v>
      </c>
      <c r="E1364" s="47">
        <v>394816</v>
      </c>
      <c r="G1364" s="50" t="s">
        <v>89</v>
      </c>
      <c r="H1364" s="51">
        <v>14.5</v>
      </c>
      <c r="K1364" s="52">
        <f>Tabela6[[#This Row],[CONSUMO]]*Tabela6[[#This Row],[VALOR UNIT]]-Tabela6[[#This Row],[DESCONTO]]</f>
        <v>0</v>
      </c>
      <c r="L1364" s="53">
        <f>Tabela6[[#This Row],[CUSTO TOTAL]]/Tabela6[[#This Row],[CONSUMO]]</f>
        <v>0</v>
      </c>
      <c r="M1364" s="50">
        <f>Tabela6[[#This Row],[KM ATUAL]]-E1360</f>
        <v>337448</v>
      </c>
      <c r="N1364" s="51">
        <f>Tabela6[[#This Row],[KM Rodados ]]/Tabela6[[#This Row],[CONSUMO]]</f>
        <v>23272.275862068964</v>
      </c>
    </row>
    <row r="1365" spans="1:14" x14ac:dyDescent="0.25">
      <c r="A1365" s="47" t="s">
        <v>314</v>
      </c>
      <c r="B1365" s="78">
        <v>45086</v>
      </c>
      <c r="C1365" s="47" t="s">
        <v>72</v>
      </c>
      <c r="E1365" s="47">
        <v>395001</v>
      </c>
      <c r="G1365" s="50" t="s">
        <v>89</v>
      </c>
      <c r="H1365" s="51">
        <v>22.5</v>
      </c>
      <c r="K1365" s="52">
        <f>Tabela6[[#This Row],[CONSUMO]]*Tabela6[[#This Row],[VALOR UNIT]]-Tabela6[[#This Row],[DESCONTO]]</f>
        <v>0</v>
      </c>
      <c r="L1365" s="53">
        <f>Tabela6[[#This Row],[CUSTO TOTAL]]/Tabela6[[#This Row],[CONSUMO]]</f>
        <v>0</v>
      </c>
      <c r="M1365" s="50">
        <f>Tabela6[[#This Row],[KM ATUAL]]-E1364</f>
        <v>185</v>
      </c>
      <c r="N1365" s="51">
        <f>Tabela6[[#This Row],[KM Rodados ]]/Tabela6[[#This Row],[CONSUMO]]</f>
        <v>8.2222222222222214</v>
      </c>
    </row>
    <row r="1366" spans="1:14" x14ac:dyDescent="0.25">
      <c r="A1366" s="47">
        <v>303992</v>
      </c>
      <c r="B1366" s="78">
        <v>45086</v>
      </c>
      <c r="C1366" s="47" t="s">
        <v>72</v>
      </c>
      <c r="D1366" s="49" t="s">
        <v>276</v>
      </c>
      <c r="E1366" s="47">
        <v>395378</v>
      </c>
      <c r="G1366" s="50" t="s">
        <v>89</v>
      </c>
      <c r="H1366" s="51">
        <v>52.12</v>
      </c>
      <c r="J1366" s="51">
        <v>4.99</v>
      </c>
      <c r="K1366" s="52">
        <f>Tabela6[[#This Row],[CONSUMO]]*Tabela6[[#This Row],[VALOR UNIT]]-Tabela6[[#This Row],[DESCONTO]]</f>
        <v>260.0788</v>
      </c>
      <c r="L1366" s="53">
        <f>Tabela6[[#This Row],[CUSTO TOTAL]]/Tabela6[[#This Row],[CONSUMO]]</f>
        <v>4.99</v>
      </c>
      <c r="M1366" s="50">
        <f>Tabela6[[#This Row],[KM ATUAL]]-E1365</f>
        <v>377</v>
      </c>
      <c r="N1366" s="51">
        <f>Tabela6[[#This Row],[KM Rodados ]]/Tabela6[[#This Row],[CONSUMO]]</f>
        <v>7.2333077513430553</v>
      </c>
    </row>
    <row r="1367" spans="1:14" x14ac:dyDescent="0.25">
      <c r="A1367" s="47">
        <v>389809</v>
      </c>
      <c r="B1367" s="78">
        <v>45086</v>
      </c>
      <c r="C1367" s="47" t="s">
        <v>12</v>
      </c>
      <c r="D1367" s="49" t="s">
        <v>253</v>
      </c>
      <c r="E1367" s="47">
        <v>312729</v>
      </c>
      <c r="G1367" s="50" t="s">
        <v>241</v>
      </c>
      <c r="H1367" s="51">
        <v>21.35</v>
      </c>
      <c r="J1367" s="51">
        <v>4.99</v>
      </c>
      <c r="K1367" s="51">
        <f>Tabela6[[#This Row],[CONSUMO]]*Tabela6[[#This Row],[VALOR UNIT]]-Tabela6[[#This Row],[DESCONTO]]</f>
        <v>106.53650000000002</v>
      </c>
      <c r="L1367" s="53">
        <f>Tabela6[[#This Row],[CUSTO TOTAL]]/Tabela6[[#This Row],[CONSUMO]]</f>
        <v>4.99</v>
      </c>
      <c r="M1367" s="50"/>
      <c r="N1367"/>
    </row>
    <row r="1368" spans="1:14" x14ac:dyDescent="0.25">
      <c r="A1368" s="47">
        <v>389809</v>
      </c>
      <c r="B1368" s="78">
        <v>45086</v>
      </c>
      <c r="C1368" s="47" t="s">
        <v>12</v>
      </c>
      <c r="D1368" s="49" t="s">
        <v>253</v>
      </c>
      <c r="E1368" s="47">
        <v>312729</v>
      </c>
      <c r="G1368" s="50" t="s">
        <v>89</v>
      </c>
      <c r="H1368" s="51">
        <v>114.41</v>
      </c>
      <c r="I1368" s="49">
        <v>34.32</v>
      </c>
      <c r="J1368" s="51">
        <v>5.49</v>
      </c>
      <c r="K1368" s="51">
        <f>Tabela6[[#This Row],[CONSUMO]]*Tabela6[[#This Row],[VALOR UNIT]]-Tabela6[[#This Row],[DESCONTO]]</f>
        <v>593.79089999999997</v>
      </c>
      <c r="L1368" s="53">
        <f>Tabela6[[#This Row],[CUSTO TOTAL]]/Tabela6[[#This Row],[CONSUMO]]</f>
        <v>5.1900262214841355</v>
      </c>
      <c r="M1368" s="50">
        <f>Tabela6[[#This Row],[KM ATUAL]]-E1317</f>
        <v>-80335</v>
      </c>
      <c r="N1368" s="51">
        <f>Tabela6[[#This Row],[KM Rodados ]]/Tabela6[[#This Row],[CONSUMO]]</f>
        <v>-702.16764268857617</v>
      </c>
    </row>
    <row r="1369" spans="1:14" x14ac:dyDescent="0.25">
      <c r="A1369" s="47">
        <v>616618</v>
      </c>
      <c r="B1369" s="78">
        <v>45086</v>
      </c>
      <c r="C1369" s="47" t="s">
        <v>17</v>
      </c>
      <c r="D1369" s="49" t="s">
        <v>271</v>
      </c>
      <c r="E1369" s="47">
        <v>353304</v>
      </c>
      <c r="G1369" s="50" t="s">
        <v>89</v>
      </c>
      <c r="H1369" s="51">
        <v>231.14</v>
      </c>
      <c r="J1369" s="51">
        <v>4.8899999999999997</v>
      </c>
      <c r="K1369" s="51">
        <f>Tabela6[[#This Row],[CONSUMO]]*Tabela6[[#This Row],[VALOR UNIT]]-Tabela6[[#This Row],[DESCONTO]]</f>
        <v>1130.2746</v>
      </c>
      <c r="L1369" s="53">
        <f>Tabela6[[#This Row],[CUSTO TOTAL]]/Tabela6[[#This Row],[CONSUMO]]</f>
        <v>4.8900000000000006</v>
      </c>
      <c r="M1369" s="50">
        <f>Tabela6[[#This Row],[KM ATUAL]]-E1290</f>
        <v>148937</v>
      </c>
      <c r="N1369" s="51">
        <f>Tabela6[[#This Row],[KM Rodados ]]/Tabela6[[#This Row],[CONSUMO]]</f>
        <v>644.3583975080038</v>
      </c>
    </row>
    <row r="1370" spans="1:14" x14ac:dyDescent="0.25">
      <c r="A1370" s="47">
        <v>126419</v>
      </c>
      <c r="B1370" s="78">
        <v>45086</v>
      </c>
      <c r="C1370" s="47" t="s">
        <v>20</v>
      </c>
      <c r="D1370" s="49" t="s">
        <v>291</v>
      </c>
      <c r="E1370" s="47">
        <v>253593</v>
      </c>
      <c r="G1370" s="50" t="s">
        <v>89</v>
      </c>
      <c r="H1370" s="51">
        <v>67.194000000000003</v>
      </c>
      <c r="J1370" s="51">
        <v>5.29</v>
      </c>
      <c r="K1370" s="52">
        <f>Tabela6[[#This Row],[CONSUMO]]*Tabela6[[#This Row],[VALOR UNIT]]-Tabela6[[#This Row],[DESCONTO]]</f>
        <v>355.45626000000004</v>
      </c>
      <c r="L1370" s="53">
        <f>Tabela6[[#This Row],[CUSTO TOTAL]]/Tabela6[[#This Row],[CONSUMO]]</f>
        <v>5.29</v>
      </c>
      <c r="M1370" s="50">
        <f>Tabela6[[#This Row],[KM ATUAL]]-E1353</f>
        <v>-141116</v>
      </c>
      <c r="N1370" s="51">
        <f>Tabela6[[#This Row],[KM Rodados ]]/Tabela6[[#This Row],[CONSUMO]]</f>
        <v>-2100.1279876179419</v>
      </c>
    </row>
    <row r="1371" spans="1:14" x14ac:dyDescent="0.25">
      <c r="A1371" s="47">
        <v>389812</v>
      </c>
      <c r="B1371" s="78">
        <v>45086</v>
      </c>
      <c r="C1371" s="47" t="s">
        <v>23</v>
      </c>
      <c r="D1371" s="49" t="s">
        <v>253</v>
      </c>
      <c r="E1371" s="47">
        <v>228550</v>
      </c>
      <c r="G1371" s="50" t="s">
        <v>89</v>
      </c>
      <c r="H1371" s="51">
        <v>146.02000000000001</v>
      </c>
      <c r="I1371" s="49">
        <v>43.81</v>
      </c>
      <c r="J1371" s="51">
        <v>5.49</v>
      </c>
      <c r="K1371" s="51">
        <f>Tabela6[[#This Row],[CONSUMO]]*Tabela6[[#This Row],[VALOR UNIT]]-Tabela6[[#This Row],[DESCONTO]]</f>
        <v>757.8398000000002</v>
      </c>
      <c r="L1371" s="53">
        <f>Tabela6[[#This Row],[CUSTO TOTAL]]/Tabela6[[#This Row],[CONSUMO]]</f>
        <v>5.1899726064922627</v>
      </c>
      <c r="M1371" s="50">
        <f>Tabela6[[#This Row],[KM ATUAL]]-E1343</f>
        <v>101523</v>
      </c>
      <c r="N1371" s="51">
        <f>Tabela6[[#This Row],[KM Rodados ]]/Tabela6[[#This Row],[CONSUMO]]</f>
        <v>695.26777153814544</v>
      </c>
    </row>
    <row r="1372" spans="1:14" x14ac:dyDescent="0.25">
      <c r="A1372" s="47">
        <v>514120</v>
      </c>
      <c r="B1372" s="78">
        <v>45086</v>
      </c>
      <c r="C1372" s="47" t="s">
        <v>74</v>
      </c>
      <c r="D1372" s="49" t="s">
        <v>257</v>
      </c>
      <c r="E1372" s="47">
        <v>58044</v>
      </c>
      <c r="G1372" s="50" t="s">
        <v>89</v>
      </c>
      <c r="H1372" s="51">
        <v>93.200999999999993</v>
      </c>
      <c r="J1372" s="51">
        <v>4.8899999999999997</v>
      </c>
      <c r="K1372" s="51">
        <f>Tabela6[[#This Row],[CONSUMO]]*Tabela6[[#This Row],[VALOR UNIT]]-Tabela6[[#This Row],[DESCONTO]]</f>
        <v>455.75288999999992</v>
      </c>
      <c r="L1372" s="53">
        <f>Tabela6[[#This Row],[CUSTO TOTAL]]/Tabela6[[#This Row],[CONSUMO]]</f>
        <v>4.8899999999999997</v>
      </c>
      <c r="M1372" s="50">
        <f>Tabela6[[#This Row],[KM ATUAL]]-E1356</f>
        <v>-335636</v>
      </c>
      <c r="N1372" s="51">
        <f>Tabela6[[#This Row],[KM Rodados ]]/Tabela6[[#This Row],[CONSUMO]]</f>
        <v>-3601.2059956438238</v>
      </c>
    </row>
    <row r="1373" spans="1:14" x14ac:dyDescent="0.25">
      <c r="A1373" s="47" t="s">
        <v>314</v>
      </c>
      <c r="B1373" s="78">
        <v>45087</v>
      </c>
      <c r="C1373" s="47" t="s">
        <v>72</v>
      </c>
      <c r="E1373" s="47">
        <v>395400</v>
      </c>
      <c r="G1373" s="50" t="s">
        <v>89</v>
      </c>
      <c r="H1373" s="51">
        <v>4</v>
      </c>
      <c r="K1373" s="52">
        <f>Tabela6[[#This Row],[CONSUMO]]*Tabela6[[#This Row],[VALOR UNIT]]-Tabela6[[#This Row],[DESCONTO]]</f>
        <v>0</v>
      </c>
      <c r="L1373" s="53">
        <f>Tabela6[[#This Row],[CUSTO TOTAL]]/Tabela6[[#This Row],[CONSUMO]]</f>
        <v>0</v>
      </c>
      <c r="M1373" s="50">
        <f>Tabela6[[#This Row],[KM ATUAL]]-E1361</f>
        <v>298669</v>
      </c>
      <c r="N1373" s="49">
        <f>Tabela6[[#This Row],[KM Rodados ]]/Tabela6[[#This Row],[CONSUMO]]</f>
        <v>74667.25</v>
      </c>
    </row>
    <row r="1374" spans="1:14" x14ac:dyDescent="0.25">
      <c r="A1374" s="47" t="s">
        <v>314</v>
      </c>
      <c r="B1374" s="78">
        <v>45087</v>
      </c>
      <c r="C1374" s="47" t="s">
        <v>206</v>
      </c>
      <c r="E1374" s="47">
        <v>941119</v>
      </c>
      <c r="G1374" s="50" t="s">
        <v>89</v>
      </c>
      <c r="H1374" s="51">
        <v>542</v>
      </c>
      <c r="K1374" s="52">
        <f>Tabela6[[#This Row],[CONSUMO]]*Tabela6[[#This Row],[VALOR UNIT]]-Tabela6[[#This Row],[DESCONTO]]</f>
        <v>0</v>
      </c>
      <c r="L1374" s="53">
        <f>Tabela6[[#This Row],[CUSTO TOTAL]]/Tabela6[[#This Row],[CONSUMO]]</f>
        <v>0</v>
      </c>
      <c r="M1374" s="50">
        <f>Tabela6[[#This Row],[KM ATUAL]]-E1312</f>
        <v>576989</v>
      </c>
      <c r="N1374" s="51">
        <f>Tabela6[[#This Row],[KM Rodados ]]/Tabela6[[#This Row],[CONSUMO]]</f>
        <v>1064.5553505535056</v>
      </c>
    </row>
    <row r="1375" spans="1:14" x14ac:dyDescent="0.25">
      <c r="A1375" s="47" t="s">
        <v>314</v>
      </c>
      <c r="B1375" s="78">
        <v>45088</v>
      </c>
      <c r="C1375" s="47" t="s">
        <v>203</v>
      </c>
      <c r="E1375" s="47">
        <v>97191</v>
      </c>
      <c r="G1375" s="50" t="s">
        <v>244</v>
      </c>
      <c r="H1375" s="51">
        <v>37.520000000000003</v>
      </c>
      <c r="K1375" s="52">
        <f>Tabela6[[#This Row],[CONSUMO]]*Tabela6[[#This Row],[VALOR UNIT]]-Tabela6[[#This Row],[DESCONTO]]</f>
        <v>0</v>
      </c>
      <c r="L1375" s="53">
        <f>Tabela6[[#This Row],[CUSTO TOTAL]]/Tabela6[[#This Row],[CONSUMO]]</f>
        <v>0</v>
      </c>
      <c r="M1375" s="50">
        <f>Tabela6[[#This Row],[KM ATUAL]]-E1337</f>
        <v>-297345</v>
      </c>
      <c r="N1375" s="51">
        <f>Tabela6[[#This Row],[KM Rodados ]]/Tabela6[[#This Row],[CONSUMO]]</f>
        <v>-7924.9733475479734</v>
      </c>
    </row>
    <row r="1376" spans="1:14" x14ac:dyDescent="0.25">
      <c r="A1376" s="47">
        <v>282684</v>
      </c>
      <c r="B1376" s="78">
        <v>45089</v>
      </c>
      <c r="C1376" s="47" t="s">
        <v>68</v>
      </c>
      <c r="D1376" s="49" t="s">
        <v>270</v>
      </c>
      <c r="E1376" s="47">
        <v>891750</v>
      </c>
      <c r="G1376" s="50" t="s">
        <v>89</v>
      </c>
      <c r="H1376" s="51">
        <v>320</v>
      </c>
      <c r="J1376" s="51">
        <v>4.8499999999999996</v>
      </c>
      <c r="K1376" s="51">
        <f>Tabela6[[#This Row],[CONSUMO]]*Tabela6[[#This Row],[VALOR UNIT]]-Tabela6[[#This Row],[DESCONTO]]</f>
        <v>1552</v>
      </c>
      <c r="L1376" s="53">
        <f>Tabela6[[#This Row],[CUSTO TOTAL]]/Tabela6[[#This Row],[CONSUMO]]</f>
        <v>4.8499999999999996</v>
      </c>
      <c r="M1376" s="50">
        <f>Tabela6[[#This Row],[KM ATUAL]]-E1329</f>
        <v>229752</v>
      </c>
      <c r="N1376" s="51">
        <f>Tabela6[[#This Row],[KM Rodados ]]/Tabela6[[#This Row],[CONSUMO]]</f>
        <v>717.97500000000002</v>
      </c>
    </row>
    <row r="1377" spans="1:14" x14ac:dyDescent="0.25">
      <c r="A1377" s="47">
        <v>185927</v>
      </c>
      <c r="B1377" s="78">
        <v>45089</v>
      </c>
      <c r="C1377" s="47" t="s">
        <v>43</v>
      </c>
      <c r="D1377" s="49" t="s">
        <v>262</v>
      </c>
      <c r="E1377" s="47">
        <v>127283</v>
      </c>
      <c r="G1377" s="50" t="s">
        <v>89</v>
      </c>
      <c r="H1377" s="51">
        <v>32.771000000000001</v>
      </c>
      <c r="J1377" s="51">
        <v>4.8899999999999997</v>
      </c>
      <c r="K1377" s="51">
        <f>Tabela6[[#This Row],[CONSUMO]]*Tabela6[[#This Row],[VALOR UNIT]]-Tabela6[[#This Row],[DESCONTO]]</f>
        <v>160.25019</v>
      </c>
      <c r="L1377" s="53">
        <f>Tabela6[[#This Row],[CUSTO TOTAL]]/Tabela6[[#This Row],[CONSUMO]]</f>
        <v>4.8899999999999997</v>
      </c>
      <c r="M1377" s="50">
        <f>Tabela6[[#This Row],[KM ATUAL]]-E1329</f>
        <v>-534715</v>
      </c>
      <c r="N1377" s="72">
        <f>Tabela6[[#This Row],[KM Rodados ]]/Tabela6[[#This Row],[CONSUMO]]</f>
        <v>-16316.712947423026</v>
      </c>
    </row>
    <row r="1378" spans="1:14" x14ac:dyDescent="0.25">
      <c r="A1378" s="47">
        <v>282705</v>
      </c>
      <c r="B1378" s="78">
        <v>45089</v>
      </c>
      <c r="C1378" s="47" t="s">
        <v>222</v>
      </c>
      <c r="D1378" s="49" t="s">
        <v>270</v>
      </c>
      <c r="E1378" s="47">
        <v>479129</v>
      </c>
      <c r="G1378" s="50" t="s">
        <v>89</v>
      </c>
      <c r="H1378" s="51">
        <v>313</v>
      </c>
      <c r="J1378" s="51">
        <v>4.8499999999999996</v>
      </c>
      <c r="K1378" s="51">
        <f>Tabela6[[#This Row],[CONSUMO]]*Tabela6[[#This Row],[VALOR UNIT]]-Tabela6[[#This Row],[DESCONTO]]</f>
        <v>1518.05</v>
      </c>
      <c r="L1378" s="53">
        <f>Tabela6[[#This Row],[CUSTO TOTAL]]/Tabela6[[#This Row],[CONSUMO]]</f>
        <v>4.8499999999999996</v>
      </c>
      <c r="M1378" s="50">
        <f>Tabela6[[#This Row],[KM ATUAL]]-E1328</f>
        <v>357638</v>
      </c>
      <c r="N1378" s="51">
        <f>Tabela6[[#This Row],[KM Rodados ]]/Tabela6[[#This Row],[CONSUMO]]</f>
        <v>1142.6134185303515</v>
      </c>
    </row>
    <row r="1379" spans="1:14" x14ac:dyDescent="0.25">
      <c r="A1379" s="47">
        <v>282818</v>
      </c>
      <c r="B1379" s="78">
        <v>45089</v>
      </c>
      <c r="C1379" s="47" t="s">
        <v>67</v>
      </c>
      <c r="D1379" s="49" t="s">
        <v>270</v>
      </c>
      <c r="E1379" s="47">
        <v>667142</v>
      </c>
      <c r="G1379" s="50" t="s">
        <v>89</v>
      </c>
      <c r="H1379" s="51">
        <v>149.43</v>
      </c>
      <c r="J1379" s="51">
        <v>4.8499999999999996</v>
      </c>
      <c r="K1379" s="52">
        <f>Tabela6[[#This Row],[CONSUMO]]*Tabela6[[#This Row],[VALOR UNIT]]-Tabela6[[#This Row],[DESCONTO]]</f>
        <v>724.7355</v>
      </c>
      <c r="L1379" s="53">
        <f>Tabela6[[#This Row],[CUSTO TOTAL]]/Tabela6[[#This Row],[CONSUMO]]</f>
        <v>4.8499999999999996</v>
      </c>
      <c r="M1379" s="50">
        <f>Tabela6[[#This Row],[KM ATUAL]]-E1346</f>
        <v>563</v>
      </c>
      <c r="N1379" s="51">
        <f>Tabela6[[#This Row],[KM Rodados ]]/Tabela6[[#This Row],[CONSUMO]]</f>
        <v>3.767650404871846</v>
      </c>
    </row>
    <row r="1380" spans="1:14" x14ac:dyDescent="0.25">
      <c r="A1380" s="47">
        <v>185928</v>
      </c>
      <c r="B1380" s="78">
        <v>45089</v>
      </c>
      <c r="C1380" s="47" t="s">
        <v>22</v>
      </c>
      <c r="D1380" s="49" t="s">
        <v>262</v>
      </c>
      <c r="E1380" s="47">
        <v>326935</v>
      </c>
      <c r="G1380" s="50" t="s">
        <v>89</v>
      </c>
      <c r="H1380" s="51">
        <v>101.509</v>
      </c>
      <c r="J1380" s="51">
        <v>4.8899999999999997</v>
      </c>
      <c r="K1380" s="74">
        <f>Tabela6[[#This Row],[CONSUMO]]*Tabela6[[#This Row],[VALOR UNIT]]-Tabela6[[#This Row],[DESCONTO]]</f>
        <v>496.37900999999999</v>
      </c>
      <c r="L1380" s="53">
        <f>Tabela6[[#This Row],[CUSTO TOTAL]]/Tabela6[[#This Row],[CONSUMO]]</f>
        <v>4.8899999999999997</v>
      </c>
      <c r="M1380" s="50">
        <f>Tabela6[[#This Row],[KM ATUAL]]-E1317</f>
        <v>-66129</v>
      </c>
      <c r="N1380" s="51">
        <f>Tabela6[[#This Row],[KM Rodados ]]/Tabela6[[#This Row],[CONSUMO]]</f>
        <v>-651.45947649962068</v>
      </c>
    </row>
    <row r="1381" spans="1:14" x14ac:dyDescent="0.25">
      <c r="A1381" s="47">
        <v>558452</v>
      </c>
      <c r="B1381" s="78">
        <v>45089</v>
      </c>
      <c r="C1381" s="47" t="s">
        <v>70</v>
      </c>
      <c r="D1381" s="49" t="s">
        <v>275</v>
      </c>
      <c r="E1381" s="47">
        <v>205920</v>
      </c>
      <c r="G1381" s="50" t="s">
        <v>241</v>
      </c>
      <c r="H1381" s="51">
        <v>56</v>
      </c>
      <c r="J1381" s="51">
        <v>3.79</v>
      </c>
      <c r="K1381" s="51">
        <f>Tabela6[[#This Row],[CONSUMO]]*Tabela6[[#This Row],[VALOR UNIT]]-Tabela6[[#This Row],[DESCONTO]]</f>
        <v>212.24</v>
      </c>
      <c r="L1381" s="53">
        <f>Tabela6[[#This Row],[CUSTO TOTAL]]/Tabela6[[#This Row],[CONSUMO]]</f>
        <v>3.79</v>
      </c>
      <c r="M1381" s="50"/>
      <c r="N1381"/>
    </row>
    <row r="1382" spans="1:14" x14ac:dyDescent="0.25">
      <c r="A1382" s="47">
        <v>558452</v>
      </c>
      <c r="B1382" s="78">
        <v>45089</v>
      </c>
      <c r="C1382" s="47" t="s">
        <v>70</v>
      </c>
      <c r="D1382" s="49" t="s">
        <v>275</v>
      </c>
      <c r="E1382" s="47">
        <v>205920</v>
      </c>
      <c r="G1382" s="50" t="s">
        <v>89</v>
      </c>
      <c r="H1382" s="51">
        <v>565.88099999999997</v>
      </c>
      <c r="J1382" s="51">
        <v>4.8499999999999996</v>
      </c>
      <c r="K1382" s="51">
        <f>Tabela6[[#This Row],[CONSUMO]]*Tabela6[[#This Row],[VALOR UNIT]]-Tabela6[[#This Row],[DESCONTO]]</f>
        <v>2744.5228499999998</v>
      </c>
      <c r="L1382" s="53">
        <f>Tabela6[[#This Row],[CUSTO TOTAL]]/Tabela6[[#This Row],[CONSUMO]]</f>
        <v>4.8499999999999996</v>
      </c>
      <c r="M1382" s="50">
        <f>Tabela6[[#This Row],[KM ATUAL]]-E1278</f>
        <v>-398082</v>
      </c>
      <c r="N1382" s="51">
        <f>Tabela6[[#This Row],[KM Rodados ]]/Tabela6[[#This Row],[CONSUMO]]</f>
        <v>-703.47299167139386</v>
      </c>
    </row>
    <row r="1383" spans="1:14" x14ac:dyDescent="0.25">
      <c r="A1383" s="47">
        <v>185854</v>
      </c>
      <c r="B1383" s="78">
        <v>45089</v>
      </c>
      <c r="C1383" s="47" t="s">
        <v>72</v>
      </c>
      <c r="D1383" s="49" t="s">
        <v>262</v>
      </c>
      <c r="E1383" s="47">
        <v>395517</v>
      </c>
      <c r="G1383" s="50" t="s">
        <v>89</v>
      </c>
      <c r="H1383" s="51">
        <v>20.399999999999999</v>
      </c>
      <c r="J1383" s="51">
        <v>4.8899999999999997</v>
      </c>
      <c r="K1383" s="52">
        <f>Tabela6[[#This Row],[CONSUMO]]*Tabela6[[#This Row],[VALOR UNIT]]-Tabela6[[#This Row],[DESCONTO]]</f>
        <v>99.755999999999986</v>
      </c>
      <c r="L1383" s="53">
        <f>Tabela6[[#This Row],[CUSTO TOTAL]]/Tabela6[[#This Row],[CONSUMO]]</f>
        <v>4.8899999999999997</v>
      </c>
      <c r="M1383" s="50">
        <f>Tabela6[[#This Row],[KM ATUAL]]-E1382</f>
        <v>189597</v>
      </c>
      <c r="N1383" s="51">
        <f>Tabela6[[#This Row],[KM Rodados ]]/Tabela6[[#This Row],[CONSUMO]]</f>
        <v>9293.9705882352955</v>
      </c>
    </row>
    <row r="1384" spans="1:14" x14ac:dyDescent="0.25">
      <c r="A1384" s="47">
        <v>109357</v>
      </c>
      <c r="B1384" s="78">
        <v>45089</v>
      </c>
      <c r="C1384" s="47" t="s">
        <v>72</v>
      </c>
      <c r="D1384" s="49" t="s">
        <v>263</v>
      </c>
      <c r="E1384" s="47">
        <v>395714</v>
      </c>
      <c r="G1384" s="50" t="s">
        <v>89</v>
      </c>
      <c r="H1384" s="51">
        <v>25.4</v>
      </c>
      <c r="I1384" s="49">
        <v>4.3</v>
      </c>
      <c r="J1384" s="51">
        <v>4.99</v>
      </c>
      <c r="K1384" s="51">
        <f>Tabela6[[#This Row],[CONSUMO]]*Tabela6[[#This Row],[VALOR UNIT]]-Tabela6[[#This Row],[DESCONTO]]</f>
        <v>122.446</v>
      </c>
      <c r="L1384" s="53">
        <f>Tabela6[[#This Row],[CUSTO TOTAL]]/Tabela6[[#This Row],[CONSUMO]]</f>
        <v>4.8207086614173233</v>
      </c>
      <c r="M1384" s="50">
        <f>Tabela6[[#This Row],[KM ATUAL]]-E1383</f>
        <v>197</v>
      </c>
      <c r="N1384" s="51">
        <f>Tabela6[[#This Row],[KM Rodados ]]/Tabela6[[#This Row],[CONSUMO]]</f>
        <v>7.7559055118110241</v>
      </c>
    </row>
    <row r="1385" spans="1:14" x14ac:dyDescent="0.25">
      <c r="A1385" s="47">
        <v>304988</v>
      </c>
      <c r="B1385" s="78">
        <v>45089</v>
      </c>
      <c r="C1385" s="47" t="s">
        <v>72</v>
      </c>
      <c r="D1385" s="49" t="s">
        <v>276</v>
      </c>
      <c r="E1385" s="47">
        <v>396014</v>
      </c>
      <c r="G1385" s="50" t="s">
        <v>89</v>
      </c>
      <c r="H1385" s="51">
        <v>37.08</v>
      </c>
      <c r="J1385" s="51">
        <v>4.99</v>
      </c>
      <c r="K1385" s="51">
        <f>Tabela6[[#This Row],[CONSUMO]]*Tabela6[[#This Row],[VALOR UNIT]]-Tabela6[[#This Row],[DESCONTO]]</f>
        <v>185.0292</v>
      </c>
      <c r="L1385" s="53">
        <f>Tabela6[[#This Row],[CUSTO TOTAL]]/Tabela6[[#This Row],[CONSUMO]]</f>
        <v>4.99</v>
      </c>
      <c r="M1385" s="50">
        <f>Tabela6[[#This Row],[KM ATUAL]]-E1378</f>
        <v>-83115</v>
      </c>
      <c r="N1385" s="51">
        <f>Tabela6[[#This Row],[KM Rodados ]]/Tabela6[[#This Row],[CONSUMO]]</f>
        <v>-2241.5048543689322</v>
      </c>
    </row>
    <row r="1386" spans="1:14" x14ac:dyDescent="0.25">
      <c r="A1386" s="47">
        <v>187165</v>
      </c>
      <c r="B1386" s="78">
        <v>45089</v>
      </c>
      <c r="C1386" s="47" t="s">
        <v>10</v>
      </c>
      <c r="D1386" s="49" t="s">
        <v>262</v>
      </c>
      <c r="E1386" s="47">
        <v>717630</v>
      </c>
      <c r="G1386" s="50" t="s">
        <v>89</v>
      </c>
      <c r="H1386" s="51">
        <v>156.65</v>
      </c>
      <c r="J1386" s="51">
        <v>4.8899999999999997</v>
      </c>
      <c r="K1386" s="51">
        <f>Tabela6[[#This Row],[CONSUMO]]*Tabela6[[#This Row],[VALOR UNIT]]-Tabela6[[#This Row],[DESCONTO]]</f>
        <v>766.01850000000002</v>
      </c>
      <c r="L1386" s="53">
        <f>Tabela6[[#This Row],[CUSTO TOTAL]]/Tabela6[[#This Row],[CONSUMO]]</f>
        <v>4.8899999999999997</v>
      </c>
      <c r="M1386" s="50">
        <f>Tabela6[[#This Row],[KM ATUAL]]-E1349</f>
        <v>665098</v>
      </c>
      <c r="N1386" s="51">
        <f>Tabela6[[#This Row],[KM Rodados ]]/Tabela6[[#This Row],[CONSUMO]]</f>
        <v>4245.7580593680177</v>
      </c>
    </row>
    <row r="1387" spans="1:14" x14ac:dyDescent="0.25">
      <c r="A1387" s="47">
        <v>185539</v>
      </c>
      <c r="B1387" s="78">
        <v>45089</v>
      </c>
      <c r="C1387" s="47" t="s">
        <v>13</v>
      </c>
      <c r="D1387" s="49" t="s">
        <v>262</v>
      </c>
      <c r="E1387" s="47">
        <v>624659</v>
      </c>
      <c r="G1387" s="50" t="s">
        <v>89</v>
      </c>
      <c r="H1387" s="51">
        <v>100</v>
      </c>
      <c r="J1387" s="51">
        <v>4.99</v>
      </c>
      <c r="K1387" s="52">
        <f>Tabela6[[#This Row],[CONSUMO]]*Tabela6[[#This Row],[VALOR UNIT]]-Tabela6[[#This Row],[DESCONTO]]</f>
        <v>499</v>
      </c>
      <c r="L1387" s="53">
        <f>Tabela6[[#This Row],[CUSTO TOTAL]]/Tabela6[[#This Row],[CONSUMO]]</f>
        <v>4.99</v>
      </c>
      <c r="M1387" s="50">
        <f>Tabela6[[#This Row],[KM ATUAL]]-E1381</f>
        <v>418739</v>
      </c>
      <c r="N1387" s="51">
        <f>Tabela6[[#This Row],[KM Rodados ]]/Tabela6[[#This Row],[CONSUMO]]</f>
        <v>4187.3900000000003</v>
      </c>
    </row>
    <row r="1388" spans="1:14" x14ac:dyDescent="0.25">
      <c r="A1388" s="47">
        <v>157306</v>
      </c>
      <c r="B1388" s="78">
        <v>45089</v>
      </c>
      <c r="C1388" s="47" t="s">
        <v>13</v>
      </c>
      <c r="D1388" s="49" t="s">
        <v>256</v>
      </c>
      <c r="E1388" s="47">
        <v>624322</v>
      </c>
      <c r="G1388" s="50" t="s">
        <v>89</v>
      </c>
      <c r="H1388" s="51">
        <v>29.4</v>
      </c>
      <c r="J1388" s="51">
        <v>4.8899999999999997</v>
      </c>
      <c r="K1388" s="51">
        <f>Tabela6[[#This Row],[CONSUMO]]*Tabela6[[#This Row],[VALOR UNIT]]-Tabela6[[#This Row],[DESCONTO]]</f>
        <v>143.76599999999999</v>
      </c>
      <c r="L1388" s="53">
        <f>Tabela6[[#This Row],[CUSTO TOTAL]]/Tabela6[[#This Row],[CONSUMO]]</f>
        <v>4.8899999999999997</v>
      </c>
      <c r="M1388" s="50">
        <f>Tabela6[[#This Row],[KM ATUAL]]-E1361</f>
        <v>527591</v>
      </c>
      <c r="N1388" s="51">
        <f>Tabela6[[#This Row],[KM Rodados ]]/Tabela6[[#This Row],[CONSUMO]]</f>
        <v>17945.272108843539</v>
      </c>
    </row>
    <row r="1389" spans="1:14" x14ac:dyDescent="0.25">
      <c r="A1389" s="80" t="s">
        <v>314</v>
      </c>
      <c r="B1389" s="78">
        <v>45089</v>
      </c>
      <c r="C1389" s="47" t="s">
        <v>15</v>
      </c>
      <c r="E1389" s="47">
        <v>367752</v>
      </c>
      <c r="G1389" s="50" t="s">
        <v>89</v>
      </c>
      <c r="H1389" s="51">
        <v>95.63</v>
      </c>
      <c r="K1389" s="52">
        <f>Tabela6[[#This Row],[CONSUMO]]*Tabela6[[#This Row],[VALOR UNIT]]-Tabela6[[#This Row],[DESCONTO]]</f>
        <v>0</v>
      </c>
      <c r="L1389" s="53">
        <f>Tabela6[[#This Row],[CUSTO TOTAL]]/Tabela6[[#This Row],[CONSUMO]]</f>
        <v>0</v>
      </c>
      <c r="M1389" s="50">
        <f>Tabela6[[#This Row],[KM ATUAL]]-E1352</f>
        <v>3197</v>
      </c>
      <c r="N1389" s="72">
        <f>Tabela6[[#This Row],[KM Rodados ]]/Tabela6[[#This Row],[CONSUMO]]</f>
        <v>33.430931715988706</v>
      </c>
    </row>
    <row r="1390" spans="1:14" x14ac:dyDescent="0.25">
      <c r="A1390" s="47" t="s">
        <v>314</v>
      </c>
      <c r="B1390" s="78">
        <v>45089</v>
      </c>
      <c r="C1390" s="47" t="s">
        <v>19</v>
      </c>
      <c r="E1390" s="47">
        <v>309671</v>
      </c>
      <c r="G1390" s="50" t="s">
        <v>89</v>
      </c>
      <c r="H1390" s="51">
        <v>198.52</v>
      </c>
      <c r="K1390" s="52">
        <f>Tabela6[[#This Row],[CONSUMO]]*Tabela6[[#This Row],[VALOR UNIT]]-Tabela6[[#This Row],[DESCONTO]]</f>
        <v>0</v>
      </c>
      <c r="L1390" s="53">
        <f>Tabela6[[#This Row],[CUSTO TOTAL]]/Tabela6[[#This Row],[CONSUMO]]</f>
        <v>0</v>
      </c>
      <c r="M1390" s="50">
        <f>Tabela6[[#This Row],[KM ATUAL]]-E1299</f>
        <v>188868</v>
      </c>
      <c r="N1390" s="51">
        <f>Tabela6[[#This Row],[KM Rodados ]]/Tabela6[[#This Row],[CONSUMO]]</f>
        <v>951.38021358049559</v>
      </c>
    </row>
    <row r="1391" spans="1:14" x14ac:dyDescent="0.25">
      <c r="A1391" s="47">
        <v>187234</v>
      </c>
      <c r="B1391" s="78">
        <v>45089</v>
      </c>
      <c r="C1391" s="47" t="s">
        <v>20</v>
      </c>
      <c r="D1391" s="49" t="s">
        <v>262</v>
      </c>
      <c r="E1391" s="47">
        <v>254154</v>
      </c>
      <c r="G1391" s="50" t="s">
        <v>89</v>
      </c>
      <c r="H1391" s="51">
        <v>70.418999999999997</v>
      </c>
      <c r="J1391" s="51">
        <v>4.8899999999999997</v>
      </c>
      <c r="K1391" s="52">
        <f>Tabela6[[#This Row],[CONSUMO]]*Tabela6[[#This Row],[VALOR UNIT]]-Tabela6[[#This Row],[DESCONTO]]</f>
        <v>344.34890999999999</v>
      </c>
      <c r="L1391" s="53">
        <f>Tabela6[[#This Row],[CUSTO TOTAL]]/Tabela6[[#This Row],[CONSUMO]]</f>
        <v>4.8899999999999997</v>
      </c>
      <c r="M1391" s="50">
        <f>Tabela6[[#This Row],[KM ATUAL]]-E1372</f>
        <v>196110</v>
      </c>
      <c r="N1391" s="51">
        <f>Tabela6[[#This Row],[KM Rodados ]]/Tabela6[[#This Row],[CONSUMO]]</f>
        <v>2784.9018020704639</v>
      </c>
    </row>
    <row r="1392" spans="1:14" x14ac:dyDescent="0.25">
      <c r="A1392" s="47">
        <v>186455</v>
      </c>
      <c r="B1392" s="78">
        <v>45089</v>
      </c>
      <c r="C1392" s="47" t="s">
        <v>40</v>
      </c>
      <c r="D1392" s="49" t="s">
        <v>262</v>
      </c>
      <c r="E1392" s="47">
        <v>144711</v>
      </c>
      <c r="G1392" s="50" t="s">
        <v>244</v>
      </c>
      <c r="H1392" s="51">
        <v>22</v>
      </c>
      <c r="J1392" s="51">
        <v>5.29</v>
      </c>
      <c r="K1392" s="74">
        <f>Tabela6[[#This Row],[CONSUMO]]*Tabela6[[#This Row],[VALOR UNIT]]-Tabela6[[#This Row],[DESCONTO]]</f>
        <v>116.38</v>
      </c>
      <c r="L1392" s="53">
        <f>Tabela6[[#This Row],[CUSTO TOTAL]]/Tabela6[[#This Row],[CONSUMO]]</f>
        <v>5.29</v>
      </c>
      <c r="M1392" s="50">
        <f>Tabela6[[#This Row],[KM ATUAL]]-E1353</f>
        <v>-249998</v>
      </c>
      <c r="N1392" s="51">
        <f>Tabela6[[#This Row],[KM Rodados ]]/Tabela6[[#This Row],[CONSUMO]]</f>
        <v>-11363.545454545454</v>
      </c>
    </row>
    <row r="1393" spans="1:14" x14ac:dyDescent="0.25">
      <c r="A1393" s="47">
        <v>186372</v>
      </c>
      <c r="B1393" s="78">
        <v>45089</v>
      </c>
      <c r="C1393" s="47" t="s">
        <v>40</v>
      </c>
      <c r="D1393" s="49" t="s">
        <v>262</v>
      </c>
      <c r="E1393" s="47">
        <v>145041</v>
      </c>
      <c r="G1393" s="50" t="s">
        <v>244</v>
      </c>
      <c r="H1393" s="51">
        <v>34.191000000000003</v>
      </c>
      <c r="J1393" s="51">
        <v>5.29</v>
      </c>
      <c r="K1393" s="74">
        <f>Tabela6[[#This Row],[CONSUMO]]*Tabela6[[#This Row],[VALOR UNIT]]-Tabela6[[#This Row],[DESCONTO]]</f>
        <v>180.87039000000001</v>
      </c>
      <c r="L1393" s="53">
        <f>Tabela6[[#This Row],[CUSTO TOTAL]]/Tabela6[[#This Row],[CONSUMO]]</f>
        <v>5.29</v>
      </c>
      <c r="M1393" s="50">
        <f>Tabela6[[#This Row],[KM ATUAL]]-E1391</f>
        <v>-109113</v>
      </c>
      <c r="N1393" s="51">
        <f>Tabela6[[#This Row],[KM Rodados ]]/Tabela6[[#This Row],[CONSUMO]]</f>
        <v>-3191.2784065982273</v>
      </c>
    </row>
    <row r="1394" spans="1:14" x14ac:dyDescent="0.25">
      <c r="A1394" s="47">
        <v>96185</v>
      </c>
      <c r="B1394" s="78">
        <v>45089</v>
      </c>
      <c r="C1394" s="47" t="s">
        <v>40</v>
      </c>
      <c r="D1394" s="49" t="s">
        <v>236</v>
      </c>
      <c r="E1394" s="47">
        <v>146004</v>
      </c>
      <c r="G1394" s="50" t="s">
        <v>244</v>
      </c>
      <c r="H1394" s="51">
        <v>42.15</v>
      </c>
      <c r="J1394" s="51">
        <v>5.29</v>
      </c>
      <c r="K1394" s="74">
        <f>Tabela6[[#This Row],[CONSUMO]]*Tabela6[[#This Row],[VALOR UNIT]]-Tabela6[[#This Row],[DESCONTO]]</f>
        <v>222.9735</v>
      </c>
      <c r="L1394" s="53">
        <f>Tabela6[[#This Row],[CUSTO TOTAL]]/Tabela6[[#This Row],[CONSUMO]]</f>
        <v>5.29</v>
      </c>
      <c r="M1394" s="50">
        <f>Tabela6[[#This Row],[KM ATUAL]]-E1392</f>
        <v>1293</v>
      </c>
      <c r="N1394" s="51">
        <f>Tabela6[[#This Row],[KM Rodados ]]/Tabela6[[#This Row],[CONSUMO]]</f>
        <v>30.676156583629894</v>
      </c>
    </row>
    <row r="1395" spans="1:14" x14ac:dyDescent="0.25">
      <c r="A1395" s="47" t="s">
        <v>314</v>
      </c>
      <c r="B1395" s="78">
        <v>45089</v>
      </c>
      <c r="C1395" s="47" t="s">
        <v>74</v>
      </c>
      <c r="E1395" s="47">
        <v>58506</v>
      </c>
      <c r="G1395" s="50" t="s">
        <v>89</v>
      </c>
      <c r="H1395" s="51">
        <v>60.2</v>
      </c>
      <c r="K1395" s="52">
        <f>Tabela6[[#This Row],[CONSUMO]]*Tabela6[[#This Row],[VALOR UNIT]]-Tabela6[[#This Row],[DESCONTO]]</f>
        <v>0</v>
      </c>
      <c r="L1395" s="53">
        <f>Tabela6[[#This Row],[CUSTO TOTAL]]/Tabela6[[#This Row],[CONSUMO]]</f>
        <v>0</v>
      </c>
      <c r="M1395" s="50">
        <f>Tabela6[[#This Row],[KM ATUAL]]-E1371</f>
        <v>-170044</v>
      </c>
      <c r="N1395" s="51">
        <f>Tabela6[[#This Row],[KM Rodados ]]/Tabela6[[#This Row],[CONSUMO]]</f>
        <v>-2824.6511627906975</v>
      </c>
    </row>
    <row r="1396" spans="1:14" x14ac:dyDescent="0.25">
      <c r="A1396" s="47">
        <v>618543</v>
      </c>
      <c r="B1396" s="78">
        <v>45090</v>
      </c>
      <c r="C1396" s="47" t="s">
        <v>9</v>
      </c>
      <c r="D1396" s="49" t="s">
        <v>271</v>
      </c>
      <c r="E1396" s="47">
        <v>606624</v>
      </c>
      <c r="G1396" s="50" t="s">
        <v>89</v>
      </c>
      <c r="H1396" s="51">
        <v>161</v>
      </c>
      <c r="J1396" s="51">
        <v>4.8899999999999997</v>
      </c>
      <c r="K1396" s="51">
        <f>Tabela6[[#This Row],[CONSUMO]]*Tabela6[[#This Row],[VALOR UNIT]]-Tabela6[[#This Row],[DESCONTO]]</f>
        <v>787.29</v>
      </c>
      <c r="L1396" s="53">
        <f>Tabela6[[#This Row],[CUSTO TOTAL]]/Tabela6[[#This Row],[CONSUMO]]</f>
        <v>4.8899999999999997</v>
      </c>
      <c r="M1396" s="50">
        <f>Tabela6[[#This Row],[KM ATUAL]]-E1349</f>
        <v>554092</v>
      </c>
      <c r="N1396" s="51">
        <f>Tabela6[[#This Row],[KM Rodados ]]/Tabela6[[#This Row],[CONSUMO]]</f>
        <v>3441.5652173913045</v>
      </c>
    </row>
    <row r="1397" spans="1:14" x14ac:dyDescent="0.25">
      <c r="A1397" s="47" t="s">
        <v>314</v>
      </c>
      <c r="B1397" s="78">
        <v>45090</v>
      </c>
      <c r="C1397" s="47" t="s">
        <v>72</v>
      </c>
      <c r="E1397" s="47">
        <v>396277</v>
      </c>
      <c r="G1397" s="50" t="s">
        <v>89</v>
      </c>
      <c r="H1397" s="51">
        <v>38.53</v>
      </c>
      <c r="K1397" s="52">
        <f>Tabela6[[#This Row],[CONSUMO]]*Tabela6[[#This Row],[VALOR UNIT]]-Tabela6[[#This Row],[DESCONTO]]</f>
        <v>0</v>
      </c>
      <c r="L1397" s="53">
        <f>Tabela6[[#This Row],[CUSTO TOTAL]]/Tabela6[[#This Row],[CONSUMO]]</f>
        <v>0</v>
      </c>
      <c r="M1397" s="50">
        <f>Tabela6[[#This Row],[KM ATUAL]]-E1382</f>
        <v>190357</v>
      </c>
      <c r="N1397" s="51">
        <f>Tabela6[[#This Row],[KM Rodados ]]/Tabela6[[#This Row],[CONSUMO]]</f>
        <v>4940.4879314819618</v>
      </c>
    </row>
    <row r="1398" spans="1:14" x14ac:dyDescent="0.25">
      <c r="A1398" s="47">
        <v>414991</v>
      </c>
      <c r="B1398" s="78">
        <v>45090</v>
      </c>
      <c r="C1398" s="47" t="s">
        <v>13</v>
      </c>
      <c r="D1398" s="49" t="s">
        <v>257</v>
      </c>
      <c r="E1398" s="47">
        <v>625207</v>
      </c>
      <c r="G1398" s="50" t="s">
        <v>89</v>
      </c>
      <c r="H1398" s="51">
        <v>128.24</v>
      </c>
      <c r="J1398" s="51">
        <v>4.8899999999999997</v>
      </c>
      <c r="K1398" s="52">
        <f>Tabela6[[#This Row],[CONSUMO]]*Tabela6[[#This Row],[VALOR UNIT]]-Tabela6[[#This Row],[DESCONTO]]</f>
        <v>627.09360000000004</v>
      </c>
      <c r="L1398" s="53">
        <f>Tabela6[[#This Row],[CUSTO TOTAL]]/Tabela6[[#This Row],[CONSUMO]]</f>
        <v>4.8899999999999997</v>
      </c>
      <c r="M1398" s="50">
        <f>Tabela6[[#This Row],[KM ATUAL]]-E1382</f>
        <v>419287</v>
      </c>
      <c r="N1398" s="51">
        <f>Tabela6[[#This Row],[KM Rodados ]]/Tabela6[[#This Row],[CONSUMO]]</f>
        <v>3269.5492825951337</v>
      </c>
    </row>
    <row r="1399" spans="1:14" x14ac:dyDescent="0.25">
      <c r="A1399" s="47">
        <v>392902</v>
      </c>
      <c r="B1399" s="78">
        <v>45090</v>
      </c>
      <c r="C1399" s="47" t="s">
        <v>19</v>
      </c>
      <c r="D1399" s="49" t="s">
        <v>253</v>
      </c>
      <c r="E1399" s="47">
        <v>310470</v>
      </c>
      <c r="G1399" s="50" t="s">
        <v>241</v>
      </c>
      <c r="H1399" s="51">
        <v>16</v>
      </c>
      <c r="J1399" s="51">
        <v>4.99</v>
      </c>
      <c r="K1399" s="51">
        <f>Tabela6[[#This Row],[CONSUMO]]*Tabela6[[#This Row],[VALOR UNIT]]-Tabela6[[#This Row],[DESCONTO]]</f>
        <v>79.84</v>
      </c>
      <c r="L1399" s="53">
        <f>Tabela6[[#This Row],[CUSTO TOTAL]]/Tabela6[[#This Row],[CONSUMO]]</f>
        <v>4.99</v>
      </c>
      <c r="M1399" s="50"/>
      <c r="N1399"/>
    </row>
    <row r="1400" spans="1:14" x14ac:dyDescent="0.25">
      <c r="A1400" s="47">
        <v>392902</v>
      </c>
      <c r="B1400" s="78">
        <v>45090</v>
      </c>
      <c r="C1400" s="47" t="s">
        <v>19</v>
      </c>
      <c r="D1400" s="49" t="s">
        <v>253</v>
      </c>
      <c r="E1400" s="47">
        <v>310470</v>
      </c>
      <c r="G1400" s="50" t="s">
        <v>89</v>
      </c>
      <c r="H1400" s="51">
        <v>199.09</v>
      </c>
      <c r="I1400" s="49">
        <v>59.73</v>
      </c>
      <c r="J1400" s="51">
        <v>5.49</v>
      </c>
      <c r="K1400" s="52">
        <f>Tabela6[[#This Row],[CONSUMO]]*Tabela6[[#This Row],[VALOR UNIT]]-Tabela6[[#This Row],[DESCONTO]]</f>
        <v>1033.2741000000001</v>
      </c>
      <c r="L1400" s="53">
        <f>Tabela6[[#This Row],[CUSTO TOTAL]]/Tabela6[[#This Row],[CONSUMO]]</f>
        <v>5.1899849314380431</v>
      </c>
      <c r="M1400" s="50">
        <f>Tabela6[[#This Row],[KM ATUAL]]-E1396</f>
        <v>-296154</v>
      </c>
      <c r="N1400" s="51">
        <f>Tabela6[[#This Row],[KM Rodados ]]/Tabela6[[#This Row],[CONSUMO]]</f>
        <v>-1487.5382992616405</v>
      </c>
    </row>
    <row r="1401" spans="1:14" x14ac:dyDescent="0.25">
      <c r="A1401" s="47">
        <v>540966</v>
      </c>
      <c r="B1401" s="78">
        <v>45090</v>
      </c>
      <c r="C1401" s="47" t="s">
        <v>38</v>
      </c>
      <c r="D1401" s="49" t="s">
        <v>255</v>
      </c>
      <c r="E1401" s="47">
        <v>131198</v>
      </c>
      <c r="G1401" s="50" t="s">
        <v>244</v>
      </c>
      <c r="H1401" s="51">
        <v>47.750999999999998</v>
      </c>
      <c r="J1401" s="51">
        <v>5.53</v>
      </c>
      <c r="K1401" s="51">
        <f>Tabela6[[#This Row],[CONSUMO]]*Tabela6[[#This Row],[VALOR UNIT]]-Tabela6[[#This Row],[DESCONTO]]</f>
        <v>264.06303000000003</v>
      </c>
      <c r="L1401" s="53">
        <f>Tabela6[[#This Row],[CUSTO TOTAL]]/Tabela6[[#This Row],[CONSUMO]]</f>
        <v>5.5300000000000011</v>
      </c>
      <c r="M1401" s="50">
        <f>Tabela6[[#This Row],[KM ATUAL]]-E1333</f>
        <v>8860</v>
      </c>
      <c r="N1401" s="51">
        <f>Tabela6[[#This Row],[KM Rodados ]]/Tabela6[[#This Row],[CONSUMO]]</f>
        <v>185.5458524428808</v>
      </c>
    </row>
    <row r="1402" spans="1:14" x14ac:dyDescent="0.25">
      <c r="A1402" s="47">
        <v>392952</v>
      </c>
      <c r="B1402" s="78">
        <v>45090</v>
      </c>
      <c r="C1402" s="47" t="s">
        <v>23</v>
      </c>
      <c r="D1402" s="49" t="s">
        <v>253</v>
      </c>
      <c r="E1402" s="47">
        <v>229087</v>
      </c>
      <c r="G1402" s="50" t="s">
        <v>89</v>
      </c>
      <c r="H1402" s="51">
        <v>125.64</v>
      </c>
      <c r="I1402" s="49">
        <v>37.69</v>
      </c>
      <c r="J1402" s="51">
        <v>5.49</v>
      </c>
      <c r="K1402" s="51">
        <f>Tabela6[[#This Row],[CONSUMO]]*Tabela6[[#This Row],[VALOR UNIT]]-Tabela6[[#This Row],[DESCONTO]]</f>
        <v>652.07359999999994</v>
      </c>
      <c r="L1402" s="53">
        <f>Tabela6[[#This Row],[CUSTO TOTAL]]/Tabela6[[#This Row],[CONSUMO]]</f>
        <v>5.1900159184972932</v>
      </c>
      <c r="M1402" s="50">
        <f>Tabela6[[#This Row],[KM ATUAL]]-E1375</f>
        <v>131896</v>
      </c>
      <c r="N1402" s="51">
        <f>Tabela6[[#This Row],[KM Rodados ]]/Tabela6[[#This Row],[CONSUMO]]</f>
        <v>1049.79305953518</v>
      </c>
    </row>
    <row r="1403" spans="1:14" x14ac:dyDescent="0.25">
      <c r="A1403" s="47">
        <v>110461</v>
      </c>
      <c r="B1403" s="78">
        <v>45091</v>
      </c>
      <c r="C1403" s="47" t="s">
        <v>68</v>
      </c>
      <c r="D1403" s="49" t="s">
        <v>263</v>
      </c>
      <c r="E1403" s="47">
        <v>892658</v>
      </c>
      <c r="G1403" s="50" t="s">
        <v>89</v>
      </c>
      <c r="H1403" s="51">
        <v>378.30099999999999</v>
      </c>
      <c r="I1403" s="49">
        <v>37.83</v>
      </c>
      <c r="J1403" s="51">
        <v>4.93</v>
      </c>
      <c r="K1403" s="51">
        <f>Tabela6[[#This Row],[CONSUMO]]*Tabela6[[#This Row],[VALOR UNIT]]-Tabela6[[#This Row],[DESCONTO]]</f>
        <v>1827.1939299999999</v>
      </c>
      <c r="L1403" s="53">
        <f>Tabela6[[#This Row],[CUSTO TOTAL]]/Tabela6[[#This Row],[CONSUMO]]</f>
        <v>4.8300002643397715</v>
      </c>
      <c r="M1403" s="50">
        <f>Tabela6[[#This Row],[KM ATUAL]]-E1383</f>
        <v>497141</v>
      </c>
      <c r="N1403" s="51">
        <f>Tabela6[[#This Row],[KM Rodados ]]/Tabela6[[#This Row],[CONSUMO]]</f>
        <v>1314.1413847703284</v>
      </c>
    </row>
    <row r="1404" spans="1:14" x14ac:dyDescent="0.25">
      <c r="A1404" s="47" t="s">
        <v>314</v>
      </c>
      <c r="B1404" s="78">
        <v>45091</v>
      </c>
      <c r="C1404" s="47" t="s">
        <v>43</v>
      </c>
      <c r="E1404" s="47">
        <v>127622</v>
      </c>
      <c r="G1404" s="50" t="s">
        <v>89</v>
      </c>
      <c r="H1404" s="51">
        <v>45.89</v>
      </c>
      <c r="K1404" s="52">
        <f>Tabela6[[#This Row],[CONSUMO]]*Tabela6[[#This Row],[VALOR UNIT]]-Tabela6[[#This Row],[DESCONTO]]</f>
        <v>0</v>
      </c>
      <c r="L1404" s="53">
        <f>Tabela6[[#This Row],[CUSTO TOTAL]]/Tabela6[[#This Row],[CONSUMO]]</f>
        <v>0</v>
      </c>
      <c r="M1404" s="50">
        <f>Tabela6[[#This Row],[KM ATUAL]]-E1388</f>
        <v>-496700</v>
      </c>
      <c r="N1404" s="51">
        <f>Tabela6[[#This Row],[KM Rodados ]]/Tabela6[[#This Row],[CONSUMO]]</f>
        <v>-10823.708869034648</v>
      </c>
    </row>
    <row r="1405" spans="1:14" x14ac:dyDescent="0.25">
      <c r="A1405" s="80">
        <v>932896</v>
      </c>
      <c r="B1405" s="78">
        <v>45091</v>
      </c>
      <c r="C1405" s="47" t="s">
        <v>43</v>
      </c>
      <c r="D1405" s="49" t="s">
        <v>233</v>
      </c>
      <c r="E1405" s="47">
        <v>128232</v>
      </c>
      <c r="G1405" s="50" t="s">
        <v>89</v>
      </c>
      <c r="H1405" s="51">
        <v>18.5</v>
      </c>
      <c r="J1405" s="51">
        <v>5.09</v>
      </c>
      <c r="K1405" s="52">
        <f>Tabela6[[#This Row],[CONSUMO]]*Tabela6[[#This Row],[VALOR UNIT]]-Tabela6[[#This Row],[DESCONTO]]</f>
        <v>94.164999999999992</v>
      </c>
      <c r="L1405" s="53">
        <f>Tabela6[[#This Row],[CUSTO TOTAL]]/Tabela6[[#This Row],[CONSUMO]]</f>
        <v>5.09</v>
      </c>
      <c r="M1405" s="50">
        <f>Tabela6[[#This Row],[KM ATUAL]]-E1403</f>
        <v>-764426</v>
      </c>
      <c r="N1405" s="72">
        <f>Tabela6[[#This Row],[KM Rodados ]]/Tabela6[[#This Row],[CONSUMO]]</f>
        <v>-41320.324324324327</v>
      </c>
    </row>
    <row r="1406" spans="1:14" x14ac:dyDescent="0.25">
      <c r="A1406" s="47">
        <v>201289</v>
      </c>
      <c r="B1406" s="78">
        <v>45091</v>
      </c>
      <c r="C1406" s="47" t="s">
        <v>43</v>
      </c>
      <c r="D1406" s="49" t="s">
        <v>268</v>
      </c>
      <c r="E1406" s="47">
        <v>128100</v>
      </c>
      <c r="G1406" s="50" t="s">
        <v>89</v>
      </c>
      <c r="H1406" s="51">
        <v>48.5</v>
      </c>
      <c r="J1406" s="51">
        <v>4.8766494500000004</v>
      </c>
      <c r="K1406" s="52">
        <f>Tabela6[[#This Row],[CONSUMO]]*Tabela6[[#This Row],[VALOR UNIT]]-Tabela6[[#This Row],[DESCONTO]]</f>
        <v>236.51749832500002</v>
      </c>
      <c r="L1406" s="53">
        <f>Tabela6[[#This Row],[CUSTO TOTAL]]/Tabela6[[#This Row],[CONSUMO]]</f>
        <v>4.8766494500000004</v>
      </c>
      <c r="M1406" s="50">
        <f>Tabela6[[#This Row],[KM ATUAL]]-E1405</f>
        <v>-132</v>
      </c>
      <c r="N1406" s="72">
        <f>Tabela6[[#This Row],[KM Rodados ]]/Tabela6[[#This Row],[CONSUMO]]</f>
        <v>-2.7216494845360826</v>
      </c>
    </row>
    <row r="1407" spans="1:14" x14ac:dyDescent="0.25">
      <c r="A1407" s="47">
        <v>201156</v>
      </c>
      <c r="B1407" s="78">
        <v>45091</v>
      </c>
      <c r="C1407" s="47" t="s">
        <v>9</v>
      </c>
      <c r="D1407" s="49" t="s">
        <v>268</v>
      </c>
      <c r="E1407" s="47">
        <v>607172</v>
      </c>
      <c r="G1407" s="50" t="s">
        <v>89</v>
      </c>
      <c r="H1407" s="51">
        <v>138</v>
      </c>
      <c r="J1407" s="51">
        <v>4.8899999999999997</v>
      </c>
      <c r="K1407" s="51">
        <f>Tabela6[[#This Row],[CONSUMO]]*Tabela6[[#This Row],[VALOR UNIT]]-Tabela6[[#This Row],[DESCONTO]]</f>
        <v>674.81999999999994</v>
      </c>
      <c r="L1407" s="53">
        <f>Tabela6[[#This Row],[CUSTO TOTAL]]/Tabela6[[#This Row],[CONSUMO]]</f>
        <v>4.8899999999999997</v>
      </c>
      <c r="M1407" s="50">
        <f>Tabela6[[#This Row],[KM ATUAL]]-E1395</f>
        <v>548666</v>
      </c>
      <c r="N1407" s="51">
        <f>Tabela6[[#This Row],[KM Rodados ]]/Tabela6[[#This Row],[CONSUMO]]</f>
        <v>3975.840579710145</v>
      </c>
    </row>
    <row r="1408" spans="1:14" x14ac:dyDescent="0.25">
      <c r="A1408" s="47">
        <v>283142</v>
      </c>
      <c r="B1408" s="78">
        <v>45091</v>
      </c>
      <c r="C1408" s="47" t="s">
        <v>222</v>
      </c>
      <c r="D1408" s="49" t="s">
        <v>270</v>
      </c>
      <c r="E1408" s="47">
        <v>479913</v>
      </c>
      <c r="G1408" s="50" t="s">
        <v>241</v>
      </c>
      <c r="H1408" s="51">
        <v>45.17</v>
      </c>
      <c r="J1408" s="51">
        <v>2.99</v>
      </c>
      <c r="K1408" s="51">
        <f>Tabela6[[#This Row],[CONSUMO]]*Tabela6[[#This Row],[VALOR UNIT]]-Tabela6[[#This Row],[DESCONTO]]</f>
        <v>135.0583</v>
      </c>
      <c r="L1408" s="53">
        <f>Tabela6[[#This Row],[CUSTO TOTAL]]/Tabela6[[#This Row],[CONSUMO]]</f>
        <v>2.9899999999999998</v>
      </c>
      <c r="M1408" s="50"/>
      <c r="N1408"/>
    </row>
    <row r="1409" spans="1:14" x14ac:dyDescent="0.25">
      <c r="A1409" s="47">
        <v>283141</v>
      </c>
      <c r="B1409" s="78">
        <v>45091</v>
      </c>
      <c r="C1409" s="47" t="s">
        <v>222</v>
      </c>
      <c r="D1409" s="49" t="s">
        <v>270</v>
      </c>
      <c r="E1409" s="47">
        <v>479913</v>
      </c>
      <c r="G1409" s="50" t="s">
        <v>89</v>
      </c>
      <c r="H1409" s="51">
        <v>300.62099999999998</v>
      </c>
      <c r="J1409" s="51">
        <v>4.8499999999999996</v>
      </c>
      <c r="K1409" s="51">
        <f>Tabela6[[#This Row],[CONSUMO]]*Tabela6[[#This Row],[VALOR UNIT]]-Tabela6[[#This Row],[DESCONTO]]</f>
        <v>1458.0118499999999</v>
      </c>
      <c r="L1409" s="53">
        <f>Tabela6[[#This Row],[CUSTO TOTAL]]/Tabela6[[#This Row],[CONSUMO]]</f>
        <v>4.8499999999999996</v>
      </c>
      <c r="M1409" s="50">
        <f>Tabela6[[#This Row],[KM ATUAL]]-E1381</f>
        <v>273993</v>
      </c>
      <c r="N1409" s="51">
        <f>Tabela6[[#This Row],[KM Rodados ]]/Tabela6[[#This Row],[CONSUMO]]</f>
        <v>911.42335365792815</v>
      </c>
    </row>
    <row r="1410" spans="1:14" x14ac:dyDescent="0.25">
      <c r="A1410" s="47">
        <v>305372</v>
      </c>
      <c r="B1410" s="78">
        <v>45091</v>
      </c>
      <c r="C1410" s="47" t="s">
        <v>39</v>
      </c>
      <c r="D1410" s="49" t="s">
        <v>276</v>
      </c>
      <c r="E1410" s="47">
        <v>89451</v>
      </c>
      <c r="G1410" s="50" t="s">
        <v>241</v>
      </c>
      <c r="H1410" s="51">
        <v>19.3</v>
      </c>
      <c r="J1410" s="51">
        <v>3.69</v>
      </c>
      <c r="K1410" s="52">
        <f>Tabela6[[#This Row],[CONSUMO]]*Tabela6[[#This Row],[VALOR UNIT]]-Tabela6[[#This Row],[DESCONTO]]</f>
        <v>71.216999999999999</v>
      </c>
      <c r="L1410" s="53">
        <f>Tabela6[[#This Row],[CUSTO TOTAL]]/Tabela6[[#This Row],[CONSUMO]]</f>
        <v>3.69</v>
      </c>
      <c r="M1410" s="50"/>
      <c r="N1410" s="49"/>
    </row>
    <row r="1411" spans="1:14" x14ac:dyDescent="0.25">
      <c r="A1411" s="47">
        <v>305372</v>
      </c>
      <c r="B1411" s="78">
        <v>45091</v>
      </c>
      <c r="C1411" s="47" t="s">
        <v>39</v>
      </c>
      <c r="D1411" s="49" t="s">
        <v>276</v>
      </c>
      <c r="E1411" s="47">
        <v>89451</v>
      </c>
      <c r="G1411" s="50" t="s">
        <v>89</v>
      </c>
      <c r="H1411" s="51">
        <v>92.82</v>
      </c>
      <c r="J1411" s="51">
        <v>4.99</v>
      </c>
      <c r="K1411" s="52">
        <f>Tabela6[[#This Row],[CONSUMO]]*Tabela6[[#This Row],[VALOR UNIT]]-Tabela6[[#This Row],[DESCONTO]]</f>
        <v>463.17179999999996</v>
      </c>
      <c r="L1411" s="53">
        <f>Tabela6[[#This Row],[CUSTO TOTAL]]/Tabela6[[#This Row],[CONSUMO]]</f>
        <v>4.99</v>
      </c>
      <c r="M1411" s="50">
        <f>Tabela6[[#This Row],[KM ATUAL]]-E1363</f>
        <v>559</v>
      </c>
      <c r="N1411" s="51">
        <f>Tabela6[[#This Row],[KM Rodados ]]/Tabela6[[#This Row],[CONSUMO]]</f>
        <v>6.022408963585435</v>
      </c>
    </row>
    <row r="1412" spans="1:14" x14ac:dyDescent="0.25">
      <c r="A1412" s="47">
        <v>305444</v>
      </c>
      <c r="B1412" s="78">
        <v>45091</v>
      </c>
      <c r="C1412" s="47" t="s">
        <v>203</v>
      </c>
      <c r="D1412" s="49" t="s">
        <v>276</v>
      </c>
      <c r="E1412" s="47">
        <v>97651</v>
      </c>
      <c r="G1412" s="50" t="s">
        <v>244</v>
      </c>
      <c r="H1412" s="51">
        <v>48.25</v>
      </c>
      <c r="J1412" s="51">
        <v>5.39</v>
      </c>
      <c r="K1412" s="52">
        <f>Tabela6[[#This Row],[CONSUMO]]*Tabela6[[#This Row],[VALOR UNIT]]-Tabela6[[#This Row],[DESCONTO]]</f>
        <v>260.0675</v>
      </c>
      <c r="L1412" s="53">
        <f>Tabela6[[#This Row],[CUSTO TOTAL]]/Tabela6[[#This Row],[CONSUMO]]</f>
        <v>5.39</v>
      </c>
      <c r="M1412" s="50">
        <f>Tabela6[[#This Row],[KM ATUAL]]-E1411</f>
        <v>8200</v>
      </c>
      <c r="N1412" s="51">
        <f>Tabela6[[#This Row],[KM Rodados ]]/Tabela6[[#This Row],[CONSUMO]]</f>
        <v>169.94818652849742</v>
      </c>
    </row>
    <row r="1413" spans="1:14" x14ac:dyDescent="0.25">
      <c r="A1413" s="80" t="s">
        <v>314</v>
      </c>
      <c r="B1413" s="78">
        <v>45091</v>
      </c>
      <c r="C1413" s="47" t="s">
        <v>203</v>
      </c>
      <c r="E1413" s="47">
        <v>97785</v>
      </c>
      <c r="G1413" s="50" t="s">
        <v>244</v>
      </c>
      <c r="H1413" s="51">
        <v>11.56</v>
      </c>
      <c r="K1413" s="52">
        <f>Tabela6[[#This Row],[CONSUMO]]*Tabela6[[#This Row],[VALOR UNIT]]-Tabela6[[#This Row],[DESCONTO]]</f>
        <v>0</v>
      </c>
      <c r="L1413" s="53">
        <f>Tabela6[[#This Row],[CUSTO TOTAL]]/Tabela6[[#This Row],[CONSUMO]]</f>
        <v>0</v>
      </c>
      <c r="M1413" s="50">
        <f>Tabela6[[#This Row],[KM ATUAL]]-E1391</f>
        <v>-156369</v>
      </c>
      <c r="N1413" s="72">
        <f>Tabela6[[#This Row],[KM Rodados ]]/Tabela6[[#This Row],[CONSUMO]]</f>
        <v>-13526.730103806227</v>
      </c>
    </row>
    <row r="1414" spans="1:14" x14ac:dyDescent="0.25">
      <c r="A1414" s="47" t="s">
        <v>314</v>
      </c>
      <c r="B1414" s="78">
        <v>45091</v>
      </c>
      <c r="C1414" s="47" t="s">
        <v>71</v>
      </c>
      <c r="E1414" s="47">
        <v>105343</v>
      </c>
      <c r="G1414" s="50" t="s">
        <v>89</v>
      </c>
      <c r="H1414" s="51">
        <v>410</v>
      </c>
      <c r="K1414" s="51">
        <f>Tabela6[[#This Row],[CONSUMO]]*Tabela6[[#This Row],[VALOR UNIT]]-Tabela6[[#This Row],[DESCONTO]]</f>
        <v>0</v>
      </c>
      <c r="L1414" s="53">
        <f>Tabela6[[#This Row],[CUSTO TOTAL]]/Tabela6[[#This Row],[CONSUMO]]</f>
        <v>0</v>
      </c>
      <c r="M1414" s="50">
        <f>Tabela6[[#This Row],[KM ATUAL]]-E1350</f>
        <v>-122546</v>
      </c>
      <c r="N1414" s="51">
        <f>Tabela6[[#This Row],[KM Rodados ]]/Tabela6[[#This Row],[CONSUMO]]</f>
        <v>-298.89268292682925</v>
      </c>
    </row>
    <row r="1415" spans="1:14" x14ac:dyDescent="0.25">
      <c r="A1415" s="47">
        <v>393831</v>
      </c>
      <c r="B1415" s="78">
        <v>45091</v>
      </c>
      <c r="C1415" s="47" t="s">
        <v>21</v>
      </c>
      <c r="D1415" s="49" t="s">
        <v>253</v>
      </c>
      <c r="E1415" s="47">
        <v>143327</v>
      </c>
      <c r="G1415" s="50" t="s">
        <v>89</v>
      </c>
      <c r="H1415" s="51">
        <v>118.24</v>
      </c>
      <c r="I1415" s="49">
        <v>35.47</v>
      </c>
      <c r="J1415" s="51">
        <v>5.49</v>
      </c>
      <c r="K1415" s="52">
        <f>Tabela6[[#This Row],[CONSUMO]]*Tabela6[[#This Row],[VALOR UNIT]]-Tabela6[[#This Row],[DESCONTO]]</f>
        <v>613.66759999999999</v>
      </c>
      <c r="L1415" s="53">
        <f>Tabela6[[#This Row],[CUSTO TOTAL]]/Tabela6[[#This Row],[CONSUMO]]</f>
        <v>5.1900169147496618</v>
      </c>
      <c r="M1415" s="50">
        <f>Tabela6[[#This Row],[KM ATUAL]]-E1343</f>
        <v>16300</v>
      </c>
      <c r="N1415" s="51">
        <f>Tabela6[[#This Row],[KM Rodados ]]/Tabela6[[#This Row],[CONSUMO]]</f>
        <v>137.85520974289582</v>
      </c>
    </row>
    <row r="1416" spans="1:14" x14ac:dyDescent="0.25">
      <c r="A1416" s="47">
        <v>415296</v>
      </c>
      <c r="B1416" s="78">
        <v>45091</v>
      </c>
      <c r="C1416" s="47" t="s">
        <v>13</v>
      </c>
      <c r="D1416" s="49" t="s">
        <v>257</v>
      </c>
      <c r="E1416" s="47">
        <v>625664</v>
      </c>
      <c r="G1416" s="50" t="s">
        <v>89</v>
      </c>
      <c r="H1416" s="51">
        <v>101.09</v>
      </c>
      <c r="J1416" s="51">
        <v>4.79</v>
      </c>
      <c r="K1416" s="51">
        <f>Tabela6[[#This Row],[CONSUMO]]*Tabela6[[#This Row],[VALOR UNIT]]-Tabela6[[#This Row],[DESCONTO]]</f>
        <v>484.22110000000004</v>
      </c>
      <c r="L1416" s="53">
        <f>Tabela6[[#This Row],[CUSTO TOTAL]]/Tabela6[[#This Row],[CONSUMO]]</f>
        <v>4.79</v>
      </c>
      <c r="M1416" s="50">
        <f>Tabela6[[#This Row],[KM ATUAL]]-E1401</f>
        <v>494466</v>
      </c>
      <c r="N1416" s="51">
        <f>Tabela6[[#This Row],[KM Rodados ]]/Tabela6[[#This Row],[CONSUMO]]</f>
        <v>4891.3443466218223</v>
      </c>
    </row>
    <row r="1417" spans="1:14" x14ac:dyDescent="0.25">
      <c r="A1417" s="47">
        <v>187674</v>
      </c>
      <c r="B1417" s="78">
        <v>45091</v>
      </c>
      <c r="C1417" s="47" t="s">
        <v>15</v>
      </c>
      <c r="D1417" s="49" t="s">
        <v>262</v>
      </c>
      <c r="E1417" s="47">
        <v>368132</v>
      </c>
      <c r="G1417" s="50" t="s">
        <v>89</v>
      </c>
      <c r="H1417" s="51">
        <v>55.44</v>
      </c>
      <c r="J1417" s="51">
        <v>4.8899999999999997</v>
      </c>
      <c r="K1417" s="52">
        <f>Tabela6[[#This Row],[CONSUMO]]*Tabela6[[#This Row],[VALOR UNIT]]-Tabela6[[#This Row],[DESCONTO]]</f>
        <v>271.10159999999996</v>
      </c>
      <c r="L1417" s="53">
        <f>Tabela6[[#This Row],[CUSTO TOTAL]]/Tabela6[[#This Row],[CONSUMO]]</f>
        <v>4.8899999999999997</v>
      </c>
      <c r="M1417" s="50">
        <f>Tabela6[[#This Row],[KM ATUAL]]-E1402</f>
        <v>139045</v>
      </c>
      <c r="N1417" s="51">
        <f>Tabela6[[#This Row],[KM Rodados ]]/Tabela6[[#This Row],[CONSUMO]]</f>
        <v>2508.0266955266957</v>
      </c>
    </row>
    <row r="1418" spans="1:14" x14ac:dyDescent="0.25">
      <c r="A1418" s="80">
        <v>619542</v>
      </c>
      <c r="B1418" s="78">
        <v>45092</v>
      </c>
      <c r="C1418" s="47" t="s">
        <v>43</v>
      </c>
      <c r="D1418" s="49" t="s">
        <v>271</v>
      </c>
      <c r="E1418" s="47">
        <v>128359</v>
      </c>
      <c r="G1418" s="50" t="s">
        <v>89</v>
      </c>
      <c r="H1418" s="51">
        <v>15.2</v>
      </c>
      <c r="J1418" s="51">
        <v>4.8899999999999997</v>
      </c>
      <c r="K1418" s="52">
        <f>Tabela6[[#This Row],[CONSUMO]]*Tabela6[[#This Row],[VALOR UNIT]]-Tabela6[[#This Row],[DESCONTO]]</f>
        <v>74.327999999999989</v>
      </c>
      <c r="L1418" s="53">
        <f>Tabela6[[#This Row],[CUSTO TOTAL]]/Tabela6[[#This Row],[CONSUMO]]</f>
        <v>4.8899999999999997</v>
      </c>
      <c r="M1418" s="50">
        <f>Tabela6[[#This Row],[KM ATUAL]]-E1408</f>
        <v>-351554</v>
      </c>
      <c r="N1418" s="72">
        <f>Tabela6[[#This Row],[KM Rodados ]]/Tabela6[[#This Row],[CONSUMO]]</f>
        <v>-23128.55263157895</v>
      </c>
    </row>
    <row r="1419" spans="1:14" x14ac:dyDescent="0.25">
      <c r="A1419" s="47">
        <v>187785</v>
      </c>
      <c r="B1419" s="78">
        <v>45092</v>
      </c>
      <c r="C1419" s="47" t="s">
        <v>8</v>
      </c>
      <c r="D1419" s="49" t="s">
        <v>262</v>
      </c>
      <c r="E1419" s="47">
        <v>874930</v>
      </c>
      <c r="G1419" s="50" t="s">
        <v>89</v>
      </c>
      <c r="H1419" s="51">
        <v>93.599000000000004</v>
      </c>
      <c r="J1419" s="51">
        <v>4.8899999999999997</v>
      </c>
      <c r="K1419" s="52">
        <f>Tabela6[[#This Row],[CONSUMO]]*Tabela6[[#This Row],[VALOR UNIT]]-Tabela6[[#This Row],[DESCONTO]]</f>
        <v>457.69910999999996</v>
      </c>
      <c r="L1419" s="53">
        <f>Tabela6[[#This Row],[CUSTO TOTAL]]/Tabela6[[#This Row],[CONSUMO]]</f>
        <v>4.8899999999999997</v>
      </c>
      <c r="M1419" s="50">
        <f>Tabela6[[#This Row],[KM ATUAL]]-E1357</f>
        <v>250716</v>
      </c>
      <c r="N1419" s="51">
        <f>Tabela6[[#This Row],[KM Rodados ]]/Tabela6[[#This Row],[CONSUMO]]</f>
        <v>2678.618361307279</v>
      </c>
    </row>
    <row r="1420" spans="1:14" x14ac:dyDescent="0.25">
      <c r="A1420" s="47">
        <v>158516</v>
      </c>
      <c r="B1420" s="78">
        <v>45092</v>
      </c>
      <c r="C1420" s="47" t="s">
        <v>203</v>
      </c>
      <c r="D1420" s="49" t="s">
        <v>256</v>
      </c>
      <c r="E1420" s="47">
        <v>98025</v>
      </c>
      <c r="G1420" s="50" t="s">
        <v>244</v>
      </c>
      <c r="H1420" s="51">
        <v>20.02</v>
      </c>
      <c r="J1420" s="51">
        <v>5.19</v>
      </c>
      <c r="K1420" s="52">
        <f>Tabela6[[#This Row],[CONSUMO]]*Tabela6[[#This Row],[VALOR UNIT]]-Tabela6[[#This Row],[DESCONTO]]</f>
        <v>103.9038</v>
      </c>
      <c r="L1420" s="53">
        <f>Tabela6[[#This Row],[CUSTO TOTAL]]/Tabela6[[#This Row],[CONSUMO]]</f>
        <v>5.19</v>
      </c>
      <c r="M1420" s="50">
        <f>Tabela6[[#This Row],[KM ATUAL]]-E1419</f>
        <v>-776905</v>
      </c>
      <c r="N1420" s="51">
        <f>Tabela6[[#This Row],[KM Rodados ]]/Tabela6[[#This Row],[CONSUMO]]</f>
        <v>-38806.443556443555</v>
      </c>
    </row>
    <row r="1421" spans="1:14" x14ac:dyDescent="0.25">
      <c r="A1421" s="47" t="s">
        <v>314</v>
      </c>
      <c r="B1421" s="78">
        <v>45092</v>
      </c>
      <c r="C1421" s="47" t="s">
        <v>72</v>
      </c>
      <c r="E1421" s="47">
        <v>396535</v>
      </c>
      <c r="G1421" s="50" t="s">
        <v>89</v>
      </c>
      <c r="H1421" s="51">
        <v>31.2</v>
      </c>
      <c r="K1421" s="52">
        <f>Tabela6[[#This Row],[CONSUMO]]*Tabela6[[#This Row],[VALOR UNIT]]-Tabela6[[#This Row],[DESCONTO]]</f>
        <v>0</v>
      </c>
      <c r="L1421" s="53">
        <f>Tabela6[[#This Row],[CUSTO TOTAL]]/Tabela6[[#This Row],[CONSUMO]]</f>
        <v>0</v>
      </c>
      <c r="M1421" s="50">
        <f>Tabela6[[#This Row],[KM ATUAL]]-E1398</f>
        <v>-228672</v>
      </c>
      <c r="N1421" s="51">
        <f>Tabela6[[#This Row],[KM Rodados ]]/Tabela6[[#This Row],[CONSUMO]]</f>
        <v>-7329.2307692307695</v>
      </c>
    </row>
    <row r="1422" spans="1:14" x14ac:dyDescent="0.25">
      <c r="A1422" s="47" t="s">
        <v>314</v>
      </c>
      <c r="B1422" s="78">
        <v>45092</v>
      </c>
      <c r="C1422" s="47" t="s">
        <v>73</v>
      </c>
      <c r="E1422" s="47">
        <v>123085</v>
      </c>
      <c r="G1422" s="50" t="s">
        <v>89</v>
      </c>
      <c r="H1422" s="51">
        <v>187.62</v>
      </c>
      <c r="K1422" s="74">
        <f>Tabela6[[#This Row],[CONSUMO]]*Tabela6[[#This Row],[VALOR UNIT]]-Tabela6[[#This Row],[DESCONTO]]</f>
        <v>0</v>
      </c>
      <c r="L1422" s="53">
        <f>Tabela6[[#This Row],[CUSTO TOTAL]]/Tabela6[[#This Row],[CONSUMO]]</f>
        <v>0</v>
      </c>
      <c r="M1422" s="50">
        <f>Tabela6[[#This Row],[KM ATUAL]]-E1324</f>
        <v>-3200</v>
      </c>
      <c r="N1422" s="51">
        <f>Tabela6[[#This Row],[KM Rodados ]]/Tabela6[[#This Row],[CONSUMO]]</f>
        <v>-17.055750986035605</v>
      </c>
    </row>
    <row r="1423" spans="1:14" x14ac:dyDescent="0.25">
      <c r="A1423" s="47" t="s">
        <v>314</v>
      </c>
      <c r="B1423" s="78">
        <v>45092</v>
      </c>
      <c r="C1423" s="47" t="s">
        <v>206</v>
      </c>
      <c r="E1423" s="47">
        <v>942461</v>
      </c>
      <c r="G1423" s="50" t="s">
        <v>89</v>
      </c>
      <c r="H1423" s="51">
        <v>495</v>
      </c>
      <c r="K1423" s="52">
        <f>Tabela6[[#This Row],[CONSUMO]]*Tabela6[[#This Row],[VALOR UNIT]]-Tabela6[[#This Row],[DESCONTO]]</f>
        <v>0</v>
      </c>
      <c r="L1423" s="53">
        <f>Tabela6[[#This Row],[CUSTO TOTAL]]/Tabela6[[#This Row],[CONSUMO]]</f>
        <v>0</v>
      </c>
      <c r="M1423" s="50">
        <f>Tabela6[[#This Row],[KM ATUAL]]-E1372</f>
        <v>884417</v>
      </c>
      <c r="N1423" s="51">
        <f>Tabela6[[#This Row],[KM Rodados ]]/Tabela6[[#This Row],[CONSUMO]]</f>
        <v>1786.7010101010101</v>
      </c>
    </row>
    <row r="1424" spans="1:14" x14ac:dyDescent="0.25">
      <c r="A1424" s="47">
        <v>283550</v>
      </c>
      <c r="B1424" s="78">
        <v>45092</v>
      </c>
      <c r="C1424" s="47" t="s">
        <v>17</v>
      </c>
      <c r="D1424" s="49" t="s">
        <v>270</v>
      </c>
      <c r="E1424" s="47">
        <v>354374</v>
      </c>
      <c r="G1424" s="50" t="s">
        <v>89</v>
      </c>
      <c r="H1424" s="51">
        <v>224.011</v>
      </c>
      <c r="J1424" s="51">
        <v>4.8499999999999996</v>
      </c>
      <c r="K1424" s="51">
        <f>Tabela6[[#This Row],[CONSUMO]]*Tabela6[[#This Row],[VALOR UNIT]]-Tabela6[[#This Row],[DESCONTO]]</f>
        <v>1086.45335</v>
      </c>
      <c r="L1424" s="53">
        <f>Tabela6[[#This Row],[CUSTO TOTAL]]/Tabela6[[#This Row],[CONSUMO]]</f>
        <v>4.8500000000000005</v>
      </c>
      <c r="M1424" s="50">
        <f>Tabela6[[#This Row],[KM ATUAL]]-E1372</f>
        <v>296330</v>
      </c>
      <c r="N1424" s="51">
        <f>Tabela6[[#This Row],[KM Rodados ]]/Tabela6[[#This Row],[CONSUMO]]</f>
        <v>1322.8368249773448</v>
      </c>
    </row>
    <row r="1425" spans="1:14" x14ac:dyDescent="0.25">
      <c r="A1425" s="80" t="s">
        <v>314</v>
      </c>
      <c r="B1425" s="78">
        <v>45092</v>
      </c>
      <c r="C1425" s="47" t="s">
        <v>20</v>
      </c>
      <c r="E1425" s="47">
        <v>254632</v>
      </c>
      <c r="G1425" s="50" t="s">
        <v>89</v>
      </c>
      <c r="H1425" s="51">
        <v>58.6</v>
      </c>
      <c r="K1425" s="52">
        <f>Tabela6[[#This Row],[CONSUMO]]*Tabela6[[#This Row],[VALOR UNIT]]-Tabela6[[#This Row],[DESCONTO]]</f>
        <v>0</v>
      </c>
      <c r="L1425" s="53">
        <f>Tabela6[[#This Row],[CUSTO TOTAL]]/Tabela6[[#This Row],[CONSUMO]]</f>
        <v>0</v>
      </c>
      <c r="M1425" s="50">
        <f>Tabela6[[#This Row],[KM ATUAL]]-E1399</f>
        <v>-55838</v>
      </c>
      <c r="N1425" s="72">
        <f>Tabela6[[#This Row],[KM Rodados ]]/Tabela6[[#This Row],[CONSUMO]]</f>
        <v>-952.86689419795221</v>
      </c>
    </row>
    <row r="1426" spans="1:14" x14ac:dyDescent="0.25">
      <c r="A1426" s="47">
        <v>187745</v>
      </c>
      <c r="B1426" s="78">
        <v>45092</v>
      </c>
      <c r="C1426" s="47" t="s">
        <v>20</v>
      </c>
      <c r="D1426" s="49" t="s">
        <v>262</v>
      </c>
      <c r="E1426" s="47">
        <v>254940</v>
      </c>
      <c r="G1426" s="50" t="s">
        <v>89</v>
      </c>
      <c r="H1426" s="51">
        <v>36.82</v>
      </c>
      <c r="J1426" s="51">
        <v>4.8899999999999997</v>
      </c>
      <c r="K1426" s="52">
        <f>Tabela6[[#This Row],[CONSUMO]]*Tabela6[[#This Row],[VALOR UNIT]]-Tabela6[[#This Row],[DESCONTO]]</f>
        <v>180.04979999999998</v>
      </c>
      <c r="L1426" s="53">
        <f>Tabela6[[#This Row],[CUSTO TOTAL]]/Tabela6[[#This Row],[CONSUMO]]</f>
        <v>4.8899999999999997</v>
      </c>
      <c r="M1426" s="50">
        <f>Tabela6[[#This Row],[KM ATUAL]]-E1425</f>
        <v>308</v>
      </c>
      <c r="N1426" s="72">
        <f>Tabela6[[#This Row],[KM Rodados ]]/Tabela6[[#This Row],[CONSUMO]]</f>
        <v>8.3650190114068437</v>
      </c>
    </row>
    <row r="1427" spans="1:14" x14ac:dyDescent="0.25">
      <c r="A1427" s="47">
        <v>201920</v>
      </c>
      <c r="B1427" s="78">
        <v>45092</v>
      </c>
      <c r="C1427" s="47" t="s">
        <v>20</v>
      </c>
      <c r="D1427" s="49" t="s">
        <v>268</v>
      </c>
      <c r="E1427" s="47">
        <v>255347</v>
      </c>
      <c r="G1427" s="50" t="s">
        <v>89</v>
      </c>
      <c r="H1427" s="51">
        <v>43.29</v>
      </c>
      <c r="J1427" s="51">
        <v>4.8899999999999997</v>
      </c>
      <c r="K1427" s="52">
        <f>Tabela6[[#This Row],[CONSUMO]]*Tabela6[[#This Row],[VALOR UNIT]]-Tabela6[[#This Row],[DESCONTO]]</f>
        <v>211.68809999999999</v>
      </c>
      <c r="L1427" s="53">
        <f>Tabela6[[#This Row],[CUSTO TOTAL]]/Tabela6[[#This Row],[CONSUMO]]</f>
        <v>4.8899999999999997</v>
      </c>
      <c r="M1427" s="50">
        <f>Tabela6[[#This Row],[KM ATUAL]]-E1426</f>
        <v>407</v>
      </c>
      <c r="N1427" s="51">
        <f>Tabela6[[#This Row],[KM Rodados ]]/Tabela6[[#This Row],[CONSUMO]]</f>
        <v>9.4017094017094021</v>
      </c>
    </row>
    <row r="1428" spans="1:14" x14ac:dyDescent="0.25">
      <c r="A1428" s="47">
        <v>394747</v>
      </c>
      <c r="B1428" s="78">
        <v>45092</v>
      </c>
      <c r="C1428" s="47" t="s">
        <v>23</v>
      </c>
      <c r="D1428" s="49" t="s">
        <v>253</v>
      </c>
      <c r="E1428" s="47">
        <v>229751</v>
      </c>
      <c r="G1428" s="50" t="s">
        <v>89</v>
      </c>
      <c r="H1428" s="51">
        <v>130.83000000000001</v>
      </c>
      <c r="I1428" s="49">
        <v>39.25</v>
      </c>
      <c r="J1428" s="51">
        <v>5.49</v>
      </c>
      <c r="K1428" s="51">
        <f>Tabela6[[#This Row],[CONSUMO]]*Tabela6[[#This Row],[VALOR UNIT]]-Tabela6[[#This Row],[DESCONTO]]</f>
        <v>679.00670000000014</v>
      </c>
      <c r="L1428" s="53">
        <f>Tabela6[[#This Row],[CUSTO TOTAL]]/Tabela6[[#This Row],[CONSUMO]]</f>
        <v>5.1899923564931596</v>
      </c>
      <c r="M1428" s="50">
        <f>Tabela6[[#This Row],[KM ATUAL]]-E1406</f>
        <v>101651</v>
      </c>
      <c r="N1428" s="51">
        <f>Tabela6[[#This Row],[KM Rodados ]]/Tabela6[[#This Row],[CONSUMO]]</f>
        <v>776.97011388825183</v>
      </c>
    </row>
    <row r="1429" spans="1:14" x14ac:dyDescent="0.25">
      <c r="A1429" s="80">
        <v>305885</v>
      </c>
      <c r="B1429" s="78">
        <v>45093</v>
      </c>
      <c r="C1429" s="47" t="s">
        <v>43</v>
      </c>
      <c r="D1429" s="49" t="s">
        <v>276</v>
      </c>
      <c r="E1429" s="47">
        <v>128790</v>
      </c>
      <c r="G1429" s="50" t="s">
        <v>89</v>
      </c>
      <c r="H1429" s="51">
        <v>45.9</v>
      </c>
      <c r="J1429" s="51">
        <v>4.99</v>
      </c>
      <c r="K1429" s="52">
        <f>Tabela6[[#This Row],[CONSUMO]]*Tabela6[[#This Row],[VALOR UNIT]]-Tabela6[[#This Row],[DESCONTO]]</f>
        <v>229.041</v>
      </c>
      <c r="L1429" s="53">
        <f>Tabela6[[#This Row],[CUSTO TOTAL]]/Tabela6[[#This Row],[CONSUMO]]</f>
        <v>4.99</v>
      </c>
      <c r="M1429" s="50">
        <f>Tabela6[[#This Row],[KM ATUAL]]-E1418</f>
        <v>431</v>
      </c>
      <c r="N1429" s="72">
        <f>Tabela6[[#This Row],[KM Rodados ]]/Tabela6[[#This Row],[CONSUMO]]</f>
        <v>9.3899782135076251</v>
      </c>
    </row>
    <row r="1430" spans="1:14" x14ac:dyDescent="0.25">
      <c r="A1430" s="47">
        <v>395659</v>
      </c>
      <c r="B1430" s="78">
        <v>45093</v>
      </c>
      <c r="C1430" s="47" t="s">
        <v>9</v>
      </c>
      <c r="D1430" s="49" t="s">
        <v>253</v>
      </c>
      <c r="E1430" s="47">
        <v>607670</v>
      </c>
      <c r="G1430" s="50" t="s">
        <v>89</v>
      </c>
      <c r="H1430" s="51">
        <v>124.36</v>
      </c>
      <c r="I1430" s="49">
        <v>37.31</v>
      </c>
      <c r="J1430" s="51">
        <v>5.49</v>
      </c>
      <c r="K1430" s="51">
        <f>Tabela6[[#This Row],[CONSUMO]]*Tabela6[[#This Row],[VALOR UNIT]]-Tabela6[[#This Row],[DESCONTO]]</f>
        <v>645.42640000000006</v>
      </c>
      <c r="L1430" s="53">
        <f>Tabela6[[#This Row],[CUSTO TOTAL]]/Tabela6[[#This Row],[CONSUMO]]</f>
        <v>5.1899839176584113</v>
      </c>
      <c r="M1430" s="50">
        <f>Tabela6[[#This Row],[KM ATUAL]]-E1410</f>
        <v>518219</v>
      </c>
      <c r="N1430" s="51">
        <f>Tabela6[[#This Row],[KM Rodados ]]/Tabela6[[#This Row],[CONSUMO]]</f>
        <v>4167.0874879382436</v>
      </c>
    </row>
    <row r="1431" spans="1:14" x14ac:dyDescent="0.25">
      <c r="A1431" s="47">
        <v>283697</v>
      </c>
      <c r="B1431" s="78">
        <v>45093</v>
      </c>
      <c r="C1431" s="47" t="s">
        <v>222</v>
      </c>
      <c r="D1431" s="49" t="s">
        <v>270</v>
      </c>
      <c r="E1431" s="47">
        <v>480703</v>
      </c>
      <c r="G1431" s="50" t="s">
        <v>89</v>
      </c>
      <c r="H1431" s="51">
        <v>297.67200000000003</v>
      </c>
      <c r="J1431" s="51">
        <v>4.79</v>
      </c>
      <c r="K1431" s="51">
        <f>Tabela6[[#This Row],[CONSUMO]]*Tabela6[[#This Row],[VALOR UNIT]]-Tabela6[[#This Row],[DESCONTO]]</f>
        <v>1425.8488800000002</v>
      </c>
      <c r="L1431" s="53">
        <f>Tabela6[[#This Row],[CUSTO TOTAL]]/Tabela6[[#This Row],[CONSUMO]]</f>
        <v>4.79</v>
      </c>
      <c r="M1431" s="50">
        <f>Tabela6[[#This Row],[KM ATUAL]]-E1408</f>
        <v>790</v>
      </c>
      <c r="N1431" s="51">
        <f>Tabela6[[#This Row],[KM Rodados ]]/Tabela6[[#This Row],[CONSUMO]]</f>
        <v>2.6539278131634818</v>
      </c>
    </row>
    <row r="1432" spans="1:14" x14ac:dyDescent="0.25">
      <c r="A1432" s="47">
        <v>283651</v>
      </c>
      <c r="B1432" s="78">
        <v>45093</v>
      </c>
      <c r="C1432" s="47" t="s">
        <v>67</v>
      </c>
      <c r="D1432" s="49" t="s">
        <v>270</v>
      </c>
      <c r="E1432" s="47">
        <v>667693</v>
      </c>
      <c r="G1432" s="50" t="s">
        <v>89</v>
      </c>
      <c r="H1432" s="51">
        <v>136.30000000000001</v>
      </c>
      <c r="J1432" s="51">
        <v>4.8499999999999996</v>
      </c>
      <c r="K1432" s="51">
        <f>Tabela6[[#This Row],[CONSUMO]]*Tabela6[[#This Row],[VALOR UNIT]]-Tabela6[[#This Row],[DESCONTO]]</f>
        <v>661.05499999999995</v>
      </c>
      <c r="L1432" s="53">
        <f>Tabela6[[#This Row],[CUSTO TOTAL]]/Tabela6[[#This Row],[CONSUMO]]</f>
        <v>4.8499999999999996</v>
      </c>
      <c r="M1432" s="50">
        <f>Tabela6[[#This Row],[KM ATUAL]]-E1374</f>
        <v>-273426</v>
      </c>
      <c r="N1432" s="51">
        <f>Tabela6[[#This Row],[KM Rodados ]]/Tabela6[[#This Row],[CONSUMO]]</f>
        <v>-2006.0601614086572</v>
      </c>
    </row>
    <row r="1433" spans="1:14" x14ac:dyDescent="0.25">
      <c r="A1433" s="47">
        <v>188133</v>
      </c>
      <c r="B1433" s="78">
        <v>45093</v>
      </c>
      <c r="C1433" s="47" t="s">
        <v>39</v>
      </c>
      <c r="D1433" s="49" t="s">
        <v>262</v>
      </c>
      <c r="E1433" s="47">
        <v>89912</v>
      </c>
      <c r="G1433" s="50" t="s">
        <v>89</v>
      </c>
      <c r="H1433" s="51">
        <v>74.8</v>
      </c>
      <c r="J1433" s="51">
        <v>4.8899999999999997</v>
      </c>
      <c r="K1433" s="52">
        <f>Tabela6[[#This Row],[CONSUMO]]*Tabela6[[#This Row],[VALOR UNIT]]-Tabela6[[#This Row],[DESCONTO]]</f>
        <v>365.77199999999993</v>
      </c>
      <c r="L1433" s="53">
        <f>Tabela6[[#This Row],[CUSTO TOTAL]]/Tabela6[[#This Row],[CONSUMO]]</f>
        <v>4.8899999999999997</v>
      </c>
      <c r="M1433" s="50">
        <f>Tabela6[[#This Row],[KM ATUAL]]-E1419</f>
        <v>-785018</v>
      </c>
      <c r="N1433" s="51">
        <f>Tabela6[[#This Row],[KM Rodados ]]/Tabela6[[#This Row],[CONSUMO]]</f>
        <v>-10494.893048128342</v>
      </c>
    </row>
    <row r="1434" spans="1:14" x14ac:dyDescent="0.25">
      <c r="A1434" s="47">
        <v>560405</v>
      </c>
      <c r="B1434" s="78">
        <v>45093</v>
      </c>
      <c r="C1434" s="47" t="s">
        <v>70</v>
      </c>
      <c r="D1434" s="49" t="s">
        <v>275</v>
      </c>
      <c r="E1434" s="47">
        <v>207154</v>
      </c>
      <c r="G1434" s="50" t="s">
        <v>89</v>
      </c>
      <c r="H1434" s="51">
        <v>473.411</v>
      </c>
      <c r="J1434" s="51">
        <v>4.8499999999999996</v>
      </c>
      <c r="K1434" s="51">
        <f>Tabela6[[#This Row],[CONSUMO]]*Tabela6[[#This Row],[VALOR UNIT]]-Tabela6[[#This Row],[DESCONTO]]</f>
        <v>2296.0433499999999</v>
      </c>
      <c r="L1434" s="53">
        <f>Tabela6[[#This Row],[CUSTO TOTAL]]/Tabela6[[#This Row],[CONSUMO]]</f>
        <v>4.8499999999999996</v>
      </c>
      <c r="M1434" s="50">
        <f>Tabela6[[#This Row],[KM ATUAL]]-E1387</f>
        <v>-417505</v>
      </c>
      <c r="N1434" s="51">
        <f>Tabela6[[#This Row],[KM Rodados ]]/Tabela6[[#This Row],[CONSUMO]]</f>
        <v>-881.9081094440138</v>
      </c>
    </row>
    <row r="1435" spans="1:14" x14ac:dyDescent="0.25">
      <c r="A1435" s="47">
        <v>187979</v>
      </c>
      <c r="B1435" s="78">
        <v>45093</v>
      </c>
      <c r="C1435" s="47" t="s">
        <v>21</v>
      </c>
      <c r="D1435" s="49" t="s">
        <v>262</v>
      </c>
      <c r="E1435" s="47">
        <v>143619</v>
      </c>
      <c r="G1435" s="50" t="s">
        <v>89</v>
      </c>
      <c r="H1435" s="51">
        <v>65.2</v>
      </c>
      <c r="J1435" s="51">
        <v>4.8899999999999997</v>
      </c>
      <c r="K1435" s="52">
        <f>Tabela6[[#This Row],[CONSUMO]]*Tabela6[[#This Row],[VALOR UNIT]]-Tabela6[[#This Row],[DESCONTO]]</f>
        <v>318.82799999999997</v>
      </c>
      <c r="L1435" s="53">
        <f>Tabela6[[#This Row],[CUSTO TOTAL]]/Tabela6[[#This Row],[CONSUMO]]</f>
        <v>4.8899999999999997</v>
      </c>
      <c r="M1435" s="50">
        <f>Tabela6[[#This Row],[KM ATUAL]]-E1400</f>
        <v>-166851</v>
      </c>
      <c r="N1435" s="51">
        <f>Tabela6[[#This Row],[KM Rodados ]]/Tabela6[[#This Row],[CONSUMO]]</f>
        <v>-2559.064417177914</v>
      </c>
    </row>
    <row r="1436" spans="1:14" x14ac:dyDescent="0.25">
      <c r="A1436" s="47">
        <v>187942</v>
      </c>
      <c r="B1436" s="78">
        <v>45093</v>
      </c>
      <c r="C1436" s="47" t="s">
        <v>10</v>
      </c>
      <c r="D1436" s="49" t="s">
        <v>262</v>
      </c>
      <c r="E1436" s="47">
        <v>717861</v>
      </c>
      <c r="G1436" s="50" t="s">
        <v>89</v>
      </c>
      <c r="H1436" s="51">
        <v>74.099999999999994</v>
      </c>
      <c r="J1436" s="51">
        <v>4.8899999999999997</v>
      </c>
      <c r="K1436" s="51">
        <f>Tabela6[[#This Row],[CONSUMO]]*Tabela6[[#This Row],[VALOR UNIT]]-Tabela6[[#This Row],[DESCONTO]]</f>
        <v>362.34899999999993</v>
      </c>
      <c r="L1436" s="53">
        <f>Tabela6[[#This Row],[CUSTO TOTAL]]/Tabela6[[#This Row],[CONSUMO]]</f>
        <v>4.8899999999999997</v>
      </c>
      <c r="M1436" s="50">
        <f>Tabela6[[#This Row],[KM ATUAL]]-E1396</f>
        <v>111237</v>
      </c>
      <c r="N1436" s="51">
        <f>Tabela6[[#This Row],[KM Rodados ]]/Tabela6[[#This Row],[CONSUMO]]</f>
        <v>1501.1740890688261</v>
      </c>
    </row>
    <row r="1437" spans="1:14" x14ac:dyDescent="0.25">
      <c r="A1437" s="47">
        <v>394972</v>
      </c>
      <c r="B1437" s="78">
        <v>45093</v>
      </c>
      <c r="C1437" s="47" t="s">
        <v>12</v>
      </c>
      <c r="D1437" s="49" t="s">
        <v>253</v>
      </c>
      <c r="E1437" s="47">
        <v>313207</v>
      </c>
      <c r="G1437" s="50" t="s">
        <v>89</v>
      </c>
      <c r="H1437" s="51">
        <v>97.81</v>
      </c>
      <c r="I1437" s="49">
        <v>29.34</v>
      </c>
      <c r="J1437" s="51">
        <v>5.49</v>
      </c>
      <c r="K1437" s="51">
        <f>Tabela6[[#This Row],[CONSUMO]]*Tabela6[[#This Row],[VALOR UNIT]]-Tabela6[[#This Row],[DESCONTO]]</f>
        <v>507.63690000000003</v>
      </c>
      <c r="L1437" s="53">
        <f>Tabela6[[#This Row],[CUSTO TOTAL]]/Tabela6[[#This Row],[CONSUMO]]</f>
        <v>5.190030671710459</v>
      </c>
      <c r="M1437" s="50">
        <f>Tabela6[[#This Row],[KM ATUAL]]-E1375</f>
        <v>216016</v>
      </c>
      <c r="N1437" s="51">
        <f>Tabela6[[#This Row],[KM Rodados ]]/Tabela6[[#This Row],[CONSUMO]]</f>
        <v>2208.5267355076166</v>
      </c>
    </row>
    <row r="1438" spans="1:14" x14ac:dyDescent="0.25">
      <c r="A1438" s="47">
        <v>247759</v>
      </c>
      <c r="B1438" s="78">
        <v>45093</v>
      </c>
      <c r="C1438" s="47" t="s">
        <v>13</v>
      </c>
      <c r="D1438" s="49" t="s">
        <v>272</v>
      </c>
      <c r="E1438" s="47">
        <v>626410</v>
      </c>
      <c r="G1438" s="50" t="s">
        <v>241</v>
      </c>
      <c r="H1438" s="51">
        <v>19.989999999999998</v>
      </c>
      <c r="J1438" s="51">
        <v>2.89</v>
      </c>
      <c r="K1438" s="51">
        <f>Tabela6[[#This Row],[CONSUMO]]*Tabela6[[#This Row],[VALOR UNIT]]-Tabela6[[#This Row],[DESCONTO]]</f>
        <v>57.771099999999997</v>
      </c>
      <c r="L1438" s="53">
        <f>Tabela6[[#This Row],[CUSTO TOTAL]]/Tabela6[[#This Row],[CONSUMO]]</f>
        <v>2.89</v>
      </c>
      <c r="M1438" s="50"/>
      <c r="N1438"/>
    </row>
    <row r="1439" spans="1:14" x14ac:dyDescent="0.25">
      <c r="A1439" s="47">
        <v>247758</v>
      </c>
      <c r="B1439" s="78">
        <v>45093</v>
      </c>
      <c r="C1439" s="47" t="s">
        <v>13</v>
      </c>
      <c r="D1439" s="49" t="s">
        <v>272</v>
      </c>
      <c r="E1439" s="47">
        <v>626410</v>
      </c>
      <c r="G1439" s="50" t="s">
        <v>89</v>
      </c>
      <c r="H1439" s="51">
        <v>157</v>
      </c>
      <c r="J1439" s="51">
        <v>4.75</v>
      </c>
      <c r="K1439" s="51">
        <f>Tabela6[[#This Row],[CONSUMO]]*Tabela6[[#This Row],[VALOR UNIT]]-Tabela6[[#This Row],[DESCONTO]]</f>
        <v>745.75</v>
      </c>
      <c r="L1439" s="53">
        <f>Tabela6[[#This Row],[CUSTO TOTAL]]/Tabela6[[#This Row],[CONSUMO]]</f>
        <v>4.75</v>
      </c>
      <c r="M1439" s="50">
        <f>Tabela6[[#This Row],[KM ATUAL]]-E1417</f>
        <v>258278</v>
      </c>
      <c r="N1439" s="51">
        <f>Tabela6[[#This Row],[KM Rodados ]]/Tabela6[[#This Row],[CONSUMO]]</f>
        <v>1645.0828025477706</v>
      </c>
    </row>
    <row r="1440" spans="1:14" x14ac:dyDescent="0.25">
      <c r="A1440" s="47">
        <v>305947</v>
      </c>
      <c r="B1440" s="78">
        <v>45093</v>
      </c>
      <c r="C1440" s="47" t="s">
        <v>15</v>
      </c>
      <c r="D1440" s="49" t="s">
        <v>276</v>
      </c>
      <c r="E1440" s="47">
        <v>368637</v>
      </c>
      <c r="G1440" s="50" t="s">
        <v>89</v>
      </c>
      <c r="H1440" s="51">
        <v>84.17</v>
      </c>
      <c r="J1440" s="51">
        <v>4.99</v>
      </c>
      <c r="K1440" s="51">
        <f>Tabela6[[#This Row],[CONSUMO]]*Tabela6[[#This Row],[VALOR UNIT]]-Tabela6[[#This Row],[DESCONTO]]</f>
        <v>420.00830000000002</v>
      </c>
      <c r="L1440" s="53">
        <f>Tabela6[[#This Row],[CUSTO TOTAL]]/Tabela6[[#This Row],[CONSUMO]]</f>
        <v>4.99</v>
      </c>
      <c r="M1440" s="50">
        <f>Tabela6[[#This Row],[KM ATUAL]]-E1410</f>
        <v>279186</v>
      </c>
      <c r="N1440" s="51">
        <f>Tabela6[[#This Row],[KM Rodados ]]/Tabela6[[#This Row],[CONSUMO]]</f>
        <v>3316.9300225733632</v>
      </c>
    </row>
    <row r="1441" spans="1:14" x14ac:dyDescent="0.25">
      <c r="A1441" s="47">
        <v>188132</v>
      </c>
      <c r="B1441" s="78">
        <v>45093</v>
      </c>
      <c r="C1441" s="47" t="s">
        <v>74</v>
      </c>
      <c r="D1441" s="49" t="s">
        <v>262</v>
      </c>
      <c r="E1441" s="47">
        <v>58962</v>
      </c>
      <c r="G1441" s="50" t="s">
        <v>89</v>
      </c>
      <c r="H1441" s="51">
        <v>58.408999999999999</v>
      </c>
      <c r="J1441" s="51">
        <v>4.8899999999999997</v>
      </c>
      <c r="K1441" s="51">
        <f>Tabela6[[#This Row],[CONSUMO]]*Tabela6[[#This Row],[VALOR UNIT]]-Tabela6[[#This Row],[DESCONTO]]</f>
        <v>285.62000999999998</v>
      </c>
      <c r="L1441" s="53">
        <f>Tabela6[[#This Row],[CUSTO TOTAL]]/Tabela6[[#This Row],[CONSUMO]]</f>
        <v>4.8899999999999997</v>
      </c>
      <c r="M1441" s="50">
        <f>Tabela6[[#This Row],[KM ATUAL]]-E1398</f>
        <v>-566245</v>
      </c>
      <c r="N1441" s="51">
        <f>Tabela6[[#This Row],[KM Rodados ]]/Tabela6[[#This Row],[CONSUMO]]</f>
        <v>-9694.4820147579994</v>
      </c>
    </row>
    <row r="1442" spans="1:14" x14ac:dyDescent="0.25">
      <c r="A1442" s="47" t="s">
        <v>314</v>
      </c>
      <c r="B1442" s="78">
        <v>45094</v>
      </c>
      <c r="C1442" s="47" t="s">
        <v>38</v>
      </c>
      <c r="E1442" s="47">
        <v>131650</v>
      </c>
      <c r="G1442" s="50" t="s">
        <v>244</v>
      </c>
      <c r="H1442" s="51">
        <v>49</v>
      </c>
      <c r="K1442" s="52">
        <f>Tabela6[[#This Row],[CONSUMO]]*Tabela6[[#This Row],[VALOR UNIT]]-Tabela6[[#This Row],[DESCONTO]]</f>
        <v>0</v>
      </c>
      <c r="L1442" s="53">
        <f>Tabela6[[#This Row],[CUSTO TOTAL]]/Tabela6[[#This Row],[CONSUMO]]</f>
        <v>0</v>
      </c>
      <c r="M1442" s="50">
        <f>Tabela6[[#This Row],[KM ATUAL]]-E1277</f>
        <v>5825</v>
      </c>
      <c r="N1442" s="51">
        <f>Tabela6[[#This Row],[KM Rodados ]]/Tabela6[[#This Row],[CONSUMO]]</f>
        <v>118.87755102040816</v>
      </c>
    </row>
    <row r="1443" spans="1:14" x14ac:dyDescent="0.25">
      <c r="A1443" s="47">
        <v>1084278</v>
      </c>
      <c r="B1443" s="78">
        <v>45095</v>
      </c>
      <c r="C1443" s="47" t="s">
        <v>17</v>
      </c>
      <c r="D1443" s="49" t="s">
        <v>252</v>
      </c>
      <c r="E1443" s="47">
        <v>355561</v>
      </c>
      <c r="G1443" s="50" t="s">
        <v>241</v>
      </c>
      <c r="H1443" s="51">
        <v>19.741</v>
      </c>
      <c r="I1443" s="49">
        <v>2.96</v>
      </c>
      <c r="J1443" s="51">
        <v>3.24</v>
      </c>
      <c r="K1443" s="51">
        <f>Tabela6[[#This Row],[CONSUMO]]*Tabela6[[#This Row],[VALOR UNIT]]-Tabela6[[#This Row],[DESCONTO]]</f>
        <v>61.000840000000004</v>
      </c>
      <c r="L1443" s="53">
        <f>Tabela6[[#This Row],[CUSTO TOTAL]]/Tabela6[[#This Row],[CONSUMO]]</f>
        <v>3.0900582543944077</v>
      </c>
      <c r="M1443" s="50"/>
      <c r="N1443"/>
    </row>
    <row r="1444" spans="1:14" x14ac:dyDescent="0.25">
      <c r="A1444" s="47">
        <v>1084271</v>
      </c>
      <c r="B1444" s="78">
        <v>45095</v>
      </c>
      <c r="C1444" s="47" t="s">
        <v>17</v>
      </c>
      <c r="D1444" s="49" t="s">
        <v>252</v>
      </c>
      <c r="E1444" s="47">
        <v>355561</v>
      </c>
      <c r="G1444" s="50" t="s">
        <v>89</v>
      </c>
      <c r="H1444" s="51">
        <v>260.37</v>
      </c>
      <c r="J1444" s="51">
        <v>4.75</v>
      </c>
      <c r="K1444" s="51">
        <f>Tabela6[[#This Row],[CONSUMO]]*Tabela6[[#This Row],[VALOR UNIT]]-Tabela6[[#This Row],[DESCONTO]]</f>
        <v>1236.7574999999999</v>
      </c>
      <c r="L1444" s="53">
        <f>Tabela6[[#This Row],[CUSTO TOTAL]]/Tabela6[[#This Row],[CONSUMO]]</f>
        <v>4.75</v>
      </c>
      <c r="M1444" s="50">
        <f>Tabela6[[#This Row],[KM ATUAL]]-E1426</f>
        <v>100621</v>
      </c>
      <c r="N1444" s="51">
        <f>Tabela6[[#This Row],[KM Rodados ]]/Tabela6[[#This Row],[CONSUMO]]</f>
        <v>386.45389253754274</v>
      </c>
    </row>
    <row r="1445" spans="1:14" x14ac:dyDescent="0.25">
      <c r="A1445" s="47">
        <v>187477</v>
      </c>
      <c r="B1445" s="78">
        <v>45096</v>
      </c>
      <c r="C1445" s="47" t="s">
        <v>43</v>
      </c>
      <c r="D1445" s="49" t="s">
        <v>262</v>
      </c>
      <c r="E1445" s="47">
        <v>129147</v>
      </c>
      <c r="G1445" s="50" t="s">
        <v>89</v>
      </c>
      <c r="H1445" s="51">
        <v>36.689</v>
      </c>
      <c r="J1445" s="51">
        <v>4.8899999999999997</v>
      </c>
      <c r="K1445" s="52">
        <f>Tabela6[[#This Row],[CONSUMO]]*Tabela6[[#This Row],[VALOR UNIT]]-Tabela6[[#This Row],[DESCONTO]]</f>
        <v>179.40921</v>
      </c>
      <c r="L1445" s="53">
        <f>Tabela6[[#This Row],[CUSTO TOTAL]]/Tabela6[[#This Row],[CONSUMO]]</f>
        <v>4.8899999999999997</v>
      </c>
      <c r="M1445" s="50">
        <f>Tabela6[[#This Row],[KM ATUAL]]-E1444</f>
        <v>-226414</v>
      </c>
      <c r="N1445" s="72">
        <f>Tabela6[[#This Row],[KM Rodados ]]/Tabela6[[#This Row],[CONSUMO]]</f>
        <v>-6171.1684701136583</v>
      </c>
    </row>
    <row r="1446" spans="1:14" x14ac:dyDescent="0.25">
      <c r="A1446" s="47">
        <v>621409</v>
      </c>
      <c r="B1446" s="78">
        <v>45096</v>
      </c>
      <c r="C1446" s="47" t="s">
        <v>43</v>
      </c>
      <c r="D1446" s="49" t="s">
        <v>271</v>
      </c>
      <c r="E1446" s="47">
        <v>128958</v>
      </c>
      <c r="G1446" s="50" t="s">
        <v>89</v>
      </c>
      <c r="H1446" s="51">
        <v>25.47</v>
      </c>
      <c r="J1446" s="51">
        <v>4.8899999999999997</v>
      </c>
      <c r="K1446" s="52">
        <f>Tabela6[[#This Row],[CONSUMO]]*Tabela6[[#This Row],[VALOR UNIT]]-Tabela6[[#This Row],[DESCONTO]]</f>
        <v>124.54829999999998</v>
      </c>
      <c r="L1446" s="53">
        <f>Tabela6[[#This Row],[CUSTO TOTAL]]/Tabela6[[#This Row],[CONSUMO]]</f>
        <v>4.8899999999999997</v>
      </c>
      <c r="M1446" s="50">
        <f>Tabela6[[#This Row],[KM ATUAL]]-E1432</f>
        <v>-538735</v>
      </c>
      <c r="N1446" s="72">
        <f>Tabela6[[#This Row],[KM Rodados ]]/Tabela6[[#This Row],[CONSUMO]]</f>
        <v>-21151.747153513938</v>
      </c>
    </row>
    <row r="1447" spans="1:14" x14ac:dyDescent="0.25">
      <c r="A1447" s="47">
        <v>397271</v>
      </c>
      <c r="B1447" s="78">
        <v>45096</v>
      </c>
      <c r="C1447" s="47" t="s">
        <v>42</v>
      </c>
      <c r="D1447" s="49" t="s">
        <v>253</v>
      </c>
      <c r="E1447" s="47">
        <v>365136</v>
      </c>
      <c r="G1447" s="50" t="s">
        <v>89</v>
      </c>
      <c r="H1447" s="51">
        <v>79.819999999999993</v>
      </c>
      <c r="I1447" s="49">
        <v>23.95</v>
      </c>
      <c r="J1447" s="51">
        <v>5.49</v>
      </c>
      <c r="K1447" s="51">
        <f>Tabela6[[#This Row],[CONSUMO]]*Tabela6[[#This Row],[VALOR UNIT]]-Tabela6[[#This Row],[DESCONTO]]</f>
        <v>414.26179999999999</v>
      </c>
      <c r="L1447" s="53">
        <f>Tabela6[[#This Row],[CUSTO TOTAL]]/Tabela6[[#This Row],[CONSUMO]]</f>
        <v>5.1899498872463043</v>
      </c>
      <c r="M1447" s="50">
        <f>Tabela6[[#This Row],[KM ATUAL]]-E1351</f>
        <v>-240891</v>
      </c>
      <c r="N1447" s="51">
        <f>Tabela6[[#This Row],[KM Rodados ]]/Tabela6[[#This Row],[CONSUMO]]</f>
        <v>-3017.9278376346783</v>
      </c>
    </row>
    <row r="1448" spans="1:14" x14ac:dyDescent="0.25">
      <c r="A1448" s="47">
        <v>284512</v>
      </c>
      <c r="B1448" s="78">
        <v>45096</v>
      </c>
      <c r="C1448" s="47" t="s">
        <v>67</v>
      </c>
      <c r="D1448" s="49" t="s">
        <v>270</v>
      </c>
      <c r="E1448" s="47">
        <v>668242</v>
      </c>
      <c r="G1448" s="50" t="s">
        <v>89</v>
      </c>
      <c r="H1448" s="51">
        <v>132.56</v>
      </c>
      <c r="J1448" s="51">
        <v>4.79</v>
      </c>
      <c r="K1448" s="51">
        <f>Tabela6[[#This Row],[CONSUMO]]*Tabela6[[#This Row],[VALOR UNIT]]-Tabela6[[#This Row],[DESCONTO]]</f>
        <v>634.9624</v>
      </c>
      <c r="L1448" s="53">
        <f>Tabela6[[#This Row],[CUSTO TOTAL]]/Tabela6[[#This Row],[CONSUMO]]</f>
        <v>4.79</v>
      </c>
      <c r="M1448" s="50">
        <f>Tabela6[[#This Row],[KM ATUAL]]-E1435</f>
        <v>524623</v>
      </c>
      <c r="N1448" s="51">
        <f>Tabela6[[#This Row],[KM Rodados ]]/Tabela6[[#This Row],[CONSUMO]]</f>
        <v>3957.6267350633675</v>
      </c>
    </row>
    <row r="1449" spans="1:14" x14ac:dyDescent="0.25">
      <c r="A1449" s="47">
        <v>187582</v>
      </c>
      <c r="B1449" s="78">
        <v>45096</v>
      </c>
      <c r="C1449" s="47" t="s">
        <v>22</v>
      </c>
      <c r="D1449" s="49" t="s">
        <v>262</v>
      </c>
      <c r="E1449" s="47">
        <v>327409</v>
      </c>
      <c r="G1449" s="50" t="s">
        <v>89</v>
      </c>
      <c r="H1449" s="51">
        <v>122.32899999999999</v>
      </c>
      <c r="J1449" s="51">
        <v>4.8899999999999997</v>
      </c>
      <c r="K1449" s="74">
        <f>Tabela6[[#This Row],[CONSUMO]]*Tabela6[[#This Row],[VALOR UNIT]]-Tabela6[[#This Row],[DESCONTO]]</f>
        <v>598.18880999999988</v>
      </c>
      <c r="L1449" s="53">
        <f>Tabela6[[#This Row],[CUSTO TOTAL]]/Tabela6[[#This Row],[CONSUMO]]</f>
        <v>4.8899999999999997</v>
      </c>
      <c r="M1449" s="50">
        <f>Tabela6[[#This Row],[KM ATUAL]]-E1389</f>
        <v>-40343</v>
      </c>
      <c r="N1449" s="51">
        <f>Tabela6[[#This Row],[KM Rodados ]]/Tabela6[[#This Row],[CONSUMO]]</f>
        <v>-329.79097352222288</v>
      </c>
    </row>
    <row r="1450" spans="1:14" x14ac:dyDescent="0.25">
      <c r="A1450" s="47">
        <v>306614</v>
      </c>
      <c r="B1450" s="78">
        <v>45096</v>
      </c>
      <c r="C1450" s="47" t="s">
        <v>72</v>
      </c>
      <c r="D1450" s="49" t="s">
        <v>262</v>
      </c>
      <c r="E1450" s="47">
        <v>397067</v>
      </c>
      <c r="G1450" s="50" t="s">
        <v>89</v>
      </c>
      <c r="H1450" s="51">
        <v>47.719000000000001</v>
      </c>
      <c r="J1450" s="51">
        <v>4.99</v>
      </c>
      <c r="K1450" s="51">
        <f>Tabela6[[#This Row],[CONSUMO]]*Tabela6[[#This Row],[VALOR UNIT]]-Tabela6[[#This Row],[DESCONTO]]</f>
        <v>238.11781000000002</v>
      </c>
      <c r="L1450" s="53">
        <f>Tabela6[[#This Row],[CUSTO TOTAL]]/Tabela6[[#This Row],[CONSUMO]]</f>
        <v>4.99</v>
      </c>
      <c r="M1450" s="50">
        <f>Tabela6[[#This Row],[KM ATUAL]]-E1423</f>
        <v>-545394</v>
      </c>
      <c r="N1450" s="51">
        <f>Tabela6[[#This Row],[KM Rodados ]]/Tabela6[[#This Row],[CONSUMO]]</f>
        <v>-11429.283933024581</v>
      </c>
    </row>
    <row r="1451" spans="1:14" x14ac:dyDescent="0.25">
      <c r="A1451" s="47">
        <v>104775</v>
      </c>
      <c r="B1451" s="78">
        <v>45096</v>
      </c>
      <c r="C1451" s="47" t="s">
        <v>72</v>
      </c>
      <c r="D1451" s="49" t="s">
        <v>295</v>
      </c>
      <c r="E1451" s="47">
        <v>397471</v>
      </c>
      <c r="G1451" s="50" t="s">
        <v>89</v>
      </c>
      <c r="H1451" s="51">
        <v>57.73</v>
      </c>
      <c r="J1451" s="51">
        <v>5.19</v>
      </c>
      <c r="K1451" s="51">
        <f>Tabela6[[#This Row],[CONSUMO]]*Tabela6[[#This Row],[VALOR UNIT]]-Tabela6[[#This Row],[DESCONTO]]</f>
        <v>299.61869999999999</v>
      </c>
      <c r="L1451" s="53">
        <f>Tabela6[[#This Row],[CUSTO TOTAL]]/Tabela6[[#This Row],[CONSUMO]]</f>
        <v>5.19</v>
      </c>
      <c r="M1451" s="50">
        <f>Tabela6[[#This Row],[KM ATUAL]]-E1450</f>
        <v>404</v>
      </c>
      <c r="N1451" s="51">
        <f>Tabela6[[#This Row],[KM Rodados ]]/Tabela6[[#This Row],[CONSUMO]]</f>
        <v>6.9980945782089039</v>
      </c>
    </row>
    <row r="1452" spans="1:14" x14ac:dyDescent="0.25">
      <c r="A1452" s="47">
        <v>188563</v>
      </c>
      <c r="B1452" s="78">
        <v>45096</v>
      </c>
      <c r="C1452" s="47" t="s">
        <v>64</v>
      </c>
      <c r="D1452" s="49" t="s">
        <v>262</v>
      </c>
      <c r="E1452" s="47">
        <v>78315</v>
      </c>
      <c r="G1452" s="50" t="s">
        <v>89</v>
      </c>
      <c r="H1452" s="51">
        <v>7.5</v>
      </c>
      <c r="J1452" s="51">
        <v>4.79</v>
      </c>
      <c r="K1452" s="52">
        <f>Tabela6[[#This Row],[CONSUMO]]*Tabela6[[#This Row],[VALOR UNIT]]-Tabela6[[#This Row],[DESCONTO]]</f>
        <v>35.924999999999997</v>
      </c>
      <c r="L1452" s="53">
        <f>Tabela6[[#This Row],[CUSTO TOTAL]]/Tabela6[[#This Row],[CONSUMO]]</f>
        <v>4.79</v>
      </c>
      <c r="M1452" s="50">
        <f>Tabela6[[#This Row],[KM ATUAL]]-E976</f>
        <v>-802667</v>
      </c>
      <c r="N1452" s="51">
        <f>Tabela6[[#This Row],[KM Rodados ]]/Tabela6[[#This Row],[CONSUMO]]</f>
        <v>-107022.26666666666</v>
      </c>
    </row>
    <row r="1453" spans="1:14" x14ac:dyDescent="0.25">
      <c r="A1453" s="47">
        <v>306881</v>
      </c>
      <c r="B1453" s="78">
        <v>45096</v>
      </c>
      <c r="C1453" s="47" t="s">
        <v>19</v>
      </c>
      <c r="D1453" s="49" t="s">
        <v>276</v>
      </c>
      <c r="E1453" s="47">
        <v>311467</v>
      </c>
      <c r="G1453" s="50" t="s">
        <v>89</v>
      </c>
      <c r="H1453" s="51">
        <v>200.40100000000001</v>
      </c>
      <c r="J1453" s="51">
        <v>4.99</v>
      </c>
      <c r="K1453" s="51">
        <f>Tabela6[[#This Row],[CONSUMO]]*Tabela6[[#This Row],[VALOR UNIT]]-Tabela6[[#This Row],[DESCONTO]]</f>
        <v>1000.0009900000001</v>
      </c>
      <c r="L1453" s="53">
        <f>Tabela6[[#This Row],[CUSTO TOTAL]]/Tabela6[[#This Row],[CONSUMO]]</f>
        <v>4.99</v>
      </c>
      <c r="M1453" s="50">
        <f>Tabela6[[#This Row],[KM ATUAL]]-E1403</f>
        <v>-581191</v>
      </c>
      <c r="N1453" s="51">
        <f>Tabela6[[#This Row],[KM Rodados ]]/Tabela6[[#This Row],[CONSUMO]]</f>
        <v>-2900.1402188611833</v>
      </c>
    </row>
    <row r="1454" spans="1:14" x14ac:dyDescent="0.25">
      <c r="A1454" s="47">
        <v>66888</v>
      </c>
      <c r="B1454" s="78">
        <v>45096</v>
      </c>
      <c r="C1454" s="47" t="s">
        <v>23</v>
      </c>
      <c r="D1454" s="49" t="s">
        <v>278</v>
      </c>
      <c r="E1454" s="47">
        <v>230207</v>
      </c>
      <c r="G1454" s="50" t="s">
        <v>89</v>
      </c>
      <c r="H1454" s="51">
        <v>129.095</v>
      </c>
      <c r="J1454" s="51">
        <v>5.19</v>
      </c>
      <c r="K1454" s="51">
        <f>Tabela6[[#This Row],[CONSUMO]]*Tabela6[[#This Row],[VALOR UNIT]]-Tabela6[[#This Row],[DESCONTO]]</f>
        <v>670.00305000000003</v>
      </c>
      <c r="L1454" s="53">
        <f>Tabela6[[#This Row],[CUSTO TOTAL]]/Tabela6[[#This Row],[CONSUMO]]</f>
        <v>5.19</v>
      </c>
      <c r="M1454" s="50">
        <f>Tabela6[[#This Row],[KM ATUAL]]-E1426</f>
        <v>-24733</v>
      </c>
      <c r="N1454" s="51">
        <f>Tabela6[[#This Row],[KM Rodados ]]/Tabela6[[#This Row],[CONSUMO]]</f>
        <v>-191.58759053410279</v>
      </c>
    </row>
    <row r="1455" spans="1:14" x14ac:dyDescent="0.25">
      <c r="A1455" s="47">
        <v>348393</v>
      </c>
      <c r="B1455" s="78">
        <v>45097</v>
      </c>
      <c r="C1455" s="47" t="s">
        <v>68</v>
      </c>
      <c r="D1455" s="49" t="s">
        <v>281</v>
      </c>
      <c r="E1455" s="47">
        <v>892972</v>
      </c>
      <c r="G1455" s="50" t="s">
        <v>89</v>
      </c>
      <c r="H1455" s="51">
        <v>152</v>
      </c>
      <c r="I1455" s="49">
        <v>162.63</v>
      </c>
      <c r="J1455" s="51">
        <v>7.01</v>
      </c>
      <c r="K1455" s="52">
        <f>Tabela6[[#This Row],[CONSUMO]]*Tabela6[[#This Row],[VALOR UNIT]]-Tabela6[[#This Row],[DESCONTO]]</f>
        <v>902.89</v>
      </c>
      <c r="L1455" s="53">
        <f>Tabela6[[#This Row],[CUSTO TOTAL]]/Tabela6[[#This Row],[CONSUMO]]</f>
        <v>5.9400657894736844</v>
      </c>
      <c r="M1455" s="50">
        <f>Tabela6[[#This Row],[KM ATUAL]]-E1397</f>
        <v>496695</v>
      </c>
      <c r="N1455" s="51">
        <f>Tabela6[[#This Row],[KM Rodados ]]/Tabela6[[#This Row],[CONSUMO]]</f>
        <v>3267.7302631578946</v>
      </c>
    </row>
    <row r="1456" spans="1:14" x14ac:dyDescent="0.25">
      <c r="A1456" s="80">
        <v>307070</v>
      </c>
      <c r="B1456" s="78">
        <v>45097</v>
      </c>
      <c r="C1456" s="47" t="s">
        <v>43</v>
      </c>
      <c r="D1456" s="49" t="s">
        <v>276</v>
      </c>
      <c r="E1456" s="47">
        <v>129591</v>
      </c>
      <c r="G1456" s="50" t="s">
        <v>89</v>
      </c>
      <c r="H1456" s="51">
        <v>50.99</v>
      </c>
      <c r="J1456" s="51">
        <v>4.99</v>
      </c>
      <c r="K1456" s="52">
        <f>Tabela6[[#This Row],[CONSUMO]]*Tabela6[[#This Row],[VALOR UNIT]]-Tabela6[[#This Row],[DESCONTO]]</f>
        <v>254.44010000000003</v>
      </c>
      <c r="L1456" s="53">
        <f>Tabela6[[#This Row],[CUSTO TOTAL]]/Tabela6[[#This Row],[CONSUMO]]</f>
        <v>4.99</v>
      </c>
      <c r="M1456" s="50">
        <f>Tabela6[[#This Row],[KM ATUAL]]-E1445</f>
        <v>444</v>
      </c>
      <c r="N1456" s="72">
        <f>Tabela6[[#This Row],[KM Rodados ]]/Tabela6[[#This Row],[CONSUMO]]</f>
        <v>8.7075897234751913</v>
      </c>
    </row>
    <row r="1457" spans="1:14" x14ac:dyDescent="0.25">
      <c r="A1457" s="47">
        <v>698124</v>
      </c>
      <c r="B1457" s="78">
        <v>45097</v>
      </c>
      <c r="C1457" s="47" t="s">
        <v>43</v>
      </c>
      <c r="D1457" s="49" t="s">
        <v>233</v>
      </c>
      <c r="E1457" s="47">
        <v>129789</v>
      </c>
      <c r="G1457" s="50" t="s">
        <v>89</v>
      </c>
      <c r="H1457" s="51">
        <v>25.25</v>
      </c>
      <c r="J1457" s="51">
        <v>5.09</v>
      </c>
      <c r="K1457" s="52">
        <f>Tabela6[[#This Row],[CONSUMO]]*Tabela6[[#This Row],[VALOR UNIT]]-Tabela6[[#This Row],[DESCONTO]]</f>
        <v>128.52250000000001</v>
      </c>
      <c r="L1457" s="53">
        <f>Tabela6[[#This Row],[CUSTO TOTAL]]/Tabela6[[#This Row],[CONSUMO]]</f>
        <v>5.0900000000000007</v>
      </c>
      <c r="M1457" s="50">
        <f>Tabela6[[#This Row],[KM ATUAL]]-E1454</f>
        <v>-100418</v>
      </c>
      <c r="N1457" s="72">
        <f>Tabela6[[#This Row],[KM Rodados ]]/Tabela6[[#This Row],[CONSUMO]]</f>
        <v>-3976.9504950495048</v>
      </c>
    </row>
    <row r="1458" spans="1:14" x14ac:dyDescent="0.25">
      <c r="A1458" s="47">
        <v>621988</v>
      </c>
      <c r="B1458" s="78">
        <v>45097</v>
      </c>
      <c r="C1458" s="47" t="s">
        <v>9</v>
      </c>
      <c r="D1458" s="49" t="s">
        <v>271</v>
      </c>
      <c r="E1458" s="47">
        <v>608142</v>
      </c>
      <c r="G1458" s="50" t="s">
        <v>89</v>
      </c>
      <c r="H1458" s="51">
        <v>136</v>
      </c>
      <c r="J1458" s="51">
        <v>4.79</v>
      </c>
      <c r="K1458" s="51">
        <f>Tabela6[[#This Row],[CONSUMO]]*Tabela6[[#This Row],[VALOR UNIT]]-Tabela6[[#This Row],[DESCONTO]]</f>
        <v>651.44000000000005</v>
      </c>
      <c r="L1458" s="53">
        <f>Tabela6[[#This Row],[CUSTO TOTAL]]/Tabela6[[#This Row],[CONSUMO]]</f>
        <v>4.79</v>
      </c>
      <c r="M1458" s="50">
        <f>Tabela6[[#This Row],[KM ATUAL]]-E1427</f>
        <v>352795</v>
      </c>
      <c r="N1458" s="51">
        <f>Tabela6[[#This Row],[KM Rodados ]]/Tabela6[[#This Row],[CONSUMO]]</f>
        <v>2594.080882352941</v>
      </c>
    </row>
    <row r="1459" spans="1:14" x14ac:dyDescent="0.25">
      <c r="A1459" s="47">
        <v>204619</v>
      </c>
      <c r="B1459" s="78">
        <v>45097</v>
      </c>
      <c r="C1459" s="47" t="s">
        <v>222</v>
      </c>
      <c r="D1459" s="49" t="s">
        <v>268</v>
      </c>
      <c r="E1459" s="47">
        <v>481442</v>
      </c>
      <c r="G1459" s="50" t="s">
        <v>89</v>
      </c>
      <c r="H1459" s="51">
        <v>300</v>
      </c>
      <c r="J1459" s="51">
        <v>4.79</v>
      </c>
      <c r="K1459" s="51">
        <f>Tabela6[[#This Row],[CONSUMO]]*Tabela6[[#This Row],[VALOR UNIT]]-Tabela6[[#This Row],[DESCONTO]]</f>
        <v>1437</v>
      </c>
      <c r="L1459" s="53">
        <f>Tabela6[[#This Row],[CUSTO TOTAL]]/Tabela6[[#This Row],[CONSUMO]]</f>
        <v>4.79</v>
      </c>
      <c r="M1459" s="50">
        <f>Tabela6[[#This Row],[KM ATUAL]]-E1429</f>
        <v>352652</v>
      </c>
      <c r="N1459" s="51">
        <f>Tabela6[[#This Row],[KM Rodados ]]/Tabela6[[#This Row],[CONSUMO]]</f>
        <v>1175.5066666666667</v>
      </c>
    </row>
    <row r="1460" spans="1:14" x14ac:dyDescent="0.25">
      <c r="A1460" s="47">
        <v>306940</v>
      </c>
      <c r="B1460" s="78">
        <v>45097</v>
      </c>
      <c r="C1460" s="47" t="s">
        <v>215</v>
      </c>
      <c r="D1460" s="49" t="s">
        <v>276</v>
      </c>
      <c r="E1460" s="47">
        <v>224386</v>
      </c>
      <c r="G1460" s="50" t="s">
        <v>244</v>
      </c>
      <c r="H1460" s="51">
        <v>39.9</v>
      </c>
      <c r="J1460" s="51">
        <v>5.39</v>
      </c>
      <c r="K1460" s="51">
        <f>Tabela6[[#This Row],[CONSUMO]]*Tabela6[[#This Row],[VALOR UNIT]]-Tabela6[[#This Row],[DESCONTO]]</f>
        <v>215.06099999999998</v>
      </c>
      <c r="L1460" s="53">
        <f>Tabela6[[#This Row],[CUSTO TOTAL]]/Tabela6[[#This Row],[CONSUMO]]</f>
        <v>5.39</v>
      </c>
      <c r="M1460" s="50">
        <f>Tabela6[[#This Row],[KM ATUAL]]-E1342</f>
        <v>97619</v>
      </c>
      <c r="N1460" s="51">
        <f>Tabela6[[#This Row],[KM Rodados ]]/H1342</f>
        <v>4176.9286722861671</v>
      </c>
    </row>
    <row r="1461" spans="1:14" x14ac:dyDescent="0.25">
      <c r="A1461" s="47">
        <v>822453</v>
      </c>
      <c r="B1461" s="78">
        <v>45097</v>
      </c>
      <c r="C1461" s="47" t="s">
        <v>39</v>
      </c>
      <c r="D1461" s="49" t="s">
        <v>284</v>
      </c>
      <c r="E1461" s="47">
        <v>90300</v>
      </c>
      <c r="G1461" s="50" t="s">
        <v>89</v>
      </c>
      <c r="H1461" s="51">
        <v>63.670999999999999</v>
      </c>
      <c r="J1461" s="51">
        <v>4.74</v>
      </c>
      <c r="K1461" s="51">
        <f>Tabela6[[#This Row],[CONSUMO]]*Tabela6[[#This Row],[VALOR UNIT]]-Tabela6[[#This Row],[DESCONTO]]</f>
        <v>301.80054000000001</v>
      </c>
      <c r="L1461" s="53">
        <f>Tabela6[[#This Row],[CUSTO TOTAL]]/Tabela6[[#This Row],[CONSUMO]]</f>
        <v>4.74</v>
      </c>
      <c r="M1461" s="50">
        <f>Tabela6[[#This Row],[KM ATUAL]]-E1424</f>
        <v>-264074</v>
      </c>
      <c r="N1461" s="51">
        <f>Tabela6[[#This Row],[KM Rodados ]]/Tabela6[[#This Row],[CONSUMO]]</f>
        <v>-4147.4768733018172</v>
      </c>
    </row>
    <row r="1462" spans="1:14" x14ac:dyDescent="0.25">
      <c r="A1462" s="47">
        <v>307000</v>
      </c>
      <c r="B1462" s="78">
        <v>45097</v>
      </c>
      <c r="C1462" s="47" t="s">
        <v>203</v>
      </c>
      <c r="D1462" s="49" t="s">
        <v>276</v>
      </c>
      <c r="E1462" s="47">
        <v>98400</v>
      </c>
      <c r="G1462" s="50" t="s">
        <v>244</v>
      </c>
      <c r="H1462" s="51">
        <v>40.03</v>
      </c>
      <c r="J1462" s="51">
        <v>5.39</v>
      </c>
      <c r="K1462" s="52">
        <f>Tabela6[[#This Row],[CONSUMO]]*Tabela6[[#This Row],[VALOR UNIT]]-Tabela6[[#This Row],[DESCONTO]]</f>
        <v>215.76169999999999</v>
      </c>
      <c r="L1462" s="53">
        <f>Tabela6[[#This Row],[CUSTO TOTAL]]/Tabela6[[#This Row],[CONSUMO]]</f>
        <v>5.39</v>
      </c>
      <c r="M1462" s="50">
        <f>Tabela6[[#This Row],[KM ATUAL]]-E1425</f>
        <v>-156232</v>
      </c>
      <c r="N1462" s="51">
        <f>Tabela6[[#This Row],[KM Rodados ]]/Tabela6[[#This Row],[CONSUMO]]</f>
        <v>-3902.8728453659755</v>
      </c>
    </row>
    <row r="1463" spans="1:14" x14ac:dyDescent="0.25">
      <c r="A1463" s="80" t="s">
        <v>314</v>
      </c>
      <c r="B1463" s="78">
        <v>45097</v>
      </c>
      <c r="C1463" s="47" t="s">
        <v>72</v>
      </c>
      <c r="E1463" s="47">
        <v>397702</v>
      </c>
      <c r="G1463" s="50" t="s">
        <v>89</v>
      </c>
      <c r="H1463" s="51">
        <v>32.56</v>
      </c>
      <c r="K1463" s="52">
        <f>Tabela6[[#This Row],[CONSUMO]]*Tabela6[[#This Row],[VALOR UNIT]]-Tabela6[[#This Row],[DESCONTO]]</f>
        <v>0</v>
      </c>
      <c r="L1463" s="53">
        <f>Tabela6[[#This Row],[CUSTO TOTAL]]/Tabela6[[#This Row],[CONSUMO]]</f>
        <v>0</v>
      </c>
      <c r="M1463" s="50">
        <f>Tabela6[[#This Row],[KM ATUAL]]-E1461</f>
        <v>307402</v>
      </c>
      <c r="N1463" s="72">
        <f>Tabela6[[#This Row],[KM Rodados ]]/Tabela6[[#This Row],[CONSUMO]]</f>
        <v>9441.0933660933661</v>
      </c>
    </row>
    <row r="1464" spans="1:14" x14ac:dyDescent="0.25">
      <c r="A1464" s="47">
        <v>307053</v>
      </c>
      <c r="B1464" s="78">
        <v>45097</v>
      </c>
      <c r="C1464" s="47" t="s">
        <v>72</v>
      </c>
      <c r="D1464" s="49" t="s">
        <v>276</v>
      </c>
      <c r="E1464" s="47">
        <v>398014</v>
      </c>
      <c r="G1464" s="50" t="s">
        <v>89</v>
      </c>
      <c r="H1464" s="51">
        <v>43.290999999999997</v>
      </c>
      <c r="J1464" s="51">
        <v>4.99</v>
      </c>
      <c r="K1464" s="52">
        <f>Tabela6[[#This Row],[CONSUMO]]*Tabela6[[#This Row],[VALOR UNIT]]-Tabela6[[#This Row],[DESCONTO]]</f>
        <v>216.02208999999999</v>
      </c>
      <c r="L1464" s="53">
        <f>Tabela6[[#This Row],[CUSTO TOTAL]]/Tabela6[[#This Row],[CONSUMO]]</f>
        <v>4.99</v>
      </c>
      <c r="M1464" s="50">
        <f>Tabela6[[#This Row],[KM ATUAL]]-E1463</f>
        <v>312</v>
      </c>
      <c r="N1464" s="51">
        <f>Tabela6[[#This Row],[KM Rodados ]]/Tabela6[[#This Row],[CONSUMO]]</f>
        <v>7.2070407243999917</v>
      </c>
    </row>
    <row r="1465" spans="1:14" x14ac:dyDescent="0.25">
      <c r="A1465" s="47">
        <v>205099</v>
      </c>
      <c r="B1465" s="78">
        <v>45097</v>
      </c>
      <c r="C1465" s="47" t="s">
        <v>71</v>
      </c>
      <c r="D1465" s="49" t="s">
        <v>268</v>
      </c>
      <c r="E1465" s="47">
        <v>106745</v>
      </c>
      <c r="G1465" s="50" t="s">
        <v>89</v>
      </c>
      <c r="H1465" s="51">
        <v>506</v>
      </c>
      <c r="J1465" s="51">
        <v>4.79</v>
      </c>
      <c r="K1465" s="51">
        <f>Tabela6[[#This Row],[CONSUMO]]*Tabela6[[#This Row],[VALOR UNIT]]-Tabela6[[#This Row],[DESCONTO]]</f>
        <v>2423.7400000000002</v>
      </c>
      <c r="L1465" s="53">
        <f>Tabela6[[#This Row],[CUSTO TOTAL]]/Tabela6[[#This Row],[CONSUMO]]</f>
        <v>4.79</v>
      </c>
      <c r="M1465" s="50">
        <f>Tabela6[[#This Row],[KM ATUAL]]-E1411</f>
        <v>17294</v>
      </c>
      <c r="N1465" s="51">
        <f>Tabela6[[#This Row],[KM Rodados ]]/Tabela6[[#This Row],[CONSUMO]]</f>
        <v>34.177865612648219</v>
      </c>
    </row>
    <row r="1466" spans="1:14" x14ac:dyDescent="0.25">
      <c r="A1466" s="47" t="s">
        <v>314</v>
      </c>
      <c r="B1466" s="78">
        <v>45097</v>
      </c>
      <c r="C1466" s="47" t="s">
        <v>41</v>
      </c>
      <c r="E1466" s="47">
        <v>662641</v>
      </c>
      <c r="G1466" s="50" t="s">
        <v>89</v>
      </c>
      <c r="H1466" s="51">
        <v>143</v>
      </c>
      <c r="K1466" s="52">
        <f>Tabela6[[#This Row],[CONSUMO]]*Tabela6[[#This Row],[VALOR UNIT]]-Tabela6[[#This Row],[DESCONTO]]</f>
        <v>0</v>
      </c>
      <c r="L1466" s="53">
        <f>Tabela6[[#This Row],[CUSTO TOTAL]]/Tabela6[[#This Row],[CONSUMO]]</f>
        <v>0</v>
      </c>
      <c r="M1466" s="50">
        <f>Tabela6[[#This Row],[KM ATUAL]]-E1333</f>
        <v>540303</v>
      </c>
      <c r="N1466" s="72">
        <f>Tabela6[[#This Row],[KM Rodados ]]/Tabela6[[#This Row],[CONSUMO]]</f>
        <v>3778.3426573426573</v>
      </c>
    </row>
    <row r="1467" spans="1:14" x14ac:dyDescent="0.25">
      <c r="A1467" s="47">
        <v>188941</v>
      </c>
      <c r="B1467" s="78">
        <v>45097</v>
      </c>
      <c r="C1467" s="47" t="s">
        <v>41</v>
      </c>
      <c r="D1467" s="49" t="s">
        <v>262</v>
      </c>
      <c r="E1467" s="47">
        <v>663306</v>
      </c>
      <c r="G1467" s="50" t="s">
        <v>89</v>
      </c>
      <c r="H1467" s="51">
        <v>170.51900000000001</v>
      </c>
      <c r="J1467" s="51">
        <v>4.8899999999999997</v>
      </c>
      <c r="K1467" s="52">
        <f>Tabela6[[#This Row],[CONSUMO]]*Tabela6[[#This Row],[VALOR UNIT]]-Tabela6[[#This Row],[DESCONTO]]</f>
        <v>833.83790999999997</v>
      </c>
      <c r="L1467" s="53">
        <f>Tabela6[[#This Row],[CUSTO TOTAL]]/Tabela6[[#This Row],[CONSUMO]]</f>
        <v>4.8899999999999997</v>
      </c>
      <c r="M1467" s="50">
        <f>Tabela6[[#This Row],[KM ATUAL]]-E1466</f>
        <v>665</v>
      </c>
      <c r="N1467" s="51">
        <f>Tabela6[[#This Row],[KM Rodados ]]/Tabela6[[#This Row],[CONSUMO]]</f>
        <v>3.8998586667761361</v>
      </c>
    </row>
    <row r="1468" spans="1:14" x14ac:dyDescent="0.25">
      <c r="A1468" s="47">
        <v>398116</v>
      </c>
      <c r="B1468" s="78">
        <v>45097</v>
      </c>
      <c r="C1468" s="47" t="s">
        <v>11</v>
      </c>
      <c r="D1468" s="49" t="s">
        <v>253</v>
      </c>
      <c r="E1468" s="47">
        <v>394328</v>
      </c>
      <c r="G1468" s="50" t="s">
        <v>89</v>
      </c>
      <c r="H1468" s="51">
        <v>98.76</v>
      </c>
      <c r="I1468" s="49">
        <v>29.63</v>
      </c>
      <c r="J1468" s="51">
        <v>5.49</v>
      </c>
      <c r="K1468" s="51">
        <f>Tabela6[[#This Row],[CONSUMO]]*Tabela6[[#This Row],[VALOR UNIT]]-Tabela6[[#This Row],[DESCONTO]]</f>
        <v>512.56240000000003</v>
      </c>
      <c r="L1468" s="53">
        <f>Tabela6[[#This Row],[CUSTO TOTAL]]/Tabela6[[#This Row],[CONSUMO]]</f>
        <v>5.1899797488861887</v>
      </c>
      <c r="M1468" s="50">
        <f>Tabela6[[#This Row],[KM ATUAL]]-E1357</f>
        <v>-229886</v>
      </c>
      <c r="N1468" s="51">
        <f>Tabela6[[#This Row],[KM Rodados ]]/Tabela6[[#This Row],[CONSUMO]]</f>
        <v>-2327.7237748076145</v>
      </c>
    </row>
    <row r="1469" spans="1:14" x14ac:dyDescent="0.25">
      <c r="A1469" s="47">
        <v>398122</v>
      </c>
      <c r="B1469" s="78">
        <v>45097</v>
      </c>
      <c r="C1469" s="47" t="s">
        <v>12</v>
      </c>
      <c r="D1469" s="49" t="s">
        <v>253</v>
      </c>
      <c r="E1469" s="47">
        <v>313522</v>
      </c>
      <c r="G1469" s="50" t="s">
        <v>89</v>
      </c>
      <c r="H1469" s="51">
        <v>55.15</v>
      </c>
      <c r="I1469" s="49">
        <v>16.54</v>
      </c>
      <c r="J1469" s="51">
        <v>5.49</v>
      </c>
      <c r="K1469" s="51">
        <f>Tabela6[[#This Row],[CONSUMO]]*Tabela6[[#This Row],[VALOR UNIT]]-Tabela6[[#This Row],[DESCONTO]]</f>
        <v>286.23349999999999</v>
      </c>
      <c r="L1469" s="53">
        <f>Tabela6[[#This Row],[CUSTO TOTAL]]/Tabela6[[#This Row],[CONSUMO]]</f>
        <v>5.1900906618313689</v>
      </c>
      <c r="M1469" s="50">
        <f>Tabela6[[#This Row],[KM ATUAL]]-E1438</f>
        <v>-312888</v>
      </c>
      <c r="N1469" s="51">
        <f>Tabela6[[#This Row],[KM Rodados ]]/Tabela6[[#This Row],[CONSUMO]]</f>
        <v>-5673.3998186763374</v>
      </c>
    </row>
    <row r="1470" spans="1:14" x14ac:dyDescent="0.25">
      <c r="A1470" s="47">
        <v>696278</v>
      </c>
      <c r="B1470" s="78">
        <v>45097</v>
      </c>
      <c r="C1470" s="47" t="s">
        <v>13</v>
      </c>
      <c r="D1470" s="49" t="s">
        <v>250</v>
      </c>
      <c r="E1470" s="47">
        <v>626861</v>
      </c>
      <c r="G1470" s="50" t="s">
        <v>89</v>
      </c>
      <c r="H1470" s="51">
        <v>114.71899999999999</v>
      </c>
      <c r="J1470" s="51">
        <v>5.09</v>
      </c>
      <c r="K1470" s="51">
        <f>Tabela6[[#This Row],[CONSUMO]]*Tabela6[[#This Row],[VALOR UNIT]]-Tabela6[[#This Row],[DESCONTO]]</f>
        <v>583.91971000000001</v>
      </c>
      <c r="L1470" s="53">
        <f>Tabela6[[#This Row],[CUSTO TOTAL]]/Tabela6[[#This Row],[CONSUMO]]</f>
        <v>5.0900000000000007</v>
      </c>
      <c r="M1470" s="50">
        <f>Tabela6[[#This Row],[KM ATUAL]]-E1443</f>
        <v>271300</v>
      </c>
      <c r="N1470" s="51">
        <f>Tabela6[[#This Row],[KM Rodados ]]/Tabela6[[#This Row],[CONSUMO]]</f>
        <v>2364.9090386073799</v>
      </c>
    </row>
    <row r="1471" spans="1:14" x14ac:dyDescent="0.25">
      <c r="A1471" s="47">
        <v>188862</v>
      </c>
      <c r="B1471" s="78">
        <v>45097</v>
      </c>
      <c r="C1471" s="47" t="s">
        <v>15</v>
      </c>
      <c r="D1471" s="49" t="s">
        <v>262</v>
      </c>
      <c r="E1471" s="47">
        <v>369278</v>
      </c>
      <c r="G1471" s="50" t="s">
        <v>89</v>
      </c>
      <c r="H1471" s="51">
        <v>110.8</v>
      </c>
      <c r="J1471" s="51">
        <v>4.8899999999999997</v>
      </c>
      <c r="K1471" s="51">
        <f>Tabela6[[#This Row],[CONSUMO]]*Tabela6[[#This Row],[VALOR UNIT]]-Tabela6[[#This Row],[DESCONTO]]</f>
        <v>541.8119999999999</v>
      </c>
      <c r="L1471" s="53">
        <f>Tabela6[[#This Row],[CUSTO TOTAL]]/Tabela6[[#This Row],[CONSUMO]]</f>
        <v>4.8899999999999988</v>
      </c>
      <c r="M1471" s="50">
        <f>Tabela6[[#This Row],[KM ATUAL]]-E1444</f>
        <v>13717</v>
      </c>
      <c r="N1471" s="51">
        <f>Tabela6[[#This Row],[KM Rodados ]]/Tabela6[[#This Row],[CONSUMO]]</f>
        <v>123.79963898916968</v>
      </c>
    </row>
    <row r="1472" spans="1:14" x14ac:dyDescent="0.25">
      <c r="A1472" s="47">
        <v>621840</v>
      </c>
      <c r="B1472" s="78">
        <v>45097</v>
      </c>
      <c r="C1472" s="47" t="s">
        <v>20</v>
      </c>
      <c r="D1472" s="49" t="s">
        <v>271</v>
      </c>
      <c r="E1472" s="47">
        <v>255544</v>
      </c>
      <c r="G1472" s="50" t="s">
        <v>89</v>
      </c>
      <c r="H1472" s="51">
        <v>27.35</v>
      </c>
      <c r="J1472" s="51">
        <v>4.79</v>
      </c>
      <c r="K1472" s="52">
        <f>Tabela6[[#This Row],[CONSUMO]]*Tabela6[[#This Row],[VALOR UNIT]]-Tabela6[[#This Row],[DESCONTO]]</f>
        <v>131.00650000000002</v>
      </c>
      <c r="L1472" s="53">
        <f>Tabela6[[#This Row],[CUSTO TOTAL]]/Tabela6[[#This Row],[CONSUMO]]</f>
        <v>4.79</v>
      </c>
      <c r="M1472" s="50">
        <f>Tabela6[[#This Row],[KM ATUAL]]-E1425</f>
        <v>912</v>
      </c>
      <c r="N1472" s="51">
        <f>Tabela6[[#This Row],[KM Rodados ]]/Tabela6[[#This Row],[CONSUMO]]</f>
        <v>33.345521023765997</v>
      </c>
    </row>
    <row r="1473" spans="1:14" x14ac:dyDescent="0.25">
      <c r="A1473" s="47">
        <v>398270</v>
      </c>
      <c r="B1473" s="78">
        <v>45097</v>
      </c>
      <c r="C1473" s="47" t="s">
        <v>23</v>
      </c>
      <c r="D1473" s="49" t="s">
        <v>253</v>
      </c>
      <c r="E1473" s="47">
        <v>230706</v>
      </c>
      <c r="G1473" s="50" t="s">
        <v>89</v>
      </c>
      <c r="H1473" s="51">
        <v>98.59</v>
      </c>
      <c r="I1473" s="49">
        <v>29.58</v>
      </c>
      <c r="J1473" s="51">
        <v>5.49</v>
      </c>
      <c r="K1473" s="51">
        <f>Tabela6[[#This Row],[CONSUMO]]*Tabela6[[#This Row],[VALOR UNIT]]-Tabela6[[#This Row],[DESCONTO]]</f>
        <v>511.67910000000001</v>
      </c>
      <c r="L1473" s="53">
        <f>Tabela6[[#This Row],[CUSTO TOTAL]]/Tabela6[[#This Row],[CONSUMO]]</f>
        <v>5.1899695709504003</v>
      </c>
      <c r="M1473" s="50">
        <f>Tabela6[[#This Row],[KM ATUAL]]-E1463</f>
        <v>-166996</v>
      </c>
      <c r="N1473" s="51">
        <f>Tabela6[[#This Row],[KM Rodados ]]/Tabela6[[#This Row],[CONSUMO]]</f>
        <v>-1693.843188964398</v>
      </c>
    </row>
    <row r="1474" spans="1:14" x14ac:dyDescent="0.25">
      <c r="A1474" s="47">
        <v>682893</v>
      </c>
      <c r="B1474" s="78">
        <v>45098</v>
      </c>
      <c r="C1474" s="47" t="s">
        <v>43</v>
      </c>
      <c r="D1474" s="49" t="s">
        <v>264</v>
      </c>
      <c r="E1474" s="47">
        <v>129969</v>
      </c>
      <c r="G1474" s="50" t="s">
        <v>89</v>
      </c>
      <c r="H1474" s="51">
        <v>23</v>
      </c>
      <c r="J1474" s="51">
        <v>5.08</v>
      </c>
      <c r="K1474" s="52">
        <f>Tabela6[[#This Row],[CONSUMO]]*Tabela6[[#This Row],[VALOR UNIT]]-Tabela6[[#This Row],[DESCONTO]]</f>
        <v>116.84</v>
      </c>
      <c r="L1474" s="53">
        <f>Tabela6[[#This Row],[CUSTO TOTAL]]/Tabela6[[#This Row],[CONSUMO]]</f>
        <v>5.08</v>
      </c>
      <c r="M1474" s="50">
        <f>Tabela6[[#This Row],[KM ATUAL]]-E1460</f>
        <v>-94417</v>
      </c>
      <c r="N1474" s="72">
        <f>Tabela6[[#This Row],[KM Rodados ]]/Tabela6[[#This Row],[CONSUMO]]</f>
        <v>-4105.086956521739</v>
      </c>
    </row>
    <row r="1475" spans="1:14" x14ac:dyDescent="0.25">
      <c r="A1475" s="47">
        <v>389785</v>
      </c>
      <c r="B1475" s="78">
        <v>45098</v>
      </c>
      <c r="C1475" s="47" t="s">
        <v>42</v>
      </c>
      <c r="D1475" s="49" t="s">
        <v>253</v>
      </c>
      <c r="E1475" s="47">
        <v>365310</v>
      </c>
      <c r="G1475" s="50" t="s">
        <v>89</v>
      </c>
      <c r="H1475" s="51">
        <v>27.85</v>
      </c>
      <c r="I1475" s="49">
        <v>8.35</v>
      </c>
      <c r="J1475" s="51">
        <v>5.49</v>
      </c>
      <c r="K1475" s="51">
        <f>Tabela6[[#This Row],[CONSUMO]]*Tabela6[[#This Row],[VALOR UNIT]]-Tabela6[[#This Row],[DESCONTO]]</f>
        <v>144.54650000000001</v>
      </c>
      <c r="L1475" s="53">
        <f>Tabela6[[#This Row],[CUSTO TOTAL]]/Tabela6[[#This Row],[CONSUMO]]</f>
        <v>5.1901795332136444</v>
      </c>
      <c r="M1475" s="50">
        <f>Tabela6[[#This Row],[KM ATUAL]]-E1445</f>
        <v>236163</v>
      </c>
      <c r="N1475" s="51">
        <f>Tabela6[[#This Row],[KM Rodados ]]/Tabela6[[#This Row],[CONSUMO]]</f>
        <v>8479.8204667863556</v>
      </c>
    </row>
    <row r="1476" spans="1:14" x14ac:dyDescent="0.25">
      <c r="A1476" s="47">
        <v>562501</v>
      </c>
      <c r="B1476" s="78">
        <v>45098</v>
      </c>
      <c r="C1476" s="47" t="s">
        <v>70</v>
      </c>
      <c r="D1476" s="49" t="s">
        <v>275</v>
      </c>
      <c r="E1476" s="47">
        <v>208323</v>
      </c>
      <c r="G1476" s="50" t="s">
        <v>89</v>
      </c>
      <c r="H1476" s="51">
        <v>578</v>
      </c>
      <c r="J1476" s="51">
        <v>4.8499999999999996</v>
      </c>
      <c r="K1476" s="51">
        <f>Tabela6[[#This Row],[CONSUMO]]*Tabela6[[#This Row],[VALOR UNIT]]-Tabela6[[#This Row],[DESCONTO]]</f>
        <v>2803.2999999999997</v>
      </c>
      <c r="L1476" s="53">
        <f>Tabela6[[#This Row],[CUSTO TOTAL]]/Tabela6[[#This Row],[CONSUMO]]</f>
        <v>4.8499999999999996</v>
      </c>
      <c r="M1476" s="50">
        <f>Tabela6[[#This Row],[KM ATUAL]]-E1436</f>
        <v>-509538</v>
      </c>
      <c r="N1476" s="51">
        <f>Tabela6[[#This Row],[KM Rodados ]]/Tabela6[[#This Row],[CONSUMO]]</f>
        <v>-881.55363321799302</v>
      </c>
    </row>
    <row r="1477" spans="1:14" x14ac:dyDescent="0.25">
      <c r="A1477" s="47">
        <v>356899</v>
      </c>
      <c r="B1477" s="78">
        <v>45098</v>
      </c>
      <c r="C1477" s="47" t="s">
        <v>72</v>
      </c>
      <c r="D1477" s="49" t="s">
        <v>237</v>
      </c>
      <c r="E1477" s="47">
        <v>398244</v>
      </c>
      <c r="G1477" s="50" t="s">
        <v>89</v>
      </c>
      <c r="H1477" s="51">
        <v>35.619999999999997</v>
      </c>
      <c r="J1477" s="51">
        <v>4.84</v>
      </c>
      <c r="K1477" s="51">
        <f>Tabela6[[#This Row],[CONSUMO]]*Tabela6[[#This Row],[VALOR UNIT]]-Tabela6[[#This Row],[DESCONTO]]</f>
        <v>172.40079999999998</v>
      </c>
      <c r="L1477" s="53">
        <f>Tabela6[[#This Row],[CUSTO TOTAL]]/Tabela6[[#This Row],[CONSUMO]]</f>
        <v>4.84</v>
      </c>
      <c r="M1477" s="50">
        <f>Tabela6[[#This Row],[KM ATUAL]]-E1455</f>
        <v>-494728</v>
      </c>
      <c r="N1477" s="51">
        <f>Tabela6[[#This Row],[KM Rodados ]]/Tabela6[[#This Row],[CONSUMO]]</f>
        <v>-13889.051094890512</v>
      </c>
    </row>
    <row r="1478" spans="1:14" x14ac:dyDescent="0.25">
      <c r="A1478" s="47">
        <v>679760</v>
      </c>
      <c r="B1478" s="78">
        <v>45098</v>
      </c>
      <c r="C1478" s="47" t="s">
        <v>72</v>
      </c>
      <c r="D1478" s="49" t="s">
        <v>294</v>
      </c>
      <c r="E1478" s="47">
        <v>398580</v>
      </c>
      <c r="G1478" s="50" t="s">
        <v>89</v>
      </c>
      <c r="H1478" s="51">
        <v>43.38</v>
      </c>
      <c r="I1478" s="49">
        <v>58.99</v>
      </c>
      <c r="J1478" s="51">
        <v>6.15</v>
      </c>
      <c r="K1478" s="51">
        <f>Tabela6[[#This Row],[CONSUMO]]*Tabela6[[#This Row],[VALOR UNIT]]-Tabela6[[#This Row],[DESCONTO]]</f>
        <v>207.79700000000003</v>
      </c>
      <c r="L1478" s="53">
        <f>Tabela6[[#This Row],[CUSTO TOTAL]]/Tabela6[[#This Row],[CONSUMO]]</f>
        <v>4.7901567542646388</v>
      </c>
      <c r="M1478" s="50">
        <f>Tabela6[[#This Row],[KM ATUAL]]-E1477</f>
        <v>336</v>
      </c>
      <c r="N1478" s="51">
        <f>Tabela6[[#This Row],[KM Rodados ]]/Tabela6[[#This Row],[CONSUMO]]</f>
        <v>7.7455048409405247</v>
      </c>
    </row>
    <row r="1479" spans="1:14" x14ac:dyDescent="0.25">
      <c r="A1479" s="47">
        <v>284922</v>
      </c>
      <c r="B1479" s="78">
        <v>45098</v>
      </c>
      <c r="C1479" s="119" t="s">
        <v>13</v>
      </c>
      <c r="D1479" s="49" t="s">
        <v>270</v>
      </c>
      <c r="E1479" s="119">
        <v>627437</v>
      </c>
      <c r="G1479" s="120" t="s">
        <v>89</v>
      </c>
      <c r="H1479" s="51">
        <v>136.06100000000001</v>
      </c>
      <c r="J1479" s="51">
        <v>4.79</v>
      </c>
      <c r="K1479" s="51">
        <f>Tabela6[[#This Row],[CONSUMO]]*Tabela6[[#This Row],[VALOR UNIT]]-Tabela6[[#This Row],[DESCONTO]]</f>
        <v>651.73219000000006</v>
      </c>
      <c r="L1479" s="53">
        <f>Tabela6[[#This Row],[CUSTO TOTAL]]/Tabela6[[#This Row],[CONSUMO]]</f>
        <v>4.79</v>
      </c>
      <c r="M1479" s="50">
        <f>Tabela6[[#This Row],[KM ATUAL]]-E1466</f>
        <v>-35204</v>
      </c>
      <c r="N1479" s="51">
        <f>Tabela6[[#This Row],[KM Rodados ]]/Tabela6[[#This Row],[CONSUMO]]</f>
        <v>-258.73689007136505</v>
      </c>
    </row>
    <row r="1480" spans="1:14" x14ac:dyDescent="0.25">
      <c r="A1480" s="47">
        <v>189054</v>
      </c>
      <c r="B1480" s="78">
        <v>45098</v>
      </c>
      <c r="C1480" s="47" t="s">
        <v>17</v>
      </c>
      <c r="D1480" s="49" t="s">
        <v>262</v>
      </c>
      <c r="E1480" s="47">
        <v>356872</v>
      </c>
      <c r="G1480" s="50" t="s">
        <v>89</v>
      </c>
      <c r="H1480" s="51">
        <v>251.46</v>
      </c>
      <c r="J1480" s="51">
        <v>4.8899999999999997</v>
      </c>
      <c r="K1480" s="51">
        <f>Tabela6[[#This Row],[CONSUMO]]*Tabela6[[#This Row],[VALOR UNIT]]-Tabela6[[#This Row],[DESCONTO]]</f>
        <v>1229.6394</v>
      </c>
      <c r="L1480" s="53">
        <f>Tabela6[[#This Row],[CUSTO TOTAL]]/Tabela6[[#This Row],[CONSUMO]]</f>
        <v>4.8899999999999997</v>
      </c>
      <c r="M1480" s="50">
        <f>Tabela6[[#This Row],[KM ATUAL]]-E1441</f>
        <v>297910</v>
      </c>
      <c r="N1480" s="51">
        <f>Tabela6[[#This Row],[KM Rodados ]]/Tabela6[[#This Row],[CONSUMO]]</f>
        <v>1184.7212280283145</v>
      </c>
    </row>
    <row r="1481" spans="1:14" x14ac:dyDescent="0.25">
      <c r="A1481" s="47">
        <v>307284</v>
      </c>
      <c r="B1481" s="78">
        <v>45098</v>
      </c>
      <c r="C1481" s="47" t="s">
        <v>40</v>
      </c>
      <c r="D1481" s="49" t="s">
        <v>276</v>
      </c>
      <c r="E1481" s="47">
        <v>146455</v>
      </c>
      <c r="G1481" s="50" t="s">
        <v>244</v>
      </c>
      <c r="H1481" s="51">
        <v>47.31</v>
      </c>
      <c r="J1481" s="51">
        <v>5.39</v>
      </c>
      <c r="K1481" s="74">
        <f>Tabela6[[#This Row],[CONSUMO]]*Tabela6[[#This Row],[VALOR UNIT]]-Tabela6[[#This Row],[DESCONTO]]</f>
        <v>255.0009</v>
      </c>
      <c r="L1481" s="53">
        <f>Tabela6[[#This Row],[CUSTO TOTAL]]/Tabela6[[#This Row],[CONSUMO]]</f>
        <v>5.39</v>
      </c>
      <c r="M1481" s="50">
        <f>Tabela6[[#This Row],[KM ATUAL]]-E1480</f>
        <v>-210417</v>
      </c>
      <c r="N1481" s="51">
        <f>Tabela6[[#This Row],[KM Rodados ]]/Tabela6[[#This Row],[CONSUMO]]</f>
        <v>-4447.6220672162335</v>
      </c>
    </row>
    <row r="1482" spans="1:14" x14ac:dyDescent="0.25">
      <c r="A1482" s="47">
        <v>307284</v>
      </c>
      <c r="B1482" s="78">
        <v>45098</v>
      </c>
      <c r="C1482" s="49" t="s">
        <v>40</v>
      </c>
      <c r="D1482" s="49" t="s">
        <v>276</v>
      </c>
      <c r="E1482" s="47">
        <v>146455</v>
      </c>
      <c r="F1482" s="49" t="s">
        <v>244</v>
      </c>
      <c r="G1482" s="50" t="s">
        <v>244</v>
      </c>
      <c r="H1482" s="51">
        <v>47.31</v>
      </c>
      <c r="J1482" s="51">
        <v>5.39</v>
      </c>
      <c r="K1482" s="74">
        <f>Tabela6[[#This Row],[CONSUMO]]*Tabela6[[#This Row],[VALOR UNIT]]-Tabela6[[#This Row],[DESCONTO]]</f>
        <v>255.0009</v>
      </c>
      <c r="L1482" s="53">
        <v>5.39</v>
      </c>
      <c r="M1482" s="50">
        <f>Tabela6[[#This Row],[KM ATUAL]]-E1386</f>
        <v>-571175</v>
      </c>
      <c r="N1482" s="51">
        <f>Tabela6[[#This Row],[KM Rodados ]]/Tabela6[[#This Row],[CONSUMO]]</f>
        <v>-12073.028957937011</v>
      </c>
    </row>
    <row r="1483" spans="1:14" x14ac:dyDescent="0.25">
      <c r="A1483" s="47">
        <v>622338</v>
      </c>
      <c r="B1483" s="78">
        <v>45098</v>
      </c>
      <c r="C1483" s="47" t="s">
        <v>74</v>
      </c>
      <c r="D1483" s="49" t="s">
        <v>271</v>
      </c>
      <c r="E1483" s="47">
        <v>59671</v>
      </c>
      <c r="G1483" s="50" t="s">
        <v>89</v>
      </c>
      <c r="H1483" s="51">
        <v>85.06</v>
      </c>
      <c r="J1483" s="51">
        <v>4.79</v>
      </c>
      <c r="K1483" s="51">
        <f>Tabela6[[#This Row],[CONSUMO]]*Tabela6[[#This Row],[VALOR UNIT]]-Tabela6[[#This Row],[DESCONTO]]</f>
        <v>407.43740000000003</v>
      </c>
      <c r="L1483" s="53">
        <f>Tabela6[[#This Row],[CUSTO TOTAL]]/Tabela6[[#This Row],[CONSUMO]]</f>
        <v>4.79</v>
      </c>
      <c r="M1483" s="50">
        <f>Tabela6[[#This Row],[KM ATUAL]]-E1450</f>
        <v>-337396</v>
      </c>
      <c r="N1483" s="51">
        <f>Tabela6[[#This Row],[KM Rodados ]]/Tabela6[[#This Row],[CONSUMO]]</f>
        <v>-3966.5647778039029</v>
      </c>
    </row>
    <row r="1484" spans="1:14" x14ac:dyDescent="0.25">
      <c r="A1484" s="47" t="s">
        <v>314</v>
      </c>
      <c r="B1484" s="78">
        <v>45099</v>
      </c>
      <c r="C1484" s="47" t="s">
        <v>43</v>
      </c>
      <c r="E1484" s="47">
        <v>130312</v>
      </c>
      <c r="G1484" s="50" t="s">
        <v>89</v>
      </c>
      <c r="H1484" s="51">
        <v>50.1</v>
      </c>
      <c r="K1484" s="52">
        <f>Tabela6[[#This Row],[CONSUMO]]*Tabela6[[#This Row],[VALOR UNIT]]-Tabela6[[#This Row],[DESCONTO]]</f>
        <v>0</v>
      </c>
      <c r="L1484" s="53">
        <f>Tabela6[[#This Row],[CUSTO TOTAL]]/Tabela6[[#This Row],[CONSUMO]]</f>
        <v>0</v>
      </c>
      <c r="M1484" s="50">
        <f>Tabela6[[#This Row],[KM ATUAL]]-E1471</f>
        <v>-238966</v>
      </c>
      <c r="N1484" s="51">
        <f>Tabela6[[#This Row],[KM Rodados ]]/Tabela6[[#This Row],[CONSUMO]]</f>
        <v>-4769.780439121756</v>
      </c>
    </row>
    <row r="1485" spans="1:14" x14ac:dyDescent="0.25">
      <c r="A1485" s="80">
        <v>182695</v>
      </c>
      <c r="B1485" s="78">
        <v>45099</v>
      </c>
      <c r="C1485" s="47" t="s">
        <v>43</v>
      </c>
      <c r="D1485" s="49" t="s">
        <v>246</v>
      </c>
      <c r="E1485" s="47">
        <v>130524</v>
      </c>
      <c r="G1485" s="50" t="s">
        <v>89</v>
      </c>
      <c r="H1485" s="51">
        <v>23.03</v>
      </c>
      <c r="J1485" s="51">
        <v>5.0199999999999996</v>
      </c>
      <c r="K1485" s="52">
        <f>Tabela6[[#This Row],[CONSUMO]]*Tabela6[[#This Row],[VALOR UNIT]]-Tabela6[[#This Row],[DESCONTO]]</f>
        <v>115.61059999999999</v>
      </c>
      <c r="L1485" s="53">
        <f>Tabela6[[#This Row],[CUSTO TOTAL]]/Tabela6[[#This Row],[CONSUMO]]</f>
        <v>5.0199999999999996</v>
      </c>
      <c r="M1485" s="50">
        <f>Tabela6[[#This Row],[KM ATUAL]]-E1484</f>
        <v>212</v>
      </c>
      <c r="N1485" s="51">
        <f>Tabela6[[#This Row],[KM Rodados ]]/Tabela6[[#This Row],[CONSUMO]]</f>
        <v>9.2053842813721225</v>
      </c>
    </row>
    <row r="1486" spans="1:14" x14ac:dyDescent="0.25">
      <c r="A1486" s="47">
        <v>307675</v>
      </c>
      <c r="B1486" s="78">
        <v>45099</v>
      </c>
      <c r="C1486" s="47" t="s">
        <v>43</v>
      </c>
      <c r="D1486" s="49" t="s">
        <v>276</v>
      </c>
      <c r="E1486" s="47">
        <v>130856</v>
      </c>
      <c r="G1486" s="50" t="s">
        <v>89</v>
      </c>
      <c r="H1486" s="51">
        <v>44.97</v>
      </c>
      <c r="J1486" s="51">
        <v>4.99</v>
      </c>
      <c r="K1486" s="52">
        <f>Tabela6[[#This Row],[CONSUMO]]*Tabela6[[#This Row],[VALOR UNIT]]-Tabela6[[#This Row],[DESCONTO]]</f>
        <v>224.40030000000002</v>
      </c>
      <c r="L1486" s="53">
        <f>Tabela6[[#This Row],[CUSTO TOTAL]]/Tabela6[[#This Row],[CONSUMO]]</f>
        <v>4.99</v>
      </c>
      <c r="M1486" s="50">
        <f>Tabela6[[#This Row],[KM ATUAL]]-E1485</f>
        <v>332</v>
      </c>
      <c r="N1486" s="72">
        <f>Tabela6[[#This Row],[KM Rodados ]]/Tabela6[[#This Row],[CONSUMO]]</f>
        <v>7.3826995774961084</v>
      </c>
    </row>
    <row r="1487" spans="1:14" x14ac:dyDescent="0.25">
      <c r="A1487" s="80">
        <v>182695</v>
      </c>
      <c r="B1487" s="78">
        <v>45099</v>
      </c>
      <c r="C1487" s="47" t="s">
        <v>43</v>
      </c>
      <c r="D1487" s="49" t="s">
        <v>246</v>
      </c>
      <c r="E1487" s="47">
        <v>130924</v>
      </c>
      <c r="G1487" s="50" t="s">
        <v>89</v>
      </c>
      <c r="H1487" s="51">
        <v>8.9</v>
      </c>
      <c r="J1487" s="51">
        <v>5.0199999999999996</v>
      </c>
      <c r="K1487" s="52">
        <f>Tabela6[[#This Row],[CONSUMO]]*Tabela6[[#This Row],[VALOR UNIT]]-Tabela6[[#This Row],[DESCONTO]]</f>
        <v>44.677999999999997</v>
      </c>
      <c r="L1487" s="53">
        <f>Tabela6[[#This Row],[CUSTO TOTAL]]/Tabela6[[#This Row],[CONSUMO]]</f>
        <v>5.0199999999999996</v>
      </c>
      <c r="M1487" s="50">
        <f>Tabela6[[#This Row],[KM ATUAL]]-E1486</f>
        <v>68</v>
      </c>
      <c r="N1487" s="72">
        <f>Tabela6[[#This Row],[KM Rodados ]]/Tabela6[[#This Row],[CONSUMO]]</f>
        <v>7.6404494382022472</v>
      </c>
    </row>
    <row r="1488" spans="1:14" x14ac:dyDescent="0.25">
      <c r="A1488" s="47">
        <v>622922</v>
      </c>
      <c r="B1488" s="78">
        <v>45099</v>
      </c>
      <c r="C1488" s="47" t="s">
        <v>9</v>
      </c>
      <c r="D1488" s="49" t="s">
        <v>271</v>
      </c>
      <c r="E1488" s="47">
        <v>608601</v>
      </c>
      <c r="G1488" s="50" t="s">
        <v>89</v>
      </c>
      <c r="H1488" s="51">
        <v>127</v>
      </c>
      <c r="J1488" s="51">
        <v>4.79</v>
      </c>
      <c r="K1488" s="51">
        <f>Tabela6[[#This Row],[CONSUMO]]*Tabela6[[#This Row],[VALOR UNIT]]-Tabela6[[#This Row],[DESCONTO]]</f>
        <v>608.33000000000004</v>
      </c>
      <c r="L1488" s="53">
        <f>Tabela6[[#This Row],[CUSTO TOTAL]]/Tabela6[[#This Row],[CONSUMO]]</f>
        <v>4.79</v>
      </c>
      <c r="M1488" s="50">
        <f>Tabela6[[#This Row],[KM ATUAL]]-E1462</f>
        <v>510201</v>
      </c>
      <c r="N1488" s="51">
        <f>Tabela6[[#This Row],[KM Rodados ]]/Tabela6[[#This Row],[CONSUMO]]</f>
        <v>4017.3307086614172</v>
      </c>
    </row>
    <row r="1489" spans="1:14" x14ac:dyDescent="0.25">
      <c r="A1489" s="47">
        <v>399696</v>
      </c>
      <c r="B1489" s="78">
        <v>45099</v>
      </c>
      <c r="C1489" s="47" t="s">
        <v>42</v>
      </c>
      <c r="D1489" s="49" t="s">
        <v>253</v>
      </c>
      <c r="E1489" s="47">
        <v>365752</v>
      </c>
      <c r="G1489" s="50" t="s">
        <v>89</v>
      </c>
      <c r="H1489" s="51">
        <v>55.55</v>
      </c>
      <c r="I1489" s="49">
        <v>16.66</v>
      </c>
      <c r="J1489" s="51">
        <v>5.49</v>
      </c>
      <c r="K1489" s="52">
        <f>Tabela6[[#This Row],[CONSUMO]]*Tabela6[[#This Row],[VALOR UNIT]]-Tabela6[[#This Row],[DESCONTO]]</f>
        <v>288.30949999999996</v>
      </c>
      <c r="L1489" s="53">
        <f>Tabela6[[#This Row],[CUSTO TOTAL]]/Tabela6[[#This Row],[CONSUMO]]</f>
        <v>5.1900900090008992</v>
      </c>
      <c r="M1489" s="50">
        <f>Tabela6[[#This Row],[KM ATUAL]]-E1483</f>
        <v>306081</v>
      </c>
      <c r="N1489" s="51">
        <f>Tabela6[[#This Row],[KM Rodados ]]/Tabela6[[#This Row],[CONSUMO]]</f>
        <v>5510.0090009000905</v>
      </c>
    </row>
    <row r="1490" spans="1:14" x14ac:dyDescent="0.25">
      <c r="A1490" s="47">
        <v>285172</v>
      </c>
      <c r="B1490" s="78">
        <v>45099</v>
      </c>
      <c r="C1490" s="47" t="s">
        <v>222</v>
      </c>
      <c r="D1490" s="49" t="s">
        <v>270</v>
      </c>
      <c r="E1490" s="47">
        <v>482301</v>
      </c>
      <c r="G1490" s="50" t="s">
        <v>89</v>
      </c>
      <c r="H1490" s="51">
        <v>325</v>
      </c>
      <c r="J1490" s="51">
        <v>4.79</v>
      </c>
      <c r="K1490" s="51">
        <f>Tabela6[[#This Row],[CONSUMO]]*Tabela6[[#This Row],[VALOR UNIT]]-Tabela6[[#This Row],[DESCONTO]]</f>
        <v>1556.75</v>
      </c>
      <c r="L1490" s="53">
        <f>Tabela6[[#This Row],[CUSTO TOTAL]]/Tabela6[[#This Row],[CONSUMO]]</f>
        <v>4.79</v>
      </c>
      <c r="M1490" s="50">
        <f>Tabela6[[#This Row],[KM ATUAL]]-E1464</f>
        <v>84287</v>
      </c>
      <c r="N1490" s="51">
        <f>Tabela6[[#This Row],[KM Rodados ]]/Tabela6[[#This Row],[CONSUMO]]</f>
        <v>259.34461538461539</v>
      </c>
    </row>
    <row r="1491" spans="1:14" x14ac:dyDescent="0.25">
      <c r="A1491" s="47" t="s">
        <v>314</v>
      </c>
      <c r="B1491" s="78">
        <v>45099</v>
      </c>
      <c r="C1491" s="47" t="s">
        <v>215</v>
      </c>
      <c r="E1491" s="47">
        <v>224878</v>
      </c>
      <c r="F1491" s="50"/>
      <c r="G1491" s="50" t="s">
        <v>244</v>
      </c>
      <c r="H1491" s="51">
        <v>38.9</v>
      </c>
      <c r="I1491" s="51"/>
      <c r="K1491" s="52">
        <f>Tabela6[[#This Row],[CONSUMO]]*Tabela6[[#This Row],[VALOR UNIT]]-Tabela6[[#This Row],[DESCONTO]]</f>
        <v>0</v>
      </c>
      <c r="L1491" s="53">
        <f>Tabela6[[#This Row],[CUSTO TOTAL]]/Tabela6[[#This Row],[CONSUMO]]</f>
        <v>0</v>
      </c>
      <c r="M1491" s="50">
        <f>Tabela6[[#This Row],[KM ATUAL]]-E1138</f>
        <v>-434198</v>
      </c>
      <c r="N1491" s="51">
        <f>Tabela6[[#This Row],[KM Rodados ]]/Tabela6[[#This Row],[CONSUMO]]</f>
        <v>-11161.90231362468</v>
      </c>
    </row>
    <row r="1492" spans="1:14" x14ac:dyDescent="0.25">
      <c r="A1492" s="47">
        <v>622580</v>
      </c>
      <c r="B1492" s="78">
        <v>45099</v>
      </c>
      <c r="C1492" s="47" t="s">
        <v>72</v>
      </c>
      <c r="D1492" s="49" t="s">
        <v>271</v>
      </c>
      <c r="E1492" s="47">
        <v>398913</v>
      </c>
      <c r="G1492" s="50" t="s">
        <v>89</v>
      </c>
      <c r="H1492" s="51">
        <v>43</v>
      </c>
      <c r="J1492" s="51">
        <v>4.79</v>
      </c>
      <c r="K1492" s="52">
        <f>Tabela6[[#This Row],[CONSUMO]]*Tabela6[[#This Row],[VALOR UNIT]]-Tabela6[[#This Row],[DESCONTO]]</f>
        <v>205.97</v>
      </c>
      <c r="L1492" s="53">
        <f>Tabela6[[#This Row],[CUSTO TOTAL]]/Tabela6[[#This Row],[CONSUMO]]</f>
        <v>4.79</v>
      </c>
      <c r="M1492" s="50">
        <f>Tabela6[[#This Row],[KM ATUAL]]-E1488</f>
        <v>-209688</v>
      </c>
      <c r="N1492" s="51">
        <f>Tabela6[[#This Row],[KM Rodados ]]/Tabela6[[#This Row],[CONSUMO]]</f>
        <v>-4876.4651162790697</v>
      </c>
    </row>
    <row r="1493" spans="1:14" x14ac:dyDescent="0.25">
      <c r="A1493" s="47">
        <v>114131</v>
      </c>
      <c r="B1493" s="78">
        <v>45099</v>
      </c>
      <c r="C1493" s="47" t="s">
        <v>64</v>
      </c>
      <c r="D1493" s="49" t="s">
        <v>263</v>
      </c>
      <c r="E1493" s="47">
        <v>78879</v>
      </c>
      <c r="G1493" s="50" t="s">
        <v>89</v>
      </c>
      <c r="H1493" s="51">
        <v>175.99</v>
      </c>
      <c r="I1493" s="49">
        <v>17.600000000000001</v>
      </c>
      <c r="J1493" s="51">
        <v>4.83</v>
      </c>
      <c r="K1493" s="51">
        <f>Tabela6[[#This Row],[CONSUMO]]*Tabela6[[#This Row],[VALOR UNIT]]-Tabela6[[#This Row],[DESCONTO]]</f>
        <v>832.43169999999998</v>
      </c>
      <c r="L1493" s="53">
        <f>Tabela6[[#This Row],[CUSTO TOTAL]]/Tabela6[[#This Row],[CONSUMO]]</f>
        <v>4.729994317858969</v>
      </c>
      <c r="M1493" s="50">
        <f>Tabela6[[#This Row],[KM ATUAL]]-E1448</f>
        <v>-589363</v>
      </c>
      <c r="N1493" s="51">
        <f>Tabela6[[#This Row],[KM Rodados ]]/Tabela6[[#This Row],[CONSUMO]]</f>
        <v>-3348.8436843002441</v>
      </c>
    </row>
    <row r="1494" spans="1:14" x14ac:dyDescent="0.25">
      <c r="A1494" s="47">
        <v>259120</v>
      </c>
      <c r="B1494" s="78">
        <v>45099</v>
      </c>
      <c r="C1494" s="47" t="s">
        <v>21</v>
      </c>
      <c r="D1494" s="49" t="s">
        <v>263</v>
      </c>
      <c r="E1494" s="47">
        <v>144277</v>
      </c>
      <c r="G1494" s="50" t="s">
        <v>89</v>
      </c>
      <c r="H1494" s="51">
        <v>155.28</v>
      </c>
      <c r="I1494" s="49">
        <v>15.53</v>
      </c>
      <c r="J1494" s="51">
        <v>4.83</v>
      </c>
      <c r="K1494" s="52">
        <f>Tabela6[[#This Row],[CONSUMO]]*Tabela6[[#This Row],[VALOR UNIT]]-Tabela6[[#This Row],[DESCONTO]]</f>
        <v>734.47239999999999</v>
      </c>
      <c r="L1494" s="53">
        <f>Tabela6[[#This Row],[CUSTO TOTAL]]/Tabela6[[#This Row],[CONSUMO]]</f>
        <v>4.7299871200412156</v>
      </c>
      <c r="M1494" s="50">
        <f>Tabela6[[#This Row],[KM ATUAL]]-E1450</f>
        <v>-252790</v>
      </c>
      <c r="N1494" s="51">
        <f>Tabela6[[#This Row],[KM Rodados ]]/Tabela6[[#This Row],[CONSUMO]]</f>
        <v>-1627.9623905203503</v>
      </c>
    </row>
    <row r="1495" spans="1:14" x14ac:dyDescent="0.25">
      <c r="A1495" s="47">
        <v>189317</v>
      </c>
      <c r="B1495" s="78">
        <v>45099</v>
      </c>
      <c r="C1495" s="47" t="s">
        <v>20</v>
      </c>
      <c r="D1495" s="49" t="s">
        <v>262</v>
      </c>
      <c r="E1495" s="47">
        <v>255936</v>
      </c>
      <c r="G1495" s="50" t="s">
        <v>89</v>
      </c>
      <c r="H1495" s="51">
        <v>48.048999999999999</v>
      </c>
      <c r="J1495" s="51">
        <v>4.8899999999999997</v>
      </c>
      <c r="K1495" s="52">
        <f>Tabela6[[#This Row],[CONSUMO]]*Tabela6[[#This Row],[VALOR UNIT]]-Tabela6[[#This Row],[DESCONTO]]</f>
        <v>234.95960999999997</v>
      </c>
      <c r="L1495" s="53">
        <f>Tabela6[[#This Row],[CUSTO TOTAL]]/Tabela6[[#This Row],[CONSUMO]]</f>
        <v>4.8899999999999997</v>
      </c>
      <c r="M1495" s="50">
        <f>Tabela6[[#This Row],[KM ATUAL]]-E1475</f>
        <v>-109374</v>
      </c>
      <c r="N1495" s="51">
        <f>Tabela6[[#This Row],[KM Rodados ]]/Tabela6[[#This Row],[CONSUMO]]</f>
        <v>-2276.3012757809738</v>
      </c>
    </row>
    <row r="1496" spans="1:14" x14ac:dyDescent="0.25">
      <c r="A1496" s="47" t="s">
        <v>314</v>
      </c>
      <c r="B1496" s="78">
        <v>45099</v>
      </c>
      <c r="C1496" s="49" t="s">
        <v>40</v>
      </c>
      <c r="E1496" s="47">
        <v>146932</v>
      </c>
      <c r="F1496" s="50"/>
      <c r="G1496" s="50" t="s">
        <v>244</v>
      </c>
      <c r="H1496" s="51">
        <v>38.6</v>
      </c>
      <c r="I1496" s="51"/>
      <c r="K1496" s="52">
        <f>Tabela6[[#This Row],[CONSUMO]]*Tabela6[[#This Row],[VALOR UNIT]]-Tabela6[[#This Row],[DESCONTO]]</f>
        <v>0</v>
      </c>
      <c r="L1496" s="53">
        <f>Tabela6[[#This Row],[CUSTO TOTAL]]/Tabela6[[#This Row],[CONSUMO]]</f>
        <v>0</v>
      </c>
      <c r="M1496" s="50">
        <f>Tabela6[[#This Row],[KM ATUAL]]-E1037</f>
        <v>53386</v>
      </c>
      <c r="N1496" s="51">
        <f>Tabela6[[#This Row],[KM Rodados ]]/Tabela6[[#This Row],[CONSUMO]]</f>
        <v>1383.0569948186528</v>
      </c>
    </row>
    <row r="1497" spans="1:14" x14ac:dyDescent="0.25">
      <c r="A1497" s="47">
        <v>307643</v>
      </c>
      <c r="B1497" s="78">
        <v>45099</v>
      </c>
      <c r="C1497" s="47" t="s">
        <v>74</v>
      </c>
      <c r="D1497" s="49" t="s">
        <v>276</v>
      </c>
      <c r="E1497" s="47">
        <v>60058</v>
      </c>
      <c r="G1497" s="50" t="s">
        <v>89</v>
      </c>
      <c r="H1497" s="51">
        <v>48.709000000000003</v>
      </c>
      <c r="J1497" s="51">
        <v>4.99</v>
      </c>
      <c r="K1497" s="51">
        <f>Tabela6[[#This Row],[CONSUMO]]*Tabela6[[#This Row],[VALOR UNIT]]-Tabela6[[#This Row],[DESCONTO]]</f>
        <v>243.05791000000002</v>
      </c>
      <c r="L1497" s="53">
        <f>Tabela6[[#This Row],[CUSTO TOTAL]]/Tabela6[[#This Row],[CONSUMO]]</f>
        <v>4.99</v>
      </c>
      <c r="M1497" s="50">
        <f>Tabela6[[#This Row],[KM ATUAL]]-E1477</f>
        <v>-338186</v>
      </c>
      <c r="N1497" s="51">
        <f>Tabela6[[#This Row],[KM Rodados ]]/Tabela6[[#This Row],[CONSUMO]]</f>
        <v>-6942.9879488390234</v>
      </c>
    </row>
    <row r="1498" spans="1:14" x14ac:dyDescent="0.25">
      <c r="A1498" s="47">
        <v>307761</v>
      </c>
      <c r="B1498" s="78">
        <v>45100</v>
      </c>
      <c r="C1498" s="47" t="s">
        <v>68</v>
      </c>
      <c r="D1498" s="49" t="s">
        <v>276</v>
      </c>
      <c r="E1498" s="47">
        <v>893422</v>
      </c>
      <c r="G1498" s="50" t="s">
        <v>89</v>
      </c>
      <c r="H1498" s="51">
        <v>306.87</v>
      </c>
      <c r="J1498" s="51">
        <v>4.99</v>
      </c>
      <c r="K1498" s="51">
        <f>Tabela6[[#This Row],[CONSUMO]]*Tabela6[[#This Row],[VALOR UNIT]]-Tabela6[[#This Row],[DESCONTO]]</f>
        <v>1531.2813000000001</v>
      </c>
      <c r="L1498" s="53">
        <f>Tabela6[[#This Row],[CUSTO TOTAL]]/Tabela6[[#This Row],[CONSUMO]]</f>
        <v>4.99</v>
      </c>
      <c r="M1498" s="50">
        <f>Tabela6[[#This Row],[KM ATUAL]]-E1469</f>
        <v>579900</v>
      </c>
      <c r="N1498" s="51">
        <f>Tabela6[[#This Row],[KM Rodados ]]/Tabela6[[#This Row],[CONSUMO]]</f>
        <v>1889.7252908397693</v>
      </c>
    </row>
    <row r="1499" spans="1:14" x14ac:dyDescent="0.25">
      <c r="A1499" s="47" t="s">
        <v>314</v>
      </c>
      <c r="B1499" s="78">
        <v>45100</v>
      </c>
      <c r="C1499" s="47" t="s">
        <v>39</v>
      </c>
      <c r="E1499" s="47">
        <v>90656</v>
      </c>
      <c r="G1499" s="50" t="s">
        <v>89</v>
      </c>
      <c r="H1499" s="51">
        <v>68.5</v>
      </c>
      <c r="K1499" s="52">
        <f>Tabela6[[#This Row],[CONSUMO]]*Tabela6[[#This Row],[VALOR UNIT]]-Tabela6[[#This Row],[DESCONTO]]</f>
        <v>0</v>
      </c>
      <c r="L1499" s="53">
        <f>Tabela6[[#This Row],[CUSTO TOTAL]]/Tabela6[[#This Row],[CONSUMO]]</f>
        <v>0</v>
      </c>
      <c r="M1499" s="50">
        <f>Tabela6[[#This Row],[KM ATUAL]]-E1466</f>
        <v>-571985</v>
      </c>
      <c r="N1499" s="51">
        <f>Tabela6[[#This Row],[KM Rodados ]]/Tabela6[[#This Row],[CONSUMO]]</f>
        <v>-8350.1459854014593</v>
      </c>
    </row>
    <row r="1500" spans="1:14" x14ac:dyDescent="0.25">
      <c r="A1500" s="47">
        <v>941232</v>
      </c>
      <c r="B1500" s="78">
        <v>45100</v>
      </c>
      <c r="C1500" s="47" t="s">
        <v>72</v>
      </c>
      <c r="D1500" s="49" t="s">
        <v>233</v>
      </c>
      <c r="E1500" s="47">
        <v>399158</v>
      </c>
      <c r="G1500" s="50" t="s">
        <v>89</v>
      </c>
      <c r="H1500" s="51">
        <v>31.22</v>
      </c>
      <c r="J1500" s="51">
        <v>5.09</v>
      </c>
      <c r="K1500" s="51">
        <f>Tabela6[[#This Row],[CONSUMO]]*Tabela6[[#This Row],[VALOR UNIT]]-Tabela6[[#This Row],[DESCONTO]]</f>
        <v>158.90979999999999</v>
      </c>
      <c r="L1500" s="53">
        <f>Tabela6[[#This Row],[CUSTO TOTAL]]/Tabela6[[#This Row],[CONSUMO]]</f>
        <v>5.09</v>
      </c>
      <c r="M1500" s="50">
        <f>Tabela6[[#This Row],[KM ATUAL]]-E1488</f>
        <v>-209443</v>
      </c>
      <c r="N1500" s="51">
        <f>Tabela6[[#This Row],[KM Rodados ]]/Tabela6[[#This Row],[CONSUMO]]</f>
        <v>-6708.6162716207564</v>
      </c>
    </row>
    <row r="1501" spans="1:14" x14ac:dyDescent="0.25">
      <c r="A1501" s="47">
        <v>400662</v>
      </c>
      <c r="B1501" s="78">
        <v>45100</v>
      </c>
      <c r="C1501" s="47" t="s">
        <v>19</v>
      </c>
      <c r="D1501" s="49" t="s">
        <v>253</v>
      </c>
      <c r="E1501" s="47">
        <v>312180</v>
      </c>
      <c r="G1501" s="50" t="s">
        <v>89</v>
      </c>
      <c r="H1501" s="51">
        <v>127.52</v>
      </c>
      <c r="I1501" s="49">
        <v>38.26</v>
      </c>
      <c r="J1501" s="51">
        <v>5.49</v>
      </c>
      <c r="K1501" s="51">
        <f>Tabela6[[#This Row],[CONSUMO]]*Tabela6[[#This Row],[VALOR UNIT]]-Tabela6[[#This Row],[DESCONTO]]</f>
        <v>661.82479999999998</v>
      </c>
      <c r="L1501" s="53">
        <f>Tabela6[[#This Row],[CUSTO TOTAL]]/Tabela6[[#This Row],[CONSUMO]]</f>
        <v>5.1899686323713929</v>
      </c>
      <c r="M1501" s="50">
        <f>Tabela6[[#This Row],[KM ATUAL]]-E1456</f>
        <v>182589</v>
      </c>
      <c r="N1501" s="51">
        <f>Tabela6[[#This Row],[KM Rodados ]]/Tabela6[[#This Row],[CONSUMO]]</f>
        <v>1431.8459849435383</v>
      </c>
    </row>
    <row r="1502" spans="1:14" x14ac:dyDescent="0.25">
      <c r="A1502" s="47">
        <v>189471</v>
      </c>
      <c r="B1502" s="78">
        <v>45100</v>
      </c>
      <c r="C1502" s="47" t="s">
        <v>74</v>
      </c>
      <c r="D1502" s="49" t="s">
        <v>262</v>
      </c>
      <c r="E1502" s="47">
        <v>60512</v>
      </c>
      <c r="G1502" s="50" t="s">
        <v>89</v>
      </c>
      <c r="H1502" s="51">
        <v>60.390999999999998</v>
      </c>
      <c r="J1502" s="51">
        <v>4.8899999999999997</v>
      </c>
      <c r="K1502" s="51">
        <f>Tabela6[[#This Row],[CONSUMO]]*Tabela6[[#This Row],[VALOR UNIT]]-Tabela6[[#This Row],[DESCONTO]]</f>
        <v>295.31198999999998</v>
      </c>
      <c r="L1502" s="53">
        <f>Tabela6[[#This Row],[CUSTO TOTAL]]/Tabela6[[#This Row],[CONSUMO]]</f>
        <v>4.8899999999999997</v>
      </c>
      <c r="M1502" s="50">
        <f>Tabela6[[#This Row],[KM ATUAL]]-E1498</f>
        <v>-832910</v>
      </c>
      <c r="N1502" s="51">
        <f>Tabela6[[#This Row],[KM Rodados ]]/Tabela6[[#This Row],[CONSUMO]]</f>
        <v>-13791.955754996607</v>
      </c>
    </row>
    <row r="1503" spans="1:14" x14ac:dyDescent="0.25">
      <c r="A1503" s="47">
        <v>189590</v>
      </c>
      <c r="B1503" s="78">
        <v>45101</v>
      </c>
      <c r="C1503" s="47" t="s">
        <v>23</v>
      </c>
      <c r="D1503" s="49" t="s">
        <v>262</v>
      </c>
      <c r="E1503" s="47">
        <v>231399</v>
      </c>
      <c r="G1503" s="50" t="s">
        <v>89</v>
      </c>
      <c r="H1503" s="51">
        <v>153.851</v>
      </c>
      <c r="J1503" s="51">
        <v>4.8899999999999997</v>
      </c>
      <c r="K1503" s="51">
        <f>Tabela6[[#This Row],[CONSUMO]]*Tabela6[[#This Row],[VALOR UNIT]]-Tabela6[[#This Row],[DESCONTO]]</f>
        <v>752.33138999999994</v>
      </c>
      <c r="L1503" s="53">
        <f>Tabela6[[#This Row],[CUSTO TOTAL]]/Tabela6[[#This Row],[CONSUMO]]</f>
        <v>4.8899999999999997</v>
      </c>
      <c r="M1503" s="50">
        <f>Tabela6[[#This Row],[KM ATUAL]]-E1462</f>
        <v>132999</v>
      </c>
      <c r="N1503" s="51">
        <f>Tabela6[[#This Row],[KM Rodados ]]/Tabela6[[#This Row],[CONSUMO]]</f>
        <v>864.46626931251672</v>
      </c>
    </row>
    <row r="1504" spans="1:14" x14ac:dyDescent="0.25">
      <c r="A1504" s="47" t="s">
        <v>314</v>
      </c>
      <c r="B1504" s="78">
        <v>45101</v>
      </c>
      <c r="C1504" s="49" t="s">
        <v>40</v>
      </c>
      <c r="E1504" s="47">
        <v>147410</v>
      </c>
      <c r="F1504" s="50"/>
      <c r="G1504" s="50" t="s">
        <v>244</v>
      </c>
      <c r="H1504" s="51">
        <v>39.42</v>
      </c>
      <c r="I1504" s="51"/>
      <c r="K1504" s="52">
        <f>Tabela6[[#This Row],[CONSUMO]]*Tabela6[[#This Row],[VALOR UNIT]]-Tabela6[[#This Row],[DESCONTO]]</f>
        <v>0</v>
      </c>
      <c r="L1504" s="53">
        <f>Tabela6[[#This Row],[CUSTO TOTAL]]/Tabela6[[#This Row],[CONSUMO]]</f>
        <v>0</v>
      </c>
      <c r="M1504" s="50">
        <f>Tabela6[[#This Row],[KM ATUAL]]-E1503</f>
        <v>-83989</v>
      </c>
      <c r="N1504" s="51">
        <f>Tabela6[[#This Row],[KM Rodados ]]/Tabela6[[#This Row],[CONSUMO]]</f>
        <v>-2130.6189751395232</v>
      </c>
    </row>
    <row r="1505" spans="1:14" x14ac:dyDescent="0.25">
      <c r="A1505" s="47" t="s">
        <v>314</v>
      </c>
      <c r="B1505" s="78">
        <v>45102</v>
      </c>
      <c r="C1505" s="47" t="s">
        <v>72</v>
      </c>
      <c r="E1505" s="47">
        <v>399215</v>
      </c>
      <c r="G1505" s="50" t="s">
        <v>89</v>
      </c>
      <c r="H1505" s="51">
        <v>7.5</v>
      </c>
      <c r="K1505" s="51">
        <f>Tabela6[[#This Row],[CONSUMO]]*Tabela6[[#This Row],[VALOR UNIT]]-Tabela6[[#This Row],[DESCONTO]]</f>
        <v>0</v>
      </c>
      <c r="L1505" s="53">
        <f>Tabela6[[#This Row],[CUSTO TOTAL]]/Tabela6[[#This Row],[CONSUMO]]</f>
        <v>0</v>
      </c>
      <c r="M1505" s="50">
        <f>Tabela6[[#This Row],[KM ATUAL]]-E1498</f>
        <v>-494207</v>
      </c>
      <c r="N1505" s="49">
        <f>Tabela6[[#This Row],[KM Rodados ]]/Tabela6[[#This Row],[CONSUMO]]</f>
        <v>-65894.266666666663</v>
      </c>
    </row>
    <row r="1506" spans="1:14" x14ac:dyDescent="0.25">
      <c r="A1506" s="47" t="s">
        <v>314</v>
      </c>
      <c r="B1506" s="78">
        <v>45102</v>
      </c>
      <c r="C1506" s="47" t="s">
        <v>15</v>
      </c>
      <c r="E1506" s="47">
        <v>370024</v>
      </c>
      <c r="G1506" s="50" t="s">
        <v>89</v>
      </c>
      <c r="H1506" s="51">
        <v>123.3</v>
      </c>
      <c r="K1506" s="52">
        <f>Tabela6[[#This Row],[CONSUMO]]*Tabela6[[#This Row],[VALOR UNIT]]-Tabela6[[#This Row],[DESCONTO]]</f>
        <v>0</v>
      </c>
      <c r="L1506" s="53">
        <f>Tabela6[[#This Row],[CUSTO TOTAL]]/Tabela6[[#This Row],[CONSUMO]]</f>
        <v>0</v>
      </c>
      <c r="M1506" s="50">
        <f>Tabela6[[#This Row],[KM ATUAL]]-E1470</f>
        <v>-256837</v>
      </c>
      <c r="N1506" s="51">
        <f>Tabela6[[#This Row],[KM Rodados ]]/Tabela6[[#This Row],[CONSUMO]]</f>
        <v>-2083.0251419302513</v>
      </c>
    </row>
    <row r="1507" spans="1:14" x14ac:dyDescent="0.25">
      <c r="A1507" s="47">
        <v>134224</v>
      </c>
      <c r="B1507" s="78">
        <v>45103</v>
      </c>
      <c r="C1507" s="47" t="s">
        <v>43</v>
      </c>
      <c r="D1507" s="49" t="s">
        <v>246</v>
      </c>
      <c r="E1507" s="47">
        <v>131017</v>
      </c>
      <c r="G1507" s="50" t="s">
        <v>89</v>
      </c>
      <c r="H1507" s="51">
        <v>19.8</v>
      </c>
      <c r="I1507" s="49">
        <v>15.47</v>
      </c>
      <c r="J1507" s="51">
        <v>5.0199999999999996</v>
      </c>
      <c r="K1507" s="52">
        <f>Tabela6[[#This Row],[CONSUMO]]*Tabela6[[#This Row],[VALOR UNIT]]-Tabela6[[#This Row],[DESCONTO]]</f>
        <v>83.926000000000002</v>
      </c>
      <c r="L1507" s="53">
        <f>Tabela6[[#This Row],[CUSTO TOTAL]]/Tabela6[[#This Row],[CONSUMO]]</f>
        <v>4.2386868686868686</v>
      </c>
      <c r="M1507" s="50">
        <f>Tabela6[[#This Row],[KM ATUAL]]-E1486</f>
        <v>161</v>
      </c>
      <c r="N1507" s="51">
        <f>Tabela6[[#This Row],[KM Rodados ]]/Tabela6[[#This Row],[CONSUMO]]</f>
        <v>8.1313131313131315</v>
      </c>
    </row>
    <row r="1508" spans="1:14" x14ac:dyDescent="0.25">
      <c r="A1508" s="47">
        <v>943765</v>
      </c>
      <c r="B1508" s="78">
        <v>45103</v>
      </c>
      <c r="C1508" s="47" t="s">
        <v>43</v>
      </c>
      <c r="D1508" s="49" t="s">
        <v>233</v>
      </c>
      <c r="E1508" s="47">
        <v>131306</v>
      </c>
      <c r="G1508" s="50" t="s">
        <v>89</v>
      </c>
      <c r="H1508" s="51">
        <v>33.4</v>
      </c>
      <c r="J1508" s="51">
        <v>5.09</v>
      </c>
      <c r="K1508" s="52">
        <f>Tabela6[[#This Row],[CONSUMO]]*Tabela6[[#This Row],[VALOR UNIT]]-Tabela6[[#This Row],[DESCONTO]]</f>
        <v>170.006</v>
      </c>
      <c r="L1508" s="53">
        <f>Tabela6[[#This Row],[CUSTO TOTAL]]/Tabela6[[#This Row],[CONSUMO]]</f>
        <v>5.09</v>
      </c>
      <c r="M1508" s="50">
        <f>Tabela6[[#This Row],[KM ATUAL]]-E1507</f>
        <v>289</v>
      </c>
      <c r="N1508" s="72">
        <f>Tabela6[[#This Row],[KM Rodados ]]/Tabela6[[#This Row],[CONSUMO]]</f>
        <v>8.6526946107784433</v>
      </c>
    </row>
    <row r="1509" spans="1:14" x14ac:dyDescent="0.25">
      <c r="A1509" s="47">
        <v>624741</v>
      </c>
      <c r="B1509" s="78">
        <v>45103</v>
      </c>
      <c r="C1509" s="47" t="s">
        <v>9</v>
      </c>
      <c r="D1509" s="49" t="s">
        <v>271</v>
      </c>
      <c r="E1509" s="47">
        <v>609041</v>
      </c>
      <c r="G1509" s="50" t="s">
        <v>89</v>
      </c>
      <c r="H1509" s="51">
        <v>116.29</v>
      </c>
      <c r="J1509" s="51">
        <v>4.79</v>
      </c>
      <c r="K1509" s="51">
        <f>Tabela6[[#This Row],[CONSUMO]]*Tabela6[[#This Row],[VALOR UNIT]]-Tabela6[[#This Row],[DESCONTO]]</f>
        <v>557.02910000000008</v>
      </c>
      <c r="L1509" s="53">
        <f>Tabela6[[#This Row],[CUSTO TOTAL]]/Tabela6[[#This Row],[CONSUMO]]</f>
        <v>4.79</v>
      </c>
      <c r="M1509" s="50">
        <f>Tabela6[[#This Row],[KM ATUAL]]-E1479</f>
        <v>-18396</v>
      </c>
      <c r="N1509" s="51">
        <f>Tabela6[[#This Row],[KM Rodados ]]/Tabela6[[#This Row],[CONSUMO]]</f>
        <v>-158.19073007137328</v>
      </c>
    </row>
    <row r="1510" spans="1:14" x14ac:dyDescent="0.25">
      <c r="A1510" s="47">
        <v>286236</v>
      </c>
      <c r="B1510" s="78">
        <v>45103</v>
      </c>
      <c r="C1510" s="47" t="s">
        <v>222</v>
      </c>
      <c r="D1510" s="49" t="s">
        <v>270</v>
      </c>
      <c r="E1510" s="47">
        <v>483098</v>
      </c>
      <c r="G1510" s="50" t="s">
        <v>89</v>
      </c>
      <c r="H1510" s="51">
        <v>320</v>
      </c>
      <c r="J1510" s="51">
        <v>4.79</v>
      </c>
      <c r="K1510" s="51">
        <f>Tabela6[[#This Row],[CONSUMO]]*Tabela6[[#This Row],[VALOR UNIT]]-Tabela6[[#This Row],[DESCONTO]]</f>
        <v>1532.8</v>
      </c>
      <c r="L1510" s="53">
        <f>Tabela6[[#This Row],[CUSTO TOTAL]]/Tabela6[[#This Row],[CONSUMO]]</f>
        <v>4.79</v>
      </c>
      <c r="M1510" s="50">
        <f>Tabela6[[#This Row],[KM ATUAL]]-E1486</f>
        <v>352242</v>
      </c>
      <c r="N1510" s="51">
        <f>Tabela6[[#This Row],[KM Rodados ]]/Tabela6[[#This Row],[CONSUMO]]</f>
        <v>1100.7562499999999</v>
      </c>
    </row>
    <row r="1511" spans="1:14" x14ac:dyDescent="0.25">
      <c r="A1511" s="47">
        <v>402657</v>
      </c>
      <c r="B1511" s="78">
        <v>45103</v>
      </c>
      <c r="C1511" s="47" t="s">
        <v>67</v>
      </c>
      <c r="D1511" s="49" t="s">
        <v>253</v>
      </c>
      <c r="E1511" s="47">
        <v>668871</v>
      </c>
      <c r="G1511" s="50" t="s">
        <v>241</v>
      </c>
      <c r="H1511" s="51">
        <v>25.376999999999999</v>
      </c>
      <c r="J1511" s="51">
        <v>3.49</v>
      </c>
      <c r="K1511" s="51">
        <f>Tabela6[[#This Row],[CONSUMO]]*Tabela6[[#This Row],[VALOR UNIT]]-Tabela6[[#This Row],[DESCONTO]]</f>
        <v>88.565730000000002</v>
      </c>
      <c r="L1511" s="53">
        <f>Tabela6[[#This Row],[CUSTO TOTAL]]/Tabela6[[#This Row],[CONSUMO]]</f>
        <v>3.49</v>
      </c>
      <c r="M1511" s="50"/>
      <c r="N1511"/>
    </row>
    <row r="1512" spans="1:14" x14ac:dyDescent="0.25">
      <c r="A1512" s="47">
        <v>402657</v>
      </c>
      <c r="B1512" s="78">
        <v>45103</v>
      </c>
      <c r="C1512" s="47" t="s">
        <v>67</v>
      </c>
      <c r="D1512" s="49" t="s">
        <v>253</v>
      </c>
      <c r="E1512" s="47">
        <v>668871</v>
      </c>
      <c r="G1512" s="50" t="s">
        <v>89</v>
      </c>
      <c r="H1512" s="51">
        <v>162.65</v>
      </c>
      <c r="I1512" s="49">
        <v>48.79</v>
      </c>
      <c r="J1512" s="51">
        <v>5.49</v>
      </c>
      <c r="K1512" s="52">
        <f>Tabela6[[#This Row],[CONSUMO]]*Tabela6[[#This Row],[VALOR UNIT]]-Tabela6[[#This Row],[DESCONTO]]</f>
        <v>844.15850000000012</v>
      </c>
      <c r="L1512" s="53">
        <f>Tabela6[[#This Row],[CUSTO TOTAL]]/Tabela6[[#This Row],[CONSUMO]]</f>
        <v>5.1900307408545965</v>
      </c>
      <c r="M1512" s="50">
        <f>Tabela6[[#This Row],[KM ATUAL]]-E1453</f>
        <v>357404</v>
      </c>
      <c r="N1512" s="51">
        <f>Tabela6[[#This Row],[KM Rodados ]]/Tabela6[[#This Row],[CONSUMO]]</f>
        <v>2197.3808791884412</v>
      </c>
    </row>
    <row r="1513" spans="1:14" x14ac:dyDescent="0.25">
      <c r="A1513" s="47">
        <v>189405</v>
      </c>
      <c r="B1513" s="78">
        <v>45103</v>
      </c>
      <c r="C1513" s="47" t="s">
        <v>22</v>
      </c>
      <c r="D1513" s="49" t="s">
        <v>262</v>
      </c>
      <c r="E1513" s="47">
        <v>327913</v>
      </c>
      <c r="G1513" s="50" t="s">
        <v>89</v>
      </c>
      <c r="H1513" s="51">
        <v>122.59099999999999</v>
      </c>
      <c r="J1513" s="51">
        <v>4.8899999999999997</v>
      </c>
      <c r="K1513" s="74">
        <f>Tabela6[[#This Row],[CONSUMO]]*Tabela6[[#This Row],[VALOR UNIT]]-Tabela6[[#This Row],[DESCONTO]]</f>
        <v>599.46998999999994</v>
      </c>
      <c r="L1513" s="53">
        <f>Tabela6[[#This Row],[CUSTO TOTAL]]/Tabela6[[#This Row],[CONSUMO]]</f>
        <v>4.8899999999999997</v>
      </c>
      <c r="M1513" s="50">
        <f>Tabela6[[#This Row],[KM ATUAL]]-E1446</f>
        <v>198955</v>
      </c>
      <c r="N1513" s="51">
        <f>Tabela6[[#This Row],[KM Rodados ]]/Tabela6[[#This Row],[CONSUMO]]</f>
        <v>1622.91685360263</v>
      </c>
    </row>
    <row r="1514" spans="1:14" x14ac:dyDescent="0.25">
      <c r="A1514" s="47">
        <v>188822</v>
      </c>
      <c r="B1514" s="78">
        <v>45103</v>
      </c>
      <c r="C1514" s="47" t="s">
        <v>22</v>
      </c>
      <c r="D1514" s="49" t="s">
        <v>262</v>
      </c>
      <c r="E1514" s="47">
        <v>328414</v>
      </c>
      <c r="G1514" s="50" t="s">
        <v>89</v>
      </c>
      <c r="H1514" s="51">
        <v>135.77099999999999</v>
      </c>
      <c r="J1514" s="51">
        <v>4.8899999999999997</v>
      </c>
      <c r="K1514" s="74">
        <f>Tabela6[[#This Row],[CONSUMO]]*Tabela6[[#This Row],[VALOR UNIT]]-Tabela6[[#This Row],[DESCONTO]]</f>
        <v>663.92018999999993</v>
      </c>
      <c r="L1514" s="53">
        <f>Tabela6[[#This Row],[CUSTO TOTAL]]/Tabela6[[#This Row],[CONSUMO]]</f>
        <v>4.8899999999999997</v>
      </c>
      <c r="M1514" s="50">
        <f>Tabela6[[#This Row],[KM ATUAL]]-E1513</f>
        <v>501</v>
      </c>
      <c r="N1514" s="51">
        <f>Tabela6[[#This Row],[KM Rodados ]]/Tabela6[[#This Row],[CONSUMO]]</f>
        <v>3.6900369003690039</v>
      </c>
    </row>
    <row r="1515" spans="1:14" x14ac:dyDescent="0.25">
      <c r="A1515" s="47">
        <v>190211</v>
      </c>
      <c r="B1515" s="78">
        <v>45103</v>
      </c>
      <c r="C1515" s="47" t="s">
        <v>39</v>
      </c>
      <c r="D1515" s="49" t="s">
        <v>262</v>
      </c>
      <c r="E1515" s="47">
        <v>91012</v>
      </c>
      <c r="G1515" s="50" t="s">
        <v>89</v>
      </c>
      <c r="H1515" s="51">
        <v>78.570999999999998</v>
      </c>
      <c r="J1515" s="51">
        <v>4.8899999999999997</v>
      </c>
      <c r="K1515" s="52">
        <f>Tabela6[[#This Row],[CONSUMO]]*Tabela6[[#This Row],[VALOR UNIT]]-Tabela6[[#This Row],[DESCONTO]]</f>
        <v>384.21218999999996</v>
      </c>
      <c r="L1515" s="53">
        <f>Tabela6[[#This Row],[CUSTO TOTAL]]/Tabela6[[#This Row],[CONSUMO]]</f>
        <v>4.8899999999999997</v>
      </c>
      <c r="M1515" s="50">
        <f>Tabela6[[#This Row],[KM ATUAL]]-E1503</f>
        <v>-140387</v>
      </c>
      <c r="N1515" s="51">
        <f>Tabela6[[#This Row],[KM Rodados ]]/Tabela6[[#This Row],[CONSUMO]]</f>
        <v>-1786.7533822911762</v>
      </c>
    </row>
    <row r="1516" spans="1:14" x14ac:dyDescent="0.25">
      <c r="A1516" s="47">
        <v>308651</v>
      </c>
      <c r="B1516" s="78">
        <v>45103</v>
      </c>
      <c r="C1516" s="47" t="s">
        <v>203</v>
      </c>
      <c r="D1516" s="49" t="s">
        <v>276</v>
      </c>
      <c r="E1516" s="47">
        <v>98911</v>
      </c>
      <c r="G1516" s="50" t="s">
        <v>244</v>
      </c>
      <c r="H1516" s="51">
        <v>42.680999999999997</v>
      </c>
      <c r="J1516" s="51">
        <v>5.39</v>
      </c>
      <c r="K1516" s="51">
        <f>Tabela6[[#This Row],[CONSUMO]]*Tabela6[[#This Row],[VALOR UNIT]]-Tabela6[[#This Row],[DESCONTO]]</f>
        <v>230.05058999999997</v>
      </c>
      <c r="L1516" s="53">
        <f>Tabela6[[#This Row],[CUSTO TOTAL]]/Tabela6[[#This Row],[CONSUMO]]</f>
        <v>5.39</v>
      </c>
      <c r="M1516" s="50">
        <f>Tabela6[[#This Row],[KM ATUAL]]-E1465</f>
        <v>-7834</v>
      </c>
      <c r="N1516" s="51">
        <f>Tabela6[[#This Row],[KM Rodados ]]/Tabela6[[#This Row],[CONSUMO]]</f>
        <v>-183.54771443968042</v>
      </c>
    </row>
    <row r="1517" spans="1:14" x14ac:dyDescent="0.25">
      <c r="A1517" s="47">
        <v>308750</v>
      </c>
      <c r="B1517" s="78">
        <v>45103</v>
      </c>
      <c r="C1517" s="47" t="s">
        <v>203</v>
      </c>
      <c r="D1517" s="49" t="s">
        <v>276</v>
      </c>
      <c r="E1517" s="47">
        <v>99242</v>
      </c>
      <c r="G1517" s="50" t="s">
        <v>244</v>
      </c>
      <c r="H1517" s="51">
        <v>25.61</v>
      </c>
      <c r="J1517" s="51">
        <v>5.39</v>
      </c>
      <c r="K1517" s="51">
        <f>Tabela6[[#This Row],[CONSUMO]]*Tabela6[[#This Row],[VALOR UNIT]]-Tabela6[[#This Row],[DESCONTO]]</f>
        <v>138.03789999999998</v>
      </c>
      <c r="L1517" s="53">
        <f>Tabela6[[#This Row],[CUSTO TOTAL]]/Tabela6[[#This Row],[CONSUMO]]</f>
        <v>5.39</v>
      </c>
      <c r="M1517" s="50">
        <f>Tabela6[[#This Row],[KM ATUAL]]-E1514</f>
        <v>-229172</v>
      </c>
      <c r="N1517" s="51">
        <f>Tabela6[[#This Row],[KM Rodados ]]/Tabela6[[#This Row],[CONSUMO]]</f>
        <v>-8948.5357282311597</v>
      </c>
    </row>
    <row r="1518" spans="1:14" x14ac:dyDescent="0.25">
      <c r="A1518" s="47">
        <v>188780</v>
      </c>
      <c r="B1518" s="78">
        <v>45103</v>
      </c>
      <c r="C1518" s="47" t="s">
        <v>72</v>
      </c>
      <c r="D1518" s="49" t="s">
        <v>262</v>
      </c>
      <c r="E1518" s="47">
        <v>399472</v>
      </c>
      <c r="G1518" s="50" t="s">
        <v>89</v>
      </c>
      <c r="H1518" s="51">
        <v>31.228999999999999</v>
      </c>
      <c r="J1518" s="51">
        <v>4.8899999999999997</v>
      </c>
      <c r="K1518" s="51">
        <f>Tabela6[[#This Row],[CONSUMO]]*Tabela6[[#This Row],[VALOR UNIT]]-Tabela6[[#This Row],[DESCONTO]]</f>
        <v>152.70980999999998</v>
      </c>
      <c r="L1518" s="53">
        <f>Tabela6[[#This Row],[CUSTO TOTAL]]/Tabela6[[#This Row],[CONSUMO]]</f>
        <v>4.8899999999999997</v>
      </c>
      <c r="M1518" s="50">
        <f>Tabela6[[#This Row],[KM ATUAL]]-E1513</f>
        <v>71559</v>
      </c>
      <c r="N1518" s="51">
        <f>Tabela6[[#This Row],[KM Rodados ]]/Tabela6[[#This Row],[CONSUMO]]</f>
        <v>2291.4278395081496</v>
      </c>
    </row>
    <row r="1519" spans="1:14" x14ac:dyDescent="0.25">
      <c r="A1519" s="47">
        <v>1090073</v>
      </c>
      <c r="B1519" s="78">
        <v>45103</v>
      </c>
      <c r="C1519" s="47" t="s">
        <v>73</v>
      </c>
      <c r="D1519" s="49" t="s">
        <v>252</v>
      </c>
      <c r="E1519" s="47">
        <v>123832</v>
      </c>
      <c r="G1519" s="50" t="s">
        <v>241</v>
      </c>
      <c r="H1519" s="51">
        <v>19.937000000000001</v>
      </c>
      <c r="J1519" s="51">
        <v>3.09</v>
      </c>
      <c r="K1519" s="51">
        <f>Tabela6[[#This Row],[CONSUMO]]*Tabela6[[#This Row],[VALOR UNIT]]-Tabela6[[#This Row],[DESCONTO]]</f>
        <v>61.605330000000002</v>
      </c>
      <c r="L1519" s="53">
        <f>Tabela6[[#This Row],[CUSTO TOTAL]]/Tabela6[[#This Row],[CONSUMO]]</f>
        <v>3.09</v>
      </c>
      <c r="M1519" s="50"/>
      <c r="N1519"/>
    </row>
    <row r="1520" spans="1:14" x14ac:dyDescent="0.25">
      <c r="A1520" s="47">
        <v>1090073</v>
      </c>
      <c r="B1520" s="78">
        <v>45103</v>
      </c>
      <c r="C1520" s="47" t="s">
        <v>73</v>
      </c>
      <c r="D1520" s="49" t="s">
        <v>252</v>
      </c>
      <c r="E1520" s="47">
        <v>123832</v>
      </c>
      <c r="G1520" s="50" t="s">
        <v>89</v>
      </c>
      <c r="H1520" s="51">
        <v>200</v>
      </c>
      <c r="J1520" s="51">
        <v>4.75</v>
      </c>
      <c r="K1520" s="51">
        <f>Tabela6[[#This Row],[CONSUMO]]*Tabela6[[#This Row],[VALOR UNIT]]-Tabela6[[#This Row],[DESCONTO]]</f>
        <v>950</v>
      </c>
      <c r="L1520" s="53">
        <f>Tabela6[[#This Row],[CUSTO TOTAL]]/Tabela6[[#This Row],[CONSUMO]]</f>
        <v>4.75</v>
      </c>
      <c r="M1520" s="50">
        <f>Tabela6[[#This Row],[KM ATUAL]]-E1429</f>
        <v>-4958</v>
      </c>
      <c r="N1520" s="51">
        <f>Tabela6[[#This Row],[KM Rodados ]]/Tabela6[[#This Row],[CONSUMO]]</f>
        <v>-24.79</v>
      </c>
    </row>
    <row r="1521" spans="1:14" x14ac:dyDescent="0.25">
      <c r="A1521" s="47">
        <v>116181</v>
      </c>
      <c r="B1521" s="78">
        <v>45103</v>
      </c>
      <c r="C1521" s="47" t="s">
        <v>64</v>
      </c>
      <c r="D1521" s="49" t="s">
        <v>263</v>
      </c>
      <c r="E1521" s="47">
        <v>79375</v>
      </c>
      <c r="G1521" s="50" t="s">
        <v>89</v>
      </c>
      <c r="H1521" s="51">
        <v>140.80000000000001</v>
      </c>
      <c r="I1521" s="49">
        <v>14.08</v>
      </c>
      <c r="J1521" s="51">
        <v>4.83</v>
      </c>
      <c r="K1521" s="51">
        <f>Tabela6[[#This Row],[CONSUMO]]*Tabela6[[#This Row],[VALOR UNIT]]-Tabela6[[#This Row],[DESCONTO]]</f>
        <v>665.98400000000004</v>
      </c>
      <c r="L1521" s="53">
        <f>Tabela6[[#This Row],[CUSTO TOTAL]]/Tabela6[[#This Row],[CONSUMO]]</f>
        <v>4.7299999999999995</v>
      </c>
      <c r="M1521" s="50">
        <f>Tabela6[[#This Row],[KM ATUAL]]-E1496</f>
        <v>-67557</v>
      </c>
      <c r="N1521" s="51">
        <f>Tabela6[[#This Row],[KM Rodados ]]/Tabela6[[#This Row],[CONSUMO]]</f>
        <v>-479.80823863636363</v>
      </c>
    </row>
    <row r="1522" spans="1:14" x14ac:dyDescent="0.25">
      <c r="A1522" s="47">
        <v>190140</v>
      </c>
      <c r="B1522" s="78">
        <v>45103</v>
      </c>
      <c r="C1522" s="47" t="s">
        <v>21</v>
      </c>
      <c r="D1522" s="49" t="s">
        <v>262</v>
      </c>
      <c r="E1522" s="47">
        <v>144638</v>
      </c>
      <c r="G1522" s="50" t="s">
        <v>89</v>
      </c>
      <c r="H1522" s="51">
        <v>93.338999999999999</v>
      </c>
      <c r="J1522" s="51">
        <v>4.8899999999999997</v>
      </c>
      <c r="K1522" s="52">
        <f>Tabela6[[#This Row],[CONSUMO]]*Tabela6[[#This Row],[VALOR UNIT]]-Tabela6[[#This Row],[DESCONTO]]</f>
        <v>456.42770999999999</v>
      </c>
      <c r="L1522" s="53">
        <f>Tabela6[[#This Row],[CUSTO TOTAL]]/Tabela6[[#This Row],[CONSUMO]]</f>
        <v>4.8899999999999997</v>
      </c>
      <c r="M1522" s="50">
        <f>Tabela6[[#This Row],[KM ATUAL]]-E1492</f>
        <v>-254275</v>
      </c>
      <c r="N1522" s="51">
        <f>Tabela6[[#This Row],[KM Rodados ]]/Tabela6[[#This Row],[CONSUMO]]</f>
        <v>-2724.2096015599054</v>
      </c>
    </row>
    <row r="1523" spans="1:14" x14ac:dyDescent="0.25">
      <c r="A1523" s="47">
        <v>286213</v>
      </c>
      <c r="B1523" s="78">
        <v>45103</v>
      </c>
      <c r="C1523" s="47" t="s">
        <v>206</v>
      </c>
      <c r="D1523" s="49" t="s">
        <v>270</v>
      </c>
      <c r="E1523" s="47">
        <v>943837</v>
      </c>
      <c r="G1523" s="50" t="s">
        <v>89</v>
      </c>
      <c r="H1523" s="51">
        <v>483</v>
      </c>
      <c r="J1523" s="51">
        <v>4.79</v>
      </c>
      <c r="K1523" s="52">
        <f>Tabela6[[#This Row],[CONSUMO]]*Tabela6[[#This Row],[VALOR UNIT]]-Tabela6[[#This Row],[DESCONTO]]</f>
        <v>2313.5700000000002</v>
      </c>
      <c r="L1523" s="53">
        <f>Tabela6[[#This Row],[CUSTO TOTAL]]/Tabela6[[#This Row],[CONSUMO]]</f>
        <v>4.79</v>
      </c>
      <c r="M1523" s="50">
        <f>Tabela6[[#This Row],[KM ATUAL]]-E1439</f>
        <v>317427</v>
      </c>
      <c r="N1523" s="51">
        <f>Tabela6[[#This Row],[KM Rodados ]]/Tabela6[[#This Row],[CONSUMO]]</f>
        <v>657.19875776397521</v>
      </c>
    </row>
    <row r="1524" spans="1:14" x14ac:dyDescent="0.25">
      <c r="A1524" s="47">
        <v>402491</v>
      </c>
      <c r="B1524" s="78">
        <v>45103</v>
      </c>
      <c r="C1524" s="47" t="s">
        <v>12</v>
      </c>
      <c r="D1524" s="49" t="s">
        <v>253</v>
      </c>
      <c r="E1524" s="47">
        <v>314107</v>
      </c>
      <c r="G1524" s="50" t="s">
        <v>89</v>
      </c>
      <c r="H1524" s="51">
        <v>98.81</v>
      </c>
      <c r="I1524" s="49">
        <v>29.64</v>
      </c>
      <c r="J1524" s="51">
        <v>5.49</v>
      </c>
      <c r="K1524" s="51">
        <f>Tabela6[[#This Row],[CONSUMO]]*Tabela6[[#This Row],[VALOR UNIT]]-Tabela6[[#This Row],[DESCONTO]]</f>
        <v>512.82690000000002</v>
      </c>
      <c r="L1524" s="53">
        <f>Tabela6[[#This Row],[CUSTO TOTAL]]/Tabela6[[#This Row],[CONSUMO]]</f>
        <v>5.1900303612994634</v>
      </c>
      <c r="M1524" s="50">
        <f>Tabela6[[#This Row],[KM ATUAL]]-E1480</f>
        <v>-42765</v>
      </c>
      <c r="N1524" s="51">
        <f>Tabela6[[#This Row],[KM Rodados ]]/Tabela6[[#This Row],[CONSUMO]]</f>
        <v>-432.80032385386096</v>
      </c>
    </row>
    <row r="1525" spans="1:14" x14ac:dyDescent="0.25">
      <c r="A1525" s="47">
        <v>701347</v>
      </c>
      <c r="B1525" s="78">
        <v>45103</v>
      </c>
      <c r="C1525" s="119" t="s">
        <v>13</v>
      </c>
      <c r="D1525" s="49" t="s">
        <v>250</v>
      </c>
      <c r="E1525" s="119">
        <v>627854</v>
      </c>
      <c r="G1525" s="120" t="s">
        <v>89</v>
      </c>
      <c r="H1525" s="51">
        <v>100</v>
      </c>
      <c r="J1525" s="51">
        <v>4.99</v>
      </c>
      <c r="K1525" s="51">
        <f>Tabela6[[#This Row],[CONSUMO]]*Tabela6[[#This Row],[VALOR UNIT]]-Tabela6[[#This Row],[DESCONTO]]</f>
        <v>499</v>
      </c>
      <c r="L1525" s="53">
        <f>Tabela6[[#This Row],[CUSTO TOTAL]]/Tabela6[[#This Row],[CONSUMO]]</f>
        <v>4.99</v>
      </c>
      <c r="M1525" s="50">
        <f>Tabela6[[#This Row],[KM ATUAL]]-E1488</f>
        <v>19253</v>
      </c>
      <c r="N1525" s="51">
        <f>Tabela6[[#This Row],[KM Rodados ]]/Tabela6[[#This Row],[CONSUMO]]</f>
        <v>192.53</v>
      </c>
    </row>
    <row r="1526" spans="1:14" x14ac:dyDescent="0.25">
      <c r="A1526" s="47">
        <v>686289</v>
      </c>
      <c r="B1526" s="78">
        <v>45103</v>
      </c>
      <c r="C1526" s="119" t="s">
        <v>13</v>
      </c>
      <c r="D1526" s="49" t="s">
        <v>264</v>
      </c>
      <c r="E1526" s="119">
        <v>628173</v>
      </c>
      <c r="G1526" s="120" t="s">
        <v>89</v>
      </c>
      <c r="H1526" s="51">
        <v>65.498999999999995</v>
      </c>
      <c r="J1526" s="51">
        <v>5.08</v>
      </c>
      <c r="K1526" s="51">
        <f>Tabela6[[#This Row],[CONSUMO]]*Tabela6[[#This Row],[VALOR UNIT]]-Tabela6[[#This Row],[DESCONTO]]</f>
        <v>332.73491999999999</v>
      </c>
      <c r="L1526" s="53">
        <f>Tabela6[[#This Row],[CUSTO TOTAL]]/Tabela6[[#This Row],[CONSUMO]]</f>
        <v>5.08</v>
      </c>
      <c r="M1526" s="50">
        <f>Tabela6[[#This Row],[KM ATUAL]]-E1520</f>
        <v>504341</v>
      </c>
      <c r="N1526" s="51">
        <f>Tabela6[[#This Row],[KM Rodados ]]/Tabela6[[#This Row],[CONSUMO]]</f>
        <v>7699.9801523687393</v>
      </c>
    </row>
    <row r="1527" spans="1:14" x14ac:dyDescent="0.25">
      <c r="A1527" s="47">
        <v>209321</v>
      </c>
      <c r="B1527" s="78">
        <v>45103</v>
      </c>
      <c r="C1527" s="47" t="s">
        <v>40</v>
      </c>
      <c r="D1527" s="49" t="s">
        <v>268</v>
      </c>
      <c r="E1527" s="47">
        <v>146134</v>
      </c>
      <c r="G1527" s="50" t="s">
        <v>244</v>
      </c>
      <c r="H1527" s="51">
        <v>46.48</v>
      </c>
      <c r="J1527" s="51">
        <v>5.19</v>
      </c>
      <c r="K1527" s="52">
        <f>Tabela6[[#This Row],[CONSUMO]]*Tabela6[[#This Row],[VALOR UNIT]]-Tabela6[[#This Row],[DESCONTO]]</f>
        <v>241.2312</v>
      </c>
      <c r="L1527" s="53">
        <f>Tabela6[[#This Row],[CUSTO TOTAL]]/Tabela6[[#This Row],[CONSUMO]]</f>
        <v>5.19</v>
      </c>
      <c r="M1527" s="50">
        <f>Tabela6[[#This Row],[KM ATUAL]]-E1417</f>
        <v>-221998</v>
      </c>
      <c r="N1527" s="51">
        <f>Tabela6[[#This Row],[KM Rodados ]]/Tabela6[[#This Row],[CONSUMO]]</f>
        <v>-4776.204819277109</v>
      </c>
    </row>
    <row r="1528" spans="1:14" x14ac:dyDescent="0.25">
      <c r="A1528" s="47" t="s">
        <v>314</v>
      </c>
      <c r="B1528" s="78">
        <v>45104</v>
      </c>
      <c r="C1528" s="47" t="s">
        <v>43</v>
      </c>
      <c r="E1528" s="47">
        <v>131593</v>
      </c>
      <c r="G1528" s="50" t="s">
        <v>89</v>
      </c>
      <c r="H1528" s="51">
        <v>36.299999999999997</v>
      </c>
      <c r="K1528" s="52">
        <f>Tabela6[[#This Row],[CONSUMO]]*Tabela6[[#This Row],[VALOR UNIT]]-Tabela6[[#This Row],[DESCONTO]]</f>
        <v>0</v>
      </c>
      <c r="L1528" s="53">
        <f>Tabela6[[#This Row],[CUSTO TOTAL]]/Tabela6[[#This Row],[CONSUMO]]</f>
        <v>0</v>
      </c>
      <c r="M1528" s="50">
        <f>Tabela6[[#This Row],[KM ATUAL]]-E1514</f>
        <v>-196821</v>
      </c>
      <c r="N1528" s="72">
        <f>Tabela6[[#This Row],[KM Rodados ]]/Tabela6[[#This Row],[CONSUMO]]</f>
        <v>-5422.0661157024797</v>
      </c>
    </row>
    <row r="1529" spans="1:14" x14ac:dyDescent="0.25">
      <c r="A1529" s="47">
        <v>625129</v>
      </c>
      <c r="B1529" s="78">
        <v>45104</v>
      </c>
      <c r="C1529" s="47" t="s">
        <v>43</v>
      </c>
      <c r="D1529" s="49" t="s">
        <v>271</v>
      </c>
      <c r="E1529" s="47">
        <v>131741</v>
      </c>
      <c r="G1529" s="50" t="s">
        <v>89</v>
      </c>
      <c r="H1529" s="51">
        <v>20.82</v>
      </c>
      <c r="J1529" s="51">
        <v>4.79</v>
      </c>
      <c r="K1529" s="52">
        <f>Tabela6[[#This Row],[CONSUMO]]*Tabela6[[#This Row],[VALOR UNIT]]-Tabela6[[#This Row],[DESCONTO]]</f>
        <v>99.727800000000002</v>
      </c>
      <c r="L1529" s="53">
        <f>Tabela6[[#This Row],[CUSTO TOTAL]]/Tabela6[[#This Row],[CONSUMO]]</f>
        <v>4.79</v>
      </c>
      <c r="M1529" s="50">
        <f>Tabela6[[#This Row],[KM ATUAL]]-E1528</f>
        <v>148</v>
      </c>
      <c r="N1529" s="72">
        <f>Tabela6[[#This Row],[KM Rodados ]]/Tabela6[[#This Row],[CONSUMO]]</f>
        <v>7.1085494716618634</v>
      </c>
    </row>
    <row r="1530" spans="1:14" x14ac:dyDescent="0.25">
      <c r="A1530" s="47">
        <v>190371</v>
      </c>
      <c r="B1530" s="78">
        <v>45104</v>
      </c>
      <c r="C1530" s="47" t="s">
        <v>42</v>
      </c>
      <c r="D1530" s="49" t="s">
        <v>262</v>
      </c>
      <c r="E1530" s="47">
        <v>366280</v>
      </c>
      <c r="G1530" s="50" t="s">
        <v>89</v>
      </c>
      <c r="H1530" s="51">
        <v>107.681</v>
      </c>
      <c r="J1530" s="51">
        <v>4.8899999999999997</v>
      </c>
      <c r="K1530" s="52">
        <f>Tabela6[[#This Row],[CONSUMO]]*Tabela6[[#This Row],[VALOR UNIT]]-Tabela6[[#This Row],[DESCONTO]]</f>
        <v>526.56008999999995</v>
      </c>
      <c r="L1530" s="53">
        <f>Tabela6[[#This Row],[CUSTO TOTAL]]/Tabela6[[#This Row],[CONSUMO]]</f>
        <v>4.8899999999999997</v>
      </c>
      <c r="M1530" s="50">
        <f>Tabela6[[#This Row],[KM ATUAL]]-E1484</f>
        <v>235968</v>
      </c>
      <c r="N1530" s="51">
        <f>Tabela6[[#This Row],[KM Rodados ]]/Tabela6[[#This Row],[CONSUMO]]</f>
        <v>2191.3615215311893</v>
      </c>
    </row>
    <row r="1531" spans="1:14" x14ac:dyDescent="0.25">
      <c r="A1531" s="47">
        <v>210137</v>
      </c>
      <c r="B1531" s="78">
        <v>45104</v>
      </c>
      <c r="C1531" s="47" t="s">
        <v>70</v>
      </c>
      <c r="D1531" s="49" t="s">
        <v>268</v>
      </c>
      <c r="E1531" s="47">
        <v>210125</v>
      </c>
      <c r="G1531" s="50" t="s">
        <v>241</v>
      </c>
      <c r="H1531" s="51">
        <v>67</v>
      </c>
      <c r="J1531" s="51">
        <v>2.99</v>
      </c>
      <c r="K1531" s="51">
        <f>Tabela6[[#This Row],[CONSUMO]]*Tabela6[[#This Row],[VALOR UNIT]]-Tabela6[[#This Row],[DESCONTO]]</f>
        <v>200.33</v>
      </c>
      <c r="L1531" s="53">
        <f>Tabela6[[#This Row],[CUSTO TOTAL]]/Tabela6[[#This Row],[CONSUMO]]</f>
        <v>2.99</v>
      </c>
      <c r="M1531" s="50"/>
      <c r="N1531"/>
    </row>
    <row r="1532" spans="1:14" x14ac:dyDescent="0.25">
      <c r="A1532" s="47">
        <v>210136</v>
      </c>
      <c r="B1532" s="78">
        <v>45104</v>
      </c>
      <c r="C1532" s="47" t="s">
        <v>70</v>
      </c>
      <c r="D1532" s="49" t="s">
        <v>268</v>
      </c>
      <c r="E1532" s="47">
        <v>210125</v>
      </c>
      <c r="G1532" s="50" t="s">
        <v>89</v>
      </c>
      <c r="H1532" s="51">
        <v>662.33</v>
      </c>
      <c r="J1532" s="51">
        <v>4.79</v>
      </c>
      <c r="K1532" s="51">
        <f>Tabela6[[#This Row],[CONSUMO]]*Tabela6[[#This Row],[VALOR UNIT]]-Tabela6[[#This Row],[DESCONTO]]</f>
        <v>3172.5607</v>
      </c>
      <c r="L1532" s="53">
        <f>Tabela6[[#This Row],[CUSTO TOTAL]]/Tabela6[[#This Row],[CONSUMO]]</f>
        <v>4.79</v>
      </c>
      <c r="M1532" s="50">
        <f>Tabela6[[#This Row],[KM ATUAL]]-E1478</f>
        <v>-188455</v>
      </c>
      <c r="N1532" s="51">
        <f>Tabela6[[#This Row],[KM Rodados ]]/Tabela6[[#This Row],[CONSUMO]]</f>
        <v>-284.53338969999845</v>
      </c>
    </row>
    <row r="1533" spans="1:14" x14ac:dyDescent="0.25">
      <c r="A1533" s="47" t="s">
        <v>314</v>
      </c>
      <c r="B1533" s="78">
        <v>45104</v>
      </c>
      <c r="C1533" s="47" t="s">
        <v>203</v>
      </c>
      <c r="E1533" s="47">
        <v>99822</v>
      </c>
      <c r="F1533" s="50"/>
      <c r="G1533" s="50" t="s">
        <v>244</v>
      </c>
      <c r="H1533" s="51">
        <v>40.520000000000003</v>
      </c>
      <c r="I1533" s="51"/>
      <c r="K1533" s="53">
        <f>Tabela6[[#This Row],[CONSUMO]]*Tabela6[[#This Row],[VALOR UNIT]]-Tabela6[[#This Row],[DESCONTO]]</f>
        <v>0</v>
      </c>
      <c r="L1533" s="53">
        <f>Tabela6[[#This Row],[CUSTO TOTAL]]/Tabela6[[#This Row],[CONSUMO]]</f>
        <v>0</v>
      </c>
      <c r="M1533" s="50">
        <f>Tabela6[[#This Row],[KM ATUAL]]-E1190</f>
        <v>-560010</v>
      </c>
      <c r="N1533" s="51">
        <f>Tabela6[[#This Row],[KM Rodados ]]/Tabela6[[#This Row],[CONSUMO]]</f>
        <v>-13820.582428430404</v>
      </c>
    </row>
    <row r="1534" spans="1:14" x14ac:dyDescent="0.25">
      <c r="A1534" s="47">
        <v>4559</v>
      </c>
      <c r="B1534" s="78">
        <v>45104</v>
      </c>
      <c r="C1534" s="47" t="s">
        <v>73</v>
      </c>
      <c r="D1534" s="49" t="s">
        <v>305</v>
      </c>
      <c r="E1534" s="47">
        <v>123927</v>
      </c>
      <c r="G1534" s="50" t="s">
        <v>89</v>
      </c>
      <c r="H1534" s="51">
        <v>22.4</v>
      </c>
      <c r="J1534" s="51">
        <v>4.82</v>
      </c>
      <c r="K1534" s="52">
        <f>Tabela6[[#This Row],[CONSUMO]]*Tabela6[[#This Row],[VALOR UNIT]]-Tabela6[[#This Row],[DESCONTO]]</f>
        <v>107.968</v>
      </c>
      <c r="L1534" s="53">
        <f>Tabela6[[#This Row],[CUSTO TOTAL]]/Tabela6[[#This Row],[CONSUMO]]</f>
        <v>4.82</v>
      </c>
      <c r="M1534" s="50">
        <f>Tabela6[[#This Row],[KM ATUAL]]-E1530</f>
        <v>-242353</v>
      </c>
      <c r="N1534" s="51">
        <f>Tabela6[[#This Row],[KM Rodados ]]/Tabela6[[#This Row],[CONSUMO]]</f>
        <v>-10819.330357142859</v>
      </c>
    </row>
    <row r="1535" spans="1:14" x14ac:dyDescent="0.25">
      <c r="A1535" s="47">
        <v>210116</v>
      </c>
      <c r="B1535" s="78">
        <v>45104</v>
      </c>
      <c r="C1535" s="47" t="s">
        <v>71</v>
      </c>
      <c r="D1535" s="49" t="s">
        <v>268</v>
      </c>
      <c r="E1535" s="47">
        <v>108610</v>
      </c>
      <c r="G1535" s="50" t="s">
        <v>241</v>
      </c>
      <c r="H1535" s="51">
        <v>51.59</v>
      </c>
      <c r="J1535" s="51">
        <v>2.99</v>
      </c>
      <c r="K1535" s="51">
        <f>Tabela6[[#This Row],[CONSUMO]]*Tabela6[[#This Row],[VALOR UNIT]]-Tabela6[[#This Row],[DESCONTO]]</f>
        <v>154.25410000000002</v>
      </c>
      <c r="L1535" s="53">
        <f>Tabela6[[#This Row],[CUSTO TOTAL]]/Tabela6[[#This Row],[CONSUMO]]</f>
        <v>2.99</v>
      </c>
      <c r="M1535" s="50"/>
      <c r="N1535"/>
    </row>
    <row r="1536" spans="1:14" x14ac:dyDescent="0.25">
      <c r="A1536" s="47">
        <v>210115</v>
      </c>
      <c r="B1536" s="78">
        <v>45104</v>
      </c>
      <c r="C1536" s="49" t="s">
        <v>71</v>
      </c>
      <c r="D1536" s="49" t="s">
        <v>268</v>
      </c>
      <c r="E1536" s="47">
        <v>108610</v>
      </c>
      <c r="F1536" s="49" t="s">
        <v>89</v>
      </c>
      <c r="G1536" s="50" t="s">
        <v>89</v>
      </c>
      <c r="H1536" s="51">
        <v>600</v>
      </c>
      <c r="J1536" s="51">
        <v>4.79</v>
      </c>
      <c r="K1536" s="51">
        <f>Tabela6[[#This Row],[CONSUMO]]*Tabela6[[#This Row],[VALOR UNIT]]-Tabela6[[#This Row],[DESCONTO]]</f>
        <v>2874</v>
      </c>
      <c r="L1536" s="53">
        <f>Tabela6[[#This Row],[CUSTO TOTAL]]/Tabela6[[#This Row],[CONSUMO]]</f>
        <v>4.79</v>
      </c>
      <c r="M1536" s="50">
        <f>Tabela6[[#This Row],[KM ATUAL]]-E1472</f>
        <v>-146934</v>
      </c>
      <c r="N1536" s="51">
        <f>Tabela6[[#This Row],[KM Rodados ]]/Tabela6[[#This Row],[CONSUMO]]</f>
        <v>-244.89</v>
      </c>
    </row>
    <row r="1537" spans="1:14" x14ac:dyDescent="0.25">
      <c r="A1537" s="47">
        <v>686718</v>
      </c>
      <c r="B1537" s="78">
        <v>45104</v>
      </c>
      <c r="C1537" s="47" t="s">
        <v>21</v>
      </c>
      <c r="D1537" s="49" t="s">
        <v>264</v>
      </c>
      <c r="E1537" s="47">
        <v>145103</v>
      </c>
      <c r="G1537" s="50" t="s">
        <v>89</v>
      </c>
      <c r="H1537" s="51">
        <v>111.23399999999999</v>
      </c>
      <c r="J1537" s="51">
        <v>4.8899999999999997</v>
      </c>
      <c r="K1537" s="52">
        <f>Tabela6[[#This Row],[CONSUMO]]*Tabela6[[#This Row],[VALOR UNIT]]-Tabela6[[#This Row],[DESCONTO]]</f>
        <v>543.93425999999999</v>
      </c>
      <c r="L1537" s="53">
        <f>Tabela6[[#This Row],[CUSTO TOTAL]]/Tabela6[[#This Row],[CONSUMO]]</f>
        <v>4.8900000000000006</v>
      </c>
      <c r="M1537" s="50">
        <f>Tabela6[[#This Row],[KM ATUAL]]-E1517</f>
        <v>45861</v>
      </c>
      <c r="N1537" s="51">
        <f>Tabela6[[#This Row],[KM Rodados ]]/Tabela6[[#This Row],[CONSUMO]]</f>
        <v>412.29300393764498</v>
      </c>
    </row>
    <row r="1538" spans="1:14" x14ac:dyDescent="0.25">
      <c r="A1538" s="47">
        <v>308833</v>
      </c>
      <c r="B1538" s="78">
        <v>45104</v>
      </c>
      <c r="C1538" s="47" t="s">
        <v>41</v>
      </c>
      <c r="D1538" s="49" t="s">
        <v>276</v>
      </c>
      <c r="E1538" s="47">
        <v>664105</v>
      </c>
      <c r="G1538" s="50" t="s">
        <v>89</v>
      </c>
      <c r="H1538" s="51">
        <v>188.2</v>
      </c>
      <c r="J1538" s="51">
        <v>4.8899999999999997</v>
      </c>
      <c r="K1538" s="52">
        <f>Tabela6[[#This Row],[CONSUMO]]*Tabela6[[#This Row],[VALOR UNIT]]-Tabela6[[#This Row],[DESCONTO]]</f>
        <v>920.29799999999989</v>
      </c>
      <c r="L1538" s="53">
        <f>Tabela6[[#This Row],[CUSTO TOTAL]]/Tabela6[[#This Row],[CONSUMO]]</f>
        <v>4.8899999999999997</v>
      </c>
      <c r="M1538" s="50">
        <f>Tabela6[[#This Row],[KM ATUAL]]-E1464</f>
        <v>266091</v>
      </c>
      <c r="N1538" s="51">
        <f>Tabela6[[#This Row],[KM Rodados ]]/Tabela6[[#This Row],[CONSUMO]]</f>
        <v>1413.8735387885229</v>
      </c>
    </row>
    <row r="1539" spans="1:14" x14ac:dyDescent="0.25">
      <c r="A1539" s="47">
        <v>403114</v>
      </c>
      <c r="B1539" s="78">
        <v>45104</v>
      </c>
      <c r="C1539" s="47" t="s">
        <v>11</v>
      </c>
      <c r="D1539" s="49" t="s">
        <v>253</v>
      </c>
      <c r="E1539" s="47">
        <v>395053</v>
      </c>
      <c r="G1539" s="50" t="s">
        <v>89</v>
      </c>
      <c r="H1539" s="51">
        <v>106.34</v>
      </c>
      <c r="I1539" s="49">
        <v>31.9</v>
      </c>
      <c r="J1539" s="51">
        <v>5.49</v>
      </c>
      <c r="K1539" s="51">
        <f>Tabela6[[#This Row],[CONSUMO]]*Tabela6[[#This Row],[VALOR UNIT]]-Tabela6[[#This Row],[DESCONTO]]</f>
        <v>551.90660000000003</v>
      </c>
      <c r="L1539" s="53">
        <f>Tabela6[[#This Row],[CUSTO TOTAL]]/Tabela6[[#This Row],[CONSUMO]]</f>
        <v>5.1900188075982694</v>
      </c>
      <c r="M1539" s="50">
        <f>Tabela6[[#This Row],[KM ATUAL]]-E1472</f>
        <v>139509</v>
      </c>
      <c r="N1539" s="51">
        <f>Tabela6[[#This Row],[KM Rodados ]]/Tabela6[[#This Row],[CONSUMO]]</f>
        <v>1311.9146135038554</v>
      </c>
    </row>
    <row r="1540" spans="1:14" x14ac:dyDescent="0.25">
      <c r="A1540" s="47">
        <v>308980</v>
      </c>
      <c r="B1540" s="78">
        <v>45104</v>
      </c>
      <c r="C1540" s="47" t="s">
        <v>206</v>
      </c>
      <c r="D1540" s="49" t="s">
        <v>276</v>
      </c>
      <c r="E1540" s="47">
        <v>944173</v>
      </c>
      <c r="G1540" s="50" t="s">
        <v>241</v>
      </c>
      <c r="H1540" s="51">
        <v>40.005000000000003</v>
      </c>
      <c r="J1540" s="51">
        <v>3.69</v>
      </c>
      <c r="K1540" s="51">
        <f>Tabela6[[#This Row],[CONSUMO]]*Tabela6[[#This Row],[VALOR UNIT]]-Tabela6[[#This Row],[DESCONTO]]</f>
        <v>147.61845</v>
      </c>
      <c r="L1540" s="53">
        <f>Tabela6[[#This Row],[CUSTO TOTAL]]/Tabela6[[#This Row],[CONSUMO]]</f>
        <v>3.6899999999999995</v>
      </c>
      <c r="M1540" s="50"/>
      <c r="N1540"/>
    </row>
    <row r="1541" spans="1:14" x14ac:dyDescent="0.25">
      <c r="A1541" s="47">
        <v>544402</v>
      </c>
      <c r="B1541" s="78">
        <v>45104</v>
      </c>
      <c r="C1541" s="47" t="s">
        <v>16</v>
      </c>
      <c r="D1541" s="49" t="s">
        <v>255</v>
      </c>
      <c r="E1541" s="47">
        <v>298162</v>
      </c>
      <c r="G1541" s="50" t="s">
        <v>89</v>
      </c>
      <c r="H1541" s="51">
        <v>118.75</v>
      </c>
      <c r="J1541" s="51">
        <v>5.32</v>
      </c>
      <c r="K1541" s="52">
        <f>Tabela6[[#This Row],[CONSUMO]]*Tabela6[[#This Row],[VALOR UNIT]]-Tabela6[[#This Row],[DESCONTO]]</f>
        <v>631.75</v>
      </c>
      <c r="L1541" s="53">
        <f>Tabela6[[#This Row],[CUSTO TOTAL]]/Tabela6[[#This Row],[CONSUMO]]</f>
        <v>5.32</v>
      </c>
      <c r="M1541" s="50">
        <f>Tabela6[[#This Row],[KM ATUAL]]-E1286</f>
        <v>71714</v>
      </c>
      <c r="N1541" s="51">
        <f>Tabela6[[#This Row],[KM Rodados ]]/Tabela6[[#This Row],[CONSUMO]]</f>
        <v>603.90736842105264</v>
      </c>
    </row>
    <row r="1542" spans="1:14" x14ac:dyDescent="0.25">
      <c r="A1542" s="47">
        <v>361093</v>
      </c>
      <c r="B1542" s="78">
        <v>45104</v>
      </c>
      <c r="C1542" s="47" t="s">
        <v>19</v>
      </c>
      <c r="D1542" s="49" t="s">
        <v>237</v>
      </c>
      <c r="E1542" s="47">
        <v>312636</v>
      </c>
      <c r="G1542" s="50" t="s">
        <v>89</v>
      </c>
      <c r="H1542" s="51">
        <v>142.00200000000001</v>
      </c>
      <c r="I1542" s="49">
        <v>126.38</v>
      </c>
      <c r="J1542" s="51">
        <v>5.71</v>
      </c>
      <c r="K1542" s="51">
        <f>Tabela6[[#This Row],[CONSUMO]]*Tabela6[[#This Row],[VALOR UNIT]]-Tabela6[[#This Row],[DESCONTO]]</f>
        <v>684.4514200000001</v>
      </c>
      <c r="L1542" s="53">
        <f>Tabela6[[#This Row],[CUSTO TOTAL]]/Tabela6[[#This Row],[CONSUMO]]</f>
        <v>4.820012535034718</v>
      </c>
      <c r="M1542" s="50">
        <f>Tabela6[[#This Row],[KM ATUAL]]-E1505</f>
        <v>-86579</v>
      </c>
      <c r="N1542" s="51">
        <f>Tabela6[[#This Row],[KM Rodados ]]/Tabela6[[#This Row],[CONSUMO]]</f>
        <v>-609.70268024394022</v>
      </c>
    </row>
    <row r="1543" spans="1:14" x14ac:dyDescent="0.25">
      <c r="A1543" s="47" t="s">
        <v>314</v>
      </c>
      <c r="B1543" s="78">
        <v>45104</v>
      </c>
      <c r="C1543" s="49" t="s">
        <v>40</v>
      </c>
      <c r="E1543" s="47">
        <v>147890</v>
      </c>
      <c r="F1543" s="50"/>
      <c r="G1543" s="50" t="s">
        <v>244</v>
      </c>
      <c r="H1543" s="51">
        <v>41.2</v>
      </c>
      <c r="I1543" s="51"/>
      <c r="K1543" s="52">
        <f>Tabela6[[#This Row],[CONSUMO]]*Tabela6[[#This Row],[VALOR UNIT]]-Tabela6[[#This Row],[DESCONTO]]</f>
        <v>0</v>
      </c>
      <c r="L1543" s="53">
        <f>Tabela6[[#This Row],[CUSTO TOTAL]]/Tabela6[[#This Row],[CONSUMO]]</f>
        <v>0</v>
      </c>
      <c r="M1543" s="50">
        <f>Tabela6[[#This Row],[KM ATUAL]]-E1542</f>
        <v>-164746</v>
      </c>
      <c r="N1543" s="51">
        <f>Tabela6[[#This Row],[KM Rodados ]]/Tabela6[[#This Row],[CONSUMO]]</f>
        <v>-3998.6893203883492</v>
      </c>
    </row>
    <row r="1544" spans="1:14" x14ac:dyDescent="0.25">
      <c r="A1544" s="47">
        <v>309106</v>
      </c>
      <c r="B1544" s="78">
        <v>45105</v>
      </c>
      <c r="C1544" s="47" t="s">
        <v>68</v>
      </c>
      <c r="D1544" s="49" t="s">
        <v>276</v>
      </c>
      <c r="E1544" s="47">
        <v>894601</v>
      </c>
      <c r="G1544" s="50" t="s">
        <v>89</v>
      </c>
      <c r="H1544" s="51">
        <v>486.57900000000001</v>
      </c>
      <c r="J1544" s="51">
        <v>4.99</v>
      </c>
      <c r="K1544" s="51">
        <f>Tabela6[[#This Row],[CONSUMO]]*Tabela6[[#This Row],[VALOR UNIT]]-Tabela6[[#This Row],[DESCONTO]]</f>
        <v>2428.0292100000001</v>
      </c>
      <c r="L1544" s="53">
        <f>Tabela6[[#This Row],[CUSTO TOTAL]]/Tabela6[[#This Row],[CONSUMO]]</f>
        <v>4.99</v>
      </c>
      <c r="M1544" s="50">
        <f>Tabela6[[#This Row],[KM ATUAL]]-E1492</f>
        <v>495688</v>
      </c>
      <c r="N1544" s="51">
        <f>Tabela6[[#This Row],[KM Rodados ]]/Tabela6[[#This Row],[CONSUMO]]</f>
        <v>1018.7204955413201</v>
      </c>
    </row>
    <row r="1545" spans="1:14" x14ac:dyDescent="0.25">
      <c r="A1545" s="47">
        <v>698124</v>
      </c>
      <c r="B1545" s="78">
        <v>45105</v>
      </c>
      <c r="C1545" s="47" t="s">
        <v>43</v>
      </c>
      <c r="D1545" s="49" t="s">
        <v>233</v>
      </c>
      <c r="E1545" s="47">
        <v>131935</v>
      </c>
      <c r="G1545" s="50" t="s">
        <v>89</v>
      </c>
      <c r="H1545" s="51">
        <v>22.8</v>
      </c>
      <c r="J1545" s="51">
        <v>5.09</v>
      </c>
      <c r="K1545" s="52">
        <f>Tabela6[[#This Row],[CONSUMO]]*Tabela6[[#This Row],[VALOR UNIT]]-Tabela6[[#This Row],[DESCONTO]]</f>
        <v>116.05200000000001</v>
      </c>
      <c r="L1545" s="53">
        <f>Tabela6[[#This Row],[CUSTO TOTAL]]/Tabela6[[#This Row],[CONSUMO]]</f>
        <v>5.09</v>
      </c>
      <c r="M1545" s="50">
        <f>Tabela6[[#This Row],[KM ATUAL]]-E1532</f>
        <v>-78190</v>
      </c>
      <c r="N1545" s="51">
        <f>Tabela6[[#This Row],[KM Rodados ]]/Tabela6[[#This Row],[CONSUMO]]</f>
        <v>-3429.3859649122805</v>
      </c>
    </row>
    <row r="1546" spans="1:14" x14ac:dyDescent="0.25">
      <c r="A1546" s="47" t="s">
        <v>314</v>
      </c>
      <c r="B1546" s="78">
        <v>45105</v>
      </c>
      <c r="C1546" s="47" t="s">
        <v>43</v>
      </c>
      <c r="E1546" s="47">
        <v>132025</v>
      </c>
      <c r="G1546" s="50" t="s">
        <v>89</v>
      </c>
      <c r="H1546" s="51">
        <v>32.1</v>
      </c>
      <c r="K1546" s="52">
        <f>Tabela6[[#This Row],[CONSUMO]]*Tabela6[[#This Row],[VALOR UNIT]]-Tabela6[[#This Row],[DESCONTO]]</f>
        <v>0</v>
      </c>
      <c r="L1546" s="53">
        <f>Tabela6[[#This Row],[CUSTO TOTAL]]/Tabela6[[#This Row],[CONSUMO]]</f>
        <v>0</v>
      </c>
      <c r="M1546" s="50">
        <f>Tabela6[[#This Row],[KM ATUAL]]-E1545</f>
        <v>90</v>
      </c>
      <c r="N1546" s="51">
        <f>Tabela6[[#This Row],[KM Rodados ]]/Tabela6[[#This Row],[CONSUMO]]</f>
        <v>2.8037383177570092</v>
      </c>
    </row>
    <row r="1547" spans="1:14" x14ac:dyDescent="0.25">
      <c r="A1547" s="80">
        <v>286809</v>
      </c>
      <c r="B1547" s="78">
        <v>45105</v>
      </c>
      <c r="C1547" s="47" t="s">
        <v>43</v>
      </c>
      <c r="D1547" s="49" t="s">
        <v>270</v>
      </c>
      <c r="E1547" s="47">
        <v>132310</v>
      </c>
      <c r="G1547" s="50" t="s">
        <v>89</v>
      </c>
      <c r="H1547" s="51">
        <v>40.479999999999997</v>
      </c>
      <c r="J1547" s="51">
        <v>4.79</v>
      </c>
      <c r="K1547" s="52">
        <f>Tabela6[[#This Row],[CONSUMO]]*Tabela6[[#This Row],[VALOR UNIT]]-Tabela6[[#This Row],[DESCONTO]]</f>
        <v>193.89919999999998</v>
      </c>
      <c r="L1547" s="53">
        <f>Tabela6[[#This Row],[CUSTO TOTAL]]/Tabela6[[#This Row],[CONSUMO]]</f>
        <v>4.79</v>
      </c>
      <c r="M1547" s="50">
        <f>Tabela6[[#This Row],[KM ATUAL]]-E1546</f>
        <v>285</v>
      </c>
      <c r="N1547" s="51">
        <f>Tabela6[[#This Row],[KM Rodados ]]/Tabela6[[#This Row],[CONSUMO]]</f>
        <v>7.0405138339920956</v>
      </c>
    </row>
    <row r="1548" spans="1:14" x14ac:dyDescent="0.25">
      <c r="A1548" s="47">
        <v>625724</v>
      </c>
      <c r="B1548" s="78">
        <v>45105</v>
      </c>
      <c r="C1548" s="47" t="s">
        <v>9</v>
      </c>
      <c r="D1548" s="49" t="s">
        <v>271</v>
      </c>
      <c r="E1548" s="47">
        <v>609483</v>
      </c>
      <c r="G1548" s="50" t="s">
        <v>89</v>
      </c>
      <c r="H1548" s="51">
        <v>110</v>
      </c>
      <c r="J1548" s="51">
        <v>4.79</v>
      </c>
      <c r="K1548" s="51">
        <f>Tabela6[[#This Row],[CONSUMO]]*Tabela6[[#This Row],[VALOR UNIT]]-Tabela6[[#This Row],[DESCONTO]]</f>
        <v>526.9</v>
      </c>
      <c r="L1548" s="53">
        <f>Tabela6[[#This Row],[CUSTO TOTAL]]/Tabela6[[#This Row],[CONSUMO]]</f>
        <v>4.79</v>
      </c>
      <c r="M1548" s="50">
        <f>Tabela6[[#This Row],[KM ATUAL]]-E1523</f>
        <v>-334354</v>
      </c>
      <c r="N1548" s="51">
        <f>Tabela6[[#This Row],[KM Rodados ]]/Tabela6[[#This Row],[CONSUMO]]</f>
        <v>-3039.5818181818181</v>
      </c>
    </row>
    <row r="1549" spans="1:14" x14ac:dyDescent="0.25">
      <c r="A1549" s="47">
        <v>286847</v>
      </c>
      <c r="B1549" s="78">
        <v>45105</v>
      </c>
      <c r="C1549" s="47" t="s">
        <v>222</v>
      </c>
      <c r="D1549" s="49" t="s">
        <v>270</v>
      </c>
      <c r="E1549" s="47">
        <v>483894</v>
      </c>
      <c r="G1549" s="50" t="s">
        <v>89</v>
      </c>
      <c r="H1549" s="51">
        <v>337</v>
      </c>
      <c r="J1549" s="51">
        <v>4.79</v>
      </c>
      <c r="K1549" s="51">
        <f>Tabela6[[#This Row],[CONSUMO]]*Tabela6[[#This Row],[VALOR UNIT]]-Tabela6[[#This Row],[DESCONTO]]</f>
        <v>1614.23</v>
      </c>
      <c r="L1549" s="53">
        <f>Tabela6[[#This Row],[CUSTO TOTAL]]/Tabela6[[#This Row],[CONSUMO]]</f>
        <v>4.79</v>
      </c>
      <c r="M1549" s="50">
        <f>Tabela6[[#This Row],[KM ATUAL]]-E1520</f>
        <v>360062</v>
      </c>
      <c r="N1549" s="51">
        <f>Tabela6[[#This Row],[KM Rodados ]]/Tabela6[[#This Row],[CONSUMO]]</f>
        <v>1068.4332344213649</v>
      </c>
    </row>
    <row r="1550" spans="1:14" x14ac:dyDescent="0.25">
      <c r="A1550" s="47">
        <v>190506</v>
      </c>
      <c r="B1550" s="78">
        <v>45105</v>
      </c>
      <c r="C1550" s="47" t="s">
        <v>39</v>
      </c>
      <c r="D1550" s="49" t="s">
        <v>262</v>
      </c>
      <c r="E1550" s="47">
        <v>91465</v>
      </c>
      <c r="G1550" s="50" t="s">
        <v>89</v>
      </c>
      <c r="H1550" s="51">
        <v>78.45</v>
      </c>
      <c r="J1550" s="51">
        <v>4.8899999999999997</v>
      </c>
      <c r="K1550" s="52">
        <f>Tabela6[[#This Row],[CONSUMO]]*Tabela6[[#This Row],[VALOR UNIT]]-Tabela6[[#This Row],[DESCONTO]]</f>
        <v>383.62049999999999</v>
      </c>
      <c r="L1550" s="53">
        <f>Tabela6[[#This Row],[CUSTO TOTAL]]/Tabela6[[#This Row],[CONSUMO]]</f>
        <v>4.8899999999999997</v>
      </c>
      <c r="M1550" s="50">
        <f>Tabela6[[#This Row],[KM ATUAL]]-E1520</f>
        <v>-32367</v>
      </c>
      <c r="N1550" s="51">
        <f>Tabela6[[#This Row],[KM Rodados ]]/Tabela6[[#This Row],[CONSUMO]]</f>
        <v>-412.58126195028677</v>
      </c>
    </row>
    <row r="1551" spans="1:14" x14ac:dyDescent="0.25">
      <c r="A1551" s="47">
        <v>190613</v>
      </c>
      <c r="B1551" s="78">
        <v>45105</v>
      </c>
      <c r="C1551" s="47" t="s">
        <v>39</v>
      </c>
      <c r="D1551" s="49" t="s">
        <v>262</v>
      </c>
      <c r="E1551" s="47">
        <v>91630</v>
      </c>
      <c r="G1551" s="50" t="s">
        <v>89</v>
      </c>
      <c r="H1551" s="51">
        <v>27.699000000000002</v>
      </c>
      <c r="J1551" s="51">
        <v>4.8899999999999997</v>
      </c>
      <c r="K1551" s="51">
        <f>Tabela6[[#This Row],[CONSUMO]]*Tabela6[[#This Row],[VALOR UNIT]]-Tabela6[[#This Row],[DESCONTO]]</f>
        <v>135.44810999999999</v>
      </c>
      <c r="L1551" s="53">
        <f>Tabela6[[#This Row],[CUSTO TOTAL]]/Tabela6[[#This Row],[CONSUMO]]</f>
        <v>4.8899999999999988</v>
      </c>
      <c r="M1551" s="50">
        <f>Tabela6[[#This Row],[KM ATUAL]]-E1546</f>
        <v>-40395</v>
      </c>
      <c r="N1551" s="51">
        <f>Tabela6[[#This Row],[KM Rodados ]]/Tabela6[[#This Row],[CONSUMO]]</f>
        <v>-1458.355897324813</v>
      </c>
    </row>
    <row r="1552" spans="1:14" x14ac:dyDescent="0.25">
      <c r="A1552" s="47" t="s">
        <v>314</v>
      </c>
      <c r="B1552" s="78">
        <v>45105</v>
      </c>
      <c r="C1552" s="47" t="s">
        <v>73</v>
      </c>
      <c r="E1552" s="47">
        <v>124426</v>
      </c>
      <c r="G1552" s="50" t="s">
        <v>89</v>
      </c>
      <c r="H1552" s="51">
        <v>116.3</v>
      </c>
      <c r="K1552" s="52">
        <f>Tabela6[[#This Row],[CONSUMO]]*Tabela6[[#This Row],[VALOR UNIT]]-Tabela6[[#This Row],[DESCONTO]]</f>
        <v>0</v>
      </c>
      <c r="L1552" s="53">
        <f>Tabela6[[#This Row],[CUSTO TOTAL]]/Tabela6[[#This Row],[CONSUMO]]</f>
        <v>0</v>
      </c>
      <c r="M1552" s="50">
        <f>Tabela6[[#This Row],[KM ATUAL]]-E1523</f>
        <v>-819411</v>
      </c>
      <c r="N1552" s="51">
        <f>Tabela6[[#This Row],[KM Rodados ]]/Tabela6[[#This Row],[CONSUMO]]</f>
        <v>-7045.6663800515907</v>
      </c>
    </row>
    <row r="1553" spans="1:14" x14ac:dyDescent="0.25">
      <c r="A1553" s="47">
        <v>117282</v>
      </c>
      <c r="B1553" s="78">
        <v>45105</v>
      </c>
      <c r="C1553" s="47" t="s">
        <v>64</v>
      </c>
      <c r="D1553" s="49" t="s">
        <v>263</v>
      </c>
      <c r="E1553" s="47">
        <v>79894</v>
      </c>
      <c r="G1553" s="50" t="s">
        <v>89</v>
      </c>
      <c r="H1553" s="51">
        <v>154.04</v>
      </c>
      <c r="I1553" s="49">
        <v>15.41</v>
      </c>
      <c r="J1553" s="51">
        <v>4.83</v>
      </c>
      <c r="K1553" s="51">
        <f>Tabela6[[#This Row],[CONSUMO]]*Tabela6[[#This Row],[VALOR UNIT]]-Tabela6[[#This Row],[DESCONTO]]</f>
        <v>728.60320000000002</v>
      </c>
      <c r="L1553" s="53">
        <f>Tabela6[[#This Row],[CUSTO TOTAL]]/Tabela6[[#This Row],[CONSUMO]]</f>
        <v>4.7299610490781623</v>
      </c>
      <c r="M1553" s="50">
        <f>Tabela6[[#This Row],[KM ATUAL]]-E1524</f>
        <v>-234213</v>
      </c>
      <c r="N1553" s="51">
        <f>Tabela6[[#This Row],[KM Rodados ]]/Tabela6[[#This Row],[CONSUMO]]</f>
        <v>-1520.4687094261233</v>
      </c>
    </row>
    <row r="1554" spans="1:14" x14ac:dyDescent="0.25">
      <c r="A1554" s="47">
        <v>544588</v>
      </c>
      <c r="B1554" s="78">
        <v>45105</v>
      </c>
      <c r="C1554" s="47" t="s">
        <v>18</v>
      </c>
      <c r="D1554" s="49" t="s">
        <v>255</v>
      </c>
      <c r="E1554" s="47">
        <v>312775</v>
      </c>
      <c r="G1554" s="50" t="s">
        <v>89</v>
      </c>
      <c r="H1554" s="51">
        <v>83.611000000000004</v>
      </c>
      <c r="J1554" s="51">
        <v>5.32</v>
      </c>
      <c r="K1554" s="51">
        <f>Tabela6[[#This Row],[CONSUMO]]*Tabela6[[#This Row],[VALOR UNIT]]-Tabela6[[#This Row],[DESCONTO]]</f>
        <v>444.81052000000005</v>
      </c>
      <c r="L1554" s="53">
        <f>Tabela6[[#This Row],[CUSTO TOTAL]]/Tabela6[[#This Row],[CONSUMO]]</f>
        <v>5.32</v>
      </c>
      <c r="M1554" s="50">
        <f>Tabela6[[#This Row],[KM ATUAL]]-E1277</f>
        <v>186950</v>
      </c>
      <c r="N1554" s="51">
        <f>Tabela6[[#This Row],[KM Rodados ]]/Tabela6[[#This Row],[CONSUMO]]</f>
        <v>2235.9498152157012</v>
      </c>
    </row>
    <row r="1555" spans="1:14" x14ac:dyDescent="0.25">
      <c r="A1555" s="47">
        <v>404363</v>
      </c>
      <c r="B1555" s="78">
        <v>45105</v>
      </c>
      <c r="C1555" s="47" t="s">
        <v>19</v>
      </c>
      <c r="D1555" s="49" t="s">
        <v>253</v>
      </c>
      <c r="E1555" s="47">
        <v>312963</v>
      </c>
      <c r="G1555" s="50" t="s">
        <v>89</v>
      </c>
      <c r="H1555" s="51">
        <v>101.62</v>
      </c>
      <c r="I1555" s="49">
        <v>30.49</v>
      </c>
      <c r="J1555" s="51">
        <v>5.49</v>
      </c>
      <c r="K1555" s="51">
        <f>Tabela6[[#This Row],[CONSUMO]]*Tabela6[[#This Row],[VALOR UNIT]]-Tabela6[[#This Row],[DESCONTO]]</f>
        <v>527.40380000000005</v>
      </c>
      <c r="L1555" s="53">
        <f>Tabela6[[#This Row],[CUSTO TOTAL]]/Tabela6[[#This Row],[CONSUMO]]</f>
        <v>5.18996063766975</v>
      </c>
      <c r="M1555" s="50">
        <f>Tabela6[[#This Row],[KM ATUAL]]-E1550</f>
        <v>221498</v>
      </c>
      <c r="N1555" s="51">
        <f>Tabela6[[#This Row],[KM Rodados ]]/Tabela6[[#This Row],[CONSUMO]]</f>
        <v>2179.6693564259003</v>
      </c>
    </row>
    <row r="1556" spans="1:14" x14ac:dyDescent="0.25">
      <c r="A1556" s="47">
        <v>404363</v>
      </c>
      <c r="B1556" s="78">
        <v>45105</v>
      </c>
      <c r="C1556" s="47" t="s">
        <v>19</v>
      </c>
      <c r="D1556" s="49" t="s">
        <v>253</v>
      </c>
      <c r="E1556" s="47">
        <v>313263</v>
      </c>
      <c r="G1556" s="50" t="s">
        <v>241</v>
      </c>
      <c r="H1556" s="51">
        <v>20.111000000000001</v>
      </c>
      <c r="J1556" s="51">
        <v>3.49</v>
      </c>
      <c r="K1556" s="51">
        <f>Tabela6[[#This Row],[CONSUMO]]*Tabela6[[#This Row],[VALOR UNIT]]-Tabela6[[#This Row],[DESCONTO]]</f>
        <v>70.187390000000008</v>
      </c>
      <c r="L1556" s="53">
        <f>Tabela6[[#This Row],[CUSTO TOTAL]]/Tabela6[[#This Row],[CONSUMO]]</f>
        <v>3.49</v>
      </c>
      <c r="M1556" s="50"/>
      <c r="N1556"/>
    </row>
    <row r="1557" spans="1:14" x14ac:dyDescent="0.25">
      <c r="A1557" s="47">
        <v>190528</v>
      </c>
      <c r="B1557" s="78">
        <v>45105</v>
      </c>
      <c r="C1557" s="47" t="s">
        <v>20</v>
      </c>
      <c r="D1557" s="49" t="s">
        <v>262</v>
      </c>
      <c r="E1557" s="47">
        <v>256543</v>
      </c>
      <c r="G1557" s="50" t="s">
        <v>89</v>
      </c>
      <c r="H1557" s="51">
        <v>69.37</v>
      </c>
      <c r="J1557" s="51">
        <v>4.8899999999999997</v>
      </c>
      <c r="K1557" s="52">
        <f>Tabela6[[#This Row],[CONSUMO]]*Tabela6[[#This Row],[VALOR UNIT]]-Tabela6[[#This Row],[DESCONTO]]</f>
        <v>339.21929999999998</v>
      </c>
      <c r="L1557" s="53">
        <f>Tabela6[[#This Row],[CUSTO TOTAL]]/Tabela6[[#This Row],[CONSUMO]]</f>
        <v>4.8899999999999997</v>
      </c>
      <c r="M1557" s="50">
        <f>Tabela6[[#This Row],[KM ATUAL]]-E1503</f>
        <v>25144</v>
      </c>
      <c r="N1557" s="51">
        <f>Tabela6[[#This Row],[KM Rodados ]]/Tabela6[[#This Row],[CONSUMO]]</f>
        <v>362.46215943491421</v>
      </c>
    </row>
    <row r="1558" spans="1:14" x14ac:dyDescent="0.25">
      <c r="A1558" s="47">
        <v>625657</v>
      </c>
      <c r="B1558" s="78">
        <v>45105</v>
      </c>
      <c r="C1558" s="47" t="s">
        <v>74</v>
      </c>
      <c r="D1558" s="49" t="s">
        <v>271</v>
      </c>
      <c r="E1558" s="47">
        <v>61050</v>
      </c>
      <c r="G1558" s="50" t="s">
        <v>89</v>
      </c>
      <c r="H1558" s="51">
        <v>72.400000000000006</v>
      </c>
      <c r="J1558" s="51">
        <v>4.79</v>
      </c>
      <c r="K1558" s="51">
        <f>Tabela6[[#This Row],[CONSUMO]]*Tabela6[[#This Row],[VALOR UNIT]]-Tabela6[[#This Row],[DESCONTO]]</f>
        <v>346.79600000000005</v>
      </c>
      <c r="L1558" s="53">
        <f>Tabela6[[#This Row],[CUSTO TOTAL]]/Tabela6[[#This Row],[CONSUMO]]</f>
        <v>4.79</v>
      </c>
      <c r="M1558" s="50">
        <f>Tabela6[[#This Row],[KM ATUAL]]-E1505</f>
        <v>-338165</v>
      </c>
      <c r="N1558" s="51">
        <f>Tabela6[[#This Row],[KM Rodados ]]/Tabela6[[#This Row],[CONSUMO]]</f>
        <v>-4670.7872928176794</v>
      </c>
    </row>
    <row r="1559" spans="1:14" x14ac:dyDescent="0.25">
      <c r="A1559" s="47" t="s">
        <v>314</v>
      </c>
      <c r="B1559" s="78">
        <v>45106</v>
      </c>
      <c r="C1559" s="47" t="s">
        <v>43</v>
      </c>
      <c r="E1559" s="47">
        <v>132531</v>
      </c>
      <c r="G1559" s="50" t="s">
        <v>89</v>
      </c>
      <c r="H1559" s="51">
        <v>25.6</v>
      </c>
      <c r="K1559" s="52">
        <f>Tabela6[[#This Row],[CONSUMO]]*Tabela6[[#This Row],[VALOR UNIT]]-Tabela6[[#This Row],[DESCONTO]]</f>
        <v>0</v>
      </c>
      <c r="L1559" s="53">
        <f>Tabela6[[#This Row],[CUSTO TOTAL]]/Tabela6[[#This Row],[CONSUMO]]</f>
        <v>0</v>
      </c>
      <c r="M1559" s="50">
        <f>Tabela6[[#This Row],[KM ATUAL]]-E1541</f>
        <v>-165631</v>
      </c>
      <c r="N1559" s="51">
        <f>Tabela6[[#This Row],[KM Rodados ]]/Tabela6[[#This Row],[CONSUMO]]</f>
        <v>-6469.9609375</v>
      </c>
    </row>
    <row r="1560" spans="1:14" x14ac:dyDescent="0.25">
      <c r="A1560" s="47">
        <v>190663</v>
      </c>
      <c r="B1560" s="78">
        <v>45106</v>
      </c>
      <c r="C1560" s="47" t="s">
        <v>21</v>
      </c>
      <c r="D1560" s="49" t="s">
        <v>262</v>
      </c>
      <c r="E1560" s="47">
        <v>145469</v>
      </c>
      <c r="G1560" s="50" t="s">
        <v>89</v>
      </c>
      <c r="H1560" s="51">
        <v>79.760999999999996</v>
      </c>
      <c r="J1560" s="51">
        <v>4.8899999999999997</v>
      </c>
      <c r="K1560" s="52">
        <f>Tabela6[[#This Row],[CONSUMO]]*Tabela6[[#This Row],[VALOR UNIT]]-Tabela6[[#This Row],[DESCONTO]]</f>
        <v>390.03128999999996</v>
      </c>
      <c r="L1560" s="53">
        <f>Tabela6[[#This Row],[CUSTO TOTAL]]/Tabela6[[#This Row],[CONSUMO]]</f>
        <v>4.8899999999999997</v>
      </c>
      <c r="M1560" s="50">
        <f>Tabela6[[#This Row],[KM ATUAL]]-E1538</f>
        <v>-518636</v>
      </c>
      <c r="N1560" s="51">
        <f>Tabela6[[#This Row],[KM Rodados ]]/Tabela6[[#This Row],[CONSUMO]]</f>
        <v>-6502.3758478454383</v>
      </c>
    </row>
    <row r="1561" spans="1:14" x14ac:dyDescent="0.25">
      <c r="A1561" s="47">
        <v>405002</v>
      </c>
      <c r="B1561" s="78">
        <v>45106</v>
      </c>
      <c r="C1561" s="47" t="s">
        <v>41</v>
      </c>
      <c r="D1561" s="49" t="s">
        <v>253</v>
      </c>
      <c r="E1561" s="47">
        <v>664698</v>
      </c>
      <c r="G1561" s="50" t="s">
        <v>89</v>
      </c>
      <c r="H1561" s="51">
        <v>141.25</v>
      </c>
      <c r="I1561" s="49">
        <v>42.3</v>
      </c>
      <c r="J1561" s="51">
        <v>5.49</v>
      </c>
      <c r="K1561" s="52">
        <f>Tabela6[[#This Row],[CONSUMO]]*Tabela6[[#This Row],[VALOR UNIT]]-Tabela6[[#This Row],[DESCONTO]]</f>
        <v>733.16250000000002</v>
      </c>
      <c r="L1561" s="53">
        <f>Tabela6[[#This Row],[CUSTO TOTAL]]/Tabela6[[#This Row],[CONSUMO]]</f>
        <v>5.1905309734513274</v>
      </c>
      <c r="M1561" s="50">
        <f>Tabela6[[#This Row],[KM ATUAL]]-E1542</f>
        <v>352062</v>
      </c>
      <c r="N1561" s="51">
        <f>Tabela6[[#This Row],[KM Rodados ]]/Tabela6[[#This Row],[CONSUMO]]</f>
        <v>2492.4743362831859</v>
      </c>
    </row>
    <row r="1562" spans="1:14" x14ac:dyDescent="0.25">
      <c r="A1562" s="47">
        <v>703817</v>
      </c>
      <c r="B1562" s="78">
        <v>45106</v>
      </c>
      <c r="C1562" s="119" t="s">
        <v>13</v>
      </c>
      <c r="D1562" s="49" t="s">
        <v>250</v>
      </c>
      <c r="E1562" s="119">
        <v>628869</v>
      </c>
      <c r="G1562" s="120" t="s">
        <v>89</v>
      </c>
      <c r="H1562" s="51">
        <v>154</v>
      </c>
      <c r="J1562" s="51">
        <v>4.99</v>
      </c>
      <c r="K1562" s="51">
        <f>Tabela6[[#This Row],[CONSUMO]]*Tabela6[[#This Row],[VALOR UNIT]]-Tabela6[[#This Row],[DESCONTO]]</f>
        <v>768.46</v>
      </c>
      <c r="L1562" s="53">
        <f>Tabela6[[#This Row],[CUSTO TOTAL]]/Tabela6[[#This Row],[CONSUMO]]</f>
        <v>4.99</v>
      </c>
      <c r="M1562" s="50">
        <f>Tabela6[[#This Row],[KM ATUAL]]-E1528</f>
        <v>497276</v>
      </c>
      <c r="N1562" s="51">
        <f>Tabela6[[#This Row],[KM Rodados ]]/Tabela6[[#This Row],[CONSUMO]]</f>
        <v>3229.0649350649351</v>
      </c>
    </row>
    <row r="1563" spans="1:14" x14ac:dyDescent="0.25">
      <c r="A1563" s="47">
        <v>354505</v>
      </c>
      <c r="B1563" s="78">
        <v>45106</v>
      </c>
      <c r="C1563" s="47" t="s">
        <v>15</v>
      </c>
      <c r="D1563" s="49" t="s">
        <v>271</v>
      </c>
      <c r="E1563" s="47">
        <v>370770</v>
      </c>
      <c r="G1563" s="50" t="s">
        <v>89</v>
      </c>
      <c r="H1563" s="51">
        <v>114</v>
      </c>
      <c r="J1563" s="51">
        <v>4.79</v>
      </c>
      <c r="K1563" s="52">
        <f>Tabela6[[#This Row],[CONSUMO]]*Tabela6[[#This Row],[VALOR UNIT]]-Tabela6[[#This Row],[DESCONTO]]</f>
        <v>546.06000000000006</v>
      </c>
      <c r="L1563" s="53">
        <f>Tabela6[[#This Row],[CUSTO TOTAL]]/Tabela6[[#This Row],[CONSUMO]]</f>
        <v>4.7900000000000009</v>
      </c>
      <c r="M1563" s="50">
        <f>Tabela6[[#This Row],[KM ATUAL]]-E1511</f>
        <v>-298101</v>
      </c>
      <c r="N1563" s="51">
        <f>Tabela6[[#This Row],[KM Rodados ]]/Tabela6[[#This Row],[CONSUMO]]</f>
        <v>-2614.9210526315787</v>
      </c>
    </row>
    <row r="1564" spans="1:14" x14ac:dyDescent="0.25">
      <c r="A1564" s="47">
        <v>544923</v>
      </c>
      <c r="B1564" s="78">
        <v>45106</v>
      </c>
      <c r="C1564" s="47" t="s">
        <v>38</v>
      </c>
      <c r="D1564" s="49" t="s">
        <v>255</v>
      </c>
      <c r="E1564" s="47">
        <v>132182</v>
      </c>
      <c r="G1564" s="50" t="s">
        <v>244</v>
      </c>
      <c r="H1564" s="51">
        <v>51.451000000000001</v>
      </c>
      <c r="J1564" s="51">
        <v>5.53</v>
      </c>
      <c r="K1564" s="52">
        <f>Tabela6[[#This Row],[CONSUMO]]*Tabela6[[#This Row],[VALOR UNIT]]-Tabela6[[#This Row],[DESCONTO]]</f>
        <v>284.52403000000004</v>
      </c>
      <c r="L1564" s="53">
        <f>Tabela6[[#This Row],[CUSTO TOTAL]]/Tabela6[[#This Row],[CONSUMO]]</f>
        <v>5.5300000000000011</v>
      </c>
      <c r="M1564" s="50">
        <f>Tabela6[[#This Row],[KM ATUAL]]-E1563</f>
        <v>-238588</v>
      </c>
      <c r="N1564" s="51">
        <f>Tabela6[[#This Row],[KM Rodados ]]/Tabela6[[#This Row],[CONSUMO]]</f>
        <v>-4637.1887815591535</v>
      </c>
    </row>
    <row r="1565" spans="1:14" x14ac:dyDescent="0.25">
      <c r="A1565" s="47">
        <v>190830</v>
      </c>
      <c r="B1565" s="78">
        <v>45106</v>
      </c>
      <c r="C1565" s="47" t="s">
        <v>23</v>
      </c>
      <c r="D1565" s="49" t="s">
        <v>262</v>
      </c>
      <c r="E1565" s="47">
        <v>231970</v>
      </c>
      <c r="G1565" s="50" t="s">
        <v>89</v>
      </c>
      <c r="H1565" s="51">
        <v>125.58</v>
      </c>
      <c r="J1565" s="51">
        <v>4.8899999999999997</v>
      </c>
      <c r="K1565" s="51">
        <f>Tabela6[[#This Row],[CONSUMO]]*Tabela6[[#This Row],[VALOR UNIT]]-Tabela6[[#This Row],[DESCONTO]]</f>
        <v>614.08619999999996</v>
      </c>
      <c r="L1565" s="53">
        <f>Tabela6[[#This Row],[CUSTO TOTAL]]/Tabela6[[#This Row],[CONSUMO]]</f>
        <v>4.8899999999999997</v>
      </c>
      <c r="M1565" s="50">
        <f>Tabela6[[#This Row],[KM ATUAL]]-E1510</f>
        <v>-251128</v>
      </c>
      <c r="N1565" s="51">
        <f>Tabela6[[#This Row],[KM Rodados ]]/Tabela6[[#This Row],[CONSUMO]]</f>
        <v>-1999.7451823538781</v>
      </c>
    </row>
    <row r="1566" spans="1:14" x14ac:dyDescent="0.25">
      <c r="A1566" s="47" t="s">
        <v>314</v>
      </c>
      <c r="B1566" s="78">
        <v>45106</v>
      </c>
      <c r="C1566" s="47" t="s">
        <v>74</v>
      </c>
      <c r="E1566" s="47">
        <v>61546</v>
      </c>
      <c r="F1566" s="50"/>
      <c r="G1566" s="50" t="s">
        <v>89</v>
      </c>
      <c r="H1566" s="51">
        <v>63.23</v>
      </c>
      <c r="I1566" s="51"/>
      <c r="K1566" s="53">
        <f>Tabela6[[#This Row],[CONSUMO]]*Tabela6[[#This Row],[VALOR UNIT]]-Tabela6[[#This Row],[DESCONTO]]</f>
        <v>0</v>
      </c>
      <c r="L1566" s="53">
        <f>Tabela6[[#This Row],[CUSTO TOTAL]]/Tabela6[[#This Row],[CONSUMO]]</f>
        <v>0</v>
      </c>
      <c r="M1566" s="50">
        <f>Tabela6[[#This Row],[KM ATUAL]]-E1556</f>
        <v>-251717</v>
      </c>
      <c r="N1566" s="50">
        <f>Tabela6[[#This Row],[KM Rodados ]]/Tabela6[[#This Row],[CONSUMO]]</f>
        <v>-3980.9742210975805</v>
      </c>
    </row>
    <row r="1567" spans="1:14" x14ac:dyDescent="0.25">
      <c r="A1567" s="47">
        <v>190924</v>
      </c>
      <c r="B1567" s="78">
        <v>45107</v>
      </c>
      <c r="C1567" s="47" t="s">
        <v>68</v>
      </c>
      <c r="D1567" s="49" t="s">
        <v>262</v>
      </c>
      <c r="E1567" s="47">
        <v>895380</v>
      </c>
      <c r="G1567" s="50" t="s">
        <v>89</v>
      </c>
      <c r="H1567" s="51">
        <v>336.36</v>
      </c>
      <c r="J1567" s="51">
        <v>4.8899999999999997</v>
      </c>
      <c r="K1567" s="51">
        <f>Tabela6[[#This Row],[CONSUMO]]*Tabela6[[#This Row],[VALOR UNIT]]-Tabela6[[#This Row],[DESCONTO]]</f>
        <v>1644.8003999999999</v>
      </c>
      <c r="L1567" s="53">
        <f>Tabela6[[#This Row],[CUSTO TOTAL]]/Tabela6[[#This Row],[CONSUMO]]</f>
        <v>4.8899999999999997</v>
      </c>
      <c r="M1567" s="50">
        <f>Tabela6[[#This Row],[KM ATUAL]]-E1547</f>
        <v>763070</v>
      </c>
      <c r="N1567" s="51">
        <f>Tabela6[[#This Row],[KM Rodados ]]/Tabela6[[#This Row],[CONSUMO]]</f>
        <v>2268.6110120109406</v>
      </c>
    </row>
    <row r="1568" spans="1:14" x14ac:dyDescent="0.25">
      <c r="A1568" s="47">
        <v>190289</v>
      </c>
      <c r="B1568" s="78">
        <v>45107</v>
      </c>
      <c r="C1568" s="47" t="s">
        <v>43</v>
      </c>
      <c r="D1568" s="49" t="s">
        <v>262</v>
      </c>
      <c r="E1568" s="47">
        <v>132580</v>
      </c>
      <c r="G1568" s="50" t="s">
        <v>89</v>
      </c>
      <c r="H1568" s="51">
        <v>8.9</v>
      </c>
      <c r="J1568" s="51">
        <v>4.8899999999999997</v>
      </c>
      <c r="K1568" s="52">
        <f>Tabela6[[#This Row],[CONSUMO]]*Tabela6[[#This Row],[VALOR UNIT]]-Tabela6[[#This Row],[DESCONTO]]</f>
        <v>43.521000000000001</v>
      </c>
      <c r="L1568" s="53">
        <f>Tabela6[[#This Row],[CUSTO TOTAL]]/Tabela6[[#This Row],[CONSUMO]]</f>
        <v>4.8899999999999997</v>
      </c>
      <c r="M1568" s="50">
        <f>Tabela6[[#This Row],[KM ATUAL]]-E1565</f>
        <v>-99390</v>
      </c>
      <c r="N1568" s="51">
        <f>Tabela6[[#This Row],[KM Rodados ]]/Tabela6[[#This Row],[CONSUMO]]</f>
        <v>-11167.415730337078</v>
      </c>
    </row>
    <row r="1569" spans="1:26" ht="16.149999999999999" customHeight="1" x14ac:dyDescent="0.25">
      <c r="A1569" s="47">
        <v>405886</v>
      </c>
      <c r="B1569" s="78">
        <v>45107</v>
      </c>
      <c r="C1569" s="47" t="s">
        <v>43</v>
      </c>
      <c r="D1569" s="49" t="s">
        <v>253</v>
      </c>
      <c r="E1569" s="47">
        <v>132653</v>
      </c>
      <c r="G1569" s="50" t="s">
        <v>89</v>
      </c>
      <c r="H1569" s="51">
        <v>20.5</v>
      </c>
      <c r="J1569" s="51">
        <v>5.19</v>
      </c>
      <c r="K1569" s="52">
        <f>Tabela6[[#This Row],[CONSUMO]]*Tabela6[[#This Row],[VALOR UNIT]]-Tabela6[[#This Row],[DESCONTO]]</f>
        <v>106.39500000000001</v>
      </c>
      <c r="L1569" s="53">
        <f>Tabela6[[#This Row],[CUSTO TOTAL]]/Tabela6[[#This Row],[CONSUMO]]</f>
        <v>5.19</v>
      </c>
      <c r="M1569" s="50">
        <f>Tabela6[[#This Row],[KM ATUAL]]-E1568</f>
        <v>73</v>
      </c>
      <c r="N1569" s="51">
        <f>Tabela6[[#This Row],[KM Rodados ]]/Tabela6[[#This Row],[CONSUMO]]</f>
        <v>3.5609756097560976</v>
      </c>
    </row>
    <row r="1570" spans="1:26" ht="14.45" customHeight="1" x14ac:dyDescent="0.25">
      <c r="A1570" s="47">
        <v>405984</v>
      </c>
      <c r="B1570" s="78">
        <v>45107</v>
      </c>
      <c r="C1570" s="47" t="s">
        <v>8</v>
      </c>
      <c r="D1570" s="49" t="s">
        <v>253</v>
      </c>
      <c r="E1570" s="47">
        <v>875373</v>
      </c>
      <c r="G1570" s="50" t="s">
        <v>89</v>
      </c>
      <c r="H1570" s="51">
        <v>113.01</v>
      </c>
      <c r="J1570" s="51">
        <v>5.19</v>
      </c>
      <c r="K1570" s="52">
        <f>Tabela6[[#This Row],[CONSUMO]]*Tabela6[[#This Row],[VALOR UNIT]]-Tabela6[[#This Row],[DESCONTO]]</f>
        <v>586.52190000000007</v>
      </c>
      <c r="L1570" s="53">
        <f>Tabela6[[#This Row],[CUSTO TOTAL]]/Tabela6[[#This Row],[CONSUMO]]</f>
        <v>5.19</v>
      </c>
      <c r="M1570" s="50">
        <f>Tabela6[[#This Row],[KM ATUAL]]-E1432</f>
        <v>207680</v>
      </c>
      <c r="N1570" s="51">
        <f>Tabela6[[#This Row],[KM Rodados ]]/Tabela6[[#This Row],[CONSUMO]]</f>
        <v>1837.7134766834793</v>
      </c>
    </row>
    <row r="1571" spans="1:26" ht="14.45" customHeight="1" x14ac:dyDescent="0.25">
      <c r="A1571" s="47">
        <v>287414</v>
      </c>
      <c r="B1571" s="78">
        <v>45107</v>
      </c>
      <c r="C1571" s="47" t="s">
        <v>222</v>
      </c>
      <c r="D1571" s="49" t="s">
        <v>270</v>
      </c>
      <c r="E1571" s="47">
        <v>484687</v>
      </c>
      <c r="G1571" s="50" t="s">
        <v>89</v>
      </c>
      <c r="H1571" s="51">
        <v>312</v>
      </c>
      <c r="J1571" s="51">
        <v>4.79</v>
      </c>
      <c r="K1571" s="51">
        <f>Tabela6[[#This Row],[CONSUMO]]*Tabela6[[#This Row],[VALOR UNIT]]-Tabela6[[#This Row],[DESCONTO]]</f>
        <v>1494.48</v>
      </c>
      <c r="L1571" s="53">
        <f>Tabela6[[#This Row],[CUSTO TOTAL]]/Tabela6[[#This Row],[CONSUMO]]</f>
        <v>4.79</v>
      </c>
      <c r="M1571" s="50">
        <f>Tabela6[[#This Row],[KM ATUAL]]-E1551</f>
        <v>393057</v>
      </c>
      <c r="N1571" s="51">
        <f>Tabela6[[#This Row],[KM Rodados ]]/Tabela6[[#This Row],[CONSUMO]]</f>
        <v>1259.7980769230769</v>
      </c>
    </row>
    <row r="1572" spans="1:26" ht="14.45" customHeight="1" x14ac:dyDescent="0.25">
      <c r="A1572" s="47">
        <v>190918</v>
      </c>
      <c r="B1572" s="78">
        <v>45107</v>
      </c>
      <c r="C1572" s="47" t="s">
        <v>67</v>
      </c>
      <c r="D1572" s="49" t="s">
        <v>262</v>
      </c>
      <c r="E1572" s="47">
        <v>669445</v>
      </c>
      <c r="G1572" s="50" t="s">
        <v>89</v>
      </c>
      <c r="H1572" s="51">
        <v>155.661</v>
      </c>
      <c r="J1572" s="51">
        <v>4.8899999999999997</v>
      </c>
      <c r="K1572" s="51">
        <f>Tabela6[[#This Row],[CONSUMO]]*Tabela6[[#This Row],[VALOR UNIT]]-Tabela6[[#This Row],[DESCONTO]]</f>
        <v>761.18228999999997</v>
      </c>
      <c r="L1572" s="53">
        <f>Tabela6[[#This Row],[CUSTO TOTAL]]/Tabela6[[#This Row],[CONSUMO]]</f>
        <v>4.8899999999999997</v>
      </c>
      <c r="M1572" s="50">
        <f>Tabela6[[#This Row],[KM ATUAL]]-E1510</f>
        <v>186347</v>
      </c>
      <c r="N1572" s="51">
        <f>Tabela6[[#This Row],[KM Rodados ]]/Tabela6[[#This Row],[CONSUMO]]</f>
        <v>1197.133514496245</v>
      </c>
    </row>
    <row r="1573" spans="1:26" ht="14.45" customHeight="1" x14ac:dyDescent="0.25">
      <c r="A1573" s="47" t="s">
        <v>314</v>
      </c>
      <c r="B1573" s="78">
        <v>45107</v>
      </c>
      <c r="C1573" s="47" t="s">
        <v>203</v>
      </c>
      <c r="E1573" s="47">
        <v>100372</v>
      </c>
      <c r="F1573" s="50"/>
      <c r="G1573" s="50" t="s">
        <v>244</v>
      </c>
      <c r="H1573" s="51">
        <v>42</v>
      </c>
      <c r="I1573" s="51"/>
      <c r="K1573" s="53">
        <f>Tabela6[[#This Row],[CONSUMO]]*Tabela6[[#This Row],[VALOR UNIT]]-Tabela6[[#This Row],[DESCONTO]]</f>
        <v>0</v>
      </c>
      <c r="L1573" s="53">
        <f>Tabela6[[#This Row],[CUSTO TOTAL]]/Tabela6[[#This Row],[CONSUMO]]</f>
        <v>0</v>
      </c>
      <c r="M1573" s="50">
        <f>Tabela6[[#This Row],[KM ATUAL]]-E1572</f>
        <v>-569073</v>
      </c>
      <c r="N1573" s="51">
        <f>Tabela6[[#This Row],[KM Rodados ]]/Tabela6[[#This Row],[CONSUMO]]</f>
        <v>-13549.357142857143</v>
      </c>
    </row>
    <row r="1574" spans="1:26" ht="14.45" customHeight="1" x14ac:dyDescent="0.25">
      <c r="A1574" s="47">
        <v>81384</v>
      </c>
      <c r="B1574" s="78">
        <v>45107</v>
      </c>
      <c r="C1574" s="47" t="s">
        <v>64</v>
      </c>
      <c r="D1574" s="49" t="s">
        <v>263</v>
      </c>
      <c r="E1574" s="47">
        <v>80452</v>
      </c>
      <c r="G1574" s="50" t="s">
        <v>89</v>
      </c>
      <c r="H1574" s="51">
        <v>158.05099999999999</v>
      </c>
      <c r="I1574" s="49">
        <v>15.81</v>
      </c>
      <c r="J1574" s="51">
        <v>4.78</v>
      </c>
      <c r="K1574" s="51">
        <f>Tabela6[[#This Row],[CONSUMO]]*Tabela6[[#This Row],[VALOR UNIT]]-Tabela6[[#This Row],[DESCONTO]]</f>
        <v>739.67378000000008</v>
      </c>
      <c r="L1574" s="53">
        <f>Tabela6[[#This Row],[CUSTO TOTAL]]/Tabela6[[#This Row],[CONSUMO]]</f>
        <v>4.6799689973489578</v>
      </c>
      <c r="M1574" s="50">
        <f>Tabela6[[#This Row],[KM ATUAL]]-E1552</f>
        <v>-43974</v>
      </c>
      <c r="N1574" s="51">
        <f>Tabela6[[#This Row],[KM Rodados ]]/Tabela6[[#This Row],[CONSUMO]]</f>
        <v>-278.22664836033942</v>
      </c>
    </row>
    <row r="1575" spans="1:26" ht="14.45" customHeight="1" x14ac:dyDescent="0.25">
      <c r="A1575" s="47">
        <v>287386</v>
      </c>
      <c r="B1575" s="78">
        <v>45107</v>
      </c>
      <c r="C1575" s="47" t="s">
        <v>206</v>
      </c>
      <c r="D1575" s="49" t="s">
        <v>270</v>
      </c>
      <c r="E1575" s="47">
        <v>945494</v>
      </c>
      <c r="G1575" s="50" t="s">
        <v>89</v>
      </c>
      <c r="H1575" s="51">
        <v>617</v>
      </c>
      <c r="J1575" s="51">
        <v>4.79</v>
      </c>
      <c r="K1575" s="52">
        <f>Tabela6[[#This Row],[CONSUMO]]*Tabela6[[#This Row],[VALOR UNIT]]-Tabela6[[#This Row],[DESCONTO]]</f>
        <v>2955.43</v>
      </c>
      <c r="L1575" s="53">
        <f>Tabela6[[#This Row],[CUSTO TOTAL]]/Tabela6[[#This Row],[CONSUMO]]</f>
        <v>4.79</v>
      </c>
      <c r="M1575" s="50">
        <f>Tabela6[[#This Row],[KM ATUAL]]-E1518</f>
        <v>546022</v>
      </c>
      <c r="N1575" s="51">
        <f>Tabela6[[#This Row],[KM Rodados ]]/Tabela6[[#This Row],[CONSUMO]]</f>
        <v>884.96272285251212</v>
      </c>
    </row>
    <row r="1576" spans="1:26" ht="14.45" customHeight="1" x14ac:dyDescent="0.25">
      <c r="A1576" s="47">
        <v>405616</v>
      </c>
      <c r="B1576" s="78">
        <v>45107</v>
      </c>
      <c r="C1576" s="47" t="s">
        <v>12</v>
      </c>
      <c r="D1576" s="49" t="s">
        <v>253</v>
      </c>
      <c r="E1576" s="47">
        <v>314872</v>
      </c>
      <c r="G1576" s="50" t="s">
        <v>241</v>
      </c>
      <c r="H1576" s="51">
        <v>17.108000000000001</v>
      </c>
      <c r="J1576" s="51">
        <v>3.49</v>
      </c>
      <c r="K1576" s="51">
        <f>Tabela6[[#This Row],[CONSUMO]]*Tabela6[[#This Row],[VALOR UNIT]]-Tabela6[[#This Row],[DESCONTO]]</f>
        <v>59.706920000000004</v>
      </c>
      <c r="L1576" s="53">
        <f>Tabela6[[#This Row],[CUSTO TOTAL]]/Tabela6[[#This Row],[CONSUMO]]</f>
        <v>3.49</v>
      </c>
      <c r="M1576" s="50"/>
      <c r="O1576" s="48"/>
      <c r="P1576" s="47"/>
      <c r="Q1576" s="49"/>
      <c r="R1576" s="47"/>
      <c r="S1576" s="50"/>
      <c r="T1576" s="51"/>
      <c r="U1576" s="49"/>
      <c r="V1576" s="51"/>
      <c r="W1576" s="51"/>
      <c r="X1576" s="53"/>
      <c r="Y1576" s="50"/>
      <c r="Z1576" s="51"/>
    </row>
    <row r="1577" spans="1:26" ht="14.45" customHeight="1" x14ac:dyDescent="0.25">
      <c r="A1577" s="47">
        <v>405616</v>
      </c>
      <c r="B1577" s="78">
        <v>45107</v>
      </c>
      <c r="C1577" s="47" t="s">
        <v>12</v>
      </c>
      <c r="D1577" s="49" t="s">
        <v>253</v>
      </c>
      <c r="E1577" s="47">
        <v>314872</v>
      </c>
      <c r="G1577" s="50" t="s">
        <v>89</v>
      </c>
      <c r="H1577" s="51">
        <v>110.41</v>
      </c>
      <c r="J1577" s="51">
        <v>5.19</v>
      </c>
      <c r="K1577" s="51">
        <f>Tabela6[[#This Row],[CONSUMO]]*Tabela6[[#This Row],[VALOR UNIT]]-Tabela6[[#This Row],[DESCONTO]]</f>
        <v>573.02790000000005</v>
      </c>
      <c r="L1577" s="53">
        <f>Tabela6[[#This Row],[CUSTO TOTAL]]/Tabela6[[#This Row],[CONSUMO]]</f>
        <v>5.19</v>
      </c>
      <c r="M1577" s="50">
        <f>Tabela6[[#This Row],[KM ATUAL]]-E1519</f>
        <v>191040</v>
      </c>
      <c r="N1577" s="51">
        <f>Tabela6[[#This Row],[KM Rodados ]]/Tabela6[[#This Row],[CONSUMO]]</f>
        <v>1730.2780545240469</v>
      </c>
      <c r="O1577" s="48"/>
      <c r="P1577" s="47"/>
      <c r="Q1577" s="49"/>
      <c r="R1577" s="47"/>
      <c r="S1577" s="50"/>
      <c r="T1577" s="51"/>
      <c r="U1577" s="49"/>
      <c r="V1577" s="51"/>
      <c r="W1577" s="51"/>
      <c r="X1577" s="53"/>
      <c r="Y1577" s="50"/>
      <c r="Z1577" s="51"/>
    </row>
    <row r="1578" spans="1:26" ht="14.45" customHeight="1" x14ac:dyDescent="0.25">
      <c r="A1578" s="47">
        <v>226050</v>
      </c>
      <c r="B1578" s="78">
        <v>45107</v>
      </c>
      <c r="C1578" s="47" t="s">
        <v>13</v>
      </c>
      <c r="D1578" s="49" t="s">
        <v>251</v>
      </c>
      <c r="E1578" s="119">
        <v>629316</v>
      </c>
      <c r="G1578" s="120" t="s">
        <v>89</v>
      </c>
      <c r="H1578" s="51">
        <v>101.57</v>
      </c>
      <c r="J1578" s="51">
        <v>4.79</v>
      </c>
      <c r="K1578" s="51">
        <f>Tabela6[[#This Row],[CONSUMO]]*Tabela6[[#This Row],[VALOR UNIT]]-Tabela6[[#This Row],[DESCONTO]]</f>
        <v>486.52029999999996</v>
      </c>
      <c r="L1578" s="53">
        <f>Tabela6[[#This Row],[CUSTO TOTAL]]/Tabela6[[#This Row],[CONSUMO]]</f>
        <v>4.79</v>
      </c>
      <c r="M1578" s="50">
        <f>Tabela6[[#This Row],[KM ATUAL]]-E1565</f>
        <v>397346</v>
      </c>
      <c r="N1578" s="51">
        <f>Tabela6[[#This Row],[KM Rodados ]]/Tabela6[[#This Row],[CONSUMO]]</f>
        <v>3912.0409569754852</v>
      </c>
      <c r="O1578" s="48"/>
      <c r="P1578" s="47"/>
      <c r="Q1578" s="49"/>
      <c r="R1578" s="47"/>
      <c r="S1578" s="50"/>
      <c r="T1578" s="51"/>
      <c r="U1578" s="49"/>
      <c r="V1578" s="51"/>
      <c r="W1578" s="51"/>
      <c r="X1578" s="53"/>
      <c r="Y1578" s="50"/>
      <c r="Z1578" s="51"/>
    </row>
    <row r="1579" spans="1:26" ht="14.45" customHeight="1" x14ac:dyDescent="0.25">
      <c r="A1579" s="47" t="s">
        <v>314</v>
      </c>
      <c r="B1579" s="78">
        <v>45107</v>
      </c>
      <c r="C1579" s="49" t="s">
        <v>40</v>
      </c>
      <c r="E1579" s="47">
        <v>148362</v>
      </c>
      <c r="F1579" s="50"/>
      <c r="G1579" s="50" t="s">
        <v>244</v>
      </c>
      <c r="H1579" s="51">
        <v>40.520000000000003</v>
      </c>
      <c r="I1579" s="51"/>
      <c r="K1579" s="52">
        <f>Tabela6[[#This Row],[CONSUMO]]*Tabela6[[#This Row],[VALOR UNIT]]-Tabela6[[#This Row],[DESCONTO]]</f>
        <v>0</v>
      </c>
      <c r="L1579" s="53">
        <f>Tabela6[[#This Row],[CUSTO TOTAL]]/Tabela6[[#This Row],[CONSUMO]]</f>
        <v>0</v>
      </c>
      <c r="M1579" s="50">
        <f>Tabela6[[#This Row],[KM ATUAL]]-E1578</f>
        <v>-480954</v>
      </c>
      <c r="N1579" s="51">
        <f>Tabela6[[#This Row],[KM Rodados ]]/Tabela6[[#This Row],[CONSUMO]]</f>
        <v>-11869.545903257649</v>
      </c>
      <c r="O1579" s="48"/>
      <c r="P1579" s="47"/>
      <c r="Q1579" s="49"/>
      <c r="R1579" s="47"/>
      <c r="S1579" s="50"/>
      <c r="T1579" s="51"/>
      <c r="U1579" s="49"/>
      <c r="V1579" s="51"/>
      <c r="W1579" s="51"/>
      <c r="X1579" s="53"/>
      <c r="Y1579" s="50"/>
      <c r="Z1579" s="51"/>
    </row>
    <row r="1580" spans="1:26" ht="14.45" customHeight="1" x14ac:dyDescent="0.25">
      <c r="A1580" s="47" t="s">
        <v>314</v>
      </c>
      <c r="B1580" s="78">
        <v>45108</v>
      </c>
      <c r="C1580" s="47" t="s">
        <v>215</v>
      </c>
      <c r="E1580" s="47">
        <v>225308</v>
      </c>
      <c r="F1580" s="50"/>
      <c r="G1580" s="50" t="s">
        <v>244</v>
      </c>
      <c r="H1580" s="51">
        <v>39.9</v>
      </c>
      <c r="I1580" s="51"/>
      <c r="K1580" s="52">
        <f>Tabela6[[#This Row],[CONSUMO]]*Tabela6[[#This Row],[VALOR UNIT]]-Tabela6[[#This Row],[DESCONTO]]</f>
        <v>0</v>
      </c>
      <c r="L1580" s="53">
        <f>Tabela6[[#This Row],[CUSTO TOTAL]]/Tabela6[[#This Row],[CONSUMO]]</f>
        <v>0</v>
      </c>
      <c r="M1580" s="50">
        <f>Tabela6[[#This Row],[KM ATUAL]]-E1579</f>
        <v>76946</v>
      </c>
      <c r="N1580" s="51">
        <f>Tabela6[[#This Row],[KM Rodados ]]/Tabela6[[#This Row],[CONSUMO]]</f>
        <v>1928.4711779448621</v>
      </c>
      <c r="O1580" s="48"/>
      <c r="P1580" s="47"/>
      <c r="Q1580" s="49"/>
      <c r="R1580" s="47"/>
      <c r="S1580" s="50"/>
      <c r="T1580" s="51"/>
      <c r="U1580" s="49"/>
      <c r="V1580" s="51"/>
      <c r="W1580" s="51"/>
      <c r="X1580" s="53"/>
      <c r="Y1580" s="50"/>
      <c r="Z1580" s="51"/>
    </row>
    <row r="1581" spans="1:26" ht="14.45" customHeight="1" x14ac:dyDescent="0.25">
      <c r="A1581" s="47">
        <v>6632</v>
      </c>
      <c r="B1581" s="78">
        <v>45108</v>
      </c>
      <c r="C1581" s="49" t="s">
        <v>73</v>
      </c>
      <c r="D1581" s="49" t="s">
        <v>305</v>
      </c>
      <c r="E1581" s="47">
        <v>125426</v>
      </c>
      <c r="F1581" s="49" t="s">
        <v>89</v>
      </c>
      <c r="G1581" s="50" t="s">
        <v>89</v>
      </c>
      <c r="H1581" s="51">
        <v>116</v>
      </c>
      <c r="J1581" s="51">
        <v>4.82</v>
      </c>
      <c r="K1581" s="52">
        <f>Tabela6[[#This Row],[CONSUMO]]*Tabela6[[#This Row],[VALOR UNIT]]-Tabela6[[#This Row],[DESCONTO]]</f>
        <v>559.12</v>
      </c>
      <c r="L1581" s="53">
        <f>Tabela6[[#This Row],[CUSTO TOTAL]]/Tabela6[[#This Row],[CONSUMO]]</f>
        <v>4.82</v>
      </c>
      <c r="M1581" s="50">
        <f>Tabela6[[#This Row],[KM ATUAL]]-E1561</f>
        <v>-539272</v>
      </c>
      <c r="N1581" s="84">
        <f>Tabela6[[#This Row],[KM Rodados ]]/Tabela6[[#This Row],[CONSUMO]]</f>
        <v>-4648.8965517241377</v>
      </c>
      <c r="O1581" s="48"/>
      <c r="P1581" s="47"/>
      <c r="Q1581" s="49"/>
      <c r="R1581" s="47"/>
      <c r="S1581" s="50"/>
      <c r="T1581" s="51"/>
      <c r="U1581" s="49"/>
      <c r="V1581" s="51"/>
      <c r="W1581" s="51"/>
      <c r="X1581" s="53"/>
      <c r="Y1581" s="50"/>
      <c r="Z1581" s="51"/>
    </row>
    <row r="1582" spans="1:26" ht="14.45" customHeight="1" x14ac:dyDescent="0.25">
      <c r="A1582" s="47">
        <v>545389</v>
      </c>
      <c r="B1582" s="78">
        <v>45108</v>
      </c>
      <c r="C1582" s="49" t="s">
        <v>16</v>
      </c>
      <c r="D1582" s="49" t="s">
        <v>255</v>
      </c>
      <c r="E1582" s="47">
        <v>298419</v>
      </c>
      <c r="F1582" s="49" t="s">
        <v>89</v>
      </c>
      <c r="G1582" s="50" t="s">
        <v>89</v>
      </c>
      <c r="H1582" s="51">
        <v>47.51</v>
      </c>
      <c r="J1582" s="51">
        <v>5.32</v>
      </c>
      <c r="K1582" s="52">
        <f>Tabela6[[#This Row],[CONSUMO]]*Tabela6[[#This Row],[VALOR UNIT]]-Tabela6[[#This Row],[DESCONTO]]</f>
        <v>252.75319999999999</v>
      </c>
      <c r="L1582" s="53">
        <f>Tabela6[[#This Row],[CUSTO TOTAL]]/Tabela6[[#This Row],[CONSUMO]]</f>
        <v>5.32</v>
      </c>
      <c r="M1582" s="50">
        <f>Tabela6[[#This Row],[KM ATUAL]]-E1537</f>
        <v>153316</v>
      </c>
      <c r="N1582" s="51">
        <f>Tabela6[[#This Row],[KM Rodados ]]/Tabela6[[#This Row],[CONSUMO]]</f>
        <v>3227.0258892864663</v>
      </c>
      <c r="O1582" s="48"/>
      <c r="P1582" s="47"/>
      <c r="Q1582" s="49"/>
      <c r="R1582" s="47"/>
      <c r="S1582" s="50"/>
      <c r="T1582" s="51"/>
      <c r="U1582" s="49"/>
      <c r="V1582" s="51"/>
      <c r="W1582" s="51"/>
      <c r="X1582" s="53"/>
      <c r="Y1582" s="50"/>
      <c r="Z1582" s="51"/>
    </row>
    <row r="1583" spans="1:26" ht="14.45" customHeight="1" x14ac:dyDescent="0.25">
      <c r="A1583" s="47">
        <v>191126</v>
      </c>
      <c r="B1583" s="78">
        <v>45108</v>
      </c>
      <c r="C1583" s="47" t="s">
        <v>18</v>
      </c>
      <c r="D1583" s="49" t="s">
        <v>262</v>
      </c>
      <c r="E1583" s="47">
        <v>313414</v>
      </c>
      <c r="F1583" s="49" t="s">
        <v>89</v>
      </c>
      <c r="G1583" s="50" t="s">
        <v>89</v>
      </c>
      <c r="H1583" s="51">
        <v>84.671000000000006</v>
      </c>
      <c r="J1583" s="51">
        <v>4.8899999999999997</v>
      </c>
      <c r="K1583" s="51">
        <f>Tabela6[[#This Row],[CONSUMO]]*Tabela6[[#This Row],[VALOR UNIT]]-Tabela6[[#This Row],[DESCONTO]]</f>
        <v>414.04119000000003</v>
      </c>
      <c r="L1583" s="53">
        <f>Tabela6[[#This Row],[CUSTO TOTAL]]/Tabela6[[#This Row],[CONSUMO]]</f>
        <v>4.8899999999999997</v>
      </c>
      <c r="M1583" s="50">
        <f>Tabela6[[#This Row],[KM ATUAL]]-E1547</f>
        <v>181104</v>
      </c>
      <c r="N1583" s="51">
        <f>Tabela6[[#This Row],[KM Rodados ]]/Tabela6[[#This Row],[CONSUMO]]</f>
        <v>2138.9141500631854</v>
      </c>
      <c r="O1583" s="48"/>
      <c r="P1583" s="47"/>
      <c r="Q1583" s="49"/>
      <c r="R1583" s="47"/>
      <c r="S1583" s="50"/>
      <c r="T1583" s="51"/>
      <c r="U1583" s="49"/>
      <c r="V1583" s="51"/>
      <c r="W1583" s="51"/>
      <c r="X1583" s="53"/>
      <c r="Y1583" s="50"/>
      <c r="Z1583" s="51"/>
    </row>
    <row r="1584" spans="1:26" ht="14.45" customHeight="1" x14ac:dyDescent="0.25">
      <c r="A1584" s="47" t="s">
        <v>314</v>
      </c>
      <c r="B1584" s="78">
        <v>45108</v>
      </c>
      <c r="C1584" s="47" t="s">
        <v>38</v>
      </c>
      <c r="E1584" s="47">
        <v>132719</v>
      </c>
      <c r="F1584" s="50"/>
      <c r="G1584" s="50" t="s">
        <v>244</v>
      </c>
      <c r="H1584" s="51">
        <v>49.2</v>
      </c>
      <c r="I1584" s="51"/>
      <c r="K1584" s="53">
        <f>Tabela6[[#This Row],[CONSUMO]]*Tabela6[[#This Row],[VALOR UNIT]]-Tabela6[[#This Row],[DESCONTO]]</f>
        <v>0</v>
      </c>
      <c r="L1584" s="53">
        <f>Tabela6[[#This Row],[CUSTO TOTAL]]/Tabela6[[#This Row],[CONSUMO]]</f>
        <v>0</v>
      </c>
      <c r="M1584" s="50">
        <f>Tabela6[[#This Row],[KM ATUAL]]-E1055</f>
        <v>11146</v>
      </c>
      <c r="N1584" s="51">
        <f>Tabela6[[#This Row],[KM Rodados ]]/Tabela6[[#This Row],[CONSUMO]]</f>
        <v>226.54471544715446</v>
      </c>
      <c r="O1584" s="48"/>
      <c r="P1584" s="47"/>
      <c r="Q1584" s="49"/>
      <c r="R1584" s="47"/>
      <c r="S1584" s="50"/>
      <c r="T1584" s="51"/>
      <c r="U1584" s="49"/>
      <c r="V1584" s="51"/>
      <c r="W1584" s="51"/>
      <c r="X1584" s="53"/>
      <c r="Y1584" s="50"/>
      <c r="Z1584" s="51"/>
    </row>
    <row r="1585" spans="1:26" ht="14.45" customHeight="1" x14ac:dyDescent="0.25">
      <c r="A1585" s="47">
        <v>627673</v>
      </c>
      <c r="B1585" s="78">
        <v>45109</v>
      </c>
      <c r="C1585" s="47" t="s">
        <v>9</v>
      </c>
      <c r="D1585" s="49" t="s">
        <v>271</v>
      </c>
      <c r="E1585" s="47">
        <v>609921</v>
      </c>
      <c r="F1585" s="50" t="s">
        <v>89</v>
      </c>
      <c r="G1585" s="50" t="s">
        <v>89</v>
      </c>
      <c r="H1585" s="49">
        <v>113.65</v>
      </c>
      <c r="I1585" s="51"/>
      <c r="J1585" s="51">
        <v>4.79</v>
      </c>
      <c r="K1585" s="53">
        <f>Tabela6[[#This Row],[CONSUMO]]*Tabela6[[#This Row],[VALOR UNIT]]-Tabela6[[#This Row],[DESCONTO]]</f>
        <v>544.38350000000003</v>
      </c>
      <c r="L1585" s="53">
        <v>4.79</v>
      </c>
      <c r="M1585" s="50">
        <f>Tabela6[[#This Row],[KM ATUAL]]-E1555</f>
        <v>296958</v>
      </c>
      <c r="N1585" s="51">
        <f>Tabela6[[#This Row],[KM Rodados ]]/Tabela6[[#This Row],[CONSUMO]]</f>
        <v>2612.9168499780026</v>
      </c>
      <c r="O1585" s="48"/>
      <c r="P1585" s="47"/>
      <c r="Q1585" s="49"/>
      <c r="R1585" s="47"/>
      <c r="S1585" s="50"/>
      <c r="T1585" s="51"/>
      <c r="U1585" s="49"/>
      <c r="V1585" s="51"/>
      <c r="W1585" s="51"/>
      <c r="X1585" s="53"/>
      <c r="Y1585" s="50"/>
      <c r="Z1585" s="51"/>
    </row>
    <row r="1586" spans="1:26" ht="14.45" customHeight="1" x14ac:dyDescent="0.25">
      <c r="A1586" s="47">
        <v>1094944</v>
      </c>
      <c r="B1586" s="78">
        <v>45109</v>
      </c>
      <c r="C1586" s="49" t="s">
        <v>73</v>
      </c>
      <c r="D1586" s="49" t="s">
        <v>252</v>
      </c>
      <c r="E1586" s="47">
        <v>126248</v>
      </c>
      <c r="F1586" s="49" t="s">
        <v>89</v>
      </c>
      <c r="G1586" s="50" t="s">
        <v>89</v>
      </c>
      <c r="H1586" s="51">
        <v>195.78</v>
      </c>
      <c r="J1586" s="51">
        <v>4.75</v>
      </c>
      <c r="K1586" s="52">
        <f>Tabela6[[#This Row],[CONSUMO]]*Tabela6[[#This Row],[VALOR UNIT]]-Tabela6[[#This Row],[DESCONTO]]</f>
        <v>929.95500000000004</v>
      </c>
      <c r="L1586" s="53">
        <f>Tabela6[[#This Row],[CUSTO TOTAL]]/Tabela6[[#This Row],[CONSUMO]]</f>
        <v>4.75</v>
      </c>
      <c r="M1586" s="50">
        <f>Tabela6[[#This Row],[KM ATUAL]]-E1583</f>
        <v>-187166</v>
      </c>
      <c r="N1586" s="51">
        <f>Tabela6[[#This Row],[KM Rodados ]]/Tabela6[[#This Row],[CONSUMO]]</f>
        <v>-956.00163448769024</v>
      </c>
      <c r="O1586" s="48"/>
      <c r="P1586" s="47"/>
      <c r="Q1586" s="49"/>
      <c r="R1586" s="47"/>
      <c r="S1586" s="50"/>
      <c r="T1586" s="51"/>
      <c r="U1586" s="49"/>
      <c r="V1586" s="51"/>
      <c r="W1586" s="51"/>
      <c r="X1586" s="53"/>
      <c r="Y1586" s="50"/>
      <c r="Z1586" s="51"/>
    </row>
    <row r="1587" spans="1:26" ht="14.45" customHeight="1" x14ac:dyDescent="0.25">
      <c r="A1587" s="47">
        <v>4020</v>
      </c>
      <c r="B1587" s="78">
        <v>45109</v>
      </c>
      <c r="C1587" s="47" t="s">
        <v>17</v>
      </c>
      <c r="D1587" s="49" t="s">
        <v>262</v>
      </c>
      <c r="E1587" s="47">
        <v>357363</v>
      </c>
      <c r="F1587" s="50" t="s">
        <v>89</v>
      </c>
      <c r="G1587" s="50" t="s">
        <v>89</v>
      </c>
      <c r="H1587" s="51">
        <v>115.98</v>
      </c>
      <c r="I1587" s="51"/>
      <c r="J1587" s="51">
        <v>4.8899999999999997</v>
      </c>
      <c r="K1587" s="51">
        <f>Tabela6[[#This Row],[CONSUMO]]*Tabela6[[#This Row],[VALOR UNIT]]-Tabela6[[#This Row],[DESCONTO]]</f>
        <v>567.1422</v>
      </c>
      <c r="L1587" s="53">
        <f>Tabela6[[#This Row],[CUSTO TOTAL]]/Tabela6[[#This Row],[CONSUMO]]</f>
        <v>4.8899999999999997</v>
      </c>
      <c r="M1587" s="50">
        <f>Tabela6[[#This Row],[KM ATUAL]]-E1491</f>
        <v>132485</v>
      </c>
      <c r="N1587" s="51">
        <f>Tabela6[[#This Row],[KM Rodados ]]/Tabela6[[#This Row],[CONSUMO]]</f>
        <v>1142.3090187963442</v>
      </c>
      <c r="O1587" s="48"/>
      <c r="P1587" s="47"/>
      <c r="Q1587" s="49"/>
      <c r="R1587" s="47"/>
      <c r="S1587" s="50"/>
      <c r="T1587" s="51"/>
      <c r="U1587" s="49"/>
      <c r="V1587" s="51"/>
      <c r="W1587" s="51"/>
      <c r="X1587" s="53"/>
      <c r="Y1587" s="50"/>
      <c r="Z1587" s="51"/>
    </row>
    <row r="1588" spans="1:26" ht="14.45" customHeight="1" x14ac:dyDescent="0.25">
      <c r="A1588" s="47" t="s">
        <v>314</v>
      </c>
      <c r="B1588" s="78">
        <v>45109</v>
      </c>
      <c r="C1588" s="49" t="s">
        <v>40</v>
      </c>
      <c r="E1588" s="47">
        <v>148837</v>
      </c>
      <c r="F1588" s="50"/>
      <c r="G1588" s="50" t="s">
        <v>244</v>
      </c>
      <c r="H1588" s="51">
        <v>40.58</v>
      </c>
      <c r="I1588" s="51"/>
      <c r="K1588" s="52">
        <f>Tabela6[[#This Row],[CONSUMO]]*Tabela6[[#This Row],[VALOR UNIT]]-Tabela6[[#This Row],[DESCONTO]]</f>
        <v>0</v>
      </c>
      <c r="L1588" s="53">
        <f>Tabela6[[#This Row],[CUSTO TOTAL]]/Tabela6[[#This Row],[CONSUMO]]</f>
        <v>0</v>
      </c>
      <c r="M1588" s="50">
        <f>Tabela6[[#This Row],[KM ATUAL]]-E1587</f>
        <v>-208526</v>
      </c>
      <c r="N1588" s="51">
        <f>Tabela6[[#This Row],[KM Rodados ]]/Tabela6[[#This Row],[CONSUMO]]</f>
        <v>-5138.6397240019714</v>
      </c>
      <c r="O1588" s="48"/>
      <c r="P1588" s="47"/>
      <c r="Q1588" s="49"/>
      <c r="R1588" s="47"/>
      <c r="S1588" s="50"/>
      <c r="T1588" s="51"/>
      <c r="U1588" s="49"/>
      <c r="V1588" s="51"/>
      <c r="W1588" s="51"/>
      <c r="X1588" s="53"/>
      <c r="Y1588" s="50"/>
      <c r="Z1588" s="51"/>
    </row>
    <row r="1589" spans="1:26" ht="14.45" customHeight="1" x14ac:dyDescent="0.25">
      <c r="A1589" s="47">
        <v>190874</v>
      </c>
      <c r="B1589" s="78">
        <v>45110</v>
      </c>
      <c r="C1589" s="47" t="s">
        <v>43</v>
      </c>
      <c r="D1589" s="49" t="s">
        <v>262</v>
      </c>
      <c r="E1589" s="47">
        <v>132762</v>
      </c>
      <c r="F1589" s="50" t="s">
        <v>89</v>
      </c>
      <c r="G1589" s="51" t="s">
        <v>89</v>
      </c>
      <c r="H1589" s="49">
        <v>19.228999999999999</v>
      </c>
      <c r="I1589" s="51"/>
      <c r="J1589" s="51">
        <v>4.8899999999999997</v>
      </c>
      <c r="K1589" s="53">
        <f>Tabela6[[#This Row],[CONSUMO]]*Tabela6[[#This Row],[VALOR UNIT]]-Tabela6[[#This Row],[DESCONTO]]</f>
        <v>94.029809999999983</v>
      </c>
      <c r="L1589" s="50">
        <v>4.8899999999999997</v>
      </c>
      <c r="M1589" s="51">
        <f>Tabela6[[#This Row],[KM ATUAL]]-E1572</f>
        <v>-536683</v>
      </c>
      <c r="N1589" s="51">
        <f>Tabela6[[#This Row],[KM Rodados ]]/Tabela6[[#This Row],[CONSUMO]]</f>
        <v>-27910.08372770295</v>
      </c>
      <c r="O1589" s="48"/>
      <c r="P1589" s="47"/>
      <c r="Q1589" s="49"/>
      <c r="R1589" s="47"/>
      <c r="S1589" s="50"/>
      <c r="T1589" s="51"/>
      <c r="U1589" s="49"/>
      <c r="V1589" s="51"/>
      <c r="W1589" s="51"/>
      <c r="X1589" s="53"/>
      <c r="Y1589" s="50"/>
      <c r="Z1589" s="51"/>
    </row>
    <row r="1590" spans="1:26" ht="14.45" customHeight="1" x14ac:dyDescent="0.25">
      <c r="A1590" s="47">
        <v>190289</v>
      </c>
      <c r="B1590" s="78">
        <v>45110</v>
      </c>
      <c r="C1590" s="47" t="s">
        <v>43</v>
      </c>
      <c r="D1590" s="49" t="s">
        <v>262</v>
      </c>
      <c r="E1590" s="47">
        <v>132880</v>
      </c>
      <c r="F1590" s="50" t="s">
        <v>89</v>
      </c>
      <c r="G1590" s="51" t="s">
        <v>89</v>
      </c>
      <c r="H1590" s="49">
        <v>21.5</v>
      </c>
      <c r="I1590" s="51"/>
      <c r="J1590" s="51">
        <v>4.8899999999999997</v>
      </c>
      <c r="K1590" s="53">
        <f>Tabela6[[#This Row],[CONSUMO]]*Tabela6[[#This Row],[VALOR UNIT]]-Tabela6[[#This Row],[DESCONTO]]</f>
        <v>105.13499999999999</v>
      </c>
      <c r="L1590" s="50">
        <v>4.8899999999999997</v>
      </c>
      <c r="M1590" s="51">
        <f>Tabela6[[#This Row],[KM ATUAL]]-E1589</f>
        <v>118</v>
      </c>
      <c r="N1590" s="51">
        <f>Tabela6[[#This Row],[KM Rodados ]]/Tabela6[[#This Row],[CONSUMO]]</f>
        <v>5.4883720930232558</v>
      </c>
      <c r="O1590" s="48"/>
      <c r="P1590" s="47"/>
      <c r="Q1590" s="49"/>
      <c r="R1590" s="47"/>
      <c r="S1590" s="50"/>
      <c r="T1590" s="51"/>
      <c r="U1590" s="49"/>
      <c r="V1590" s="51"/>
      <c r="W1590" s="51"/>
      <c r="X1590" s="53"/>
      <c r="Y1590" s="50"/>
      <c r="Z1590" s="51"/>
    </row>
    <row r="1591" spans="1:26" ht="14.45" customHeight="1" x14ac:dyDescent="0.25">
      <c r="A1591" s="47">
        <v>5946</v>
      </c>
      <c r="B1591" s="78">
        <v>45110</v>
      </c>
      <c r="C1591" s="47" t="s">
        <v>43</v>
      </c>
      <c r="D1591" s="49" t="s">
        <v>299</v>
      </c>
      <c r="E1591" s="47">
        <v>132914</v>
      </c>
      <c r="F1591" s="50" t="s">
        <v>89</v>
      </c>
      <c r="G1591" s="51" t="s">
        <v>89</v>
      </c>
      <c r="H1591" s="49">
        <v>5.4</v>
      </c>
      <c r="I1591" s="51"/>
      <c r="J1591" s="51">
        <v>4.45</v>
      </c>
      <c r="K1591" s="53">
        <f>Tabela6[[#This Row],[CONSUMO]]*Tabela6[[#This Row],[VALOR UNIT]]-Tabela6[[#This Row],[DESCONTO]]</f>
        <v>24.03</v>
      </c>
      <c r="L1591" s="50">
        <v>4.45</v>
      </c>
      <c r="M1591" s="51">
        <f>Tabela6[[#This Row],[KM ATUAL]]-E1588</f>
        <v>-15923</v>
      </c>
      <c r="N1591" s="51">
        <f>Tabela6[[#This Row],[KM Rodados ]]/Tabela6[[#This Row],[CONSUMO]]</f>
        <v>-2948.7037037037035</v>
      </c>
      <c r="O1591" s="48"/>
      <c r="P1591" s="47"/>
      <c r="Q1591" s="49"/>
      <c r="R1591" s="47"/>
      <c r="S1591" s="50"/>
      <c r="T1591" s="51"/>
      <c r="U1591" s="49"/>
      <c r="V1591" s="51"/>
      <c r="W1591" s="51"/>
      <c r="X1591" s="53"/>
      <c r="Y1591" s="50"/>
      <c r="Z1591" s="51"/>
    </row>
    <row r="1592" spans="1:26" ht="14.45" customHeight="1" x14ac:dyDescent="0.25">
      <c r="A1592" s="47">
        <v>407881</v>
      </c>
      <c r="B1592" s="78">
        <v>45110</v>
      </c>
      <c r="C1592" s="47" t="s">
        <v>42</v>
      </c>
      <c r="D1592" s="49" t="s">
        <v>253</v>
      </c>
      <c r="E1592" s="47">
        <v>366761</v>
      </c>
      <c r="F1592" s="50" t="s">
        <v>89</v>
      </c>
      <c r="G1592" s="50" t="s">
        <v>89</v>
      </c>
      <c r="H1592" s="49">
        <v>73.099999999999994</v>
      </c>
      <c r="I1592" s="51"/>
      <c r="J1592" s="51">
        <v>5.19</v>
      </c>
      <c r="K1592" s="53">
        <f>Tabela6[[#This Row],[CONSUMO]]*Tabela6[[#This Row],[VALOR UNIT]]-Tabela6[[#This Row],[DESCONTO]]</f>
        <v>379.38900000000001</v>
      </c>
      <c r="L1592" s="77">
        <v>5.19</v>
      </c>
      <c r="M1592" s="50">
        <f>Tabela6[[#This Row],[KM ATUAL]]-E1533</f>
        <v>266939</v>
      </c>
      <c r="N1592" s="51">
        <f>Tabela6[[#This Row],[KM Rodados ]]/Tabela6[[#This Row],[CONSUMO]]</f>
        <v>3651.6963064295487</v>
      </c>
      <c r="O1592" s="48"/>
      <c r="P1592" s="47"/>
      <c r="Q1592" s="49"/>
      <c r="R1592" s="47"/>
      <c r="S1592" s="50"/>
      <c r="T1592" s="51"/>
      <c r="U1592" s="49"/>
      <c r="V1592" s="51"/>
      <c r="W1592" s="51"/>
      <c r="X1592" s="53"/>
      <c r="Y1592" s="50"/>
      <c r="Z1592" s="51"/>
    </row>
    <row r="1593" spans="1:26" ht="14.45" customHeight="1" x14ac:dyDescent="0.25">
      <c r="A1593" s="47">
        <v>190704</v>
      </c>
      <c r="B1593" s="78">
        <v>45110</v>
      </c>
      <c r="C1593" s="47" t="s">
        <v>22</v>
      </c>
      <c r="D1593" s="49" t="s">
        <v>262</v>
      </c>
      <c r="E1593" s="47">
        <v>328915</v>
      </c>
      <c r="F1593" s="50" t="s">
        <v>89</v>
      </c>
      <c r="G1593" s="51" t="s">
        <v>89</v>
      </c>
      <c r="H1593" s="49">
        <v>129.96899999999999</v>
      </c>
      <c r="I1593" s="51"/>
      <c r="J1593" s="51">
        <v>4.8899999999999997</v>
      </c>
      <c r="K1593" s="53">
        <f>Tabela6[[#This Row],[CONSUMO]]*Tabela6[[#This Row],[VALOR UNIT]]-Tabela6[[#This Row],[DESCONTO]]</f>
        <v>635.54840999999988</v>
      </c>
      <c r="L1593" s="50">
        <v>4.8899999999999997</v>
      </c>
      <c r="M1593" s="50">
        <f>Tabela6[[#This Row],[KM ATUAL]]-E1525</f>
        <v>-298939</v>
      </c>
      <c r="N1593" s="51">
        <f>Tabela6[[#This Row],[KM Rodados ]]/Tabela6[[#This Row],[CONSUMO]]</f>
        <v>-2300.0792496672284</v>
      </c>
      <c r="O1593" s="48"/>
      <c r="P1593" s="47"/>
      <c r="Q1593" s="49"/>
      <c r="R1593" s="47"/>
      <c r="S1593" s="50"/>
      <c r="T1593" s="51"/>
      <c r="U1593" s="49"/>
      <c r="V1593" s="51"/>
      <c r="W1593" s="51"/>
      <c r="X1593" s="53"/>
      <c r="Y1593" s="50"/>
      <c r="Z1593" s="51"/>
    </row>
    <row r="1594" spans="1:26" ht="14.45" customHeight="1" x14ac:dyDescent="0.25">
      <c r="A1594" s="47">
        <v>5946</v>
      </c>
      <c r="B1594" s="78">
        <v>45110</v>
      </c>
      <c r="C1594" s="47" t="s">
        <v>22</v>
      </c>
      <c r="D1594" s="49" t="s">
        <v>299</v>
      </c>
      <c r="E1594" s="47">
        <v>329232</v>
      </c>
      <c r="F1594" s="50" t="s">
        <v>89</v>
      </c>
      <c r="G1594" s="51" t="s">
        <v>89</v>
      </c>
      <c r="H1594" s="49">
        <v>138.5</v>
      </c>
      <c r="I1594" s="51"/>
      <c r="J1594" s="51">
        <v>4.45</v>
      </c>
      <c r="K1594" s="53">
        <f>Tabela6[[#This Row],[CONSUMO]]*Tabela6[[#This Row],[VALOR UNIT]]-Tabela6[[#This Row],[DESCONTO]]</f>
        <v>616.32500000000005</v>
      </c>
      <c r="L1594" s="50">
        <v>4.45</v>
      </c>
      <c r="M1594" s="50">
        <f>Tabela6[[#This Row],[KM ATUAL]]-E1587</f>
        <v>-28131</v>
      </c>
      <c r="N1594" s="51">
        <f>Tabela6[[#This Row],[KM Rodados ]]/Tabela6[[#This Row],[CONSUMO]]</f>
        <v>-203.11191335740071</v>
      </c>
      <c r="O1594" s="48"/>
      <c r="P1594" s="47"/>
      <c r="Q1594" s="49"/>
      <c r="R1594" s="47"/>
      <c r="S1594" s="50"/>
      <c r="T1594" s="51"/>
      <c r="U1594" s="49"/>
      <c r="V1594" s="51"/>
      <c r="W1594" s="51"/>
      <c r="X1594" s="53"/>
      <c r="Y1594" s="50"/>
      <c r="Z1594" s="51"/>
    </row>
    <row r="1595" spans="1:26" ht="14.45" customHeight="1" x14ac:dyDescent="0.25">
      <c r="A1595" s="47">
        <v>91568</v>
      </c>
      <c r="B1595" s="78">
        <v>45110</v>
      </c>
      <c r="C1595" s="47" t="s">
        <v>39</v>
      </c>
      <c r="D1595" s="49" t="s">
        <v>262</v>
      </c>
      <c r="E1595" s="47">
        <v>92182</v>
      </c>
      <c r="F1595" s="50" t="s">
        <v>89</v>
      </c>
      <c r="G1595" s="50" t="s">
        <v>89</v>
      </c>
      <c r="H1595" s="51">
        <v>111.941</v>
      </c>
      <c r="I1595" s="51"/>
      <c r="J1595" s="51">
        <v>4.8899999999999997</v>
      </c>
      <c r="K1595" s="53">
        <f>Tabela6[[#This Row],[CONSUMO]]*Tabela6[[#This Row],[VALOR UNIT]]-Tabela6[[#This Row],[DESCONTO]]</f>
        <v>547.39148999999998</v>
      </c>
      <c r="L1595" s="50">
        <v>4.8899999999999997</v>
      </c>
      <c r="M1595" s="50">
        <f>Tabela6[[#This Row],[KM ATUAL]]-E1545</f>
        <v>-39753</v>
      </c>
      <c r="N1595" s="51">
        <f>Tabela6[[#This Row],[KM Rodados ]]/Tabela6[[#This Row],[CONSUMO]]</f>
        <v>-355.1245745526661</v>
      </c>
      <c r="O1595" s="48"/>
      <c r="P1595" s="47"/>
      <c r="Q1595" s="49"/>
      <c r="R1595" s="47"/>
      <c r="S1595" s="50"/>
      <c r="T1595" s="51"/>
      <c r="U1595" s="49"/>
      <c r="V1595" s="51"/>
      <c r="W1595" s="51"/>
      <c r="X1595" s="53"/>
      <c r="Y1595" s="50"/>
      <c r="Z1595" s="51"/>
    </row>
    <row r="1596" spans="1:26" ht="14.45" customHeight="1" x14ac:dyDescent="0.25">
      <c r="A1596" s="47" t="s">
        <v>314</v>
      </c>
      <c r="B1596" s="78">
        <v>45110</v>
      </c>
      <c r="C1596" s="47" t="s">
        <v>203</v>
      </c>
      <c r="E1596" s="47">
        <v>100895</v>
      </c>
      <c r="F1596" s="50"/>
      <c r="G1596" s="50" t="s">
        <v>244</v>
      </c>
      <c r="H1596" s="51">
        <v>41.36</v>
      </c>
      <c r="I1596" s="51"/>
      <c r="K1596" s="53">
        <f>Tabela6[[#This Row],[CONSUMO]]*Tabela6[[#This Row],[VALOR UNIT]]-Tabela6[[#This Row],[DESCONTO]]</f>
        <v>0</v>
      </c>
      <c r="L1596" s="53">
        <f>Tabela6[[#This Row],[CUSTO TOTAL]]/Tabela6[[#This Row],[CONSUMO]]</f>
        <v>0</v>
      </c>
      <c r="M1596" s="50">
        <f>Tabela6[[#This Row],[KM ATUAL]]-E1595</f>
        <v>8713</v>
      </c>
      <c r="N1596" s="51">
        <f>Tabela6[[#This Row],[KM Rodados ]]/Tabela6[[#This Row],[CONSUMO]]</f>
        <v>210.66247582205028</v>
      </c>
      <c r="O1596" s="48"/>
      <c r="P1596" s="47"/>
      <c r="Q1596" s="49"/>
      <c r="R1596" s="47"/>
      <c r="S1596" s="50"/>
      <c r="T1596" s="51"/>
      <c r="U1596" s="49"/>
      <c r="V1596" s="51"/>
      <c r="W1596" s="51"/>
      <c r="X1596" s="53"/>
      <c r="Y1596" s="50"/>
      <c r="Z1596" s="51"/>
    </row>
    <row r="1597" spans="1:26" ht="14.45" customHeight="1" x14ac:dyDescent="0.25">
      <c r="A1597" s="47">
        <v>190187</v>
      </c>
      <c r="B1597" s="78">
        <v>45110</v>
      </c>
      <c r="C1597" s="47" t="s">
        <v>72</v>
      </c>
      <c r="D1597" s="49" t="s">
        <v>262</v>
      </c>
      <c r="E1597" s="119">
        <v>399799</v>
      </c>
      <c r="F1597" s="50" t="s">
        <v>89</v>
      </c>
      <c r="G1597" s="50" t="s">
        <v>89</v>
      </c>
      <c r="H1597" s="49">
        <v>40.9</v>
      </c>
      <c r="I1597" s="51"/>
      <c r="J1597" s="51">
        <v>4.8899999999999997</v>
      </c>
      <c r="K1597" s="51">
        <f>Tabela6[[#This Row],[CONSUMO]]*Tabela6[[#This Row],[VALOR UNIT]]-Tabela6[[#This Row],[DESCONTO]]</f>
        <v>200.00099999999998</v>
      </c>
      <c r="L1597" s="53">
        <f>Tabela6[[#This Row],[CUSTO TOTAL]]/Tabela6[[#This Row],[CONSUMO]]</f>
        <v>4.8899999999999997</v>
      </c>
      <c r="M1597" s="50">
        <f>Tabela6[[#This Row],[KM ATUAL]]-E1527</f>
        <v>253665</v>
      </c>
      <c r="N1597" s="51">
        <f>Tabela6[[#This Row],[KM Rodados ]]/Tabela6[[#This Row],[CONSUMO]]</f>
        <v>6202.0782396088025</v>
      </c>
      <c r="O1597" s="48"/>
      <c r="P1597" s="47"/>
      <c r="Q1597" s="49"/>
      <c r="R1597" s="47"/>
      <c r="S1597" s="50"/>
      <c r="T1597" s="51"/>
      <c r="U1597" s="49"/>
      <c r="V1597" s="51"/>
      <c r="W1597" s="51"/>
      <c r="X1597" s="53"/>
      <c r="Y1597" s="50"/>
      <c r="Z1597" s="51"/>
    </row>
    <row r="1598" spans="1:26" ht="14.45" customHeight="1" x14ac:dyDescent="0.25">
      <c r="A1598" s="47" t="s">
        <v>314</v>
      </c>
      <c r="B1598" s="78">
        <v>45110</v>
      </c>
      <c r="C1598" s="47" t="s">
        <v>72</v>
      </c>
      <c r="E1598" s="119">
        <v>399994</v>
      </c>
      <c r="F1598" s="50"/>
      <c r="G1598" s="50" t="s">
        <v>89</v>
      </c>
      <c r="H1598" s="51">
        <v>25.63</v>
      </c>
      <c r="I1598" s="51"/>
      <c r="K1598" s="53">
        <f>Tabela6[[#This Row],[CONSUMO]]*Tabela6[[#This Row],[VALOR UNIT]]-Tabela6[[#This Row],[DESCONTO]]</f>
        <v>0</v>
      </c>
      <c r="L1598" s="53">
        <f>Tabela6[[#This Row],[CUSTO TOTAL]]/Tabela6[[#This Row],[CONSUMO]]</f>
        <v>0</v>
      </c>
      <c r="M1598" s="50">
        <f>Tabela6[[#This Row],[KM ATUAL]]-E1595</f>
        <v>307812</v>
      </c>
      <c r="N1598" s="50">
        <f>Tabela6[[#This Row],[KM Rodados ]]/Tabela6[[#This Row],[CONSUMO]]</f>
        <v>12009.83222785798</v>
      </c>
      <c r="O1598" s="48"/>
      <c r="P1598" s="47"/>
      <c r="Q1598" s="49"/>
      <c r="R1598" s="47"/>
      <c r="S1598" s="50"/>
      <c r="T1598" s="51"/>
      <c r="U1598" s="49"/>
      <c r="V1598" s="51"/>
      <c r="W1598" s="51"/>
      <c r="X1598" s="53"/>
      <c r="Y1598" s="50"/>
      <c r="Z1598" s="51"/>
    </row>
    <row r="1599" spans="1:26" ht="14.45" customHeight="1" x14ac:dyDescent="0.25">
      <c r="A1599" s="47">
        <v>190677</v>
      </c>
      <c r="B1599" s="78">
        <v>45110</v>
      </c>
      <c r="C1599" s="47" t="s">
        <v>72</v>
      </c>
      <c r="D1599" s="49" t="s">
        <v>262</v>
      </c>
      <c r="E1599" s="119">
        <v>400161</v>
      </c>
      <c r="F1599" s="50" t="s">
        <v>89</v>
      </c>
      <c r="G1599" s="50" t="s">
        <v>89</v>
      </c>
      <c r="H1599" s="49">
        <v>20.100000000000001</v>
      </c>
      <c r="I1599" s="51"/>
      <c r="J1599" s="51">
        <v>4.8899999999999997</v>
      </c>
      <c r="K1599" s="51">
        <f>Tabela6[[#This Row],[CONSUMO]]*Tabela6[[#This Row],[VALOR UNIT]]-Tabela6[[#This Row],[DESCONTO]]</f>
        <v>98.289000000000001</v>
      </c>
      <c r="L1599" s="53">
        <f>Tabela6[[#This Row],[CUSTO TOTAL]]/Tabela6[[#This Row],[CONSUMO]]</f>
        <v>4.8899999999999997</v>
      </c>
      <c r="M1599" s="50">
        <f>Tabela6[[#This Row],[KM ATUAL]]-E1598</f>
        <v>167</v>
      </c>
      <c r="N1599" s="51">
        <f>Tabela6[[#This Row],[KM Rodados ]]/Tabela6[[#This Row],[CONSUMO]]</f>
        <v>8.3084577114427862</v>
      </c>
      <c r="O1599" s="48"/>
      <c r="P1599" s="47"/>
      <c r="Q1599" s="49"/>
      <c r="R1599" s="47"/>
      <c r="S1599" s="50"/>
      <c r="T1599" s="51"/>
      <c r="U1599" s="49"/>
      <c r="V1599" s="51"/>
      <c r="W1599" s="51"/>
      <c r="X1599" s="53"/>
      <c r="Y1599" s="50"/>
      <c r="Z1599" s="51"/>
    </row>
    <row r="1600" spans="1:26" ht="14.45" customHeight="1" x14ac:dyDescent="0.25">
      <c r="A1600" s="47" t="s">
        <v>314</v>
      </c>
      <c r="B1600" s="78">
        <v>45110</v>
      </c>
      <c r="C1600" s="47" t="s">
        <v>72</v>
      </c>
      <c r="E1600" s="119">
        <v>400462</v>
      </c>
      <c r="F1600" s="50"/>
      <c r="G1600" s="50" t="s">
        <v>89</v>
      </c>
      <c r="H1600" s="51">
        <v>40.35</v>
      </c>
      <c r="I1600" s="51"/>
      <c r="K1600" s="53">
        <f>Tabela6[[#This Row],[CONSUMO]]*Tabela6[[#This Row],[VALOR UNIT]]-Tabela6[[#This Row],[DESCONTO]]</f>
        <v>0</v>
      </c>
      <c r="L1600" s="53">
        <f>Tabela6[[#This Row],[CUSTO TOTAL]]/Tabela6[[#This Row],[CONSUMO]]</f>
        <v>0</v>
      </c>
      <c r="M1600" s="50">
        <f>Tabela6[[#This Row],[KM ATUAL]]-E1592</f>
        <v>33701</v>
      </c>
      <c r="N1600" s="50">
        <f>Tabela6[[#This Row],[KM Rodados ]]/Tabela6[[#This Row],[CONSUMO]]</f>
        <v>835.21685254027261</v>
      </c>
      <c r="O1600" s="48"/>
      <c r="P1600" s="47"/>
      <c r="Q1600" s="49"/>
      <c r="R1600" s="47"/>
      <c r="S1600" s="50"/>
      <c r="T1600" s="51"/>
      <c r="U1600" s="49"/>
      <c r="V1600" s="51"/>
      <c r="W1600" s="51"/>
      <c r="X1600" s="53"/>
      <c r="Y1600" s="50"/>
      <c r="Z1600" s="51"/>
    </row>
    <row r="1601" spans="1:26" ht="14.45" customHeight="1" x14ac:dyDescent="0.25">
      <c r="A1601" s="47" t="s">
        <v>314</v>
      </c>
      <c r="B1601" s="78">
        <v>45110</v>
      </c>
      <c r="C1601" s="47" t="s">
        <v>72</v>
      </c>
      <c r="E1601" s="47">
        <v>400773</v>
      </c>
      <c r="F1601" s="50"/>
      <c r="G1601" s="50" t="s">
        <v>89</v>
      </c>
      <c r="H1601" s="51">
        <v>41</v>
      </c>
      <c r="I1601" s="51"/>
      <c r="K1601" s="53">
        <f>Tabela6[[#This Row],[CONSUMO]]*Tabela6[[#This Row],[VALOR UNIT]]-Tabela6[[#This Row],[DESCONTO]]</f>
        <v>0</v>
      </c>
      <c r="L1601" s="53">
        <f>Tabela6[[#This Row],[CUSTO TOTAL]]/Tabela6[[#This Row],[CONSUMO]]</f>
        <v>0</v>
      </c>
      <c r="M1601" s="50">
        <f>Tabela6[[#This Row],[KM ATUAL]]-E1600</f>
        <v>311</v>
      </c>
      <c r="N1601" s="50">
        <f>Tabela6[[#This Row],[KM Rodados ]]/Tabela6[[#This Row],[CONSUMO]]</f>
        <v>7.5853658536585362</v>
      </c>
      <c r="O1601" s="48"/>
      <c r="P1601" s="47"/>
      <c r="Q1601" s="49"/>
      <c r="R1601" s="47"/>
      <c r="S1601" s="50"/>
      <c r="T1601" s="51"/>
      <c r="U1601" s="49"/>
      <c r="V1601" s="51"/>
      <c r="W1601" s="51"/>
      <c r="X1601" s="53"/>
      <c r="Y1601" s="50"/>
      <c r="Z1601" s="51"/>
    </row>
    <row r="1602" spans="1:26" ht="14.45" customHeight="1" x14ac:dyDescent="0.25">
      <c r="A1602" s="47">
        <v>5946</v>
      </c>
      <c r="B1602" s="78">
        <v>45110</v>
      </c>
      <c r="C1602" s="47" t="s">
        <v>72</v>
      </c>
      <c r="D1602" s="49" t="s">
        <v>299</v>
      </c>
      <c r="E1602" s="47">
        <v>400905</v>
      </c>
      <c r="F1602" s="50" t="s">
        <v>89</v>
      </c>
      <c r="G1602" s="50" t="s">
        <v>89</v>
      </c>
      <c r="H1602" s="49">
        <v>13.5</v>
      </c>
      <c r="I1602" s="51"/>
      <c r="J1602" s="51">
        <v>4.45</v>
      </c>
      <c r="K1602" s="51">
        <f>Tabela6[[#This Row],[CONSUMO]]*Tabela6[[#This Row],[VALOR UNIT]]-Tabela6[[#This Row],[DESCONTO]]</f>
        <v>60.075000000000003</v>
      </c>
      <c r="L1602" s="53">
        <f>Tabela6[[#This Row],[CUSTO TOTAL]]/Tabela6[[#This Row],[CONSUMO]]</f>
        <v>4.45</v>
      </c>
      <c r="M1602" s="50">
        <f>Tabela6[[#This Row],[KM ATUAL]]-E1601</f>
        <v>132</v>
      </c>
      <c r="N1602" s="51">
        <f>Tabela6[[#This Row],[KM Rodados ]]/Tabela6[[#This Row],[CONSUMO]]</f>
        <v>9.7777777777777786</v>
      </c>
      <c r="O1602" s="48"/>
      <c r="P1602" s="47"/>
      <c r="Q1602" s="49"/>
      <c r="R1602" s="47"/>
      <c r="S1602" s="50"/>
      <c r="T1602" s="51"/>
      <c r="U1602" s="49"/>
      <c r="V1602" s="51"/>
      <c r="W1602" s="51"/>
      <c r="X1602" s="53"/>
      <c r="Y1602" s="50"/>
      <c r="Z1602" s="51"/>
    </row>
    <row r="1603" spans="1:26" ht="14.45" customHeight="1" x14ac:dyDescent="0.25">
      <c r="A1603" s="47">
        <v>5946</v>
      </c>
      <c r="B1603" s="78">
        <v>45110</v>
      </c>
      <c r="C1603" s="47" t="s">
        <v>64</v>
      </c>
      <c r="D1603" s="49" t="s">
        <v>299</v>
      </c>
      <c r="E1603" s="47">
        <v>81007</v>
      </c>
      <c r="F1603" s="50" t="s">
        <v>89</v>
      </c>
      <c r="G1603" s="50" t="s">
        <v>89</v>
      </c>
      <c r="H1603" s="49">
        <v>163.5</v>
      </c>
      <c r="I1603" s="51"/>
      <c r="J1603" s="51">
        <v>4.45</v>
      </c>
      <c r="K1603" s="51">
        <f>Tabela6[[#This Row],[CONSUMO]]*Tabela6[[#This Row],[VALOR UNIT]]-Tabela6[[#This Row],[DESCONTO]]</f>
        <v>727.57500000000005</v>
      </c>
      <c r="L1603" s="53">
        <f>Tabela6[[#This Row],[CUSTO TOTAL]]/Tabela6[[#This Row],[CONSUMO]]</f>
        <v>4.45</v>
      </c>
      <c r="M1603" s="50">
        <f>Tabela6[[#This Row],[KM ATUAL]]-E1580</f>
        <v>-144301</v>
      </c>
      <c r="N1603" s="51">
        <f>Tabela6[[#This Row],[KM Rodados ]]/Tabela6[[#This Row],[CONSUMO]]</f>
        <v>-882.57492354740066</v>
      </c>
      <c r="O1603" s="48"/>
      <c r="P1603" s="47"/>
      <c r="Q1603" s="49"/>
      <c r="R1603" s="47"/>
      <c r="S1603" s="50"/>
      <c r="T1603" s="51"/>
      <c r="U1603" s="49"/>
      <c r="V1603" s="51"/>
      <c r="W1603" s="51"/>
      <c r="X1603" s="53"/>
      <c r="Y1603" s="50"/>
      <c r="Z1603" s="51"/>
    </row>
    <row r="1604" spans="1:26" ht="14.45" customHeight="1" x14ac:dyDescent="0.25">
      <c r="A1604" s="47">
        <v>5946</v>
      </c>
      <c r="B1604" s="78">
        <v>45110</v>
      </c>
      <c r="C1604" s="47" t="s">
        <v>21</v>
      </c>
      <c r="D1604" s="49" t="s">
        <v>299</v>
      </c>
      <c r="E1604" s="47">
        <v>145980</v>
      </c>
      <c r="F1604" s="50" t="s">
        <v>89</v>
      </c>
      <c r="G1604" s="50" t="s">
        <v>89</v>
      </c>
      <c r="H1604" s="49">
        <v>110</v>
      </c>
      <c r="I1604" s="51"/>
      <c r="J1604" s="51">
        <v>4.45</v>
      </c>
      <c r="K1604" s="52">
        <f>Tabela6[[#This Row],[CONSUMO]]*Tabela6[[#This Row],[VALOR UNIT]]-Tabela6[[#This Row],[DESCONTO]]</f>
        <v>489.5</v>
      </c>
      <c r="L1604" s="53">
        <f>Tabela6[[#This Row],[CUSTO TOTAL]]/Tabela6[[#This Row],[CONSUMO]]</f>
        <v>4.45</v>
      </c>
      <c r="M1604" s="50">
        <f>Tabela6[[#This Row],[KM ATUAL]]-E1575</f>
        <v>-799514</v>
      </c>
      <c r="N1604" s="51">
        <f>Tabela6[[#This Row],[KM Rodados ]]/Tabela6[[#This Row],[CONSUMO]]</f>
        <v>-7268.3090909090906</v>
      </c>
      <c r="O1604" s="48"/>
      <c r="P1604" s="47"/>
      <c r="Q1604" s="49"/>
      <c r="R1604" s="47"/>
      <c r="S1604" s="50"/>
      <c r="T1604" s="51"/>
      <c r="U1604" s="49"/>
      <c r="V1604" s="51"/>
      <c r="W1604" s="51"/>
      <c r="X1604" s="53"/>
      <c r="Y1604" s="50"/>
      <c r="Z1604" s="51"/>
    </row>
    <row r="1605" spans="1:26" ht="14.45" customHeight="1" x14ac:dyDescent="0.25">
      <c r="A1605" s="47">
        <v>707659</v>
      </c>
      <c r="B1605" s="78">
        <v>45110</v>
      </c>
      <c r="C1605" s="47" t="s">
        <v>13</v>
      </c>
      <c r="D1605" s="49" t="s">
        <v>250</v>
      </c>
      <c r="E1605" s="119">
        <v>629831</v>
      </c>
      <c r="F1605" s="50" t="s">
        <v>89</v>
      </c>
      <c r="G1605" s="120" t="s">
        <v>89</v>
      </c>
      <c r="H1605" s="49">
        <v>117.48099999999999</v>
      </c>
      <c r="I1605" s="51"/>
      <c r="J1605" s="51">
        <v>4.99</v>
      </c>
      <c r="K1605" s="51">
        <f>Tabela6[[#This Row],[CONSUMO]]*Tabela6[[#This Row],[VALOR UNIT]]-Tabela6[[#This Row],[DESCONTO]]</f>
        <v>586.23018999999999</v>
      </c>
      <c r="L1605" s="53">
        <f>Tabela6[[#This Row],[CUSTO TOTAL]]/Tabela6[[#This Row],[CONSUMO]]</f>
        <v>4.99</v>
      </c>
      <c r="M1605" s="50">
        <f>Tabela6[[#This Row],[KM ATUAL]]-E1587</f>
        <v>272468</v>
      </c>
      <c r="N1605" s="51">
        <f>Tabela6[[#This Row],[KM Rodados ]]/Tabela6[[#This Row],[CONSUMO]]</f>
        <v>2319.2516236668057</v>
      </c>
      <c r="O1605" s="48"/>
      <c r="P1605" s="47"/>
      <c r="Q1605" s="49"/>
      <c r="R1605" s="47"/>
      <c r="S1605" s="50"/>
      <c r="T1605" s="51"/>
      <c r="U1605" s="49"/>
      <c r="V1605" s="51"/>
      <c r="W1605" s="51"/>
      <c r="X1605" s="53"/>
      <c r="Y1605" s="50"/>
      <c r="Z1605" s="51"/>
    </row>
    <row r="1606" spans="1:26" ht="14.45" customHeight="1" x14ac:dyDescent="0.25">
      <c r="A1606" s="47">
        <v>545949</v>
      </c>
      <c r="B1606" s="78">
        <v>45110</v>
      </c>
      <c r="C1606" s="47" t="s">
        <v>16</v>
      </c>
      <c r="D1606" s="49" t="s">
        <v>255</v>
      </c>
      <c r="E1606" s="47">
        <v>298894</v>
      </c>
      <c r="F1606" s="50" t="s">
        <v>89</v>
      </c>
      <c r="G1606" s="50" t="s">
        <v>89</v>
      </c>
      <c r="H1606" s="49">
        <v>101.7</v>
      </c>
      <c r="I1606" s="51"/>
      <c r="J1606" s="51">
        <v>5.32</v>
      </c>
      <c r="K1606" s="52">
        <f>Tabela6[[#This Row],[CONSUMO]]*Tabela6[[#This Row],[VALOR UNIT]]-Tabela6[[#This Row],[DESCONTO]]</f>
        <v>541.0440000000001</v>
      </c>
      <c r="L1606" s="53">
        <f>Tabela6[[#This Row],[CUSTO TOTAL]]/Tabela6[[#This Row],[CONSUMO]]</f>
        <v>5.3200000000000012</v>
      </c>
      <c r="M1606" s="50">
        <f>Tabela6[[#This Row],[KM ATUAL]]-E1585</f>
        <v>-311027</v>
      </c>
      <c r="N1606" s="51">
        <f>Tabela6[[#This Row],[KM Rodados ]]/Tabela6[[#This Row],[CONSUMO]]</f>
        <v>-3058.2792527040315</v>
      </c>
      <c r="O1606" s="48"/>
      <c r="P1606" s="47"/>
      <c r="Q1606" s="49"/>
      <c r="R1606" s="47"/>
      <c r="S1606" s="50"/>
      <c r="T1606" s="51"/>
      <c r="U1606" s="49"/>
      <c r="V1606" s="51"/>
      <c r="W1606" s="51"/>
      <c r="X1606" s="53"/>
      <c r="Y1606" s="50"/>
      <c r="Z1606" s="51"/>
    </row>
    <row r="1607" spans="1:26" ht="14.45" customHeight="1" x14ac:dyDescent="0.25">
      <c r="A1607" s="47">
        <v>5946</v>
      </c>
      <c r="B1607" s="78">
        <v>45110</v>
      </c>
      <c r="C1607" s="47" t="s">
        <v>19</v>
      </c>
      <c r="D1607" s="49" t="s">
        <v>299</v>
      </c>
      <c r="E1607" s="47">
        <v>314001</v>
      </c>
      <c r="F1607" s="50" t="s">
        <v>89</v>
      </c>
      <c r="G1607" s="50" t="s">
        <v>89</v>
      </c>
      <c r="H1607" s="51">
        <v>160</v>
      </c>
      <c r="I1607" s="51"/>
      <c r="J1607" s="51">
        <v>4.45</v>
      </c>
      <c r="K1607" s="51">
        <f>Tabela6[[#This Row],[CONSUMO]]*Tabela6[[#This Row],[VALOR UNIT]]-Tabela6[[#This Row],[DESCONTO]]</f>
        <v>712</v>
      </c>
      <c r="L1607" s="53">
        <f>Tabela6[[#This Row],[CUSTO TOTAL]]/Tabela6[[#This Row],[CONSUMO]]</f>
        <v>4.45</v>
      </c>
      <c r="M1607" s="50">
        <f>Tabela6[[#This Row],[KM ATUAL]]-E1555</f>
        <v>1038</v>
      </c>
      <c r="N1607" s="51">
        <f>Tabela6[[#This Row],[KM Rodados ]]/Tabela6[[#This Row],[CONSUMO]]</f>
        <v>6.4874999999999998</v>
      </c>
      <c r="O1607" s="48"/>
      <c r="P1607" s="47"/>
      <c r="Q1607" s="49"/>
      <c r="R1607" s="47"/>
      <c r="S1607" s="50"/>
      <c r="T1607" s="51"/>
      <c r="U1607" s="49"/>
      <c r="V1607" s="51"/>
      <c r="W1607" s="51"/>
      <c r="X1607" s="53"/>
      <c r="Y1607" s="50"/>
      <c r="Z1607" s="51"/>
    </row>
    <row r="1608" spans="1:26" ht="14.45" customHeight="1" x14ac:dyDescent="0.25">
      <c r="A1608" s="47">
        <v>408145</v>
      </c>
      <c r="B1608" s="78">
        <v>45110</v>
      </c>
      <c r="C1608" s="47" t="s">
        <v>20</v>
      </c>
      <c r="D1608" s="49" t="s">
        <v>253</v>
      </c>
      <c r="E1608" s="47">
        <v>257130</v>
      </c>
      <c r="F1608" s="50" t="s">
        <v>89</v>
      </c>
      <c r="G1608" s="50" t="s">
        <v>89</v>
      </c>
      <c r="H1608" s="49">
        <v>72.86</v>
      </c>
      <c r="I1608" s="51"/>
      <c r="J1608" s="51">
        <v>5.19</v>
      </c>
      <c r="K1608" s="52">
        <f>Tabela6[[#This Row],[CONSUMO]]*Tabela6[[#This Row],[VALOR UNIT]]-Tabela6[[#This Row],[DESCONTO]]</f>
        <v>378.14340000000004</v>
      </c>
      <c r="L1608" s="53">
        <f>Tabela6[[#This Row],[CUSTO TOTAL]]/Tabela6[[#This Row],[CONSUMO]]</f>
        <v>5.19</v>
      </c>
      <c r="M1608" s="50">
        <f>Tabela6[[#This Row],[KM ATUAL]]-E1555</f>
        <v>-55833</v>
      </c>
      <c r="N1608" s="51">
        <f>Tabela6[[#This Row],[KM Rodados ]]/Tabela6[[#This Row],[CONSUMO]]</f>
        <v>-766.30524293164979</v>
      </c>
      <c r="O1608" s="48"/>
      <c r="P1608" s="47"/>
      <c r="Q1608" s="49"/>
      <c r="R1608" s="47"/>
      <c r="S1608" s="50"/>
      <c r="T1608" s="51"/>
      <c r="U1608" s="49"/>
      <c r="V1608" s="51"/>
      <c r="W1608" s="51"/>
      <c r="X1608" s="53"/>
      <c r="Y1608" s="50"/>
      <c r="Z1608" s="51"/>
    </row>
    <row r="1609" spans="1:26" ht="14.45" customHeight="1" x14ac:dyDescent="0.25">
      <c r="A1609" s="47">
        <v>408158</v>
      </c>
      <c r="B1609" s="78">
        <v>45110</v>
      </c>
      <c r="C1609" s="47" t="s">
        <v>23</v>
      </c>
      <c r="D1609" s="49" t="s">
        <v>253</v>
      </c>
      <c r="E1609" s="47">
        <v>232633</v>
      </c>
      <c r="F1609" s="50" t="s">
        <v>89</v>
      </c>
      <c r="G1609" s="50" t="s">
        <v>89</v>
      </c>
      <c r="H1609" s="49">
        <v>148.62</v>
      </c>
      <c r="I1609" s="51"/>
      <c r="J1609" s="51">
        <v>5.19</v>
      </c>
      <c r="K1609" s="51">
        <f>Tabela6[[#This Row],[CONSUMO]]*Tabela6[[#This Row],[VALOR UNIT]]-Tabela6[[#This Row],[DESCONTO]]</f>
        <v>771.33780000000013</v>
      </c>
      <c r="L1609" s="53">
        <f>Tabela6[[#This Row],[CUSTO TOTAL]]/Tabela6[[#This Row],[CONSUMO]]</f>
        <v>5.19</v>
      </c>
      <c r="M1609" s="50">
        <f>Tabela6[[#This Row],[KM ATUAL]]-E1572</f>
        <v>-436812</v>
      </c>
      <c r="N1609" s="51">
        <f>Tabela6[[#This Row],[KM Rodados ]]/Tabela6[[#This Row],[CONSUMO]]</f>
        <v>-2939.1199031085989</v>
      </c>
      <c r="O1609" s="48"/>
      <c r="P1609" s="47"/>
      <c r="Q1609" s="49"/>
      <c r="R1609" s="47"/>
      <c r="S1609" s="50"/>
      <c r="T1609" s="51"/>
      <c r="U1609" s="49"/>
      <c r="V1609" s="51"/>
      <c r="W1609" s="51"/>
      <c r="X1609" s="53"/>
      <c r="Y1609" s="50"/>
      <c r="Z1609" s="51"/>
    </row>
    <row r="1610" spans="1:26" ht="14.45" customHeight="1" x14ac:dyDescent="0.25">
      <c r="A1610" s="47">
        <v>5946</v>
      </c>
      <c r="B1610" s="78">
        <v>45111</v>
      </c>
      <c r="C1610" s="47" t="s">
        <v>68</v>
      </c>
      <c r="D1610" s="49" t="s">
        <v>299</v>
      </c>
      <c r="E1610" s="47">
        <v>896396</v>
      </c>
      <c r="F1610" s="50" t="s">
        <v>89</v>
      </c>
      <c r="G1610" s="51" t="s">
        <v>89</v>
      </c>
      <c r="H1610" s="49">
        <v>371</v>
      </c>
      <c r="I1610" s="51"/>
      <c r="J1610" s="51">
        <v>4.45</v>
      </c>
      <c r="K1610" s="51">
        <f>Tabela6[[#This Row],[CONSUMO]]*Tabela6[[#This Row],[VALOR UNIT]]-Tabela6[[#This Row],[DESCONTO]]</f>
        <v>1650.95</v>
      </c>
      <c r="L1610" s="53">
        <f>Tabela6[[#This Row],[CUSTO TOTAL]]/Tabela6[[#This Row],[CONSUMO]]</f>
        <v>4.45</v>
      </c>
      <c r="M1610" s="50">
        <f>Tabela6[[#This Row],[KM ATUAL]]-E1574</f>
        <v>815944</v>
      </c>
      <c r="N1610" s="51">
        <f>Tabela6[[#This Row],[KM Rodados ]]/Tabela6[[#This Row],[CONSUMO]]</f>
        <v>2199.3099730458221</v>
      </c>
      <c r="O1610" s="48"/>
      <c r="P1610" s="47"/>
      <c r="Q1610" s="49"/>
      <c r="R1610" s="47"/>
      <c r="S1610" s="50"/>
      <c r="T1610" s="51"/>
      <c r="U1610" s="49"/>
      <c r="V1610" s="51"/>
      <c r="W1610" s="51"/>
      <c r="X1610" s="53"/>
      <c r="Y1610" s="50"/>
      <c r="Z1610" s="51"/>
    </row>
    <row r="1611" spans="1:26" ht="14.45" customHeight="1" x14ac:dyDescent="0.25">
      <c r="A1611" s="47">
        <v>252882</v>
      </c>
      <c r="B1611" s="78">
        <v>45111</v>
      </c>
      <c r="C1611" s="47" t="s">
        <v>43</v>
      </c>
      <c r="D1611" s="49" t="s">
        <v>251</v>
      </c>
      <c r="E1611" s="47">
        <v>133139</v>
      </c>
      <c r="F1611" s="50" t="s">
        <v>89</v>
      </c>
      <c r="G1611" s="51" t="s">
        <v>89</v>
      </c>
      <c r="H1611" s="49">
        <v>27.780999999999999</v>
      </c>
      <c r="I1611" s="51"/>
      <c r="J1611" s="51">
        <v>5.01</v>
      </c>
      <c r="K1611" s="53">
        <f>Tabela6[[#This Row],[CONSUMO]]*Tabela6[[#This Row],[VALOR UNIT]]-Tabela6[[#This Row],[DESCONTO]]</f>
        <v>139.18280999999999</v>
      </c>
      <c r="L1611" s="50">
        <v>5.01</v>
      </c>
      <c r="M1611" s="51">
        <f>Tabela6[[#This Row],[KM ATUAL]]-E1596</f>
        <v>32244</v>
      </c>
      <c r="N1611" s="51">
        <f>Tabela6[[#This Row],[KM Rodados ]]/Tabela6[[#This Row],[CONSUMO]]</f>
        <v>1160.6493646736978</v>
      </c>
      <c r="O1611" s="48"/>
      <c r="P1611" s="47"/>
      <c r="Q1611" s="49"/>
      <c r="R1611" s="47"/>
      <c r="S1611" s="50"/>
      <c r="T1611" s="51"/>
      <c r="U1611" s="49"/>
      <c r="V1611" s="51"/>
      <c r="W1611" s="51"/>
      <c r="X1611" s="53"/>
      <c r="Y1611" s="50"/>
      <c r="Z1611" s="51"/>
    </row>
    <row r="1612" spans="1:26" ht="14.45" customHeight="1" x14ac:dyDescent="0.25">
      <c r="A1612" s="47">
        <v>708647</v>
      </c>
      <c r="B1612" s="78">
        <v>45111</v>
      </c>
      <c r="C1612" s="47" t="s">
        <v>43</v>
      </c>
      <c r="D1612" s="49" t="s">
        <v>250</v>
      </c>
      <c r="E1612" s="47">
        <v>133458</v>
      </c>
      <c r="F1612" s="50" t="s">
        <v>89</v>
      </c>
      <c r="G1612" s="51" t="s">
        <v>89</v>
      </c>
      <c r="H1612" s="49">
        <v>48.05</v>
      </c>
      <c r="I1612" s="51"/>
      <c r="J1612" s="51">
        <v>4.99</v>
      </c>
      <c r="K1612" s="53">
        <f>Tabela6[[#This Row],[CONSUMO]]*Tabela6[[#This Row],[VALOR UNIT]]-Tabela6[[#This Row],[DESCONTO]]</f>
        <v>239.76949999999999</v>
      </c>
      <c r="L1612" s="50">
        <v>4.99</v>
      </c>
      <c r="M1612" s="51">
        <f>Tabela6[[#This Row],[KM ATUAL]]-E1611</f>
        <v>319</v>
      </c>
      <c r="N1612" s="51">
        <f>Tabela6[[#This Row],[KM Rodados ]]/Tabela6[[#This Row],[CONSUMO]]</f>
        <v>6.6389177939646205</v>
      </c>
      <c r="O1612" s="48"/>
      <c r="P1612" s="47"/>
      <c r="Q1612" s="49"/>
      <c r="R1612" s="47"/>
      <c r="S1612" s="50"/>
      <c r="T1612" s="51"/>
      <c r="U1612" s="49"/>
      <c r="V1612" s="51"/>
      <c r="W1612" s="51"/>
      <c r="X1612" s="53"/>
      <c r="Y1612" s="50"/>
      <c r="Z1612" s="51"/>
    </row>
    <row r="1613" spans="1:26" ht="14.45" customHeight="1" x14ac:dyDescent="0.25">
      <c r="A1613" s="47" t="s">
        <v>314</v>
      </c>
      <c r="B1613" s="78">
        <v>45111</v>
      </c>
      <c r="C1613" s="47" t="s">
        <v>215</v>
      </c>
      <c r="E1613" s="47">
        <v>225863</v>
      </c>
      <c r="F1613" s="50"/>
      <c r="G1613" s="50" t="s">
        <v>244</v>
      </c>
      <c r="H1613" s="51">
        <v>40</v>
      </c>
      <c r="I1613" s="51"/>
      <c r="K1613" s="52">
        <f>Tabela6[[#This Row],[CONSUMO]]*Tabela6[[#This Row],[VALOR UNIT]]-Tabela6[[#This Row],[DESCONTO]]</f>
        <v>0</v>
      </c>
      <c r="L1613" s="53">
        <f>Tabela6[[#This Row],[CUSTO TOTAL]]/Tabela6[[#This Row],[CONSUMO]]</f>
        <v>0</v>
      </c>
      <c r="M1613" s="50">
        <f>Tabela6[[#This Row],[KM ATUAL]]-E1612</f>
        <v>92405</v>
      </c>
      <c r="N1613" s="51">
        <f>Tabela6[[#This Row],[KM Rodados ]]/Tabela6[[#This Row],[CONSUMO]]</f>
        <v>2310.125</v>
      </c>
      <c r="O1613" s="48"/>
      <c r="P1613" s="47"/>
      <c r="Q1613" s="49"/>
      <c r="R1613" s="47"/>
      <c r="S1613" s="50"/>
      <c r="T1613" s="51"/>
      <c r="U1613" s="49"/>
      <c r="V1613" s="51"/>
      <c r="W1613" s="51"/>
      <c r="X1613" s="53"/>
      <c r="Y1613" s="50"/>
      <c r="Z1613" s="51"/>
    </row>
    <row r="1614" spans="1:26" ht="14.45" customHeight="1" x14ac:dyDescent="0.25">
      <c r="A1614" s="47" t="s">
        <v>314</v>
      </c>
      <c r="B1614" s="78">
        <v>45111</v>
      </c>
      <c r="C1614" s="47" t="s">
        <v>39</v>
      </c>
      <c r="E1614" s="47">
        <v>92337</v>
      </c>
      <c r="F1614" s="50"/>
      <c r="G1614" s="50" t="s">
        <v>89</v>
      </c>
      <c r="H1614" s="51">
        <v>26.5</v>
      </c>
      <c r="I1614" s="51"/>
      <c r="K1614" s="52">
        <f>Tabela6[[#This Row],[CONSUMO]]*Tabela6[[#This Row],[VALOR UNIT]]-Tabela6[[#This Row],[DESCONTO]]</f>
        <v>0</v>
      </c>
      <c r="L1614" s="53">
        <f>Tabela6[[#This Row],[CUSTO TOTAL]]/Tabela6[[#This Row],[CONSUMO]]</f>
        <v>0</v>
      </c>
      <c r="M1614" s="50">
        <f>Tabela6[[#This Row],[KM ATUAL]]-E1602</f>
        <v>-308568</v>
      </c>
      <c r="N1614" s="51">
        <f>Tabela6[[#This Row],[KM Rodados ]]/Tabela6[[#This Row],[CONSUMO]]</f>
        <v>-11644.075471698114</v>
      </c>
      <c r="O1614" s="48"/>
      <c r="P1614" s="47"/>
      <c r="Q1614" s="49"/>
      <c r="R1614" s="47"/>
      <c r="S1614" s="50"/>
      <c r="T1614" s="51"/>
      <c r="U1614" s="49"/>
      <c r="V1614" s="51"/>
      <c r="W1614" s="51"/>
      <c r="X1614" s="53"/>
      <c r="Y1614" s="50"/>
      <c r="Z1614" s="51"/>
    </row>
    <row r="1615" spans="1:26" ht="14.45" customHeight="1" x14ac:dyDescent="0.25">
      <c r="A1615" s="47">
        <v>588237</v>
      </c>
      <c r="B1615" s="78">
        <v>45111</v>
      </c>
      <c r="C1615" s="47" t="s">
        <v>70</v>
      </c>
      <c r="D1615" s="49" t="s">
        <v>275</v>
      </c>
      <c r="E1615" s="47">
        <v>211585</v>
      </c>
      <c r="F1615" s="50" t="s">
        <v>89</v>
      </c>
      <c r="G1615" s="50" t="s">
        <v>89</v>
      </c>
      <c r="H1615" s="49">
        <v>583.48099999999999</v>
      </c>
      <c r="I1615" s="51"/>
      <c r="J1615" s="51">
        <v>4.79</v>
      </c>
      <c r="K1615" s="51">
        <f>Tabela6[[#This Row],[CONSUMO]]*Tabela6[[#This Row],[VALOR UNIT]]-Tabela6[[#This Row],[DESCONTO]]</f>
        <v>2794.87399</v>
      </c>
      <c r="L1615" s="53">
        <f>Tabela6[[#This Row],[CUSTO TOTAL]]/Tabela6[[#This Row],[CONSUMO]]</f>
        <v>4.79</v>
      </c>
      <c r="M1615" s="50">
        <f>Tabela6[[#This Row],[KM ATUAL]]-E1543</f>
        <v>63695</v>
      </c>
      <c r="N1615" s="51">
        <f>Tabela6[[#This Row],[KM Rodados ]]/Tabela6[[#This Row],[CONSUMO]]</f>
        <v>109.16379453658303</v>
      </c>
      <c r="O1615" s="48"/>
      <c r="P1615" s="47"/>
      <c r="Q1615" s="49"/>
      <c r="R1615" s="47"/>
      <c r="S1615" s="50"/>
      <c r="T1615" s="51"/>
      <c r="U1615" s="49"/>
      <c r="V1615" s="51"/>
      <c r="W1615" s="51"/>
      <c r="X1615" s="53"/>
      <c r="Y1615" s="50"/>
      <c r="Z1615" s="51"/>
    </row>
    <row r="1616" spans="1:26" ht="14.45" customHeight="1" x14ac:dyDescent="0.25">
      <c r="A1616" s="47">
        <v>408803</v>
      </c>
      <c r="B1616" s="78">
        <v>45111</v>
      </c>
      <c r="C1616" s="47" t="s">
        <v>72</v>
      </c>
      <c r="D1616" s="49" t="s">
        <v>253</v>
      </c>
      <c r="E1616" s="47">
        <v>401167</v>
      </c>
      <c r="F1616" s="50" t="s">
        <v>89</v>
      </c>
      <c r="G1616" s="50" t="s">
        <v>89</v>
      </c>
      <c r="H1616" s="49">
        <v>34.85</v>
      </c>
      <c r="I1616" s="51"/>
      <c r="J1616" s="51">
        <v>5.19</v>
      </c>
      <c r="K1616" s="51">
        <f>Tabela6[[#This Row],[CONSUMO]]*Tabela6[[#This Row],[VALOR UNIT]]-Tabela6[[#This Row],[DESCONTO]]</f>
        <v>180.87150000000003</v>
      </c>
      <c r="L1616" s="53">
        <f>Tabela6[[#This Row],[CUSTO TOTAL]]/Tabela6[[#This Row],[CONSUMO]]</f>
        <v>5.19</v>
      </c>
      <c r="M1616" s="50">
        <f>Tabela6[[#This Row],[KM ATUAL]]-E1607</f>
        <v>87166</v>
      </c>
      <c r="N1616" s="51">
        <f>Tabela6[[#This Row],[KM Rodados ]]/Tabela6[[#This Row],[CONSUMO]]</f>
        <v>2501.1764705882351</v>
      </c>
      <c r="O1616" s="48"/>
      <c r="P1616" s="47"/>
      <c r="Q1616" s="49"/>
      <c r="R1616" s="47"/>
      <c r="S1616" s="50"/>
      <c r="T1616" s="51"/>
      <c r="U1616" s="49"/>
      <c r="V1616" s="51"/>
      <c r="W1616" s="51"/>
      <c r="X1616" s="53"/>
      <c r="Y1616" s="50"/>
      <c r="Z1616" s="51"/>
    </row>
    <row r="1617" spans="1:26" ht="14.45" customHeight="1" x14ac:dyDescent="0.25">
      <c r="A1617" s="47">
        <v>214489</v>
      </c>
      <c r="B1617" s="78">
        <v>45111</v>
      </c>
      <c r="C1617" s="47" t="s">
        <v>73</v>
      </c>
      <c r="D1617" s="49" t="s">
        <v>268</v>
      </c>
      <c r="E1617" s="47">
        <v>127324</v>
      </c>
      <c r="F1617" s="50" t="s">
        <v>89</v>
      </c>
      <c r="G1617" s="50" t="s">
        <v>89</v>
      </c>
      <c r="H1617" s="51">
        <v>224.43100000000001</v>
      </c>
      <c r="I1617" s="51"/>
      <c r="J1617" s="51">
        <v>4.79</v>
      </c>
      <c r="K1617" s="52">
        <f>Tabela6[[#This Row],[CONSUMO]]*Tabela6[[#This Row],[VALOR UNIT]]-Tabela6[[#This Row],[DESCONTO]]</f>
        <v>1075.02449</v>
      </c>
      <c r="L1617" s="53">
        <f>Tabela6[[#This Row],[CUSTO TOTAL]]/Tabela6[[#This Row],[CONSUMO]]</f>
        <v>4.79</v>
      </c>
      <c r="M1617" s="50">
        <f>Tabela6[[#This Row],[KM ATUAL]]-E1589</f>
        <v>-5438</v>
      </c>
      <c r="N1617" s="51">
        <f>Tabela6[[#This Row],[KM Rodados ]]/Tabela6[[#This Row],[CONSUMO]]</f>
        <v>-24.230164282117887</v>
      </c>
      <c r="O1617" s="48"/>
      <c r="P1617" s="47"/>
      <c r="Q1617" s="49"/>
      <c r="R1617" s="47"/>
      <c r="S1617" s="50"/>
      <c r="T1617" s="51"/>
      <c r="U1617" s="49"/>
      <c r="V1617" s="51"/>
      <c r="W1617" s="51"/>
      <c r="X1617" s="53"/>
      <c r="Y1617" s="50"/>
      <c r="Z1617" s="51"/>
    </row>
    <row r="1618" spans="1:26" ht="14.45" customHeight="1" x14ac:dyDescent="0.25">
      <c r="A1618" s="47">
        <v>5946</v>
      </c>
      <c r="B1618" s="78">
        <v>45111</v>
      </c>
      <c r="C1618" s="47" t="s">
        <v>71</v>
      </c>
      <c r="D1618" s="49" t="s">
        <v>299</v>
      </c>
      <c r="E1618" s="47">
        <v>110325</v>
      </c>
      <c r="F1618" s="50" t="s">
        <v>89</v>
      </c>
      <c r="G1618" s="50" t="s">
        <v>89</v>
      </c>
      <c r="H1618" s="49">
        <v>607</v>
      </c>
      <c r="I1618" s="51"/>
      <c r="J1618" s="51">
        <v>4.45</v>
      </c>
      <c r="K1618" s="51">
        <f>Tabela6[[#This Row],[CONSUMO]]*Tabela6[[#This Row],[VALOR UNIT]]-Tabela6[[#This Row],[DESCONTO]]</f>
        <v>2701.15</v>
      </c>
      <c r="L1618" s="53">
        <f>Tabela6[[#This Row],[CUSTO TOTAL]]/Tabela6[[#This Row],[CONSUMO]]</f>
        <v>4.45</v>
      </c>
      <c r="M1618" s="50">
        <f>Tabela6[[#This Row],[KM ATUAL]]-E1545</f>
        <v>-21610</v>
      </c>
      <c r="N1618" s="51">
        <f>Tabela6[[#This Row],[KM Rodados ]]/Tabela6[[#This Row],[CONSUMO]]</f>
        <v>-35.601317957166394</v>
      </c>
      <c r="O1618" s="48"/>
      <c r="P1618" s="47"/>
      <c r="Q1618" s="49"/>
      <c r="R1618" s="47"/>
      <c r="S1618" s="50"/>
      <c r="T1618" s="51"/>
      <c r="U1618" s="49"/>
      <c r="V1618" s="51"/>
      <c r="W1618" s="51"/>
      <c r="X1618" s="53"/>
      <c r="Y1618" s="50"/>
      <c r="Z1618" s="51"/>
    </row>
    <row r="1619" spans="1:26" ht="14.45" customHeight="1" x14ac:dyDescent="0.25">
      <c r="A1619" s="47">
        <v>5946</v>
      </c>
      <c r="B1619" s="78">
        <v>45111</v>
      </c>
      <c r="C1619" s="47" t="s">
        <v>41</v>
      </c>
      <c r="D1619" s="49" t="s">
        <v>299</v>
      </c>
      <c r="E1619" s="47">
        <v>665209</v>
      </c>
      <c r="F1619" s="50" t="s">
        <v>89</v>
      </c>
      <c r="G1619" s="50" t="s">
        <v>89</v>
      </c>
      <c r="H1619" s="49">
        <v>120</v>
      </c>
      <c r="I1619" s="51"/>
      <c r="J1619" s="51">
        <v>4.45</v>
      </c>
      <c r="K1619" s="52">
        <f>Tabela6[[#This Row],[CONSUMO]]*Tabela6[[#This Row],[VALOR UNIT]]-Tabela6[[#This Row],[DESCONTO]]</f>
        <v>534</v>
      </c>
      <c r="L1619" s="53">
        <f>Tabela6[[#This Row],[CUSTO TOTAL]]/Tabela6[[#This Row],[CONSUMO]]</f>
        <v>4.45</v>
      </c>
      <c r="M1619" s="50">
        <f>Tabela6[[#This Row],[KM ATUAL]]-E1567</f>
        <v>-230171</v>
      </c>
      <c r="N1619" s="51">
        <f>Tabela6[[#This Row],[KM Rodados ]]/Tabela6[[#This Row],[CONSUMO]]</f>
        <v>-1918.0916666666667</v>
      </c>
      <c r="O1619" s="48"/>
      <c r="P1619" s="47"/>
      <c r="Q1619" s="49"/>
      <c r="R1619" s="47"/>
      <c r="S1619" s="50"/>
      <c r="T1619" s="51"/>
      <c r="U1619" s="49"/>
      <c r="V1619" s="51"/>
      <c r="W1619" s="51"/>
      <c r="X1619" s="53"/>
      <c r="Y1619" s="50"/>
      <c r="Z1619" s="51"/>
    </row>
    <row r="1620" spans="1:26" ht="14.45" customHeight="1" x14ac:dyDescent="0.25">
      <c r="A1620" s="47">
        <v>288260</v>
      </c>
      <c r="B1620" s="78">
        <v>45111</v>
      </c>
      <c r="C1620" s="47" t="s">
        <v>13</v>
      </c>
      <c r="D1620" s="49" t="s">
        <v>270</v>
      </c>
      <c r="E1620" s="119">
        <v>630491</v>
      </c>
      <c r="F1620" s="50" t="s">
        <v>89</v>
      </c>
      <c r="G1620" s="120" t="s">
        <v>89</v>
      </c>
      <c r="H1620" s="49">
        <v>140.57</v>
      </c>
      <c r="I1620" s="51"/>
      <c r="J1620" s="51">
        <v>4.79</v>
      </c>
      <c r="K1620" s="51">
        <f>Tabela6[[#This Row],[CONSUMO]]*Tabela6[[#This Row],[VALOR UNIT]]-Tabela6[[#This Row],[DESCONTO]]</f>
        <v>673.33029999999997</v>
      </c>
      <c r="L1620" s="53">
        <f>Tabela6[[#This Row],[CUSTO TOTAL]]/Tabela6[[#This Row],[CONSUMO]]</f>
        <v>4.79</v>
      </c>
      <c r="M1620" s="50">
        <f>Tabela6[[#This Row],[KM ATUAL]]-E1603</f>
        <v>549484</v>
      </c>
      <c r="N1620" s="51">
        <f>Tabela6[[#This Row],[KM Rodados ]]/Tabela6[[#This Row],[CONSUMO]]</f>
        <v>3908.9706196201182</v>
      </c>
      <c r="O1620" s="48"/>
      <c r="P1620" s="47"/>
      <c r="Q1620" s="49"/>
      <c r="R1620" s="47"/>
      <c r="S1620" s="50"/>
      <c r="T1620" s="51"/>
      <c r="U1620" s="49"/>
      <c r="V1620" s="51"/>
      <c r="W1620" s="51"/>
      <c r="X1620" s="53"/>
      <c r="Y1620" s="50"/>
      <c r="Z1620" s="51"/>
    </row>
    <row r="1621" spans="1:26" ht="14.45" customHeight="1" x14ac:dyDescent="0.25">
      <c r="A1621" s="47">
        <v>835513</v>
      </c>
      <c r="B1621" s="78">
        <v>45111</v>
      </c>
      <c r="C1621" s="47" t="s">
        <v>15</v>
      </c>
      <c r="D1621" s="49" t="s">
        <v>284</v>
      </c>
      <c r="E1621" s="47">
        <v>371211</v>
      </c>
      <c r="F1621" s="50" t="s">
        <v>89</v>
      </c>
      <c r="G1621" s="50" t="s">
        <v>89</v>
      </c>
      <c r="H1621" s="49">
        <v>76.241</v>
      </c>
      <c r="I1621" s="51"/>
      <c r="J1621" s="51">
        <v>4.74</v>
      </c>
      <c r="K1621" s="52">
        <f>Tabela6[[#This Row],[CONSUMO]]*Tabela6[[#This Row],[VALOR UNIT]]-Tabela6[[#This Row],[DESCONTO]]</f>
        <v>361.38234</v>
      </c>
      <c r="L1621" s="53">
        <f>Tabela6[[#This Row],[CUSTO TOTAL]]/Tabela6[[#This Row],[CONSUMO]]</f>
        <v>4.74</v>
      </c>
      <c r="M1621" s="50">
        <f>Tabela6[[#This Row],[KM ATUAL]]-E1571</f>
        <v>-113476</v>
      </c>
      <c r="N1621" s="51">
        <f>Tabela6[[#This Row],[KM Rodados ]]/Tabela6[[#This Row],[CONSUMO]]</f>
        <v>-1488.3855143557928</v>
      </c>
      <c r="O1621" s="48"/>
      <c r="P1621" s="47"/>
      <c r="Q1621" s="49"/>
      <c r="R1621" s="47"/>
      <c r="S1621" s="50"/>
      <c r="T1621" s="51"/>
      <c r="U1621" s="49"/>
      <c r="V1621" s="51"/>
      <c r="W1621" s="51"/>
      <c r="X1621" s="53"/>
      <c r="Y1621" s="50"/>
      <c r="Z1621" s="51"/>
    </row>
    <row r="1622" spans="1:26" ht="14.45" customHeight="1" x14ac:dyDescent="0.25">
      <c r="A1622" s="47" t="s">
        <v>314</v>
      </c>
      <c r="B1622" s="78">
        <v>45111</v>
      </c>
      <c r="C1622" s="49" t="s">
        <v>40</v>
      </c>
      <c r="E1622" s="47">
        <v>149309</v>
      </c>
      <c r="F1622" s="50"/>
      <c r="G1622" s="50" t="s">
        <v>244</v>
      </c>
      <c r="H1622" s="51">
        <v>39.630000000000003</v>
      </c>
      <c r="I1622" s="51"/>
      <c r="K1622" s="52">
        <f>Tabela6[[#This Row],[CONSUMO]]*Tabela6[[#This Row],[VALOR UNIT]]-Tabela6[[#This Row],[DESCONTO]]</f>
        <v>0</v>
      </c>
      <c r="L1622" s="53">
        <f>Tabela6[[#This Row],[CUSTO TOTAL]]/Tabela6[[#This Row],[CONSUMO]]</f>
        <v>0</v>
      </c>
      <c r="M1622" s="50">
        <f>Tabela6[[#This Row],[KM ATUAL]]-E1621</f>
        <v>-221902</v>
      </c>
      <c r="N1622" s="51">
        <f>Tabela6[[#This Row],[KM Rodados ]]/Tabela6[[#This Row],[CONSUMO]]</f>
        <v>-5599.343931365127</v>
      </c>
      <c r="O1622" s="48"/>
      <c r="P1622" s="47"/>
      <c r="Q1622" s="49"/>
      <c r="R1622" s="47"/>
      <c r="S1622" s="50"/>
      <c r="T1622" s="51"/>
      <c r="U1622" s="49"/>
      <c r="V1622" s="51"/>
      <c r="W1622" s="51"/>
      <c r="X1622" s="53"/>
      <c r="Y1622" s="50"/>
      <c r="Z1622" s="51"/>
    </row>
    <row r="1623" spans="1:26" ht="14.45" customHeight="1" x14ac:dyDescent="0.25">
      <c r="A1623" s="47">
        <v>5946</v>
      </c>
      <c r="B1623" s="78">
        <v>45111</v>
      </c>
      <c r="C1623" s="47" t="s">
        <v>74</v>
      </c>
      <c r="D1623" s="49" t="s">
        <v>299</v>
      </c>
      <c r="E1623" s="47">
        <v>62056</v>
      </c>
      <c r="F1623" s="50" t="s">
        <v>89</v>
      </c>
      <c r="G1623" s="50" t="s">
        <v>89</v>
      </c>
      <c r="H1623" s="49">
        <v>64</v>
      </c>
      <c r="I1623" s="51"/>
      <c r="J1623" s="51">
        <v>4.45</v>
      </c>
      <c r="K1623" s="51">
        <f>Tabela6[[#This Row],[CONSUMO]]*Tabela6[[#This Row],[VALOR UNIT]]-Tabela6[[#This Row],[DESCONTO]]</f>
        <v>284.8</v>
      </c>
      <c r="L1623" s="53">
        <f>Tabela6[[#This Row],[CUSTO TOTAL]]/Tabela6[[#This Row],[CONSUMO]]</f>
        <v>4.45</v>
      </c>
      <c r="M1623" s="50">
        <f>Tabela6[[#This Row],[KM ATUAL]]-E1583</f>
        <v>-251358</v>
      </c>
      <c r="N1623" s="51">
        <f>Tabela6[[#This Row],[KM Rodados ]]/Tabela6[[#This Row],[CONSUMO]]</f>
        <v>-3927.46875</v>
      </c>
      <c r="O1623" s="48"/>
      <c r="P1623" s="47"/>
      <c r="Q1623" s="49"/>
      <c r="R1623" s="47"/>
      <c r="S1623" s="50"/>
      <c r="T1623" s="51"/>
      <c r="U1623" s="49"/>
      <c r="V1623" s="51"/>
      <c r="W1623" s="51"/>
      <c r="X1623" s="53"/>
      <c r="Y1623" s="50"/>
      <c r="Z1623" s="51"/>
    </row>
    <row r="1624" spans="1:26" ht="14.45" customHeight="1" x14ac:dyDescent="0.25">
      <c r="A1624" s="47">
        <v>288468</v>
      </c>
      <c r="B1624" s="78">
        <v>45112</v>
      </c>
      <c r="C1624" s="47" t="s">
        <v>9</v>
      </c>
      <c r="D1624" s="49" t="s">
        <v>270</v>
      </c>
      <c r="E1624" s="47">
        <v>610495</v>
      </c>
      <c r="F1624" s="50" t="s">
        <v>89</v>
      </c>
      <c r="G1624" s="50" t="s">
        <v>89</v>
      </c>
      <c r="H1624" s="49">
        <v>131.75</v>
      </c>
      <c r="I1624" s="51"/>
      <c r="J1624" s="51">
        <v>4.79</v>
      </c>
      <c r="K1624" s="53">
        <f>Tabela6[[#This Row],[CONSUMO]]*Tabela6[[#This Row],[VALOR UNIT]]-Tabela6[[#This Row],[DESCONTO]]</f>
        <v>631.08249999999998</v>
      </c>
      <c r="L1624" s="53">
        <v>4.79</v>
      </c>
      <c r="M1624" s="50">
        <f>Tabela6[[#This Row],[KM ATUAL]]-E1585</f>
        <v>574</v>
      </c>
      <c r="N1624" s="51">
        <f>Tabela6[[#This Row],[KM Rodados ]]/Tabela6[[#This Row],[CONSUMO]]</f>
        <v>4.3567362428842502</v>
      </c>
      <c r="O1624" s="48"/>
      <c r="P1624" s="47"/>
      <c r="Q1624" s="49"/>
      <c r="R1624" s="47"/>
      <c r="S1624" s="50"/>
      <c r="T1624" s="51"/>
      <c r="U1624" s="49"/>
      <c r="V1624" s="51"/>
      <c r="W1624" s="51"/>
      <c r="X1624" s="53"/>
      <c r="Y1624" s="50"/>
      <c r="Z1624" s="51"/>
    </row>
    <row r="1625" spans="1:26" ht="14.45" customHeight="1" x14ac:dyDescent="0.25">
      <c r="A1625" s="47">
        <v>5946</v>
      </c>
      <c r="B1625" s="78">
        <v>45112</v>
      </c>
      <c r="C1625" s="47" t="s">
        <v>67</v>
      </c>
      <c r="D1625" s="49" t="s">
        <v>299</v>
      </c>
      <c r="E1625" s="47">
        <v>670114</v>
      </c>
      <c r="F1625" s="50" t="s">
        <v>89</v>
      </c>
      <c r="G1625" s="51" t="s">
        <v>89</v>
      </c>
      <c r="H1625" s="49">
        <v>174</v>
      </c>
      <c r="I1625" s="51"/>
      <c r="J1625" s="51">
        <v>4.45</v>
      </c>
      <c r="K1625" s="53">
        <f>Tabela6[[#This Row],[CONSUMO]]*Tabela6[[#This Row],[VALOR UNIT]]-Tabela6[[#This Row],[DESCONTO]]</f>
        <v>774.30000000000007</v>
      </c>
      <c r="L1625" s="50">
        <v>4.45</v>
      </c>
      <c r="M1625" s="50">
        <f>Tabela6[[#This Row],[KM ATUAL]]-E1577</f>
        <v>355242</v>
      </c>
      <c r="N1625" s="51">
        <f>Tabela6[[#This Row],[KM Rodados ]]/Tabela6[[#This Row],[CONSUMO]]</f>
        <v>2041.6206896551723</v>
      </c>
      <c r="O1625" s="48"/>
      <c r="P1625" s="47"/>
      <c r="Q1625" s="49"/>
      <c r="R1625" s="47"/>
      <c r="S1625" s="50"/>
      <c r="T1625" s="51"/>
      <c r="U1625" s="49"/>
      <c r="V1625" s="51"/>
      <c r="W1625" s="51"/>
      <c r="X1625" s="53"/>
      <c r="Y1625" s="50"/>
      <c r="Z1625" s="51"/>
    </row>
    <row r="1626" spans="1:26" ht="14.45" customHeight="1" x14ac:dyDescent="0.25">
      <c r="A1626" s="47">
        <v>5946</v>
      </c>
      <c r="B1626" s="78">
        <v>45112</v>
      </c>
      <c r="C1626" s="47" t="s">
        <v>39</v>
      </c>
      <c r="D1626" s="49" t="s">
        <v>299</v>
      </c>
      <c r="E1626" s="47">
        <v>92669</v>
      </c>
      <c r="F1626" s="50" t="s">
        <v>89</v>
      </c>
      <c r="G1626" s="50" t="s">
        <v>89</v>
      </c>
      <c r="H1626" s="51">
        <v>51</v>
      </c>
      <c r="I1626" s="51"/>
      <c r="J1626" s="51">
        <v>4.45</v>
      </c>
      <c r="K1626" s="53">
        <f>Tabela6[[#This Row],[CONSUMO]]*Tabela6[[#This Row],[VALOR UNIT]]-Tabela6[[#This Row],[DESCONTO]]</f>
        <v>226.95000000000002</v>
      </c>
      <c r="L1626" s="50">
        <v>4.45</v>
      </c>
      <c r="M1626" s="50">
        <f>Tabela6[[#This Row],[KM ATUAL]]-E1623</f>
        <v>30613</v>
      </c>
      <c r="N1626" s="51">
        <f>Tabela6[[#This Row],[KM Rodados ]]/Tabela6[[#This Row],[CONSUMO]]</f>
        <v>600.25490196078431</v>
      </c>
      <c r="O1626" s="48"/>
      <c r="P1626" s="47"/>
      <c r="Q1626" s="49"/>
      <c r="R1626" s="47"/>
      <c r="S1626" s="50"/>
      <c r="T1626" s="51"/>
      <c r="U1626" s="49"/>
      <c r="V1626" s="51"/>
      <c r="W1626" s="51"/>
      <c r="X1626" s="53"/>
      <c r="Y1626" s="50"/>
      <c r="Z1626" s="51"/>
    </row>
    <row r="1627" spans="1:26" ht="14.45" customHeight="1" x14ac:dyDescent="0.25">
      <c r="A1627" s="47" t="s">
        <v>314</v>
      </c>
      <c r="B1627" s="78">
        <v>45112</v>
      </c>
      <c r="C1627" s="47" t="s">
        <v>203</v>
      </c>
      <c r="E1627" s="47">
        <v>101464</v>
      </c>
      <c r="F1627" s="50"/>
      <c r="G1627" s="50" t="s">
        <v>244</v>
      </c>
      <c r="H1627" s="51">
        <v>44.52</v>
      </c>
      <c r="I1627" s="51"/>
      <c r="K1627" s="53">
        <f>Tabela6[[#This Row],[CONSUMO]]*Tabela6[[#This Row],[VALOR UNIT]]-Tabela6[[#This Row],[DESCONTO]]</f>
        <v>0</v>
      </c>
      <c r="L1627" s="53">
        <f>Tabela6[[#This Row],[CUSTO TOTAL]]/Tabela6[[#This Row],[CONSUMO]]</f>
        <v>0</v>
      </c>
      <c r="M1627" s="50">
        <f>Tabela6[[#This Row],[KM ATUAL]]-E1626</f>
        <v>8795</v>
      </c>
      <c r="N1627" s="51">
        <f>Tabela6[[#This Row],[KM Rodados ]]/Tabela6[[#This Row],[CONSUMO]]</f>
        <v>197.55166217430366</v>
      </c>
      <c r="O1627" s="48"/>
      <c r="P1627" s="47"/>
      <c r="Q1627" s="49"/>
      <c r="R1627" s="47"/>
      <c r="S1627" s="50"/>
      <c r="T1627" s="51"/>
      <c r="U1627" s="49"/>
      <c r="V1627" s="51"/>
      <c r="W1627" s="51"/>
      <c r="X1627" s="53"/>
      <c r="Y1627" s="50"/>
      <c r="Z1627" s="51"/>
    </row>
    <row r="1628" spans="1:26" ht="14.45" customHeight="1" x14ac:dyDescent="0.25">
      <c r="A1628" s="47">
        <v>5946</v>
      </c>
      <c r="B1628" s="78">
        <v>45112</v>
      </c>
      <c r="C1628" s="47" t="s">
        <v>21</v>
      </c>
      <c r="D1628" s="49" t="s">
        <v>299</v>
      </c>
      <c r="E1628" s="47">
        <v>146381</v>
      </c>
      <c r="F1628" s="50" t="s">
        <v>89</v>
      </c>
      <c r="G1628" s="50" t="s">
        <v>89</v>
      </c>
      <c r="H1628" s="49">
        <v>125</v>
      </c>
      <c r="I1628" s="51"/>
      <c r="J1628" s="51">
        <v>4.45</v>
      </c>
      <c r="K1628" s="52">
        <f>Tabela6[[#This Row],[CONSUMO]]*Tabela6[[#This Row],[VALOR UNIT]]-Tabela6[[#This Row],[DESCONTO]]</f>
        <v>556.25</v>
      </c>
      <c r="L1628" s="53">
        <f>Tabela6[[#This Row],[CUSTO TOTAL]]/Tabela6[[#This Row],[CONSUMO]]</f>
        <v>4.45</v>
      </c>
      <c r="M1628" s="50">
        <f>Tabela6[[#This Row],[KM ATUAL]]-E1598</f>
        <v>-253613</v>
      </c>
      <c r="N1628" s="51">
        <f>Tabela6[[#This Row],[KM Rodados ]]/Tabela6[[#This Row],[CONSUMO]]</f>
        <v>-2028.904</v>
      </c>
      <c r="O1628" s="48"/>
      <c r="P1628" s="47"/>
      <c r="Q1628" s="49"/>
      <c r="R1628" s="47"/>
      <c r="S1628" s="50"/>
      <c r="T1628" s="51"/>
      <c r="U1628" s="49"/>
      <c r="V1628" s="51"/>
      <c r="W1628" s="51"/>
      <c r="X1628" s="53"/>
      <c r="Y1628" s="50"/>
      <c r="Z1628" s="51"/>
    </row>
    <row r="1629" spans="1:26" ht="14.45" customHeight="1" x14ac:dyDescent="0.25">
      <c r="A1629" s="47">
        <v>409421</v>
      </c>
      <c r="B1629" s="78">
        <v>45112</v>
      </c>
      <c r="C1629" s="47" t="s">
        <v>11</v>
      </c>
      <c r="D1629" s="49" t="s">
        <v>253</v>
      </c>
      <c r="E1629" s="47">
        <v>395614</v>
      </c>
      <c r="F1629" s="50" t="s">
        <v>89</v>
      </c>
      <c r="G1629" s="50" t="s">
        <v>89</v>
      </c>
      <c r="H1629" s="49">
        <v>91.91</v>
      </c>
      <c r="I1629" s="51"/>
      <c r="J1629" s="51">
        <v>5.19</v>
      </c>
      <c r="K1629" s="51">
        <f>Tabela6[[#This Row],[CONSUMO]]*Tabela6[[#This Row],[VALOR UNIT]]-Tabela6[[#This Row],[DESCONTO]]</f>
        <v>477.0129</v>
      </c>
      <c r="L1629" s="53">
        <f>Tabela6[[#This Row],[CUSTO TOTAL]]/Tabela6[[#This Row],[CONSUMO]]</f>
        <v>5.19</v>
      </c>
      <c r="M1629" s="50">
        <f>Tabela6[[#This Row],[KM ATUAL]]-E1548</f>
        <v>-213869</v>
      </c>
      <c r="N1629" s="51">
        <f>Tabela6[[#This Row],[KM Rodados ]]/Tabela6[[#This Row],[CONSUMO]]</f>
        <v>-2326.9393972364269</v>
      </c>
      <c r="O1629" s="48"/>
      <c r="P1629" s="47"/>
      <c r="Q1629" s="49"/>
      <c r="R1629" s="47"/>
      <c r="S1629" s="50"/>
      <c r="T1629" s="51"/>
      <c r="U1629" s="49"/>
      <c r="V1629" s="51"/>
      <c r="W1629" s="51"/>
      <c r="X1629" s="53"/>
      <c r="Y1629" s="50"/>
      <c r="Z1629" s="51"/>
    </row>
    <row r="1630" spans="1:26" ht="14.45" customHeight="1" x14ac:dyDescent="0.25">
      <c r="A1630" s="47">
        <v>691736</v>
      </c>
      <c r="B1630" s="78">
        <v>45112</v>
      </c>
      <c r="C1630" s="47" t="s">
        <v>13</v>
      </c>
      <c r="D1630" s="49" t="s">
        <v>264</v>
      </c>
      <c r="E1630" s="119">
        <v>630934</v>
      </c>
      <c r="F1630" s="50" t="s">
        <v>89</v>
      </c>
      <c r="G1630" s="120" t="s">
        <v>89</v>
      </c>
      <c r="H1630" s="49">
        <v>102.874</v>
      </c>
      <c r="I1630" s="51"/>
      <c r="J1630" s="51">
        <v>5.05</v>
      </c>
      <c r="K1630" s="51">
        <f>Tabela6[[#This Row],[CONSUMO]]*Tabela6[[#This Row],[VALOR UNIT]]-Tabela6[[#This Row],[DESCONTO]]</f>
        <v>519.51369999999997</v>
      </c>
      <c r="L1630" s="53">
        <f>Tabela6[[#This Row],[CUSTO TOTAL]]/Tabela6[[#This Row],[CONSUMO]]</f>
        <v>5.05</v>
      </c>
      <c r="M1630" s="50">
        <f>Tabela6[[#This Row],[KM ATUAL]]-E1614</f>
        <v>538597</v>
      </c>
      <c r="N1630" s="51">
        <f>Tabela6[[#This Row],[KM Rodados ]]/Tabela6[[#This Row],[CONSUMO]]</f>
        <v>5235.5016816688376</v>
      </c>
      <c r="O1630" s="48"/>
      <c r="P1630" s="47"/>
      <c r="Q1630" s="49"/>
      <c r="R1630" s="47"/>
      <c r="S1630" s="50"/>
      <c r="T1630" s="51"/>
      <c r="U1630" s="49"/>
      <c r="V1630" s="51"/>
      <c r="W1630" s="51"/>
      <c r="X1630" s="53"/>
      <c r="Y1630" s="50"/>
      <c r="Z1630" s="51"/>
    </row>
    <row r="1631" spans="1:26" ht="14.45" customHeight="1" x14ac:dyDescent="0.25">
      <c r="A1631" s="47" t="s">
        <v>314</v>
      </c>
      <c r="B1631" s="78">
        <v>45112</v>
      </c>
      <c r="C1631" s="47" t="s">
        <v>17</v>
      </c>
      <c r="E1631" s="47">
        <v>357675</v>
      </c>
      <c r="F1631" s="50"/>
      <c r="G1631" s="50" t="s">
        <v>89</v>
      </c>
      <c r="H1631" s="51">
        <v>92.3</v>
      </c>
      <c r="I1631" s="51"/>
      <c r="K1631" s="53">
        <f>Tabela6[[#This Row],[CONSUMO]]*Tabela6[[#This Row],[VALOR UNIT]]-Tabela6[[#This Row],[DESCONTO]]</f>
        <v>0</v>
      </c>
      <c r="L1631" s="53">
        <f>Tabela6[[#This Row],[CUSTO TOTAL]]/Tabela6[[#This Row],[CONSUMO]]</f>
        <v>0</v>
      </c>
      <c r="M1631" s="50">
        <f>Tabela6[[#This Row],[KM ATUAL]]-E1588</f>
        <v>208838</v>
      </c>
      <c r="N1631" s="50">
        <f>Tabela6[[#This Row],[KM Rodados ]]/Tabela6[[#This Row],[CONSUMO]]</f>
        <v>2262.6002166847238</v>
      </c>
      <c r="O1631" s="48"/>
      <c r="P1631" s="47"/>
      <c r="Q1631" s="49"/>
      <c r="R1631" s="47"/>
      <c r="S1631" s="50"/>
      <c r="T1631" s="51"/>
      <c r="U1631" s="49"/>
      <c r="V1631" s="51"/>
      <c r="W1631" s="51"/>
      <c r="X1631" s="53"/>
      <c r="Y1631" s="50"/>
      <c r="Z1631" s="51"/>
    </row>
    <row r="1632" spans="1:26" ht="14.45" customHeight="1" x14ac:dyDescent="0.25">
      <c r="A1632" s="47">
        <v>546546</v>
      </c>
      <c r="B1632" s="78">
        <v>45112</v>
      </c>
      <c r="C1632" s="47" t="s">
        <v>18</v>
      </c>
      <c r="D1632" s="49" t="s">
        <v>255</v>
      </c>
      <c r="E1632" s="47">
        <v>319086</v>
      </c>
      <c r="F1632" s="50" t="s">
        <v>89</v>
      </c>
      <c r="G1632" s="51" t="s">
        <v>89</v>
      </c>
      <c r="H1632" s="49">
        <v>97.081000000000003</v>
      </c>
      <c r="I1632" s="51"/>
      <c r="J1632" s="51">
        <v>5.32</v>
      </c>
      <c r="K1632" s="51">
        <f>Tabela6[[#This Row],[CONSUMO]]*Tabela6[[#This Row],[VALOR UNIT]]-Tabela6[[#This Row],[DESCONTO]]</f>
        <v>516.47092000000009</v>
      </c>
      <c r="L1632" s="53">
        <f>Tabela6[[#This Row],[CUSTO TOTAL]]/Tabela6[[#This Row],[CONSUMO]]</f>
        <v>5.3200000000000012</v>
      </c>
      <c r="M1632" s="50">
        <f>Tabela6[[#This Row],[KM ATUAL]]-E1595</f>
        <v>226904</v>
      </c>
      <c r="N1632" s="79">
        <f>Tabela6[[#This Row],[KM Rodados ]]/Tabela6[[#This Row],[CONSUMO]]</f>
        <v>2337.2647582946197</v>
      </c>
      <c r="O1632" s="48"/>
      <c r="P1632" s="47"/>
      <c r="Q1632" s="49"/>
      <c r="R1632" s="47"/>
      <c r="S1632" s="50"/>
      <c r="T1632" s="51"/>
      <c r="U1632" s="49"/>
      <c r="V1632" s="51"/>
      <c r="W1632" s="51"/>
      <c r="X1632" s="53"/>
      <c r="Y1632" s="50"/>
      <c r="Z1632" s="51"/>
    </row>
    <row r="1633" spans="1:26" ht="14.45" customHeight="1" x14ac:dyDescent="0.25">
      <c r="A1633" s="47">
        <v>5946</v>
      </c>
      <c r="B1633" s="78">
        <v>45112</v>
      </c>
      <c r="C1633" s="47" t="s">
        <v>19</v>
      </c>
      <c r="D1633" s="49" t="s">
        <v>299</v>
      </c>
      <c r="E1633" s="47">
        <v>314390</v>
      </c>
      <c r="F1633" s="50" t="s">
        <v>89</v>
      </c>
      <c r="G1633" s="50" t="s">
        <v>89</v>
      </c>
      <c r="H1633" s="51">
        <v>98</v>
      </c>
      <c r="I1633" s="51"/>
      <c r="J1633" s="51">
        <v>4.45</v>
      </c>
      <c r="K1633" s="51">
        <f>Tabela6[[#This Row],[CONSUMO]]*Tabela6[[#This Row],[VALOR UNIT]]-Tabela6[[#This Row],[DESCONTO]]</f>
        <v>436.1</v>
      </c>
      <c r="L1633" s="53">
        <f>Tabela6[[#This Row],[CUSTO TOTAL]]/Tabela6[[#This Row],[CONSUMO]]</f>
        <v>4.45</v>
      </c>
      <c r="M1633" s="50">
        <f>Tabela6[[#This Row],[KM ATUAL]]-E1608</f>
        <v>57260</v>
      </c>
      <c r="N1633" s="51">
        <f>Tabela6[[#This Row],[KM Rodados ]]/Tabela6[[#This Row],[CONSUMO]]</f>
        <v>584.28571428571433</v>
      </c>
      <c r="O1633" s="48"/>
      <c r="P1633" s="47"/>
      <c r="Q1633" s="49"/>
      <c r="R1633" s="47"/>
      <c r="S1633" s="50"/>
      <c r="T1633" s="51"/>
      <c r="U1633" s="49"/>
      <c r="V1633" s="51"/>
      <c r="W1633" s="51"/>
      <c r="X1633" s="53"/>
      <c r="Y1633" s="50"/>
      <c r="Z1633" s="51"/>
    </row>
    <row r="1634" spans="1:26" ht="14.45" customHeight="1" x14ac:dyDescent="0.25">
      <c r="A1634" s="47">
        <v>5946</v>
      </c>
      <c r="B1634" s="78">
        <v>45112</v>
      </c>
      <c r="C1634" s="47" t="s">
        <v>20</v>
      </c>
      <c r="D1634" s="49" t="s">
        <v>299</v>
      </c>
      <c r="E1634" s="47">
        <v>257404</v>
      </c>
      <c r="F1634" s="50" t="s">
        <v>89</v>
      </c>
      <c r="G1634" s="50" t="s">
        <v>89</v>
      </c>
      <c r="H1634" s="49">
        <v>33</v>
      </c>
      <c r="I1634" s="51"/>
      <c r="J1634" s="51">
        <v>4.45</v>
      </c>
      <c r="K1634" s="52">
        <f>Tabela6[[#This Row],[CONSUMO]]*Tabela6[[#This Row],[VALOR UNIT]]-Tabela6[[#This Row],[DESCONTO]]</f>
        <v>146.85</v>
      </c>
      <c r="L1634" s="53">
        <f>Tabela6[[#This Row],[CUSTO TOTAL]]/Tabela6[[#This Row],[CONSUMO]]</f>
        <v>4.45</v>
      </c>
      <c r="M1634" s="50">
        <f>Tabela6[[#This Row],[KM ATUAL]]-E1611</f>
        <v>124265</v>
      </c>
      <c r="N1634" s="51">
        <f>Tabela6[[#This Row],[KM Rodados ]]/Tabela6[[#This Row],[CONSUMO]]</f>
        <v>3765.6060606060605</v>
      </c>
      <c r="O1634" s="48"/>
      <c r="P1634" s="47"/>
      <c r="Q1634" s="49"/>
      <c r="R1634" s="47"/>
      <c r="S1634" s="50"/>
      <c r="T1634" s="51"/>
      <c r="U1634" s="49"/>
      <c r="V1634" s="51"/>
      <c r="W1634" s="51"/>
      <c r="X1634" s="53"/>
      <c r="Y1634" s="50"/>
      <c r="Z1634" s="51"/>
    </row>
    <row r="1635" spans="1:26" ht="14.45" customHeight="1" x14ac:dyDescent="0.25">
      <c r="A1635" s="47">
        <v>409410</v>
      </c>
      <c r="B1635" s="78">
        <v>45112</v>
      </c>
      <c r="C1635" s="47" t="s">
        <v>23</v>
      </c>
      <c r="D1635" s="49" t="s">
        <v>253</v>
      </c>
      <c r="E1635" s="47">
        <v>233167</v>
      </c>
      <c r="F1635" s="50" t="s">
        <v>89</v>
      </c>
      <c r="G1635" s="50" t="s">
        <v>89</v>
      </c>
      <c r="H1635" s="49">
        <v>128.02000000000001</v>
      </c>
      <c r="I1635" s="51"/>
      <c r="J1635" s="51">
        <v>5.19</v>
      </c>
      <c r="K1635" s="51">
        <f>Tabela6[[#This Row],[CONSUMO]]*Tabela6[[#This Row],[VALOR UNIT]]-Tabela6[[#This Row],[DESCONTO]]</f>
        <v>664.42380000000014</v>
      </c>
      <c r="L1635" s="53">
        <f>Tabela6[[#This Row],[CUSTO TOTAL]]/Tabela6[[#This Row],[CONSUMO]]</f>
        <v>5.19</v>
      </c>
      <c r="M1635" s="50">
        <f>Tabela6[[#This Row],[KM ATUAL]]-E1613</f>
        <v>7304</v>
      </c>
      <c r="N1635" s="51">
        <f>Tabela6[[#This Row],[KM Rodados ]]/Tabela6[[#This Row],[CONSUMO]]</f>
        <v>57.053585377284797</v>
      </c>
      <c r="O1635" s="48"/>
      <c r="P1635" s="47"/>
      <c r="Q1635" s="49"/>
      <c r="R1635" s="47"/>
      <c r="S1635" s="50"/>
      <c r="T1635" s="51"/>
      <c r="U1635" s="49"/>
      <c r="V1635" s="51"/>
      <c r="W1635" s="51"/>
      <c r="X1635" s="53"/>
      <c r="Y1635" s="50"/>
      <c r="Z1635" s="51"/>
    </row>
    <row r="1636" spans="1:26" ht="14.45" customHeight="1" x14ac:dyDescent="0.25">
      <c r="A1636" s="47">
        <v>5946</v>
      </c>
      <c r="B1636" s="78">
        <v>45113</v>
      </c>
      <c r="C1636" s="47" t="s">
        <v>68</v>
      </c>
      <c r="D1636" s="49" t="s">
        <v>299</v>
      </c>
      <c r="E1636" s="47">
        <v>897194</v>
      </c>
      <c r="F1636" s="50" t="s">
        <v>89</v>
      </c>
      <c r="G1636" s="51" t="s">
        <v>89</v>
      </c>
      <c r="H1636" s="49">
        <v>370</v>
      </c>
      <c r="I1636" s="51"/>
      <c r="J1636" s="51">
        <v>4.45</v>
      </c>
      <c r="K1636" s="51">
        <f>Tabela6[[#This Row],[CONSUMO]]*Tabela6[[#This Row],[VALOR UNIT]]-Tabela6[[#This Row],[DESCONTO]]</f>
        <v>1646.5</v>
      </c>
      <c r="L1636" s="53">
        <f>Tabela6[[#This Row],[CUSTO TOTAL]]/Tabela6[[#This Row],[CONSUMO]]</f>
        <v>4.45</v>
      </c>
      <c r="M1636" s="50">
        <f>Tabela6[[#This Row],[KM ATUAL]]-E1615</f>
        <v>685609</v>
      </c>
      <c r="N1636" s="51">
        <f>Tabela6[[#This Row],[KM Rodados ]]/Tabela6[[#This Row],[CONSUMO]]</f>
        <v>1852.9972972972973</v>
      </c>
      <c r="O1636" s="48"/>
      <c r="P1636" s="47"/>
      <c r="Q1636" s="49"/>
      <c r="R1636" s="47"/>
      <c r="S1636" s="50"/>
      <c r="T1636" s="51"/>
      <c r="U1636" s="49"/>
      <c r="V1636" s="51"/>
      <c r="W1636" s="51"/>
      <c r="X1636" s="53"/>
      <c r="Y1636" s="50"/>
      <c r="Z1636" s="51"/>
    </row>
    <row r="1637" spans="1:26" ht="14.45" customHeight="1" x14ac:dyDescent="0.25">
      <c r="A1637" s="47">
        <v>5946</v>
      </c>
      <c r="B1637" s="78">
        <v>45113</v>
      </c>
      <c r="C1637" s="47" t="s">
        <v>43</v>
      </c>
      <c r="D1637" s="49" t="s">
        <v>299</v>
      </c>
      <c r="E1637" s="47">
        <v>133653</v>
      </c>
      <c r="F1637" s="50" t="s">
        <v>89</v>
      </c>
      <c r="G1637" s="51" t="s">
        <v>89</v>
      </c>
      <c r="H1637" s="49">
        <v>31</v>
      </c>
      <c r="I1637" s="51"/>
      <c r="J1637" s="51">
        <v>4.45</v>
      </c>
      <c r="K1637" s="53">
        <f>Tabela6[[#This Row],[CONSUMO]]*Tabela6[[#This Row],[VALOR UNIT]]-Tabela6[[#This Row],[DESCONTO]]</f>
        <v>137.95000000000002</v>
      </c>
      <c r="L1637" s="50">
        <v>4.45</v>
      </c>
      <c r="M1637" s="51">
        <f>Tabela6[[#This Row],[KM ATUAL]]-E1614</f>
        <v>41316</v>
      </c>
      <c r="N1637" s="51">
        <f>Tabela6[[#This Row],[KM Rodados ]]/Tabela6[[#This Row],[CONSUMO]]</f>
        <v>1332.7741935483871</v>
      </c>
      <c r="O1637" s="48"/>
      <c r="P1637" s="47"/>
      <c r="Q1637" s="49"/>
      <c r="R1637" s="47"/>
      <c r="S1637" s="50"/>
      <c r="T1637" s="51"/>
      <c r="U1637" s="49"/>
      <c r="V1637" s="51"/>
      <c r="W1637" s="51"/>
      <c r="X1637" s="53"/>
      <c r="Y1637" s="50"/>
      <c r="Z1637" s="51"/>
    </row>
    <row r="1638" spans="1:26" ht="14.45" customHeight="1" x14ac:dyDescent="0.25">
      <c r="A1638" s="47">
        <v>5946</v>
      </c>
      <c r="B1638" s="78">
        <v>45113</v>
      </c>
      <c r="C1638" s="47" t="s">
        <v>43</v>
      </c>
      <c r="D1638" s="49" t="s">
        <v>299</v>
      </c>
      <c r="E1638" s="47">
        <v>133817</v>
      </c>
      <c r="F1638" s="50" t="s">
        <v>89</v>
      </c>
      <c r="G1638" s="51" t="s">
        <v>89</v>
      </c>
      <c r="H1638" s="49">
        <v>20</v>
      </c>
      <c r="I1638" s="51"/>
      <c r="J1638" s="51">
        <v>4.45</v>
      </c>
      <c r="K1638" s="53">
        <f>Tabela6[[#This Row],[CONSUMO]]*Tabela6[[#This Row],[VALOR UNIT]]-Tabela6[[#This Row],[DESCONTO]]</f>
        <v>89</v>
      </c>
      <c r="L1638" s="50">
        <v>4.45</v>
      </c>
      <c r="M1638" s="51">
        <f>Tabela6[[#This Row],[KM ATUAL]]-E1635</f>
        <v>-99350</v>
      </c>
      <c r="N1638" s="51">
        <f>Tabela6[[#This Row],[KM Rodados ]]/Tabela6[[#This Row],[CONSUMO]]</f>
        <v>-4967.5</v>
      </c>
      <c r="O1638" s="48"/>
      <c r="P1638" s="47"/>
      <c r="Q1638" s="49"/>
      <c r="R1638" s="47"/>
      <c r="S1638" s="50"/>
      <c r="T1638" s="51"/>
      <c r="U1638" s="49"/>
      <c r="V1638" s="51"/>
      <c r="W1638" s="51"/>
      <c r="X1638" s="53"/>
      <c r="Y1638" s="50"/>
      <c r="Z1638" s="51"/>
    </row>
    <row r="1639" spans="1:26" ht="14.45" customHeight="1" x14ac:dyDescent="0.25">
      <c r="A1639" s="47">
        <v>288839</v>
      </c>
      <c r="B1639" s="78">
        <v>45113</v>
      </c>
      <c r="C1639" s="47" t="s">
        <v>9</v>
      </c>
      <c r="D1639" s="49" t="s">
        <v>270</v>
      </c>
      <c r="E1639" s="47">
        <v>610947</v>
      </c>
      <c r="F1639" s="50" t="s">
        <v>89</v>
      </c>
      <c r="G1639" s="50" t="s">
        <v>89</v>
      </c>
      <c r="H1639" s="49">
        <v>116</v>
      </c>
      <c r="I1639" s="51"/>
      <c r="J1639" s="51">
        <v>4.79</v>
      </c>
      <c r="K1639" s="53">
        <f>Tabela6[[#This Row],[CONSUMO]]*Tabela6[[#This Row],[VALOR UNIT]]-Tabela6[[#This Row],[DESCONTO]]</f>
        <v>555.64</v>
      </c>
      <c r="L1639" s="53">
        <v>4.79</v>
      </c>
      <c r="M1639" s="50">
        <f>Tabela6[[#This Row],[KM ATUAL]]-E1628</f>
        <v>464566</v>
      </c>
      <c r="N1639" s="51">
        <f>Tabela6[[#This Row],[KM Rodados ]]/Tabela6[[#This Row],[CONSUMO]]</f>
        <v>4004.8793103448274</v>
      </c>
      <c r="O1639" s="48"/>
      <c r="P1639" s="47"/>
      <c r="Q1639" s="49"/>
      <c r="R1639" s="47"/>
      <c r="S1639" s="50"/>
      <c r="T1639" s="51"/>
      <c r="U1639" s="49"/>
      <c r="V1639" s="51"/>
      <c r="W1639" s="51"/>
      <c r="X1639" s="53"/>
      <c r="Y1639" s="50"/>
      <c r="Z1639" s="51"/>
    </row>
    <row r="1640" spans="1:26" ht="14.45" customHeight="1" x14ac:dyDescent="0.25">
      <c r="A1640" s="47">
        <v>5946</v>
      </c>
      <c r="B1640" s="78">
        <v>45113</v>
      </c>
      <c r="C1640" s="47" t="s">
        <v>39</v>
      </c>
      <c r="D1640" s="49" t="s">
        <v>299</v>
      </c>
      <c r="E1640" s="47">
        <v>93112</v>
      </c>
      <c r="F1640" s="50" t="s">
        <v>89</v>
      </c>
      <c r="G1640" s="50" t="s">
        <v>89</v>
      </c>
      <c r="H1640" s="51">
        <v>70</v>
      </c>
      <c r="I1640" s="51"/>
      <c r="J1640" s="51">
        <v>4.45</v>
      </c>
      <c r="K1640" s="53">
        <f>Tabela6[[#This Row],[CONSUMO]]*Tabela6[[#This Row],[VALOR UNIT]]-Tabela6[[#This Row],[DESCONTO]]</f>
        <v>311.5</v>
      </c>
      <c r="L1640" s="50">
        <v>4.45</v>
      </c>
      <c r="M1640" s="50">
        <f>Tabela6[[#This Row],[KM ATUAL]]-E1625</f>
        <v>-577002</v>
      </c>
      <c r="N1640" s="51">
        <f>Tabela6[[#This Row],[KM Rodados ]]/Tabela6[[#This Row],[CONSUMO]]</f>
        <v>-8242.8857142857141</v>
      </c>
      <c r="O1640" s="48"/>
      <c r="P1640" s="47"/>
      <c r="Q1640" s="49"/>
      <c r="R1640" s="47"/>
      <c r="S1640" s="50"/>
      <c r="T1640" s="51"/>
      <c r="U1640" s="49"/>
      <c r="V1640" s="51"/>
      <c r="W1640" s="51"/>
      <c r="X1640" s="53"/>
      <c r="Y1640" s="50"/>
      <c r="Z1640" s="51"/>
    </row>
    <row r="1641" spans="1:26" ht="14.45" customHeight="1" x14ac:dyDescent="0.25">
      <c r="A1641" s="47">
        <v>5946</v>
      </c>
      <c r="B1641" s="78">
        <v>45113</v>
      </c>
      <c r="C1641" s="47" t="s">
        <v>72</v>
      </c>
      <c r="D1641" s="49" t="s">
        <v>299</v>
      </c>
      <c r="E1641" s="47">
        <v>401422</v>
      </c>
      <c r="F1641" s="50" t="s">
        <v>89</v>
      </c>
      <c r="G1641" s="50" t="s">
        <v>89</v>
      </c>
      <c r="H1641" s="49">
        <v>38</v>
      </c>
      <c r="I1641" s="51"/>
      <c r="J1641" s="51">
        <v>4.45</v>
      </c>
      <c r="K1641" s="51">
        <f>Tabela6[[#This Row],[CONSUMO]]*Tabela6[[#This Row],[VALOR UNIT]]-Tabela6[[#This Row],[DESCONTO]]</f>
        <v>169.1</v>
      </c>
      <c r="L1641" s="53">
        <f>Tabela6[[#This Row],[CUSTO TOTAL]]/Tabela6[[#This Row],[CONSUMO]]</f>
        <v>4.45</v>
      </c>
      <c r="M1641" s="50">
        <f>Tabela6[[#This Row],[KM ATUAL]]-E1618</f>
        <v>291097</v>
      </c>
      <c r="N1641" s="51">
        <f>Tabela6[[#This Row],[KM Rodados ]]/Tabela6[[#This Row],[CONSUMO]]</f>
        <v>7660.4473684210525</v>
      </c>
      <c r="O1641" s="48"/>
      <c r="P1641" s="47"/>
      <c r="Q1641" s="49"/>
      <c r="R1641" s="47"/>
      <c r="S1641" s="50"/>
      <c r="T1641" s="51"/>
      <c r="U1641" s="49"/>
      <c r="V1641" s="51"/>
      <c r="W1641" s="51"/>
      <c r="X1641" s="53"/>
      <c r="Y1641" s="50"/>
      <c r="Z1641" s="51"/>
    </row>
    <row r="1642" spans="1:26" ht="14.45" customHeight="1" x14ac:dyDescent="0.25">
      <c r="A1642" s="47">
        <v>5946</v>
      </c>
      <c r="B1642" s="78">
        <v>45113</v>
      </c>
      <c r="C1642" s="47" t="s">
        <v>64</v>
      </c>
      <c r="D1642" s="49" t="s">
        <v>299</v>
      </c>
      <c r="E1642" s="47">
        <v>81534</v>
      </c>
      <c r="F1642" s="50" t="s">
        <v>89</v>
      </c>
      <c r="G1642" s="50" t="s">
        <v>89</v>
      </c>
      <c r="H1642" s="49">
        <v>151</v>
      </c>
      <c r="I1642" s="51"/>
      <c r="J1642" s="51">
        <v>4.45</v>
      </c>
      <c r="K1642" s="51">
        <f>Tabela6[[#This Row],[CONSUMO]]*Tabela6[[#This Row],[VALOR UNIT]]-Tabela6[[#This Row],[DESCONTO]]</f>
        <v>671.95</v>
      </c>
      <c r="L1642" s="53">
        <f>Tabela6[[#This Row],[CUSTO TOTAL]]/Tabela6[[#This Row],[CONSUMO]]</f>
        <v>4.45</v>
      </c>
      <c r="M1642" s="50">
        <f>Tabela6[[#This Row],[KM ATUAL]]-E1608</f>
        <v>-175596</v>
      </c>
      <c r="N1642" s="51">
        <f>Tabela6[[#This Row],[KM Rodados ]]/Tabela6[[#This Row],[CONSUMO]]</f>
        <v>-1162.8874172185431</v>
      </c>
      <c r="O1642" s="48"/>
      <c r="P1642" s="47"/>
      <c r="Q1642" s="49"/>
      <c r="R1642" s="47"/>
      <c r="S1642" s="50"/>
      <c r="T1642" s="51"/>
      <c r="U1642" s="49"/>
      <c r="V1642" s="51"/>
      <c r="W1642" s="51"/>
      <c r="X1642" s="53"/>
      <c r="Y1642" s="50"/>
      <c r="Z1642" s="51"/>
    </row>
    <row r="1643" spans="1:26" ht="14.45" customHeight="1" x14ac:dyDescent="0.25">
      <c r="A1643" s="47">
        <v>5946</v>
      </c>
      <c r="B1643" s="78">
        <v>45113</v>
      </c>
      <c r="C1643" s="47" t="s">
        <v>17</v>
      </c>
      <c r="D1643" s="49" t="s">
        <v>299</v>
      </c>
      <c r="E1643" s="47">
        <v>357995</v>
      </c>
      <c r="F1643" s="50" t="s">
        <v>89</v>
      </c>
      <c r="G1643" s="50" t="s">
        <v>89</v>
      </c>
      <c r="H1643" s="51">
        <v>74</v>
      </c>
      <c r="I1643" s="51"/>
      <c r="J1643" s="51">
        <v>4.45</v>
      </c>
      <c r="K1643" s="51">
        <f>Tabela6[[#This Row],[CONSUMO]]*Tabela6[[#This Row],[VALOR UNIT]]-Tabela6[[#This Row],[DESCONTO]]</f>
        <v>329.3</v>
      </c>
      <c r="L1643" s="53">
        <f>Tabela6[[#This Row],[CUSTO TOTAL]]/Tabela6[[#This Row],[CONSUMO]]</f>
        <v>4.45</v>
      </c>
      <c r="M1643" s="50">
        <f>Tabela6[[#This Row],[KM ATUAL]]-E1642</f>
        <v>276461</v>
      </c>
      <c r="N1643" s="51">
        <f>Tabela6[[#This Row],[KM Rodados ]]/Tabela6[[#This Row],[CONSUMO]]</f>
        <v>3735.9594594594596</v>
      </c>
      <c r="O1643" s="48"/>
      <c r="P1643" s="47"/>
      <c r="Q1643" s="49"/>
      <c r="R1643" s="47"/>
      <c r="S1643" s="50"/>
      <c r="T1643" s="51"/>
      <c r="U1643" s="49"/>
      <c r="V1643" s="51"/>
      <c r="W1643" s="51"/>
      <c r="X1643" s="53"/>
      <c r="Y1643" s="50"/>
      <c r="Z1643" s="51"/>
    </row>
    <row r="1644" spans="1:26" ht="14.45" customHeight="1" x14ac:dyDescent="0.25">
      <c r="A1644" s="47" t="s">
        <v>314</v>
      </c>
      <c r="B1644" s="78">
        <v>45113</v>
      </c>
      <c r="C1644" s="47" t="s">
        <v>74</v>
      </c>
      <c r="E1644" s="47">
        <v>62766</v>
      </c>
      <c r="F1644" s="50"/>
      <c r="G1644" s="50" t="s">
        <v>89</v>
      </c>
      <c r="H1644" s="51">
        <v>84.63</v>
      </c>
      <c r="I1644" s="51"/>
      <c r="K1644" s="53">
        <f>Tabela6[[#This Row],[CONSUMO]]*Tabela6[[#This Row],[VALOR UNIT]]-Tabela6[[#This Row],[DESCONTO]]</f>
        <v>0</v>
      </c>
      <c r="L1644" s="53">
        <f>Tabela6[[#This Row],[CUSTO TOTAL]]/Tabela6[[#This Row],[CONSUMO]]</f>
        <v>0</v>
      </c>
      <c r="M1644" s="50">
        <f>Tabela6[[#This Row],[KM ATUAL]]-E1615</f>
        <v>-148819</v>
      </c>
      <c r="N1644" s="50">
        <f>Tabela6[[#This Row],[KM Rodados ]]/Tabela6[[#This Row],[CONSUMO]]</f>
        <v>-1758.4662649178779</v>
      </c>
      <c r="O1644" s="48"/>
      <c r="P1644" s="47"/>
      <c r="Q1644" s="49"/>
      <c r="R1644" s="47"/>
      <c r="S1644" s="50"/>
      <c r="T1644" s="51"/>
      <c r="U1644" s="49"/>
      <c r="V1644" s="51"/>
      <c r="W1644" s="51"/>
      <c r="X1644" s="53"/>
      <c r="Y1644" s="50"/>
      <c r="Z1644" s="51"/>
    </row>
    <row r="1645" spans="1:26" ht="14.45" customHeight="1" x14ac:dyDescent="0.25">
      <c r="A1645" s="47">
        <v>5946</v>
      </c>
      <c r="B1645" s="78">
        <v>45114</v>
      </c>
      <c r="C1645" s="47" t="s">
        <v>43</v>
      </c>
      <c r="D1645" s="49" t="s">
        <v>299</v>
      </c>
      <c r="E1645" s="47">
        <v>134127</v>
      </c>
      <c r="F1645" s="50" t="s">
        <v>89</v>
      </c>
      <c r="G1645" s="51" t="s">
        <v>89</v>
      </c>
      <c r="H1645" s="49">
        <v>40</v>
      </c>
      <c r="I1645" s="51"/>
      <c r="J1645" s="51">
        <v>4.45</v>
      </c>
      <c r="K1645" s="53">
        <f>Tabela6[[#This Row],[CONSUMO]]*Tabela6[[#This Row],[VALOR UNIT]]-Tabela6[[#This Row],[DESCONTO]]</f>
        <v>178</v>
      </c>
      <c r="L1645" s="50">
        <v>4.45</v>
      </c>
      <c r="M1645" s="51">
        <f>Tabela6[[#This Row],[KM ATUAL]]-E1640</f>
        <v>41015</v>
      </c>
      <c r="N1645" s="51">
        <f>Tabela6[[#This Row],[KM Rodados ]]/Tabela6[[#This Row],[CONSUMO]]</f>
        <v>1025.375</v>
      </c>
      <c r="O1645" s="48"/>
      <c r="P1645" s="47"/>
      <c r="Q1645" s="49"/>
      <c r="R1645" s="47"/>
      <c r="S1645" s="50"/>
      <c r="T1645" s="51"/>
      <c r="U1645" s="49"/>
      <c r="V1645" s="51"/>
      <c r="W1645" s="51"/>
      <c r="X1645" s="53"/>
      <c r="Y1645" s="50"/>
      <c r="Z1645" s="51"/>
    </row>
    <row r="1646" spans="1:26" ht="14.45" customHeight="1" x14ac:dyDescent="0.25">
      <c r="A1646" s="47">
        <v>5946</v>
      </c>
      <c r="B1646" s="78">
        <v>45114</v>
      </c>
      <c r="C1646" s="47" t="s">
        <v>222</v>
      </c>
      <c r="D1646" s="49" t="s">
        <v>299</v>
      </c>
      <c r="E1646" s="47">
        <v>485543</v>
      </c>
      <c r="F1646" s="50" t="s">
        <v>89</v>
      </c>
      <c r="G1646" s="50" t="s">
        <v>89</v>
      </c>
      <c r="H1646" s="49">
        <v>310</v>
      </c>
      <c r="I1646" s="51"/>
      <c r="J1646" s="51">
        <v>4.45</v>
      </c>
      <c r="K1646" s="53">
        <f>Tabela6[[#This Row],[CONSUMO]]*Tabela6[[#This Row],[VALOR UNIT]]-Tabela6[[#This Row],[DESCONTO]]</f>
        <v>1379.5</v>
      </c>
      <c r="L1646" s="50">
        <v>4.45</v>
      </c>
      <c r="M1646" s="50">
        <f>Tabela6[[#This Row],[KM ATUAL]]-E1579</f>
        <v>337181</v>
      </c>
      <c r="N1646" s="51">
        <f>Tabela6[[#This Row],[KM Rodados ]]/Tabela6[[#This Row],[CONSUMO]]</f>
        <v>1087.6806451612904</v>
      </c>
      <c r="O1646" s="48"/>
      <c r="P1646" s="47"/>
      <c r="Q1646" s="49"/>
      <c r="R1646" s="47"/>
      <c r="S1646" s="50"/>
      <c r="T1646" s="51"/>
      <c r="U1646" s="49"/>
      <c r="V1646" s="51"/>
      <c r="W1646" s="51"/>
      <c r="X1646" s="53"/>
      <c r="Y1646" s="50"/>
      <c r="Z1646" s="51"/>
    </row>
    <row r="1647" spans="1:26" ht="14.45" customHeight="1" x14ac:dyDescent="0.25">
      <c r="A1647" s="47" t="s">
        <v>314</v>
      </c>
      <c r="B1647" s="78">
        <v>45114</v>
      </c>
      <c r="C1647" s="47" t="s">
        <v>203</v>
      </c>
      <c r="E1647" s="47">
        <v>101987</v>
      </c>
      <c r="F1647" s="50"/>
      <c r="G1647" s="50" t="s">
        <v>244</v>
      </c>
      <c r="H1647" s="51">
        <v>43.58</v>
      </c>
      <c r="I1647" s="51"/>
      <c r="K1647" s="53">
        <f>Tabela6[[#This Row],[CONSUMO]]*Tabela6[[#This Row],[VALOR UNIT]]-Tabela6[[#This Row],[DESCONTO]]</f>
        <v>0</v>
      </c>
      <c r="L1647" s="53">
        <f>Tabela6[[#This Row],[CUSTO TOTAL]]/Tabela6[[#This Row],[CONSUMO]]</f>
        <v>0</v>
      </c>
      <c r="M1647" s="50">
        <f>Tabela6[[#This Row],[KM ATUAL]]-E1646</f>
        <v>-383556</v>
      </c>
      <c r="N1647" s="51">
        <f>Tabela6[[#This Row],[KM Rodados ]]/Tabela6[[#This Row],[CONSUMO]]</f>
        <v>-8801.1932078935297</v>
      </c>
      <c r="O1647" s="48"/>
      <c r="P1647" s="47"/>
      <c r="Q1647" s="49"/>
      <c r="R1647" s="47"/>
      <c r="S1647" s="50"/>
      <c r="T1647" s="51"/>
      <c r="U1647" s="49"/>
      <c r="V1647" s="51"/>
      <c r="W1647" s="51"/>
      <c r="X1647" s="53"/>
      <c r="Y1647" s="50"/>
      <c r="Z1647" s="51"/>
    </row>
    <row r="1648" spans="1:26" ht="14.45" customHeight="1" x14ac:dyDescent="0.25">
      <c r="A1648" s="47">
        <v>5946</v>
      </c>
      <c r="B1648" s="78">
        <v>45114</v>
      </c>
      <c r="C1648" s="47" t="s">
        <v>72</v>
      </c>
      <c r="D1648" s="49" t="s">
        <v>299</v>
      </c>
      <c r="E1648" s="47">
        <v>401687</v>
      </c>
      <c r="F1648" s="50" t="s">
        <v>89</v>
      </c>
      <c r="G1648" s="50" t="s">
        <v>89</v>
      </c>
      <c r="H1648" s="49">
        <v>50</v>
      </c>
      <c r="I1648" s="51"/>
      <c r="J1648" s="51">
        <v>4.45</v>
      </c>
      <c r="K1648" s="51">
        <f>Tabela6[[#This Row],[CONSUMO]]*Tabela6[[#This Row],[VALOR UNIT]]-Tabela6[[#This Row],[DESCONTO]]</f>
        <v>222.5</v>
      </c>
      <c r="L1648" s="53">
        <f>Tabela6[[#This Row],[CUSTO TOTAL]]/Tabela6[[#This Row],[CONSUMO]]</f>
        <v>4.45</v>
      </c>
      <c r="M1648" s="50">
        <f>Tabela6[[#This Row],[KM ATUAL]]-E1638</f>
        <v>267870</v>
      </c>
      <c r="N1648" s="51">
        <f>Tabela6[[#This Row],[KM Rodados ]]/Tabela6[[#This Row],[CONSUMO]]</f>
        <v>5357.4</v>
      </c>
      <c r="O1648" s="48"/>
      <c r="P1648" s="47"/>
      <c r="Q1648" s="49"/>
      <c r="R1648" s="47"/>
      <c r="S1648" s="50"/>
      <c r="T1648" s="51"/>
      <c r="U1648" s="49"/>
      <c r="V1648" s="51"/>
      <c r="W1648" s="51"/>
      <c r="X1648" s="53"/>
      <c r="Y1648" s="50"/>
      <c r="Z1648" s="51"/>
    </row>
    <row r="1649" spans="1:26" ht="14.45" customHeight="1" x14ac:dyDescent="0.25">
      <c r="A1649" s="47">
        <v>5946</v>
      </c>
      <c r="B1649" s="78">
        <v>45114</v>
      </c>
      <c r="C1649" s="47" t="s">
        <v>41</v>
      </c>
      <c r="D1649" s="49" t="s">
        <v>299</v>
      </c>
      <c r="E1649" s="47">
        <v>665674</v>
      </c>
      <c r="F1649" s="50" t="s">
        <v>89</v>
      </c>
      <c r="G1649" s="50" t="s">
        <v>89</v>
      </c>
      <c r="H1649" s="49">
        <v>118</v>
      </c>
      <c r="I1649" s="51"/>
      <c r="J1649" s="51">
        <v>4.45</v>
      </c>
      <c r="K1649" s="52">
        <f>Tabela6[[#This Row],[CONSUMO]]*Tabela6[[#This Row],[VALOR UNIT]]-Tabela6[[#This Row],[DESCONTO]]</f>
        <v>525.1</v>
      </c>
      <c r="L1649" s="53">
        <f>Tabela6[[#This Row],[CUSTO TOTAL]]/Tabela6[[#This Row],[CONSUMO]]</f>
        <v>4.45</v>
      </c>
      <c r="M1649" s="50">
        <f>Tabela6[[#This Row],[KM ATUAL]]-E1618</f>
        <v>555349</v>
      </c>
      <c r="N1649" s="51">
        <f>Tabela6[[#This Row],[KM Rodados ]]/Tabela6[[#This Row],[CONSUMO]]</f>
        <v>4706.3474576271183</v>
      </c>
      <c r="O1649" s="48"/>
      <c r="P1649" s="47"/>
      <c r="Q1649" s="49"/>
      <c r="R1649" s="47"/>
      <c r="S1649" s="50"/>
      <c r="T1649" s="51"/>
      <c r="U1649" s="49"/>
      <c r="V1649" s="51"/>
      <c r="W1649" s="51"/>
      <c r="X1649" s="53"/>
      <c r="Y1649" s="50"/>
      <c r="Z1649" s="51"/>
    </row>
    <row r="1650" spans="1:26" ht="14.45" customHeight="1" x14ac:dyDescent="0.25">
      <c r="A1650" s="47">
        <v>5946</v>
      </c>
      <c r="B1650" s="78">
        <v>45114</v>
      </c>
      <c r="C1650" s="47" t="s">
        <v>19</v>
      </c>
      <c r="D1650" s="49" t="s">
        <v>299</v>
      </c>
      <c r="E1650" s="47">
        <v>315129</v>
      </c>
      <c r="F1650" s="50" t="s">
        <v>89</v>
      </c>
      <c r="G1650" s="50" t="s">
        <v>89</v>
      </c>
      <c r="H1650" s="51">
        <v>170</v>
      </c>
      <c r="I1650" s="51"/>
      <c r="J1650" s="51">
        <v>4.45</v>
      </c>
      <c r="K1650" s="51">
        <f>Tabela6[[#This Row],[CONSUMO]]*Tabela6[[#This Row],[VALOR UNIT]]-Tabela6[[#This Row],[DESCONTO]]</f>
        <v>756.5</v>
      </c>
      <c r="L1650" s="53">
        <f>Tabela6[[#This Row],[CUSTO TOTAL]]/Tabela6[[#This Row],[CONSUMO]]</f>
        <v>4.45</v>
      </c>
      <c r="M1650" s="50">
        <f>Tabela6[[#This Row],[KM ATUAL]]-E1630</f>
        <v>-315805</v>
      </c>
      <c r="N1650" s="51">
        <f>Tabela6[[#This Row],[KM Rodados ]]/Tabela6[[#This Row],[CONSUMO]]</f>
        <v>-1857.6764705882354</v>
      </c>
      <c r="O1650" s="48"/>
      <c r="P1650" s="47"/>
      <c r="Q1650" s="49"/>
      <c r="R1650" s="47"/>
      <c r="S1650" s="50"/>
      <c r="T1650" s="51"/>
      <c r="U1650" s="49"/>
      <c r="V1650" s="51"/>
      <c r="W1650" s="51"/>
      <c r="X1650" s="53"/>
      <c r="Y1650" s="50"/>
      <c r="Z1650" s="51"/>
    </row>
    <row r="1651" spans="1:26" ht="14.45" customHeight="1" x14ac:dyDescent="0.25">
      <c r="A1651" s="47">
        <v>411296</v>
      </c>
      <c r="B1651" s="78">
        <v>45114</v>
      </c>
      <c r="C1651" s="47" t="s">
        <v>23</v>
      </c>
      <c r="D1651" s="49" t="s">
        <v>253</v>
      </c>
      <c r="E1651" s="47">
        <v>233760</v>
      </c>
      <c r="F1651" s="50" t="s">
        <v>89</v>
      </c>
      <c r="G1651" s="50" t="s">
        <v>89</v>
      </c>
      <c r="H1651" s="49">
        <v>133.78</v>
      </c>
      <c r="I1651" s="51"/>
      <c r="J1651" s="51">
        <v>5.19</v>
      </c>
      <c r="K1651" s="51">
        <f>Tabela6[[#This Row],[CONSUMO]]*Tabela6[[#This Row],[VALOR UNIT]]-Tabela6[[#This Row],[DESCONTO]]</f>
        <v>694.31820000000005</v>
      </c>
      <c r="L1651" s="53">
        <f>Tabela6[[#This Row],[CUSTO TOTAL]]/Tabela6[[#This Row],[CONSUMO]]</f>
        <v>5.19</v>
      </c>
      <c r="M1651" s="50">
        <f>Tabela6[[#This Row],[KM ATUAL]]-E1632</f>
        <v>-85326</v>
      </c>
      <c r="N1651" s="51">
        <f>Tabela6[[#This Row],[KM Rodados ]]/Tabela6[[#This Row],[CONSUMO]]</f>
        <v>-637.80834205411873</v>
      </c>
      <c r="O1651" s="48"/>
      <c r="P1651" s="47"/>
      <c r="Q1651" s="49"/>
      <c r="R1651" s="47"/>
      <c r="S1651" s="50"/>
      <c r="T1651" s="51"/>
      <c r="U1651" s="49"/>
      <c r="V1651" s="51"/>
      <c r="W1651" s="51"/>
      <c r="X1651" s="53"/>
      <c r="Y1651" s="50"/>
      <c r="Z1651" s="51"/>
    </row>
    <row r="1652" spans="1:26" ht="14.45" customHeight="1" x14ac:dyDescent="0.25">
      <c r="A1652" s="47">
        <v>5946</v>
      </c>
      <c r="B1652" s="78">
        <v>45114</v>
      </c>
      <c r="C1652" s="47" t="s">
        <v>74</v>
      </c>
      <c r="D1652" s="49" t="s">
        <v>299</v>
      </c>
      <c r="E1652" s="47">
        <v>62902</v>
      </c>
      <c r="F1652" s="50" t="s">
        <v>89</v>
      </c>
      <c r="G1652" s="50" t="s">
        <v>89</v>
      </c>
      <c r="H1652" s="49">
        <v>17</v>
      </c>
      <c r="I1652" s="51"/>
      <c r="J1652" s="51">
        <v>4.45</v>
      </c>
      <c r="K1652" s="51">
        <f>Tabela6[[#This Row],[CONSUMO]]*Tabela6[[#This Row],[VALOR UNIT]]-Tabela6[[#This Row],[DESCONTO]]</f>
        <v>75.650000000000006</v>
      </c>
      <c r="L1652" s="53">
        <f>Tabela6[[#This Row],[CUSTO TOTAL]]/Tabela6[[#This Row],[CONSUMO]]</f>
        <v>4.45</v>
      </c>
      <c r="M1652" s="50">
        <f>Tabela6[[#This Row],[KM ATUAL]]-E1650</f>
        <v>-252227</v>
      </c>
      <c r="N1652" s="51">
        <f>Tabela6[[#This Row],[KM Rodados ]]/Tabela6[[#This Row],[CONSUMO]]</f>
        <v>-14836.882352941177</v>
      </c>
      <c r="O1652" s="48"/>
      <c r="P1652" s="47"/>
      <c r="Q1652" s="49"/>
      <c r="R1652" s="47"/>
      <c r="S1652" s="50"/>
      <c r="T1652" s="51"/>
      <c r="U1652" s="49"/>
      <c r="V1652" s="51"/>
      <c r="W1652" s="51"/>
      <c r="X1652" s="53"/>
      <c r="Y1652" s="50"/>
      <c r="Z1652" s="51"/>
    </row>
    <row r="1653" spans="1:26" ht="14.45" customHeight="1" x14ac:dyDescent="0.25">
      <c r="A1653" s="47" t="s">
        <v>314</v>
      </c>
      <c r="B1653" s="78">
        <v>45115</v>
      </c>
      <c r="C1653" s="47" t="s">
        <v>67</v>
      </c>
      <c r="E1653" s="47">
        <v>670686</v>
      </c>
      <c r="F1653" s="50"/>
      <c r="G1653" s="50" t="s">
        <v>89</v>
      </c>
      <c r="H1653" s="51">
        <v>103</v>
      </c>
      <c r="I1653" s="51"/>
      <c r="K1653" s="53">
        <f>Tabela6[[#This Row],[CONSUMO]]*Tabela6[[#This Row],[VALOR UNIT]]-Tabela6[[#This Row],[DESCONTO]]</f>
        <v>0</v>
      </c>
      <c r="L1653" s="53">
        <f>Tabela6[[#This Row],[CUSTO TOTAL]]/Tabela6[[#This Row],[CONSUMO]]</f>
        <v>0</v>
      </c>
      <c r="M1653" s="50">
        <f>Tabela6[[#This Row],[KM ATUAL]]-E1633</f>
        <v>356296</v>
      </c>
      <c r="N1653" s="50">
        <f>Tabela6[[#This Row],[KM Rodados ]]/Tabela6[[#This Row],[CONSUMO]]</f>
        <v>3459.1844660194174</v>
      </c>
      <c r="O1653" s="48"/>
      <c r="P1653" s="47"/>
      <c r="Q1653" s="49"/>
      <c r="R1653" s="47"/>
      <c r="S1653" s="50"/>
      <c r="T1653" s="51"/>
      <c r="U1653" s="49"/>
      <c r="V1653" s="51"/>
      <c r="W1653" s="51"/>
      <c r="X1653" s="53"/>
      <c r="Y1653" s="50"/>
      <c r="Z1653" s="51"/>
    </row>
    <row r="1654" spans="1:26" ht="14.45" customHeight="1" x14ac:dyDescent="0.25">
      <c r="A1654" s="47" t="s">
        <v>314</v>
      </c>
      <c r="B1654" s="78">
        <v>45115</v>
      </c>
      <c r="C1654" s="47" t="s">
        <v>15</v>
      </c>
      <c r="E1654" s="47">
        <v>372009</v>
      </c>
      <c r="F1654" s="50"/>
      <c r="G1654" s="50" t="s">
        <v>89</v>
      </c>
      <c r="H1654" s="51">
        <v>122.53</v>
      </c>
      <c r="I1654" s="51"/>
      <c r="K1654" s="53">
        <f>Tabela6[[#This Row],[CONSUMO]]*Tabela6[[#This Row],[VALOR UNIT]]-Tabela6[[#This Row],[DESCONTO]]</f>
        <v>0</v>
      </c>
      <c r="L1654" s="53">
        <f>Tabela6[[#This Row],[CUSTO TOTAL]]/Tabela6[[#This Row],[CONSUMO]]</f>
        <v>0</v>
      </c>
      <c r="M1654" s="50">
        <f>Tabela6[[#This Row],[KM ATUAL]]-E1620</f>
        <v>-258482</v>
      </c>
      <c r="N1654" s="50">
        <f>Tabela6[[#This Row],[KM Rodados ]]/Tabela6[[#This Row],[CONSUMO]]</f>
        <v>-2109.5405206888108</v>
      </c>
      <c r="O1654" s="48"/>
      <c r="P1654" s="47"/>
      <c r="Q1654" s="49"/>
      <c r="R1654" s="47"/>
      <c r="S1654" s="50"/>
      <c r="T1654" s="51"/>
      <c r="U1654" s="49"/>
      <c r="V1654" s="51"/>
      <c r="W1654" s="51"/>
      <c r="X1654" s="53"/>
      <c r="Y1654" s="50"/>
      <c r="Z1654" s="51"/>
    </row>
    <row r="1655" spans="1:26" ht="14.45" customHeight="1" x14ac:dyDescent="0.25">
      <c r="A1655" s="47" t="s">
        <v>314</v>
      </c>
      <c r="B1655" s="78">
        <v>45115</v>
      </c>
      <c r="C1655" s="47" t="s">
        <v>20</v>
      </c>
      <c r="E1655" s="47">
        <v>258000</v>
      </c>
      <c r="F1655" s="50"/>
      <c r="G1655" s="50" t="s">
        <v>89</v>
      </c>
      <c r="H1655" s="51">
        <v>79</v>
      </c>
      <c r="I1655" s="51"/>
      <c r="K1655" s="53">
        <f>Tabela6[[#This Row],[CONSUMO]]*Tabela6[[#This Row],[VALOR UNIT]]-Tabela6[[#This Row],[DESCONTO]]</f>
        <v>0</v>
      </c>
      <c r="L1655" s="53">
        <f>Tabela6[[#This Row],[CUSTO TOTAL]]/Tabela6[[#This Row],[CONSUMO]]</f>
        <v>0</v>
      </c>
      <c r="M1655" s="50">
        <f>Tabela6[[#This Row],[KM ATUAL]]-E1635</f>
        <v>24833</v>
      </c>
      <c r="N1655" s="51">
        <f>Tabela6[[#This Row],[KM Rodados ]]/Tabela6[[#This Row],[CONSUMO]]</f>
        <v>314.34177215189874</v>
      </c>
      <c r="O1655" s="48"/>
      <c r="P1655" s="47"/>
      <c r="Q1655" s="49"/>
      <c r="R1655" s="47"/>
      <c r="S1655" s="50"/>
      <c r="T1655" s="51"/>
      <c r="U1655" s="49"/>
      <c r="V1655" s="51"/>
      <c r="W1655" s="51"/>
      <c r="X1655" s="53"/>
      <c r="Y1655" s="50"/>
      <c r="Z1655" s="51"/>
    </row>
    <row r="1656" spans="1:26" ht="14.45" customHeight="1" x14ac:dyDescent="0.25">
      <c r="A1656" s="47" t="s">
        <v>314</v>
      </c>
      <c r="B1656" s="78">
        <v>45115</v>
      </c>
      <c r="C1656" s="47" t="s">
        <v>38</v>
      </c>
      <c r="E1656" s="47">
        <v>133257</v>
      </c>
      <c r="F1656" s="50"/>
      <c r="G1656" s="50" t="s">
        <v>244</v>
      </c>
      <c r="H1656" s="51">
        <v>51.52</v>
      </c>
      <c r="I1656" s="51"/>
      <c r="K1656" s="53">
        <f>Tabela6[[#This Row],[CONSUMO]]*Tabela6[[#This Row],[VALOR UNIT]]-Tabela6[[#This Row],[DESCONTO]]</f>
        <v>0</v>
      </c>
      <c r="L1656" s="53">
        <f>Tabela6[[#This Row],[CUSTO TOTAL]]/Tabela6[[#This Row],[CONSUMO]]</f>
        <v>0</v>
      </c>
      <c r="M1656" s="50">
        <f>Tabela6[[#This Row],[KM ATUAL]]-E1655</f>
        <v>-124743</v>
      </c>
      <c r="N1656" s="51">
        <f>Tabela6[[#This Row],[KM Rodados ]]/Tabela6[[#This Row],[CONSUMO]]</f>
        <v>-2421.2538819875776</v>
      </c>
      <c r="O1656" s="48"/>
      <c r="P1656" s="47"/>
      <c r="Q1656" s="49"/>
      <c r="R1656" s="47"/>
      <c r="S1656" s="50"/>
      <c r="T1656" s="51"/>
      <c r="U1656" s="49"/>
      <c r="V1656" s="51"/>
      <c r="W1656" s="51"/>
      <c r="X1656" s="53"/>
      <c r="Y1656" s="50"/>
      <c r="Z1656" s="51"/>
    </row>
    <row r="1657" spans="1:26" ht="14.45" customHeight="1" x14ac:dyDescent="0.25">
      <c r="A1657" s="47" t="s">
        <v>314</v>
      </c>
      <c r="B1657" s="78">
        <v>45116</v>
      </c>
      <c r="C1657" s="47" t="s">
        <v>72</v>
      </c>
      <c r="E1657" s="47">
        <v>401855</v>
      </c>
      <c r="F1657" s="50"/>
      <c r="G1657" s="50" t="s">
        <v>89</v>
      </c>
      <c r="H1657" s="51">
        <v>25.63</v>
      </c>
      <c r="I1657" s="51"/>
      <c r="K1657" s="53">
        <f>Tabela6[[#This Row],[CONSUMO]]*Tabela6[[#This Row],[VALOR UNIT]]-Tabela6[[#This Row],[DESCONTO]]</f>
        <v>0</v>
      </c>
      <c r="L1657" s="53">
        <f>Tabela6[[#This Row],[CUSTO TOTAL]]/Tabela6[[#This Row],[CONSUMO]]</f>
        <v>0</v>
      </c>
      <c r="M1657" s="50">
        <f>Tabela6[[#This Row],[KM ATUAL]]-E1649</f>
        <v>-263819</v>
      </c>
      <c r="N1657" s="50">
        <f>Tabela6[[#This Row],[KM Rodados ]]/Tabela6[[#This Row],[CONSUMO]]</f>
        <v>-10293.367147873587</v>
      </c>
      <c r="O1657" s="48"/>
      <c r="P1657" s="47"/>
      <c r="Q1657" s="49"/>
      <c r="R1657" s="47"/>
      <c r="S1657" s="50"/>
      <c r="T1657" s="51"/>
      <c r="U1657" s="49"/>
      <c r="V1657" s="51"/>
      <c r="W1657" s="51"/>
      <c r="X1657" s="53"/>
      <c r="Y1657" s="50"/>
      <c r="Z1657" s="51"/>
    </row>
    <row r="1658" spans="1:26" ht="14.45" customHeight="1" x14ac:dyDescent="0.25">
      <c r="A1658" s="47">
        <v>853657</v>
      </c>
      <c r="B1658" s="78">
        <v>45116</v>
      </c>
      <c r="C1658" s="47" t="s">
        <v>13</v>
      </c>
      <c r="D1658" s="49" t="s">
        <v>277</v>
      </c>
      <c r="E1658" s="119">
        <v>631542</v>
      </c>
      <c r="F1658" s="50" t="s">
        <v>89</v>
      </c>
      <c r="G1658" s="120" t="s">
        <v>89</v>
      </c>
      <c r="H1658" s="49">
        <v>141.483</v>
      </c>
      <c r="I1658" s="51"/>
      <c r="J1658" s="51">
        <v>4.99</v>
      </c>
      <c r="K1658" s="51">
        <f>Tabela6[[#This Row],[CONSUMO]]*Tabela6[[#This Row],[VALOR UNIT]]-Tabela6[[#This Row],[DESCONTO]]</f>
        <v>706.00017000000003</v>
      </c>
      <c r="L1658" s="53">
        <f>Tabela6[[#This Row],[CUSTO TOTAL]]/Tabela6[[#This Row],[CONSUMO]]</f>
        <v>4.99</v>
      </c>
      <c r="M1658" s="50">
        <f>Tabela6[[#This Row],[KM ATUAL]]-E1635</f>
        <v>398375</v>
      </c>
      <c r="N1658" s="51">
        <f>Tabela6[[#This Row],[KM Rodados ]]/Tabela6[[#This Row],[CONSUMO]]</f>
        <v>2815.7093078320363</v>
      </c>
      <c r="O1658" s="48"/>
      <c r="P1658" s="47"/>
      <c r="Q1658" s="49"/>
      <c r="R1658" s="47"/>
      <c r="S1658" s="50"/>
      <c r="T1658" s="51"/>
      <c r="U1658" s="49"/>
      <c r="V1658" s="51"/>
      <c r="W1658" s="51"/>
      <c r="X1658" s="53"/>
      <c r="Y1658" s="50"/>
      <c r="Z1658" s="51"/>
    </row>
    <row r="1659" spans="1:26" ht="14.45" customHeight="1" x14ac:dyDescent="0.25">
      <c r="A1659" s="47" t="s">
        <v>314</v>
      </c>
      <c r="B1659" s="78">
        <v>45116</v>
      </c>
      <c r="C1659" s="49" t="s">
        <v>40</v>
      </c>
      <c r="E1659" s="47">
        <v>149786</v>
      </c>
      <c r="F1659" s="50"/>
      <c r="G1659" s="50" t="s">
        <v>244</v>
      </c>
      <c r="H1659" s="51">
        <v>39.9</v>
      </c>
      <c r="I1659" s="51"/>
      <c r="K1659" s="52">
        <f>Tabela6[[#This Row],[CONSUMO]]*Tabela6[[#This Row],[VALOR UNIT]]-Tabela6[[#This Row],[DESCONTO]]</f>
        <v>0</v>
      </c>
      <c r="L1659" s="53">
        <f>Tabela6[[#This Row],[CUSTO TOTAL]]/Tabela6[[#This Row],[CONSUMO]]</f>
        <v>0</v>
      </c>
      <c r="M1659" s="50">
        <f>Tabela6[[#This Row],[KM ATUAL]]-E1658</f>
        <v>-481756</v>
      </c>
      <c r="N1659" s="51">
        <f>Tabela6[[#This Row],[KM Rodados ]]/Tabela6[[#This Row],[CONSUMO]]</f>
        <v>-12074.085213032582</v>
      </c>
      <c r="O1659" s="48"/>
      <c r="P1659" s="47"/>
      <c r="Q1659" s="49"/>
      <c r="R1659" s="47"/>
      <c r="S1659" s="50"/>
      <c r="T1659" s="51"/>
      <c r="U1659" s="49"/>
      <c r="V1659" s="51"/>
      <c r="W1659" s="51"/>
      <c r="X1659" s="53"/>
      <c r="Y1659" s="50"/>
      <c r="Z1659" s="51"/>
    </row>
    <row r="1660" spans="1:26" ht="14.45" customHeight="1" x14ac:dyDescent="0.25">
      <c r="A1660" s="47">
        <v>142283</v>
      </c>
      <c r="B1660" s="78">
        <v>45117</v>
      </c>
      <c r="C1660" s="47" t="s">
        <v>43</v>
      </c>
      <c r="D1660" s="49" t="s">
        <v>246</v>
      </c>
      <c r="E1660" s="47">
        <v>134369</v>
      </c>
      <c r="F1660" s="50" t="s">
        <v>89</v>
      </c>
      <c r="G1660" s="51" t="s">
        <v>89</v>
      </c>
      <c r="H1660" s="49">
        <v>25.460999999999999</v>
      </c>
      <c r="I1660" s="51">
        <v>23.42</v>
      </c>
      <c r="J1660" s="51">
        <v>5.71</v>
      </c>
      <c r="K1660" s="53">
        <f>Tabela6[[#This Row],[CONSUMO]]*Tabela6[[#This Row],[VALOR UNIT]]-Tabela6[[#This Row],[DESCONTO]]</f>
        <v>121.96230999999999</v>
      </c>
      <c r="L1660" s="50">
        <v>4.7901618161109143</v>
      </c>
      <c r="M1660" s="51">
        <f>Tabela6[[#This Row],[KM ATUAL]]-E1645</f>
        <v>242</v>
      </c>
      <c r="N1660" s="51">
        <f>Tabela6[[#This Row],[KM Rodados ]]/Tabela6[[#This Row],[CONSUMO]]</f>
        <v>9.5047327284867063</v>
      </c>
      <c r="O1660" s="48"/>
      <c r="P1660" s="47"/>
      <c r="Q1660" s="49"/>
      <c r="R1660" s="47"/>
      <c r="S1660" s="50"/>
      <c r="T1660" s="51"/>
      <c r="U1660" s="49"/>
      <c r="V1660" s="51"/>
      <c r="W1660" s="51"/>
      <c r="X1660" s="53"/>
      <c r="Y1660" s="50"/>
      <c r="Z1660" s="51"/>
    </row>
    <row r="1661" spans="1:26" ht="14.45" customHeight="1" x14ac:dyDescent="0.25">
      <c r="A1661" s="47">
        <v>413429</v>
      </c>
      <c r="B1661" s="78">
        <v>45117</v>
      </c>
      <c r="C1661" s="47" t="s">
        <v>9</v>
      </c>
      <c r="D1661" s="49" t="s">
        <v>253</v>
      </c>
      <c r="E1661" s="47">
        <v>611560</v>
      </c>
      <c r="F1661" s="50" t="s">
        <v>89</v>
      </c>
      <c r="G1661" s="50" t="s">
        <v>89</v>
      </c>
      <c r="H1661" s="49">
        <v>150</v>
      </c>
      <c r="I1661" s="51"/>
      <c r="J1661" s="51">
        <v>5.19</v>
      </c>
      <c r="K1661" s="53">
        <f>Tabela6[[#This Row],[CONSUMO]]*Tabela6[[#This Row],[VALOR UNIT]]-Tabela6[[#This Row],[DESCONTO]]</f>
        <v>778.50000000000011</v>
      </c>
      <c r="L1661" s="53">
        <v>5.19</v>
      </c>
      <c r="M1661" s="50">
        <f>Tabela6[[#This Row],[KM ATUAL]]-E1635</f>
        <v>378393</v>
      </c>
      <c r="N1661" s="51">
        <f>Tabela6[[#This Row],[KM Rodados ]]/Tabela6[[#This Row],[CONSUMO]]</f>
        <v>2522.62</v>
      </c>
      <c r="O1661" s="48"/>
      <c r="P1661" s="47"/>
      <c r="Q1661" s="49"/>
      <c r="R1661" s="47"/>
      <c r="S1661" s="50"/>
      <c r="T1661" s="51"/>
      <c r="U1661" s="49"/>
      <c r="V1661" s="51"/>
      <c r="W1661" s="51"/>
      <c r="X1661" s="53"/>
      <c r="Y1661" s="50"/>
      <c r="Z1661" s="51"/>
    </row>
    <row r="1662" spans="1:26" ht="14.45" customHeight="1" x14ac:dyDescent="0.25">
      <c r="A1662" s="47">
        <v>413426</v>
      </c>
      <c r="B1662" s="78">
        <v>45117</v>
      </c>
      <c r="C1662" s="47" t="s">
        <v>42</v>
      </c>
      <c r="D1662" s="49" t="s">
        <v>253</v>
      </c>
      <c r="E1662" s="47">
        <v>367349</v>
      </c>
      <c r="F1662" s="50" t="s">
        <v>89</v>
      </c>
      <c r="G1662" s="50" t="s">
        <v>89</v>
      </c>
      <c r="H1662" s="49">
        <v>95.65</v>
      </c>
      <c r="I1662" s="51"/>
      <c r="J1662" s="51">
        <v>5.19</v>
      </c>
      <c r="K1662" s="53">
        <f>Tabela6[[#This Row],[CONSUMO]]*Tabela6[[#This Row],[VALOR UNIT]]-Tabela6[[#This Row],[DESCONTO]]</f>
        <v>496.42350000000005</v>
      </c>
      <c r="L1662" s="77">
        <v>5.19</v>
      </c>
      <c r="M1662" s="50">
        <f>Tabela6[[#This Row],[KM ATUAL]]-E1598</f>
        <v>-32645</v>
      </c>
      <c r="N1662" s="51">
        <f>Tabela6[[#This Row],[KM Rodados ]]/Tabela6[[#This Row],[CONSUMO]]</f>
        <v>-341.29639309984316</v>
      </c>
      <c r="O1662" s="48"/>
      <c r="P1662" s="47"/>
      <c r="Q1662" s="49"/>
      <c r="R1662" s="47"/>
      <c r="S1662" s="50"/>
      <c r="T1662" s="51"/>
      <c r="U1662" s="49"/>
      <c r="V1662" s="51"/>
      <c r="W1662" s="51"/>
      <c r="X1662" s="53"/>
      <c r="Y1662" s="50"/>
      <c r="Z1662" s="51"/>
    </row>
    <row r="1663" spans="1:26" ht="14.45" customHeight="1" x14ac:dyDescent="0.25">
      <c r="A1663" s="47">
        <v>5946</v>
      </c>
      <c r="B1663" s="78">
        <v>45117</v>
      </c>
      <c r="C1663" s="47" t="s">
        <v>22</v>
      </c>
      <c r="D1663" s="49" t="s">
        <v>299</v>
      </c>
      <c r="E1663" s="47">
        <v>329741</v>
      </c>
      <c r="F1663" s="50" t="s">
        <v>89</v>
      </c>
      <c r="G1663" s="51" t="s">
        <v>89</v>
      </c>
      <c r="H1663" s="49">
        <v>137</v>
      </c>
      <c r="I1663" s="51"/>
      <c r="J1663" s="51">
        <v>4.45</v>
      </c>
      <c r="K1663" s="53">
        <f>Tabela6[[#This Row],[CONSUMO]]*Tabela6[[#This Row],[VALOR UNIT]]-Tabela6[[#This Row],[DESCONTO]]</f>
        <v>609.65</v>
      </c>
      <c r="L1663" s="50">
        <v>4.45</v>
      </c>
      <c r="M1663" s="50">
        <f>Tabela6[[#This Row],[KM ATUAL]]-E1608</f>
        <v>72611</v>
      </c>
      <c r="N1663" s="51">
        <f>Tabela6[[#This Row],[KM Rodados ]]/Tabela6[[#This Row],[CONSUMO]]</f>
        <v>530.00729927007296</v>
      </c>
      <c r="O1663" s="48"/>
      <c r="P1663" s="47"/>
      <c r="Q1663" s="49"/>
      <c r="R1663" s="47"/>
      <c r="S1663" s="50"/>
      <c r="T1663" s="51"/>
      <c r="U1663" s="49"/>
      <c r="V1663" s="51"/>
      <c r="W1663" s="51"/>
      <c r="X1663" s="53"/>
      <c r="Y1663" s="50"/>
      <c r="Z1663" s="51"/>
    </row>
    <row r="1664" spans="1:26" ht="14.45" customHeight="1" x14ac:dyDescent="0.25">
      <c r="A1664" s="47">
        <v>191568</v>
      </c>
      <c r="B1664" s="78">
        <v>45117</v>
      </c>
      <c r="C1664" s="47" t="s">
        <v>39</v>
      </c>
      <c r="D1664" s="49" t="s">
        <v>262</v>
      </c>
      <c r="E1664" s="47">
        <v>93396</v>
      </c>
      <c r="F1664" s="50" t="s">
        <v>89</v>
      </c>
      <c r="G1664" s="50" t="s">
        <v>89</v>
      </c>
      <c r="H1664" s="51">
        <v>61.23</v>
      </c>
      <c r="I1664" s="51"/>
      <c r="J1664" s="51">
        <v>4.8899999999999997</v>
      </c>
      <c r="K1664" s="53">
        <f>Tabela6[[#This Row],[CONSUMO]]*Tabela6[[#This Row],[VALOR UNIT]]-Tabela6[[#This Row],[DESCONTO]]</f>
        <v>299.41469999999998</v>
      </c>
      <c r="L1664" s="50">
        <v>4.8899999999999997</v>
      </c>
      <c r="M1664" s="50">
        <f>Tabela6[[#This Row],[KM ATUAL]]-E1648</f>
        <v>-308291</v>
      </c>
      <c r="N1664" s="51">
        <f>Tabela6[[#This Row],[KM Rodados ]]/Tabela6[[#This Row],[CONSUMO]]</f>
        <v>-5034.966519679896</v>
      </c>
      <c r="O1664" s="48"/>
      <c r="P1664" s="47"/>
      <c r="Q1664" s="49"/>
      <c r="R1664" s="47"/>
      <c r="S1664" s="50"/>
      <c r="T1664" s="51"/>
      <c r="U1664" s="49"/>
      <c r="V1664" s="51"/>
      <c r="W1664" s="51"/>
      <c r="X1664" s="53"/>
      <c r="Y1664" s="50"/>
      <c r="Z1664" s="51"/>
    </row>
    <row r="1665" spans="1:26" ht="14.45" customHeight="1" x14ac:dyDescent="0.25">
      <c r="A1665" s="47">
        <v>5946</v>
      </c>
      <c r="B1665" s="78">
        <v>45117</v>
      </c>
      <c r="C1665" s="47" t="s">
        <v>39</v>
      </c>
      <c r="D1665" s="49" t="s">
        <v>299</v>
      </c>
      <c r="E1665" s="47">
        <v>93738</v>
      </c>
      <c r="F1665" s="50" t="s">
        <v>89</v>
      </c>
      <c r="G1665" s="50" t="s">
        <v>89</v>
      </c>
      <c r="H1665" s="51">
        <v>87.5</v>
      </c>
      <c r="I1665" s="51"/>
      <c r="J1665" s="51">
        <v>4.45</v>
      </c>
      <c r="K1665" s="53">
        <f>Tabela6[[#This Row],[CONSUMO]]*Tabela6[[#This Row],[VALOR UNIT]]-Tabela6[[#This Row],[DESCONTO]]</f>
        <v>389.375</v>
      </c>
      <c r="L1665" s="50">
        <v>4.45</v>
      </c>
      <c r="M1665" s="50">
        <f>Tabela6[[#This Row],[KM ATUAL]]-E1664</f>
        <v>342</v>
      </c>
      <c r="N1665" s="51">
        <f>Tabela6[[#This Row],[KM Rodados ]]/Tabela6[[#This Row],[CONSUMO]]</f>
        <v>3.9085714285714284</v>
      </c>
      <c r="O1665" s="48"/>
      <c r="P1665" s="47"/>
      <c r="Q1665" s="49"/>
      <c r="R1665" s="47"/>
      <c r="S1665" s="50"/>
      <c r="T1665" s="51"/>
      <c r="U1665" s="49"/>
      <c r="V1665" s="51"/>
      <c r="W1665" s="51"/>
      <c r="X1665" s="53"/>
      <c r="Y1665" s="50"/>
      <c r="Z1665" s="51"/>
    </row>
    <row r="1666" spans="1:26" ht="14.45" customHeight="1" x14ac:dyDescent="0.25">
      <c r="A1666" s="47">
        <v>5946</v>
      </c>
      <c r="B1666" s="78">
        <v>45117</v>
      </c>
      <c r="C1666" s="47" t="s">
        <v>70</v>
      </c>
      <c r="D1666" s="49" t="s">
        <v>299</v>
      </c>
      <c r="E1666" s="47">
        <v>213034</v>
      </c>
      <c r="F1666" s="50" t="s">
        <v>89</v>
      </c>
      <c r="G1666" s="50" t="s">
        <v>89</v>
      </c>
      <c r="H1666" s="49">
        <v>500</v>
      </c>
      <c r="I1666" s="51"/>
      <c r="J1666" s="51">
        <v>4.45</v>
      </c>
      <c r="K1666" s="51">
        <f>Tabela6[[#This Row],[CONSUMO]]*Tabela6[[#This Row],[VALOR UNIT]]-Tabela6[[#This Row],[DESCONTO]]</f>
        <v>2225</v>
      </c>
      <c r="L1666" s="53">
        <f>Tabela6[[#This Row],[CUSTO TOTAL]]/Tabela6[[#This Row],[CONSUMO]]</f>
        <v>4.45</v>
      </c>
      <c r="M1666" s="50">
        <f>Tabela6[[#This Row],[KM ATUAL]]-E1621</f>
        <v>-158177</v>
      </c>
      <c r="N1666" s="51">
        <f>Tabela6[[#This Row],[KM Rodados ]]/Tabela6[[#This Row],[CONSUMO]]</f>
        <v>-316.35399999999998</v>
      </c>
      <c r="O1666" s="48"/>
      <c r="P1666" s="47"/>
      <c r="Q1666" s="49"/>
      <c r="R1666" s="47"/>
      <c r="S1666" s="50"/>
      <c r="T1666" s="51"/>
      <c r="U1666" s="49"/>
      <c r="V1666" s="51"/>
      <c r="W1666" s="51"/>
      <c r="X1666" s="53"/>
      <c r="Y1666" s="50"/>
      <c r="Z1666" s="51"/>
    </row>
    <row r="1667" spans="1:26" ht="14.45" customHeight="1" x14ac:dyDescent="0.25">
      <c r="A1667" s="47" t="s">
        <v>314</v>
      </c>
      <c r="B1667" s="78">
        <v>45117</v>
      </c>
      <c r="C1667" s="47" t="s">
        <v>203</v>
      </c>
      <c r="E1667" s="47">
        <v>102576</v>
      </c>
      <c r="F1667" s="50"/>
      <c r="G1667" s="50" t="s">
        <v>244</v>
      </c>
      <c r="H1667" s="51">
        <v>44.25</v>
      </c>
      <c r="I1667" s="51"/>
      <c r="K1667" s="53">
        <f>Tabela6[[#This Row],[CONSUMO]]*Tabela6[[#This Row],[VALOR UNIT]]-Tabela6[[#This Row],[DESCONTO]]</f>
        <v>0</v>
      </c>
      <c r="L1667" s="53">
        <f>Tabela6[[#This Row],[CUSTO TOTAL]]/Tabela6[[#This Row],[CONSUMO]]</f>
        <v>0</v>
      </c>
      <c r="M1667" s="50">
        <f>Tabela6[[#This Row],[KM ATUAL]]-E1666</f>
        <v>-110458</v>
      </c>
      <c r="N1667" s="51">
        <f>Tabela6[[#This Row],[KM Rodados ]]/Tabela6[[#This Row],[CONSUMO]]</f>
        <v>-2496.2259887005648</v>
      </c>
      <c r="O1667" s="48"/>
      <c r="P1667" s="47"/>
      <c r="Q1667" s="49"/>
      <c r="R1667" s="47"/>
      <c r="S1667" s="50"/>
      <c r="T1667" s="51"/>
      <c r="U1667" s="49"/>
      <c r="V1667" s="51"/>
      <c r="W1667" s="51"/>
      <c r="X1667" s="53"/>
      <c r="Y1667" s="50"/>
      <c r="Z1667" s="51"/>
    </row>
    <row r="1668" spans="1:26" ht="14.45" customHeight="1" x14ac:dyDescent="0.25">
      <c r="A1668" s="47">
        <v>120729</v>
      </c>
      <c r="B1668" s="78">
        <v>45117</v>
      </c>
      <c r="C1668" s="47" t="s">
        <v>72</v>
      </c>
      <c r="D1668" s="49" t="s">
        <v>263</v>
      </c>
      <c r="E1668" s="47">
        <v>402034</v>
      </c>
      <c r="F1668" s="50" t="s">
        <v>89</v>
      </c>
      <c r="G1668" s="50" t="s">
        <v>89</v>
      </c>
      <c r="H1668" s="49">
        <v>27.670999999999999</v>
      </c>
      <c r="I1668" s="51">
        <v>2.77</v>
      </c>
      <c r="J1668" s="51">
        <v>4.88</v>
      </c>
      <c r="K1668" s="51">
        <f>Tabela6[[#This Row],[CONSUMO]]*Tabela6[[#This Row],[VALOR UNIT]]-Tabela6[[#This Row],[DESCONTO]]</f>
        <v>132.26447999999999</v>
      </c>
      <c r="L1668" s="53">
        <f>Tabela6[[#This Row],[CUSTO TOTAL]]/Tabela6[[#This Row],[CONSUMO]]</f>
        <v>4.7798951971377974</v>
      </c>
      <c r="M1668" s="50">
        <f>Tabela6[[#This Row],[KM ATUAL]]-E1660</f>
        <v>267665</v>
      </c>
      <c r="N1668" s="51">
        <f>Tabela6[[#This Row],[KM Rodados ]]/Tabela6[[#This Row],[CONSUMO]]</f>
        <v>9673.123486682809</v>
      </c>
      <c r="O1668" s="48"/>
      <c r="P1668" s="47"/>
      <c r="Q1668" s="49"/>
      <c r="R1668" s="47"/>
      <c r="S1668" s="50"/>
      <c r="T1668" s="51"/>
      <c r="U1668" s="49"/>
      <c r="V1668" s="51"/>
      <c r="W1668" s="51"/>
      <c r="X1668" s="53"/>
      <c r="Y1668" s="50"/>
      <c r="Z1668" s="51"/>
    </row>
    <row r="1669" spans="1:26" ht="14.45" customHeight="1" x14ac:dyDescent="0.25">
      <c r="A1669" s="47">
        <v>6114</v>
      </c>
      <c r="B1669" s="78">
        <v>45117</v>
      </c>
      <c r="C1669" s="47" t="s">
        <v>73</v>
      </c>
      <c r="D1669" s="49" t="s">
        <v>299</v>
      </c>
      <c r="E1669" s="47">
        <v>128035</v>
      </c>
      <c r="F1669" s="50" t="s">
        <v>89</v>
      </c>
      <c r="G1669" s="50" t="s">
        <v>89</v>
      </c>
      <c r="H1669" s="51">
        <v>170</v>
      </c>
      <c r="I1669" s="51"/>
      <c r="J1669" s="51">
        <v>4.45</v>
      </c>
      <c r="K1669" s="52">
        <f>Tabela6[[#This Row],[CONSUMO]]*Tabela6[[#This Row],[VALOR UNIT]]-Tabela6[[#This Row],[DESCONTO]]</f>
        <v>756.5</v>
      </c>
      <c r="L1669" s="53">
        <f>Tabela6[[#This Row],[CUSTO TOTAL]]/Tabela6[[#This Row],[CONSUMO]]</f>
        <v>4.45</v>
      </c>
      <c r="M1669" s="50">
        <f>Tabela6[[#This Row],[KM ATUAL]]-E1617</f>
        <v>711</v>
      </c>
      <c r="N1669" s="51">
        <f>Tabela6[[#This Row],[KM Rodados ]]/Tabela6[[#This Row],[CONSUMO]]</f>
        <v>4.1823529411764708</v>
      </c>
      <c r="O1669" s="48"/>
      <c r="P1669" s="47"/>
      <c r="Q1669" s="49"/>
      <c r="R1669" s="47"/>
      <c r="S1669" s="50"/>
      <c r="T1669" s="51"/>
      <c r="U1669" s="49"/>
      <c r="V1669" s="51"/>
      <c r="W1669" s="51"/>
      <c r="X1669" s="53"/>
      <c r="Y1669" s="50"/>
      <c r="Z1669" s="51"/>
    </row>
    <row r="1670" spans="1:26" ht="14.45" customHeight="1" x14ac:dyDescent="0.25">
      <c r="A1670" s="47">
        <v>6114</v>
      </c>
      <c r="B1670" s="78">
        <v>45117</v>
      </c>
      <c r="C1670" s="47" t="s">
        <v>10</v>
      </c>
      <c r="D1670" s="49" t="s">
        <v>299</v>
      </c>
      <c r="E1670" s="47">
        <v>718738</v>
      </c>
      <c r="F1670" s="50" t="s">
        <v>89</v>
      </c>
      <c r="G1670" s="50" t="s">
        <v>89</v>
      </c>
      <c r="H1670" s="49">
        <v>30</v>
      </c>
      <c r="I1670" s="51"/>
      <c r="J1670" s="51">
        <v>4.45</v>
      </c>
      <c r="K1670" s="51">
        <f>Tabela6[[#This Row],[CONSUMO]]*Tabela6[[#This Row],[VALOR UNIT]]-Tabela6[[#This Row],[DESCONTO]]</f>
        <v>133.5</v>
      </c>
      <c r="L1670" s="53">
        <f>Tabela6[[#This Row],[CUSTO TOTAL]]/Tabela6[[#This Row],[CONSUMO]]</f>
        <v>4.45</v>
      </c>
      <c r="M1670" s="50">
        <f>Tabela6[[#This Row],[KM ATUAL]]-E1457</f>
        <v>588949</v>
      </c>
      <c r="N1670" s="84">
        <f>Tabela6[[#This Row],[KM Rodados ]]/Tabela6[[#This Row],[CONSUMO]]</f>
        <v>19631.633333333335</v>
      </c>
      <c r="O1670" s="48"/>
      <c r="P1670" s="47"/>
      <c r="Q1670" s="49"/>
      <c r="R1670" s="47"/>
      <c r="S1670" s="50"/>
      <c r="T1670" s="51"/>
      <c r="U1670" s="49"/>
      <c r="V1670" s="51"/>
      <c r="W1670" s="51"/>
      <c r="X1670" s="53"/>
      <c r="Y1670" s="50"/>
      <c r="Z1670" s="51"/>
    </row>
    <row r="1671" spans="1:26" ht="14.45" customHeight="1" x14ac:dyDescent="0.25">
      <c r="A1671" s="47">
        <v>5946</v>
      </c>
      <c r="B1671" s="78">
        <v>45117</v>
      </c>
      <c r="C1671" s="47" t="s">
        <v>206</v>
      </c>
      <c r="D1671" s="49" t="s">
        <v>299</v>
      </c>
      <c r="E1671" s="47">
        <v>947236</v>
      </c>
      <c r="F1671" s="50" t="s">
        <v>89</v>
      </c>
      <c r="G1671" s="50" t="s">
        <v>89</v>
      </c>
      <c r="H1671" s="49">
        <v>590</v>
      </c>
      <c r="I1671" s="51"/>
      <c r="J1671" s="51">
        <v>4.45</v>
      </c>
      <c r="K1671" s="52">
        <f>Tabela6[[#This Row],[CONSUMO]]*Tabela6[[#This Row],[VALOR UNIT]]-Tabela6[[#This Row],[DESCONTO]]</f>
        <v>2625.5</v>
      </c>
      <c r="L1671" s="53">
        <f>Tabela6[[#This Row],[CUSTO TOTAL]]/Tabela6[[#This Row],[CONSUMO]]</f>
        <v>4.45</v>
      </c>
      <c r="M1671" s="50">
        <f>Tabela6[[#This Row],[KM ATUAL]]-E1592</f>
        <v>580475</v>
      </c>
      <c r="N1671" s="51">
        <f>Tabela6[[#This Row],[KM Rodados ]]/Tabela6[[#This Row],[CONSUMO]]</f>
        <v>983.85593220338978</v>
      </c>
      <c r="O1671" s="48"/>
      <c r="P1671" s="47"/>
      <c r="Q1671" s="49"/>
      <c r="R1671" s="47"/>
      <c r="S1671" s="50"/>
      <c r="T1671" s="51"/>
      <c r="U1671" s="49"/>
      <c r="V1671" s="51"/>
      <c r="W1671" s="51"/>
      <c r="X1671" s="53"/>
      <c r="Y1671" s="50"/>
      <c r="Z1671" s="51"/>
    </row>
    <row r="1672" spans="1:26" ht="14.45" customHeight="1" x14ac:dyDescent="0.25">
      <c r="A1672" s="47">
        <v>413158</v>
      </c>
      <c r="B1672" s="78">
        <v>45117</v>
      </c>
      <c r="C1672" s="47" t="s">
        <v>12</v>
      </c>
      <c r="D1672" s="49" t="s">
        <v>253</v>
      </c>
      <c r="E1672" s="47">
        <v>315472</v>
      </c>
      <c r="F1672" s="50" t="s">
        <v>89</v>
      </c>
      <c r="G1672" s="50" t="s">
        <v>89</v>
      </c>
      <c r="H1672" s="49">
        <v>109.34</v>
      </c>
      <c r="I1672" s="51"/>
      <c r="J1672" s="51">
        <v>5.19</v>
      </c>
      <c r="K1672" s="51">
        <f>Tabela6[[#This Row],[CONSUMO]]*Tabela6[[#This Row],[VALOR UNIT]]-Tabela6[[#This Row],[DESCONTO]]</f>
        <v>567.47460000000001</v>
      </c>
      <c r="L1672" s="53">
        <f>Tabela6[[#This Row],[CUSTO TOTAL]]/Tabela6[[#This Row],[CONSUMO]]</f>
        <v>5.1899999999999995</v>
      </c>
      <c r="M1672" s="50">
        <f>Tabela6[[#This Row],[KM ATUAL]]-E1583</f>
        <v>2058</v>
      </c>
      <c r="N1672" s="51">
        <f>Tabela6[[#This Row],[KM Rodados ]]/Tabela6[[#This Row],[CONSUMO]]</f>
        <v>18.822023047375158</v>
      </c>
      <c r="O1672" s="48"/>
      <c r="P1672" s="47"/>
      <c r="Q1672" s="49"/>
      <c r="R1672" s="47"/>
      <c r="S1672" s="50"/>
      <c r="T1672" s="51"/>
      <c r="U1672" s="49"/>
      <c r="V1672" s="51"/>
      <c r="W1672" s="51"/>
      <c r="X1672" s="53"/>
      <c r="Y1672" s="50"/>
      <c r="Z1672" s="51"/>
    </row>
    <row r="1673" spans="1:26" ht="14.45" customHeight="1" x14ac:dyDescent="0.25">
      <c r="A1673" s="47">
        <v>5946</v>
      </c>
      <c r="B1673" s="78">
        <v>45117</v>
      </c>
      <c r="C1673" s="47" t="s">
        <v>13</v>
      </c>
      <c r="D1673" s="49" t="s">
        <v>299</v>
      </c>
      <c r="E1673" s="119">
        <v>631022</v>
      </c>
      <c r="F1673" s="50" t="s">
        <v>89</v>
      </c>
      <c r="G1673" s="120" t="s">
        <v>241</v>
      </c>
      <c r="H1673" s="49">
        <v>80</v>
      </c>
      <c r="I1673" s="51"/>
      <c r="J1673" s="51">
        <v>4.45</v>
      </c>
      <c r="K1673" s="52">
        <f>Tabela6[[#This Row],[CONSUMO]]*Tabela6[[#This Row],[VALOR UNIT]]-Tabela6[[#This Row],[DESCONTO]]</f>
        <v>356</v>
      </c>
      <c r="L1673" s="53">
        <f>Tabela6[[#This Row],[CUSTO TOTAL]]/Tabela6[[#This Row],[CONSUMO]]</f>
        <v>4.45</v>
      </c>
      <c r="M1673" s="50"/>
      <c r="N1673" s="76"/>
      <c r="O1673" s="48"/>
      <c r="P1673" s="47"/>
      <c r="Q1673" s="49"/>
      <c r="R1673" s="47"/>
      <c r="S1673" s="50"/>
      <c r="T1673" s="51"/>
      <c r="U1673" s="49"/>
      <c r="V1673" s="51"/>
      <c r="W1673" s="51"/>
      <c r="X1673" s="53"/>
      <c r="Y1673" s="50"/>
      <c r="Z1673" s="51"/>
    </row>
    <row r="1674" spans="1:26" ht="14.45" customHeight="1" x14ac:dyDescent="0.25">
      <c r="A1674" s="47">
        <v>547865</v>
      </c>
      <c r="B1674" s="78">
        <v>45117</v>
      </c>
      <c r="C1674" s="47" t="s">
        <v>16</v>
      </c>
      <c r="D1674" s="49" t="s">
        <v>255</v>
      </c>
      <c r="E1674" s="47">
        <v>299400</v>
      </c>
      <c r="F1674" s="50" t="s">
        <v>89</v>
      </c>
      <c r="G1674" s="50" t="s">
        <v>89</v>
      </c>
      <c r="H1674" s="49">
        <v>91.930999999999997</v>
      </c>
      <c r="I1674" s="51"/>
      <c r="J1674" s="51">
        <v>5.32</v>
      </c>
      <c r="K1674" s="52">
        <f>Tabela6[[#This Row],[CONSUMO]]*Tabela6[[#This Row],[VALOR UNIT]]-Tabela6[[#This Row],[DESCONTO]]</f>
        <v>489.07292000000001</v>
      </c>
      <c r="L1674" s="53">
        <f>Tabela6[[#This Row],[CUSTO TOTAL]]/Tabela6[[#This Row],[CONSUMO]]</f>
        <v>5.32</v>
      </c>
      <c r="M1674" s="50">
        <f>Tabela6[[#This Row],[KM ATUAL]]-E1615</f>
        <v>87815</v>
      </c>
      <c r="N1674" s="51">
        <f>Tabela6[[#This Row],[KM Rodados ]]/Tabela6[[#This Row],[CONSUMO]]</f>
        <v>955.22729003274196</v>
      </c>
      <c r="O1674" s="48"/>
      <c r="P1674" s="47"/>
      <c r="Q1674" s="49"/>
      <c r="R1674" s="47"/>
      <c r="S1674" s="50"/>
      <c r="T1674" s="51"/>
      <c r="U1674" s="49"/>
      <c r="V1674" s="51"/>
      <c r="W1674" s="51"/>
      <c r="X1674" s="53"/>
      <c r="Y1674" s="50"/>
      <c r="Z1674" s="51"/>
    </row>
    <row r="1675" spans="1:26" ht="14.45" customHeight="1" x14ac:dyDescent="0.25">
      <c r="A1675" s="47" t="s">
        <v>314</v>
      </c>
      <c r="B1675" s="78">
        <v>45117</v>
      </c>
      <c r="C1675" s="47" t="s">
        <v>38</v>
      </c>
      <c r="E1675" s="47">
        <v>133797</v>
      </c>
      <c r="F1675" s="50"/>
      <c r="G1675" s="50" t="s">
        <v>244</v>
      </c>
      <c r="H1675" s="51">
        <v>52.36</v>
      </c>
      <c r="I1675" s="51"/>
      <c r="K1675" s="53">
        <f>Tabela6[[#This Row],[CONSUMO]]*Tabela6[[#This Row],[VALOR UNIT]]-Tabela6[[#This Row],[DESCONTO]]</f>
        <v>0</v>
      </c>
      <c r="L1675" s="53">
        <f>Tabela6[[#This Row],[CUSTO TOTAL]]/Tabela6[[#This Row],[CONSUMO]]</f>
        <v>0</v>
      </c>
      <c r="M1675" s="50">
        <f>Tabela6[[#This Row],[KM ATUAL]]-E1674</f>
        <v>-165603</v>
      </c>
      <c r="N1675" s="51">
        <f>Tabela6[[#This Row],[KM Rodados ]]/Tabela6[[#This Row],[CONSUMO]]</f>
        <v>-3162.7769289533994</v>
      </c>
      <c r="O1675" s="48"/>
      <c r="P1675" s="47"/>
      <c r="Q1675" s="49"/>
      <c r="R1675" s="47"/>
      <c r="S1675" s="50"/>
      <c r="T1675" s="51"/>
      <c r="U1675" s="49"/>
      <c r="V1675" s="51"/>
      <c r="W1675" s="51"/>
      <c r="X1675" s="53"/>
      <c r="Y1675" s="50"/>
      <c r="Z1675" s="51"/>
    </row>
    <row r="1676" spans="1:26" ht="14.45" customHeight="1" x14ac:dyDescent="0.25">
      <c r="A1676" s="47" t="s">
        <v>314</v>
      </c>
      <c r="B1676" s="78">
        <v>45117</v>
      </c>
      <c r="C1676" s="49" t="s">
        <v>40</v>
      </c>
      <c r="E1676" s="47">
        <v>150260</v>
      </c>
      <c r="F1676" s="50"/>
      <c r="G1676" s="50" t="s">
        <v>244</v>
      </c>
      <c r="H1676" s="51">
        <v>39.78</v>
      </c>
      <c r="I1676" s="51"/>
      <c r="K1676" s="52">
        <f>Tabela6[[#This Row],[CONSUMO]]*Tabela6[[#This Row],[VALOR UNIT]]-Tabela6[[#This Row],[DESCONTO]]</f>
        <v>0</v>
      </c>
      <c r="L1676" s="53">
        <f>Tabela6[[#This Row],[CUSTO TOTAL]]/Tabela6[[#This Row],[CONSUMO]]</f>
        <v>0</v>
      </c>
      <c r="M1676" s="50">
        <f>Tabela6[[#This Row],[KM ATUAL]]-E1675</f>
        <v>16463</v>
      </c>
      <c r="N1676" s="51">
        <f>Tabela6[[#This Row],[KM Rodados ]]/Tabela6[[#This Row],[CONSUMO]]</f>
        <v>413.85118149824029</v>
      </c>
      <c r="O1676" s="48"/>
      <c r="P1676" s="47"/>
      <c r="Q1676" s="49"/>
      <c r="R1676" s="47"/>
      <c r="S1676" s="50"/>
      <c r="T1676" s="51"/>
      <c r="U1676" s="49"/>
      <c r="V1676" s="51"/>
      <c r="W1676" s="51"/>
      <c r="X1676" s="53"/>
      <c r="Y1676" s="50"/>
      <c r="Z1676" s="51"/>
    </row>
    <row r="1677" spans="1:26" ht="14.45" customHeight="1" x14ac:dyDescent="0.25">
      <c r="A1677" s="47" t="s">
        <v>314</v>
      </c>
      <c r="B1677" s="78">
        <v>45117</v>
      </c>
      <c r="C1677" s="47"/>
      <c r="E1677" s="47">
        <v>670846</v>
      </c>
      <c r="F1677" s="50"/>
      <c r="G1677" s="50" t="s">
        <v>89</v>
      </c>
      <c r="H1677" s="51">
        <v>106</v>
      </c>
      <c r="I1677" s="51"/>
      <c r="K1677" s="53">
        <f>Tabela6[[#This Row],[CONSUMO]]*Tabela6[[#This Row],[VALOR UNIT]]-Tabela6[[#This Row],[DESCONTO]]</f>
        <v>0</v>
      </c>
      <c r="L1677" s="53">
        <f>Tabela6[[#This Row],[CUSTO TOTAL]]/Tabela6[[#This Row],[CONSUMO]]</f>
        <v>0</v>
      </c>
      <c r="M1677" s="50">
        <f>Tabela6[[#This Row],[KM ATUAL]]-E1676</f>
        <v>520586</v>
      </c>
      <c r="N1677" s="50">
        <f>Tabela6[[#This Row],[KM Rodados ]]/Tabela6[[#This Row],[CONSUMO]]</f>
        <v>4911.1886792452833</v>
      </c>
      <c r="O1677" s="48"/>
      <c r="P1677" s="47"/>
      <c r="Q1677" s="49"/>
      <c r="R1677" s="47"/>
      <c r="S1677" s="50"/>
      <c r="T1677" s="51"/>
      <c r="U1677" s="49"/>
      <c r="V1677" s="51"/>
      <c r="W1677" s="51"/>
      <c r="X1677" s="53"/>
      <c r="Y1677" s="50"/>
      <c r="Z1677" s="51"/>
    </row>
    <row r="1678" spans="1:26" ht="14.45" customHeight="1" x14ac:dyDescent="0.25">
      <c r="A1678" s="47">
        <v>6114</v>
      </c>
      <c r="B1678" s="78">
        <v>45118</v>
      </c>
      <c r="C1678" s="47" t="s">
        <v>68</v>
      </c>
      <c r="D1678" s="49" t="s">
        <v>299</v>
      </c>
      <c r="E1678" s="47">
        <v>897977</v>
      </c>
      <c r="F1678" s="50" t="s">
        <v>89</v>
      </c>
      <c r="G1678" s="51" t="s">
        <v>89</v>
      </c>
      <c r="H1678" s="49">
        <v>340</v>
      </c>
      <c r="I1678" s="51"/>
      <c r="J1678" s="51">
        <v>4.45</v>
      </c>
      <c r="K1678" s="51">
        <f>Tabela6[[#This Row],[CONSUMO]]*Tabela6[[#This Row],[VALOR UNIT]]-Tabela6[[#This Row],[DESCONTO]]</f>
        <v>1513</v>
      </c>
      <c r="L1678" s="53">
        <f>Tabela6[[#This Row],[CUSTO TOTAL]]/Tabela6[[#This Row],[CONSUMO]]</f>
        <v>4.45</v>
      </c>
      <c r="M1678" s="50">
        <f>Tabela6[[#This Row],[KM ATUAL]]-E1641</f>
        <v>496555</v>
      </c>
      <c r="N1678" s="51">
        <f>Tabela6[[#This Row],[KM Rodados ]]/Tabela6[[#This Row],[CONSUMO]]</f>
        <v>1460.4558823529412</v>
      </c>
      <c r="O1678" s="48"/>
      <c r="P1678" s="47"/>
      <c r="Q1678" s="49"/>
      <c r="R1678" s="47"/>
      <c r="S1678" s="50"/>
      <c r="T1678" s="51"/>
      <c r="U1678" s="49"/>
      <c r="V1678" s="51"/>
      <c r="W1678" s="51"/>
      <c r="X1678" s="53"/>
      <c r="Y1678" s="50"/>
      <c r="Z1678" s="51"/>
    </row>
    <row r="1679" spans="1:26" ht="14.45" customHeight="1" x14ac:dyDescent="0.25">
      <c r="A1679" s="47">
        <v>6114</v>
      </c>
      <c r="B1679" s="78">
        <v>45118</v>
      </c>
      <c r="C1679" s="47" t="s">
        <v>67</v>
      </c>
      <c r="D1679" s="49" t="s">
        <v>299</v>
      </c>
      <c r="E1679" s="47">
        <v>671232</v>
      </c>
      <c r="F1679" s="50" t="s">
        <v>89</v>
      </c>
      <c r="G1679" s="51" t="s">
        <v>89</v>
      </c>
      <c r="H1679" s="49">
        <v>100</v>
      </c>
      <c r="I1679" s="51"/>
      <c r="J1679" s="51">
        <v>4.45</v>
      </c>
      <c r="K1679" s="53">
        <f>Tabela6[[#This Row],[CONSUMO]]*Tabela6[[#This Row],[VALOR UNIT]]-Tabela6[[#This Row],[DESCONTO]]</f>
        <v>445</v>
      </c>
      <c r="L1679" s="50">
        <v>4.45</v>
      </c>
      <c r="M1679" s="50">
        <f>Tabela6[[#This Row],[KM ATUAL]]-E1658</f>
        <v>39690</v>
      </c>
      <c r="N1679" s="51">
        <f>Tabela6[[#This Row],[KM Rodados ]]/Tabela6[[#This Row],[CONSUMO]]</f>
        <v>396.9</v>
      </c>
      <c r="O1679" s="48"/>
      <c r="P1679" s="47"/>
      <c r="Q1679" s="49"/>
      <c r="R1679" s="47"/>
      <c r="S1679" s="50"/>
      <c r="T1679" s="51"/>
      <c r="U1679" s="49"/>
      <c r="V1679" s="51"/>
      <c r="W1679" s="51"/>
      <c r="X1679" s="53"/>
      <c r="Y1679" s="50"/>
      <c r="Z1679" s="51"/>
    </row>
    <row r="1680" spans="1:26" ht="14.45" customHeight="1" x14ac:dyDescent="0.25">
      <c r="A1680" s="47">
        <v>6114</v>
      </c>
      <c r="B1680" s="78">
        <v>45118</v>
      </c>
      <c r="C1680" s="47" t="s">
        <v>72</v>
      </c>
      <c r="D1680" s="49" t="s">
        <v>299</v>
      </c>
      <c r="E1680" s="47">
        <v>402447</v>
      </c>
      <c r="F1680" s="50" t="s">
        <v>89</v>
      </c>
      <c r="G1680" s="50" t="s">
        <v>89</v>
      </c>
      <c r="H1680" s="49">
        <v>50</v>
      </c>
      <c r="I1680" s="51"/>
      <c r="J1680" s="51">
        <v>4.45</v>
      </c>
      <c r="K1680" s="51">
        <f>Tabela6[[#This Row],[CONSUMO]]*Tabela6[[#This Row],[VALOR UNIT]]-Tabela6[[#This Row],[DESCONTO]]</f>
        <v>222.5</v>
      </c>
      <c r="L1680" s="53">
        <f>Tabela6[[#This Row],[CUSTO TOTAL]]/Tabela6[[#This Row],[CONSUMO]]</f>
        <v>4.45</v>
      </c>
      <c r="M1680" s="50">
        <f>Tabela6[[#This Row],[KM ATUAL]]-E1669</f>
        <v>274412</v>
      </c>
      <c r="N1680" s="51">
        <f>Tabela6[[#This Row],[KM Rodados ]]/Tabela6[[#This Row],[CONSUMO]]</f>
        <v>5488.24</v>
      </c>
      <c r="O1680" s="48"/>
      <c r="P1680" s="47"/>
      <c r="Q1680" s="49"/>
      <c r="R1680" s="47"/>
      <c r="S1680" s="50"/>
      <c r="T1680" s="51"/>
      <c r="U1680" s="49"/>
      <c r="V1680" s="51"/>
      <c r="W1680" s="51"/>
      <c r="X1680" s="53"/>
      <c r="Y1680" s="50"/>
      <c r="Z1680" s="51"/>
    </row>
    <row r="1681" spans="1:26" ht="14.45" customHeight="1" x14ac:dyDescent="0.25">
      <c r="A1681" s="47">
        <v>414236</v>
      </c>
      <c r="B1681" s="78">
        <v>45118</v>
      </c>
      <c r="C1681" s="47" t="s">
        <v>72</v>
      </c>
      <c r="D1681" s="49" t="s">
        <v>253</v>
      </c>
      <c r="E1681" s="47">
        <v>402834</v>
      </c>
      <c r="F1681" s="50" t="s">
        <v>89</v>
      </c>
      <c r="G1681" s="50" t="s">
        <v>89</v>
      </c>
      <c r="H1681" s="49">
        <v>45.82</v>
      </c>
      <c r="I1681" s="51"/>
      <c r="J1681" s="51">
        <v>5.19</v>
      </c>
      <c r="K1681" s="51">
        <f>Tabela6[[#This Row],[CONSUMO]]*Tabela6[[#This Row],[VALOR UNIT]]-Tabela6[[#This Row],[DESCONTO]]</f>
        <v>237.80580000000003</v>
      </c>
      <c r="L1681" s="53">
        <f>Tabela6[[#This Row],[CUSTO TOTAL]]/Tabela6[[#This Row],[CONSUMO]]</f>
        <v>5.19</v>
      </c>
      <c r="M1681" s="50">
        <f>Tabela6[[#This Row],[KM ATUAL]]-E1680</f>
        <v>387</v>
      </c>
      <c r="N1681" s="51">
        <f>Tabela6[[#This Row],[KM Rodados ]]/Tabela6[[#This Row],[CONSUMO]]</f>
        <v>8.4460934089917075</v>
      </c>
      <c r="O1681" s="48"/>
      <c r="P1681" s="47"/>
      <c r="Q1681" s="49"/>
      <c r="R1681" s="47"/>
      <c r="S1681" s="50"/>
      <c r="T1681" s="51"/>
      <c r="U1681" s="49"/>
      <c r="V1681" s="51"/>
      <c r="W1681" s="51"/>
      <c r="X1681" s="53"/>
      <c r="Y1681" s="50"/>
      <c r="Z1681" s="51"/>
    </row>
    <row r="1682" spans="1:26" ht="14.45" customHeight="1" x14ac:dyDescent="0.25">
      <c r="A1682" s="47">
        <v>1828</v>
      </c>
      <c r="B1682" s="78">
        <v>45118</v>
      </c>
      <c r="C1682" s="47" t="s">
        <v>13</v>
      </c>
      <c r="D1682" s="49" t="s">
        <v>247</v>
      </c>
      <c r="E1682" s="119">
        <v>631879</v>
      </c>
      <c r="F1682" s="50" t="s">
        <v>89</v>
      </c>
      <c r="G1682" s="120" t="s">
        <v>89</v>
      </c>
      <c r="H1682" s="49">
        <v>121.55</v>
      </c>
      <c r="I1682" s="51"/>
      <c r="J1682" s="51">
        <v>4.9800000000000004</v>
      </c>
      <c r="K1682" s="51">
        <f>Tabela6[[#This Row],[CONSUMO]]*Tabela6[[#This Row],[VALOR UNIT]]-Tabela6[[#This Row],[DESCONTO]]</f>
        <v>605.31900000000007</v>
      </c>
      <c r="L1682" s="53">
        <f>Tabela6[[#This Row],[CUSTO TOTAL]]/Tabela6[[#This Row],[CONSUMO]]</f>
        <v>4.9800000000000004</v>
      </c>
      <c r="M1682" s="50">
        <f>Tabela6[[#This Row],[KM ATUAL]]-E1660</f>
        <v>497510</v>
      </c>
      <c r="N1682" s="51">
        <f>Tabela6[[#This Row],[KM Rodados ]]/Tabela6[[#This Row],[CONSUMO]]</f>
        <v>4093.0481283422459</v>
      </c>
      <c r="O1682" s="48"/>
      <c r="P1682" s="47"/>
      <c r="Q1682" s="49"/>
      <c r="R1682" s="47"/>
      <c r="S1682" s="50"/>
      <c r="T1682" s="51"/>
      <c r="U1682" s="49"/>
      <c r="V1682" s="51"/>
      <c r="W1682" s="51"/>
      <c r="X1682" s="53"/>
      <c r="Y1682" s="50"/>
      <c r="Z1682" s="51"/>
    </row>
    <row r="1683" spans="1:26" ht="14.45" customHeight="1" x14ac:dyDescent="0.25">
      <c r="A1683" s="47">
        <v>6114</v>
      </c>
      <c r="B1683" s="78">
        <v>45118</v>
      </c>
      <c r="C1683" s="47" t="s">
        <v>15</v>
      </c>
      <c r="D1683" s="49" t="s">
        <v>299</v>
      </c>
      <c r="E1683" s="47">
        <v>372803</v>
      </c>
      <c r="F1683" s="50" t="s">
        <v>89</v>
      </c>
      <c r="G1683" s="50" t="s">
        <v>89</v>
      </c>
      <c r="H1683" s="49">
        <v>120</v>
      </c>
      <c r="I1683" s="51"/>
      <c r="J1683" s="51">
        <v>4.45</v>
      </c>
      <c r="K1683" s="52">
        <f>Tabela6[[#This Row],[CONSUMO]]*Tabela6[[#This Row],[VALOR UNIT]]-Tabela6[[#This Row],[DESCONTO]]</f>
        <v>534</v>
      </c>
      <c r="L1683" s="53">
        <f>Tabela6[[#This Row],[CUSTO TOTAL]]/Tabela6[[#This Row],[CONSUMO]]</f>
        <v>4.45</v>
      </c>
      <c r="M1683" s="50">
        <f>Tabela6[[#This Row],[KM ATUAL]]-E1663</f>
        <v>43062</v>
      </c>
      <c r="N1683" s="51">
        <f>Tabela6[[#This Row],[KM Rodados ]]/Tabela6[[#This Row],[CONSUMO]]</f>
        <v>358.85</v>
      </c>
      <c r="O1683" s="48"/>
      <c r="P1683" s="47"/>
      <c r="Q1683" s="49"/>
      <c r="R1683" s="47"/>
      <c r="S1683" s="50"/>
      <c r="T1683" s="51"/>
      <c r="U1683" s="49"/>
      <c r="V1683" s="51"/>
      <c r="W1683" s="51"/>
      <c r="X1683" s="53"/>
      <c r="Y1683" s="50"/>
      <c r="Z1683" s="51"/>
    </row>
    <row r="1684" spans="1:26" ht="14.45" customHeight="1" x14ac:dyDescent="0.25">
      <c r="A1684" s="47">
        <v>193371</v>
      </c>
      <c r="B1684" s="78">
        <v>45118</v>
      </c>
      <c r="C1684" s="47" t="s">
        <v>20</v>
      </c>
      <c r="D1684" s="49" t="s">
        <v>262</v>
      </c>
      <c r="E1684" s="47">
        <v>258638</v>
      </c>
      <c r="F1684" s="50" t="s">
        <v>89</v>
      </c>
      <c r="G1684" s="50" t="s">
        <v>89</v>
      </c>
      <c r="H1684" s="49">
        <v>76</v>
      </c>
      <c r="I1684" s="51"/>
      <c r="J1684" s="51">
        <v>4.79</v>
      </c>
      <c r="K1684" s="52">
        <f>Tabela6[[#This Row],[CONSUMO]]*Tabela6[[#This Row],[VALOR UNIT]]-Tabela6[[#This Row],[DESCONTO]]</f>
        <v>364.04</v>
      </c>
      <c r="L1684" s="53">
        <f>Tabela6[[#This Row],[CUSTO TOTAL]]/Tabela6[[#This Row],[CONSUMO]]</f>
        <v>4.79</v>
      </c>
      <c r="M1684" s="50">
        <f>Tabela6[[#This Row],[KM ATUAL]]-E1664</f>
        <v>165242</v>
      </c>
      <c r="N1684" s="51">
        <f>Tabela6[[#This Row],[KM Rodados ]]/Tabela6[[#This Row],[CONSUMO]]</f>
        <v>2174.2368421052633</v>
      </c>
      <c r="O1684" s="48"/>
      <c r="P1684" s="47"/>
      <c r="Q1684" s="49"/>
      <c r="R1684" s="47"/>
      <c r="S1684" s="50"/>
      <c r="T1684" s="51"/>
      <c r="U1684" s="49"/>
      <c r="V1684" s="51"/>
      <c r="W1684" s="51"/>
      <c r="X1684" s="53"/>
      <c r="Y1684" s="50"/>
      <c r="Z1684" s="51"/>
    </row>
    <row r="1685" spans="1:26" ht="14.45" customHeight="1" x14ac:dyDescent="0.25">
      <c r="A1685" s="47">
        <v>413853</v>
      </c>
      <c r="B1685" s="78">
        <v>45118</v>
      </c>
      <c r="C1685" s="47" t="s">
        <v>23</v>
      </c>
      <c r="D1685" s="49" t="s">
        <v>253</v>
      </c>
      <c r="E1685" s="47">
        <v>234269</v>
      </c>
      <c r="F1685" s="50" t="s">
        <v>89</v>
      </c>
      <c r="G1685" s="50" t="s">
        <v>89</v>
      </c>
      <c r="H1685" s="49">
        <v>157.71</v>
      </c>
      <c r="I1685" s="51"/>
      <c r="J1685" s="51">
        <v>5.19</v>
      </c>
      <c r="K1685" s="51">
        <f>Tabela6[[#This Row],[CONSUMO]]*Tabela6[[#This Row],[VALOR UNIT]]-Tabela6[[#This Row],[DESCONTO]]</f>
        <v>818.51490000000013</v>
      </c>
      <c r="L1685" s="53">
        <f>Tabela6[[#This Row],[CUSTO TOTAL]]/Tabela6[[#This Row],[CONSUMO]]</f>
        <v>5.19</v>
      </c>
      <c r="M1685" s="50">
        <f>Tabela6[[#This Row],[KM ATUAL]]-E1663</f>
        <v>-95472</v>
      </c>
      <c r="N1685" s="51">
        <f>Tabela6[[#This Row],[KM Rodados ]]/Tabela6[[#This Row],[CONSUMO]]</f>
        <v>-605.36427620315771</v>
      </c>
      <c r="O1685" s="48"/>
      <c r="P1685" s="47"/>
      <c r="Q1685" s="49"/>
      <c r="R1685" s="47"/>
      <c r="S1685" s="50"/>
      <c r="T1685" s="51"/>
      <c r="U1685" s="49"/>
      <c r="V1685" s="51"/>
      <c r="W1685" s="51"/>
      <c r="X1685" s="53"/>
      <c r="Y1685" s="50"/>
      <c r="Z1685" s="51"/>
    </row>
    <row r="1686" spans="1:26" ht="14.45" customHeight="1" x14ac:dyDescent="0.25">
      <c r="A1686" s="47">
        <v>6114</v>
      </c>
      <c r="B1686" s="78">
        <v>45118</v>
      </c>
      <c r="C1686" s="47" t="s">
        <v>74</v>
      </c>
      <c r="D1686" s="49" t="s">
        <v>299</v>
      </c>
      <c r="E1686" s="47">
        <v>63573</v>
      </c>
      <c r="F1686" s="50" t="s">
        <v>89</v>
      </c>
      <c r="G1686" s="50" t="s">
        <v>89</v>
      </c>
      <c r="H1686" s="49">
        <v>80</v>
      </c>
      <c r="I1686" s="51"/>
      <c r="J1686" s="51">
        <v>4.45</v>
      </c>
      <c r="K1686" s="51">
        <f>Tabela6[[#This Row],[CONSUMO]]*Tabela6[[#This Row],[VALOR UNIT]]-Tabela6[[#This Row],[DESCONTO]]</f>
        <v>356</v>
      </c>
      <c r="L1686" s="53">
        <f>Tabela6[[#This Row],[CUSTO TOTAL]]/Tabela6[[#This Row],[CONSUMO]]</f>
        <v>4.45</v>
      </c>
      <c r="M1686" s="50">
        <f>Tabela6[[#This Row],[KM ATUAL]]-E1653</f>
        <v>-607113</v>
      </c>
      <c r="N1686" s="51">
        <f>Tabela6[[#This Row],[KM Rodados ]]/Tabela6[[#This Row],[CONSUMO]]</f>
        <v>-7588.9125000000004</v>
      </c>
      <c r="O1686" s="48"/>
      <c r="P1686" s="47"/>
      <c r="Q1686" s="49"/>
      <c r="R1686" s="47"/>
      <c r="S1686" s="50"/>
      <c r="T1686" s="51"/>
      <c r="U1686" s="49"/>
      <c r="V1686" s="51"/>
      <c r="W1686" s="51"/>
      <c r="X1686" s="53"/>
      <c r="Y1686" s="50"/>
      <c r="Z1686" s="51"/>
    </row>
    <row r="1687" spans="1:26" ht="14.45" customHeight="1" x14ac:dyDescent="0.25">
      <c r="A1687" s="47">
        <v>370907</v>
      </c>
      <c r="B1687" s="78">
        <v>45119</v>
      </c>
      <c r="C1687" s="47" t="s">
        <v>68</v>
      </c>
      <c r="D1687" s="49" t="s">
        <v>237</v>
      </c>
      <c r="E1687" s="47">
        <v>898699</v>
      </c>
      <c r="F1687" s="50" t="s">
        <v>89</v>
      </c>
      <c r="G1687" s="51" t="s">
        <v>89</v>
      </c>
      <c r="H1687" s="49">
        <v>321.00799999999998</v>
      </c>
      <c r="I1687" s="51">
        <v>333.84</v>
      </c>
      <c r="J1687" s="51">
        <v>5.71</v>
      </c>
      <c r="K1687" s="51">
        <f>Tabela6[[#This Row],[CONSUMO]]*Tabela6[[#This Row],[VALOR UNIT]]-Tabela6[[#This Row],[DESCONTO]]</f>
        <v>1499.1156799999999</v>
      </c>
      <c r="L1687" s="53">
        <f>Tabela6[[#This Row],[CUSTO TOTAL]]/Tabela6[[#This Row],[CONSUMO]]</f>
        <v>4.6700259183571751</v>
      </c>
      <c r="M1687" s="50">
        <f>Tabela6[[#This Row],[KM ATUAL]]-E1674</f>
        <v>599299</v>
      </c>
      <c r="N1687" s="51">
        <f>Tabela6[[#This Row],[KM Rodados ]]/Tabela6[[#This Row],[CONSUMO]]</f>
        <v>1866.9285500672881</v>
      </c>
      <c r="O1687" s="48"/>
      <c r="P1687" s="47"/>
      <c r="Q1687" s="49"/>
      <c r="R1687" s="47"/>
      <c r="S1687" s="50"/>
      <c r="T1687" s="51"/>
      <c r="U1687" s="49"/>
      <c r="V1687" s="51"/>
      <c r="W1687" s="51"/>
      <c r="X1687" s="53"/>
      <c r="Y1687" s="50"/>
      <c r="Z1687" s="51"/>
    </row>
    <row r="1688" spans="1:26" ht="14.45" customHeight="1" x14ac:dyDescent="0.25">
      <c r="A1688" s="47">
        <v>2198</v>
      </c>
      <c r="B1688" s="78">
        <v>45119</v>
      </c>
      <c r="C1688" s="47" t="s">
        <v>9</v>
      </c>
      <c r="D1688" s="49" t="s">
        <v>300</v>
      </c>
      <c r="E1688" s="47">
        <v>612112</v>
      </c>
      <c r="F1688" s="50" t="s">
        <v>89</v>
      </c>
      <c r="G1688" s="50" t="s">
        <v>89</v>
      </c>
      <c r="H1688" s="49">
        <v>142.01</v>
      </c>
      <c r="I1688" s="51"/>
      <c r="J1688" s="51">
        <v>4.74</v>
      </c>
      <c r="K1688" s="53">
        <f>Tabela6[[#This Row],[CONSUMO]]*Tabela6[[#This Row],[VALOR UNIT]]-Tabela6[[#This Row],[DESCONTO]]</f>
        <v>673.12739999999997</v>
      </c>
      <c r="L1688" s="53">
        <v>4.74</v>
      </c>
      <c r="M1688" s="50">
        <f>Tabela6[[#This Row],[KM ATUAL]]-E1665</f>
        <v>518374</v>
      </c>
      <c r="N1688" s="51">
        <f>Tabela6[[#This Row],[KM Rodados ]]/Tabela6[[#This Row],[CONSUMO]]</f>
        <v>3650.2640659108515</v>
      </c>
      <c r="O1688" s="48"/>
      <c r="P1688" s="47"/>
      <c r="Q1688" s="49"/>
      <c r="R1688" s="47"/>
      <c r="S1688" s="50"/>
      <c r="T1688" s="51"/>
      <c r="U1688" s="49"/>
      <c r="V1688" s="51"/>
      <c r="W1688" s="51"/>
      <c r="X1688" s="53"/>
      <c r="Y1688" s="50"/>
      <c r="Z1688" s="51"/>
    </row>
    <row r="1689" spans="1:26" ht="14.45" customHeight="1" x14ac:dyDescent="0.25">
      <c r="A1689" s="47">
        <v>6114</v>
      </c>
      <c r="B1689" s="78">
        <v>45119</v>
      </c>
      <c r="C1689" s="47" t="s">
        <v>222</v>
      </c>
      <c r="D1689" s="49" t="s">
        <v>299</v>
      </c>
      <c r="E1689" s="47">
        <v>486293</v>
      </c>
      <c r="F1689" s="50" t="s">
        <v>89</v>
      </c>
      <c r="G1689" s="50" t="s">
        <v>89</v>
      </c>
      <c r="H1689" s="49">
        <v>288</v>
      </c>
      <c r="I1689" s="51"/>
      <c r="J1689" s="51">
        <v>4.45</v>
      </c>
      <c r="K1689" s="53">
        <f>Tabela6[[#This Row],[CONSUMO]]*Tabela6[[#This Row],[VALOR UNIT]]-Tabela6[[#This Row],[DESCONTO]]</f>
        <v>1281.6000000000001</v>
      </c>
      <c r="L1689" s="50">
        <v>4.45</v>
      </c>
      <c r="M1689" s="50">
        <f>Tabela6[[#This Row],[KM ATUAL]]-E1652</f>
        <v>423391</v>
      </c>
      <c r="N1689" s="51">
        <f>Tabela6[[#This Row],[KM Rodados ]]/Tabela6[[#This Row],[CONSUMO]]</f>
        <v>1470.1076388888889</v>
      </c>
      <c r="O1689" s="48"/>
      <c r="P1689" s="47"/>
      <c r="Q1689" s="49"/>
      <c r="R1689" s="47"/>
      <c r="S1689" s="50"/>
      <c r="T1689" s="51"/>
      <c r="U1689" s="49"/>
      <c r="V1689" s="51"/>
      <c r="W1689" s="51"/>
      <c r="X1689" s="53"/>
      <c r="Y1689" s="50"/>
      <c r="Z1689" s="51"/>
    </row>
    <row r="1690" spans="1:26" ht="14.45" customHeight="1" x14ac:dyDescent="0.25">
      <c r="A1690" s="47">
        <v>6148</v>
      </c>
      <c r="B1690" s="78">
        <v>45119</v>
      </c>
      <c r="C1690" s="47" t="s">
        <v>70</v>
      </c>
      <c r="D1690" s="49" t="s">
        <v>299</v>
      </c>
      <c r="E1690" s="47">
        <v>213979</v>
      </c>
      <c r="F1690" s="50" t="s">
        <v>89</v>
      </c>
      <c r="G1690" s="50" t="s">
        <v>89</v>
      </c>
      <c r="H1690" s="49">
        <v>465</v>
      </c>
      <c r="I1690" s="51"/>
      <c r="J1690" s="51">
        <v>4.45</v>
      </c>
      <c r="K1690" s="51">
        <f>Tabela6[[#This Row],[CONSUMO]]*Tabela6[[#This Row],[VALOR UNIT]]-Tabela6[[#This Row],[DESCONTO]]</f>
        <v>2069.25</v>
      </c>
      <c r="L1690" s="53">
        <f>Tabela6[[#This Row],[CUSTO TOTAL]]/Tabela6[[#This Row],[CONSUMO]]</f>
        <v>4.45</v>
      </c>
      <c r="M1690" s="50">
        <f>Tabela6[[#This Row],[KM ATUAL]]-E1665</f>
        <v>120241</v>
      </c>
      <c r="N1690" s="51">
        <f>Tabela6[[#This Row],[KM Rodados ]]/Tabela6[[#This Row],[CONSUMO]]</f>
        <v>258.58279569892471</v>
      </c>
      <c r="O1690" s="48"/>
      <c r="P1690" s="47"/>
      <c r="Q1690" s="49"/>
      <c r="R1690" s="47"/>
      <c r="S1690" s="50"/>
      <c r="T1690" s="51"/>
      <c r="U1690" s="49"/>
      <c r="V1690" s="51"/>
      <c r="W1690" s="51"/>
      <c r="X1690" s="53"/>
      <c r="Y1690" s="50"/>
      <c r="Z1690" s="51"/>
    </row>
    <row r="1691" spans="1:26" ht="14.45" customHeight="1" x14ac:dyDescent="0.25">
      <c r="A1691" s="47" t="s">
        <v>314</v>
      </c>
      <c r="B1691" s="78">
        <v>45119</v>
      </c>
      <c r="C1691" s="47" t="s">
        <v>203</v>
      </c>
      <c r="E1691" s="47">
        <v>103100</v>
      </c>
      <c r="F1691" s="50"/>
      <c r="G1691" s="50" t="s">
        <v>244</v>
      </c>
      <c r="H1691" s="51">
        <v>40.25</v>
      </c>
      <c r="I1691" s="51"/>
      <c r="K1691" s="53">
        <f>Tabela6[[#This Row],[CONSUMO]]*Tabela6[[#This Row],[VALOR UNIT]]-Tabela6[[#This Row],[DESCONTO]]</f>
        <v>0</v>
      </c>
      <c r="L1691" s="53">
        <f>Tabela6[[#This Row],[CUSTO TOTAL]]/Tabela6[[#This Row],[CONSUMO]]</f>
        <v>0</v>
      </c>
      <c r="M1691" s="50">
        <f>Tabela6[[#This Row],[KM ATUAL]]-E1690</f>
        <v>-110879</v>
      </c>
      <c r="N1691" s="51">
        <f>Tabela6[[#This Row],[KM Rodados ]]/Tabela6[[#This Row],[CONSUMO]]</f>
        <v>-2754.7577639751553</v>
      </c>
      <c r="O1691" s="48"/>
      <c r="P1691" s="47"/>
      <c r="Q1691" s="49"/>
      <c r="R1691" s="47"/>
      <c r="S1691" s="50"/>
      <c r="T1691" s="51"/>
      <c r="U1691" s="49"/>
      <c r="V1691" s="51"/>
      <c r="W1691" s="51"/>
      <c r="X1691" s="53"/>
      <c r="Y1691" s="50"/>
      <c r="Z1691" s="51"/>
    </row>
    <row r="1692" spans="1:26" ht="14.45" customHeight="1" x14ac:dyDescent="0.25">
      <c r="A1692" s="47">
        <v>6148</v>
      </c>
      <c r="B1692" s="78">
        <v>45119</v>
      </c>
      <c r="C1692" s="47" t="s">
        <v>72</v>
      </c>
      <c r="D1692" s="49" t="s">
        <v>299</v>
      </c>
      <c r="E1692" s="47">
        <v>403007</v>
      </c>
      <c r="F1692" s="50" t="s">
        <v>89</v>
      </c>
      <c r="G1692" s="50" t="s">
        <v>89</v>
      </c>
      <c r="H1692" s="49">
        <v>24</v>
      </c>
      <c r="I1692" s="51"/>
      <c r="J1692" s="51">
        <v>4.45</v>
      </c>
      <c r="K1692" s="51">
        <f>Tabela6[[#This Row],[CONSUMO]]*Tabela6[[#This Row],[VALOR UNIT]]-Tabela6[[#This Row],[DESCONTO]]</f>
        <v>106.80000000000001</v>
      </c>
      <c r="L1692" s="53">
        <f>Tabela6[[#This Row],[CUSTO TOTAL]]/Tabela6[[#This Row],[CONSUMO]]</f>
        <v>4.45</v>
      </c>
      <c r="M1692" s="50">
        <f>Tabela6[[#This Row],[KM ATUAL]]-E1682</f>
        <v>-228872</v>
      </c>
      <c r="N1692" s="51">
        <f>Tabela6[[#This Row],[KM Rodados ]]/Tabela6[[#This Row],[CONSUMO]]</f>
        <v>-9536.3333333333339</v>
      </c>
      <c r="O1692" s="48"/>
      <c r="P1692" s="47"/>
      <c r="Q1692" s="49"/>
      <c r="R1692" s="47"/>
      <c r="S1692" s="50"/>
      <c r="T1692" s="51"/>
      <c r="U1692" s="49"/>
      <c r="V1692" s="51"/>
      <c r="W1692" s="51"/>
      <c r="X1692" s="53"/>
      <c r="Y1692" s="50"/>
      <c r="Z1692" s="51"/>
    </row>
    <row r="1693" spans="1:26" ht="14.45" customHeight="1" x14ac:dyDescent="0.25">
      <c r="A1693" s="47">
        <v>6148</v>
      </c>
      <c r="B1693" s="78">
        <v>45119</v>
      </c>
      <c r="C1693" s="47" t="s">
        <v>73</v>
      </c>
      <c r="D1693" s="49" t="s">
        <v>299</v>
      </c>
      <c r="E1693" s="47">
        <v>128388</v>
      </c>
      <c r="F1693" s="50" t="s">
        <v>89</v>
      </c>
      <c r="G1693" s="50" t="s">
        <v>89</v>
      </c>
      <c r="H1693" s="51">
        <v>90</v>
      </c>
      <c r="I1693" s="51"/>
      <c r="J1693" s="51">
        <v>4.45</v>
      </c>
      <c r="K1693" s="52">
        <f>Tabela6[[#This Row],[CONSUMO]]*Tabela6[[#This Row],[VALOR UNIT]]-Tabela6[[#This Row],[DESCONTO]]</f>
        <v>400.5</v>
      </c>
      <c r="L1693" s="53">
        <f>Tabela6[[#This Row],[CUSTO TOTAL]]/Tabela6[[#This Row],[CONSUMO]]</f>
        <v>4.45</v>
      </c>
      <c r="M1693" s="50">
        <f>Tabela6[[#This Row],[KM ATUAL]]-E1675</f>
        <v>-5409</v>
      </c>
      <c r="N1693" s="51">
        <f>Tabela6[[#This Row],[KM Rodados ]]/Tabela6[[#This Row],[CONSUMO]]</f>
        <v>-60.1</v>
      </c>
      <c r="O1693" s="48"/>
      <c r="P1693" s="47"/>
      <c r="Q1693" s="49"/>
      <c r="R1693" s="47"/>
      <c r="S1693" s="50"/>
      <c r="T1693" s="51"/>
      <c r="U1693" s="49"/>
      <c r="V1693" s="51"/>
      <c r="W1693" s="51"/>
      <c r="X1693" s="53"/>
      <c r="Y1693" s="50"/>
      <c r="Z1693" s="51"/>
    </row>
    <row r="1694" spans="1:26" ht="14.45" customHeight="1" x14ac:dyDescent="0.25">
      <c r="A1694" s="47">
        <v>6148</v>
      </c>
      <c r="B1694" s="78">
        <v>45119</v>
      </c>
      <c r="C1694" s="47" t="s">
        <v>71</v>
      </c>
      <c r="D1694" s="49" t="s">
        <v>299</v>
      </c>
      <c r="E1694" s="47">
        <v>111903</v>
      </c>
      <c r="F1694" s="50" t="s">
        <v>89</v>
      </c>
      <c r="G1694" s="50" t="s">
        <v>89</v>
      </c>
      <c r="H1694" s="49">
        <v>540</v>
      </c>
      <c r="I1694" s="51"/>
      <c r="J1694" s="51">
        <v>4.45</v>
      </c>
      <c r="K1694" s="51">
        <f>Tabela6[[#This Row],[CONSUMO]]*Tabela6[[#This Row],[VALOR UNIT]]-Tabela6[[#This Row],[DESCONTO]]</f>
        <v>2403</v>
      </c>
      <c r="L1694" s="53">
        <f>Tabela6[[#This Row],[CUSTO TOTAL]]/Tabela6[[#This Row],[CONSUMO]]</f>
        <v>4.45</v>
      </c>
      <c r="M1694" s="50">
        <f>Tabela6[[#This Row],[KM ATUAL]]-E1623</f>
        <v>49847</v>
      </c>
      <c r="N1694" s="51">
        <f>Tabela6[[#This Row],[KM Rodados ]]/Tabela6[[#This Row],[CONSUMO]]</f>
        <v>92.309259259259264</v>
      </c>
      <c r="O1694" s="48"/>
      <c r="P1694" s="47"/>
      <c r="Q1694" s="49"/>
      <c r="R1694" s="47"/>
      <c r="S1694" s="50"/>
      <c r="T1694" s="51"/>
      <c r="U1694" s="49"/>
      <c r="V1694" s="51"/>
      <c r="W1694" s="51"/>
      <c r="X1694" s="53"/>
      <c r="Y1694" s="50"/>
      <c r="Z1694" s="51"/>
    </row>
    <row r="1695" spans="1:26" ht="14.45" customHeight="1" x14ac:dyDescent="0.25">
      <c r="A1695" s="47">
        <v>6148</v>
      </c>
      <c r="B1695" s="78">
        <v>45119</v>
      </c>
      <c r="C1695" s="47" t="s">
        <v>64</v>
      </c>
      <c r="D1695" s="49" t="s">
        <v>299</v>
      </c>
      <c r="E1695" s="47">
        <v>82245</v>
      </c>
      <c r="F1695" s="50" t="s">
        <v>89</v>
      </c>
      <c r="G1695" s="50" t="s">
        <v>89</v>
      </c>
      <c r="H1695" s="49">
        <v>216</v>
      </c>
      <c r="I1695" s="51"/>
      <c r="J1695" s="51">
        <v>4.45</v>
      </c>
      <c r="K1695" s="51">
        <f>Tabela6[[#This Row],[CONSUMO]]*Tabela6[[#This Row],[VALOR UNIT]]-Tabela6[[#This Row],[DESCONTO]]</f>
        <v>961.2</v>
      </c>
      <c r="L1695" s="53">
        <f>Tabela6[[#This Row],[CUSTO TOTAL]]/Tabela6[[#This Row],[CONSUMO]]</f>
        <v>4.45</v>
      </c>
      <c r="M1695" s="50">
        <f>Tabela6[[#This Row],[KM ATUAL]]-E1647</f>
        <v>-19742</v>
      </c>
      <c r="N1695" s="51">
        <f>Tabela6[[#This Row],[KM Rodados ]]/Tabela6[[#This Row],[CONSUMO]]</f>
        <v>-91.398148148148152</v>
      </c>
      <c r="O1695" s="48"/>
      <c r="P1695" s="47"/>
      <c r="Q1695" s="49"/>
      <c r="R1695" s="47"/>
      <c r="S1695" s="50"/>
      <c r="T1695" s="51"/>
      <c r="U1695" s="49"/>
      <c r="V1695" s="51"/>
      <c r="W1695" s="51"/>
      <c r="X1695" s="53"/>
      <c r="Y1695" s="50"/>
      <c r="Z1695" s="51"/>
    </row>
    <row r="1696" spans="1:26" ht="14.45" customHeight="1" x14ac:dyDescent="0.25">
      <c r="A1696" s="47">
        <v>6114</v>
      </c>
      <c r="B1696" s="78">
        <v>45119</v>
      </c>
      <c r="C1696" s="47" t="s">
        <v>21</v>
      </c>
      <c r="D1696" s="49" t="s">
        <v>299</v>
      </c>
      <c r="E1696" s="47">
        <v>147175</v>
      </c>
      <c r="F1696" s="50" t="s">
        <v>89</v>
      </c>
      <c r="G1696" s="50" t="s">
        <v>89</v>
      </c>
      <c r="H1696" s="49">
        <v>190</v>
      </c>
      <c r="I1696" s="51"/>
      <c r="J1696" s="51">
        <v>4.45</v>
      </c>
      <c r="K1696" s="52">
        <f>Tabela6[[#This Row],[CONSUMO]]*Tabela6[[#This Row],[VALOR UNIT]]-Tabela6[[#This Row],[DESCONTO]]</f>
        <v>845.5</v>
      </c>
      <c r="L1696" s="53">
        <f>Tabela6[[#This Row],[CUSTO TOTAL]]/Tabela6[[#This Row],[CONSUMO]]</f>
        <v>4.45</v>
      </c>
      <c r="M1696" s="50">
        <f>Tabela6[[#This Row],[KM ATUAL]]-E1644</f>
        <v>84409</v>
      </c>
      <c r="N1696" s="51">
        <f>Tabela6[[#This Row],[KM Rodados ]]/Tabela6[[#This Row],[CONSUMO]]</f>
        <v>444.2578947368421</v>
      </c>
      <c r="O1696" s="48"/>
      <c r="P1696" s="47"/>
      <c r="Q1696" s="49"/>
      <c r="R1696" s="47"/>
      <c r="S1696" s="50"/>
      <c r="T1696" s="51"/>
      <c r="U1696" s="49"/>
      <c r="V1696" s="51"/>
      <c r="W1696" s="51"/>
      <c r="X1696" s="53"/>
      <c r="Y1696" s="50"/>
      <c r="Z1696" s="51"/>
    </row>
    <row r="1697" spans="1:26" ht="14.45" customHeight="1" x14ac:dyDescent="0.25">
      <c r="A1697" s="47">
        <v>6148</v>
      </c>
      <c r="B1697" s="78">
        <v>45119</v>
      </c>
      <c r="C1697" s="47" t="s">
        <v>41</v>
      </c>
      <c r="D1697" s="49" t="s">
        <v>299</v>
      </c>
      <c r="E1697" s="47">
        <v>666593</v>
      </c>
      <c r="F1697" s="50" t="s">
        <v>89</v>
      </c>
      <c r="G1697" s="50" t="s">
        <v>89</v>
      </c>
      <c r="H1697" s="49">
        <v>203</v>
      </c>
      <c r="I1697" s="51"/>
      <c r="J1697" s="51">
        <v>4.45</v>
      </c>
      <c r="K1697" s="52">
        <f>Tabela6[[#This Row],[CONSUMO]]*Tabela6[[#This Row],[VALOR UNIT]]-Tabela6[[#This Row],[DESCONTO]]</f>
        <v>903.35</v>
      </c>
      <c r="L1697" s="53">
        <f>Tabela6[[#This Row],[CUSTO TOTAL]]/Tabela6[[#This Row],[CONSUMO]]</f>
        <v>4.45</v>
      </c>
      <c r="M1697" s="50">
        <f>Tabela6[[#This Row],[KM ATUAL]]-E1665</f>
        <v>572855</v>
      </c>
      <c r="N1697" s="51">
        <f>Tabela6[[#This Row],[KM Rodados ]]/Tabela6[[#This Row],[CONSUMO]]</f>
        <v>2821.9458128078818</v>
      </c>
      <c r="O1697" s="48"/>
      <c r="P1697" s="47"/>
      <c r="Q1697" s="49"/>
      <c r="R1697" s="47"/>
      <c r="S1697" s="50"/>
      <c r="T1697" s="51"/>
      <c r="U1697" s="49"/>
      <c r="V1697" s="51"/>
      <c r="W1697" s="51"/>
      <c r="X1697" s="53"/>
      <c r="Y1697" s="50"/>
      <c r="Z1697" s="51"/>
    </row>
    <row r="1698" spans="1:26" ht="14.45" customHeight="1" x14ac:dyDescent="0.25">
      <c r="A1698" s="47">
        <v>6148</v>
      </c>
      <c r="B1698" s="78">
        <v>45119</v>
      </c>
      <c r="C1698" s="47" t="s">
        <v>13</v>
      </c>
      <c r="D1698" s="49" t="s">
        <v>299</v>
      </c>
      <c r="E1698" s="119">
        <v>632113</v>
      </c>
      <c r="F1698" s="50" t="s">
        <v>89</v>
      </c>
      <c r="G1698" s="120" t="s">
        <v>89</v>
      </c>
      <c r="H1698" s="49">
        <v>48</v>
      </c>
      <c r="I1698" s="51"/>
      <c r="J1698" s="51">
        <v>4.45</v>
      </c>
      <c r="K1698" s="51">
        <f>Tabela6[[#This Row],[CONSUMO]]*Tabela6[[#This Row],[VALOR UNIT]]-Tabela6[[#This Row],[DESCONTO]]</f>
        <v>213.60000000000002</v>
      </c>
      <c r="L1698" s="53">
        <f>Tabela6[[#This Row],[CUSTO TOTAL]]/Tabela6[[#This Row],[CONSUMO]]</f>
        <v>4.45</v>
      </c>
      <c r="M1698" s="50">
        <f>Tabela6[[#This Row],[KM ATUAL]]-E1694</f>
        <v>520210</v>
      </c>
      <c r="N1698" s="51">
        <f>Tabela6[[#This Row],[KM Rodados ]]/Tabela6[[#This Row],[CONSUMO]]</f>
        <v>10837.708333333334</v>
      </c>
      <c r="O1698" s="48"/>
      <c r="P1698" s="47"/>
      <c r="Q1698" s="49"/>
      <c r="R1698" s="47"/>
      <c r="S1698" s="50"/>
      <c r="T1698" s="51"/>
      <c r="U1698" s="49"/>
      <c r="V1698" s="51"/>
      <c r="W1698" s="51"/>
      <c r="X1698" s="53"/>
      <c r="Y1698" s="50"/>
      <c r="Z1698" s="51"/>
    </row>
    <row r="1699" spans="1:26" ht="14.45" customHeight="1" x14ac:dyDescent="0.25">
      <c r="A1699" s="47" t="s">
        <v>314</v>
      </c>
      <c r="B1699" s="78">
        <v>45119</v>
      </c>
      <c r="C1699" s="47" t="s">
        <v>17</v>
      </c>
      <c r="E1699" s="47">
        <v>359001</v>
      </c>
      <c r="F1699" s="50"/>
      <c r="G1699" s="50" t="s">
        <v>89</v>
      </c>
      <c r="H1699" s="51">
        <v>265</v>
      </c>
      <c r="I1699" s="51"/>
      <c r="K1699" s="52">
        <f>Tabela6[[#This Row],[CONSUMO]]*Tabela6[[#This Row],[VALOR UNIT]]-Tabela6[[#This Row],[DESCONTO]]</f>
        <v>0</v>
      </c>
      <c r="L1699" s="53">
        <f>Tabela6[[#This Row],[CUSTO TOTAL]]/Tabela6[[#This Row],[CONSUMO]]</f>
        <v>0</v>
      </c>
      <c r="M1699" s="50">
        <f>Tabela6[[#This Row],[KM ATUAL]]-E1640</f>
        <v>265889</v>
      </c>
      <c r="N1699" s="51">
        <f>Tabela6[[#This Row],[KM Rodados ]]/Tabela6[[#This Row],[CONSUMO]]</f>
        <v>1003.3547169811321</v>
      </c>
      <c r="O1699" s="48"/>
      <c r="P1699" s="47"/>
      <c r="Q1699" s="49"/>
      <c r="R1699" s="47"/>
      <c r="S1699" s="50"/>
      <c r="T1699" s="51"/>
      <c r="U1699" s="49"/>
      <c r="V1699" s="51"/>
      <c r="W1699" s="51"/>
      <c r="X1699" s="53"/>
      <c r="Y1699" s="50"/>
      <c r="Z1699" s="51"/>
    </row>
    <row r="1700" spans="1:26" ht="14.45" customHeight="1" x14ac:dyDescent="0.25">
      <c r="A1700" s="47">
        <v>548221</v>
      </c>
      <c r="B1700" s="78">
        <v>45119</v>
      </c>
      <c r="C1700" s="47" t="s">
        <v>18</v>
      </c>
      <c r="D1700" s="49" t="s">
        <v>255</v>
      </c>
      <c r="E1700" s="47">
        <v>320073</v>
      </c>
      <c r="F1700" s="50" t="s">
        <v>89</v>
      </c>
      <c r="G1700" s="51" t="s">
        <v>89</v>
      </c>
      <c r="H1700" s="49">
        <v>61.42</v>
      </c>
      <c r="I1700" s="51"/>
      <c r="J1700" s="51">
        <v>5.32</v>
      </c>
      <c r="K1700" s="51">
        <f>Tabela6[[#This Row],[CONSUMO]]*Tabela6[[#This Row],[VALOR UNIT]]-Tabela6[[#This Row],[DESCONTO]]</f>
        <v>326.75440000000003</v>
      </c>
      <c r="L1700" s="53">
        <f>Tabela6[[#This Row],[CUSTO TOTAL]]/Tabela6[[#This Row],[CONSUMO]]</f>
        <v>5.32</v>
      </c>
      <c r="M1700" s="50">
        <f>Tabela6[[#This Row],[KM ATUAL]]-E1634</f>
        <v>62669</v>
      </c>
      <c r="N1700" s="79">
        <f>Tabela6[[#This Row],[KM Rodados ]]/Tabela6[[#This Row],[CONSUMO]]</f>
        <v>1020.3353956366004</v>
      </c>
      <c r="O1700" s="48"/>
      <c r="P1700" s="47"/>
      <c r="Q1700" s="49"/>
      <c r="R1700" s="47"/>
      <c r="S1700" s="50"/>
      <c r="T1700" s="51"/>
      <c r="U1700" s="49"/>
      <c r="V1700" s="51"/>
      <c r="W1700" s="51"/>
      <c r="X1700" s="53"/>
      <c r="Y1700" s="50"/>
      <c r="Z1700" s="51"/>
    </row>
    <row r="1701" spans="1:26" ht="14.45" customHeight="1" x14ac:dyDescent="0.25">
      <c r="A1701" s="47">
        <v>6114</v>
      </c>
      <c r="B1701" s="78">
        <v>45119</v>
      </c>
      <c r="C1701" s="47" t="s">
        <v>19</v>
      </c>
      <c r="D1701" s="49" t="s">
        <v>299</v>
      </c>
      <c r="E1701" s="47">
        <v>315642</v>
      </c>
      <c r="F1701" s="50" t="s">
        <v>89</v>
      </c>
      <c r="G1701" s="50" t="s">
        <v>89</v>
      </c>
      <c r="H1701" s="51">
        <v>85</v>
      </c>
      <c r="I1701" s="51"/>
      <c r="J1701" s="51">
        <v>4.45</v>
      </c>
      <c r="K1701" s="51">
        <f>Tabela6[[#This Row],[CONSUMO]]*Tabela6[[#This Row],[VALOR UNIT]]-Tabela6[[#This Row],[DESCONTO]]</f>
        <v>378.25</v>
      </c>
      <c r="L1701" s="53">
        <f>Tabela6[[#This Row],[CUSTO TOTAL]]/Tabela6[[#This Row],[CONSUMO]]</f>
        <v>4.45</v>
      </c>
      <c r="M1701" s="50">
        <f>Tabela6[[#This Row],[KM ATUAL]]-E1664</f>
        <v>222246</v>
      </c>
      <c r="N1701" s="51">
        <f>Tabela6[[#This Row],[KM Rodados ]]/Tabela6[[#This Row],[CONSUMO]]</f>
        <v>2614.6588235294116</v>
      </c>
      <c r="O1701" s="48"/>
      <c r="P1701" s="47"/>
      <c r="Q1701" s="49"/>
      <c r="R1701" s="47"/>
      <c r="S1701" s="50"/>
      <c r="T1701" s="51"/>
      <c r="U1701" s="49"/>
      <c r="V1701" s="51"/>
      <c r="W1701" s="51"/>
      <c r="X1701" s="53"/>
      <c r="Y1701" s="50"/>
      <c r="Z1701" s="51"/>
    </row>
    <row r="1702" spans="1:26" ht="14.45" customHeight="1" x14ac:dyDescent="0.25">
      <c r="A1702" s="47">
        <v>6114</v>
      </c>
      <c r="B1702" s="78">
        <v>45119</v>
      </c>
      <c r="C1702" s="47" t="s">
        <v>20</v>
      </c>
      <c r="D1702" s="49" t="s">
        <v>299</v>
      </c>
      <c r="E1702" s="47">
        <v>259183</v>
      </c>
      <c r="F1702" s="50" t="s">
        <v>89</v>
      </c>
      <c r="G1702" s="50" t="s">
        <v>89</v>
      </c>
      <c r="H1702" s="49">
        <v>73</v>
      </c>
      <c r="I1702" s="51"/>
      <c r="J1702" s="51">
        <v>4.45</v>
      </c>
      <c r="K1702" s="52">
        <f>Tabela6[[#This Row],[CONSUMO]]*Tabela6[[#This Row],[VALOR UNIT]]-Tabela6[[#This Row],[DESCONTO]]</f>
        <v>324.85000000000002</v>
      </c>
      <c r="L1702" s="53">
        <f>Tabela6[[#This Row],[CUSTO TOTAL]]/Tabela6[[#This Row],[CONSUMO]]</f>
        <v>4.45</v>
      </c>
      <c r="M1702" s="50">
        <f>Tabela6[[#This Row],[KM ATUAL]]-E1684</f>
        <v>545</v>
      </c>
      <c r="N1702" s="51">
        <f>Tabela6[[#This Row],[KM Rodados ]]/Tabela6[[#This Row],[CONSUMO]]</f>
        <v>7.4657534246575343</v>
      </c>
      <c r="O1702" s="48"/>
      <c r="P1702" s="47"/>
      <c r="Q1702" s="49"/>
      <c r="R1702" s="47"/>
      <c r="S1702" s="50"/>
      <c r="T1702" s="51"/>
      <c r="U1702" s="49"/>
      <c r="V1702" s="51"/>
      <c r="W1702" s="51"/>
      <c r="X1702" s="53"/>
      <c r="Y1702" s="50"/>
      <c r="Z1702" s="51"/>
    </row>
    <row r="1703" spans="1:26" ht="14.45" customHeight="1" x14ac:dyDescent="0.25">
      <c r="A1703" s="47" t="s">
        <v>314</v>
      </c>
      <c r="B1703" s="78">
        <v>45119</v>
      </c>
      <c r="C1703" s="47" t="s">
        <v>38</v>
      </c>
      <c r="E1703" s="47">
        <v>134326</v>
      </c>
      <c r="F1703" s="50"/>
      <c r="G1703" s="50" t="s">
        <v>244</v>
      </c>
      <c r="H1703" s="51">
        <v>49.9</v>
      </c>
      <c r="I1703" s="51"/>
      <c r="K1703" s="53">
        <f>Tabela6[[#This Row],[CONSUMO]]*Tabela6[[#This Row],[VALOR UNIT]]-Tabela6[[#This Row],[DESCONTO]]</f>
        <v>0</v>
      </c>
      <c r="L1703" s="53">
        <f>Tabela6[[#This Row],[CUSTO TOTAL]]/Tabela6[[#This Row],[CONSUMO]]</f>
        <v>0</v>
      </c>
      <c r="M1703" s="50">
        <f>Tabela6[[#This Row],[KM ATUAL]]-E1702</f>
        <v>-124857</v>
      </c>
      <c r="N1703" s="51">
        <f>Tabela6[[#This Row],[KM Rodados ]]/Tabela6[[#This Row],[CONSUMO]]</f>
        <v>-2502.1442885771544</v>
      </c>
      <c r="O1703" s="48"/>
      <c r="P1703" s="47"/>
      <c r="Q1703" s="49"/>
      <c r="R1703" s="47"/>
      <c r="S1703" s="50"/>
      <c r="T1703" s="51"/>
      <c r="U1703" s="49"/>
      <c r="V1703" s="51"/>
      <c r="W1703" s="51"/>
      <c r="X1703" s="53"/>
      <c r="Y1703" s="50"/>
      <c r="Z1703" s="51"/>
    </row>
    <row r="1704" spans="1:26" ht="14.45" customHeight="1" x14ac:dyDescent="0.25">
      <c r="A1704" s="47" t="s">
        <v>314</v>
      </c>
      <c r="B1704" s="78">
        <v>45119</v>
      </c>
      <c r="C1704" s="49" t="s">
        <v>40</v>
      </c>
      <c r="E1704" s="47">
        <v>150737</v>
      </c>
      <c r="F1704" s="50"/>
      <c r="G1704" s="50" t="s">
        <v>244</v>
      </c>
      <c r="H1704" s="51">
        <v>40.56</v>
      </c>
      <c r="I1704" s="51"/>
      <c r="K1704" s="52">
        <f>Tabela6[[#This Row],[CONSUMO]]*Tabela6[[#This Row],[VALOR UNIT]]-Tabela6[[#This Row],[DESCONTO]]</f>
        <v>0</v>
      </c>
      <c r="L1704" s="53">
        <f>Tabela6[[#This Row],[CUSTO TOTAL]]/Tabela6[[#This Row],[CONSUMO]]</f>
        <v>0</v>
      </c>
      <c r="M1704" s="50">
        <f>Tabela6[[#This Row],[KM ATUAL]]-E1703</f>
        <v>16411</v>
      </c>
      <c r="N1704" s="51">
        <f>Tabela6[[#This Row],[KM Rodados ]]/Tabela6[[#This Row],[CONSUMO]]</f>
        <v>404.61045364891515</v>
      </c>
      <c r="O1704" s="48"/>
      <c r="P1704" s="47"/>
      <c r="Q1704" s="49"/>
      <c r="R1704" s="47"/>
      <c r="S1704" s="50"/>
      <c r="T1704" s="51"/>
      <c r="U1704" s="49"/>
      <c r="V1704" s="51"/>
      <c r="W1704" s="51"/>
      <c r="X1704" s="53"/>
      <c r="Y1704" s="50"/>
      <c r="Z1704" s="51"/>
    </row>
    <row r="1705" spans="1:26" ht="14.45" customHeight="1" x14ac:dyDescent="0.25">
      <c r="A1705" s="47">
        <v>415382</v>
      </c>
      <c r="B1705" s="78">
        <v>45120</v>
      </c>
      <c r="C1705" s="47" t="s">
        <v>43</v>
      </c>
      <c r="D1705" s="49" t="s">
        <v>253</v>
      </c>
      <c r="E1705" s="47">
        <v>134612</v>
      </c>
      <c r="F1705" s="50" t="s">
        <v>89</v>
      </c>
      <c r="G1705" s="51" t="s">
        <v>89</v>
      </c>
      <c r="H1705" s="49">
        <v>28.84</v>
      </c>
      <c r="I1705" s="51"/>
      <c r="J1705" s="51">
        <v>5.19</v>
      </c>
      <c r="K1705" s="53">
        <f>Tabela6[[#This Row],[CONSUMO]]*Tabela6[[#This Row],[VALOR UNIT]]-Tabela6[[#This Row],[DESCONTO]]</f>
        <v>149.67960000000002</v>
      </c>
      <c r="L1705" s="50">
        <v>5.19</v>
      </c>
      <c r="M1705" s="51">
        <f>Tabela6[[#This Row],[KM ATUAL]]-E1669</f>
        <v>6577</v>
      </c>
      <c r="N1705" s="51">
        <f>Tabela6[[#This Row],[KM Rodados ]]/Tabela6[[#This Row],[CONSUMO]]</f>
        <v>228.05131761442442</v>
      </c>
      <c r="O1705" s="48"/>
      <c r="P1705" s="47"/>
      <c r="Q1705" s="49"/>
      <c r="R1705" s="47"/>
      <c r="S1705" s="50"/>
      <c r="T1705" s="51"/>
      <c r="U1705" s="49"/>
      <c r="V1705" s="51"/>
      <c r="W1705" s="51"/>
      <c r="X1705" s="53"/>
      <c r="Y1705" s="50"/>
      <c r="Z1705" s="51"/>
    </row>
    <row r="1706" spans="1:26" ht="14.45" customHeight="1" x14ac:dyDescent="0.25">
      <c r="A1706" s="47">
        <v>415742</v>
      </c>
      <c r="B1706" s="78">
        <v>45120</v>
      </c>
      <c r="C1706" s="47" t="s">
        <v>43</v>
      </c>
      <c r="D1706" s="49" t="s">
        <v>253</v>
      </c>
      <c r="E1706" s="47">
        <v>134701</v>
      </c>
      <c r="F1706" s="50" t="s">
        <v>89</v>
      </c>
      <c r="G1706" s="51" t="s">
        <v>89</v>
      </c>
      <c r="H1706" s="49">
        <v>13.33</v>
      </c>
      <c r="I1706" s="51"/>
      <c r="J1706" s="51">
        <v>5.19</v>
      </c>
      <c r="K1706" s="53">
        <f>Tabela6[[#This Row],[CONSUMO]]*Tabela6[[#This Row],[VALOR UNIT]]-Tabela6[[#This Row],[DESCONTO]]</f>
        <v>69.182700000000011</v>
      </c>
      <c r="L1706" s="50">
        <v>5.19</v>
      </c>
      <c r="M1706" s="51">
        <f>Tabela6[[#This Row],[KM ATUAL]]-E1705</f>
        <v>89</v>
      </c>
      <c r="N1706" s="51">
        <f>Tabela6[[#This Row],[KM Rodados ]]/Tabela6[[#This Row],[CONSUMO]]</f>
        <v>6.6766691672918226</v>
      </c>
      <c r="O1706" s="48"/>
      <c r="P1706" s="47"/>
      <c r="Q1706" s="49"/>
      <c r="R1706" s="47"/>
      <c r="S1706" s="50"/>
      <c r="T1706" s="51"/>
      <c r="U1706" s="49"/>
      <c r="V1706" s="51"/>
      <c r="W1706" s="51"/>
      <c r="X1706" s="53"/>
      <c r="Y1706" s="50"/>
      <c r="Z1706" s="51"/>
    </row>
    <row r="1707" spans="1:26" ht="14.45" customHeight="1" x14ac:dyDescent="0.25">
      <c r="A1707" s="47">
        <v>6148</v>
      </c>
      <c r="B1707" s="78">
        <v>45120</v>
      </c>
      <c r="C1707" s="47" t="s">
        <v>72</v>
      </c>
      <c r="D1707" s="49" t="s">
        <v>299</v>
      </c>
      <c r="E1707" s="47">
        <v>403137</v>
      </c>
      <c r="F1707" s="50" t="s">
        <v>89</v>
      </c>
      <c r="G1707" s="50" t="s">
        <v>89</v>
      </c>
      <c r="H1707" s="49">
        <v>19</v>
      </c>
      <c r="I1707" s="51"/>
      <c r="J1707" s="51">
        <v>4.42</v>
      </c>
      <c r="K1707" s="51">
        <f>Tabela6[[#This Row],[CONSUMO]]*Tabela6[[#This Row],[VALOR UNIT]]-Tabela6[[#This Row],[DESCONTO]]</f>
        <v>83.98</v>
      </c>
      <c r="L1707" s="53">
        <f>Tabela6[[#This Row],[CUSTO TOTAL]]/Tabela6[[#This Row],[CONSUMO]]</f>
        <v>4.42</v>
      </c>
      <c r="M1707" s="50">
        <f>Tabela6[[#This Row],[KM ATUAL]]-E1695</f>
        <v>320892</v>
      </c>
      <c r="N1707" s="51">
        <f>Tabela6[[#This Row],[KM Rodados ]]/Tabela6[[#This Row],[CONSUMO]]</f>
        <v>16889.052631578947</v>
      </c>
      <c r="O1707" s="48"/>
      <c r="P1707" s="47"/>
      <c r="Q1707" s="49"/>
      <c r="R1707" s="47"/>
      <c r="S1707" s="50"/>
      <c r="T1707" s="51"/>
      <c r="U1707" s="49"/>
      <c r="V1707" s="51"/>
      <c r="W1707" s="51"/>
      <c r="X1707" s="53"/>
      <c r="Y1707" s="50"/>
      <c r="Z1707" s="51"/>
    </row>
    <row r="1708" spans="1:26" ht="14.45" customHeight="1" x14ac:dyDescent="0.25">
      <c r="A1708" s="47">
        <v>6148</v>
      </c>
      <c r="B1708" s="78">
        <v>45120</v>
      </c>
      <c r="C1708" s="47" t="s">
        <v>74</v>
      </c>
      <c r="D1708" s="49" t="s">
        <v>299</v>
      </c>
      <c r="E1708" s="47">
        <v>64060</v>
      </c>
      <c r="F1708" s="50" t="s">
        <v>89</v>
      </c>
      <c r="G1708" s="50" t="s">
        <v>89</v>
      </c>
      <c r="H1708" s="49">
        <v>58</v>
      </c>
      <c r="I1708" s="51"/>
      <c r="J1708" s="51">
        <v>4.42</v>
      </c>
      <c r="K1708" s="51">
        <f>Tabela6[[#This Row],[CONSUMO]]*Tabela6[[#This Row],[VALOR UNIT]]-Tabela6[[#This Row],[DESCONTO]]</f>
        <v>256.36</v>
      </c>
      <c r="L1708" s="53">
        <f>Tabela6[[#This Row],[CUSTO TOTAL]]/Tabela6[[#This Row],[CONSUMO]]</f>
        <v>4.42</v>
      </c>
      <c r="M1708" s="50">
        <f>Tabela6[[#This Row],[KM ATUAL]]-E1689</f>
        <v>-422233</v>
      </c>
      <c r="N1708" s="51">
        <f>Tabela6[[#This Row],[KM Rodados ]]/Tabela6[[#This Row],[CONSUMO]]</f>
        <v>-7279.8793103448279</v>
      </c>
      <c r="O1708" s="48"/>
      <c r="P1708" s="47"/>
      <c r="Q1708" s="49"/>
      <c r="R1708" s="47"/>
      <c r="S1708" s="50"/>
      <c r="T1708" s="51"/>
      <c r="U1708" s="49"/>
      <c r="V1708" s="51"/>
      <c r="W1708" s="51"/>
      <c r="X1708" s="53"/>
      <c r="Y1708" s="50"/>
      <c r="Z1708" s="51"/>
    </row>
    <row r="1709" spans="1:26" ht="14.45" customHeight="1" x14ac:dyDescent="0.25">
      <c r="A1709" s="47">
        <v>6148</v>
      </c>
      <c r="B1709" s="78">
        <v>45121</v>
      </c>
      <c r="C1709" s="47" t="s">
        <v>68</v>
      </c>
      <c r="D1709" s="49" t="s">
        <v>299</v>
      </c>
      <c r="E1709" s="47">
        <v>899432</v>
      </c>
      <c r="F1709" s="50" t="s">
        <v>89</v>
      </c>
      <c r="G1709" s="51" t="s">
        <v>89</v>
      </c>
      <c r="H1709" s="49">
        <v>290</v>
      </c>
      <c r="I1709" s="51"/>
      <c r="J1709" s="51">
        <v>4.42</v>
      </c>
      <c r="K1709" s="51">
        <f>Tabela6[[#This Row],[CONSUMO]]*Tabela6[[#This Row],[VALOR UNIT]]-Tabela6[[#This Row],[DESCONTO]]</f>
        <v>1281.8</v>
      </c>
      <c r="L1709" s="53">
        <f>Tabela6[[#This Row],[CUSTO TOTAL]]/Tabela6[[#This Row],[CONSUMO]]</f>
        <v>4.42</v>
      </c>
      <c r="M1709" s="50">
        <f>Tabela6[[#This Row],[KM ATUAL]]-E1693</f>
        <v>771044</v>
      </c>
      <c r="N1709" s="51">
        <f>Tabela6[[#This Row],[KM Rodados ]]/Tabela6[[#This Row],[CONSUMO]]</f>
        <v>2658.7724137931036</v>
      </c>
      <c r="O1709" s="48"/>
      <c r="P1709" s="47"/>
      <c r="Q1709" s="49"/>
      <c r="R1709" s="47"/>
      <c r="S1709" s="50"/>
      <c r="T1709" s="51"/>
      <c r="U1709" s="49"/>
      <c r="V1709" s="51"/>
      <c r="W1709" s="51"/>
      <c r="X1709" s="53"/>
      <c r="Y1709" s="50"/>
      <c r="Z1709" s="51"/>
    </row>
    <row r="1710" spans="1:26" ht="14.45" customHeight="1" x14ac:dyDescent="0.25">
      <c r="A1710" s="47">
        <v>6148</v>
      </c>
      <c r="B1710" s="78">
        <v>45121</v>
      </c>
      <c r="C1710" s="47" t="s">
        <v>43</v>
      </c>
      <c r="D1710" s="49" t="s">
        <v>299</v>
      </c>
      <c r="E1710" s="47">
        <v>134859</v>
      </c>
      <c r="F1710" s="50" t="s">
        <v>89</v>
      </c>
      <c r="G1710" s="51" t="s">
        <v>89</v>
      </c>
      <c r="H1710" s="49">
        <v>20</v>
      </c>
      <c r="I1710" s="51"/>
      <c r="J1710" s="51">
        <v>4.42</v>
      </c>
      <c r="K1710" s="53">
        <f>Tabela6[[#This Row],[CONSUMO]]*Tabela6[[#This Row],[VALOR UNIT]]-Tabela6[[#This Row],[DESCONTO]]</f>
        <v>88.4</v>
      </c>
      <c r="L1710" s="50">
        <v>4.42</v>
      </c>
      <c r="M1710" s="51">
        <f>Tabela6[[#This Row],[KM ATUAL]]-E1703</f>
        <v>533</v>
      </c>
      <c r="N1710" s="51">
        <f>Tabela6[[#This Row],[KM Rodados ]]/Tabela6[[#This Row],[CONSUMO]]</f>
        <v>26.65</v>
      </c>
      <c r="O1710" s="48"/>
      <c r="P1710" s="47"/>
      <c r="Q1710" s="49"/>
      <c r="R1710" s="47"/>
      <c r="S1710" s="50"/>
      <c r="T1710" s="51"/>
      <c r="U1710" s="49"/>
      <c r="V1710" s="51"/>
      <c r="W1710" s="51"/>
      <c r="X1710" s="53"/>
      <c r="Y1710" s="50"/>
      <c r="Z1710" s="51"/>
    </row>
    <row r="1711" spans="1:26" ht="14.45" customHeight="1" x14ac:dyDescent="0.25">
      <c r="A1711" s="47">
        <v>220679</v>
      </c>
      <c r="B1711" s="78">
        <v>45121</v>
      </c>
      <c r="C1711" s="47" t="s">
        <v>9</v>
      </c>
      <c r="D1711" s="49" t="s">
        <v>268</v>
      </c>
      <c r="E1711" s="47">
        <v>612675</v>
      </c>
      <c r="F1711" s="50" t="s">
        <v>89</v>
      </c>
      <c r="G1711" s="50" t="s">
        <v>89</v>
      </c>
      <c r="H1711" s="49">
        <v>143</v>
      </c>
      <c r="I1711" s="51"/>
      <c r="J1711" s="51">
        <v>4.79</v>
      </c>
      <c r="K1711" s="53">
        <f>Tabela6[[#This Row],[CONSUMO]]*Tabela6[[#This Row],[VALOR UNIT]]-Tabela6[[#This Row],[DESCONTO]]</f>
        <v>684.97</v>
      </c>
      <c r="L1711" s="53">
        <v>4.79</v>
      </c>
      <c r="M1711" s="50">
        <f>Tabela6[[#This Row],[KM ATUAL]]-E1700</f>
        <v>292602</v>
      </c>
      <c r="N1711" s="51">
        <f>Tabela6[[#This Row],[KM Rodados ]]/Tabela6[[#This Row],[CONSUMO]]</f>
        <v>2046.1678321678321</v>
      </c>
      <c r="O1711" s="48"/>
      <c r="P1711" s="47"/>
      <c r="Q1711" s="49"/>
      <c r="R1711" s="47"/>
      <c r="S1711" s="50"/>
      <c r="T1711" s="51"/>
      <c r="U1711" s="49"/>
      <c r="V1711" s="51"/>
      <c r="W1711" s="51"/>
      <c r="X1711" s="53"/>
      <c r="Y1711" s="50"/>
      <c r="Z1711" s="51"/>
    </row>
    <row r="1712" spans="1:26" ht="14.45" customHeight="1" x14ac:dyDescent="0.25">
      <c r="A1712" s="47">
        <v>6148</v>
      </c>
      <c r="B1712" s="78">
        <v>45121</v>
      </c>
      <c r="C1712" s="47" t="s">
        <v>67</v>
      </c>
      <c r="D1712" s="49" t="s">
        <v>299</v>
      </c>
      <c r="E1712" s="47">
        <v>671787</v>
      </c>
      <c r="F1712" s="50" t="s">
        <v>89</v>
      </c>
      <c r="G1712" s="51" t="s">
        <v>89</v>
      </c>
      <c r="H1712" s="49">
        <v>144</v>
      </c>
      <c r="I1712" s="51"/>
      <c r="J1712" s="51">
        <v>4.42</v>
      </c>
      <c r="K1712" s="53">
        <f>Tabela6[[#This Row],[CONSUMO]]*Tabela6[[#This Row],[VALOR UNIT]]-Tabela6[[#This Row],[DESCONTO]]</f>
        <v>636.48</v>
      </c>
      <c r="L1712" s="50">
        <v>4.42</v>
      </c>
      <c r="M1712" s="50">
        <f>Tabela6[[#This Row],[KM ATUAL]]-E1679</f>
        <v>555</v>
      </c>
      <c r="N1712" s="51">
        <f>Tabela6[[#This Row],[KM Rodados ]]/Tabela6[[#This Row],[CONSUMO]]</f>
        <v>3.8541666666666665</v>
      </c>
      <c r="O1712" s="48"/>
      <c r="P1712" s="47"/>
      <c r="Q1712" s="49"/>
      <c r="R1712" s="47"/>
      <c r="S1712" s="50"/>
      <c r="T1712" s="51"/>
      <c r="U1712" s="49"/>
      <c r="V1712" s="51"/>
      <c r="W1712" s="51"/>
      <c r="X1712" s="53"/>
      <c r="Y1712" s="50"/>
      <c r="Z1712" s="51"/>
    </row>
    <row r="1713" spans="1:26" ht="14.45" customHeight="1" x14ac:dyDescent="0.25">
      <c r="A1713" s="47">
        <v>6148</v>
      </c>
      <c r="B1713" s="78">
        <v>45121</v>
      </c>
      <c r="C1713" s="47" t="s">
        <v>22</v>
      </c>
      <c r="D1713" s="49" t="s">
        <v>299</v>
      </c>
      <c r="E1713" s="47">
        <v>330224</v>
      </c>
      <c r="F1713" s="50" t="s">
        <v>89</v>
      </c>
      <c r="G1713" s="51" t="s">
        <v>89</v>
      </c>
      <c r="H1713" s="49">
        <v>126</v>
      </c>
      <c r="I1713" s="51"/>
      <c r="J1713" s="51">
        <v>4.42</v>
      </c>
      <c r="K1713" s="53">
        <f>Tabela6[[#This Row],[CONSUMO]]*Tabela6[[#This Row],[VALOR UNIT]]-Tabela6[[#This Row],[DESCONTO]]</f>
        <v>556.91999999999996</v>
      </c>
      <c r="L1713" s="50">
        <v>4.42</v>
      </c>
      <c r="M1713" s="50">
        <f>Tabela6[[#This Row],[KM ATUAL]]-E1673</f>
        <v>-300798</v>
      </c>
      <c r="N1713" s="51">
        <f>Tabela6[[#This Row],[KM Rodados ]]/Tabela6[[#This Row],[CONSUMO]]</f>
        <v>-2387.2857142857142</v>
      </c>
      <c r="O1713" s="48"/>
      <c r="P1713" s="47"/>
      <c r="Q1713" s="49"/>
      <c r="R1713" s="47"/>
      <c r="S1713" s="50"/>
      <c r="T1713" s="51"/>
      <c r="U1713" s="49"/>
      <c r="V1713" s="51"/>
      <c r="W1713" s="51"/>
      <c r="X1713" s="53"/>
      <c r="Y1713" s="50"/>
      <c r="Z1713" s="51"/>
    </row>
    <row r="1714" spans="1:26" ht="14.45" customHeight="1" x14ac:dyDescent="0.25">
      <c r="A1714" s="47">
        <v>6148</v>
      </c>
      <c r="B1714" s="78">
        <v>45121</v>
      </c>
      <c r="C1714" s="47" t="s">
        <v>73</v>
      </c>
      <c r="D1714" s="49" t="s">
        <v>299</v>
      </c>
      <c r="E1714" s="47">
        <v>128836</v>
      </c>
      <c r="F1714" s="50" t="s">
        <v>89</v>
      </c>
      <c r="G1714" s="50" t="s">
        <v>89</v>
      </c>
      <c r="H1714" s="51">
        <v>113</v>
      </c>
      <c r="I1714" s="51"/>
      <c r="J1714" s="51">
        <v>4.42</v>
      </c>
      <c r="K1714" s="52">
        <f>Tabela6[[#This Row],[CONSUMO]]*Tabela6[[#This Row],[VALOR UNIT]]-Tabela6[[#This Row],[DESCONTO]]</f>
        <v>499.46</v>
      </c>
      <c r="L1714" s="53">
        <f>Tabela6[[#This Row],[CUSTO TOTAL]]/Tabela6[[#This Row],[CONSUMO]]</f>
        <v>4.42</v>
      </c>
      <c r="M1714" s="50">
        <f>Tabela6[[#This Row],[KM ATUAL]]-E1697</f>
        <v>-537757</v>
      </c>
      <c r="N1714" s="51">
        <f>Tabela6[[#This Row],[KM Rodados ]]/Tabela6[[#This Row],[CONSUMO]]</f>
        <v>-4758.9115044247792</v>
      </c>
      <c r="O1714" s="48"/>
      <c r="P1714" s="47"/>
      <c r="Q1714" s="49"/>
      <c r="R1714" s="47"/>
      <c r="S1714" s="50"/>
      <c r="T1714" s="51"/>
      <c r="U1714" s="49"/>
      <c r="V1714" s="51"/>
      <c r="W1714" s="51"/>
      <c r="X1714" s="53"/>
      <c r="Y1714" s="50"/>
      <c r="Z1714" s="51"/>
    </row>
    <row r="1715" spans="1:26" ht="14.45" customHeight="1" x14ac:dyDescent="0.25">
      <c r="A1715" s="47">
        <v>254018</v>
      </c>
      <c r="B1715" s="78">
        <v>45121</v>
      </c>
      <c r="C1715" s="47" t="s">
        <v>13</v>
      </c>
      <c r="D1715" s="49" t="s">
        <v>272</v>
      </c>
      <c r="E1715" s="119">
        <v>632681</v>
      </c>
      <c r="F1715" s="50" t="s">
        <v>89</v>
      </c>
      <c r="G1715" s="120" t="s">
        <v>89</v>
      </c>
      <c r="H1715" s="49">
        <v>142.02199999999999</v>
      </c>
      <c r="I1715" s="51"/>
      <c r="J1715" s="51">
        <v>4.75</v>
      </c>
      <c r="K1715" s="51">
        <f>Tabela6[[#This Row],[CONSUMO]]*Tabela6[[#This Row],[VALOR UNIT]]-Tabela6[[#This Row],[DESCONTO]]</f>
        <v>674.60449999999992</v>
      </c>
      <c r="L1715" s="53">
        <f>Tabela6[[#This Row],[CUSTO TOTAL]]/Tabela6[[#This Row],[CONSUMO]]</f>
        <v>4.75</v>
      </c>
      <c r="M1715" s="50">
        <f>Tabela6[[#This Row],[KM ATUAL]]-E1690</f>
        <v>418702</v>
      </c>
      <c r="N1715" s="51">
        <f>Tabela6[[#This Row],[KM Rodados ]]/Tabela6[[#This Row],[CONSUMO]]</f>
        <v>2948.1488783427922</v>
      </c>
      <c r="O1715" s="48"/>
      <c r="P1715" s="47"/>
      <c r="Q1715" s="49"/>
      <c r="R1715" s="47"/>
      <c r="S1715" s="50"/>
      <c r="T1715" s="51"/>
      <c r="U1715" s="49"/>
      <c r="V1715" s="51"/>
      <c r="W1715" s="51"/>
      <c r="X1715" s="53"/>
      <c r="Y1715" s="50"/>
      <c r="Z1715" s="51"/>
    </row>
    <row r="1716" spans="1:26" ht="14.45" customHeight="1" x14ac:dyDescent="0.25">
      <c r="A1716" s="47">
        <v>6211</v>
      </c>
      <c r="B1716" s="78">
        <v>45121</v>
      </c>
      <c r="C1716" s="47" t="s">
        <v>15</v>
      </c>
      <c r="D1716" s="49" t="s">
        <v>299</v>
      </c>
      <c r="E1716" s="47">
        <v>373402</v>
      </c>
      <c r="F1716" s="50" t="s">
        <v>89</v>
      </c>
      <c r="G1716" s="50" t="s">
        <v>89</v>
      </c>
      <c r="H1716" s="49">
        <v>108</v>
      </c>
      <c r="I1716" s="51"/>
      <c r="J1716" s="51">
        <v>4.42</v>
      </c>
      <c r="K1716" s="52">
        <f>Tabela6[[#This Row],[CONSUMO]]*Tabela6[[#This Row],[VALOR UNIT]]-Tabela6[[#This Row],[DESCONTO]]</f>
        <v>477.36</v>
      </c>
      <c r="L1716" s="53">
        <f>Tabela6[[#This Row],[CUSTO TOTAL]]/Tabela6[[#This Row],[CONSUMO]]</f>
        <v>4.42</v>
      </c>
      <c r="M1716" s="50">
        <f>Tabela6[[#This Row],[KM ATUAL]]-E1683</f>
        <v>599</v>
      </c>
      <c r="N1716" s="51">
        <f>Tabela6[[#This Row],[KM Rodados ]]/Tabela6[[#This Row],[CONSUMO]]</f>
        <v>5.5462962962962967</v>
      </c>
      <c r="O1716" s="48"/>
      <c r="P1716" s="47"/>
      <c r="Q1716" s="49"/>
      <c r="R1716" s="47"/>
      <c r="S1716" s="50"/>
      <c r="T1716" s="51"/>
      <c r="U1716" s="49"/>
      <c r="V1716" s="51"/>
      <c r="W1716" s="51"/>
      <c r="X1716" s="53"/>
      <c r="Y1716" s="50"/>
      <c r="Z1716" s="51"/>
    </row>
    <row r="1717" spans="1:26" ht="14.45" customHeight="1" x14ac:dyDescent="0.25">
      <c r="A1717" s="47">
        <v>416441</v>
      </c>
      <c r="B1717" s="78">
        <v>45121</v>
      </c>
      <c r="C1717" s="47" t="s">
        <v>23</v>
      </c>
      <c r="D1717" s="49" t="s">
        <v>253</v>
      </c>
      <c r="E1717" s="47">
        <v>234942</v>
      </c>
      <c r="F1717" s="50" t="s">
        <v>89</v>
      </c>
      <c r="G1717" s="50" t="s">
        <v>89</v>
      </c>
      <c r="H1717" s="49">
        <v>106.52</v>
      </c>
      <c r="I1717" s="51"/>
      <c r="J1717" s="51">
        <v>5.19</v>
      </c>
      <c r="K1717" s="51">
        <f>Tabela6[[#This Row],[CONSUMO]]*Tabela6[[#This Row],[VALOR UNIT]]-Tabela6[[#This Row],[DESCONTO]]</f>
        <v>552.83879999999999</v>
      </c>
      <c r="L1717" s="53">
        <f>Tabela6[[#This Row],[CUSTO TOTAL]]/Tabela6[[#This Row],[CONSUMO]]</f>
        <v>5.19</v>
      </c>
      <c r="M1717" s="50">
        <f>Tabela6[[#This Row],[KM ATUAL]]-E1687</f>
        <v>-663757</v>
      </c>
      <c r="N1717" s="51">
        <f>Tabela6[[#This Row],[KM Rodados ]]/Tabela6[[#This Row],[CONSUMO]]</f>
        <v>-6231.2898986105902</v>
      </c>
      <c r="O1717" s="48"/>
      <c r="P1717" s="47"/>
      <c r="Q1717" s="49"/>
      <c r="R1717" s="47"/>
      <c r="S1717" s="50"/>
      <c r="T1717" s="51"/>
      <c r="U1717" s="49"/>
      <c r="V1717" s="51"/>
      <c r="W1717" s="51"/>
      <c r="X1717" s="53"/>
      <c r="Y1717" s="50"/>
      <c r="Z1717" s="51"/>
    </row>
    <row r="1718" spans="1:26" ht="14.45" customHeight="1" x14ac:dyDescent="0.25">
      <c r="A1718" s="47">
        <v>254151</v>
      </c>
      <c r="B1718" s="78">
        <v>45121</v>
      </c>
      <c r="C1718" s="47" t="s">
        <v>74</v>
      </c>
      <c r="D1718" s="49" t="s">
        <v>272</v>
      </c>
      <c r="E1718" s="47">
        <v>64655</v>
      </c>
      <c r="F1718" s="50" t="s">
        <v>89</v>
      </c>
      <c r="G1718" s="50" t="s">
        <v>89</v>
      </c>
      <c r="H1718" s="49">
        <v>87.875</v>
      </c>
      <c r="I1718" s="51"/>
      <c r="J1718" s="51">
        <v>4.6900000000000004</v>
      </c>
      <c r="K1718" s="51">
        <f>Tabela6[[#This Row],[CONSUMO]]*Tabela6[[#This Row],[VALOR UNIT]]-Tabela6[[#This Row],[DESCONTO]]</f>
        <v>412.13375000000002</v>
      </c>
      <c r="L1718" s="53">
        <f>Tabela6[[#This Row],[CUSTO TOTAL]]/Tabela6[[#This Row],[CONSUMO]]</f>
        <v>4.6900000000000004</v>
      </c>
      <c r="M1718" s="50">
        <f>Tabela6[[#This Row],[KM ATUAL]]-E1716</f>
        <v>-308747</v>
      </c>
      <c r="N1718" s="51">
        <f>Tabela6[[#This Row],[KM Rodados ]]/Tabela6[[#This Row],[CONSUMO]]</f>
        <v>-3513.4793741109529</v>
      </c>
      <c r="O1718" s="48"/>
      <c r="P1718" s="47"/>
      <c r="Q1718" s="49"/>
      <c r="R1718" s="47"/>
      <c r="S1718" s="50"/>
      <c r="T1718" s="51"/>
      <c r="U1718" s="49"/>
      <c r="V1718" s="51"/>
      <c r="W1718" s="51"/>
      <c r="X1718" s="53"/>
      <c r="Y1718" s="50"/>
      <c r="Z1718" s="51"/>
    </row>
    <row r="1719" spans="1:26" ht="14.45" customHeight="1" x14ac:dyDescent="0.25">
      <c r="A1719" s="47" t="s">
        <v>314</v>
      </c>
      <c r="B1719" s="78">
        <v>45122</v>
      </c>
      <c r="C1719" s="47" t="s">
        <v>203</v>
      </c>
      <c r="E1719" s="47">
        <v>103682</v>
      </c>
      <c r="F1719" s="50"/>
      <c r="G1719" s="50" t="s">
        <v>244</v>
      </c>
      <c r="H1719" s="51">
        <v>44.75</v>
      </c>
      <c r="I1719" s="51"/>
      <c r="K1719" s="53">
        <f>Tabela6[[#This Row],[CONSUMO]]*Tabela6[[#This Row],[VALOR UNIT]]-Tabela6[[#This Row],[DESCONTO]]</f>
        <v>0</v>
      </c>
      <c r="L1719" s="53">
        <f>Tabela6[[#This Row],[CUSTO TOTAL]]/Tabela6[[#This Row],[CONSUMO]]</f>
        <v>0</v>
      </c>
      <c r="M1719" s="50">
        <f>Tabela6[[#This Row],[KM ATUAL]]-E1718</f>
        <v>39027</v>
      </c>
      <c r="N1719" s="51">
        <f>Tabela6[[#This Row],[KM Rodados ]]/Tabela6[[#This Row],[CONSUMO]]</f>
        <v>872.1117318435754</v>
      </c>
      <c r="O1719" s="48"/>
      <c r="P1719" s="47"/>
      <c r="Q1719" s="49"/>
      <c r="R1719" s="47"/>
      <c r="S1719" s="50"/>
      <c r="T1719" s="51"/>
      <c r="U1719" s="49"/>
      <c r="V1719" s="51"/>
      <c r="W1719" s="51"/>
      <c r="X1719" s="53"/>
      <c r="Y1719" s="50"/>
      <c r="Z1719" s="51"/>
    </row>
    <row r="1720" spans="1:26" ht="14.45" customHeight="1" x14ac:dyDescent="0.25">
      <c r="A1720" s="47" t="s">
        <v>314</v>
      </c>
      <c r="B1720" s="78">
        <v>45122</v>
      </c>
      <c r="C1720" s="47" t="s">
        <v>64</v>
      </c>
      <c r="E1720" s="47">
        <v>82697</v>
      </c>
      <c r="F1720" s="50"/>
      <c r="G1720" s="50" t="s">
        <v>89</v>
      </c>
      <c r="H1720" s="51">
        <v>109</v>
      </c>
      <c r="I1720" s="51"/>
      <c r="K1720" s="53">
        <f>Tabela6[[#This Row],[CONSUMO]]*Tabela6[[#This Row],[VALOR UNIT]]-Tabela6[[#This Row],[DESCONTO]]</f>
        <v>0</v>
      </c>
      <c r="L1720" s="53">
        <f>Tabela6[[#This Row],[CUSTO TOTAL]]/Tabela6[[#This Row],[CONSUMO]]</f>
        <v>0</v>
      </c>
      <c r="M1720" s="50">
        <f>Tabela6[[#This Row],[KM ATUAL]]-E1695</f>
        <v>452</v>
      </c>
      <c r="N1720" s="51">
        <f>Tabela6[[#This Row],[KM Rodados ]]/Tabela6[[#This Row],[CONSUMO]]</f>
        <v>4.1467889908256881</v>
      </c>
      <c r="O1720" s="48"/>
      <c r="P1720" s="47"/>
      <c r="Q1720" s="49"/>
      <c r="R1720" s="47"/>
      <c r="S1720" s="50"/>
      <c r="T1720" s="51"/>
      <c r="U1720" s="49"/>
      <c r="V1720" s="51"/>
      <c r="W1720" s="51"/>
      <c r="X1720" s="53"/>
      <c r="Y1720" s="50"/>
      <c r="Z1720" s="51"/>
    </row>
    <row r="1721" spans="1:26" ht="14.45" customHeight="1" x14ac:dyDescent="0.25">
      <c r="A1721" s="47" t="s">
        <v>314</v>
      </c>
      <c r="B1721" s="78">
        <v>45122</v>
      </c>
      <c r="C1721" s="47" t="s">
        <v>11</v>
      </c>
      <c r="E1721" s="47">
        <v>396201</v>
      </c>
      <c r="F1721" s="50"/>
      <c r="G1721" s="50" t="s">
        <v>89</v>
      </c>
      <c r="H1721" s="51">
        <v>88</v>
      </c>
      <c r="I1721" s="51"/>
      <c r="K1721" s="51">
        <f>Tabela6[[#This Row],[CONSUMO]]*Tabela6[[#This Row],[VALOR UNIT]]-Tabela6[[#This Row],[DESCONTO]]</f>
        <v>0</v>
      </c>
      <c r="L1721" s="53">
        <f>Tabela6[[#This Row],[CUSTO TOTAL]]/Tabela6[[#This Row],[CONSUMO]]</f>
        <v>0</v>
      </c>
      <c r="M1721" s="50">
        <f>Tabela6[[#This Row],[KM ATUAL]]-E1635</f>
        <v>163034</v>
      </c>
      <c r="N1721" s="51">
        <f>Tabela6[[#This Row],[KM Rodados ]]/Tabela6[[#This Row],[CONSUMO]]</f>
        <v>1852.659090909091</v>
      </c>
      <c r="O1721" s="48"/>
      <c r="P1721" s="47"/>
      <c r="Q1721" s="49"/>
      <c r="R1721" s="47"/>
      <c r="S1721" s="50"/>
      <c r="T1721" s="51"/>
      <c r="U1721" s="49"/>
      <c r="V1721" s="51"/>
      <c r="W1721" s="51"/>
      <c r="X1721" s="53"/>
      <c r="Y1721" s="50"/>
      <c r="Z1721" s="51"/>
    </row>
    <row r="1722" spans="1:26" ht="14.45" customHeight="1" x14ac:dyDescent="0.25">
      <c r="A1722" s="47" t="s">
        <v>314</v>
      </c>
      <c r="B1722" s="78">
        <v>45122</v>
      </c>
      <c r="C1722" s="47" t="s">
        <v>20</v>
      </c>
      <c r="E1722" s="47">
        <v>259672</v>
      </c>
      <c r="F1722" s="50"/>
      <c r="G1722" s="50" t="s">
        <v>89</v>
      </c>
      <c r="H1722" s="51">
        <v>65</v>
      </c>
      <c r="I1722" s="51"/>
      <c r="K1722" s="52">
        <f>Tabela6[[#This Row],[CONSUMO]]*Tabela6[[#This Row],[VALOR UNIT]]-Tabela6[[#This Row],[DESCONTO]]</f>
        <v>0</v>
      </c>
      <c r="L1722" s="53">
        <f>Tabela6[[#This Row],[CUSTO TOTAL]]/Tabela6[[#This Row],[CONSUMO]]</f>
        <v>0</v>
      </c>
      <c r="M1722" s="50">
        <f>Tabela6[[#This Row],[KM ATUAL]]-E1704</f>
        <v>108935</v>
      </c>
      <c r="N1722" s="51">
        <f>Tabela6[[#This Row],[KM Rodados ]]/Tabela6[[#This Row],[CONSUMO]]</f>
        <v>1675.9230769230769</v>
      </c>
      <c r="O1722" s="48"/>
      <c r="P1722" s="47"/>
      <c r="Q1722" s="49"/>
      <c r="R1722" s="47"/>
      <c r="S1722" s="50"/>
      <c r="T1722" s="51"/>
      <c r="U1722" s="49"/>
      <c r="V1722" s="51"/>
      <c r="W1722" s="51"/>
      <c r="X1722" s="53"/>
      <c r="Y1722" s="50"/>
      <c r="Z1722" s="51"/>
    </row>
    <row r="1723" spans="1:26" ht="14.45" customHeight="1" x14ac:dyDescent="0.25">
      <c r="A1723" s="47" t="s">
        <v>314</v>
      </c>
      <c r="B1723" s="78">
        <v>45122</v>
      </c>
      <c r="C1723" s="49" t="s">
        <v>40</v>
      </c>
      <c r="E1723" s="47">
        <v>151215</v>
      </c>
      <c r="F1723" s="50"/>
      <c r="G1723" s="50" t="s">
        <v>244</v>
      </c>
      <c r="H1723" s="51">
        <v>41.78</v>
      </c>
      <c r="I1723" s="51"/>
      <c r="K1723" s="52">
        <f>Tabela6[[#This Row],[CONSUMO]]*Tabela6[[#This Row],[VALOR UNIT]]-Tabela6[[#This Row],[DESCONTO]]</f>
        <v>0</v>
      </c>
      <c r="L1723" s="53">
        <f>Tabela6[[#This Row],[CUSTO TOTAL]]/Tabela6[[#This Row],[CONSUMO]]</f>
        <v>0</v>
      </c>
      <c r="M1723" s="50">
        <f>Tabela6[[#This Row],[KM ATUAL]]-E1722</f>
        <v>-108457</v>
      </c>
      <c r="N1723" s="51">
        <f>Tabela6[[#This Row],[KM Rodados ]]/Tabela6[[#This Row],[CONSUMO]]</f>
        <v>-2595.9071325993295</v>
      </c>
      <c r="O1723" s="48"/>
      <c r="P1723" s="47"/>
      <c r="Q1723" s="49"/>
      <c r="R1723" s="47"/>
      <c r="S1723" s="50"/>
      <c r="T1723" s="51"/>
      <c r="U1723" s="49"/>
      <c r="V1723" s="51"/>
      <c r="W1723" s="51"/>
      <c r="X1723" s="53"/>
      <c r="Y1723" s="50"/>
      <c r="Z1723" s="51"/>
    </row>
    <row r="1724" spans="1:26" ht="14.45" customHeight="1" x14ac:dyDescent="0.25">
      <c r="A1724" s="47" t="s">
        <v>314</v>
      </c>
      <c r="B1724" s="78">
        <v>45123</v>
      </c>
      <c r="C1724" s="47" t="s">
        <v>43</v>
      </c>
      <c r="E1724" s="47">
        <v>135046</v>
      </c>
      <c r="F1724" s="50"/>
      <c r="G1724" s="51" t="s">
        <v>89</v>
      </c>
      <c r="H1724" s="49">
        <v>24</v>
      </c>
      <c r="I1724" s="51"/>
      <c r="K1724" s="53">
        <f>Tabela6[[#This Row],[CONSUMO]]*Tabela6[[#This Row],[VALOR UNIT]]-Tabela6[[#This Row],[DESCONTO]]</f>
        <v>0</v>
      </c>
      <c r="L1724" s="50">
        <f>Tabela6[[#This Row],[CUSTO TOTAL]]/Tabela6[[#This Row],[CONSUMO]]</f>
        <v>0</v>
      </c>
      <c r="M1724" s="51">
        <f>Tabela6[[#This Row],[KM ATUAL]]-E1715</f>
        <v>-497635</v>
      </c>
      <c r="N1724" s="51">
        <f>Tabela6[[#This Row],[KM Rodados ]]/Tabela6[[#This Row],[CONSUMO]]</f>
        <v>-20734.791666666668</v>
      </c>
      <c r="O1724" s="48"/>
      <c r="P1724" s="47"/>
      <c r="Q1724" s="49"/>
      <c r="R1724" s="47"/>
      <c r="S1724" s="50"/>
      <c r="T1724" s="51"/>
      <c r="U1724" s="49"/>
      <c r="V1724" s="51"/>
      <c r="W1724" s="51"/>
      <c r="X1724" s="53"/>
      <c r="Y1724" s="50"/>
      <c r="Z1724" s="51"/>
    </row>
    <row r="1725" spans="1:26" ht="14.45" customHeight="1" x14ac:dyDescent="0.25">
      <c r="A1725" s="47">
        <v>6211</v>
      </c>
      <c r="B1725" s="78">
        <v>45124</v>
      </c>
      <c r="C1725" s="47" t="s">
        <v>43</v>
      </c>
      <c r="D1725" s="49" t="s">
        <v>299</v>
      </c>
      <c r="E1725" s="47">
        <v>135215</v>
      </c>
      <c r="F1725" s="50" t="s">
        <v>89</v>
      </c>
      <c r="G1725" s="51" t="s">
        <v>89</v>
      </c>
      <c r="H1725" s="49">
        <v>26</v>
      </c>
      <c r="I1725" s="51"/>
      <c r="J1725" s="51">
        <v>4.42</v>
      </c>
      <c r="K1725" s="53">
        <f>Tabela6[[#This Row],[CONSUMO]]*Tabela6[[#This Row],[VALOR UNIT]]-Tabela6[[#This Row],[DESCONTO]]</f>
        <v>114.92</v>
      </c>
      <c r="L1725" s="50">
        <v>4.42</v>
      </c>
      <c r="M1725" s="51">
        <f>Tabela6[[#This Row],[KM ATUAL]]-E1717</f>
        <v>-99727</v>
      </c>
      <c r="N1725" s="51">
        <f>Tabela6[[#This Row],[KM Rodados ]]/Tabela6[[#This Row],[CONSUMO]]</f>
        <v>-3835.6538461538462</v>
      </c>
      <c r="O1725" s="48"/>
      <c r="P1725" s="47"/>
      <c r="Q1725" s="49"/>
      <c r="R1725" s="47"/>
      <c r="S1725" s="50"/>
      <c r="T1725" s="51"/>
      <c r="U1725" s="49"/>
      <c r="V1725" s="51"/>
      <c r="W1725" s="51"/>
      <c r="X1725" s="53"/>
      <c r="Y1725" s="50"/>
      <c r="Z1725" s="51"/>
    </row>
    <row r="1726" spans="1:26" ht="14.45" customHeight="1" x14ac:dyDescent="0.25">
      <c r="A1726" s="47">
        <v>6211</v>
      </c>
      <c r="B1726" s="78">
        <v>45124</v>
      </c>
      <c r="C1726" s="47" t="s">
        <v>8</v>
      </c>
      <c r="D1726" s="49" t="s">
        <v>299</v>
      </c>
      <c r="E1726" s="47">
        <v>875558</v>
      </c>
      <c r="F1726" s="50" t="s">
        <v>89</v>
      </c>
      <c r="G1726" s="51" t="s">
        <v>89</v>
      </c>
      <c r="H1726" s="49">
        <v>64</v>
      </c>
      <c r="I1726" s="51"/>
      <c r="J1726" s="51">
        <v>4.42</v>
      </c>
      <c r="K1726" s="52">
        <f>Tabela6[[#This Row],[CONSUMO]]*Tabela6[[#This Row],[VALOR UNIT]]-Tabela6[[#This Row],[DESCONTO]]</f>
        <v>282.88</v>
      </c>
      <c r="L1726" s="53">
        <f>Tabela6[[#This Row],[CUSTO TOTAL]]/Tabela6[[#This Row],[CONSUMO]]</f>
        <v>4.42</v>
      </c>
      <c r="M1726" s="51">
        <f>Tabela6[[#This Row],[KM ATUAL]]-E1584</f>
        <v>742839</v>
      </c>
      <c r="N1726" s="51">
        <f>Tabela6[[#This Row],[KM Rodados ]]/Tabela6[[#This Row],[CONSUMO]]</f>
        <v>11606.859375</v>
      </c>
      <c r="O1726" s="48"/>
      <c r="P1726" s="47"/>
      <c r="Q1726" s="49"/>
      <c r="R1726" s="47"/>
      <c r="S1726" s="50"/>
      <c r="T1726" s="51"/>
      <c r="U1726" s="49"/>
      <c r="V1726" s="51"/>
      <c r="W1726" s="51"/>
      <c r="X1726" s="53"/>
      <c r="Y1726" s="50"/>
      <c r="Z1726" s="51"/>
    </row>
    <row r="1727" spans="1:26" ht="14.45" customHeight="1" x14ac:dyDescent="0.25">
      <c r="A1727" s="47">
        <v>418468</v>
      </c>
      <c r="B1727" s="78">
        <v>45124</v>
      </c>
      <c r="C1727" s="47" t="s">
        <v>42</v>
      </c>
      <c r="D1727" s="49" t="s">
        <v>253</v>
      </c>
      <c r="E1727" s="47">
        <v>367887</v>
      </c>
      <c r="F1727" s="50" t="s">
        <v>89</v>
      </c>
      <c r="G1727" s="50" t="s">
        <v>89</v>
      </c>
      <c r="H1727" s="49">
        <v>80.489999999999995</v>
      </c>
      <c r="I1727" s="51"/>
      <c r="J1727" s="51">
        <v>5.19</v>
      </c>
      <c r="K1727" s="53">
        <f>Tabela6[[#This Row],[CONSUMO]]*Tabela6[[#This Row],[VALOR UNIT]]-Tabela6[[#This Row],[DESCONTO]]</f>
        <v>417.74310000000003</v>
      </c>
      <c r="L1727" s="77">
        <v>5.19</v>
      </c>
      <c r="M1727" s="50">
        <f>Tabela6[[#This Row],[KM ATUAL]]-E1668</f>
        <v>-34147</v>
      </c>
      <c r="N1727" s="51">
        <f>Tabela6[[#This Row],[KM Rodados ]]/Tabela6[[#This Row],[CONSUMO]]</f>
        <v>-424.23903590508138</v>
      </c>
      <c r="O1727" s="48"/>
      <c r="P1727" s="47"/>
      <c r="Q1727" s="49"/>
      <c r="R1727" s="47"/>
      <c r="S1727" s="50"/>
      <c r="T1727" s="51"/>
      <c r="U1727" s="49"/>
      <c r="V1727" s="51"/>
      <c r="W1727" s="51"/>
      <c r="X1727" s="53"/>
      <c r="Y1727" s="50"/>
      <c r="Z1727" s="51"/>
    </row>
    <row r="1728" spans="1:26" ht="14.45" customHeight="1" x14ac:dyDescent="0.25">
      <c r="A1728" s="47">
        <v>6211</v>
      </c>
      <c r="B1728" s="78">
        <v>45124</v>
      </c>
      <c r="C1728" s="47" t="s">
        <v>222</v>
      </c>
      <c r="D1728" s="49" t="s">
        <v>299</v>
      </c>
      <c r="E1728" s="47">
        <v>487083</v>
      </c>
      <c r="F1728" s="50" t="s">
        <v>89</v>
      </c>
      <c r="G1728" s="50" t="s">
        <v>89</v>
      </c>
      <c r="H1728" s="49">
        <v>325</v>
      </c>
      <c r="I1728" s="51"/>
      <c r="J1728" s="51">
        <v>4.42</v>
      </c>
      <c r="K1728" s="53">
        <f>Tabela6[[#This Row],[CONSUMO]]*Tabela6[[#This Row],[VALOR UNIT]]-Tabela6[[#This Row],[DESCONTO]]</f>
        <v>1436.5</v>
      </c>
      <c r="L1728" s="50">
        <v>4.42</v>
      </c>
      <c r="M1728" s="50">
        <f>Tabela6[[#This Row],[KM ATUAL]]-E1693</f>
        <v>358695</v>
      </c>
      <c r="N1728" s="51">
        <f>Tabela6[[#This Row],[KM Rodados ]]/Tabela6[[#This Row],[CONSUMO]]</f>
        <v>1103.676923076923</v>
      </c>
      <c r="O1728" s="48"/>
      <c r="P1728" s="47"/>
      <c r="Q1728" s="49"/>
      <c r="R1728" s="47"/>
      <c r="S1728" s="50"/>
      <c r="T1728" s="51"/>
      <c r="U1728" s="49"/>
      <c r="V1728" s="51"/>
      <c r="W1728" s="51"/>
      <c r="X1728" s="53"/>
      <c r="Y1728" s="50"/>
      <c r="Z1728" s="51"/>
    </row>
    <row r="1729" spans="1:26" ht="14.45" customHeight="1" x14ac:dyDescent="0.25">
      <c r="A1729" s="47">
        <v>194818</v>
      </c>
      <c r="B1729" s="78">
        <v>45124</v>
      </c>
      <c r="C1729" s="47" t="s">
        <v>72</v>
      </c>
      <c r="D1729" s="49" t="s">
        <v>262</v>
      </c>
      <c r="E1729" s="47">
        <v>403504</v>
      </c>
      <c r="F1729" s="50" t="s">
        <v>89</v>
      </c>
      <c r="G1729" s="50" t="s">
        <v>89</v>
      </c>
      <c r="H1729" s="49">
        <v>48.970999999999997</v>
      </c>
      <c r="I1729" s="51"/>
      <c r="J1729" s="51">
        <v>4.79</v>
      </c>
      <c r="K1729" s="51">
        <f>Tabela6[[#This Row],[CONSUMO]]*Tabela6[[#This Row],[VALOR UNIT]]-Tabela6[[#This Row],[DESCONTO]]</f>
        <v>234.57109</v>
      </c>
      <c r="L1729" s="53">
        <f>Tabela6[[#This Row],[CUSTO TOTAL]]/Tabela6[[#This Row],[CONSUMO]]</f>
        <v>4.79</v>
      </c>
      <c r="M1729" s="50">
        <f>Tabela6[[#This Row],[KM ATUAL]]-E1711</f>
        <v>-209171</v>
      </c>
      <c r="N1729" s="51">
        <f>Tabela6[[#This Row],[KM Rodados ]]/Tabela6[[#This Row],[CONSUMO]]</f>
        <v>-4271.3238447244294</v>
      </c>
      <c r="O1729" s="48"/>
      <c r="P1729" s="47"/>
      <c r="Q1729" s="49"/>
      <c r="R1729" s="47"/>
      <c r="S1729" s="50"/>
      <c r="T1729" s="51"/>
      <c r="U1729" s="49"/>
      <c r="V1729" s="51"/>
      <c r="W1729" s="51"/>
      <c r="X1729" s="53"/>
      <c r="Y1729" s="50"/>
      <c r="Z1729" s="51"/>
    </row>
    <row r="1730" spans="1:26" ht="14.45" customHeight="1" x14ac:dyDescent="0.25">
      <c r="A1730" s="47">
        <v>6211</v>
      </c>
      <c r="B1730" s="78">
        <v>45124</v>
      </c>
      <c r="C1730" s="47" t="s">
        <v>72</v>
      </c>
      <c r="D1730" s="49" t="s">
        <v>299</v>
      </c>
      <c r="E1730" s="47">
        <v>403834</v>
      </c>
      <c r="F1730" s="50" t="s">
        <v>89</v>
      </c>
      <c r="G1730" s="50" t="s">
        <v>89</v>
      </c>
      <c r="H1730" s="49">
        <v>43</v>
      </c>
      <c r="I1730" s="51"/>
      <c r="J1730" s="51">
        <v>4.42</v>
      </c>
      <c r="K1730" s="51">
        <f>Tabela6[[#This Row],[CONSUMO]]*Tabela6[[#This Row],[VALOR UNIT]]-Tabela6[[#This Row],[DESCONTO]]</f>
        <v>190.06</v>
      </c>
      <c r="L1730" s="53">
        <f>Tabela6[[#This Row],[CUSTO TOTAL]]/Tabela6[[#This Row],[CONSUMO]]</f>
        <v>4.42</v>
      </c>
      <c r="M1730" s="50">
        <f>Tabela6[[#This Row],[KM ATUAL]]-E1721</f>
        <v>7633</v>
      </c>
      <c r="N1730" s="51">
        <f>Tabela6[[#This Row],[KM Rodados ]]/Tabela6[[#This Row],[CONSUMO]]</f>
        <v>177.51162790697674</v>
      </c>
      <c r="O1730" s="48"/>
      <c r="P1730" s="47"/>
      <c r="Q1730" s="49"/>
      <c r="R1730" s="47"/>
      <c r="S1730" s="50"/>
      <c r="T1730" s="51"/>
      <c r="U1730" s="49"/>
      <c r="V1730" s="51"/>
      <c r="W1730" s="51"/>
      <c r="X1730" s="53"/>
      <c r="Y1730" s="50"/>
      <c r="Z1730" s="51"/>
    </row>
    <row r="1731" spans="1:26" ht="14.45" customHeight="1" x14ac:dyDescent="0.25">
      <c r="A1731" s="47">
        <v>6211</v>
      </c>
      <c r="B1731" s="78">
        <v>45124</v>
      </c>
      <c r="C1731" s="47" t="s">
        <v>21</v>
      </c>
      <c r="D1731" s="49" t="s">
        <v>299</v>
      </c>
      <c r="E1731" s="47">
        <v>147563</v>
      </c>
      <c r="F1731" s="50" t="s">
        <v>89</v>
      </c>
      <c r="G1731" s="50" t="s">
        <v>89</v>
      </c>
      <c r="H1731" s="49">
        <v>103</v>
      </c>
      <c r="I1731" s="51"/>
      <c r="J1731" s="51">
        <v>4.42</v>
      </c>
      <c r="K1731" s="52">
        <f>Tabela6[[#This Row],[CONSUMO]]*Tabela6[[#This Row],[VALOR UNIT]]-Tabela6[[#This Row],[DESCONTO]]</f>
        <v>455.26</v>
      </c>
      <c r="L1731" s="53">
        <f>Tabela6[[#This Row],[CUSTO TOTAL]]/Tabela6[[#This Row],[CONSUMO]]</f>
        <v>4.42</v>
      </c>
      <c r="M1731" s="50">
        <f>Tabela6[[#This Row],[KM ATUAL]]-E1689</f>
        <v>-338730</v>
      </c>
      <c r="N1731" s="51">
        <f>Tabela6[[#This Row],[KM Rodados ]]/Tabela6[[#This Row],[CONSUMO]]</f>
        <v>-3288.6407766990292</v>
      </c>
      <c r="O1731" s="48"/>
      <c r="P1731" s="47"/>
      <c r="Q1731" s="49"/>
      <c r="R1731" s="47"/>
      <c r="S1731" s="50"/>
      <c r="T1731" s="51"/>
      <c r="U1731" s="49"/>
      <c r="V1731" s="51"/>
      <c r="W1731" s="51"/>
      <c r="X1731" s="53"/>
      <c r="Y1731" s="50"/>
      <c r="Z1731" s="51"/>
    </row>
    <row r="1732" spans="1:26" ht="14.45" customHeight="1" x14ac:dyDescent="0.25">
      <c r="A1732" s="47">
        <v>6211</v>
      </c>
      <c r="B1732" s="78">
        <v>45124</v>
      </c>
      <c r="C1732" s="47" t="s">
        <v>41</v>
      </c>
      <c r="D1732" s="49" t="s">
        <v>299</v>
      </c>
      <c r="E1732" s="47">
        <v>666717</v>
      </c>
      <c r="F1732" s="50" t="s">
        <v>89</v>
      </c>
      <c r="G1732" s="50" t="s">
        <v>89</v>
      </c>
      <c r="H1732" s="49">
        <v>34.6</v>
      </c>
      <c r="I1732" s="51"/>
      <c r="J1732" s="51">
        <v>4.42</v>
      </c>
      <c r="K1732" s="52">
        <f>Tabela6[[#This Row],[CONSUMO]]*Tabela6[[#This Row],[VALOR UNIT]]-Tabela6[[#This Row],[DESCONTO]]</f>
        <v>152.93200000000002</v>
      </c>
      <c r="L1732" s="53">
        <f>Tabela6[[#This Row],[CUSTO TOTAL]]/Tabela6[[#This Row],[CONSUMO]]</f>
        <v>4.42</v>
      </c>
      <c r="M1732" s="50">
        <f>Tabela6[[#This Row],[KM ATUAL]]-E1693</f>
        <v>538329</v>
      </c>
      <c r="N1732" s="51">
        <f>Tabela6[[#This Row],[KM Rodados ]]/Tabela6[[#This Row],[CONSUMO]]</f>
        <v>15558.641618497109</v>
      </c>
      <c r="O1732" s="48"/>
      <c r="P1732" s="47"/>
      <c r="Q1732" s="49"/>
      <c r="R1732" s="47"/>
      <c r="S1732" s="50"/>
      <c r="T1732" s="51"/>
      <c r="U1732" s="49"/>
      <c r="V1732" s="51"/>
      <c r="W1732" s="51"/>
      <c r="X1732" s="53"/>
      <c r="Y1732" s="50"/>
      <c r="Z1732" s="51"/>
    </row>
    <row r="1733" spans="1:26" ht="14.45" customHeight="1" x14ac:dyDescent="0.25">
      <c r="A1733" s="47">
        <v>418498</v>
      </c>
      <c r="B1733" s="78">
        <v>45124</v>
      </c>
      <c r="C1733" s="47" t="s">
        <v>12</v>
      </c>
      <c r="D1733" s="49" t="s">
        <v>253</v>
      </c>
      <c r="E1733" s="47">
        <v>316018</v>
      </c>
      <c r="F1733" s="50" t="s">
        <v>89</v>
      </c>
      <c r="G1733" s="50" t="s">
        <v>89</v>
      </c>
      <c r="H1733" s="49">
        <v>100.32</v>
      </c>
      <c r="I1733" s="51"/>
      <c r="J1733" s="51">
        <v>5.19</v>
      </c>
      <c r="K1733" s="51">
        <f>Tabela6[[#This Row],[CONSUMO]]*Tabela6[[#This Row],[VALOR UNIT]]-Tabela6[[#This Row],[DESCONTO]]</f>
        <v>520.66079999999999</v>
      </c>
      <c r="L1733" s="53">
        <f>Tabela6[[#This Row],[CUSTO TOTAL]]/Tabela6[[#This Row],[CONSUMO]]</f>
        <v>5.19</v>
      </c>
      <c r="M1733" s="50">
        <f>Tabela6[[#This Row],[KM ATUAL]]-E1677</f>
        <v>-354828</v>
      </c>
      <c r="N1733" s="51">
        <f>Tabela6[[#This Row],[KM Rodados ]]/Tabela6[[#This Row],[CONSUMO]]</f>
        <v>-3536.9617224880385</v>
      </c>
      <c r="O1733" s="48"/>
      <c r="P1733" s="47"/>
      <c r="Q1733" s="49"/>
      <c r="R1733" s="47"/>
      <c r="S1733" s="50"/>
      <c r="T1733" s="51"/>
      <c r="U1733" s="49"/>
      <c r="V1733" s="51"/>
      <c r="W1733" s="51"/>
      <c r="X1733" s="53"/>
      <c r="Y1733" s="50"/>
      <c r="Z1733" s="51"/>
    </row>
    <row r="1734" spans="1:26" ht="14.45" customHeight="1" x14ac:dyDescent="0.25">
      <c r="A1734" s="47">
        <v>698532</v>
      </c>
      <c r="B1734" s="78">
        <v>45124</v>
      </c>
      <c r="C1734" s="47" t="s">
        <v>13</v>
      </c>
      <c r="D1734" s="49" t="s">
        <v>264</v>
      </c>
      <c r="E1734" s="119">
        <v>633352</v>
      </c>
      <c r="F1734" s="50"/>
      <c r="G1734" s="120" t="s">
        <v>89</v>
      </c>
      <c r="H1734" s="49">
        <v>133.24299999999999</v>
      </c>
      <c r="I1734" s="51"/>
      <c r="J1734" s="51">
        <v>4.99</v>
      </c>
      <c r="K1734" s="53">
        <f>Tabela6[[#This Row],[CONSUMO]]*Tabela6[[#This Row],[VALOR UNIT]]-Tabela6[[#This Row],[DESCONTO]]</f>
        <v>664.88256999999999</v>
      </c>
      <c r="L1734" s="53">
        <f>Tabela6[[#This Row],[CUSTO TOTAL]]/Tabela6[[#This Row],[CONSUMO]]</f>
        <v>4.99</v>
      </c>
      <c r="M1734" s="50">
        <f>Tabela6[[#This Row],[KM ATUAL]]-E1727</f>
        <v>265465</v>
      </c>
      <c r="N1734" s="50">
        <f>Tabela6[[#This Row],[KM Rodados ]]/Tabela6[[#This Row],[CONSUMO]]</f>
        <v>1992.3373085265268</v>
      </c>
      <c r="O1734" s="48"/>
      <c r="P1734" s="47"/>
      <c r="Q1734" s="49"/>
      <c r="R1734" s="47"/>
      <c r="S1734" s="50"/>
      <c r="T1734" s="51"/>
      <c r="U1734" s="49"/>
      <c r="V1734" s="51"/>
      <c r="W1734" s="51"/>
      <c r="X1734" s="53"/>
      <c r="Y1734" s="50"/>
      <c r="Z1734" s="51"/>
    </row>
    <row r="1735" spans="1:26" ht="14.45" customHeight="1" x14ac:dyDescent="0.25">
      <c r="A1735" s="47">
        <v>6211</v>
      </c>
      <c r="B1735" s="78">
        <v>45124</v>
      </c>
      <c r="C1735" s="47" t="s">
        <v>13</v>
      </c>
      <c r="D1735" s="49" t="s">
        <v>299</v>
      </c>
      <c r="E1735" s="119">
        <v>633739</v>
      </c>
      <c r="F1735" s="50" t="s">
        <v>89</v>
      </c>
      <c r="G1735" s="120" t="s">
        <v>89</v>
      </c>
      <c r="H1735" s="49">
        <v>102</v>
      </c>
      <c r="I1735" s="51"/>
      <c r="J1735" s="51">
        <v>4.42</v>
      </c>
      <c r="K1735" s="51">
        <f>Tabela6[[#This Row],[CONSUMO]]*Tabela6[[#This Row],[VALOR UNIT]]-Tabela6[[#This Row],[DESCONTO]]</f>
        <v>450.84</v>
      </c>
      <c r="L1735" s="53">
        <f>Tabela6[[#This Row],[CUSTO TOTAL]]/Tabela6[[#This Row],[CONSUMO]]</f>
        <v>4.42</v>
      </c>
      <c r="M1735" s="50">
        <f>Tabela6[[#This Row],[KM ATUAL]]-E1734</f>
        <v>387</v>
      </c>
      <c r="N1735" s="51">
        <f>Tabela6[[#This Row],[KM Rodados ]]/Tabela6[[#This Row],[CONSUMO]]</f>
        <v>3.7941176470588234</v>
      </c>
      <c r="O1735" s="48"/>
      <c r="P1735" s="47"/>
      <c r="Q1735" s="49"/>
      <c r="R1735" s="47"/>
      <c r="S1735" s="50"/>
      <c r="T1735" s="51"/>
      <c r="U1735" s="49"/>
      <c r="V1735" s="51"/>
      <c r="W1735" s="51"/>
      <c r="X1735" s="53"/>
      <c r="Y1735" s="50"/>
      <c r="Z1735" s="51"/>
    </row>
    <row r="1736" spans="1:26" ht="14.45" customHeight="1" x14ac:dyDescent="0.25">
      <c r="A1736" s="47" t="s">
        <v>314</v>
      </c>
      <c r="B1736" s="78">
        <v>45124</v>
      </c>
      <c r="C1736" s="47" t="s">
        <v>15</v>
      </c>
      <c r="E1736" s="47">
        <v>374129</v>
      </c>
      <c r="F1736" s="50"/>
      <c r="G1736" s="50" t="s">
        <v>89</v>
      </c>
      <c r="H1736" s="51">
        <v>119</v>
      </c>
      <c r="I1736" s="51"/>
      <c r="K1736" s="52">
        <f>Tabela6[[#This Row],[CONSUMO]]*Tabela6[[#This Row],[VALOR UNIT]]-Tabela6[[#This Row],[DESCONTO]]</f>
        <v>0</v>
      </c>
      <c r="L1736" s="53">
        <f>Tabela6[[#This Row],[CUSTO TOTAL]]/Tabela6[[#This Row],[CONSUMO]]</f>
        <v>0</v>
      </c>
      <c r="M1736" s="50">
        <f>Tabela6[[#This Row],[KM ATUAL]]-E1717</f>
        <v>139187</v>
      </c>
      <c r="N1736" s="51">
        <f>Tabela6[[#This Row],[KM Rodados ]]/Tabela6[[#This Row],[CONSUMO]]</f>
        <v>1169.6386554621849</v>
      </c>
      <c r="O1736" s="48"/>
      <c r="P1736" s="47"/>
      <c r="Q1736" s="49"/>
      <c r="R1736" s="47"/>
      <c r="S1736" s="50"/>
      <c r="T1736" s="51"/>
      <c r="U1736" s="49"/>
      <c r="V1736" s="51"/>
      <c r="W1736" s="51"/>
      <c r="X1736" s="53"/>
      <c r="Y1736" s="50"/>
      <c r="Z1736" s="51"/>
    </row>
    <row r="1737" spans="1:26" ht="14.45" customHeight="1" x14ac:dyDescent="0.25">
      <c r="A1737" s="47">
        <v>6211</v>
      </c>
      <c r="B1737" s="78">
        <v>45124</v>
      </c>
      <c r="C1737" s="47" t="s">
        <v>20</v>
      </c>
      <c r="D1737" s="49" t="s">
        <v>299</v>
      </c>
      <c r="E1737" s="47">
        <v>260319</v>
      </c>
      <c r="F1737" s="50" t="s">
        <v>89</v>
      </c>
      <c r="G1737" s="50" t="s">
        <v>89</v>
      </c>
      <c r="H1737" s="49">
        <v>79</v>
      </c>
      <c r="I1737" s="51"/>
      <c r="J1737" s="51">
        <v>4.42</v>
      </c>
      <c r="K1737" s="52">
        <f>Tabela6[[#This Row],[CONSUMO]]*Tabela6[[#This Row],[VALOR UNIT]]-Tabela6[[#This Row],[DESCONTO]]</f>
        <v>349.18</v>
      </c>
      <c r="L1737" s="53">
        <f>Tabela6[[#This Row],[CUSTO TOTAL]]/Tabela6[[#This Row],[CONSUMO]]</f>
        <v>4.42</v>
      </c>
      <c r="M1737" s="50">
        <f>Tabela6[[#This Row],[KM ATUAL]]-E1729</f>
        <v>-143185</v>
      </c>
      <c r="N1737" s="51">
        <f>Tabela6[[#This Row],[KM Rodados ]]/Tabela6[[#This Row],[CONSUMO]]</f>
        <v>-1812.4683544303798</v>
      </c>
      <c r="O1737" s="48"/>
      <c r="P1737" s="47"/>
      <c r="Q1737" s="49"/>
      <c r="R1737" s="47"/>
      <c r="S1737" s="50"/>
      <c r="T1737" s="51"/>
      <c r="U1737" s="49"/>
      <c r="V1737" s="51"/>
      <c r="W1737" s="51"/>
      <c r="X1737" s="53"/>
      <c r="Y1737" s="50"/>
      <c r="Z1737" s="51"/>
    </row>
    <row r="1738" spans="1:26" ht="14.45" customHeight="1" x14ac:dyDescent="0.25">
      <c r="A1738" s="47" t="s">
        <v>314</v>
      </c>
      <c r="B1738" s="78">
        <v>45124</v>
      </c>
      <c r="C1738" s="47" t="s">
        <v>38</v>
      </c>
      <c r="E1738" s="47">
        <v>134859</v>
      </c>
      <c r="F1738" s="50"/>
      <c r="G1738" s="50" t="s">
        <v>244</v>
      </c>
      <c r="H1738" s="51">
        <v>50</v>
      </c>
      <c r="I1738" s="51"/>
      <c r="K1738" s="53">
        <f>Tabela6[[#This Row],[CONSUMO]]*Tabela6[[#This Row],[VALOR UNIT]]-Tabela6[[#This Row],[DESCONTO]]</f>
        <v>0</v>
      </c>
      <c r="L1738" s="53">
        <f>Tabela6[[#This Row],[CUSTO TOTAL]]/Tabela6[[#This Row],[CONSUMO]]</f>
        <v>0</v>
      </c>
      <c r="M1738" s="50">
        <f>Tabela6[[#This Row],[KM ATUAL]]-E1737</f>
        <v>-125460</v>
      </c>
      <c r="N1738" s="51">
        <f>Tabela6[[#This Row],[KM Rodados ]]/Tabela6[[#This Row],[CONSUMO]]</f>
        <v>-2509.1999999999998</v>
      </c>
      <c r="O1738" s="48"/>
      <c r="P1738" s="47"/>
      <c r="Q1738" s="49"/>
      <c r="R1738" s="47"/>
      <c r="S1738" s="50"/>
      <c r="T1738" s="51"/>
      <c r="U1738" s="49"/>
      <c r="V1738" s="51"/>
      <c r="W1738" s="51"/>
      <c r="X1738" s="53"/>
      <c r="Y1738" s="50"/>
      <c r="Z1738" s="51"/>
    </row>
    <row r="1739" spans="1:26" ht="14.45" customHeight="1" x14ac:dyDescent="0.25">
      <c r="A1739" s="47">
        <v>6211</v>
      </c>
      <c r="B1739" s="78">
        <v>45124</v>
      </c>
      <c r="C1739" s="47" t="s">
        <v>74</v>
      </c>
      <c r="D1739" s="49" t="s">
        <v>299</v>
      </c>
      <c r="E1739" s="47">
        <v>64955</v>
      </c>
      <c r="F1739" s="50" t="s">
        <v>89</v>
      </c>
      <c r="G1739" s="50" t="s">
        <v>89</v>
      </c>
      <c r="H1739" s="49">
        <v>37</v>
      </c>
      <c r="I1739" s="51"/>
      <c r="J1739" s="51">
        <v>4.42</v>
      </c>
      <c r="K1739" s="51">
        <f>Tabela6[[#This Row],[CONSUMO]]*Tabela6[[#This Row],[VALOR UNIT]]-Tabela6[[#This Row],[DESCONTO]]</f>
        <v>163.54</v>
      </c>
      <c r="L1739" s="53">
        <f>Tabela6[[#This Row],[CUSTO TOTAL]]/Tabela6[[#This Row],[CONSUMO]]</f>
        <v>4.42</v>
      </c>
      <c r="M1739" s="50">
        <f>Tabela6[[#This Row],[KM ATUAL]]-E1723</f>
        <v>-86260</v>
      </c>
      <c r="N1739" s="51">
        <f>Tabela6[[#This Row],[KM Rodados ]]/Tabela6[[#This Row],[CONSUMO]]</f>
        <v>-2331.3513513513512</v>
      </c>
      <c r="O1739" s="48"/>
      <c r="P1739" s="47"/>
      <c r="Q1739" s="49"/>
      <c r="R1739" s="47"/>
      <c r="S1739" s="50"/>
      <c r="T1739" s="51"/>
      <c r="U1739" s="49"/>
      <c r="V1739" s="51"/>
      <c r="W1739" s="51"/>
      <c r="X1739" s="53"/>
      <c r="Y1739" s="50"/>
      <c r="Z1739" s="51"/>
    </row>
    <row r="1740" spans="1:26" ht="14.45" customHeight="1" x14ac:dyDescent="0.25">
      <c r="A1740" s="47">
        <v>6211</v>
      </c>
      <c r="B1740" s="78">
        <v>45125</v>
      </c>
      <c r="C1740" s="47" t="s">
        <v>68</v>
      </c>
      <c r="D1740" s="49" t="s">
        <v>299</v>
      </c>
      <c r="E1740" s="47">
        <v>900243</v>
      </c>
      <c r="F1740" s="50" t="s">
        <v>89</v>
      </c>
      <c r="G1740" s="51" t="s">
        <v>89</v>
      </c>
      <c r="H1740" s="49">
        <v>350</v>
      </c>
      <c r="I1740" s="51"/>
      <c r="J1740" s="51">
        <v>4.42</v>
      </c>
      <c r="K1740" s="51">
        <f>Tabela6[[#This Row],[CONSUMO]]*Tabela6[[#This Row],[VALOR UNIT]]-Tabela6[[#This Row],[DESCONTO]]</f>
        <v>1547</v>
      </c>
      <c r="L1740" s="53">
        <f>Tabela6[[#This Row],[CUSTO TOTAL]]/Tabela6[[#This Row],[CONSUMO]]</f>
        <v>4.42</v>
      </c>
      <c r="M1740" s="50">
        <f>Tabela6[[#This Row],[KM ATUAL]]-E1714</f>
        <v>771407</v>
      </c>
      <c r="N1740" s="51">
        <f>Tabela6[[#This Row],[KM Rodados ]]/Tabela6[[#This Row],[CONSUMO]]</f>
        <v>2204.02</v>
      </c>
      <c r="O1740" s="48"/>
      <c r="P1740" s="47"/>
      <c r="Q1740" s="49"/>
      <c r="R1740" s="47"/>
      <c r="S1740" s="50"/>
      <c r="T1740" s="51"/>
      <c r="U1740" s="49"/>
      <c r="V1740" s="51"/>
      <c r="W1740" s="51"/>
      <c r="X1740" s="53"/>
      <c r="Y1740" s="50"/>
      <c r="Z1740" s="51"/>
    </row>
    <row r="1741" spans="1:26" ht="14.45" customHeight="1" x14ac:dyDescent="0.25">
      <c r="A1741" s="47">
        <v>6211</v>
      </c>
      <c r="B1741" s="78">
        <v>45125</v>
      </c>
      <c r="C1741" s="47" t="s">
        <v>43</v>
      </c>
      <c r="D1741" s="49" t="s">
        <v>299</v>
      </c>
      <c r="E1741" s="47">
        <v>135444</v>
      </c>
      <c r="F1741" s="50" t="s">
        <v>89</v>
      </c>
      <c r="G1741" s="51" t="s">
        <v>89</v>
      </c>
      <c r="H1741" s="49">
        <v>29</v>
      </c>
      <c r="I1741" s="51"/>
      <c r="J1741" s="51">
        <v>4.42</v>
      </c>
      <c r="K1741" s="53">
        <f>Tabela6[[#This Row],[CONSUMO]]*Tabela6[[#This Row],[VALOR UNIT]]-Tabela6[[#This Row],[DESCONTO]]</f>
        <v>128.18</v>
      </c>
      <c r="L1741" s="50">
        <v>4.42</v>
      </c>
      <c r="M1741" s="51">
        <f>Tabela6[[#This Row],[KM ATUAL]]-E1728</f>
        <v>-351639</v>
      </c>
      <c r="N1741" s="51">
        <f>Tabela6[[#This Row],[KM Rodados ]]/Tabela6[[#This Row],[CONSUMO]]</f>
        <v>-12125.48275862069</v>
      </c>
      <c r="O1741" s="48"/>
      <c r="P1741" s="47"/>
      <c r="Q1741" s="49"/>
      <c r="R1741" s="47"/>
      <c r="S1741" s="50"/>
      <c r="T1741" s="51"/>
      <c r="U1741" s="49"/>
      <c r="V1741" s="51"/>
      <c r="W1741" s="51"/>
      <c r="X1741" s="53"/>
      <c r="Y1741" s="50"/>
      <c r="Z1741" s="51"/>
    </row>
    <row r="1742" spans="1:26" ht="14.45" customHeight="1" x14ac:dyDescent="0.25">
      <c r="A1742" s="47">
        <v>6211</v>
      </c>
      <c r="B1742" s="78">
        <v>45125</v>
      </c>
      <c r="C1742" s="47" t="s">
        <v>67</v>
      </c>
      <c r="D1742" s="49" t="s">
        <v>299</v>
      </c>
      <c r="E1742" s="47">
        <v>672209</v>
      </c>
      <c r="F1742" s="50" t="s">
        <v>89</v>
      </c>
      <c r="G1742" s="51" t="s">
        <v>89</v>
      </c>
      <c r="H1742" s="49">
        <v>110</v>
      </c>
      <c r="I1742" s="51"/>
      <c r="J1742" s="51">
        <v>4.42</v>
      </c>
      <c r="K1742" s="53">
        <f>Tabela6[[#This Row],[CONSUMO]]*Tabela6[[#This Row],[VALOR UNIT]]-Tabela6[[#This Row],[DESCONTO]]</f>
        <v>486.2</v>
      </c>
      <c r="L1742" s="50">
        <v>4.42</v>
      </c>
      <c r="M1742" s="50">
        <f>Tabela6[[#This Row],[KM ATUAL]]-E1718</f>
        <v>607554</v>
      </c>
      <c r="N1742" s="51">
        <f>Tabela6[[#This Row],[KM Rodados ]]/Tabela6[[#This Row],[CONSUMO]]</f>
        <v>5523.2181818181816</v>
      </c>
      <c r="O1742" s="48"/>
      <c r="P1742" s="47"/>
      <c r="Q1742" s="49"/>
      <c r="R1742" s="47"/>
      <c r="S1742" s="50"/>
      <c r="T1742" s="51"/>
      <c r="U1742" s="49"/>
      <c r="V1742" s="51"/>
      <c r="W1742" s="51"/>
      <c r="X1742" s="53"/>
      <c r="Y1742" s="50"/>
      <c r="Z1742" s="51"/>
    </row>
    <row r="1743" spans="1:26" ht="14.45" customHeight="1" x14ac:dyDescent="0.25">
      <c r="A1743" s="47">
        <v>6211</v>
      </c>
      <c r="B1743" s="78">
        <v>45125</v>
      </c>
      <c r="C1743" s="47" t="s">
        <v>73</v>
      </c>
      <c r="D1743" s="49" t="s">
        <v>299</v>
      </c>
      <c r="E1743" s="47">
        <v>129394</v>
      </c>
      <c r="F1743" s="50" t="s">
        <v>89</v>
      </c>
      <c r="G1743" s="50" t="s">
        <v>89</v>
      </c>
      <c r="H1743" s="51">
        <v>127</v>
      </c>
      <c r="I1743" s="51"/>
      <c r="J1743" s="51">
        <v>4.42</v>
      </c>
      <c r="K1743" s="52">
        <f>Tabela6[[#This Row],[CONSUMO]]*Tabela6[[#This Row],[VALOR UNIT]]-Tabela6[[#This Row],[DESCONTO]]</f>
        <v>561.34</v>
      </c>
      <c r="L1743" s="53">
        <f>Tabela6[[#This Row],[CUSTO TOTAL]]/Tabela6[[#This Row],[CONSUMO]]</f>
        <v>4.42</v>
      </c>
      <c r="M1743" s="50">
        <f>Tabela6[[#This Row],[KM ATUAL]]-E1716</f>
        <v>-244008</v>
      </c>
      <c r="N1743" s="51">
        <f>Tabela6[[#This Row],[KM Rodados ]]/Tabela6[[#This Row],[CONSUMO]]</f>
        <v>-1921.3228346456692</v>
      </c>
      <c r="O1743" s="48"/>
      <c r="P1743" s="47"/>
      <c r="Q1743" s="49"/>
      <c r="R1743" s="47"/>
      <c r="S1743" s="50"/>
      <c r="T1743" s="51"/>
      <c r="U1743" s="49"/>
      <c r="V1743" s="51"/>
      <c r="W1743" s="51"/>
      <c r="X1743" s="53"/>
      <c r="Y1743" s="50"/>
      <c r="Z1743" s="51"/>
    </row>
    <row r="1744" spans="1:26" ht="14.45" customHeight="1" x14ac:dyDescent="0.25">
      <c r="A1744" s="47">
        <v>6211</v>
      </c>
      <c r="B1744" s="78">
        <v>45125</v>
      </c>
      <c r="C1744" s="47" t="s">
        <v>64</v>
      </c>
      <c r="D1744" s="49" t="s">
        <v>299</v>
      </c>
      <c r="E1744" s="47">
        <v>83231</v>
      </c>
      <c r="F1744" s="50" t="s">
        <v>89</v>
      </c>
      <c r="G1744" s="50" t="s">
        <v>89</v>
      </c>
      <c r="H1744" s="49">
        <v>117</v>
      </c>
      <c r="I1744" s="51"/>
      <c r="J1744" s="51">
        <v>4.42</v>
      </c>
      <c r="K1744" s="51">
        <f>Tabela6[[#This Row],[CONSUMO]]*Tabela6[[#This Row],[VALOR UNIT]]-Tabela6[[#This Row],[DESCONTO]]</f>
        <v>517.14</v>
      </c>
      <c r="L1744" s="53">
        <f>Tabela6[[#This Row],[CUSTO TOTAL]]/Tabela6[[#This Row],[CONSUMO]]</f>
        <v>4.42</v>
      </c>
      <c r="M1744" s="50">
        <f>Tabela6[[#This Row],[KM ATUAL]]-E1724</f>
        <v>-51815</v>
      </c>
      <c r="N1744" s="51">
        <f>Tabela6[[#This Row],[KM Rodados ]]/Tabela6[[#This Row],[CONSUMO]]</f>
        <v>-442.86324786324786</v>
      </c>
      <c r="O1744" s="48"/>
      <c r="P1744" s="47"/>
      <c r="Q1744" s="49"/>
      <c r="R1744" s="47"/>
      <c r="S1744" s="50"/>
      <c r="T1744" s="51"/>
      <c r="U1744" s="49"/>
      <c r="V1744" s="51"/>
      <c r="W1744" s="51"/>
      <c r="X1744" s="53"/>
      <c r="Y1744" s="50"/>
      <c r="Z1744" s="51"/>
    </row>
    <row r="1745" spans="1:26" ht="14.45" customHeight="1" x14ac:dyDescent="0.25">
      <c r="A1745" s="47">
        <v>6211</v>
      </c>
      <c r="B1745" s="78">
        <v>45125</v>
      </c>
      <c r="C1745" s="47" t="s">
        <v>10</v>
      </c>
      <c r="D1745" s="49" t="s">
        <v>299</v>
      </c>
      <c r="E1745" s="47">
        <v>718837</v>
      </c>
      <c r="F1745" s="50" t="s">
        <v>89</v>
      </c>
      <c r="G1745" s="50" t="s">
        <v>89</v>
      </c>
      <c r="H1745" s="49">
        <v>32</v>
      </c>
      <c r="I1745" s="51"/>
      <c r="J1745" s="51">
        <v>4.42</v>
      </c>
      <c r="K1745" s="51">
        <f>Tabela6[[#This Row],[CONSUMO]]*Tabela6[[#This Row],[VALOR UNIT]]-Tabela6[[#This Row],[DESCONTO]]</f>
        <v>141.44</v>
      </c>
      <c r="L1745" s="53">
        <f>Tabela6[[#This Row],[CUSTO TOTAL]]/Tabela6[[#This Row],[CONSUMO]]</f>
        <v>4.42</v>
      </c>
      <c r="M1745" s="50">
        <f>Tabela6[[#This Row],[KM ATUAL]]-E1677</f>
        <v>47991</v>
      </c>
      <c r="N1745" s="51">
        <f>Tabela6[[#This Row],[KM Rodados ]]/Tabela6[[#This Row],[CONSUMO]]</f>
        <v>1499.71875</v>
      </c>
      <c r="O1745" s="48"/>
      <c r="P1745" s="47"/>
      <c r="Q1745" s="49"/>
      <c r="R1745" s="47"/>
      <c r="S1745" s="50"/>
      <c r="T1745" s="51"/>
      <c r="U1745" s="49"/>
      <c r="V1745" s="51"/>
      <c r="W1745" s="51"/>
      <c r="X1745" s="53"/>
      <c r="Y1745" s="50"/>
      <c r="Z1745" s="51"/>
    </row>
    <row r="1746" spans="1:26" ht="14.45" customHeight="1" x14ac:dyDescent="0.25">
      <c r="A1746" s="47">
        <v>549952</v>
      </c>
      <c r="B1746" s="78">
        <v>45125</v>
      </c>
      <c r="C1746" s="47" t="s">
        <v>16</v>
      </c>
      <c r="D1746" s="49" t="s">
        <v>255</v>
      </c>
      <c r="E1746" s="47">
        <v>299939</v>
      </c>
      <c r="F1746" s="50" t="s">
        <v>89</v>
      </c>
      <c r="G1746" s="50" t="s">
        <v>89</v>
      </c>
      <c r="H1746" s="49">
        <v>112.79</v>
      </c>
      <c r="I1746" s="51"/>
      <c r="J1746" s="51">
        <v>5.32</v>
      </c>
      <c r="K1746" s="52">
        <f>Tabela6[[#This Row],[CONSUMO]]*Tabela6[[#This Row],[VALOR UNIT]]-Tabela6[[#This Row],[DESCONTO]]</f>
        <v>600.04280000000006</v>
      </c>
      <c r="L1746" s="53">
        <f>Tabela6[[#This Row],[CUSTO TOTAL]]/Tabela6[[#This Row],[CONSUMO]]</f>
        <v>5.32</v>
      </c>
      <c r="M1746" s="50">
        <f>Tabela6[[#This Row],[KM ATUAL]]-E1682</f>
        <v>-331940</v>
      </c>
      <c r="N1746" s="51">
        <f>Tabela6[[#This Row],[KM Rodados ]]/Tabela6[[#This Row],[CONSUMO]]</f>
        <v>-2942.9913999468035</v>
      </c>
      <c r="O1746" s="48"/>
      <c r="P1746" s="47"/>
      <c r="Q1746" s="49"/>
      <c r="R1746" s="47"/>
      <c r="S1746" s="50"/>
      <c r="T1746" s="51"/>
      <c r="U1746" s="49"/>
      <c r="V1746" s="51"/>
      <c r="W1746" s="51"/>
      <c r="X1746" s="53"/>
      <c r="Y1746" s="50"/>
      <c r="Z1746" s="51"/>
    </row>
    <row r="1747" spans="1:26" ht="14.45" customHeight="1" x14ac:dyDescent="0.25">
      <c r="A1747" s="47">
        <v>6211</v>
      </c>
      <c r="B1747" s="78">
        <v>45125</v>
      </c>
      <c r="C1747" s="47" t="s">
        <v>17</v>
      </c>
      <c r="D1747" s="49" t="s">
        <v>299</v>
      </c>
      <c r="E1747" s="47">
        <v>360007</v>
      </c>
      <c r="F1747" s="50" t="s">
        <v>89</v>
      </c>
      <c r="G1747" s="50" t="s">
        <v>89</v>
      </c>
      <c r="H1747" s="51">
        <v>250</v>
      </c>
      <c r="I1747" s="51"/>
      <c r="J1747" s="51">
        <v>4.42</v>
      </c>
      <c r="K1747" s="51">
        <f>Tabela6[[#This Row],[CONSUMO]]*Tabela6[[#This Row],[VALOR UNIT]]-Tabela6[[#This Row],[DESCONTO]]</f>
        <v>1105</v>
      </c>
      <c r="L1747" s="53">
        <f>Tabela6[[#This Row],[CUSTO TOTAL]]/Tabela6[[#This Row],[CONSUMO]]</f>
        <v>4.42</v>
      </c>
      <c r="M1747" s="50">
        <f>Tabela6[[#This Row],[KM ATUAL]]-E1714</f>
        <v>231171</v>
      </c>
      <c r="N1747" s="51">
        <f>Tabela6[[#This Row],[KM Rodados ]]/Tabela6[[#This Row],[CONSUMO]]</f>
        <v>924.68399999999997</v>
      </c>
      <c r="O1747" s="48"/>
      <c r="P1747" s="47"/>
      <c r="Q1747" s="49"/>
      <c r="R1747" s="47"/>
      <c r="S1747" s="50"/>
      <c r="T1747" s="51"/>
      <c r="U1747" s="49"/>
      <c r="V1747" s="51"/>
      <c r="W1747" s="51"/>
      <c r="X1747" s="53"/>
      <c r="Y1747" s="50"/>
      <c r="Z1747" s="51"/>
    </row>
    <row r="1748" spans="1:26" ht="14.45" customHeight="1" x14ac:dyDescent="0.25">
      <c r="A1748" s="47" t="s">
        <v>314</v>
      </c>
      <c r="B1748" s="78">
        <v>45125</v>
      </c>
      <c r="C1748" s="47" t="s">
        <v>20</v>
      </c>
      <c r="E1748" s="47">
        <v>260369</v>
      </c>
      <c r="F1748" s="50"/>
      <c r="G1748" s="50" t="s">
        <v>89</v>
      </c>
      <c r="H1748" s="51">
        <v>8</v>
      </c>
      <c r="I1748" s="51"/>
      <c r="K1748" s="53">
        <f>Tabela6[[#This Row],[CONSUMO]]*Tabela6[[#This Row],[VALOR UNIT]]-Tabela6[[#This Row],[DESCONTO]]</f>
        <v>0</v>
      </c>
      <c r="L1748" s="53">
        <f>Tabela6[[#This Row],[CUSTO TOTAL]]/Tabela6[[#This Row],[CONSUMO]]</f>
        <v>0</v>
      </c>
      <c r="M1748" s="50">
        <f>Tabela6[[#This Row],[KM ATUAL]]-E1730</f>
        <v>-143465</v>
      </c>
      <c r="N1748" s="49">
        <f>Tabela6[[#This Row],[KM Rodados ]]/Tabela6[[#This Row],[CONSUMO]]</f>
        <v>-17933.125</v>
      </c>
      <c r="O1748" s="48"/>
      <c r="P1748" s="47"/>
      <c r="Q1748" s="49"/>
      <c r="R1748" s="47"/>
      <c r="S1748" s="50"/>
      <c r="T1748" s="51"/>
      <c r="U1748" s="49"/>
      <c r="V1748" s="51"/>
      <c r="W1748" s="51"/>
      <c r="X1748" s="53"/>
      <c r="Y1748" s="50"/>
      <c r="Z1748" s="51"/>
    </row>
    <row r="1749" spans="1:26" ht="14.45" customHeight="1" x14ac:dyDescent="0.25">
      <c r="A1749" s="47">
        <v>223972</v>
      </c>
      <c r="B1749" s="78">
        <v>45126</v>
      </c>
      <c r="C1749" s="47" t="s">
        <v>43</v>
      </c>
      <c r="D1749" s="49" t="s">
        <v>268</v>
      </c>
      <c r="E1749" s="47">
        <v>135760</v>
      </c>
      <c r="F1749" s="50" t="s">
        <v>89</v>
      </c>
      <c r="G1749" s="51" t="s">
        <v>89</v>
      </c>
      <c r="H1749" s="49">
        <v>35.35</v>
      </c>
      <c r="I1749" s="51"/>
      <c r="J1749" s="51">
        <v>4.79</v>
      </c>
      <c r="K1749" s="53">
        <f>Tabela6[[#This Row],[CONSUMO]]*Tabela6[[#This Row],[VALOR UNIT]]-Tabela6[[#This Row],[DESCONTO]]</f>
        <v>169.32650000000001</v>
      </c>
      <c r="L1749" s="50">
        <v>4.79</v>
      </c>
      <c r="M1749" s="51">
        <f>Tabela6[[#This Row],[KM ATUAL]]-E1741</f>
        <v>316</v>
      </c>
      <c r="N1749" s="51">
        <f>Tabela6[[#This Row],[KM Rodados ]]/Tabela6[[#This Row],[CONSUMO]]</f>
        <v>8.9391796322489387</v>
      </c>
      <c r="O1749" s="48"/>
      <c r="P1749" s="47"/>
      <c r="Q1749" s="49"/>
      <c r="R1749" s="47"/>
      <c r="S1749" s="50"/>
      <c r="T1749" s="51"/>
      <c r="U1749" s="49"/>
      <c r="V1749" s="51"/>
      <c r="W1749" s="51"/>
      <c r="X1749" s="53"/>
      <c r="Y1749" s="50"/>
      <c r="Z1749" s="51"/>
    </row>
    <row r="1750" spans="1:26" ht="14.45" customHeight="1" x14ac:dyDescent="0.25">
      <c r="A1750" s="47">
        <v>6267</v>
      </c>
      <c r="B1750" s="78">
        <v>45126</v>
      </c>
      <c r="C1750" s="47" t="s">
        <v>39</v>
      </c>
      <c r="D1750" s="49" t="s">
        <v>299</v>
      </c>
      <c r="E1750" s="47">
        <v>94252</v>
      </c>
      <c r="F1750" s="50" t="s">
        <v>89</v>
      </c>
      <c r="G1750" s="50" t="s">
        <v>89</v>
      </c>
      <c r="H1750" s="51">
        <v>103</v>
      </c>
      <c r="I1750" s="51"/>
      <c r="J1750" s="51">
        <v>4.45</v>
      </c>
      <c r="K1750" s="53">
        <f>Tabela6[[#This Row],[CONSUMO]]*Tabela6[[#This Row],[VALOR UNIT]]-Tabela6[[#This Row],[DESCONTO]]</f>
        <v>458.35</v>
      </c>
      <c r="L1750" s="50">
        <v>4.45</v>
      </c>
      <c r="M1750" s="50">
        <f>Tabela6[[#This Row],[KM ATUAL]]-E1668</f>
        <v>-307782</v>
      </c>
      <c r="N1750" s="51">
        <f>Tabela6[[#This Row],[KM Rodados ]]/Tabela6[[#This Row],[CONSUMO]]</f>
        <v>-2988.1747572815534</v>
      </c>
      <c r="O1750" s="48"/>
      <c r="P1750" s="47"/>
      <c r="Q1750" s="49"/>
      <c r="R1750" s="47"/>
      <c r="S1750" s="50"/>
      <c r="T1750" s="51"/>
      <c r="U1750" s="49"/>
      <c r="V1750" s="51"/>
      <c r="W1750" s="51"/>
      <c r="X1750" s="53"/>
      <c r="Y1750" s="50"/>
      <c r="Z1750" s="51"/>
    </row>
    <row r="1751" spans="1:26" ht="14.45" customHeight="1" x14ac:dyDescent="0.25">
      <c r="A1751" s="47">
        <v>575230</v>
      </c>
      <c r="B1751" s="78">
        <v>45126</v>
      </c>
      <c r="C1751" s="47" t="s">
        <v>70</v>
      </c>
      <c r="D1751" s="49" t="s">
        <v>275</v>
      </c>
      <c r="E1751" s="47">
        <v>215657</v>
      </c>
      <c r="F1751" s="50" t="s">
        <v>89</v>
      </c>
      <c r="G1751" s="50" t="s">
        <v>89</v>
      </c>
      <c r="H1751" s="49">
        <v>706.351</v>
      </c>
      <c r="I1751" s="51"/>
      <c r="J1751" s="51">
        <v>4.79</v>
      </c>
      <c r="K1751" s="51">
        <f>Tabela6[[#This Row],[CONSUMO]]*Tabela6[[#This Row],[VALOR UNIT]]-Tabela6[[#This Row],[DESCONTO]]</f>
        <v>3383.4212900000002</v>
      </c>
      <c r="L1751" s="53">
        <f>Tabela6[[#This Row],[CUSTO TOTAL]]/Tabela6[[#This Row],[CONSUMO]]</f>
        <v>4.79</v>
      </c>
      <c r="M1751" s="50">
        <f>Tabela6[[#This Row],[KM ATUAL]]-E1696</f>
        <v>68482</v>
      </c>
      <c r="N1751" s="51">
        <f>Tabela6[[#This Row],[KM Rodados ]]/Tabela6[[#This Row],[CONSUMO]]</f>
        <v>96.951798751612159</v>
      </c>
      <c r="O1751" s="48"/>
      <c r="P1751" s="47"/>
      <c r="Q1751" s="49"/>
      <c r="R1751" s="47"/>
      <c r="S1751" s="50"/>
      <c r="T1751" s="51"/>
      <c r="U1751" s="49"/>
      <c r="V1751" s="51"/>
      <c r="W1751" s="51"/>
      <c r="X1751" s="53"/>
      <c r="Y1751" s="50"/>
      <c r="Z1751" s="51"/>
    </row>
    <row r="1752" spans="1:26" ht="14.45" customHeight="1" x14ac:dyDescent="0.25">
      <c r="A1752" s="47">
        <v>6267</v>
      </c>
      <c r="B1752" s="78">
        <v>45126</v>
      </c>
      <c r="C1752" s="47" t="s">
        <v>71</v>
      </c>
      <c r="D1752" s="49" t="s">
        <v>299</v>
      </c>
      <c r="E1752" s="47">
        <v>112703</v>
      </c>
      <c r="F1752" s="50" t="s">
        <v>89</v>
      </c>
      <c r="G1752" s="50" t="s">
        <v>89</v>
      </c>
      <c r="H1752" s="49">
        <v>250</v>
      </c>
      <c r="I1752" s="51"/>
      <c r="J1752" s="51">
        <v>4.45</v>
      </c>
      <c r="K1752" s="51">
        <f>Tabela6[[#This Row],[CONSUMO]]*Tabela6[[#This Row],[VALOR UNIT]]-Tabela6[[#This Row],[DESCONTO]]</f>
        <v>1112.5</v>
      </c>
      <c r="L1752" s="53">
        <f>Tabela6[[#This Row],[CUSTO TOTAL]]/Tabela6[[#This Row],[CONSUMO]]</f>
        <v>4.45</v>
      </c>
      <c r="M1752" s="50">
        <f>Tabela6[[#This Row],[KM ATUAL]]-E1698</f>
        <v>-519410</v>
      </c>
      <c r="N1752" s="51">
        <f>Tabela6[[#This Row],[KM Rodados ]]/Tabela6[[#This Row],[CONSUMO]]</f>
        <v>-2077.64</v>
      </c>
      <c r="O1752" s="48"/>
      <c r="P1752" s="47"/>
      <c r="Q1752" s="49"/>
      <c r="R1752" s="47"/>
      <c r="S1752" s="50"/>
      <c r="T1752" s="51"/>
      <c r="U1752" s="49"/>
      <c r="V1752" s="51"/>
      <c r="W1752" s="51"/>
      <c r="X1752" s="53"/>
      <c r="Y1752" s="50"/>
      <c r="Z1752" s="51"/>
    </row>
    <row r="1753" spans="1:26" ht="14.45" customHeight="1" x14ac:dyDescent="0.25">
      <c r="A1753" s="47">
        <v>6267</v>
      </c>
      <c r="B1753" s="78">
        <v>45126</v>
      </c>
      <c r="C1753" s="47" t="s">
        <v>21</v>
      </c>
      <c r="D1753" s="49" t="s">
        <v>299</v>
      </c>
      <c r="E1753" s="47">
        <v>147918</v>
      </c>
      <c r="F1753" s="50" t="s">
        <v>89</v>
      </c>
      <c r="G1753" s="50" t="s">
        <v>89</v>
      </c>
      <c r="H1753" s="49">
        <v>80</v>
      </c>
      <c r="I1753" s="51"/>
      <c r="J1753" s="51">
        <v>4.45</v>
      </c>
      <c r="K1753" s="52">
        <f>Tabela6[[#This Row],[CONSUMO]]*Tabela6[[#This Row],[VALOR UNIT]]-Tabela6[[#This Row],[DESCONTO]]</f>
        <v>356</v>
      </c>
      <c r="L1753" s="53">
        <f>Tabela6[[#This Row],[CUSTO TOTAL]]/Tabela6[[#This Row],[CONSUMO]]</f>
        <v>4.45</v>
      </c>
      <c r="M1753" s="50">
        <f>Tabela6[[#This Row],[KM ATUAL]]-E1730</f>
        <v>-255916</v>
      </c>
      <c r="N1753" s="51">
        <f>Tabela6[[#This Row],[KM Rodados ]]/Tabela6[[#This Row],[CONSUMO]]</f>
        <v>-3198.95</v>
      </c>
      <c r="O1753" s="48"/>
      <c r="P1753" s="47"/>
      <c r="Q1753" s="49"/>
      <c r="R1753" s="47"/>
      <c r="S1753" s="50"/>
      <c r="T1753" s="51"/>
      <c r="U1753" s="49"/>
      <c r="V1753" s="51"/>
      <c r="W1753" s="51"/>
      <c r="X1753" s="53"/>
      <c r="Y1753" s="50"/>
      <c r="Z1753" s="51"/>
    </row>
    <row r="1754" spans="1:26" ht="14.45" customHeight="1" x14ac:dyDescent="0.25">
      <c r="A1754" s="47" t="s">
        <v>314</v>
      </c>
      <c r="B1754" s="78">
        <v>45126</v>
      </c>
      <c r="C1754" s="47" t="s">
        <v>41</v>
      </c>
      <c r="E1754" s="47">
        <v>667079</v>
      </c>
      <c r="F1754" s="50"/>
      <c r="G1754" s="50" t="s">
        <v>89</v>
      </c>
      <c r="H1754" s="51">
        <v>85</v>
      </c>
      <c r="I1754" s="51"/>
      <c r="K1754" s="53">
        <f>Tabela6[[#This Row],[CONSUMO]]*Tabela6[[#This Row],[VALOR UNIT]]-Tabela6[[#This Row],[DESCONTO]]</f>
        <v>0</v>
      </c>
      <c r="L1754" s="53">
        <f>Tabela6[[#This Row],[CUSTO TOTAL]]/Tabela6[[#This Row],[CONSUMO]]</f>
        <v>0</v>
      </c>
      <c r="M1754" s="50">
        <f>Tabela6[[#This Row],[KM ATUAL]]-E1726</f>
        <v>-208479</v>
      </c>
      <c r="N1754" s="51">
        <f>Tabela6[[#This Row],[KM Rodados ]]/Tabela6[[#This Row],[CONSUMO]]</f>
        <v>-2452.6941176470586</v>
      </c>
      <c r="O1754" s="48"/>
      <c r="P1754" s="47"/>
      <c r="Q1754" s="49"/>
      <c r="R1754" s="47"/>
      <c r="S1754" s="50"/>
      <c r="T1754" s="51"/>
      <c r="U1754" s="49"/>
      <c r="V1754" s="51"/>
      <c r="W1754" s="51"/>
      <c r="X1754" s="53"/>
      <c r="Y1754" s="50"/>
      <c r="Z1754" s="51"/>
    </row>
    <row r="1755" spans="1:26" ht="14.45" customHeight="1" x14ac:dyDescent="0.25">
      <c r="A1755" s="47">
        <v>6211</v>
      </c>
      <c r="B1755" s="78">
        <v>45126</v>
      </c>
      <c r="C1755" s="47" t="s">
        <v>301</v>
      </c>
      <c r="D1755" s="49" t="s">
        <v>299</v>
      </c>
      <c r="E1755" s="47">
        <v>1032310</v>
      </c>
      <c r="F1755" s="50" t="s">
        <v>89</v>
      </c>
      <c r="G1755" s="50" t="s">
        <v>89</v>
      </c>
      <c r="H1755" s="49">
        <v>406</v>
      </c>
      <c r="I1755" s="51"/>
      <c r="J1755" s="51">
        <v>4.42</v>
      </c>
      <c r="K1755" s="51">
        <f>Tabela6[[#This Row],[CONSUMO]]*Tabela6[[#This Row],[VALOR UNIT]]-Tabela6[[#This Row],[DESCONTO]]</f>
        <v>1794.52</v>
      </c>
      <c r="L1755" s="53">
        <f>Tabela6[[#This Row],[CUSTO TOTAL]]/Tabela6[[#This Row],[CONSUMO]]</f>
        <v>4.42</v>
      </c>
      <c r="M1755" s="50"/>
      <c r="O1755" s="48"/>
      <c r="P1755" s="47"/>
      <c r="Q1755" s="49"/>
      <c r="R1755" s="47"/>
      <c r="S1755" s="50"/>
      <c r="T1755" s="51"/>
      <c r="U1755" s="49"/>
      <c r="V1755" s="51"/>
      <c r="W1755" s="51"/>
      <c r="X1755" s="53"/>
      <c r="Y1755" s="50"/>
      <c r="Z1755" s="51"/>
    </row>
    <row r="1756" spans="1:26" ht="14.45" customHeight="1" x14ac:dyDescent="0.25">
      <c r="A1756" s="47">
        <v>6211</v>
      </c>
      <c r="B1756" s="78">
        <v>45126</v>
      </c>
      <c r="C1756" s="47" t="s">
        <v>206</v>
      </c>
      <c r="D1756" s="49" t="s">
        <v>299</v>
      </c>
      <c r="E1756" s="47">
        <v>948577</v>
      </c>
      <c r="F1756" s="50" t="s">
        <v>89</v>
      </c>
      <c r="G1756" s="50" t="s">
        <v>89</v>
      </c>
      <c r="H1756" s="49">
        <v>451</v>
      </c>
      <c r="I1756" s="51"/>
      <c r="J1756" s="51">
        <v>4.42</v>
      </c>
      <c r="K1756" s="52">
        <f>Tabela6[[#This Row],[CONSUMO]]*Tabela6[[#This Row],[VALOR UNIT]]-Tabela6[[#This Row],[DESCONTO]]</f>
        <v>1993.42</v>
      </c>
      <c r="L1756" s="53">
        <f>Tabela6[[#This Row],[CUSTO TOTAL]]/Tabela6[[#This Row],[CONSUMO]]</f>
        <v>4.42</v>
      </c>
      <c r="M1756" s="50">
        <f>Tabela6[[#This Row],[KM ATUAL]]-E1680</f>
        <v>546130</v>
      </c>
      <c r="N1756" s="51">
        <f>Tabela6[[#This Row],[KM Rodados ]]/Tabela6[[#This Row],[CONSUMO]]</f>
        <v>1210.9312638580932</v>
      </c>
      <c r="O1756" s="48"/>
      <c r="P1756" s="47"/>
      <c r="Q1756" s="49"/>
      <c r="R1756" s="47"/>
      <c r="S1756" s="50"/>
      <c r="T1756" s="51"/>
      <c r="U1756" s="49"/>
      <c r="V1756" s="51"/>
      <c r="W1756" s="51"/>
      <c r="X1756" s="53"/>
      <c r="Y1756" s="50"/>
      <c r="Z1756" s="51"/>
    </row>
    <row r="1757" spans="1:26" ht="14.45" customHeight="1" x14ac:dyDescent="0.25">
      <c r="A1757" s="47">
        <v>857181</v>
      </c>
      <c r="B1757" s="78">
        <v>45126</v>
      </c>
      <c r="C1757" s="47" t="s">
        <v>12</v>
      </c>
      <c r="D1757" s="49" t="s">
        <v>253</v>
      </c>
      <c r="E1757" s="47">
        <v>316528</v>
      </c>
      <c r="F1757" s="50" t="s">
        <v>89</v>
      </c>
      <c r="G1757" s="50" t="s">
        <v>89</v>
      </c>
      <c r="H1757" s="49">
        <v>75.59</v>
      </c>
      <c r="I1757" s="51"/>
      <c r="J1757" s="51">
        <v>5.19</v>
      </c>
      <c r="K1757" s="51">
        <f>Tabela6[[#This Row],[CONSUMO]]*Tabela6[[#This Row],[VALOR UNIT]]-Tabela6[[#This Row],[DESCONTO]]</f>
        <v>392.31210000000004</v>
      </c>
      <c r="L1757" s="53">
        <f>Tabela6[[#This Row],[CUSTO TOTAL]]/Tabela6[[#This Row],[CONSUMO]]</f>
        <v>5.19</v>
      </c>
      <c r="M1757" s="50">
        <f>Tabela6[[#This Row],[KM ATUAL]]-E1736</f>
        <v>-57601</v>
      </c>
      <c r="N1757" s="51">
        <f>Tabela6[[#This Row],[KM Rodados ]]/Tabela6[[#This Row],[CONSUMO]]</f>
        <v>-762.01878555364465</v>
      </c>
      <c r="O1757" s="48"/>
      <c r="P1757" s="47"/>
      <c r="Q1757" s="49"/>
      <c r="R1757" s="47"/>
      <c r="S1757" s="50"/>
      <c r="T1757" s="51"/>
      <c r="U1757" s="49"/>
      <c r="V1757" s="51"/>
      <c r="W1757" s="51"/>
      <c r="X1757" s="53"/>
      <c r="Y1757" s="50"/>
      <c r="Z1757" s="51"/>
    </row>
    <row r="1758" spans="1:26" ht="14.45" customHeight="1" x14ac:dyDescent="0.25">
      <c r="A1758" s="47" t="s">
        <v>314</v>
      </c>
      <c r="B1758" s="78">
        <v>45126</v>
      </c>
      <c r="C1758" s="47" t="s">
        <v>13</v>
      </c>
      <c r="E1758" s="119">
        <v>634359</v>
      </c>
      <c r="F1758" s="50"/>
      <c r="G1758" s="120" t="s">
        <v>89</v>
      </c>
      <c r="H1758" s="51">
        <v>126.59</v>
      </c>
      <c r="I1758" s="51"/>
      <c r="K1758" s="53">
        <f>Tabela6[[#This Row],[CONSUMO]]*Tabela6[[#This Row],[VALOR UNIT]]-Tabela6[[#This Row],[DESCONTO]]</f>
        <v>0</v>
      </c>
      <c r="L1758" s="53">
        <f>Tabela6[[#This Row],[CUSTO TOTAL]]/Tabela6[[#This Row],[CONSUMO]]</f>
        <v>0</v>
      </c>
      <c r="M1758" s="50">
        <f>Tabela6[[#This Row],[KM ATUAL]]-E1724</f>
        <v>499313</v>
      </c>
      <c r="N1758" s="51">
        <f>Tabela6[[#This Row],[KM Rodados ]]/Tabela6[[#This Row],[CONSUMO]]</f>
        <v>3944.3320957421597</v>
      </c>
      <c r="O1758" s="48"/>
      <c r="P1758" s="47"/>
      <c r="Q1758" s="49"/>
      <c r="R1758" s="47"/>
      <c r="S1758" s="50"/>
      <c r="T1758" s="51"/>
      <c r="U1758" s="49"/>
      <c r="V1758" s="51"/>
      <c r="W1758" s="51"/>
      <c r="X1758" s="53"/>
      <c r="Y1758" s="50"/>
      <c r="Z1758" s="51"/>
    </row>
    <row r="1759" spans="1:26" ht="14.45" customHeight="1" x14ac:dyDescent="0.25">
      <c r="A1759" s="47">
        <v>6211</v>
      </c>
      <c r="B1759" s="78">
        <v>45126</v>
      </c>
      <c r="C1759" s="47" t="s">
        <v>19</v>
      </c>
      <c r="D1759" s="49" t="s">
        <v>299</v>
      </c>
      <c r="E1759" s="47">
        <v>316411</v>
      </c>
      <c r="F1759" s="50" t="s">
        <v>89</v>
      </c>
      <c r="G1759" s="50" t="s">
        <v>89</v>
      </c>
      <c r="H1759" s="51">
        <v>183</v>
      </c>
      <c r="I1759" s="51"/>
      <c r="J1759" s="51">
        <v>4.42</v>
      </c>
      <c r="K1759" s="51">
        <f>Tabela6[[#This Row],[CONSUMO]]*Tabela6[[#This Row],[VALOR UNIT]]-Tabela6[[#This Row],[DESCONTO]]</f>
        <v>808.86</v>
      </c>
      <c r="L1759" s="53">
        <f>Tabela6[[#This Row],[CUSTO TOTAL]]/Tabela6[[#This Row],[CONSUMO]]</f>
        <v>4.42</v>
      </c>
      <c r="M1759" s="50">
        <f>Tabela6[[#This Row],[KM ATUAL]]-E1705</f>
        <v>181799</v>
      </c>
      <c r="N1759" s="51">
        <f>Tabela6[[#This Row],[KM Rodados ]]/Tabela6[[#This Row],[CONSUMO]]</f>
        <v>993.4371584699453</v>
      </c>
      <c r="O1759" s="48"/>
      <c r="P1759" s="47"/>
      <c r="Q1759" s="49"/>
      <c r="R1759" s="47"/>
      <c r="S1759" s="50"/>
      <c r="T1759" s="51"/>
      <c r="U1759" s="49"/>
      <c r="V1759" s="51"/>
      <c r="W1759" s="51"/>
      <c r="X1759" s="53"/>
      <c r="Y1759" s="50"/>
      <c r="Z1759" s="51"/>
    </row>
    <row r="1760" spans="1:26" ht="14.45" customHeight="1" x14ac:dyDescent="0.25">
      <c r="A1760" s="47">
        <v>6267</v>
      </c>
      <c r="B1760" s="78">
        <v>45126</v>
      </c>
      <c r="C1760" s="47" t="s">
        <v>20</v>
      </c>
      <c r="D1760" s="49" t="s">
        <v>299</v>
      </c>
      <c r="E1760" s="47">
        <v>260742</v>
      </c>
      <c r="F1760" s="50" t="s">
        <v>89</v>
      </c>
      <c r="G1760" s="50" t="s">
        <v>89</v>
      </c>
      <c r="H1760" s="49">
        <v>42</v>
      </c>
      <c r="I1760" s="51"/>
      <c r="J1760" s="51">
        <v>4.45</v>
      </c>
      <c r="K1760" s="52">
        <f>Tabela6[[#This Row],[CONSUMO]]*Tabela6[[#This Row],[VALOR UNIT]]-Tabela6[[#This Row],[DESCONTO]]</f>
        <v>186.9</v>
      </c>
      <c r="L1760" s="53">
        <f>Tabela6[[#This Row],[CUSTO TOTAL]]/Tabela6[[#This Row],[CONSUMO]]</f>
        <v>4.45</v>
      </c>
      <c r="M1760" s="50">
        <f>Tabela6[[#This Row],[KM ATUAL]]-E1753</f>
        <v>112824</v>
      </c>
      <c r="N1760" s="51">
        <f>Tabela6[[#This Row],[KM Rodados ]]/Tabela6[[#This Row],[CONSUMO]]</f>
        <v>2686.2857142857142</v>
      </c>
      <c r="O1760" s="48"/>
      <c r="P1760" s="47"/>
      <c r="Q1760" s="49"/>
      <c r="R1760" s="47"/>
      <c r="S1760" s="50"/>
      <c r="T1760" s="51"/>
      <c r="U1760" s="49"/>
      <c r="V1760" s="51"/>
      <c r="W1760" s="51"/>
      <c r="X1760" s="53"/>
      <c r="Y1760" s="50"/>
      <c r="Z1760" s="51"/>
    </row>
    <row r="1761" spans="1:26" ht="14.45" customHeight="1" x14ac:dyDescent="0.25">
      <c r="A1761" s="47">
        <v>550071</v>
      </c>
      <c r="B1761" s="78">
        <v>45126</v>
      </c>
      <c r="C1761" s="47" t="s">
        <v>23</v>
      </c>
      <c r="D1761" s="49" t="s">
        <v>255</v>
      </c>
      <c r="E1761" s="47">
        <v>235440</v>
      </c>
      <c r="F1761" s="50" t="s">
        <v>89</v>
      </c>
      <c r="G1761" s="50" t="s">
        <v>89</v>
      </c>
      <c r="H1761" s="49">
        <v>125.511</v>
      </c>
      <c r="I1761" s="51"/>
      <c r="J1761" s="51">
        <v>5.09</v>
      </c>
      <c r="K1761" s="51">
        <f>Tabela6[[#This Row],[CONSUMO]]*Tabela6[[#This Row],[VALOR UNIT]]-Tabela6[[#This Row],[DESCONTO]]</f>
        <v>638.85098999999991</v>
      </c>
      <c r="L1761" s="53">
        <f>Tabela6[[#This Row],[CUSTO TOTAL]]/Tabela6[[#This Row],[CONSUMO]]</f>
        <v>5.09</v>
      </c>
      <c r="M1761" s="50">
        <f>Tabela6[[#This Row],[KM ATUAL]]-E1716</f>
        <v>-137962</v>
      </c>
      <c r="N1761" s="51">
        <f>Tabela6[[#This Row],[KM Rodados ]]/Tabela6[[#This Row],[CONSUMO]]</f>
        <v>-1099.2024603421214</v>
      </c>
      <c r="O1761" s="48"/>
      <c r="P1761" s="47"/>
      <c r="Q1761" s="49"/>
      <c r="R1761" s="47"/>
      <c r="S1761" s="50"/>
      <c r="T1761" s="51"/>
      <c r="U1761" s="49"/>
      <c r="V1761" s="51"/>
      <c r="W1761" s="51"/>
      <c r="X1761" s="53"/>
      <c r="Y1761" s="50"/>
      <c r="Z1761" s="51"/>
    </row>
    <row r="1762" spans="1:26" ht="14.45" customHeight="1" x14ac:dyDescent="0.25">
      <c r="A1762" s="47">
        <v>6267</v>
      </c>
      <c r="B1762" s="78">
        <v>45126</v>
      </c>
      <c r="C1762" s="47" t="s">
        <v>74</v>
      </c>
      <c r="D1762" s="49" t="s">
        <v>299</v>
      </c>
      <c r="E1762" s="47">
        <v>65469</v>
      </c>
      <c r="F1762" s="50" t="s">
        <v>89</v>
      </c>
      <c r="G1762" s="50" t="s">
        <v>89</v>
      </c>
      <c r="H1762" s="49">
        <v>62</v>
      </c>
      <c r="I1762" s="51"/>
      <c r="J1762" s="51">
        <v>4.45</v>
      </c>
      <c r="K1762" s="51">
        <f>Tabela6[[#This Row],[CONSUMO]]*Tabela6[[#This Row],[VALOR UNIT]]-Tabela6[[#This Row],[DESCONTO]]</f>
        <v>275.90000000000003</v>
      </c>
      <c r="L1762" s="53">
        <f>Tabela6[[#This Row],[CUSTO TOTAL]]/Tabela6[[#This Row],[CONSUMO]]</f>
        <v>4.45</v>
      </c>
      <c r="M1762" s="50">
        <f>Tabela6[[#This Row],[KM ATUAL]]-E1741</f>
        <v>-69975</v>
      </c>
      <c r="N1762" s="51">
        <f>Tabela6[[#This Row],[KM Rodados ]]/Tabela6[[#This Row],[CONSUMO]]</f>
        <v>-1128.6290322580646</v>
      </c>
      <c r="O1762" s="48"/>
      <c r="P1762" s="47"/>
      <c r="Q1762" s="49"/>
      <c r="R1762" s="47"/>
      <c r="S1762" s="50"/>
      <c r="T1762" s="51"/>
      <c r="U1762" s="49"/>
      <c r="V1762" s="51"/>
      <c r="W1762" s="51"/>
      <c r="X1762" s="53"/>
      <c r="Y1762" s="50"/>
      <c r="Z1762" s="51"/>
    </row>
    <row r="1763" spans="1:26" ht="14.45" customHeight="1" x14ac:dyDescent="0.25">
      <c r="A1763" s="47">
        <v>6267</v>
      </c>
      <c r="B1763" s="78">
        <v>45127</v>
      </c>
      <c r="C1763" s="47" t="s">
        <v>43</v>
      </c>
      <c r="D1763" s="49" t="s">
        <v>299</v>
      </c>
      <c r="E1763" s="47">
        <v>135904</v>
      </c>
      <c r="F1763" s="50" t="s">
        <v>89</v>
      </c>
      <c r="G1763" s="51" t="s">
        <v>89</v>
      </c>
      <c r="H1763" s="49">
        <v>20</v>
      </c>
      <c r="I1763" s="51"/>
      <c r="J1763" s="51">
        <v>4.45</v>
      </c>
      <c r="K1763" s="53">
        <f>Tabela6[[#This Row],[CONSUMO]]*Tabela6[[#This Row],[VALOR UNIT]]-Tabela6[[#This Row],[DESCONTO]]</f>
        <v>89</v>
      </c>
      <c r="L1763" s="50">
        <v>4.45</v>
      </c>
      <c r="M1763" s="51">
        <f>Tabela6[[#This Row],[KM ATUAL]]-E1746</f>
        <v>-164035</v>
      </c>
      <c r="N1763" s="51">
        <f>Tabela6[[#This Row],[KM Rodados ]]/Tabela6[[#This Row],[CONSUMO]]</f>
        <v>-8201.75</v>
      </c>
      <c r="O1763" s="48"/>
      <c r="P1763" s="47"/>
      <c r="Q1763" s="49"/>
      <c r="R1763" s="47"/>
      <c r="S1763" s="50"/>
      <c r="T1763" s="51"/>
      <c r="U1763" s="49"/>
      <c r="V1763" s="51"/>
      <c r="W1763" s="51"/>
      <c r="X1763" s="53"/>
      <c r="Y1763" s="50"/>
      <c r="Z1763" s="51"/>
    </row>
    <row r="1764" spans="1:26" ht="14.45" customHeight="1" x14ac:dyDescent="0.25">
      <c r="A1764" s="47">
        <v>420739</v>
      </c>
      <c r="B1764" s="78">
        <v>45127</v>
      </c>
      <c r="C1764" s="47" t="s">
        <v>42</v>
      </c>
      <c r="D1764" s="49" t="s">
        <v>253</v>
      </c>
      <c r="E1764" s="47">
        <v>368160</v>
      </c>
      <c r="F1764" s="50" t="s">
        <v>89</v>
      </c>
      <c r="G1764" s="50" t="s">
        <v>89</v>
      </c>
      <c r="H1764" s="49">
        <v>50.24</v>
      </c>
      <c r="I1764" s="51"/>
      <c r="J1764" s="51">
        <v>5.19</v>
      </c>
      <c r="K1764" s="53">
        <f>Tabela6[[#This Row],[CONSUMO]]*Tabela6[[#This Row],[VALOR UNIT]]-Tabela6[[#This Row],[DESCONTO]]</f>
        <v>260.74560000000002</v>
      </c>
      <c r="L1764" s="77">
        <v>5.19</v>
      </c>
      <c r="M1764" s="50">
        <f>Tabela6[[#This Row],[KM ATUAL]]-E1735</f>
        <v>-265579</v>
      </c>
      <c r="N1764" s="51">
        <f>Tabela6[[#This Row],[KM Rodados ]]/Tabela6[[#This Row],[CONSUMO]]</f>
        <v>-5286.2062101910824</v>
      </c>
      <c r="O1764" s="48"/>
      <c r="P1764" s="47"/>
      <c r="Q1764" s="49"/>
      <c r="R1764" s="47"/>
      <c r="S1764" s="50"/>
      <c r="T1764" s="51"/>
      <c r="U1764" s="49"/>
      <c r="V1764" s="51"/>
      <c r="W1764" s="51"/>
      <c r="X1764" s="53"/>
      <c r="Y1764" s="50"/>
      <c r="Z1764" s="51"/>
    </row>
    <row r="1765" spans="1:26" ht="14.45" customHeight="1" x14ac:dyDescent="0.25">
      <c r="A1765" s="47">
        <v>6267</v>
      </c>
      <c r="B1765" s="78">
        <v>45127</v>
      </c>
      <c r="C1765" s="47" t="s">
        <v>222</v>
      </c>
      <c r="D1765" s="49" t="s">
        <v>299</v>
      </c>
      <c r="E1765" s="47">
        <v>488270</v>
      </c>
      <c r="F1765" s="50" t="s">
        <v>89</v>
      </c>
      <c r="G1765" s="50" t="s">
        <v>89</v>
      </c>
      <c r="H1765" s="49">
        <v>412</v>
      </c>
      <c r="I1765" s="51"/>
      <c r="J1765" s="51">
        <v>4.45</v>
      </c>
      <c r="K1765" s="53">
        <f>Tabela6[[#This Row],[CONSUMO]]*Tabela6[[#This Row],[VALOR UNIT]]-Tabela6[[#This Row],[DESCONTO]]</f>
        <v>1833.4</v>
      </c>
      <c r="L1765" s="50">
        <v>4.45</v>
      </c>
      <c r="M1765" s="50">
        <f>Tabela6[[#This Row],[KM ATUAL]]-E1727</f>
        <v>120383</v>
      </c>
      <c r="N1765" s="51">
        <f>Tabela6[[#This Row],[KM Rodados ]]/Tabela6[[#This Row],[CONSUMO]]</f>
        <v>292.19174757281553</v>
      </c>
      <c r="O1765" s="48"/>
      <c r="P1765" s="47"/>
      <c r="Q1765" s="49"/>
      <c r="R1765" s="47"/>
      <c r="S1765" s="50"/>
      <c r="T1765" s="51"/>
      <c r="U1765" s="49"/>
      <c r="V1765" s="51"/>
      <c r="W1765" s="51"/>
      <c r="X1765" s="53"/>
      <c r="Y1765" s="50"/>
      <c r="Z1765" s="51"/>
    </row>
    <row r="1766" spans="1:26" ht="14.45" customHeight="1" x14ac:dyDescent="0.25">
      <c r="A1766" s="47">
        <v>6267</v>
      </c>
      <c r="B1766" s="78">
        <v>45127</v>
      </c>
      <c r="C1766" s="47" t="s">
        <v>22</v>
      </c>
      <c r="D1766" s="49" t="s">
        <v>299</v>
      </c>
      <c r="E1766" s="47">
        <v>330713</v>
      </c>
      <c r="F1766" s="50" t="s">
        <v>89</v>
      </c>
      <c r="G1766" s="51" t="s">
        <v>89</v>
      </c>
      <c r="H1766" s="49">
        <v>126</v>
      </c>
      <c r="I1766" s="51"/>
      <c r="J1766" s="51">
        <v>4.45</v>
      </c>
      <c r="K1766" s="53">
        <f>Tabela6[[#This Row],[CONSUMO]]*Tabela6[[#This Row],[VALOR UNIT]]-Tabela6[[#This Row],[DESCONTO]]</f>
        <v>560.70000000000005</v>
      </c>
      <c r="L1766" s="50">
        <v>4.45</v>
      </c>
      <c r="M1766" s="50">
        <f>Tabela6[[#This Row],[KM ATUAL]]-E1714</f>
        <v>201877</v>
      </c>
      <c r="N1766" s="51">
        <f>Tabela6[[#This Row],[KM Rodados ]]/Tabela6[[#This Row],[CONSUMO]]</f>
        <v>1602.1984126984128</v>
      </c>
      <c r="O1766" s="48"/>
      <c r="P1766" s="47"/>
      <c r="Q1766" s="49"/>
      <c r="R1766" s="47"/>
      <c r="S1766" s="50"/>
      <c r="T1766" s="51"/>
      <c r="U1766" s="49"/>
      <c r="V1766" s="51"/>
      <c r="W1766" s="51"/>
      <c r="X1766" s="53"/>
      <c r="Y1766" s="50"/>
      <c r="Z1766" s="51"/>
    </row>
    <row r="1767" spans="1:26" ht="14.45" customHeight="1" x14ac:dyDescent="0.25">
      <c r="A1767" s="47">
        <v>1082274</v>
      </c>
      <c r="B1767" s="78">
        <v>45127</v>
      </c>
      <c r="C1767" s="47" t="s">
        <v>70</v>
      </c>
      <c r="D1767" s="49" t="s">
        <v>281</v>
      </c>
      <c r="E1767" s="47">
        <v>216111</v>
      </c>
      <c r="F1767" s="50" t="s">
        <v>89</v>
      </c>
      <c r="G1767" s="50" t="s">
        <v>89</v>
      </c>
      <c r="H1767" s="49">
        <v>176.00800000000001</v>
      </c>
      <c r="I1767" s="51">
        <v>158.4</v>
      </c>
      <c r="J1767" s="51">
        <v>5.71</v>
      </c>
      <c r="K1767" s="51">
        <f>Tabela6[[#This Row],[CONSUMO]]*Tabela6[[#This Row],[VALOR UNIT]]-Tabela6[[#This Row],[DESCONTO]]</f>
        <v>846.60568000000012</v>
      </c>
      <c r="L1767" s="53">
        <f>Tabela6[[#This Row],[CUSTO TOTAL]]/Tabela6[[#This Row],[CONSUMO]]</f>
        <v>4.8100409072314898</v>
      </c>
      <c r="M1767" s="50">
        <f>Tabela6[[#This Row],[KM ATUAL]]-E1759</f>
        <v>-100300</v>
      </c>
      <c r="N1767" s="51">
        <f>Tabela6[[#This Row],[KM Rodados ]]/Tabela6[[#This Row],[CONSUMO]]</f>
        <v>-569.86046088814146</v>
      </c>
      <c r="O1767" s="48"/>
      <c r="P1767" s="47"/>
      <c r="Q1767" s="49"/>
      <c r="R1767" s="47"/>
      <c r="S1767" s="50"/>
      <c r="T1767" s="51"/>
      <c r="U1767" s="49"/>
      <c r="V1767" s="51"/>
      <c r="W1767" s="51"/>
      <c r="X1767" s="53"/>
      <c r="Y1767" s="50"/>
      <c r="Z1767" s="51"/>
    </row>
    <row r="1768" spans="1:26" ht="14.45" customHeight="1" x14ac:dyDescent="0.25">
      <c r="A1768" s="47">
        <v>6267</v>
      </c>
      <c r="B1768" s="78">
        <v>45127</v>
      </c>
      <c r="C1768" s="47" t="s">
        <v>41</v>
      </c>
      <c r="D1768" s="49" t="s">
        <v>299</v>
      </c>
      <c r="E1768" s="47">
        <v>667630</v>
      </c>
      <c r="F1768" s="50" t="s">
        <v>89</v>
      </c>
      <c r="G1768" s="50" t="s">
        <v>89</v>
      </c>
      <c r="H1768" s="49">
        <v>120</v>
      </c>
      <c r="I1768" s="51"/>
      <c r="J1768" s="51">
        <v>4.45</v>
      </c>
      <c r="K1768" s="52">
        <f>Tabela6[[#This Row],[CONSUMO]]*Tabela6[[#This Row],[VALOR UNIT]]-Tabela6[[#This Row],[DESCONTO]]</f>
        <v>534</v>
      </c>
      <c r="L1768" s="53">
        <f>Tabela6[[#This Row],[CUSTO TOTAL]]/Tabela6[[#This Row],[CONSUMO]]</f>
        <v>4.45</v>
      </c>
      <c r="M1768" s="50">
        <f>Tabela6[[#This Row],[KM ATUAL]]-E1760</f>
        <v>406888</v>
      </c>
      <c r="N1768" s="51">
        <f>Tabela6[[#This Row],[KM Rodados ]]/Tabela6[[#This Row],[CONSUMO]]</f>
        <v>3390.7333333333331</v>
      </c>
      <c r="O1768" s="48"/>
      <c r="P1768" s="47"/>
      <c r="Q1768" s="49"/>
      <c r="R1768" s="47"/>
      <c r="S1768" s="50"/>
      <c r="T1768" s="51"/>
      <c r="U1768" s="49"/>
      <c r="V1768" s="51"/>
      <c r="W1768" s="51"/>
      <c r="X1768" s="53"/>
      <c r="Y1768" s="50"/>
      <c r="Z1768" s="51"/>
    </row>
    <row r="1769" spans="1:26" ht="14.45" customHeight="1" x14ac:dyDescent="0.25">
      <c r="A1769" s="47" t="s">
        <v>314</v>
      </c>
      <c r="B1769" s="78">
        <v>45127</v>
      </c>
      <c r="C1769" s="47" t="s">
        <v>10</v>
      </c>
      <c r="E1769" s="47">
        <v>718641</v>
      </c>
      <c r="F1769" s="50"/>
      <c r="G1769" s="50" t="s">
        <v>89</v>
      </c>
      <c r="H1769" s="51">
        <v>201</v>
      </c>
      <c r="I1769" s="51"/>
      <c r="K1769" s="53">
        <f>Tabela6[[#This Row],[CONSUMO]]*Tabela6[[#This Row],[VALOR UNIT]]-Tabela6[[#This Row],[DESCONTO]]</f>
        <v>0</v>
      </c>
      <c r="L1769" s="53">
        <f>Tabela6[[#This Row],[CUSTO TOTAL]]/Tabela6[[#This Row],[CONSUMO]]</f>
        <v>0</v>
      </c>
      <c r="M1769" s="50">
        <f>Tabela6[[#This Row],[KM ATUAL]]-E1747</f>
        <v>358634</v>
      </c>
      <c r="N1769" s="86">
        <f>Tabela6[[#This Row],[KM Rodados ]]/Tabela6[[#This Row],[CONSUMO]]</f>
        <v>1784.2487562189056</v>
      </c>
      <c r="O1769" s="48"/>
      <c r="P1769" s="47"/>
      <c r="Q1769" s="49"/>
      <c r="R1769" s="47"/>
      <c r="S1769" s="50"/>
      <c r="T1769" s="51"/>
      <c r="U1769" s="49"/>
      <c r="V1769" s="51"/>
      <c r="W1769" s="51"/>
      <c r="X1769" s="53"/>
      <c r="Y1769" s="50"/>
      <c r="Z1769" s="51"/>
    </row>
    <row r="1770" spans="1:26" ht="14.45" customHeight="1" x14ac:dyDescent="0.25">
      <c r="A1770" s="47" t="s">
        <v>314</v>
      </c>
      <c r="B1770" s="78">
        <v>45127</v>
      </c>
      <c r="C1770" s="47" t="s">
        <v>11</v>
      </c>
      <c r="E1770" s="47">
        <v>396776</v>
      </c>
      <c r="F1770" s="50"/>
      <c r="G1770" s="50" t="s">
        <v>89</v>
      </c>
      <c r="H1770" s="51">
        <v>89</v>
      </c>
      <c r="I1770" s="51"/>
      <c r="K1770" s="51">
        <f>Tabela6[[#This Row],[CONSUMO]]*Tabela6[[#This Row],[VALOR UNIT]]-Tabela6[[#This Row],[DESCONTO]]</f>
        <v>0</v>
      </c>
      <c r="L1770" s="53">
        <f>Tabela6[[#This Row],[CUSTO TOTAL]]/Tabela6[[#This Row],[CONSUMO]]</f>
        <v>0</v>
      </c>
      <c r="M1770" s="50">
        <f>Tabela6[[#This Row],[KM ATUAL]]-E1719</f>
        <v>293094</v>
      </c>
      <c r="N1770" s="51">
        <f>Tabela6[[#This Row],[KM Rodados ]]/Tabela6[[#This Row],[CONSUMO]]</f>
        <v>3293.1910112359551</v>
      </c>
      <c r="O1770" s="48"/>
      <c r="P1770" s="47"/>
      <c r="Q1770" s="49"/>
      <c r="R1770" s="47"/>
      <c r="S1770" s="50"/>
      <c r="T1770" s="51"/>
      <c r="U1770" s="49"/>
      <c r="V1770" s="51"/>
      <c r="W1770" s="51"/>
      <c r="X1770" s="53"/>
      <c r="Y1770" s="50"/>
      <c r="Z1770" s="51"/>
    </row>
    <row r="1771" spans="1:26" ht="14.45" customHeight="1" x14ac:dyDescent="0.25">
      <c r="A1771" s="47">
        <v>6267</v>
      </c>
      <c r="B1771" s="78">
        <v>45127</v>
      </c>
      <c r="C1771" s="47" t="s">
        <v>13</v>
      </c>
      <c r="D1771" s="49" t="s">
        <v>299</v>
      </c>
      <c r="E1771" s="47">
        <v>634629</v>
      </c>
      <c r="F1771" s="50" t="s">
        <v>89</v>
      </c>
      <c r="G1771" s="50" t="s">
        <v>89</v>
      </c>
      <c r="H1771" s="49">
        <v>62</v>
      </c>
      <c r="I1771" s="51"/>
      <c r="J1771" s="51">
        <v>4.45</v>
      </c>
      <c r="K1771" s="51">
        <f>Tabela6[[#This Row],[CONSUMO]]*Tabela6[[#This Row],[VALOR UNIT]]-Tabela6[[#This Row],[DESCONTO]]</f>
        <v>275.90000000000003</v>
      </c>
      <c r="L1771" s="53">
        <f>Tabela6[[#This Row],[CUSTO TOTAL]]/Tabela6[[#This Row],[CONSUMO]]</f>
        <v>4.45</v>
      </c>
      <c r="M1771" s="50">
        <f>Tabela6[[#This Row],[KM ATUAL]]-E1764</f>
        <v>266469</v>
      </c>
      <c r="N1771" s="51">
        <f>Tabela6[[#This Row],[KM Rodados ]]/Tabela6[[#This Row],[CONSUMO]]</f>
        <v>4297.8870967741932</v>
      </c>
      <c r="O1771" s="48"/>
      <c r="P1771" s="47"/>
      <c r="Q1771" s="49"/>
      <c r="R1771" s="47"/>
      <c r="S1771" s="50"/>
      <c r="T1771" s="51"/>
      <c r="U1771" s="49"/>
      <c r="V1771" s="51"/>
      <c r="W1771" s="51"/>
      <c r="X1771" s="53"/>
      <c r="Y1771" s="50"/>
      <c r="Z1771" s="51"/>
    </row>
    <row r="1772" spans="1:26" ht="14.45" customHeight="1" x14ac:dyDescent="0.25">
      <c r="A1772" s="47">
        <v>827731</v>
      </c>
      <c r="B1772" s="78">
        <v>45127</v>
      </c>
      <c r="C1772" s="47" t="s">
        <v>15</v>
      </c>
      <c r="D1772" s="49" t="s">
        <v>293</v>
      </c>
      <c r="E1772" s="47">
        <v>374824</v>
      </c>
      <c r="F1772" s="50" t="s">
        <v>89</v>
      </c>
      <c r="G1772" s="50" t="s">
        <v>89</v>
      </c>
      <c r="H1772" s="49">
        <v>101.46</v>
      </c>
      <c r="I1772" s="51"/>
      <c r="J1772" s="51">
        <v>5.29</v>
      </c>
      <c r="K1772" s="52">
        <f>Tabela6[[#This Row],[CONSUMO]]*Tabela6[[#This Row],[VALOR UNIT]]-Tabela6[[#This Row],[DESCONTO]]</f>
        <v>536.72339999999997</v>
      </c>
      <c r="L1772" s="53">
        <f>Tabela6[[#This Row],[CUSTO TOTAL]]/Tabela6[[#This Row],[CONSUMO]]</f>
        <v>5.29</v>
      </c>
      <c r="M1772" s="50">
        <f>Tabela6[[#This Row],[KM ATUAL]]-E1746</f>
        <v>74885</v>
      </c>
      <c r="N1772" s="51">
        <f>Tabela6[[#This Row],[KM Rodados ]]/Tabela6[[#This Row],[CONSUMO]]</f>
        <v>738.07411787896717</v>
      </c>
      <c r="O1772" s="48"/>
      <c r="P1772" s="47"/>
      <c r="Q1772" s="49"/>
      <c r="R1772" s="47"/>
      <c r="S1772" s="50"/>
      <c r="T1772" s="51"/>
      <c r="U1772" s="49"/>
      <c r="V1772" s="51"/>
      <c r="W1772" s="51"/>
      <c r="X1772" s="53"/>
      <c r="Y1772" s="50"/>
      <c r="Z1772" s="51"/>
    </row>
    <row r="1773" spans="1:26" ht="14.45" customHeight="1" x14ac:dyDescent="0.25">
      <c r="A1773" s="47">
        <v>6267</v>
      </c>
      <c r="B1773" s="78">
        <v>45127</v>
      </c>
      <c r="C1773" s="47" t="s">
        <v>20</v>
      </c>
      <c r="D1773" s="49" t="s">
        <v>299</v>
      </c>
      <c r="E1773" s="47">
        <v>261220</v>
      </c>
      <c r="F1773" s="50" t="s">
        <v>89</v>
      </c>
      <c r="G1773" s="50" t="s">
        <v>89</v>
      </c>
      <c r="H1773" s="49">
        <v>65</v>
      </c>
      <c r="I1773" s="51"/>
      <c r="J1773" s="51">
        <v>4.45</v>
      </c>
      <c r="K1773" s="52">
        <f>Tabela6[[#This Row],[CONSUMO]]*Tabela6[[#This Row],[VALOR UNIT]]-Tabela6[[#This Row],[DESCONTO]]</f>
        <v>289.25</v>
      </c>
      <c r="L1773" s="53">
        <f>Tabela6[[#This Row],[CUSTO TOTAL]]/Tabela6[[#This Row],[CONSUMO]]</f>
        <v>4.45</v>
      </c>
      <c r="M1773" s="50">
        <f>Tabela6[[#This Row],[KM ATUAL]]-E1756</f>
        <v>-687357</v>
      </c>
      <c r="N1773" s="51">
        <f>Tabela6[[#This Row],[KM Rodados ]]/Tabela6[[#This Row],[CONSUMO]]</f>
        <v>-10574.723076923077</v>
      </c>
      <c r="O1773" s="48"/>
      <c r="P1773" s="47"/>
      <c r="Q1773" s="49"/>
      <c r="R1773" s="47"/>
      <c r="S1773" s="50"/>
      <c r="T1773" s="51"/>
      <c r="U1773" s="49"/>
      <c r="V1773" s="51"/>
      <c r="W1773" s="51"/>
      <c r="X1773" s="53"/>
      <c r="Y1773" s="50"/>
      <c r="Z1773" s="51"/>
    </row>
    <row r="1774" spans="1:26" ht="14.45" customHeight="1" x14ac:dyDescent="0.25">
      <c r="A1774" s="47" t="s">
        <v>314</v>
      </c>
      <c r="B1774" s="78">
        <v>45127</v>
      </c>
      <c r="C1774" s="47" t="s">
        <v>23</v>
      </c>
      <c r="E1774" s="47">
        <v>235792</v>
      </c>
      <c r="F1774" s="50"/>
      <c r="G1774" s="50" t="s">
        <v>89</v>
      </c>
      <c r="H1774" s="51">
        <v>82.36</v>
      </c>
      <c r="I1774" s="51"/>
      <c r="K1774" s="53">
        <f>Tabela6[[#This Row],[CONSUMO]]*Tabela6[[#This Row],[VALOR UNIT]]-Tabela6[[#This Row],[DESCONTO]]</f>
        <v>0</v>
      </c>
      <c r="L1774" s="53">
        <f>Tabela6[[#This Row],[CUSTO TOTAL]]/Tabela6[[#This Row],[CONSUMO]]</f>
        <v>0</v>
      </c>
      <c r="M1774" s="50">
        <f>Tabela6[[#This Row],[KM ATUAL]]-E1760</f>
        <v>-24950</v>
      </c>
      <c r="N1774" s="51">
        <f>Tabela6[[#This Row],[KM Rodados ]]/Tabela6[[#This Row],[CONSUMO]]</f>
        <v>-302.93831957260807</v>
      </c>
      <c r="O1774" s="48"/>
      <c r="P1774" s="47"/>
      <c r="Q1774" s="49"/>
      <c r="R1774" s="47"/>
      <c r="S1774" s="50"/>
      <c r="T1774" s="51"/>
      <c r="U1774" s="49"/>
      <c r="V1774" s="51"/>
      <c r="W1774" s="51"/>
      <c r="X1774" s="53"/>
      <c r="Y1774" s="50"/>
      <c r="Z1774" s="51"/>
    </row>
    <row r="1775" spans="1:26" ht="14.45" customHeight="1" x14ac:dyDescent="0.25">
      <c r="A1775" s="47" t="s">
        <v>314</v>
      </c>
      <c r="B1775" s="78">
        <v>45127</v>
      </c>
      <c r="C1775" s="47" t="s">
        <v>74</v>
      </c>
      <c r="E1775" s="47">
        <v>65971</v>
      </c>
      <c r="F1775" s="50"/>
      <c r="G1775" s="50" t="s">
        <v>89</v>
      </c>
      <c r="H1775" s="51">
        <v>63.52</v>
      </c>
      <c r="I1775" s="51"/>
      <c r="K1775" s="52">
        <f>Tabela6[[#This Row],[CONSUMO]]*Tabela6[[#This Row],[VALOR UNIT]]-Tabela6[[#This Row],[DESCONTO]]</f>
        <v>0</v>
      </c>
      <c r="L1775" s="53">
        <f>Tabela6[[#This Row],[CUSTO TOTAL]]/Tabela6[[#This Row],[CONSUMO]]</f>
        <v>0</v>
      </c>
      <c r="M1775" s="50">
        <f>Tabela6[[#This Row],[KM ATUAL]]-E1750</f>
        <v>-28281</v>
      </c>
      <c r="N1775" s="51">
        <f>Tabela6[[#This Row],[KM Rodados ]]/Tabela6[[#This Row],[CONSUMO]]</f>
        <v>-445.22984886649874</v>
      </c>
      <c r="O1775" s="48"/>
      <c r="P1775" s="47"/>
      <c r="Q1775" s="49"/>
      <c r="R1775" s="47"/>
      <c r="S1775" s="50"/>
      <c r="T1775" s="51"/>
      <c r="U1775" s="49"/>
      <c r="V1775" s="51"/>
      <c r="W1775" s="51"/>
      <c r="X1775" s="53"/>
      <c r="Y1775" s="50"/>
      <c r="Z1775" s="51"/>
    </row>
    <row r="1776" spans="1:26" ht="14.45" customHeight="1" x14ac:dyDescent="0.25">
      <c r="A1776" s="47">
        <v>6267</v>
      </c>
      <c r="B1776" s="78">
        <v>45128</v>
      </c>
      <c r="C1776" s="47" t="s">
        <v>67</v>
      </c>
      <c r="D1776" s="49" t="s">
        <v>299</v>
      </c>
      <c r="E1776" s="47">
        <v>672636</v>
      </c>
      <c r="F1776" s="50" t="s">
        <v>89</v>
      </c>
      <c r="G1776" s="51" t="s">
        <v>89</v>
      </c>
      <c r="H1776" s="49">
        <v>115</v>
      </c>
      <c r="I1776" s="51"/>
      <c r="J1776" s="51">
        <v>4.45</v>
      </c>
      <c r="K1776" s="53">
        <f>Tabela6[[#This Row],[CONSUMO]]*Tabela6[[#This Row],[VALOR UNIT]]-Tabela6[[#This Row],[DESCONTO]]</f>
        <v>511.75</v>
      </c>
      <c r="L1776" s="50">
        <v>4.45</v>
      </c>
      <c r="M1776" s="50">
        <f>Tabela6[[#This Row],[KM ATUAL]]-E1739</f>
        <v>607681</v>
      </c>
      <c r="N1776" s="51">
        <f>Tabela6[[#This Row],[KM Rodados ]]/Tabela6[[#This Row],[CONSUMO]]</f>
        <v>5284.1826086956526</v>
      </c>
      <c r="O1776" s="48"/>
      <c r="P1776" s="47"/>
      <c r="Q1776" s="49"/>
      <c r="R1776" s="47"/>
      <c r="S1776" s="50"/>
      <c r="T1776" s="51"/>
      <c r="U1776" s="49"/>
      <c r="V1776" s="51"/>
      <c r="W1776" s="51"/>
      <c r="X1776" s="53"/>
      <c r="Y1776" s="50"/>
      <c r="Z1776" s="51"/>
    </row>
    <row r="1777" spans="1:26" ht="14.45" customHeight="1" x14ac:dyDescent="0.25">
      <c r="A1777" s="47">
        <v>6267</v>
      </c>
      <c r="B1777" s="78">
        <v>45128</v>
      </c>
      <c r="C1777" s="47" t="s">
        <v>39</v>
      </c>
      <c r="D1777" s="49" t="s">
        <v>299</v>
      </c>
      <c r="E1777" s="47">
        <v>94686</v>
      </c>
      <c r="F1777" s="50" t="s">
        <v>89</v>
      </c>
      <c r="G1777" s="50" t="s">
        <v>89</v>
      </c>
      <c r="H1777" s="51">
        <v>80</v>
      </c>
      <c r="I1777" s="51"/>
      <c r="J1777" s="51">
        <v>4.45</v>
      </c>
      <c r="K1777" s="53">
        <f>Tabela6[[#This Row],[CONSUMO]]*Tabela6[[#This Row],[VALOR UNIT]]-Tabela6[[#This Row],[DESCONTO]]</f>
        <v>356</v>
      </c>
      <c r="L1777" s="50">
        <v>4.45</v>
      </c>
      <c r="M1777" s="50">
        <f>Tabela6[[#This Row],[KM ATUAL]]-E1752</f>
        <v>-18017</v>
      </c>
      <c r="N1777" s="51">
        <f>Tabela6[[#This Row],[KM Rodados ]]/Tabela6[[#This Row],[CONSUMO]]</f>
        <v>-225.21250000000001</v>
      </c>
      <c r="O1777" s="48"/>
      <c r="P1777" s="47"/>
      <c r="Q1777" s="49"/>
      <c r="R1777" s="47"/>
      <c r="S1777" s="50"/>
      <c r="T1777" s="51"/>
      <c r="U1777" s="49"/>
      <c r="V1777" s="51"/>
      <c r="W1777" s="51"/>
      <c r="X1777" s="53"/>
      <c r="Y1777" s="50"/>
      <c r="Z1777" s="51"/>
    </row>
    <row r="1778" spans="1:26" ht="14.45" customHeight="1" x14ac:dyDescent="0.25">
      <c r="A1778" s="47">
        <v>6267</v>
      </c>
      <c r="B1778" s="78">
        <v>45128</v>
      </c>
      <c r="C1778" s="47" t="s">
        <v>64</v>
      </c>
      <c r="D1778" s="49" t="s">
        <v>299</v>
      </c>
      <c r="E1778" s="47">
        <v>83565</v>
      </c>
      <c r="F1778" s="50" t="s">
        <v>89</v>
      </c>
      <c r="G1778" s="50" t="s">
        <v>89</v>
      </c>
      <c r="H1778" s="49">
        <v>97</v>
      </c>
      <c r="I1778" s="51"/>
      <c r="J1778" s="51">
        <v>4.45</v>
      </c>
      <c r="K1778" s="51">
        <f>Tabela6[[#This Row],[CONSUMO]]*Tabela6[[#This Row],[VALOR UNIT]]-Tabela6[[#This Row],[DESCONTO]]</f>
        <v>431.65000000000003</v>
      </c>
      <c r="L1778" s="53">
        <f>Tabela6[[#This Row],[CUSTO TOTAL]]/Tabela6[[#This Row],[CONSUMO]]</f>
        <v>4.45</v>
      </c>
      <c r="M1778" s="50">
        <f>Tabela6[[#This Row],[KM ATUAL]]-E1738</f>
        <v>-51294</v>
      </c>
      <c r="N1778" s="51">
        <f>Tabela6[[#This Row],[KM Rodados ]]/Tabela6[[#This Row],[CONSUMO]]</f>
        <v>-528.80412371134025</v>
      </c>
      <c r="O1778" s="48"/>
      <c r="P1778" s="47"/>
      <c r="Q1778" s="49"/>
      <c r="R1778" s="47"/>
      <c r="S1778" s="50"/>
      <c r="T1778" s="51"/>
      <c r="U1778" s="49"/>
      <c r="V1778" s="51"/>
      <c r="W1778" s="51"/>
      <c r="X1778" s="53"/>
      <c r="Y1778" s="50"/>
      <c r="Z1778" s="51"/>
    </row>
    <row r="1779" spans="1:26" ht="14.45" customHeight="1" x14ac:dyDescent="0.25">
      <c r="A1779" s="47">
        <v>6267</v>
      </c>
      <c r="B1779" s="78">
        <v>45128</v>
      </c>
      <c r="C1779" s="47" t="s">
        <v>21</v>
      </c>
      <c r="D1779" s="49" t="s">
        <v>299</v>
      </c>
      <c r="E1779" s="47">
        <v>148246</v>
      </c>
      <c r="F1779" s="50" t="s">
        <v>89</v>
      </c>
      <c r="G1779" s="50" t="s">
        <v>89</v>
      </c>
      <c r="H1779" s="49">
        <v>75</v>
      </c>
      <c r="I1779" s="51"/>
      <c r="J1779" s="51">
        <v>4.45</v>
      </c>
      <c r="K1779" s="52">
        <f>Tabela6[[#This Row],[CONSUMO]]*Tabela6[[#This Row],[VALOR UNIT]]-Tabela6[[#This Row],[DESCONTO]]</f>
        <v>333.75</v>
      </c>
      <c r="L1779" s="53">
        <f>Tabela6[[#This Row],[CUSTO TOTAL]]/Tabela6[[#This Row],[CONSUMO]]</f>
        <v>4.45</v>
      </c>
      <c r="M1779" s="50">
        <f>Tabela6[[#This Row],[KM ATUAL]]-E1757</f>
        <v>-168282</v>
      </c>
      <c r="N1779" s="51">
        <f>Tabela6[[#This Row],[KM Rodados ]]/Tabela6[[#This Row],[CONSUMO]]</f>
        <v>-2243.7600000000002</v>
      </c>
      <c r="O1779" s="48"/>
      <c r="P1779" s="47"/>
      <c r="Q1779" s="49"/>
      <c r="R1779" s="47"/>
      <c r="S1779" s="50"/>
      <c r="T1779" s="51"/>
      <c r="U1779" s="49"/>
      <c r="V1779" s="51"/>
      <c r="W1779" s="51"/>
      <c r="X1779" s="53"/>
      <c r="Y1779" s="50"/>
      <c r="Z1779" s="51"/>
    </row>
    <row r="1780" spans="1:26" ht="14.45" customHeight="1" x14ac:dyDescent="0.25">
      <c r="A1780" s="47">
        <v>421510</v>
      </c>
      <c r="B1780" s="78">
        <v>45128</v>
      </c>
      <c r="C1780" s="47" t="s">
        <v>12</v>
      </c>
      <c r="D1780" s="49" t="s">
        <v>253</v>
      </c>
      <c r="E1780" s="47">
        <v>316940</v>
      </c>
      <c r="F1780" s="50" t="s">
        <v>89</v>
      </c>
      <c r="G1780" s="50" t="s">
        <v>89</v>
      </c>
      <c r="H1780" s="49">
        <v>60.8</v>
      </c>
      <c r="I1780" s="51"/>
      <c r="J1780" s="51">
        <v>5.19</v>
      </c>
      <c r="K1780" s="51">
        <f>Tabela6[[#This Row],[CONSUMO]]*Tabela6[[#This Row],[VALOR UNIT]]-Tabela6[[#This Row],[DESCONTO]]</f>
        <v>315.55200000000002</v>
      </c>
      <c r="L1780" s="53">
        <f>Tabela6[[#This Row],[CUSTO TOTAL]]/Tabela6[[#This Row],[CONSUMO]]</f>
        <v>5.19</v>
      </c>
      <c r="M1780" s="50">
        <f>Tabela6[[#This Row],[KM ATUAL]]-E1760</f>
        <v>56198</v>
      </c>
      <c r="N1780" s="51">
        <f>Tabela6[[#This Row],[KM Rodados ]]/Tabela6[[#This Row],[CONSUMO]]</f>
        <v>924.30921052631584</v>
      </c>
      <c r="O1780" s="48"/>
      <c r="P1780" s="47"/>
      <c r="Q1780" s="49"/>
      <c r="R1780" s="47"/>
      <c r="S1780" s="50"/>
      <c r="T1780" s="51"/>
      <c r="U1780" s="49"/>
      <c r="V1780" s="51"/>
      <c r="W1780" s="51"/>
      <c r="X1780" s="53"/>
      <c r="Y1780" s="50"/>
      <c r="Z1780" s="51"/>
    </row>
    <row r="1781" spans="1:26" ht="14.45" customHeight="1" x14ac:dyDescent="0.25">
      <c r="A1781" s="47">
        <v>701221</v>
      </c>
      <c r="B1781" s="78">
        <v>45128</v>
      </c>
      <c r="C1781" s="47" t="s">
        <v>13</v>
      </c>
      <c r="D1781" s="49" t="s">
        <v>264</v>
      </c>
      <c r="E1781" s="47">
        <v>635087</v>
      </c>
      <c r="F1781" s="50" t="s">
        <v>89</v>
      </c>
      <c r="G1781" s="50" t="s">
        <v>89</v>
      </c>
      <c r="H1781" s="49">
        <v>96.662000000000006</v>
      </c>
      <c r="I1781" s="51"/>
      <c r="J1781" s="51">
        <v>4.99</v>
      </c>
      <c r="K1781" s="51">
        <f>Tabela6[[#This Row],[CONSUMO]]*Tabela6[[#This Row],[VALOR UNIT]]-Tabela6[[#This Row],[DESCONTO]]</f>
        <v>482.34338000000002</v>
      </c>
      <c r="L1781" s="53">
        <f>Tabela6[[#This Row],[CUSTO TOTAL]]/Tabela6[[#This Row],[CONSUMO]]</f>
        <v>4.99</v>
      </c>
      <c r="M1781" s="50">
        <f>Tabela6[[#This Row],[KM ATUAL]]-E1773</f>
        <v>373867</v>
      </c>
      <c r="N1781" s="51">
        <f>Tabela6[[#This Row],[KM Rodados ]]/Tabela6[[#This Row],[CONSUMO]]</f>
        <v>3867.7763754112266</v>
      </c>
      <c r="O1781" s="48"/>
      <c r="P1781" s="47"/>
      <c r="Q1781" s="49"/>
      <c r="R1781" s="47"/>
      <c r="S1781" s="50"/>
      <c r="T1781" s="51"/>
      <c r="U1781" s="49"/>
      <c r="V1781" s="51"/>
      <c r="W1781" s="51"/>
      <c r="X1781" s="53"/>
      <c r="Y1781" s="50"/>
      <c r="Z1781" s="51"/>
    </row>
    <row r="1782" spans="1:26" ht="14.45" customHeight="1" x14ac:dyDescent="0.25">
      <c r="A1782" s="47">
        <v>6267</v>
      </c>
      <c r="B1782" s="78">
        <v>45128</v>
      </c>
      <c r="C1782" s="47" t="s">
        <v>15</v>
      </c>
      <c r="D1782" s="49" t="s">
        <v>299</v>
      </c>
      <c r="E1782" s="47">
        <v>375215</v>
      </c>
      <c r="F1782" s="50" t="s">
        <v>89</v>
      </c>
      <c r="G1782" s="50" t="s">
        <v>89</v>
      </c>
      <c r="H1782" s="49">
        <v>60</v>
      </c>
      <c r="I1782" s="51"/>
      <c r="J1782" s="51">
        <v>4.45</v>
      </c>
      <c r="K1782" s="52">
        <f>Tabela6[[#This Row],[CONSUMO]]*Tabela6[[#This Row],[VALOR UNIT]]-Tabela6[[#This Row],[DESCONTO]]</f>
        <v>267</v>
      </c>
      <c r="L1782" s="53">
        <f>Tabela6[[#This Row],[CUSTO TOTAL]]/Tabela6[[#This Row],[CONSUMO]]</f>
        <v>4.45</v>
      </c>
      <c r="M1782" s="50">
        <f>Tabela6[[#This Row],[KM ATUAL]]-E1763</f>
        <v>239311</v>
      </c>
      <c r="N1782" s="51">
        <f>Tabela6[[#This Row],[KM Rodados ]]/Tabela6[[#This Row],[CONSUMO]]</f>
        <v>3988.5166666666669</v>
      </c>
      <c r="O1782" s="48"/>
      <c r="P1782" s="47"/>
      <c r="Q1782" s="49"/>
      <c r="R1782" s="47"/>
      <c r="S1782" s="50"/>
      <c r="T1782" s="51"/>
      <c r="U1782" s="49"/>
      <c r="V1782" s="51"/>
      <c r="W1782" s="51"/>
      <c r="X1782" s="53"/>
      <c r="Y1782" s="50"/>
      <c r="Z1782" s="51"/>
    </row>
    <row r="1783" spans="1:26" ht="14.45" customHeight="1" x14ac:dyDescent="0.25">
      <c r="A1783" s="47">
        <v>6267</v>
      </c>
      <c r="B1783" s="78">
        <v>45128</v>
      </c>
      <c r="C1783" s="47" t="s">
        <v>17</v>
      </c>
      <c r="D1783" s="49" t="s">
        <v>299</v>
      </c>
      <c r="E1783" s="47">
        <v>360395</v>
      </c>
      <c r="F1783" s="50" t="s">
        <v>89</v>
      </c>
      <c r="G1783" s="50" t="s">
        <v>89</v>
      </c>
      <c r="H1783" s="51">
        <v>107</v>
      </c>
      <c r="I1783" s="51"/>
      <c r="J1783" s="51">
        <v>4.45</v>
      </c>
      <c r="K1783" s="51">
        <f>Tabela6[[#This Row],[CONSUMO]]*Tabela6[[#This Row],[VALOR UNIT]]-Tabela6[[#This Row],[DESCONTO]]</f>
        <v>476.15000000000003</v>
      </c>
      <c r="L1783" s="53">
        <f>Tabela6[[#This Row],[CUSTO TOTAL]]/Tabela6[[#This Row],[CONSUMO]]</f>
        <v>4.45</v>
      </c>
      <c r="M1783" s="50">
        <f>Tabela6[[#This Row],[KM ATUAL]]-E1742</f>
        <v>-311814</v>
      </c>
      <c r="N1783" s="51">
        <f>Tabela6[[#This Row],[KM Rodados ]]/Tabela6[[#This Row],[CONSUMO]]</f>
        <v>-2914.1495327102803</v>
      </c>
      <c r="O1783" s="48"/>
      <c r="P1783" s="47"/>
      <c r="Q1783" s="49"/>
      <c r="R1783" s="47"/>
      <c r="S1783" s="50"/>
      <c r="T1783" s="51"/>
      <c r="U1783" s="49"/>
      <c r="V1783" s="51"/>
      <c r="W1783" s="51"/>
      <c r="X1783" s="53"/>
      <c r="Y1783" s="50"/>
      <c r="Z1783" s="51"/>
    </row>
    <row r="1784" spans="1:26" ht="14.45" customHeight="1" x14ac:dyDescent="0.25">
      <c r="A1784" s="47">
        <v>6267</v>
      </c>
      <c r="B1784" s="78">
        <v>45128</v>
      </c>
      <c r="C1784" s="47" t="s">
        <v>19</v>
      </c>
      <c r="D1784" s="49" t="s">
        <v>299</v>
      </c>
      <c r="E1784" s="47">
        <v>317052</v>
      </c>
      <c r="F1784" s="50" t="s">
        <v>89</v>
      </c>
      <c r="G1784" s="50" t="s">
        <v>89</v>
      </c>
      <c r="H1784" s="51">
        <v>120</v>
      </c>
      <c r="I1784" s="51"/>
      <c r="J1784" s="51">
        <v>4.45</v>
      </c>
      <c r="K1784" s="51">
        <f>Tabela6[[#This Row],[CONSUMO]]*Tabela6[[#This Row],[VALOR UNIT]]-Tabela6[[#This Row],[DESCONTO]]</f>
        <v>534</v>
      </c>
      <c r="L1784" s="53">
        <f>Tabela6[[#This Row],[CUSTO TOTAL]]/Tabela6[[#This Row],[CONSUMO]]</f>
        <v>4.45</v>
      </c>
      <c r="M1784" s="50">
        <f>Tabela6[[#This Row],[KM ATUAL]]-E1753</f>
        <v>169134</v>
      </c>
      <c r="N1784" s="51">
        <f>Tabela6[[#This Row],[KM Rodados ]]/Tabela6[[#This Row],[CONSUMO]]</f>
        <v>1409.45</v>
      </c>
      <c r="O1784" s="48"/>
      <c r="P1784" s="47"/>
      <c r="Q1784" s="49"/>
      <c r="R1784" s="47"/>
      <c r="S1784" s="50"/>
      <c r="T1784" s="51"/>
      <c r="U1784" s="49"/>
      <c r="V1784" s="51"/>
      <c r="W1784" s="51"/>
      <c r="X1784" s="53"/>
      <c r="Y1784" s="50"/>
      <c r="Z1784" s="51"/>
    </row>
    <row r="1785" spans="1:26" ht="14.45" customHeight="1" x14ac:dyDescent="0.25">
      <c r="A1785" s="47" t="s">
        <v>314</v>
      </c>
      <c r="B1785" s="78">
        <v>45129</v>
      </c>
      <c r="C1785" s="47" t="s">
        <v>203</v>
      </c>
      <c r="E1785" s="47">
        <v>104457</v>
      </c>
      <c r="F1785" s="50"/>
      <c r="G1785" s="50" t="s">
        <v>244</v>
      </c>
      <c r="H1785" s="51">
        <v>48.52</v>
      </c>
      <c r="I1785" s="51"/>
      <c r="K1785" s="53">
        <f>Tabela6[[#This Row],[CONSUMO]]*Tabela6[[#This Row],[VALOR UNIT]]-Tabela6[[#This Row],[DESCONTO]]</f>
        <v>0</v>
      </c>
      <c r="L1785" s="53">
        <f>Tabela6[[#This Row],[CUSTO TOTAL]]/Tabela6[[#This Row],[CONSUMO]]</f>
        <v>0</v>
      </c>
      <c r="M1785" s="50">
        <f>Tabela6[[#This Row],[KM ATUAL]]-E1784</f>
        <v>-212595</v>
      </c>
      <c r="N1785" s="51">
        <f>Tabela6[[#This Row],[KM Rodados ]]/Tabela6[[#This Row],[CONSUMO]]</f>
        <v>-4381.5952184666112</v>
      </c>
      <c r="O1785" s="48"/>
      <c r="P1785" s="47"/>
      <c r="Q1785" s="49"/>
      <c r="R1785" s="47"/>
      <c r="S1785" s="50"/>
      <c r="T1785" s="51"/>
      <c r="U1785" s="49"/>
      <c r="V1785" s="51"/>
      <c r="W1785" s="51"/>
      <c r="X1785" s="53"/>
      <c r="Y1785" s="50"/>
      <c r="Z1785" s="51"/>
    </row>
    <row r="1786" spans="1:26" ht="14.45" customHeight="1" x14ac:dyDescent="0.25">
      <c r="A1786" s="47">
        <v>6267</v>
      </c>
      <c r="B1786" s="78">
        <v>45130</v>
      </c>
      <c r="C1786" s="47" t="s">
        <v>70</v>
      </c>
      <c r="D1786" s="49" t="s">
        <v>299</v>
      </c>
      <c r="E1786" s="47">
        <v>216462</v>
      </c>
      <c r="F1786" s="50" t="s">
        <v>89</v>
      </c>
      <c r="G1786" s="50" t="s">
        <v>89</v>
      </c>
      <c r="H1786" s="49">
        <v>129</v>
      </c>
      <c r="I1786" s="51"/>
      <c r="J1786" s="51">
        <v>4.45</v>
      </c>
      <c r="K1786" s="51">
        <f>Tabela6[[#This Row],[CONSUMO]]*Tabela6[[#This Row],[VALOR UNIT]]-Tabela6[[#This Row],[DESCONTO]]</f>
        <v>574.05000000000007</v>
      </c>
      <c r="L1786" s="53">
        <f>Tabela6[[#This Row],[CUSTO TOTAL]]/Tabela6[[#This Row],[CONSUMO]]</f>
        <v>4.45</v>
      </c>
      <c r="M1786" s="50">
        <f>Tabela6[[#This Row],[KM ATUAL]]-E1764</f>
        <v>-151698</v>
      </c>
      <c r="N1786" s="51">
        <f>Tabela6[[#This Row],[KM Rodados ]]/Tabela6[[#This Row],[CONSUMO]]</f>
        <v>-1175.953488372093</v>
      </c>
      <c r="O1786" s="48"/>
      <c r="P1786" s="47"/>
      <c r="Q1786" s="49"/>
      <c r="R1786" s="47"/>
      <c r="S1786" s="50"/>
      <c r="T1786" s="51"/>
      <c r="U1786" s="49"/>
      <c r="V1786" s="51"/>
      <c r="W1786" s="51"/>
      <c r="X1786" s="53"/>
      <c r="Y1786" s="50"/>
      <c r="Z1786" s="51"/>
    </row>
    <row r="1787" spans="1:26" ht="14.45" customHeight="1" x14ac:dyDescent="0.25">
      <c r="A1787" s="47">
        <v>379081</v>
      </c>
      <c r="B1787" s="78">
        <v>45130</v>
      </c>
      <c r="C1787" s="47" t="s">
        <v>19</v>
      </c>
      <c r="D1787" s="49" t="s">
        <v>281</v>
      </c>
      <c r="E1787" s="47">
        <v>317266</v>
      </c>
      <c r="F1787" s="50" t="s">
        <v>89</v>
      </c>
      <c r="G1787" s="50" t="s">
        <v>89</v>
      </c>
      <c r="H1787" s="51">
        <v>42.036999999999999</v>
      </c>
      <c r="I1787" s="51"/>
      <c r="J1787" s="51">
        <v>4.66</v>
      </c>
      <c r="K1787" s="51">
        <f>Tabela6[[#This Row],[CONSUMO]]*Tabela6[[#This Row],[VALOR UNIT]]-Tabela6[[#This Row],[DESCONTO]]</f>
        <v>195.89242000000002</v>
      </c>
      <c r="L1787" s="53">
        <f>Tabela6[[#This Row],[CUSTO TOTAL]]/Tabela6[[#This Row],[CONSUMO]]</f>
        <v>4.66</v>
      </c>
      <c r="M1787" s="50">
        <f>Tabela6[[#This Row],[KM ATUAL]]-E1784</f>
        <v>214</v>
      </c>
      <c r="N1787" s="51">
        <f>Tabela6[[#This Row],[KM Rodados ]]/Tabela6[[#This Row],[CONSUMO]]</f>
        <v>5.090753383923686</v>
      </c>
      <c r="O1787" s="48"/>
      <c r="P1787" s="47"/>
      <c r="Q1787" s="49"/>
      <c r="R1787" s="47"/>
      <c r="S1787" s="50"/>
      <c r="T1787" s="51"/>
      <c r="U1787" s="49"/>
      <c r="V1787" s="51"/>
      <c r="W1787" s="51"/>
      <c r="X1787" s="53"/>
      <c r="Y1787" s="50"/>
      <c r="Z1787" s="51"/>
    </row>
    <row r="1788" spans="1:26" ht="14.45" customHeight="1" x14ac:dyDescent="0.25">
      <c r="A1788" s="47">
        <v>6267</v>
      </c>
      <c r="B1788" s="78">
        <v>45131</v>
      </c>
      <c r="C1788" s="47" t="s">
        <v>68</v>
      </c>
      <c r="D1788" s="49" t="s">
        <v>299</v>
      </c>
      <c r="E1788" s="47">
        <v>901408</v>
      </c>
      <c r="F1788" s="50" t="s">
        <v>89</v>
      </c>
      <c r="G1788" s="51" t="s">
        <v>89</v>
      </c>
      <c r="H1788" s="49">
        <v>492</v>
      </c>
      <c r="I1788" s="51"/>
      <c r="J1788" s="51">
        <v>4.45</v>
      </c>
      <c r="K1788" s="51">
        <f>Tabela6[[#This Row],[CONSUMO]]*Tabela6[[#This Row],[VALOR UNIT]]-Tabela6[[#This Row],[DESCONTO]]</f>
        <v>2189.4</v>
      </c>
      <c r="L1788" s="53">
        <f>Tabela6[[#This Row],[CUSTO TOTAL]]/Tabela6[[#This Row],[CONSUMO]]</f>
        <v>4.45</v>
      </c>
      <c r="M1788" s="50">
        <f>Tabela6[[#This Row],[KM ATUAL]]-E1741</f>
        <v>765964</v>
      </c>
      <c r="N1788" s="51">
        <f>Tabela6[[#This Row],[KM Rodados ]]/Tabela6[[#This Row],[CONSUMO]]</f>
        <v>1556.8373983739837</v>
      </c>
      <c r="O1788" s="48"/>
      <c r="P1788" s="47"/>
      <c r="Q1788" s="49"/>
      <c r="R1788" s="47"/>
      <c r="S1788" s="50"/>
      <c r="T1788" s="51"/>
      <c r="U1788" s="49"/>
      <c r="V1788" s="51"/>
      <c r="W1788" s="51"/>
      <c r="X1788" s="53"/>
      <c r="Y1788" s="50"/>
      <c r="Z1788" s="51"/>
    </row>
    <row r="1789" spans="1:26" ht="14.45" customHeight="1" x14ac:dyDescent="0.25">
      <c r="A1789" s="47">
        <v>196507</v>
      </c>
      <c r="B1789" s="78">
        <v>45131</v>
      </c>
      <c r="C1789" s="47" t="s">
        <v>43</v>
      </c>
      <c r="D1789" s="49" t="s">
        <v>262</v>
      </c>
      <c r="E1789" s="47">
        <v>136045</v>
      </c>
      <c r="F1789" s="50" t="s">
        <v>89</v>
      </c>
      <c r="G1789" s="51" t="s">
        <v>89</v>
      </c>
      <c r="H1789" s="49">
        <v>18.23</v>
      </c>
      <c r="I1789" s="51"/>
      <c r="J1789" s="51">
        <v>4.79</v>
      </c>
      <c r="K1789" s="53">
        <f>Tabela6[[#This Row],[CONSUMO]]*Tabela6[[#This Row],[VALOR UNIT]]-Tabela6[[#This Row],[DESCONTO]]</f>
        <v>87.321700000000007</v>
      </c>
      <c r="L1789" s="50">
        <v>4.79</v>
      </c>
      <c r="M1789" s="51">
        <f>Tabela6[[#This Row],[KM ATUAL]]-E1771</f>
        <v>-498584</v>
      </c>
      <c r="N1789" s="51">
        <f>Tabela6[[#This Row],[KM Rodados ]]/Tabela6[[#This Row],[CONSUMO]]</f>
        <v>-27349.64344487109</v>
      </c>
      <c r="O1789" s="48"/>
      <c r="P1789" s="47"/>
      <c r="Q1789" s="49"/>
      <c r="R1789" s="47"/>
      <c r="S1789" s="50"/>
      <c r="T1789" s="51"/>
      <c r="U1789" s="49"/>
      <c r="V1789" s="51"/>
      <c r="W1789" s="51"/>
      <c r="X1789" s="53"/>
      <c r="Y1789" s="50"/>
      <c r="Z1789" s="51"/>
    </row>
    <row r="1790" spans="1:26" ht="14.45" customHeight="1" x14ac:dyDescent="0.25">
      <c r="A1790" s="47">
        <v>6267</v>
      </c>
      <c r="B1790" s="78">
        <v>45131</v>
      </c>
      <c r="C1790" s="47" t="s">
        <v>43</v>
      </c>
      <c r="D1790" s="49" t="s">
        <v>299</v>
      </c>
      <c r="E1790" s="47">
        <v>136487</v>
      </c>
      <c r="F1790" s="50" t="s">
        <v>89</v>
      </c>
      <c r="G1790" s="51" t="s">
        <v>89</v>
      </c>
      <c r="H1790" s="49">
        <v>48</v>
      </c>
      <c r="I1790" s="51"/>
      <c r="J1790" s="51">
        <v>4.45</v>
      </c>
      <c r="K1790" s="53">
        <f>Tabela6[[#This Row],[CONSUMO]]*Tabela6[[#This Row],[VALOR UNIT]]-Tabela6[[#This Row],[DESCONTO]]</f>
        <v>213.60000000000002</v>
      </c>
      <c r="L1790" s="50">
        <v>4.45</v>
      </c>
      <c r="M1790" s="51">
        <f>Tabela6[[#This Row],[KM ATUAL]]-E1787</f>
        <v>-180779</v>
      </c>
      <c r="N1790" s="51">
        <f>Tabela6[[#This Row],[KM Rodados ]]/Tabela6[[#This Row],[CONSUMO]]</f>
        <v>-3766.2291666666665</v>
      </c>
      <c r="O1790" s="48"/>
      <c r="P1790" s="47"/>
      <c r="Q1790" s="49"/>
      <c r="R1790" s="47"/>
      <c r="S1790" s="50"/>
      <c r="T1790" s="51"/>
      <c r="U1790" s="49"/>
      <c r="V1790" s="51"/>
      <c r="W1790" s="51"/>
      <c r="X1790" s="53"/>
      <c r="Y1790" s="50"/>
      <c r="Z1790" s="51"/>
    </row>
    <row r="1791" spans="1:26" ht="14.45" customHeight="1" x14ac:dyDescent="0.25">
      <c r="A1791" s="47" t="s">
        <v>314</v>
      </c>
      <c r="B1791" s="78">
        <v>45131</v>
      </c>
      <c r="C1791" s="47" t="s">
        <v>43</v>
      </c>
      <c r="E1791" s="47">
        <v>136787</v>
      </c>
      <c r="F1791" s="50"/>
      <c r="G1791" s="51" t="s">
        <v>89</v>
      </c>
      <c r="H1791" s="49">
        <v>41</v>
      </c>
      <c r="I1791" s="51"/>
      <c r="K1791" s="53">
        <f>Tabela6[[#This Row],[CONSUMO]]*Tabela6[[#This Row],[VALOR UNIT]]-Tabela6[[#This Row],[DESCONTO]]</f>
        <v>0</v>
      </c>
      <c r="L1791" s="50">
        <f>Tabela6[[#This Row],[CUSTO TOTAL]]/Tabela6[[#This Row],[CONSUMO]]</f>
        <v>0</v>
      </c>
      <c r="M1791" s="51">
        <f>Tabela6[[#This Row],[KM ATUAL]]-E1788</f>
        <v>-764621</v>
      </c>
      <c r="N1791" s="51">
        <f>Tabela6[[#This Row],[KM Rodados ]]/Tabela6[[#This Row],[CONSUMO]]</f>
        <v>-18649.292682926829</v>
      </c>
      <c r="O1791" s="48"/>
      <c r="P1791" s="47"/>
      <c r="Q1791" s="49"/>
      <c r="R1791" s="47"/>
      <c r="S1791" s="50"/>
      <c r="T1791" s="51"/>
      <c r="U1791" s="49"/>
      <c r="V1791" s="51"/>
      <c r="W1791" s="51"/>
      <c r="X1791" s="53"/>
      <c r="Y1791" s="50"/>
      <c r="Z1791" s="51"/>
    </row>
    <row r="1792" spans="1:26" ht="14.45" customHeight="1" x14ac:dyDescent="0.25">
      <c r="A1792" s="47">
        <v>578121</v>
      </c>
      <c r="B1792" s="78">
        <v>45131</v>
      </c>
      <c r="C1792" s="47" t="s">
        <v>70</v>
      </c>
      <c r="D1792" s="49" t="s">
        <v>275</v>
      </c>
      <c r="E1792" s="47">
        <v>216989</v>
      </c>
      <c r="F1792" s="50" t="s">
        <v>89</v>
      </c>
      <c r="G1792" s="50" t="s">
        <v>89</v>
      </c>
      <c r="H1792" s="49">
        <v>195</v>
      </c>
      <c r="I1792" s="51"/>
      <c r="J1792" s="51">
        <v>4.79</v>
      </c>
      <c r="K1792" s="51">
        <f>Tabela6[[#This Row],[CONSUMO]]*Tabela6[[#This Row],[VALOR UNIT]]-Tabela6[[#This Row],[DESCONTO]]</f>
        <v>934.05</v>
      </c>
      <c r="L1792" s="53">
        <f>Tabela6[[#This Row],[CUSTO TOTAL]]/Tabela6[[#This Row],[CONSUMO]]</f>
        <v>4.79</v>
      </c>
      <c r="M1792" s="50">
        <f>Tabela6[[#This Row],[KM ATUAL]]-E1788</f>
        <v>-684419</v>
      </c>
      <c r="N1792" s="51">
        <f>Tabela6[[#This Row],[KM Rodados ]]/Tabela6[[#This Row],[CONSUMO]]</f>
        <v>-3509.8410256410257</v>
      </c>
      <c r="O1792" s="48"/>
      <c r="P1792" s="47"/>
      <c r="Q1792" s="49"/>
      <c r="R1792" s="47"/>
      <c r="S1792" s="50"/>
      <c r="T1792" s="51"/>
      <c r="U1792" s="49"/>
      <c r="V1792" s="51"/>
      <c r="W1792" s="51"/>
      <c r="X1792" s="53"/>
      <c r="Y1792" s="50"/>
      <c r="Z1792" s="51"/>
    </row>
    <row r="1793" spans="1:26" ht="14.45" customHeight="1" x14ac:dyDescent="0.25">
      <c r="A1793" s="47">
        <v>6267</v>
      </c>
      <c r="B1793" s="78">
        <v>45131</v>
      </c>
      <c r="C1793" s="47" t="s">
        <v>73</v>
      </c>
      <c r="D1793" s="49" t="s">
        <v>299</v>
      </c>
      <c r="E1793" s="47">
        <v>130139</v>
      </c>
      <c r="F1793" s="50" t="s">
        <v>89</v>
      </c>
      <c r="G1793" s="50" t="s">
        <v>89</v>
      </c>
      <c r="H1793" s="51">
        <v>170</v>
      </c>
      <c r="I1793" s="51"/>
      <c r="J1793" s="51">
        <v>4.45</v>
      </c>
      <c r="K1793" s="52">
        <f>Tabela6[[#This Row],[CONSUMO]]*Tabela6[[#This Row],[VALOR UNIT]]-Tabela6[[#This Row],[DESCONTO]]</f>
        <v>756.5</v>
      </c>
      <c r="L1793" s="53">
        <f>Tabela6[[#This Row],[CUSTO TOTAL]]/Tabela6[[#This Row],[CONSUMO]]</f>
        <v>4.45</v>
      </c>
      <c r="M1793" s="50">
        <f>Tabela6[[#This Row],[KM ATUAL]]-E1746</f>
        <v>-169800</v>
      </c>
      <c r="N1793" s="51">
        <f>Tabela6[[#This Row],[KM Rodados ]]/Tabela6[[#This Row],[CONSUMO]]</f>
        <v>-998.82352941176475</v>
      </c>
      <c r="O1793" s="48"/>
      <c r="P1793" s="47"/>
      <c r="Q1793" s="49"/>
      <c r="R1793" s="47"/>
      <c r="S1793" s="50"/>
      <c r="T1793" s="51"/>
      <c r="U1793" s="49"/>
      <c r="V1793" s="51"/>
      <c r="W1793" s="51"/>
      <c r="X1793" s="53"/>
      <c r="Y1793" s="50"/>
      <c r="Z1793" s="51"/>
    </row>
    <row r="1794" spans="1:26" ht="14.45" customHeight="1" x14ac:dyDescent="0.25">
      <c r="A1794" s="47">
        <v>6267</v>
      </c>
      <c r="B1794" s="78">
        <v>45131</v>
      </c>
      <c r="C1794" s="47" t="s">
        <v>13</v>
      </c>
      <c r="D1794" s="49" t="s">
        <v>299</v>
      </c>
      <c r="E1794" s="47">
        <v>635482</v>
      </c>
      <c r="F1794" s="50"/>
      <c r="G1794" s="50" t="s">
        <v>89</v>
      </c>
      <c r="H1794" s="49">
        <v>102</v>
      </c>
      <c r="I1794" s="51"/>
      <c r="J1794" s="51">
        <v>4.45</v>
      </c>
      <c r="K1794" s="52">
        <f>Tabela6[[#This Row],[CONSUMO]]*Tabela6[[#This Row],[VALOR UNIT]]-Tabela6[[#This Row],[DESCONTO]]</f>
        <v>453.90000000000003</v>
      </c>
      <c r="L1794" s="53">
        <f>Tabela6[[#This Row],[CUSTO TOTAL]]/Tabela6[[#This Row],[CONSUMO]]</f>
        <v>4.45</v>
      </c>
      <c r="M1794" s="50">
        <f>Tabela6[[#This Row],[KM ATUAL]]-E1783</f>
        <v>275087</v>
      </c>
      <c r="N1794" s="51">
        <f>Tabela6[[#This Row],[KM Rodados ]]/Tabela6[[#This Row],[CONSUMO]]</f>
        <v>2696.9313725490197</v>
      </c>
      <c r="O1794" s="48"/>
      <c r="P1794" s="47"/>
      <c r="Q1794" s="49"/>
      <c r="R1794" s="47"/>
      <c r="S1794" s="50"/>
      <c r="T1794" s="51"/>
      <c r="U1794" s="49"/>
      <c r="V1794" s="51"/>
      <c r="W1794" s="51"/>
      <c r="X1794" s="53"/>
      <c r="Y1794" s="50"/>
      <c r="Z1794" s="51"/>
    </row>
    <row r="1795" spans="1:26" ht="14.45" customHeight="1" x14ac:dyDescent="0.25">
      <c r="A1795" s="47">
        <v>477110</v>
      </c>
      <c r="B1795" s="78">
        <v>45131</v>
      </c>
      <c r="C1795" s="47" t="s">
        <v>13</v>
      </c>
      <c r="D1795" s="49" t="s">
        <v>306</v>
      </c>
      <c r="E1795" s="47">
        <v>635832</v>
      </c>
      <c r="F1795" s="50" t="s">
        <v>89</v>
      </c>
      <c r="G1795" s="50" t="s">
        <v>89</v>
      </c>
      <c r="H1795" s="49">
        <v>73.61</v>
      </c>
      <c r="I1795" s="51"/>
      <c r="J1795" s="51">
        <v>4.9400000000000004</v>
      </c>
      <c r="K1795" s="51">
        <f>Tabela6[[#This Row],[CONSUMO]]*Tabela6[[#This Row],[VALOR UNIT]]-Tabela6[[#This Row],[DESCONTO]]</f>
        <v>363.63340000000005</v>
      </c>
      <c r="L1795" s="53">
        <f>Tabela6[[#This Row],[CUSTO TOTAL]]/Tabela6[[#This Row],[CONSUMO]]</f>
        <v>4.9400000000000004</v>
      </c>
      <c r="M1795" s="50">
        <f>Tabela6[[#This Row],[KM ATUAL]]-E1794</f>
        <v>350</v>
      </c>
      <c r="N1795" s="51">
        <f>Tabela6[[#This Row],[KM Rodados ]]/Tabela6[[#This Row],[CONSUMO]]</f>
        <v>4.7547887515283254</v>
      </c>
      <c r="O1795" s="48"/>
      <c r="P1795" s="47"/>
      <c r="Q1795" s="49"/>
      <c r="R1795" s="47"/>
      <c r="S1795" s="50"/>
      <c r="T1795" s="51"/>
      <c r="U1795" s="49"/>
      <c r="V1795" s="51"/>
      <c r="W1795" s="51"/>
      <c r="X1795" s="53"/>
      <c r="Y1795" s="50"/>
      <c r="Z1795" s="51"/>
    </row>
    <row r="1796" spans="1:26" ht="14.45" customHeight="1" x14ac:dyDescent="0.25">
      <c r="A1796" s="47">
        <v>6267</v>
      </c>
      <c r="B1796" s="78">
        <v>45131</v>
      </c>
      <c r="C1796" s="47" t="s">
        <v>23</v>
      </c>
      <c r="D1796" s="49" t="s">
        <v>299</v>
      </c>
      <c r="E1796" s="47">
        <v>236401</v>
      </c>
      <c r="F1796" s="50" t="s">
        <v>89</v>
      </c>
      <c r="G1796" s="50" t="s">
        <v>89</v>
      </c>
      <c r="H1796" s="49">
        <v>137</v>
      </c>
      <c r="I1796" s="51"/>
      <c r="J1796" s="51">
        <v>4.45</v>
      </c>
      <c r="K1796" s="51">
        <f>Tabela6[[#This Row],[CONSUMO]]*Tabela6[[#This Row],[VALOR UNIT]]-Tabela6[[#This Row],[DESCONTO]]</f>
        <v>609.65</v>
      </c>
      <c r="L1796" s="53">
        <f>Tabela6[[#This Row],[CUSTO TOTAL]]/Tabela6[[#This Row],[CONSUMO]]</f>
        <v>4.45</v>
      </c>
      <c r="M1796" s="50">
        <f>Tabela6[[#This Row],[KM ATUAL]]-E1776</f>
        <v>-436235</v>
      </c>
      <c r="N1796" s="51">
        <f>Tabela6[[#This Row],[KM Rodados ]]/Tabela6[[#This Row],[CONSUMO]]</f>
        <v>-3184.1970802919709</v>
      </c>
      <c r="O1796" s="48"/>
      <c r="P1796" s="47"/>
      <c r="Q1796" s="49"/>
      <c r="R1796" s="47"/>
      <c r="S1796" s="50"/>
      <c r="T1796" s="51"/>
      <c r="U1796" s="49"/>
      <c r="V1796" s="51"/>
      <c r="W1796" s="51"/>
      <c r="X1796" s="53"/>
      <c r="Y1796" s="50"/>
      <c r="Z1796" s="51"/>
    </row>
    <row r="1797" spans="1:26" ht="14.45" customHeight="1" x14ac:dyDescent="0.25">
      <c r="A1797" s="47" t="s">
        <v>314</v>
      </c>
      <c r="B1797" s="78">
        <v>45131</v>
      </c>
      <c r="C1797" s="47" t="s">
        <v>74</v>
      </c>
      <c r="E1797" s="47">
        <v>66320</v>
      </c>
      <c r="F1797" s="50"/>
      <c r="G1797" s="50" t="s">
        <v>89</v>
      </c>
      <c r="H1797" s="51">
        <v>41.56</v>
      </c>
      <c r="I1797" s="51"/>
      <c r="K1797" s="52">
        <f>Tabela6[[#This Row],[CONSUMO]]*Tabela6[[#This Row],[VALOR UNIT]]-Tabela6[[#This Row],[DESCONTO]]</f>
        <v>0</v>
      </c>
      <c r="L1797" s="53">
        <f>Tabela6[[#This Row],[CUSTO TOTAL]]/Tabela6[[#This Row],[CONSUMO]]</f>
        <v>0</v>
      </c>
      <c r="M1797" s="50">
        <f>Tabela6[[#This Row],[KM ATUAL]]-E1775</f>
        <v>349</v>
      </c>
      <c r="N1797" s="51">
        <f>Tabela6[[#This Row],[KM Rodados ]]/Tabela6[[#This Row],[CONSUMO]]</f>
        <v>8.3974975938402299</v>
      </c>
      <c r="O1797" s="48"/>
      <c r="P1797" s="47"/>
      <c r="Q1797" s="49"/>
      <c r="R1797" s="47"/>
      <c r="S1797" s="50"/>
      <c r="T1797" s="51"/>
      <c r="U1797" s="49"/>
      <c r="V1797" s="51"/>
      <c r="W1797" s="51"/>
      <c r="X1797" s="53"/>
      <c r="Y1797" s="50"/>
      <c r="Z1797" s="51"/>
    </row>
    <row r="1798" spans="1:26" ht="14.45" customHeight="1" x14ac:dyDescent="0.25">
      <c r="A1798" s="47">
        <v>6267</v>
      </c>
      <c r="B1798" s="78">
        <v>45132</v>
      </c>
      <c r="C1798" s="47" t="s">
        <v>43</v>
      </c>
      <c r="D1798" s="49" t="s">
        <v>299</v>
      </c>
      <c r="E1798" s="47">
        <v>137093</v>
      </c>
      <c r="F1798" s="50" t="s">
        <v>89</v>
      </c>
      <c r="G1798" s="51" t="s">
        <v>89</v>
      </c>
      <c r="H1798" s="49">
        <v>39</v>
      </c>
      <c r="I1798" s="51"/>
      <c r="J1798" s="51">
        <v>4.45</v>
      </c>
      <c r="K1798" s="53">
        <f>Tabela6[[#This Row],[CONSUMO]]*Tabela6[[#This Row],[VALOR UNIT]]-Tabela6[[#This Row],[DESCONTO]]</f>
        <v>173.55</v>
      </c>
      <c r="L1798" s="50">
        <v>4.45</v>
      </c>
      <c r="M1798" s="51">
        <f>Tabela6[[#This Row],[KM ATUAL]]-E1790</f>
        <v>606</v>
      </c>
      <c r="N1798" s="51">
        <f>Tabela6[[#This Row],[KM Rodados ]]/Tabela6[[#This Row],[CONSUMO]]</f>
        <v>15.538461538461538</v>
      </c>
      <c r="O1798" s="48"/>
      <c r="P1798" s="47"/>
      <c r="Q1798" s="49"/>
      <c r="R1798" s="47"/>
      <c r="S1798" s="50"/>
      <c r="T1798" s="51"/>
      <c r="U1798" s="49"/>
      <c r="V1798" s="51"/>
      <c r="W1798" s="51"/>
      <c r="X1798" s="53"/>
      <c r="Y1798" s="50"/>
      <c r="Z1798" s="51"/>
    </row>
    <row r="1799" spans="1:26" ht="14.45" customHeight="1" x14ac:dyDescent="0.25">
      <c r="A1799" s="47">
        <v>6267</v>
      </c>
      <c r="B1799" s="78">
        <v>45132</v>
      </c>
      <c r="C1799" s="47" t="s">
        <v>222</v>
      </c>
      <c r="D1799" s="49" t="s">
        <v>299</v>
      </c>
      <c r="E1799" s="47">
        <v>489069</v>
      </c>
      <c r="F1799" s="50" t="s">
        <v>89</v>
      </c>
      <c r="G1799" s="50" t="s">
        <v>89</v>
      </c>
      <c r="H1799" s="49">
        <v>290</v>
      </c>
      <c r="I1799" s="51"/>
      <c r="J1799" s="51">
        <v>4.45</v>
      </c>
      <c r="K1799" s="53">
        <f>Tabela6[[#This Row],[CONSUMO]]*Tabela6[[#This Row],[VALOR UNIT]]-Tabela6[[#This Row],[DESCONTO]]</f>
        <v>1290.5</v>
      </c>
      <c r="L1799" s="50">
        <v>4.45</v>
      </c>
      <c r="M1799" s="50">
        <f>Tabela6[[#This Row],[KM ATUAL]]-E1767</f>
        <v>272958</v>
      </c>
      <c r="N1799" s="51">
        <f>Tabela6[[#This Row],[KM Rodados ]]/Tabela6[[#This Row],[CONSUMO]]</f>
        <v>941.23448275862074</v>
      </c>
      <c r="O1799" s="48"/>
      <c r="P1799" s="47"/>
      <c r="Q1799" s="49"/>
      <c r="R1799" s="47"/>
      <c r="S1799" s="50"/>
      <c r="T1799" s="51"/>
      <c r="U1799" s="49"/>
      <c r="V1799" s="51"/>
      <c r="W1799" s="51"/>
      <c r="X1799" s="53"/>
      <c r="Y1799" s="50"/>
      <c r="Z1799" s="51"/>
    </row>
    <row r="1800" spans="1:26" ht="14.45" customHeight="1" x14ac:dyDescent="0.25">
      <c r="A1800" s="47">
        <v>361446</v>
      </c>
      <c r="B1800" s="78">
        <v>45132</v>
      </c>
      <c r="C1800" s="47" t="s">
        <v>72</v>
      </c>
      <c r="D1800" s="49" t="s">
        <v>271</v>
      </c>
      <c r="E1800" s="47">
        <v>404116</v>
      </c>
      <c r="F1800" s="50" t="s">
        <v>89</v>
      </c>
      <c r="G1800" s="50" t="s">
        <v>89</v>
      </c>
      <c r="H1800" s="49">
        <v>37.93</v>
      </c>
      <c r="I1800" s="51"/>
      <c r="J1800" s="51">
        <v>4.79</v>
      </c>
      <c r="K1800" s="51">
        <f>Tabela6[[#This Row],[CONSUMO]]*Tabela6[[#This Row],[VALOR UNIT]]-Tabela6[[#This Row],[DESCONTO]]</f>
        <v>181.68469999999999</v>
      </c>
      <c r="L1800" s="53">
        <f>Tabela6[[#This Row],[CUSTO TOTAL]]/Tabela6[[#This Row],[CONSUMO]]</f>
        <v>4.79</v>
      </c>
      <c r="M1800" s="50">
        <f>Tabela6[[#This Row],[KM ATUAL]]-E1741</f>
        <v>268672</v>
      </c>
      <c r="N1800" s="51">
        <f>Tabela6[[#This Row],[KM Rodados ]]/Tabela6[[#This Row],[CONSUMO]]</f>
        <v>7083.364091747957</v>
      </c>
      <c r="O1800" s="48"/>
      <c r="P1800" s="47"/>
      <c r="Q1800" s="49"/>
      <c r="R1800" s="47"/>
      <c r="S1800" s="50"/>
      <c r="T1800" s="51"/>
      <c r="U1800" s="49"/>
      <c r="V1800" s="51"/>
      <c r="W1800" s="51"/>
      <c r="X1800" s="53"/>
      <c r="Y1800" s="50"/>
      <c r="Z1800" s="51"/>
    </row>
    <row r="1801" spans="1:26" ht="14.45" customHeight="1" x14ac:dyDescent="0.25">
      <c r="A1801" s="47">
        <v>6267</v>
      </c>
      <c r="B1801" s="78">
        <v>45132</v>
      </c>
      <c r="C1801" s="47" t="s">
        <v>64</v>
      </c>
      <c r="D1801" s="49" t="s">
        <v>299</v>
      </c>
      <c r="E1801" s="47">
        <v>84094</v>
      </c>
      <c r="F1801" s="50" t="s">
        <v>89</v>
      </c>
      <c r="G1801" s="50" t="s">
        <v>89</v>
      </c>
      <c r="H1801" s="49">
        <v>156</v>
      </c>
      <c r="I1801" s="51"/>
      <c r="J1801" s="51">
        <v>4.45</v>
      </c>
      <c r="K1801" s="51">
        <f>Tabela6[[#This Row],[CONSUMO]]*Tabela6[[#This Row],[VALOR UNIT]]-Tabela6[[#This Row],[DESCONTO]]</f>
        <v>694.2</v>
      </c>
      <c r="L1801" s="53">
        <f>Tabela6[[#This Row],[CUSTO TOTAL]]/Tabela6[[#This Row],[CONSUMO]]</f>
        <v>4.45</v>
      </c>
      <c r="M1801" s="50">
        <f>Tabela6[[#This Row],[KM ATUAL]]-E1782</f>
        <v>-291121</v>
      </c>
      <c r="N1801" s="51">
        <f>Tabela6[[#This Row],[KM Rodados ]]/Tabela6[[#This Row],[CONSUMO]]</f>
        <v>-1866.1602564102564</v>
      </c>
      <c r="O1801" s="48"/>
      <c r="P1801" s="47"/>
      <c r="Q1801" s="49"/>
      <c r="R1801" s="47"/>
      <c r="S1801" s="50"/>
      <c r="T1801" s="51"/>
      <c r="U1801" s="49"/>
      <c r="V1801" s="51"/>
      <c r="W1801" s="51"/>
      <c r="X1801" s="53"/>
      <c r="Y1801" s="50"/>
      <c r="Z1801" s="51"/>
    </row>
    <row r="1802" spans="1:26" ht="14.45" customHeight="1" x14ac:dyDescent="0.25">
      <c r="A1802" s="47">
        <v>6267</v>
      </c>
      <c r="B1802" s="78">
        <v>45132</v>
      </c>
      <c r="C1802" s="47" t="s">
        <v>21</v>
      </c>
      <c r="D1802" s="49" t="s">
        <v>299</v>
      </c>
      <c r="E1802" s="47">
        <v>148543</v>
      </c>
      <c r="F1802" s="50" t="s">
        <v>89</v>
      </c>
      <c r="G1802" s="50" t="s">
        <v>89</v>
      </c>
      <c r="H1802" s="49">
        <v>73</v>
      </c>
      <c r="I1802" s="51"/>
      <c r="J1802" s="51">
        <v>4.45</v>
      </c>
      <c r="K1802" s="52">
        <f>Tabela6[[#This Row],[CONSUMO]]*Tabela6[[#This Row],[VALOR UNIT]]-Tabela6[[#This Row],[DESCONTO]]</f>
        <v>324.85000000000002</v>
      </c>
      <c r="L1802" s="53">
        <f>Tabela6[[#This Row],[CUSTO TOTAL]]/Tabela6[[#This Row],[CONSUMO]]</f>
        <v>4.45</v>
      </c>
      <c r="M1802" s="50">
        <f>Tabela6[[#This Row],[KM ATUAL]]-E1783</f>
        <v>-211852</v>
      </c>
      <c r="N1802" s="51">
        <f>Tabela6[[#This Row],[KM Rodados ]]/Tabela6[[#This Row],[CONSUMO]]</f>
        <v>-2902.0821917808221</v>
      </c>
      <c r="O1802" s="48"/>
      <c r="P1802" s="47"/>
      <c r="Q1802" s="49"/>
      <c r="R1802" s="47"/>
      <c r="S1802" s="50"/>
      <c r="T1802" s="51"/>
      <c r="U1802" s="49"/>
      <c r="V1802" s="51"/>
      <c r="W1802" s="51"/>
      <c r="X1802" s="53"/>
      <c r="Y1802" s="50"/>
      <c r="Z1802" s="51"/>
    </row>
    <row r="1803" spans="1:26" ht="14.45" customHeight="1" x14ac:dyDescent="0.25">
      <c r="A1803" s="47" t="s">
        <v>314</v>
      </c>
      <c r="B1803" s="78">
        <v>45132</v>
      </c>
      <c r="C1803" s="47" t="s">
        <v>301</v>
      </c>
      <c r="E1803" s="47">
        <v>1033710</v>
      </c>
      <c r="F1803" s="50"/>
      <c r="G1803" s="50" t="s">
        <v>89</v>
      </c>
      <c r="H1803" s="51">
        <v>500</v>
      </c>
      <c r="I1803" s="51"/>
      <c r="K1803" s="52">
        <f>Tabela6[[#This Row],[CONSUMO]]*Tabela6[[#This Row],[VALOR UNIT]]-Tabela6[[#This Row],[DESCONTO]]</f>
        <v>0</v>
      </c>
      <c r="L1803" s="53">
        <f>Tabela6[[#This Row],[CUSTO TOTAL]]/Tabela6[[#This Row],[CONSUMO]]</f>
        <v>0</v>
      </c>
      <c r="M1803" s="50">
        <f>Tabela6[[#This Row],[KM ATUAL]]-E1751</f>
        <v>818053</v>
      </c>
      <c r="N1803" s="51">
        <f>Tabela6[[#This Row],[KM Rodados ]]/Tabela6[[#This Row],[CONSUMO]]</f>
        <v>1636.106</v>
      </c>
      <c r="O1803" s="48"/>
      <c r="P1803" s="47"/>
      <c r="Q1803" s="49"/>
      <c r="R1803" s="47"/>
      <c r="S1803" s="50"/>
      <c r="T1803" s="51"/>
      <c r="U1803" s="49"/>
      <c r="V1803" s="51"/>
      <c r="W1803" s="51"/>
      <c r="X1803" s="53"/>
      <c r="Y1803" s="50"/>
      <c r="Z1803" s="51"/>
    </row>
    <row r="1804" spans="1:26" ht="14.45" customHeight="1" x14ac:dyDescent="0.25">
      <c r="A1804" s="47">
        <v>551636</v>
      </c>
      <c r="B1804" s="78">
        <v>45132</v>
      </c>
      <c r="C1804" s="47" t="s">
        <v>16</v>
      </c>
      <c r="D1804" s="49" t="s">
        <v>255</v>
      </c>
      <c r="E1804" s="47">
        <v>300516</v>
      </c>
      <c r="F1804" s="50" t="s">
        <v>89</v>
      </c>
      <c r="G1804" s="50" t="s">
        <v>89</v>
      </c>
      <c r="H1804" s="49">
        <v>119.37</v>
      </c>
      <c r="I1804" s="51"/>
      <c r="J1804" s="51">
        <v>5.09</v>
      </c>
      <c r="K1804" s="52">
        <f>Tabela6[[#This Row],[CONSUMO]]*Tabela6[[#This Row],[VALOR UNIT]]-Tabela6[[#This Row],[DESCONTO]]</f>
        <v>607.5933</v>
      </c>
      <c r="L1804" s="53">
        <f>Tabela6[[#This Row],[CUSTO TOTAL]]/Tabela6[[#This Row],[CONSUMO]]</f>
        <v>5.09</v>
      </c>
      <c r="M1804" s="50">
        <f>Tabela6[[#This Row],[KM ATUAL]]-E1751</f>
        <v>84859</v>
      </c>
      <c r="N1804" s="51">
        <f>Tabela6[[#This Row],[KM Rodados ]]/Tabela6[[#This Row],[CONSUMO]]</f>
        <v>710.89050850297394</v>
      </c>
      <c r="O1804" s="48"/>
      <c r="P1804" s="47"/>
      <c r="Q1804" s="49"/>
      <c r="R1804" s="47"/>
      <c r="S1804" s="50"/>
      <c r="T1804" s="51"/>
      <c r="U1804" s="49"/>
      <c r="V1804" s="51"/>
      <c r="W1804" s="51"/>
      <c r="X1804" s="53"/>
      <c r="Y1804" s="50"/>
      <c r="Z1804" s="51"/>
    </row>
    <row r="1805" spans="1:26" ht="14.45" customHeight="1" x14ac:dyDescent="0.25">
      <c r="A1805" s="47">
        <v>551609</v>
      </c>
      <c r="B1805" s="78">
        <v>45132</v>
      </c>
      <c r="C1805" s="47" t="s">
        <v>20</v>
      </c>
      <c r="D1805" s="49" t="s">
        <v>255</v>
      </c>
      <c r="E1805" s="47">
        <v>261753</v>
      </c>
      <c r="F1805" s="50" t="s">
        <v>89</v>
      </c>
      <c r="G1805" s="50" t="s">
        <v>89</v>
      </c>
      <c r="H1805" s="49">
        <v>67.260000000000005</v>
      </c>
      <c r="I1805" s="51"/>
      <c r="J1805" s="51">
        <v>5.32</v>
      </c>
      <c r="K1805" s="52">
        <f>Tabela6[[#This Row],[CONSUMO]]*Tabela6[[#This Row],[VALOR UNIT]]-Tabela6[[#This Row],[DESCONTO]]</f>
        <v>357.82320000000004</v>
      </c>
      <c r="L1805" s="53">
        <f>Tabela6[[#This Row],[CUSTO TOTAL]]/Tabela6[[#This Row],[CONSUMO]]</f>
        <v>5.32</v>
      </c>
      <c r="M1805" s="50">
        <f>Tabela6[[#This Row],[KM ATUAL]]-E1777</f>
        <v>167067</v>
      </c>
      <c r="N1805" s="51">
        <f>Tabela6[[#This Row],[KM Rodados ]]/Tabela6[[#This Row],[CONSUMO]]</f>
        <v>2483.8983050847455</v>
      </c>
      <c r="O1805" s="48"/>
      <c r="P1805" s="47"/>
      <c r="Q1805" s="49"/>
      <c r="R1805" s="47"/>
      <c r="S1805" s="50"/>
      <c r="T1805" s="51"/>
      <c r="U1805" s="49"/>
      <c r="V1805" s="51"/>
      <c r="W1805" s="51"/>
      <c r="X1805" s="53"/>
      <c r="Y1805" s="50"/>
      <c r="Z1805" s="51"/>
    </row>
    <row r="1806" spans="1:26" ht="14.45" customHeight="1" x14ac:dyDescent="0.25">
      <c r="A1806" s="47" t="s">
        <v>314</v>
      </c>
      <c r="B1806" s="78">
        <v>45132</v>
      </c>
      <c r="C1806" s="47" t="s">
        <v>38</v>
      </c>
      <c r="E1806" s="47">
        <v>135396</v>
      </c>
      <c r="F1806" s="50"/>
      <c r="G1806" s="50" t="s">
        <v>244</v>
      </c>
      <c r="H1806" s="51">
        <v>49.87</v>
      </c>
      <c r="I1806" s="51"/>
      <c r="K1806" s="53">
        <f>Tabela6[[#This Row],[CONSUMO]]*Tabela6[[#This Row],[VALOR UNIT]]-Tabela6[[#This Row],[DESCONTO]]</f>
        <v>0</v>
      </c>
      <c r="L1806" s="53">
        <f>Tabela6[[#This Row],[CUSTO TOTAL]]/Tabela6[[#This Row],[CONSUMO]]</f>
        <v>0</v>
      </c>
      <c r="M1806" s="50">
        <f>Tabela6[[#This Row],[KM ATUAL]]-E1805</f>
        <v>-126357</v>
      </c>
      <c r="N1806" s="51">
        <f>Tabela6[[#This Row],[KM Rodados ]]/Tabela6[[#This Row],[CONSUMO]]</f>
        <v>-2533.7276919991982</v>
      </c>
      <c r="O1806" s="48"/>
      <c r="P1806" s="47"/>
      <c r="Q1806" s="49"/>
      <c r="R1806" s="47"/>
      <c r="S1806" s="50"/>
      <c r="T1806" s="51"/>
      <c r="U1806" s="49"/>
      <c r="V1806" s="51"/>
      <c r="W1806" s="51"/>
      <c r="X1806" s="53"/>
      <c r="Y1806" s="50"/>
      <c r="Z1806" s="51"/>
    </row>
    <row r="1807" spans="1:26" ht="14.45" customHeight="1" x14ac:dyDescent="0.25">
      <c r="A1807" s="47" t="s">
        <v>314</v>
      </c>
      <c r="B1807" s="78">
        <v>45132</v>
      </c>
      <c r="C1807" s="49" t="s">
        <v>40</v>
      </c>
      <c r="E1807" s="47">
        <v>151691</v>
      </c>
      <c r="F1807" s="50"/>
      <c r="G1807" s="50" t="s">
        <v>244</v>
      </c>
      <c r="H1807" s="51">
        <v>40.58</v>
      </c>
      <c r="I1807" s="51"/>
      <c r="K1807" s="52">
        <f>Tabela6[[#This Row],[CONSUMO]]*Tabela6[[#This Row],[VALOR UNIT]]-Tabela6[[#This Row],[DESCONTO]]</f>
        <v>0</v>
      </c>
      <c r="L1807" s="53">
        <f>Tabela6[[#This Row],[CUSTO TOTAL]]/Tabela6[[#This Row],[CONSUMO]]</f>
        <v>0</v>
      </c>
      <c r="M1807" s="50">
        <f>Tabela6[[#This Row],[KM ATUAL]]-E1806</f>
        <v>16295</v>
      </c>
      <c r="N1807" s="51">
        <f>Tabela6[[#This Row],[KM Rodados ]]/Tabela6[[#This Row],[CONSUMO]]</f>
        <v>401.5524889107935</v>
      </c>
      <c r="O1807" s="48"/>
      <c r="P1807" s="47"/>
      <c r="Q1807" s="49"/>
      <c r="R1807" s="47"/>
      <c r="S1807" s="50"/>
      <c r="T1807" s="51"/>
      <c r="U1807" s="49"/>
      <c r="V1807" s="51"/>
      <c r="W1807" s="51"/>
      <c r="X1807" s="53"/>
      <c r="Y1807" s="50"/>
      <c r="Z1807" s="51"/>
    </row>
    <row r="1808" spans="1:26" ht="14.45" customHeight="1" x14ac:dyDescent="0.25">
      <c r="A1808" s="47">
        <v>6387</v>
      </c>
      <c r="B1808" s="78">
        <v>45133</v>
      </c>
      <c r="C1808" s="47" t="s">
        <v>43</v>
      </c>
      <c r="D1808" s="49" t="s">
        <v>299</v>
      </c>
      <c r="E1808" s="47">
        <v>137485</v>
      </c>
      <c r="F1808" s="50" t="s">
        <v>89</v>
      </c>
      <c r="G1808" s="51" t="s">
        <v>89</v>
      </c>
      <c r="H1808" s="49">
        <v>45.6</v>
      </c>
      <c r="I1808" s="51"/>
      <c r="J1808" s="51">
        <v>4.45</v>
      </c>
      <c r="K1808" s="53">
        <f>Tabela6[[#This Row],[CONSUMO]]*Tabela6[[#This Row],[VALOR UNIT]]-Tabela6[[#This Row],[DESCONTO]]</f>
        <v>202.92000000000002</v>
      </c>
      <c r="L1808" s="50">
        <v>4.45</v>
      </c>
      <c r="M1808" s="51">
        <f>Tabela6[[#This Row],[KM ATUAL]]-E1797</f>
        <v>71165</v>
      </c>
      <c r="N1808" s="51">
        <f>Tabela6[[#This Row],[KM Rodados ]]/Tabela6[[#This Row],[CONSUMO]]</f>
        <v>1560.6359649122805</v>
      </c>
      <c r="O1808" s="48"/>
      <c r="P1808" s="47"/>
      <c r="Q1808" s="49"/>
      <c r="R1808" s="47"/>
      <c r="S1808" s="50"/>
      <c r="T1808" s="51"/>
      <c r="U1808" s="49"/>
      <c r="V1808" s="51"/>
      <c r="W1808" s="51"/>
      <c r="X1808" s="53"/>
      <c r="Y1808" s="50"/>
      <c r="Z1808" s="51"/>
    </row>
    <row r="1809" spans="1:26" ht="14.45" customHeight="1" x14ac:dyDescent="0.25">
      <c r="A1809" s="47">
        <v>6267</v>
      </c>
      <c r="B1809" s="78">
        <v>45133</v>
      </c>
      <c r="C1809" s="47" t="s">
        <v>22</v>
      </c>
      <c r="D1809" s="49" t="s">
        <v>299</v>
      </c>
      <c r="E1809" s="47">
        <v>331249</v>
      </c>
      <c r="F1809" s="50" t="s">
        <v>89</v>
      </c>
      <c r="G1809" s="51" t="s">
        <v>89</v>
      </c>
      <c r="H1809" s="49">
        <v>134</v>
      </c>
      <c r="I1809" s="51"/>
      <c r="J1809" s="51">
        <v>4.45</v>
      </c>
      <c r="K1809" s="53">
        <f>Tabela6[[#This Row],[CONSUMO]]*Tabela6[[#This Row],[VALOR UNIT]]-Tabela6[[#This Row],[DESCONTO]]</f>
        <v>596.30000000000007</v>
      </c>
      <c r="L1809" s="50">
        <v>4.45</v>
      </c>
      <c r="M1809" s="50">
        <f>Tabela6[[#This Row],[KM ATUAL]]-E1769</f>
        <v>-387392</v>
      </c>
      <c r="N1809" s="51">
        <f>Tabela6[[#This Row],[KM Rodados ]]/Tabela6[[#This Row],[CONSUMO]]</f>
        <v>-2890.9850746268658</v>
      </c>
      <c r="O1809" s="48"/>
      <c r="P1809" s="47"/>
      <c r="Q1809" s="49"/>
      <c r="R1809" s="47"/>
      <c r="S1809" s="50"/>
      <c r="T1809" s="51"/>
      <c r="U1809" s="49"/>
      <c r="V1809" s="51"/>
      <c r="W1809" s="51"/>
      <c r="X1809" s="53"/>
      <c r="Y1809" s="50"/>
      <c r="Z1809" s="51"/>
    </row>
    <row r="1810" spans="1:26" ht="14.45" customHeight="1" x14ac:dyDescent="0.25">
      <c r="A1810" s="47">
        <v>6387</v>
      </c>
      <c r="B1810" s="78">
        <v>45133</v>
      </c>
      <c r="C1810" s="47" t="s">
        <v>72</v>
      </c>
      <c r="D1810" s="49" t="s">
        <v>299</v>
      </c>
      <c r="E1810" s="47">
        <v>404570</v>
      </c>
      <c r="F1810" s="50" t="s">
        <v>89</v>
      </c>
      <c r="G1810" s="50" t="s">
        <v>89</v>
      </c>
      <c r="H1810" s="49">
        <v>53</v>
      </c>
      <c r="I1810" s="51"/>
      <c r="J1810" s="51">
        <v>4.45</v>
      </c>
      <c r="K1810" s="51">
        <f>Tabela6[[#This Row],[CONSUMO]]*Tabela6[[#This Row],[VALOR UNIT]]-Tabela6[[#This Row],[DESCONTO]]</f>
        <v>235.85000000000002</v>
      </c>
      <c r="L1810" s="53">
        <f>Tabela6[[#This Row],[CUSTO TOTAL]]/Tabela6[[#This Row],[CONSUMO]]</f>
        <v>4.45</v>
      </c>
      <c r="M1810" s="50">
        <f>Tabela6[[#This Row],[KM ATUAL]]-E1798</f>
        <v>267477</v>
      </c>
      <c r="N1810" s="51">
        <f>Tabela6[[#This Row],[KM Rodados ]]/Tabela6[[#This Row],[CONSUMO]]</f>
        <v>5046.7358490566039</v>
      </c>
      <c r="O1810" s="48"/>
      <c r="P1810" s="47"/>
      <c r="Q1810" s="49"/>
      <c r="R1810" s="47"/>
      <c r="S1810" s="50"/>
      <c r="T1810" s="51"/>
      <c r="U1810" s="49"/>
      <c r="V1810" s="51"/>
      <c r="W1810" s="51"/>
      <c r="X1810" s="53"/>
      <c r="Y1810" s="50"/>
      <c r="Z1810" s="51"/>
    </row>
    <row r="1811" spans="1:26" ht="14.45" customHeight="1" x14ac:dyDescent="0.25">
      <c r="A1811" s="47">
        <v>6387</v>
      </c>
      <c r="B1811" s="78">
        <v>45133</v>
      </c>
      <c r="C1811" s="47" t="s">
        <v>72</v>
      </c>
      <c r="D1811" s="49" t="s">
        <v>299</v>
      </c>
      <c r="E1811" s="47">
        <v>404690</v>
      </c>
      <c r="F1811" s="50" t="s">
        <v>89</v>
      </c>
      <c r="G1811" s="50" t="s">
        <v>89</v>
      </c>
      <c r="H1811" s="49">
        <v>19</v>
      </c>
      <c r="I1811" s="51"/>
      <c r="J1811" s="51">
        <v>4.45</v>
      </c>
      <c r="K1811" s="51">
        <f>Tabela6[[#This Row],[CONSUMO]]*Tabela6[[#This Row],[VALOR UNIT]]-Tabela6[[#This Row],[DESCONTO]]</f>
        <v>84.55</v>
      </c>
      <c r="L1811" s="53">
        <f>Tabela6[[#This Row],[CUSTO TOTAL]]/Tabela6[[#This Row],[CONSUMO]]</f>
        <v>4.45</v>
      </c>
      <c r="M1811" s="50">
        <f>Tabela6[[#This Row],[KM ATUAL]]-E1805</f>
        <v>142937</v>
      </c>
      <c r="N1811" s="51">
        <f>Tabela6[[#This Row],[KM Rodados ]]/Tabela6[[#This Row],[CONSUMO]]</f>
        <v>7523</v>
      </c>
      <c r="O1811" s="48"/>
      <c r="P1811" s="47"/>
      <c r="Q1811" s="49"/>
      <c r="R1811" s="47"/>
      <c r="S1811" s="50"/>
      <c r="T1811" s="51"/>
      <c r="U1811" s="49"/>
      <c r="V1811" s="51"/>
      <c r="W1811" s="51"/>
      <c r="X1811" s="53"/>
      <c r="Y1811" s="50"/>
      <c r="Z1811" s="51"/>
    </row>
    <row r="1812" spans="1:26" ht="14.45" customHeight="1" x14ac:dyDescent="0.25">
      <c r="A1812" s="47">
        <v>6267</v>
      </c>
      <c r="B1812" s="78">
        <v>45133</v>
      </c>
      <c r="C1812" s="47" t="s">
        <v>71</v>
      </c>
      <c r="D1812" s="49" t="s">
        <v>299</v>
      </c>
      <c r="E1812" s="47">
        <v>114003</v>
      </c>
      <c r="F1812" s="50" t="s">
        <v>89</v>
      </c>
      <c r="G1812" s="50" t="s">
        <v>89</v>
      </c>
      <c r="H1812" s="49">
        <v>406</v>
      </c>
      <c r="I1812" s="51"/>
      <c r="J1812" s="51">
        <v>4.45</v>
      </c>
      <c r="K1812" s="51">
        <f>Tabela6[[#This Row],[CONSUMO]]*Tabela6[[#This Row],[VALOR UNIT]]-Tabela6[[#This Row],[DESCONTO]]</f>
        <v>1806.7</v>
      </c>
      <c r="L1812" s="53">
        <f>Tabela6[[#This Row],[CUSTO TOTAL]]/Tabela6[[#This Row],[CONSUMO]]</f>
        <v>4.45</v>
      </c>
      <c r="M1812" s="50">
        <f>Tabela6[[#This Row],[KM ATUAL]]-E1756</f>
        <v>-834574</v>
      </c>
      <c r="N1812" s="51">
        <f>Tabela6[[#This Row],[KM Rodados ]]/Tabela6[[#This Row],[CONSUMO]]</f>
        <v>-2055.6009852216748</v>
      </c>
      <c r="O1812" s="48"/>
      <c r="P1812" s="47"/>
      <c r="Q1812" s="49"/>
      <c r="R1812" s="47"/>
      <c r="S1812" s="50"/>
      <c r="T1812" s="51"/>
      <c r="U1812" s="49"/>
      <c r="V1812" s="51"/>
      <c r="W1812" s="51"/>
      <c r="X1812" s="53"/>
      <c r="Y1812" s="50"/>
      <c r="Z1812" s="51"/>
    </row>
    <row r="1813" spans="1:26" ht="14.45" customHeight="1" x14ac:dyDescent="0.25">
      <c r="A1813" s="47">
        <v>6387</v>
      </c>
      <c r="B1813" s="78">
        <v>45133</v>
      </c>
      <c r="C1813" s="47" t="s">
        <v>10</v>
      </c>
      <c r="D1813" s="49" t="s">
        <v>299</v>
      </c>
      <c r="E1813" s="47">
        <v>719465</v>
      </c>
      <c r="F1813" s="50" t="s">
        <v>89</v>
      </c>
      <c r="G1813" s="50" t="s">
        <v>89</v>
      </c>
      <c r="H1813" s="49">
        <v>175</v>
      </c>
      <c r="I1813" s="51"/>
      <c r="J1813" s="51">
        <v>4.45</v>
      </c>
      <c r="K1813" s="51">
        <f>Tabela6[[#This Row],[CONSUMO]]*Tabela6[[#This Row],[VALOR UNIT]]-Tabela6[[#This Row],[DESCONTO]]</f>
        <v>778.75</v>
      </c>
      <c r="L1813" s="53">
        <f>Tabela6[[#This Row],[CUSTO TOTAL]]/Tabela6[[#This Row],[CONSUMO]]</f>
        <v>4.45</v>
      </c>
      <c r="M1813" s="50">
        <f>Tabela6[[#This Row],[KM ATUAL]]-E1764</f>
        <v>351305</v>
      </c>
      <c r="N1813" s="51">
        <f>Tabela6[[#This Row],[KM Rodados ]]/Tabela6[[#This Row],[CONSUMO]]</f>
        <v>2007.4571428571428</v>
      </c>
      <c r="O1813" s="48"/>
      <c r="P1813" s="47"/>
      <c r="Q1813" s="49"/>
      <c r="R1813" s="47"/>
      <c r="S1813" s="50"/>
      <c r="T1813" s="51"/>
      <c r="U1813" s="49"/>
      <c r="V1813" s="51"/>
      <c r="W1813" s="51"/>
      <c r="X1813" s="53"/>
      <c r="Y1813" s="50"/>
      <c r="Z1813" s="51"/>
    </row>
    <row r="1814" spans="1:26" ht="14.45" customHeight="1" x14ac:dyDescent="0.25">
      <c r="A1814" s="47">
        <v>6387</v>
      </c>
      <c r="B1814" s="78">
        <v>45133</v>
      </c>
      <c r="C1814" s="47" t="s">
        <v>206</v>
      </c>
      <c r="D1814" s="49" t="s">
        <v>299</v>
      </c>
      <c r="E1814" s="47">
        <v>949731</v>
      </c>
      <c r="F1814" s="50" t="s">
        <v>89</v>
      </c>
      <c r="G1814" s="50" t="s">
        <v>89</v>
      </c>
      <c r="H1814" s="49">
        <v>415</v>
      </c>
      <c r="I1814" s="51"/>
      <c r="J1814" s="51">
        <v>4.45</v>
      </c>
      <c r="K1814" s="52">
        <f>Tabela6[[#This Row],[CONSUMO]]*Tabela6[[#This Row],[VALOR UNIT]]-Tabela6[[#This Row],[DESCONTO]]</f>
        <v>1846.75</v>
      </c>
      <c r="L1814" s="53">
        <f>Tabela6[[#This Row],[CUSTO TOTAL]]/Tabela6[[#This Row],[CONSUMO]]</f>
        <v>4.45</v>
      </c>
      <c r="M1814" s="50">
        <f>Tabela6[[#This Row],[KM ATUAL]]-E1753</f>
        <v>801813</v>
      </c>
      <c r="N1814" s="51">
        <f>Tabela6[[#This Row],[KM Rodados ]]/Tabela6[[#This Row],[CONSUMO]]</f>
        <v>1932.0795180722891</v>
      </c>
      <c r="O1814" s="48"/>
      <c r="P1814" s="47"/>
      <c r="Q1814" s="49"/>
      <c r="R1814" s="47"/>
      <c r="S1814" s="50"/>
      <c r="T1814" s="51"/>
      <c r="U1814" s="49"/>
      <c r="V1814" s="51"/>
      <c r="W1814" s="51"/>
      <c r="X1814" s="53"/>
      <c r="Y1814" s="50"/>
      <c r="Z1814" s="51"/>
    </row>
    <row r="1815" spans="1:26" ht="14.45" customHeight="1" x14ac:dyDescent="0.25">
      <c r="A1815" s="47">
        <v>6267</v>
      </c>
      <c r="B1815" s="78">
        <v>45133</v>
      </c>
      <c r="C1815" s="47" t="s">
        <v>13</v>
      </c>
      <c r="D1815" s="49" t="s">
        <v>299</v>
      </c>
      <c r="E1815" s="47">
        <v>636390</v>
      </c>
      <c r="F1815" s="50"/>
      <c r="G1815" s="50" t="s">
        <v>89</v>
      </c>
      <c r="H1815" s="49">
        <v>125</v>
      </c>
      <c r="I1815" s="51"/>
      <c r="J1815" s="51">
        <v>4.45</v>
      </c>
      <c r="K1815" s="53">
        <f>Tabela6[[#This Row],[CONSUMO]]*Tabela6[[#This Row],[VALOR UNIT]]-Tabela6[[#This Row],[DESCONTO]]</f>
        <v>556.25</v>
      </c>
      <c r="L1815" s="53">
        <f>Tabela6[[#This Row],[CUSTO TOTAL]]/Tabela6[[#This Row],[CONSUMO]]</f>
        <v>4.45</v>
      </c>
      <c r="M1815" s="50">
        <f>Tabela6[[#This Row],[KM ATUAL]]-E1798</f>
        <v>499297</v>
      </c>
      <c r="N1815" s="50">
        <f>Tabela6[[#This Row],[KM Rodados ]]/Tabela6[[#This Row],[CONSUMO]]</f>
        <v>3994.3760000000002</v>
      </c>
      <c r="O1815" s="48"/>
      <c r="P1815" s="47"/>
      <c r="Q1815" s="49"/>
      <c r="R1815" s="47"/>
      <c r="S1815" s="50"/>
      <c r="T1815" s="51"/>
      <c r="U1815" s="49"/>
      <c r="V1815" s="51"/>
      <c r="W1815" s="51"/>
      <c r="X1815" s="53"/>
      <c r="Y1815" s="50"/>
      <c r="Z1815" s="51"/>
    </row>
    <row r="1816" spans="1:26" ht="14.45" customHeight="1" x14ac:dyDescent="0.25">
      <c r="A1816" s="47">
        <v>704650</v>
      </c>
      <c r="B1816" s="78">
        <v>45133</v>
      </c>
      <c r="C1816" s="47" t="s">
        <v>13</v>
      </c>
      <c r="D1816" s="49" t="s">
        <v>264</v>
      </c>
      <c r="E1816" s="47">
        <v>636801</v>
      </c>
      <c r="F1816" s="50" t="s">
        <v>89</v>
      </c>
      <c r="G1816" s="50" t="s">
        <v>89</v>
      </c>
      <c r="H1816" s="49">
        <v>89.216999999999999</v>
      </c>
      <c r="I1816" s="51"/>
      <c r="J1816" s="51">
        <v>4.99</v>
      </c>
      <c r="K1816" s="51">
        <f>Tabela6[[#This Row],[CONSUMO]]*Tabela6[[#This Row],[VALOR UNIT]]-Tabela6[[#This Row],[DESCONTO]]</f>
        <v>445.19283000000001</v>
      </c>
      <c r="L1816" s="53">
        <f>Tabela6[[#This Row],[CUSTO TOTAL]]/Tabela6[[#This Row],[CONSUMO]]</f>
        <v>4.99</v>
      </c>
      <c r="M1816" s="50">
        <f>Tabela6[[#This Row],[KM ATUAL]]-E1815</f>
        <v>411</v>
      </c>
      <c r="N1816" s="51">
        <f>Tabela6[[#This Row],[KM Rodados ]]/Tabela6[[#This Row],[CONSUMO]]</f>
        <v>4.6067453512223011</v>
      </c>
      <c r="O1816" s="48"/>
      <c r="P1816" s="47"/>
      <c r="Q1816" s="49"/>
      <c r="R1816" s="47"/>
      <c r="S1816" s="50"/>
      <c r="T1816" s="51"/>
      <c r="U1816" s="49"/>
      <c r="V1816" s="51"/>
      <c r="W1816" s="51"/>
      <c r="X1816" s="53"/>
      <c r="Y1816" s="50"/>
      <c r="Z1816" s="51"/>
    </row>
    <row r="1817" spans="1:26" ht="14.45" customHeight="1" x14ac:dyDescent="0.25">
      <c r="A1817" s="47">
        <v>6387</v>
      </c>
      <c r="B1817" s="78">
        <v>45133</v>
      </c>
      <c r="C1817" s="47" t="s">
        <v>15</v>
      </c>
      <c r="D1817" s="49" t="s">
        <v>299</v>
      </c>
      <c r="E1817" s="47">
        <v>375894</v>
      </c>
      <c r="F1817" s="50" t="s">
        <v>89</v>
      </c>
      <c r="G1817" s="50" t="s">
        <v>89</v>
      </c>
      <c r="H1817" s="49">
        <v>112</v>
      </c>
      <c r="I1817" s="51"/>
      <c r="J1817" s="51">
        <v>4.45</v>
      </c>
      <c r="K1817" s="52">
        <f>Tabela6[[#This Row],[CONSUMO]]*Tabela6[[#This Row],[VALOR UNIT]]-Tabela6[[#This Row],[DESCONTO]]</f>
        <v>498.40000000000003</v>
      </c>
      <c r="L1817" s="53">
        <f>Tabela6[[#This Row],[CUSTO TOTAL]]/Tabela6[[#This Row],[CONSUMO]]</f>
        <v>4.45</v>
      </c>
      <c r="M1817" s="50">
        <f>Tabela6[[#This Row],[KM ATUAL]]-E1793</f>
        <v>245755</v>
      </c>
      <c r="N1817" s="51">
        <f>Tabela6[[#This Row],[KM Rodados ]]/Tabela6[[#This Row],[CONSUMO]]</f>
        <v>2194.2410714285716</v>
      </c>
      <c r="O1817" s="48"/>
      <c r="P1817" s="47"/>
      <c r="Q1817" s="49"/>
      <c r="R1817" s="47"/>
      <c r="S1817" s="50"/>
      <c r="T1817" s="51"/>
      <c r="U1817" s="49"/>
      <c r="V1817" s="51"/>
      <c r="W1817" s="51"/>
      <c r="X1817" s="53"/>
      <c r="Y1817" s="50"/>
      <c r="Z1817" s="51"/>
    </row>
    <row r="1818" spans="1:26" ht="14.45" customHeight="1" x14ac:dyDescent="0.25">
      <c r="A1818" s="47">
        <v>6387</v>
      </c>
      <c r="B1818" s="78">
        <v>45133</v>
      </c>
      <c r="C1818" s="47" t="s">
        <v>19</v>
      </c>
      <c r="D1818" s="49" t="s">
        <v>299</v>
      </c>
      <c r="E1818" s="47">
        <v>318028</v>
      </c>
      <c r="F1818" s="50" t="s">
        <v>89</v>
      </c>
      <c r="G1818" s="50" t="s">
        <v>89</v>
      </c>
      <c r="H1818" s="51">
        <v>132</v>
      </c>
      <c r="I1818" s="51"/>
      <c r="J1818" s="51">
        <v>4.45</v>
      </c>
      <c r="K1818" s="51">
        <f>Tabela6[[#This Row],[CONSUMO]]*Tabela6[[#This Row],[VALOR UNIT]]-Tabela6[[#This Row],[DESCONTO]]</f>
        <v>587.4</v>
      </c>
      <c r="L1818" s="53">
        <f>Tabela6[[#This Row],[CUSTO TOTAL]]/Tabela6[[#This Row],[CONSUMO]]</f>
        <v>4.45</v>
      </c>
      <c r="M1818" s="50">
        <f>Tabela6[[#This Row],[KM ATUAL]]-E1793</f>
        <v>187889</v>
      </c>
      <c r="N1818" s="51">
        <f>Tabela6[[#This Row],[KM Rodados ]]/Tabela6[[#This Row],[CONSUMO]]</f>
        <v>1423.4015151515152</v>
      </c>
      <c r="O1818" s="48"/>
      <c r="P1818" s="47"/>
      <c r="Q1818" s="49"/>
      <c r="R1818" s="47"/>
      <c r="S1818" s="50"/>
      <c r="T1818" s="51"/>
      <c r="U1818" s="49"/>
      <c r="V1818" s="51"/>
      <c r="W1818" s="51"/>
      <c r="X1818" s="53"/>
      <c r="Y1818" s="50"/>
      <c r="Z1818" s="51"/>
    </row>
    <row r="1819" spans="1:26" ht="14.45" customHeight="1" x14ac:dyDescent="0.25">
      <c r="A1819" s="47">
        <v>6387</v>
      </c>
      <c r="B1819" s="78">
        <v>45133</v>
      </c>
      <c r="C1819" s="47" t="s">
        <v>74</v>
      </c>
      <c r="D1819" s="49" t="s">
        <v>299</v>
      </c>
      <c r="E1819" s="47">
        <v>66553</v>
      </c>
      <c r="F1819" s="50" t="s">
        <v>89</v>
      </c>
      <c r="G1819" s="50" t="s">
        <v>89</v>
      </c>
      <c r="H1819" s="49">
        <v>30</v>
      </c>
      <c r="I1819" s="51"/>
      <c r="J1819" s="51">
        <v>4.45</v>
      </c>
      <c r="K1819" s="51">
        <f>Tabela6[[#This Row],[CONSUMO]]*Tabela6[[#This Row],[VALOR UNIT]]-Tabela6[[#This Row],[DESCONTO]]</f>
        <v>133.5</v>
      </c>
      <c r="L1819" s="53">
        <f>Tabela6[[#This Row],[CUSTO TOTAL]]/Tabela6[[#This Row],[CONSUMO]]</f>
        <v>4.45</v>
      </c>
      <c r="M1819" s="50">
        <f>Tabela6[[#This Row],[KM ATUAL]]-E1802</f>
        <v>-81990</v>
      </c>
      <c r="N1819" s="51">
        <f>Tabela6[[#This Row],[KM Rodados ]]/Tabela6[[#This Row],[CONSUMO]]</f>
        <v>-2733</v>
      </c>
      <c r="O1819" s="48"/>
      <c r="P1819" s="47"/>
      <c r="Q1819" s="49"/>
      <c r="R1819" s="47"/>
      <c r="S1819" s="50"/>
      <c r="T1819" s="51"/>
      <c r="U1819" s="49"/>
      <c r="V1819" s="51"/>
      <c r="W1819" s="51"/>
      <c r="X1819" s="53"/>
      <c r="Y1819" s="50"/>
      <c r="Z1819" s="51"/>
    </row>
    <row r="1820" spans="1:26" ht="14.45" customHeight="1" x14ac:dyDescent="0.25">
      <c r="A1820" s="47">
        <v>6387</v>
      </c>
      <c r="B1820" s="78">
        <v>45134</v>
      </c>
      <c r="C1820" s="47" t="s">
        <v>68</v>
      </c>
      <c r="D1820" s="49" t="s">
        <v>299</v>
      </c>
      <c r="E1820" s="47">
        <v>902571</v>
      </c>
      <c r="F1820" s="50" t="s">
        <v>89</v>
      </c>
      <c r="G1820" s="51" t="s">
        <v>89</v>
      </c>
      <c r="H1820" s="49">
        <v>440</v>
      </c>
      <c r="I1820" s="51"/>
      <c r="J1820" s="51">
        <v>4.45</v>
      </c>
      <c r="K1820" s="51">
        <f>Tabela6[[#This Row],[CONSUMO]]*Tabela6[[#This Row],[VALOR UNIT]]-Tabela6[[#This Row],[DESCONTO]]</f>
        <v>1958</v>
      </c>
      <c r="L1820" s="53">
        <f>Tabela6[[#This Row],[CUSTO TOTAL]]/Tabela6[[#This Row],[CONSUMO]]</f>
        <v>4.45</v>
      </c>
      <c r="M1820" s="50">
        <f>Tabela6[[#This Row],[KM ATUAL]]-E1790</f>
        <v>766084</v>
      </c>
      <c r="N1820" s="51">
        <f>Tabela6[[#This Row],[KM Rodados ]]/Tabela6[[#This Row],[CONSUMO]]</f>
        <v>1741.1</v>
      </c>
      <c r="O1820" s="48"/>
      <c r="P1820" s="47"/>
      <c r="Q1820" s="49"/>
      <c r="R1820" s="47"/>
      <c r="S1820" s="50"/>
      <c r="T1820" s="51"/>
      <c r="U1820" s="49"/>
      <c r="V1820" s="51"/>
      <c r="W1820" s="51"/>
      <c r="X1820" s="53"/>
      <c r="Y1820" s="50"/>
      <c r="Z1820" s="51"/>
    </row>
    <row r="1821" spans="1:26" ht="14.45" customHeight="1" x14ac:dyDescent="0.25">
      <c r="A1821" s="47" t="s">
        <v>314</v>
      </c>
      <c r="B1821" s="78">
        <v>45134</v>
      </c>
      <c r="C1821" s="47" t="s">
        <v>43</v>
      </c>
      <c r="E1821" s="47">
        <v>137789</v>
      </c>
      <c r="F1821" s="50"/>
      <c r="G1821" s="51" t="s">
        <v>89</v>
      </c>
      <c r="H1821" s="49">
        <v>42</v>
      </c>
      <c r="I1821" s="51"/>
      <c r="K1821" s="53">
        <f>Tabela6[[#This Row],[CONSUMO]]*Tabela6[[#This Row],[VALOR UNIT]]-Tabela6[[#This Row],[DESCONTO]]</f>
        <v>0</v>
      </c>
      <c r="L1821" s="50">
        <v>4.45</v>
      </c>
      <c r="M1821" s="51">
        <f>Tabela6[[#This Row],[KM ATUAL]]-E1810</f>
        <v>-266781</v>
      </c>
      <c r="N1821" s="51">
        <f>Tabela6[[#This Row],[KM Rodados ]]/Tabela6[[#This Row],[CONSUMO]]</f>
        <v>-6351.9285714285716</v>
      </c>
      <c r="O1821" s="48"/>
      <c r="P1821" s="47"/>
      <c r="Q1821" s="49"/>
      <c r="R1821" s="47"/>
      <c r="S1821" s="50"/>
      <c r="T1821" s="51"/>
      <c r="U1821" s="49"/>
      <c r="V1821" s="51"/>
      <c r="W1821" s="51"/>
      <c r="X1821" s="53"/>
      <c r="Y1821" s="50"/>
      <c r="Z1821" s="51"/>
    </row>
    <row r="1822" spans="1:26" ht="14.45" customHeight="1" x14ac:dyDescent="0.25">
      <c r="A1822" s="47">
        <v>426704</v>
      </c>
      <c r="B1822" s="78">
        <v>45134</v>
      </c>
      <c r="C1822" s="47" t="s">
        <v>42</v>
      </c>
      <c r="D1822" s="49" t="s">
        <v>253</v>
      </c>
      <c r="E1822" s="47">
        <v>368546</v>
      </c>
      <c r="F1822" s="50" t="s">
        <v>89</v>
      </c>
      <c r="G1822" s="50" t="s">
        <v>89</v>
      </c>
      <c r="H1822" s="49">
        <v>68.97</v>
      </c>
      <c r="I1822" s="51"/>
      <c r="J1822" s="51">
        <v>5.19</v>
      </c>
      <c r="K1822" s="53">
        <f>Tabela6[[#This Row],[CONSUMO]]*Tabela6[[#This Row],[VALOR UNIT]]-Tabela6[[#This Row],[DESCONTO]]</f>
        <v>357.95430000000005</v>
      </c>
      <c r="L1822" s="77">
        <v>5.19</v>
      </c>
      <c r="M1822" s="50">
        <f>Tabela6[[#This Row],[KM ATUAL]]-E1765</f>
        <v>-119724</v>
      </c>
      <c r="N1822" s="51">
        <f>Tabela6[[#This Row],[KM Rodados ]]/Tabela6[[#This Row],[CONSUMO]]</f>
        <v>-1735.8851674641148</v>
      </c>
      <c r="O1822" s="48"/>
      <c r="P1822" s="47"/>
      <c r="Q1822" s="49"/>
      <c r="R1822" s="47"/>
      <c r="S1822" s="50"/>
      <c r="T1822" s="51"/>
      <c r="U1822" s="49"/>
      <c r="V1822" s="51"/>
      <c r="W1822" s="51"/>
      <c r="X1822" s="53"/>
      <c r="Y1822" s="50"/>
      <c r="Z1822" s="51"/>
    </row>
    <row r="1823" spans="1:26" ht="14.45" customHeight="1" x14ac:dyDescent="0.25">
      <c r="A1823" s="47">
        <v>6387</v>
      </c>
      <c r="B1823" s="78">
        <v>45134</v>
      </c>
      <c r="C1823" s="47" t="s">
        <v>67</v>
      </c>
      <c r="D1823" s="49" t="s">
        <v>299</v>
      </c>
      <c r="E1823" s="47">
        <v>673060</v>
      </c>
      <c r="F1823" s="50" t="s">
        <v>89</v>
      </c>
      <c r="G1823" s="51" t="s">
        <v>89</v>
      </c>
      <c r="H1823" s="49">
        <v>109</v>
      </c>
      <c r="I1823" s="51"/>
      <c r="J1823" s="51">
        <v>4.45</v>
      </c>
      <c r="K1823" s="53">
        <f>Tabela6[[#This Row],[CONSUMO]]*Tabela6[[#This Row],[VALOR UNIT]]-Tabela6[[#This Row],[DESCONTO]]</f>
        <v>485.05</v>
      </c>
      <c r="L1823" s="50">
        <v>4.45</v>
      </c>
      <c r="M1823" s="50">
        <f>Tabela6[[#This Row],[KM ATUAL]]-E1785</f>
        <v>568603</v>
      </c>
      <c r="N1823" s="51">
        <f>Tabela6[[#This Row],[KM Rodados ]]/Tabela6[[#This Row],[CONSUMO]]</f>
        <v>5216.54128440367</v>
      </c>
      <c r="O1823" s="48"/>
      <c r="P1823" s="47"/>
      <c r="Q1823" s="49"/>
      <c r="R1823" s="47"/>
      <c r="S1823" s="50"/>
      <c r="T1823" s="51"/>
      <c r="U1823" s="49"/>
      <c r="V1823" s="51"/>
      <c r="W1823" s="51"/>
      <c r="X1823" s="53"/>
      <c r="Y1823" s="50"/>
      <c r="Z1823" s="51"/>
    </row>
    <row r="1824" spans="1:26" ht="14.45" customHeight="1" x14ac:dyDescent="0.25">
      <c r="A1824" s="47">
        <v>6387</v>
      </c>
      <c r="B1824" s="78">
        <v>45134</v>
      </c>
      <c r="C1824" s="47" t="s">
        <v>72</v>
      </c>
      <c r="D1824" s="49" t="s">
        <v>299</v>
      </c>
      <c r="E1824" s="47">
        <v>405009</v>
      </c>
      <c r="F1824" s="50" t="s">
        <v>89</v>
      </c>
      <c r="G1824" s="50" t="s">
        <v>89</v>
      </c>
      <c r="H1824" s="49">
        <v>45</v>
      </c>
      <c r="I1824" s="51"/>
      <c r="J1824" s="51">
        <v>4.45</v>
      </c>
      <c r="K1824" s="51">
        <f>Tabela6[[#This Row],[CONSUMO]]*Tabela6[[#This Row],[VALOR UNIT]]-Tabela6[[#This Row],[DESCONTO]]</f>
        <v>200.25</v>
      </c>
      <c r="L1824" s="53">
        <f>Tabela6[[#This Row],[CUSTO TOTAL]]/Tabela6[[#This Row],[CONSUMO]]</f>
        <v>4.45</v>
      </c>
      <c r="M1824" s="50">
        <f>Tabela6[[#This Row],[KM ATUAL]]-E1821</f>
        <v>267220</v>
      </c>
      <c r="N1824" s="51">
        <f>Tabela6[[#This Row],[KM Rodados ]]/Tabela6[[#This Row],[CONSUMO]]</f>
        <v>5938.2222222222226</v>
      </c>
      <c r="O1824" s="48"/>
      <c r="P1824" s="47"/>
      <c r="Q1824" s="49"/>
      <c r="R1824" s="47"/>
      <c r="S1824" s="50"/>
      <c r="T1824" s="51"/>
      <c r="U1824" s="49"/>
      <c r="V1824" s="51"/>
      <c r="W1824" s="51"/>
      <c r="X1824" s="53"/>
      <c r="Y1824" s="50"/>
      <c r="Z1824" s="51"/>
    </row>
    <row r="1825" spans="1:26" ht="14.45" customHeight="1" x14ac:dyDescent="0.25">
      <c r="A1825" s="47">
        <v>6387</v>
      </c>
      <c r="B1825" s="78">
        <v>45134</v>
      </c>
      <c r="C1825" s="47" t="s">
        <v>64</v>
      </c>
      <c r="D1825" s="49" t="s">
        <v>299</v>
      </c>
      <c r="E1825" s="47">
        <v>84555</v>
      </c>
      <c r="F1825" s="50" t="s">
        <v>89</v>
      </c>
      <c r="G1825" s="50" t="s">
        <v>89</v>
      </c>
      <c r="H1825" s="49">
        <v>131</v>
      </c>
      <c r="I1825" s="51"/>
      <c r="J1825" s="51">
        <v>4.45</v>
      </c>
      <c r="K1825" s="51">
        <f>Tabela6[[#This Row],[CONSUMO]]*Tabela6[[#This Row],[VALOR UNIT]]-Tabela6[[#This Row],[DESCONTO]]</f>
        <v>582.95000000000005</v>
      </c>
      <c r="L1825" s="53">
        <f>Tabela6[[#This Row],[CUSTO TOTAL]]/Tabela6[[#This Row],[CONSUMO]]</f>
        <v>4.45</v>
      </c>
      <c r="M1825" s="50">
        <f>Tabela6[[#This Row],[KM ATUAL]]-E1805</f>
        <v>-177198</v>
      </c>
      <c r="N1825" s="51">
        <f>Tabela6[[#This Row],[KM Rodados ]]/Tabela6[[#This Row],[CONSUMO]]</f>
        <v>-1352.6564885496184</v>
      </c>
      <c r="O1825" s="48"/>
      <c r="P1825" s="47"/>
      <c r="Q1825" s="49"/>
      <c r="R1825" s="47"/>
      <c r="S1825" s="50"/>
      <c r="T1825" s="51"/>
      <c r="U1825" s="49"/>
      <c r="V1825" s="51"/>
      <c r="W1825" s="51"/>
      <c r="X1825" s="53"/>
      <c r="Y1825" s="50"/>
      <c r="Z1825" s="51"/>
    </row>
    <row r="1826" spans="1:26" ht="14.45" customHeight="1" x14ac:dyDescent="0.25">
      <c r="A1826" s="47">
        <v>6387</v>
      </c>
      <c r="B1826" s="78">
        <v>45134</v>
      </c>
      <c r="C1826" s="47" t="s">
        <v>41</v>
      </c>
      <c r="D1826" s="49" t="s">
        <v>299</v>
      </c>
      <c r="E1826" s="47">
        <v>668516</v>
      </c>
      <c r="F1826" s="50" t="s">
        <v>89</v>
      </c>
      <c r="G1826" s="50" t="s">
        <v>89</v>
      </c>
      <c r="H1826" s="49">
        <v>183</v>
      </c>
      <c r="I1826" s="51"/>
      <c r="J1826" s="51">
        <v>4.45</v>
      </c>
      <c r="K1826" s="52">
        <f>Tabela6[[#This Row],[CONSUMO]]*Tabela6[[#This Row],[VALOR UNIT]]-Tabela6[[#This Row],[DESCONTO]]</f>
        <v>814.35</v>
      </c>
      <c r="L1826" s="53">
        <f>Tabela6[[#This Row],[CUSTO TOTAL]]/Tabela6[[#This Row],[CONSUMO]]</f>
        <v>4.45</v>
      </c>
      <c r="M1826" s="50">
        <f>Tabela6[[#This Row],[KM ATUAL]]-E1776</f>
        <v>-4120</v>
      </c>
      <c r="N1826" s="51">
        <f>Tabela6[[#This Row],[KM Rodados ]]/Tabela6[[#This Row],[CONSUMO]]</f>
        <v>-22.513661202185791</v>
      </c>
      <c r="O1826" s="48"/>
      <c r="P1826" s="47"/>
      <c r="Q1826" s="49"/>
      <c r="R1826" s="47"/>
      <c r="S1826" s="50"/>
      <c r="T1826" s="51"/>
      <c r="U1826" s="49"/>
      <c r="V1826" s="51"/>
      <c r="W1826" s="51"/>
      <c r="X1826" s="53"/>
      <c r="Y1826" s="50"/>
      <c r="Z1826" s="51"/>
    </row>
    <row r="1827" spans="1:26" ht="14.45" customHeight="1" x14ac:dyDescent="0.25">
      <c r="A1827" s="47">
        <v>6387</v>
      </c>
      <c r="B1827" s="78">
        <v>45134</v>
      </c>
      <c r="C1827" s="47" t="s">
        <v>13</v>
      </c>
      <c r="D1827" s="49" t="s">
        <v>299</v>
      </c>
      <c r="E1827" s="47">
        <v>637202</v>
      </c>
      <c r="F1827" s="50" t="s">
        <v>89</v>
      </c>
      <c r="G1827" s="50" t="s">
        <v>89</v>
      </c>
      <c r="H1827" s="49">
        <v>83</v>
      </c>
      <c r="I1827" s="51"/>
      <c r="J1827" s="51">
        <v>4.45</v>
      </c>
      <c r="K1827" s="51">
        <f>Tabela6[[#This Row],[CONSUMO]]*Tabela6[[#This Row],[VALOR UNIT]]-Tabela6[[#This Row],[DESCONTO]]</f>
        <v>369.35</v>
      </c>
      <c r="L1827" s="53">
        <f>Tabela6[[#This Row],[CUSTO TOTAL]]/Tabela6[[#This Row],[CONSUMO]]</f>
        <v>4.45</v>
      </c>
      <c r="M1827" s="50">
        <f>Tabela6[[#This Row],[KM ATUAL]]-E1812</f>
        <v>523199</v>
      </c>
      <c r="N1827" s="51">
        <f>Tabela6[[#This Row],[KM Rodados ]]/Tabela6[[#This Row],[CONSUMO]]</f>
        <v>6303.6024096385545</v>
      </c>
      <c r="O1827" s="48"/>
      <c r="P1827" s="47"/>
      <c r="Q1827" s="49"/>
      <c r="R1827" s="47"/>
      <c r="S1827" s="50"/>
      <c r="T1827" s="51"/>
      <c r="U1827" s="49"/>
      <c r="V1827" s="51"/>
      <c r="W1827" s="51"/>
      <c r="X1827" s="53"/>
      <c r="Y1827" s="50"/>
      <c r="Z1827" s="51"/>
    </row>
    <row r="1828" spans="1:26" ht="14.45" customHeight="1" x14ac:dyDescent="0.25">
      <c r="A1828" s="47">
        <v>6387</v>
      </c>
      <c r="B1828" s="78">
        <v>45134</v>
      </c>
      <c r="C1828" s="47" t="s">
        <v>17</v>
      </c>
      <c r="D1828" s="49" t="s">
        <v>299</v>
      </c>
      <c r="E1828" s="47">
        <v>361097</v>
      </c>
      <c r="F1828" s="50" t="s">
        <v>89</v>
      </c>
      <c r="G1828" s="50" t="s">
        <v>89</v>
      </c>
      <c r="H1828" s="51">
        <v>173</v>
      </c>
      <c r="I1828" s="51"/>
      <c r="J1828" s="51">
        <v>4.45</v>
      </c>
      <c r="K1828" s="51">
        <f>Tabela6[[#This Row],[CONSUMO]]*Tabela6[[#This Row],[VALOR UNIT]]-Tabela6[[#This Row],[DESCONTO]]</f>
        <v>769.85</v>
      </c>
      <c r="L1828" s="53">
        <f>Tabela6[[#This Row],[CUSTO TOTAL]]/Tabela6[[#This Row],[CONSUMO]]</f>
        <v>4.45</v>
      </c>
      <c r="M1828" s="50">
        <f>Tabela6[[#This Row],[KM ATUAL]]-E1790</f>
        <v>224610</v>
      </c>
      <c r="N1828" s="51">
        <f>Tabela6[[#This Row],[KM Rodados ]]/Tabela6[[#This Row],[CONSUMO]]</f>
        <v>1298.3236994219653</v>
      </c>
      <c r="O1828" s="48"/>
      <c r="P1828" s="47"/>
      <c r="Q1828" s="49"/>
      <c r="R1828" s="47"/>
      <c r="S1828" s="50"/>
      <c r="T1828" s="51"/>
      <c r="U1828" s="49"/>
      <c r="V1828" s="51"/>
      <c r="W1828" s="51"/>
      <c r="X1828" s="53"/>
      <c r="Y1828" s="50"/>
      <c r="Z1828" s="51"/>
    </row>
    <row r="1829" spans="1:26" ht="14.45" customHeight="1" x14ac:dyDescent="0.25">
      <c r="A1829" s="47" t="s">
        <v>314</v>
      </c>
      <c r="B1829" s="78">
        <v>45134</v>
      </c>
      <c r="C1829" s="47" t="s">
        <v>19</v>
      </c>
      <c r="E1829" s="47">
        <v>318156</v>
      </c>
      <c r="F1829" s="50"/>
      <c r="G1829" s="50" t="s">
        <v>89</v>
      </c>
      <c r="H1829" s="51">
        <v>29</v>
      </c>
      <c r="I1829" s="51"/>
      <c r="K1829" s="53">
        <f>Tabela6[[#This Row],[CONSUMO]]*Tabela6[[#This Row],[VALOR UNIT]]-Tabela6[[#This Row],[DESCONTO]]</f>
        <v>0</v>
      </c>
      <c r="L1829" s="53">
        <f>Tabela6[[#This Row],[CUSTO TOTAL]]/Tabela6[[#This Row],[CONSUMO]]</f>
        <v>0</v>
      </c>
      <c r="M1829" s="50">
        <f>Tabela6[[#This Row],[KM ATUAL]]-E1813</f>
        <v>-401309</v>
      </c>
      <c r="N1829" s="50">
        <f>Tabela6[[#This Row],[KM Rodados ]]/Tabela6[[#This Row],[CONSUMO]]</f>
        <v>-13838.241379310344</v>
      </c>
      <c r="O1829" s="48"/>
      <c r="P1829" s="47"/>
      <c r="Q1829" s="49"/>
      <c r="R1829" s="47"/>
      <c r="S1829" s="50"/>
      <c r="T1829" s="51"/>
      <c r="U1829" s="49"/>
      <c r="V1829" s="51"/>
      <c r="W1829" s="51"/>
      <c r="X1829" s="53"/>
      <c r="Y1829" s="50"/>
      <c r="Z1829" s="51"/>
    </row>
    <row r="1830" spans="1:26" ht="14.45" customHeight="1" x14ac:dyDescent="0.25">
      <c r="A1830" s="47" t="s">
        <v>314</v>
      </c>
      <c r="B1830" s="78">
        <v>45134</v>
      </c>
      <c r="C1830" s="47" t="s">
        <v>74</v>
      </c>
      <c r="E1830" s="47">
        <v>66757</v>
      </c>
      <c r="F1830" s="50"/>
      <c r="G1830" s="50" t="s">
        <v>89</v>
      </c>
      <c r="H1830" s="51">
        <v>26.3</v>
      </c>
      <c r="I1830" s="51"/>
      <c r="K1830" s="53">
        <f>Tabela6[[#This Row],[CONSUMO]]*Tabela6[[#This Row],[VALOR UNIT]]-Tabela6[[#This Row],[DESCONTO]]</f>
        <v>0</v>
      </c>
      <c r="L1830" s="53">
        <f>Tabela6[[#This Row],[CUSTO TOTAL]]/Tabela6[[#This Row],[CONSUMO]]</f>
        <v>0</v>
      </c>
      <c r="M1830" s="50">
        <f>Tabela6[[#This Row],[KM ATUAL]]-E1816</f>
        <v>-570044</v>
      </c>
      <c r="N1830" s="51">
        <f>Tabela6[[#This Row],[KM Rodados ]]/Tabela6[[#This Row],[CONSUMO]]</f>
        <v>-21674.676806083651</v>
      </c>
      <c r="O1830" s="48"/>
      <c r="P1830" s="47"/>
      <c r="Q1830" s="49"/>
      <c r="R1830" s="47"/>
      <c r="S1830" s="50"/>
      <c r="T1830" s="51"/>
      <c r="U1830" s="49"/>
      <c r="V1830" s="51"/>
      <c r="W1830" s="51"/>
      <c r="X1830" s="53"/>
      <c r="Y1830" s="50"/>
      <c r="Z1830" s="51"/>
    </row>
    <row r="1831" spans="1:26" ht="14.45" customHeight="1" x14ac:dyDescent="0.25">
      <c r="A1831" s="47">
        <v>6387</v>
      </c>
      <c r="B1831" s="78">
        <v>45135</v>
      </c>
      <c r="C1831" s="47" t="s">
        <v>43</v>
      </c>
      <c r="D1831" s="49" t="s">
        <v>299</v>
      </c>
      <c r="E1831" s="47">
        <v>138056</v>
      </c>
      <c r="F1831" s="50" t="s">
        <v>89</v>
      </c>
      <c r="G1831" s="51" t="s">
        <v>89</v>
      </c>
      <c r="H1831" s="49">
        <v>34</v>
      </c>
      <c r="I1831" s="51"/>
      <c r="J1831" s="51">
        <v>4.45</v>
      </c>
      <c r="K1831" s="53">
        <f>Tabela6[[#This Row],[CONSUMO]]*Tabela6[[#This Row],[VALOR UNIT]]-Tabela6[[#This Row],[DESCONTO]]</f>
        <v>151.30000000000001</v>
      </c>
      <c r="L1831" s="50">
        <v>4.45</v>
      </c>
      <c r="M1831" s="51">
        <f>Tabela6[[#This Row],[KM ATUAL]]-E1820</f>
        <v>-764515</v>
      </c>
      <c r="N1831" s="51">
        <f>Tabela6[[#This Row],[KM Rodados ]]/Tabela6[[#This Row],[CONSUMO]]</f>
        <v>-22485.735294117647</v>
      </c>
      <c r="O1831" s="48"/>
      <c r="P1831" s="47"/>
      <c r="Q1831" s="49"/>
      <c r="R1831" s="47"/>
      <c r="S1831" s="50"/>
      <c r="T1831" s="51"/>
      <c r="U1831" s="49"/>
      <c r="V1831" s="51"/>
      <c r="W1831" s="51"/>
      <c r="X1831" s="53"/>
      <c r="Y1831" s="50"/>
      <c r="Z1831" s="51"/>
    </row>
    <row r="1832" spans="1:26" ht="14.45" customHeight="1" x14ac:dyDescent="0.25">
      <c r="A1832" s="47">
        <v>197382</v>
      </c>
      <c r="B1832" s="78">
        <v>45135</v>
      </c>
      <c r="C1832" s="47" t="s">
        <v>215</v>
      </c>
      <c r="D1832" s="49" t="s">
        <v>262</v>
      </c>
      <c r="E1832" s="47">
        <v>226112</v>
      </c>
      <c r="F1832" s="50" t="s">
        <v>244</v>
      </c>
      <c r="G1832" s="50" t="s">
        <v>244</v>
      </c>
      <c r="H1832" s="49">
        <v>25.75</v>
      </c>
      <c r="I1832" s="51"/>
      <c r="J1832" s="51">
        <v>5.39</v>
      </c>
      <c r="K1832" s="50">
        <f>Tabela6[[#This Row],[CONSUMO]]*Tabela6[[#This Row],[VALOR UNIT]]-Tabela6[[#This Row],[DESCONTO]]</f>
        <v>138.79249999999999</v>
      </c>
      <c r="L1832" s="53">
        <f>Tabela6[[#This Row],[CUSTO TOTAL]]/Tabela6[[#This Row],[CONSUMO]]</f>
        <v>5.39</v>
      </c>
      <c r="M1832" s="50">
        <f>Tabela6[[#This Row],[KM ATUAL]]-E1831</f>
        <v>88056</v>
      </c>
      <c r="N1832" s="51">
        <f>Tabela6[[#This Row],[KM Rodados ]]/Tabela6[[#This Row],[CONSUMO]]</f>
        <v>3419.6504854368932</v>
      </c>
      <c r="O1832" s="48"/>
      <c r="P1832" s="47"/>
      <c r="Q1832" s="49"/>
      <c r="R1832" s="47"/>
      <c r="S1832" s="50"/>
      <c r="T1832" s="51"/>
      <c r="U1832" s="49"/>
      <c r="V1832" s="51"/>
      <c r="W1832" s="51"/>
      <c r="X1832" s="53"/>
      <c r="Y1832" s="50"/>
      <c r="Z1832" s="51"/>
    </row>
    <row r="1833" spans="1:26" ht="14.45" customHeight="1" x14ac:dyDescent="0.25">
      <c r="A1833" s="47">
        <v>197356</v>
      </c>
      <c r="B1833" s="78">
        <v>45135</v>
      </c>
      <c r="C1833" s="47" t="s">
        <v>72</v>
      </c>
      <c r="D1833" s="49" t="s">
        <v>262</v>
      </c>
      <c r="E1833" s="47">
        <v>405140</v>
      </c>
      <c r="F1833" s="50" t="s">
        <v>89</v>
      </c>
      <c r="G1833" s="50" t="s">
        <v>89</v>
      </c>
      <c r="H1833" s="49">
        <v>22.359000000000002</v>
      </c>
      <c r="I1833" s="51"/>
      <c r="J1833" s="51">
        <v>4.79</v>
      </c>
      <c r="K1833" s="51">
        <f>Tabela6[[#This Row],[CONSUMO]]*Tabela6[[#This Row],[VALOR UNIT]]-Tabela6[[#This Row],[DESCONTO]]</f>
        <v>107.09961000000001</v>
      </c>
      <c r="L1833" s="53">
        <f>Tabela6[[#This Row],[CUSTO TOTAL]]/Tabela6[[#This Row],[CONSUMO]]</f>
        <v>4.79</v>
      </c>
      <c r="M1833" s="50">
        <f>Tabela6[[#This Row],[KM ATUAL]]-E1821</f>
        <v>267351</v>
      </c>
      <c r="N1833" s="51">
        <f>Tabela6[[#This Row],[KM Rodados ]]/Tabela6[[#This Row],[CONSUMO]]</f>
        <v>11957.198443579766</v>
      </c>
      <c r="O1833" s="48"/>
      <c r="P1833" s="47"/>
      <c r="Q1833" s="49"/>
      <c r="R1833" s="47"/>
      <c r="S1833" s="50"/>
      <c r="T1833" s="51"/>
      <c r="U1833" s="49"/>
      <c r="V1833" s="51"/>
      <c r="W1833" s="51"/>
      <c r="X1833" s="53"/>
      <c r="Y1833" s="50"/>
      <c r="Z1833" s="51"/>
    </row>
    <row r="1834" spans="1:26" ht="14.45" customHeight="1" x14ac:dyDescent="0.25">
      <c r="A1834" s="47">
        <v>6387</v>
      </c>
      <c r="B1834" s="78">
        <v>45135</v>
      </c>
      <c r="C1834" s="47" t="s">
        <v>21</v>
      </c>
      <c r="D1834" s="49" t="s">
        <v>299</v>
      </c>
      <c r="E1834" s="47">
        <v>149064</v>
      </c>
      <c r="F1834" s="50" t="s">
        <v>89</v>
      </c>
      <c r="G1834" s="50" t="s">
        <v>89</v>
      </c>
      <c r="H1834" s="49">
        <v>117</v>
      </c>
      <c r="I1834" s="51"/>
      <c r="J1834" s="51">
        <v>4.45</v>
      </c>
      <c r="K1834" s="52">
        <f>Tabela6[[#This Row],[CONSUMO]]*Tabela6[[#This Row],[VALOR UNIT]]-Tabela6[[#This Row],[DESCONTO]]</f>
        <v>520.65</v>
      </c>
      <c r="L1834" s="53">
        <f>Tabela6[[#This Row],[CUSTO TOTAL]]/Tabela6[[#This Row],[CONSUMO]]</f>
        <v>4.45</v>
      </c>
      <c r="M1834" s="50">
        <f>Tabela6[[#This Row],[KM ATUAL]]-E1795</f>
        <v>-486768</v>
      </c>
      <c r="N1834" s="51">
        <f>Tabela6[[#This Row],[KM Rodados ]]/Tabela6[[#This Row],[CONSUMO]]</f>
        <v>-4160.4102564102568</v>
      </c>
      <c r="O1834" s="48"/>
      <c r="P1834" s="47"/>
      <c r="Q1834" s="49"/>
      <c r="R1834" s="47"/>
      <c r="S1834" s="50"/>
      <c r="T1834" s="51"/>
      <c r="U1834" s="49"/>
      <c r="V1834" s="51"/>
      <c r="W1834" s="51"/>
      <c r="X1834" s="53"/>
      <c r="Y1834" s="50"/>
      <c r="Z1834" s="51"/>
    </row>
    <row r="1835" spans="1:26" ht="14.45" customHeight="1" x14ac:dyDescent="0.25">
      <c r="A1835" s="47">
        <v>729235</v>
      </c>
      <c r="B1835" s="78">
        <v>45135</v>
      </c>
      <c r="C1835" s="47" t="s">
        <v>13</v>
      </c>
      <c r="D1835" s="49" t="s">
        <v>250</v>
      </c>
      <c r="E1835" s="47">
        <v>637879</v>
      </c>
      <c r="F1835" s="50" t="s">
        <v>89</v>
      </c>
      <c r="G1835" s="50" t="s">
        <v>89</v>
      </c>
      <c r="H1835" s="49">
        <v>133.66900000000001</v>
      </c>
      <c r="I1835" s="51"/>
      <c r="J1835" s="51">
        <v>4.99</v>
      </c>
      <c r="K1835" s="51">
        <f>Tabela6[[#This Row],[CONSUMO]]*Tabela6[[#This Row],[VALOR UNIT]]-Tabela6[[#This Row],[DESCONTO]]</f>
        <v>667.00831000000005</v>
      </c>
      <c r="L1835" s="53">
        <f>Tabela6[[#This Row],[CUSTO TOTAL]]/Tabela6[[#This Row],[CONSUMO]]</f>
        <v>4.99</v>
      </c>
      <c r="M1835" s="50">
        <f>Tabela6[[#This Row],[KM ATUAL]]-E1827</f>
        <v>677</v>
      </c>
      <c r="N1835" s="51">
        <f>Tabela6[[#This Row],[KM Rodados ]]/Tabela6[[#This Row],[CONSUMO]]</f>
        <v>5.064749493150992</v>
      </c>
      <c r="O1835" s="48"/>
      <c r="P1835" s="47"/>
      <c r="Q1835" s="49"/>
      <c r="R1835" s="47"/>
      <c r="S1835" s="50"/>
      <c r="T1835" s="51"/>
      <c r="U1835" s="49"/>
      <c r="V1835" s="51"/>
      <c r="W1835" s="51"/>
      <c r="X1835" s="53"/>
      <c r="Y1835" s="50"/>
      <c r="Z1835" s="51"/>
    </row>
    <row r="1836" spans="1:26" ht="14.45" customHeight="1" x14ac:dyDescent="0.25">
      <c r="A1836" s="47">
        <v>6387</v>
      </c>
      <c r="B1836" s="78">
        <v>45135</v>
      </c>
      <c r="C1836" s="47" t="s">
        <v>15</v>
      </c>
      <c r="D1836" s="49" t="s">
        <v>299</v>
      </c>
      <c r="E1836" s="47">
        <v>376457</v>
      </c>
      <c r="F1836" s="50" t="s">
        <v>89</v>
      </c>
      <c r="G1836" s="50" t="s">
        <v>89</v>
      </c>
      <c r="H1836" s="49">
        <v>96</v>
      </c>
      <c r="I1836" s="51"/>
      <c r="J1836" s="51">
        <v>4.45</v>
      </c>
      <c r="K1836" s="52">
        <f>Tabela6[[#This Row],[CONSUMO]]*Tabela6[[#This Row],[VALOR UNIT]]-Tabela6[[#This Row],[DESCONTO]]</f>
        <v>427.20000000000005</v>
      </c>
      <c r="L1836" s="53">
        <f>Tabela6[[#This Row],[CUSTO TOTAL]]/Tabela6[[#This Row],[CONSUMO]]</f>
        <v>4.45</v>
      </c>
      <c r="M1836" s="50">
        <f>Tabela6[[#This Row],[KM ATUAL]]-E1813</f>
        <v>-343008</v>
      </c>
      <c r="N1836" s="51">
        <f>Tabela6[[#This Row],[KM Rodados ]]/Tabela6[[#This Row],[CONSUMO]]</f>
        <v>-3573</v>
      </c>
      <c r="O1836" s="48"/>
      <c r="P1836" s="47"/>
      <c r="Q1836" s="49"/>
      <c r="R1836" s="47"/>
      <c r="S1836" s="50"/>
      <c r="T1836" s="51"/>
      <c r="U1836" s="49"/>
      <c r="V1836" s="51"/>
      <c r="W1836" s="51"/>
      <c r="X1836" s="53"/>
      <c r="Y1836" s="50"/>
      <c r="Z1836" s="51"/>
    </row>
    <row r="1837" spans="1:26" ht="14.45" customHeight="1" x14ac:dyDescent="0.25">
      <c r="A1837" s="47" t="s">
        <v>314</v>
      </c>
      <c r="B1837" s="78">
        <v>45135</v>
      </c>
      <c r="C1837" s="47" t="s">
        <v>17</v>
      </c>
      <c r="E1837" s="47">
        <v>362099</v>
      </c>
      <c r="F1837" s="50"/>
      <c r="G1837" s="50" t="s">
        <v>89</v>
      </c>
      <c r="H1837" s="51">
        <v>203</v>
      </c>
      <c r="I1837" s="51"/>
      <c r="K1837" s="52">
        <f>Tabela6[[#This Row],[CONSUMO]]*Tabela6[[#This Row],[VALOR UNIT]]-Tabela6[[#This Row],[DESCONTO]]</f>
        <v>0</v>
      </c>
      <c r="L1837" s="53">
        <f>Tabela6[[#This Row],[CUSTO TOTAL]]/Tabela6[[#This Row],[CONSUMO]]</f>
        <v>0</v>
      </c>
      <c r="M1837" s="50">
        <f>Tabela6[[#This Row],[KM ATUAL]]-E1817</f>
        <v>-13795</v>
      </c>
      <c r="N1837" s="51">
        <f>Tabela6[[#This Row],[KM Rodados ]]/Tabela6[[#This Row],[CONSUMO]]</f>
        <v>-67.955665024630548</v>
      </c>
      <c r="O1837" s="48"/>
      <c r="P1837" s="47"/>
      <c r="Q1837" s="49"/>
      <c r="R1837" s="47"/>
      <c r="S1837" s="50"/>
      <c r="T1837" s="51"/>
      <c r="U1837" s="49"/>
      <c r="V1837" s="51"/>
      <c r="W1837" s="51"/>
      <c r="X1837" s="53"/>
      <c r="Y1837" s="50"/>
      <c r="Z1837" s="51"/>
    </row>
    <row r="1838" spans="1:26" ht="14.45" customHeight="1" x14ac:dyDescent="0.25">
      <c r="A1838" s="47">
        <v>6387</v>
      </c>
      <c r="B1838" s="78">
        <v>45135</v>
      </c>
      <c r="C1838" s="47" t="s">
        <v>19</v>
      </c>
      <c r="D1838" s="49" t="s">
        <v>299</v>
      </c>
      <c r="E1838" s="47">
        <v>318336</v>
      </c>
      <c r="F1838" s="50" t="s">
        <v>89</v>
      </c>
      <c r="G1838" s="50" t="s">
        <v>89</v>
      </c>
      <c r="H1838" s="51">
        <v>34</v>
      </c>
      <c r="I1838" s="51"/>
      <c r="J1838" s="51">
        <v>4.45</v>
      </c>
      <c r="K1838" s="51">
        <f>Tabela6[[#This Row],[CONSUMO]]*Tabela6[[#This Row],[VALOR UNIT]]-Tabela6[[#This Row],[DESCONTO]]</f>
        <v>151.30000000000001</v>
      </c>
      <c r="L1838" s="53">
        <f>Tabela6[[#This Row],[CUSTO TOTAL]]/Tabela6[[#This Row],[CONSUMO]]</f>
        <v>4.45</v>
      </c>
      <c r="M1838" s="50">
        <f>Tabela6[[#This Row],[KM ATUAL]]-E1827</f>
        <v>-318866</v>
      </c>
      <c r="N1838" s="51">
        <f>Tabela6[[#This Row],[KM Rodados ]]/Tabela6[[#This Row],[CONSUMO]]</f>
        <v>-9378.4117647058829</v>
      </c>
      <c r="O1838" s="48"/>
      <c r="P1838" s="47"/>
      <c r="Q1838" s="49"/>
      <c r="R1838" s="47"/>
      <c r="S1838" s="50"/>
      <c r="T1838" s="51"/>
      <c r="U1838" s="49"/>
      <c r="V1838" s="51"/>
      <c r="W1838" s="51"/>
      <c r="X1838" s="53"/>
      <c r="Y1838" s="50"/>
      <c r="Z1838" s="51"/>
    </row>
    <row r="1839" spans="1:26" ht="14.45" customHeight="1" x14ac:dyDescent="0.25">
      <c r="A1839" s="47">
        <v>552588</v>
      </c>
      <c r="B1839" s="78">
        <v>45135</v>
      </c>
      <c r="C1839" s="47" t="s">
        <v>20</v>
      </c>
      <c r="D1839" s="49" t="s">
        <v>255</v>
      </c>
      <c r="E1839" s="47">
        <v>262378</v>
      </c>
      <c r="F1839" s="50" t="s">
        <v>89</v>
      </c>
      <c r="G1839" s="50" t="s">
        <v>89</v>
      </c>
      <c r="H1839" s="49">
        <v>85.400999999999996</v>
      </c>
      <c r="I1839" s="51"/>
      <c r="J1839" s="51">
        <v>5.32</v>
      </c>
      <c r="K1839" s="52">
        <f>Tabela6[[#This Row],[CONSUMO]]*Tabela6[[#This Row],[VALOR UNIT]]-Tabela6[[#This Row],[DESCONTO]]</f>
        <v>454.33332000000001</v>
      </c>
      <c r="L1839" s="53">
        <f>Tabela6[[#This Row],[CUSTO TOTAL]]/Tabela6[[#This Row],[CONSUMO]]</f>
        <v>5.32</v>
      </c>
      <c r="M1839" s="50">
        <f>Tabela6[[#This Row],[KM ATUAL]]-E1811</f>
        <v>-142312</v>
      </c>
      <c r="N1839" s="51">
        <f>Tabela6[[#This Row],[KM Rodados ]]/Tabela6[[#This Row],[CONSUMO]]</f>
        <v>-1666.3973489771784</v>
      </c>
      <c r="O1839" s="48"/>
      <c r="P1839" s="47"/>
      <c r="Q1839" s="49"/>
      <c r="R1839" s="47"/>
      <c r="S1839" s="50"/>
      <c r="T1839" s="51"/>
      <c r="U1839" s="49"/>
      <c r="V1839" s="51"/>
      <c r="W1839" s="51"/>
      <c r="X1839" s="53"/>
      <c r="Y1839" s="50"/>
      <c r="Z1839" s="51"/>
    </row>
    <row r="1840" spans="1:26" ht="14.45" customHeight="1" x14ac:dyDescent="0.25">
      <c r="A1840" s="47" t="s">
        <v>314</v>
      </c>
      <c r="B1840" s="78">
        <v>45136</v>
      </c>
      <c r="C1840" s="47" t="s">
        <v>23</v>
      </c>
      <c r="E1840" s="47">
        <v>236810</v>
      </c>
      <c r="F1840" s="50"/>
      <c r="G1840" s="50" t="s">
        <v>89</v>
      </c>
      <c r="H1840" s="51">
        <v>99</v>
      </c>
      <c r="I1840" s="51"/>
      <c r="K1840" s="52">
        <f>Tabela6[[#This Row],[CONSUMO]]*Tabela6[[#This Row],[VALOR UNIT]]-Tabela6[[#This Row],[DESCONTO]]</f>
        <v>0</v>
      </c>
      <c r="L1840" s="53">
        <f>Tabela6[[#This Row],[CUSTO TOTAL]]/Tabela6[[#This Row],[CONSUMO]]</f>
        <v>0</v>
      </c>
      <c r="M1840" s="50">
        <f>Tabela6[[#This Row],[KM ATUAL]]-E1792</f>
        <v>19821</v>
      </c>
      <c r="N1840" s="51">
        <f>Tabela6[[#This Row],[KM Rodados ]]/Tabela6[[#This Row],[CONSUMO]]</f>
        <v>200.21212121212122</v>
      </c>
      <c r="O1840" s="48"/>
      <c r="P1840" s="47"/>
      <c r="Q1840" s="49"/>
      <c r="R1840" s="47"/>
      <c r="S1840" s="50"/>
      <c r="T1840" s="51"/>
      <c r="U1840" s="49"/>
      <c r="V1840" s="51"/>
      <c r="W1840" s="51"/>
      <c r="X1840" s="53"/>
      <c r="Y1840" s="50"/>
      <c r="Z1840" s="51"/>
    </row>
    <row r="1841" spans="1:26" ht="14.45" customHeight="1" x14ac:dyDescent="0.25">
      <c r="A1841" s="47" t="s">
        <v>314</v>
      </c>
      <c r="B1841" s="78">
        <v>45136</v>
      </c>
      <c r="C1841" s="49" t="s">
        <v>40</v>
      </c>
      <c r="E1841" s="47">
        <v>152168</v>
      </c>
      <c r="F1841" s="50"/>
      <c r="G1841" s="50" t="s">
        <v>244</v>
      </c>
      <c r="H1841" s="51">
        <v>40.86</v>
      </c>
      <c r="I1841" s="51"/>
      <c r="K1841" s="52">
        <f>Tabela6[[#This Row],[CONSUMO]]*Tabela6[[#This Row],[VALOR UNIT]]-Tabela6[[#This Row],[DESCONTO]]</f>
        <v>0</v>
      </c>
      <c r="L1841" s="53">
        <f>Tabela6[[#This Row],[CUSTO TOTAL]]/Tabela6[[#This Row],[CONSUMO]]</f>
        <v>0</v>
      </c>
      <c r="M1841" s="50">
        <f>Tabela6[[#This Row],[KM ATUAL]]-E1840</f>
        <v>-84642</v>
      </c>
      <c r="N1841" s="51">
        <f>Tabela6[[#This Row],[KM Rodados ]]/Tabela6[[#This Row],[CONSUMO]]</f>
        <v>-2071.51248164464</v>
      </c>
      <c r="O1841" s="48"/>
      <c r="P1841" s="47"/>
      <c r="Q1841" s="49"/>
      <c r="R1841" s="47"/>
      <c r="S1841" s="50"/>
      <c r="T1841" s="51"/>
      <c r="U1841" s="49"/>
      <c r="V1841" s="51"/>
      <c r="W1841" s="51"/>
      <c r="X1841" s="53"/>
      <c r="Y1841" s="50"/>
      <c r="Z1841" s="51"/>
    </row>
    <row r="1842" spans="1:26" ht="14.45" customHeight="1" x14ac:dyDescent="0.25">
      <c r="A1842" s="47" t="s">
        <v>314</v>
      </c>
      <c r="B1842" s="78">
        <v>45136</v>
      </c>
      <c r="C1842" s="47" t="s">
        <v>74</v>
      </c>
      <c r="E1842" s="47">
        <v>67255</v>
      </c>
      <c r="F1842" s="50"/>
      <c r="G1842" s="50" t="s">
        <v>89</v>
      </c>
      <c r="H1842" s="51">
        <v>58.6</v>
      </c>
      <c r="I1842" s="51"/>
      <c r="K1842" s="53">
        <f>Tabela6[[#This Row],[CONSUMO]]*Tabela6[[#This Row],[VALOR UNIT]]-Tabela6[[#This Row],[DESCONTO]]</f>
        <v>0</v>
      </c>
      <c r="L1842" s="53">
        <f>Tabela6[[#This Row],[CUSTO TOTAL]]/Tabela6[[#This Row],[CONSUMO]]</f>
        <v>0</v>
      </c>
      <c r="M1842" s="50">
        <f>Tabela6[[#This Row],[KM ATUAL]]-E1829</f>
        <v>-250901</v>
      </c>
      <c r="N1842" s="51">
        <f>Tabela6[[#This Row],[KM Rodados ]]/Tabela6[[#This Row],[CONSUMO]]</f>
        <v>-4281.5870307167233</v>
      </c>
      <c r="O1842" s="48"/>
      <c r="P1842" s="47"/>
      <c r="Q1842" s="49"/>
      <c r="R1842" s="47"/>
      <c r="S1842" s="50"/>
      <c r="T1842" s="51"/>
      <c r="U1842" s="49"/>
      <c r="V1842" s="51"/>
      <c r="W1842" s="51"/>
      <c r="X1842" s="53"/>
      <c r="Y1842" s="50"/>
      <c r="Z1842" s="51"/>
    </row>
    <row r="1843" spans="1:26" ht="14.45" customHeight="1" x14ac:dyDescent="0.25">
      <c r="A1843" s="47" t="s">
        <v>314</v>
      </c>
      <c r="B1843" s="78">
        <v>45137</v>
      </c>
      <c r="C1843" s="47" t="s">
        <v>10</v>
      </c>
      <c r="E1843" s="47">
        <v>720251</v>
      </c>
      <c r="F1843" s="50"/>
      <c r="G1843" s="50" t="s">
        <v>89</v>
      </c>
      <c r="H1843" s="51">
        <v>207.3</v>
      </c>
      <c r="I1843" s="51"/>
      <c r="K1843" s="53">
        <f>Tabela6[[#This Row],[CONSUMO]]*Tabela6[[#This Row],[VALOR UNIT]]-Tabela6[[#This Row],[DESCONTO]]</f>
        <v>0</v>
      </c>
      <c r="L1843" s="53">
        <f>Tabela6[[#This Row],[CUSTO TOTAL]]/Tabela6[[#This Row],[CONSUMO]]</f>
        <v>0</v>
      </c>
      <c r="M1843" s="50">
        <f>Tabela6[[#This Row],[KM ATUAL]]-E1813</f>
        <v>786</v>
      </c>
      <c r="N1843" s="51">
        <f>Tabela6[[#This Row],[KM Rodados ]]/Tabela6[[#This Row],[CONSUMO]]</f>
        <v>3.7916063675832126</v>
      </c>
      <c r="O1843" s="48"/>
      <c r="P1843" s="47"/>
      <c r="Q1843" s="49"/>
      <c r="R1843" s="47"/>
      <c r="S1843" s="50"/>
      <c r="T1843" s="51"/>
      <c r="U1843" s="49"/>
      <c r="V1843" s="51"/>
      <c r="W1843" s="51"/>
      <c r="X1843" s="53"/>
      <c r="Y1843" s="50"/>
      <c r="Z1843" s="51"/>
    </row>
    <row r="1844" spans="1:26" ht="14.45" customHeight="1" x14ac:dyDescent="0.25">
      <c r="A1844" s="47">
        <v>317983</v>
      </c>
      <c r="B1844" s="78">
        <v>45137</v>
      </c>
      <c r="C1844" s="47" t="s">
        <v>14</v>
      </c>
      <c r="D1844" s="49" t="s">
        <v>276</v>
      </c>
      <c r="E1844" s="47">
        <v>288068</v>
      </c>
      <c r="F1844" s="50" t="s">
        <v>244</v>
      </c>
      <c r="G1844" s="50" t="s">
        <v>244</v>
      </c>
      <c r="H1844" s="50">
        <v>20.539000000000001</v>
      </c>
      <c r="I1844" s="51"/>
      <c r="J1844" s="51">
        <v>5.49</v>
      </c>
      <c r="K1844" s="52">
        <f>Tabela6[[#This Row],[CONSUMO]]*Tabela6[[#This Row],[VALOR UNIT]]-Tabela6[[#This Row],[DESCONTO]]</f>
        <v>112.75911000000001</v>
      </c>
      <c r="L1844" s="53">
        <f>Tabela6[[#This Row],[CUSTO TOTAL]]/Tabela6[[#This Row],[CONSUMO]]</f>
        <v>5.49</v>
      </c>
      <c r="M1844" s="50"/>
      <c r="N1844" s="51" t="s">
        <v>323</v>
      </c>
      <c r="O1844" s="48"/>
      <c r="P1844" s="47"/>
      <c r="Q1844" s="49"/>
      <c r="R1844" s="47"/>
      <c r="S1844" s="50"/>
      <c r="T1844" s="51"/>
      <c r="U1844" s="49"/>
      <c r="V1844" s="51"/>
      <c r="W1844" s="51"/>
      <c r="X1844" s="53"/>
      <c r="Y1844" s="50"/>
      <c r="Z1844" s="51"/>
    </row>
    <row r="1845" spans="1:26" ht="14.45" customHeight="1" x14ac:dyDescent="0.25">
      <c r="A1845" s="47" t="s">
        <v>314</v>
      </c>
      <c r="B1845" s="78">
        <v>45137</v>
      </c>
      <c r="C1845" s="47" t="s">
        <v>17</v>
      </c>
      <c r="E1845" s="47">
        <v>363104</v>
      </c>
      <c r="F1845" s="50"/>
      <c r="G1845" s="50" t="s">
        <v>89</v>
      </c>
      <c r="H1845" s="51">
        <v>209</v>
      </c>
      <c r="I1845" s="51"/>
      <c r="K1845" s="52">
        <f>Tabela6[[#This Row],[CONSUMO]]*Tabela6[[#This Row],[VALOR UNIT]]-Tabela6[[#This Row],[DESCONTO]]</f>
        <v>0</v>
      </c>
      <c r="L1845" s="53">
        <f>Tabela6[[#This Row],[CUSTO TOTAL]]/Tabela6[[#This Row],[CONSUMO]]</f>
        <v>0</v>
      </c>
      <c r="M1845" s="50">
        <f>Tabela6[[#This Row],[KM ATUAL]]-E1841</f>
        <v>210936</v>
      </c>
      <c r="N1845" s="51">
        <f>Tabela6[[#This Row],[KM Rodados ]]/Tabela6[[#This Row],[CONSUMO]]</f>
        <v>1009.2631578947369</v>
      </c>
      <c r="O1845" s="48"/>
      <c r="P1845" s="47"/>
      <c r="Q1845" s="49"/>
      <c r="R1845" s="47"/>
      <c r="S1845" s="50"/>
      <c r="T1845" s="51"/>
      <c r="U1845" s="49"/>
      <c r="V1845" s="51"/>
      <c r="W1845" s="51"/>
      <c r="X1845" s="53"/>
      <c r="Y1845" s="50"/>
      <c r="Z1845" s="51"/>
    </row>
    <row r="1846" spans="1:26" ht="14.45" customHeight="1" x14ac:dyDescent="0.25">
      <c r="A1846" s="47">
        <v>6387</v>
      </c>
      <c r="B1846" s="78">
        <v>45138</v>
      </c>
      <c r="C1846" s="47" t="s">
        <v>8</v>
      </c>
      <c r="D1846" s="49" t="s">
        <v>299</v>
      </c>
      <c r="E1846" s="47">
        <v>875663</v>
      </c>
      <c r="F1846" s="50" t="s">
        <v>89</v>
      </c>
      <c r="G1846" s="51" t="s">
        <v>89</v>
      </c>
      <c r="H1846" s="49">
        <v>25</v>
      </c>
      <c r="I1846" s="51"/>
      <c r="J1846" s="51">
        <v>4.45</v>
      </c>
      <c r="K1846" s="52">
        <f>Tabela6[[#This Row],[CONSUMO]]*Tabela6[[#This Row],[VALOR UNIT]]-Tabela6[[#This Row],[DESCONTO]]</f>
        <v>111.25</v>
      </c>
      <c r="L1846" s="53">
        <f>Tabela6[[#This Row],[CUSTO TOTAL]]/Tabela6[[#This Row],[CONSUMO]]</f>
        <v>4.45</v>
      </c>
      <c r="M1846" s="51">
        <f>Tabela6[[#This Row],[KM ATUAL]]-E1725</f>
        <v>740448</v>
      </c>
      <c r="N1846" s="51">
        <f>Tabela6[[#This Row],[KM Rodados ]]/Tabela6[[#This Row],[CONSUMO]]</f>
        <v>29617.919999999998</v>
      </c>
      <c r="O1846" s="48"/>
      <c r="P1846" s="47"/>
      <c r="Q1846" s="49"/>
      <c r="R1846" s="47"/>
      <c r="S1846" s="50"/>
      <c r="T1846" s="51"/>
      <c r="U1846" s="49"/>
      <c r="V1846" s="51"/>
      <c r="W1846" s="51"/>
      <c r="X1846" s="53"/>
      <c r="Y1846" s="50"/>
      <c r="Z1846" s="51"/>
    </row>
    <row r="1847" spans="1:26" ht="14.45" customHeight="1" x14ac:dyDescent="0.25">
      <c r="A1847" s="47">
        <v>6387</v>
      </c>
      <c r="B1847" s="78">
        <v>45138</v>
      </c>
      <c r="C1847" s="47" t="s">
        <v>222</v>
      </c>
      <c r="D1847" s="49" t="s">
        <v>299</v>
      </c>
      <c r="E1847" s="47">
        <v>489908</v>
      </c>
      <c r="F1847" s="50" t="s">
        <v>89</v>
      </c>
      <c r="G1847" s="50" t="s">
        <v>89</v>
      </c>
      <c r="H1847" s="49">
        <v>315</v>
      </c>
      <c r="I1847" s="51"/>
      <c r="J1847" s="51">
        <v>4.45</v>
      </c>
      <c r="K1847" s="53">
        <f>Tabela6[[#This Row],[CONSUMO]]*Tabela6[[#This Row],[VALOR UNIT]]-Tabela6[[#This Row],[DESCONTO]]</f>
        <v>1401.75</v>
      </c>
      <c r="L1847" s="50">
        <v>4.45</v>
      </c>
      <c r="M1847" s="50">
        <f>Tabela6[[#This Row],[KM ATUAL]]-E1800</f>
        <v>85792</v>
      </c>
      <c r="N1847" s="51">
        <f>Tabela6[[#This Row],[KM Rodados ]]/Tabela6[[#This Row],[CONSUMO]]</f>
        <v>272.35555555555555</v>
      </c>
      <c r="O1847" s="48"/>
      <c r="P1847" s="47"/>
      <c r="Q1847" s="49"/>
      <c r="R1847" s="47"/>
      <c r="S1847" s="50"/>
      <c r="T1847" s="51"/>
      <c r="U1847" s="49"/>
      <c r="V1847" s="51"/>
      <c r="W1847" s="51"/>
      <c r="X1847" s="53"/>
      <c r="Y1847" s="50"/>
      <c r="Z1847" s="51"/>
    </row>
    <row r="1848" spans="1:26" ht="14.45" customHeight="1" x14ac:dyDescent="0.25">
      <c r="A1848" s="47">
        <v>6387</v>
      </c>
      <c r="B1848" s="78">
        <v>45138</v>
      </c>
      <c r="C1848" s="47" t="s">
        <v>67</v>
      </c>
      <c r="D1848" s="49" t="s">
        <v>299</v>
      </c>
      <c r="E1848" s="47">
        <v>673506</v>
      </c>
      <c r="F1848" s="50" t="s">
        <v>89</v>
      </c>
      <c r="G1848" s="51" t="s">
        <v>89</v>
      </c>
      <c r="H1848" s="49">
        <v>130</v>
      </c>
      <c r="I1848" s="51"/>
      <c r="J1848" s="51">
        <v>4.45</v>
      </c>
      <c r="K1848" s="53">
        <f>Tabela6[[#This Row],[CONSUMO]]*Tabela6[[#This Row],[VALOR UNIT]]-Tabela6[[#This Row],[DESCONTO]]</f>
        <v>578.5</v>
      </c>
      <c r="L1848" s="50">
        <v>4.45</v>
      </c>
      <c r="M1848" s="50">
        <f>Tabela6[[#This Row],[KM ATUAL]]-E1815</f>
        <v>37116</v>
      </c>
      <c r="N1848" s="51">
        <f>Tabela6[[#This Row],[KM Rodados ]]/Tabela6[[#This Row],[CONSUMO]]</f>
        <v>285.50769230769231</v>
      </c>
      <c r="O1848" s="48"/>
      <c r="P1848" s="47"/>
      <c r="Q1848" s="49"/>
      <c r="R1848" s="47"/>
      <c r="S1848" s="50"/>
      <c r="T1848" s="51"/>
      <c r="U1848" s="49"/>
      <c r="V1848" s="51"/>
      <c r="W1848" s="51"/>
      <c r="X1848" s="53"/>
      <c r="Y1848" s="50"/>
      <c r="Z1848" s="51"/>
    </row>
    <row r="1849" spans="1:26" ht="14.45" customHeight="1" x14ac:dyDescent="0.25">
      <c r="A1849" s="47">
        <v>581452</v>
      </c>
      <c r="B1849" s="78">
        <v>45138</v>
      </c>
      <c r="C1849" s="47" t="s">
        <v>70</v>
      </c>
      <c r="D1849" s="49" t="s">
        <v>275</v>
      </c>
      <c r="E1849" s="47">
        <v>217736</v>
      </c>
      <c r="F1849" s="50" t="s">
        <v>89</v>
      </c>
      <c r="G1849" s="50" t="s">
        <v>89</v>
      </c>
      <c r="H1849" s="49">
        <v>356.26</v>
      </c>
      <c r="I1849" s="51"/>
      <c r="J1849" s="51">
        <v>4.79</v>
      </c>
      <c r="K1849" s="51">
        <f>Tabela6[[#This Row],[CONSUMO]]*Tabela6[[#This Row],[VALOR UNIT]]-Tabela6[[#This Row],[DESCONTO]]</f>
        <v>1706.4854</v>
      </c>
      <c r="L1849" s="53">
        <f>Tabela6[[#This Row],[CUSTO TOTAL]]/Tabela6[[#This Row],[CONSUMO]]</f>
        <v>4.79</v>
      </c>
      <c r="M1849" s="50">
        <f>Tabela6[[#This Row],[KM ATUAL]]-E1794</f>
        <v>-417746</v>
      </c>
      <c r="N1849" s="51">
        <f>Tabela6[[#This Row],[KM Rodados ]]/Tabela6[[#This Row],[CONSUMO]]</f>
        <v>-1172.5874361421434</v>
      </c>
      <c r="O1849" s="48"/>
      <c r="P1849" s="47"/>
      <c r="Q1849" s="49"/>
      <c r="R1849" s="47"/>
      <c r="S1849" s="50"/>
      <c r="T1849" s="51"/>
      <c r="U1849" s="49"/>
      <c r="V1849" s="51"/>
      <c r="W1849" s="51"/>
      <c r="X1849" s="53"/>
      <c r="Y1849" s="50"/>
      <c r="Z1849" s="51"/>
    </row>
    <row r="1850" spans="1:26" ht="14.45" customHeight="1" x14ac:dyDescent="0.25">
      <c r="A1850" s="47">
        <v>6387</v>
      </c>
      <c r="B1850" s="78">
        <v>45138</v>
      </c>
      <c r="C1850" s="47" t="s">
        <v>72</v>
      </c>
      <c r="D1850" s="49" t="s">
        <v>299</v>
      </c>
      <c r="E1850" s="47">
        <v>405613</v>
      </c>
      <c r="F1850" s="50" t="s">
        <v>89</v>
      </c>
      <c r="G1850" s="50" t="s">
        <v>89</v>
      </c>
      <c r="H1850" s="49">
        <v>53</v>
      </c>
      <c r="I1850" s="51"/>
      <c r="J1850" s="51">
        <v>4.45</v>
      </c>
      <c r="K1850" s="51">
        <f>Tabela6[[#This Row],[CONSUMO]]*Tabela6[[#This Row],[VALOR UNIT]]-Tabela6[[#This Row],[DESCONTO]]</f>
        <v>235.85000000000002</v>
      </c>
      <c r="L1850" s="53">
        <f>Tabela6[[#This Row],[CUSTO TOTAL]]/Tabela6[[#This Row],[CONSUMO]]</f>
        <v>4.45</v>
      </c>
      <c r="M1850" s="50">
        <f>Tabela6[[#This Row],[KM ATUAL]]-E1828</f>
        <v>44516</v>
      </c>
      <c r="N1850" s="51">
        <f>Tabela6[[#This Row],[KM Rodados ]]/Tabela6[[#This Row],[CONSUMO]]</f>
        <v>839.92452830188677</v>
      </c>
      <c r="O1850" s="48"/>
      <c r="P1850" s="47"/>
      <c r="Q1850" s="49"/>
      <c r="R1850" s="47"/>
      <c r="S1850" s="50"/>
      <c r="T1850" s="51"/>
      <c r="U1850" s="49"/>
      <c r="V1850" s="51"/>
      <c r="W1850" s="51"/>
      <c r="X1850" s="53"/>
      <c r="Y1850" s="50"/>
      <c r="Z1850" s="51"/>
    </row>
    <row r="1851" spans="1:26" ht="14.45" customHeight="1" x14ac:dyDescent="0.25">
      <c r="A1851" s="47">
        <v>6387</v>
      </c>
      <c r="B1851" s="78">
        <v>45138</v>
      </c>
      <c r="C1851" s="47" t="s">
        <v>73</v>
      </c>
      <c r="D1851" s="49" t="s">
        <v>299</v>
      </c>
      <c r="E1851" s="47">
        <v>131309</v>
      </c>
      <c r="F1851" s="50" t="s">
        <v>89</v>
      </c>
      <c r="G1851" s="50" t="s">
        <v>89</v>
      </c>
      <c r="H1851" s="51">
        <v>137</v>
      </c>
      <c r="I1851" s="51"/>
      <c r="J1851" s="51">
        <v>4.45</v>
      </c>
      <c r="K1851" s="52">
        <f>Tabela6[[#This Row],[CONSUMO]]*Tabela6[[#This Row],[VALOR UNIT]]-Tabela6[[#This Row],[DESCONTO]]</f>
        <v>609.65</v>
      </c>
      <c r="L1851" s="53">
        <f>Tabela6[[#This Row],[CUSTO TOTAL]]/Tabela6[[#This Row],[CONSUMO]]</f>
        <v>4.45</v>
      </c>
      <c r="M1851" s="50">
        <f>Tabela6[[#This Row],[KM ATUAL]]-E1791</f>
        <v>-5478</v>
      </c>
      <c r="N1851" s="84">
        <f>Tabela6[[#This Row],[KM Rodados ]]/Tabela6[[#This Row],[CONSUMO]]</f>
        <v>-39.985401459854018</v>
      </c>
      <c r="O1851" s="48"/>
      <c r="P1851" s="47"/>
      <c r="Q1851" s="49"/>
      <c r="R1851" s="47"/>
      <c r="S1851" s="50"/>
      <c r="T1851" s="51"/>
      <c r="U1851" s="49"/>
      <c r="V1851" s="51"/>
      <c r="W1851" s="51"/>
      <c r="X1851" s="53"/>
      <c r="Y1851" s="50"/>
      <c r="Z1851" s="51"/>
    </row>
    <row r="1852" spans="1:26" ht="14.45" customHeight="1" x14ac:dyDescent="0.25">
      <c r="A1852" s="47">
        <v>6387</v>
      </c>
      <c r="B1852" s="78">
        <v>45138</v>
      </c>
      <c r="C1852" s="47" t="s">
        <v>41</v>
      </c>
      <c r="D1852" s="49" t="s">
        <v>299</v>
      </c>
      <c r="E1852" s="47">
        <v>668931</v>
      </c>
      <c r="F1852" s="50" t="s">
        <v>89</v>
      </c>
      <c r="G1852" s="50" t="s">
        <v>89</v>
      </c>
      <c r="H1852" s="49">
        <v>93</v>
      </c>
      <c r="I1852" s="51"/>
      <c r="J1852" s="51">
        <v>4.45</v>
      </c>
      <c r="K1852" s="52">
        <f>Tabela6[[#This Row],[CONSUMO]]*Tabela6[[#This Row],[VALOR UNIT]]-Tabela6[[#This Row],[DESCONTO]]</f>
        <v>413.85</v>
      </c>
      <c r="L1852" s="53">
        <f>Tabela6[[#This Row],[CUSTO TOTAL]]/Tabela6[[#This Row],[CONSUMO]]</f>
        <v>4.45</v>
      </c>
      <c r="M1852" s="50">
        <f>Tabela6[[#This Row],[KM ATUAL]]-E1817</f>
        <v>293037</v>
      </c>
      <c r="N1852" s="51">
        <f>Tabela6[[#This Row],[KM Rodados ]]/Tabela6[[#This Row],[CONSUMO]]</f>
        <v>3150.9354838709678</v>
      </c>
      <c r="O1852" s="48"/>
      <c r="P1852" s="47"/>
      <c r="Q1852" s="49"/>
      <c r="R1852" s="47"/>
      <c r="S1852" s="50"/>
      <c r="T1852" s="51"/>
      <c r="U1852" s="49"/>
      <c r="V1852" s="51"/>
      <c r="W1852" s="51"/>
      <c r="X1852" s="53"/>
      <c r="Y1852" s="50"/>
      <c r="Z1852" s="51"/>
    </row>
    <row r="1853" spans="1:26" ht="14.45" customHeight="1" x14ac:dyDescent="0.25">
      <c r="A1853" s="47">
        <v>6387</v>
      </c>
      <c r="B1853" s="78">
        <v>45138</v>
      </c>
      <c r="C1853" s="47" t="s">
        <v>206</v>
      </c>
      <c r="E1853" s="47">
        <v>950587</v>
      </c>
      <c r="F1853" s="50" t="s">
        <v>89</v>
      </c>
      <c r="G1853" s="50" t="s">
        <v>89</v>
      </c>
      <c r="H1853" s="49">
        <v>293</v>
      </c>
      <c r="I1853" s="51"/>
      <c r="J1853" s="51">
        <v>4.45</v>
      </c>
      <c r="K1853" s="52">
        <f>Tabela6[[#This Row],[CONSUMO]]*Tabela6[[#This Row],[VALOR UNIT]]-Tabela6[[#This Row],[DESCONTO]]</f>
        <v>1303.8500000000001</v>
      </c>
      <c r="L1853" s="53">
        <f>Tabela6[[#This Row],[CUSTO TOTAL]]/Tabela6[[#This Row],[CONSUMO]]</f>
        <v>4.45</v>
      </c>
      <c r="M1853" s="50">
        <f>Tabela6[[#This Row],[KM ATUAL]]-E1815</f>
        <v>314197</v>
      </c>
      <c r="N1853" s="51">
        <f>Tabela6[[#This Row],[KM Rodados ]]/Tabela6[[#This Row],[CONSUMO]]</f>
        <v>1072.344709897611</v>
      </c>
      <c r="O1853" s="48"/>
      <c r="P1853" s="47"/>
      <c r="Q1853" s="49"/>
      <c r="R1853" s="47"/>
      <c r="S1853" s="50"/>
      <c r="T1853" s="51"/>
      <c r="U1853" s="49"/>
      <c r="V1853" s="51"/>
      <c r="W1853" s="51"/>
      <c r="X1853" s="53"/>
      <c r="Y1853" s="50"/>
      <c r="Z1853" s="51"/>
    </row>
    <row r="1854" spans="1:26" ht="14.45" customHeight="1" x14ac:dyDescent="0.25">
      <c r="A1854" s="47">
        <v>6387</v>
      </c>
      <c r="B1854" s="78">
        <v>45138</v>
      </c>
      <c r="C1854" s="47" t="s">
        <v>13</v>
      </c>
      <c r="D1854" s="49" t="s">
        <v>299</v>
      </c>
      <c r="E1854" s="47">
        <v>638080</v>
      </c>
      <c r="F1854" s="50"/>
      <c r="G1854" s="50" t="s">
        <v>89</v>
      </c>
      <c r="H1854" s="51">
        <v>46</v>
      </c>
      <c r="I1854" s="51"/>
      <c r="K1854" s="52">
        <f>Tabela6[[#This Row],[CONSUMO]]*Tabela6[[#This Row],[VALOR UNIT]]-Tabela6[[#This Row],[DESCONTO]]</f>
        <v>0</v>
      </c>
      <c r="L1854" s="53">
        <f>Tabela6[[#This Row],[CUSTO TOTAL]]/Tabela6[[#This Row],[CONSUMO]]</f>
        <v>0</v>
      </c>
      <c r="M1854" s="50">
        <f>Tabela6[[#This Row],[KM ATUAL]]-E1837</f>
        <v>275981</v>
      </c>
      <c r="N1854" s="51">
        <f>Tabela6[[#This Row],[KM Rodados ]]/Tabela6[[#This Row],[CONSUMO]]</f>
        <v>5999.586956521739</v>
      </c>
      <c r="O1854" s="48"/>
      <c r="P1854" s="47"/>
      <c r="Q1854" s="49"/>
      <c r="R1854" s="47"/>
      <c r="S1854" s="50"/>
      <c r="T1854" s="51"/>
      <c r="U1854" s="49"/>
      <c r="V1854" s="51"/>
      <c r="W1854" s="51"/>
      <c r="X1854" s="53"/>
      <c r="Y1854" s="50"/>
      <c r="Z1854" s="51"/>
    </row>
    <row r="1855" spans="1:26" ht="14.45" customHeight="1" x14ac:dyDescent="0.25">
      <c r="A1855" s="47">
        <v>706710</v>
      </c>
      <c r="B1855" s="78">
        <v>45138</v>
      </c>
      <c r="C1855" s="47" t="s">
        <v>13</v>
      </c>
      <c r="D1855" s="49" t="s">
        <v>264</v>
      </c>
      <c r="E1855" s="47">
        <v>638586</v>
      </c>
      <c r="F1855" s="50" t="s">
        <v>89</v>
      </c>
      <c r="G1855" s="50" t="s">
        <v>89</v>
      </c>
      <c r="H1855" s="49">
        <v>94.790999999999997</v>
      </c>
      <c r="I1855" s="51"/>
      <c r="J1855" s="51">
        <v>4.99</v>
      </c>
      <c r="K1855" s="51">
        <f>Tabela6[[#This Row],[CONSUMO]]*Tabela6[[#This Row],[VALOR UNIT]]-Tabela6[[#This Row],[DESCONTO]]</f>
        <v>473.00709000000001</v>
      </c>
      <c r="L1855" s="53">
        <f>Tabela6[[#This Row],[CUSTO TOTAL]]/Tabela6[[#This Row],[CONSUMO]]</f>
        <v>4.99</v>
      </c>
      <c r="M1855" s="50">
        <f>Tabela6[[#This Row],[KM ATUAL]]-E1854</f>
        <v>506</v>
      </c>
      <c r="N1855" s="51">
        <f>Tabela6[[#This Row],[KM Rodados ]]/Tabela6[[#This Row],[CONSUMO]]</f>
        <v>5.3380595204186054</v>
      </c>
      <c r="O1855" s="48"/>
      <c r="P1855" s="47"/>
      <c r="Q1855" s="49"/>
      <c r="R1855" s="47"/>
      <c r="S1855" s="50"/>
      <c r="T1855" s="51"/>
      <c r="U1855" s="49"/>
      <c r="V1855" s="51"/>
      <c r="W1855" s="51"/>
      <c r="X1855" s="53"/>
      <c r="Y1855" s="50"/>
      <c r="Z1855" s="51"/>
    </row>
    <row r="1856" spans="1:26" ht="14.45" customHeight="1" x14ac:dyDescent="0.25">
      <c r="A1856" s="47" t="s">
        <v>314</v>
      </c>
      <c r="B1856" s="78">
        <v>45138</v>
      </c>
      <c r="C1856" s="47" t="s">
        <v>14</v>
      </c>
      <c r="E1856" s="47">
        <v>288618</v>
      </c>
      <c r="F1856" s="50"/>
      <c r="G1856" s="50" t="s">
        <v>244</v>
      </c>
      <c r="H1856" s="51">
        <v>37</v>
      </c>
      <c r="I1856" s="51"/>
      <c r="K1856" s="52">
        <f>Tabela6[[#This Row],[CONSUMO]]*Tabela6[[#This Row],[VALOR UNIT]]-Tabela6[[#This Row],[DESCONTO]]</f>
        <v>0</v>
      </c>
      <c r="L1856" s="53">
        <f>Tabela6[[#This Row],[CUSTO TOTAL]]/Tabela6[[#This Row],[CONSUMO]]</f>
        <v>0</v>
      </c>
      <c r="M1856" s="50">
        <f>Tabela6[[#This Row],[KM ATUAL]]-E1614</f>
        <v>196281</v>
      </c>
      <c r="N1856" s="51">
        <f>Tabela6[[#This Row],[KM Rodados ]]/Tabela6[[#This Row],[CONSUMO]]</f>
        <v>5304.8918918918916</v>
      </c>
      <c r="O1856" s="48"/>
      <c r="P1856" s="47"/>
      <c r="Q1856" s="49"/>
      <c r="R1856" s="47"/>
      <c r="S1856" s="50"/>
      <c r="T1856" s="51"/>
      <c r="U1856" s="49"/>
      <c r="V1856" s="51"/>
      <c r="W1856" s="51"/>
      <c r="X1856" s="53"/>
      <c r="Y1856" s="50"/>
      <c r="Z1856" s="51"/>
    </row>
    <row r="1857" spans="1:26" ht="14.45" customHeight="1" x14ac:dyDescent="0.25">
      <c r="A1857" s="47">
        <v>553242</v>
      </c>
      <c r="B1857" s="78">
        <v>45138</v>
      </c>
      <c r="C1857" s="47" t="s">
        <v>18</v>
      </c>
      <c r="D1857" s="49" t="s">
        <v>255</v>
      </c>
      <c r="E1857" s="47">
        <v>321775</v>
      </c>
      <c r="F1857" s="50" t="s">
        <v>89</v>
      </c>
      <c r="G1857" s="51" t="s">
        <v>89</v>
      </c>
      <c r="H1857" s="49">
        <v>65.081000000000003</v>
      </c>
      <c r="I1857" s="51"/>
      <c r="J1857" s="51">
        <v>5.32</v>
      </c>
      <c r="K1857" s="51">
        <f>Tabela6[[#This Row],[CONSUMO]]*Tabela6[[#This Row],[VALOR UNIT]]-Tabela6[[#This Row],[DESCONTO]]</f>
        <v>346.23092000000003</v>
      </c>
      <c r="L1857" s="53">
        <f>Tabela6[[#This Row],[CUSTO TOTAL]]/Tabela6[[#This Row],[CONSUMO]]</f>
        <v>5.32</v>
      </c>
      <c r="M1857" s="50">
        <f>Tabela6[[#This Row],[KM ATUAL]]-E1706</f>
        <v>187074</v>
      </c>
      <c r="N1857" s="79">
        <f>Tabela6[[#This Row],[KM Rodados ]]/Tabela6[[#This Row],[CONSUMO]]</f>
        <v>2874.4794947834234</v>
      </c>
      <c r="O1857" s="48"/>
      <c r="P1857" s="47"/>
      <c r="Q1857" s="49"/>
      <c r="R1857" s="47"/>
      <c r="S1857" s="50"/>
      <c r="T1857" s="51"/>
      <c r="U1857" s="49"/>
      <c r="V1857" s="51"/>
      <c r="W1857" s="51"/>
      <c r="X1857" s="53"/>
      <c r="Y1857" s="50"/>
      <c r="Z1857" s="51"/>
    </row>
    <row r="1858" spans="1:26" ht="14.45" customHeight="1" x14ac:dyDescent="0.25">
      <c r="A1858" s="47" t="s">
        <v>314</v>
      </c>
      <c r="B1858" s="78">
        <v>45138</v>
      </c>
      <c r="C1858" s="47" t="s">
        <v>23</v>
      </c>
      <c r="E1858" s="47">
        <v>237489</v>
      </c>
      <c r="F1858" s="50"/>
      <c r="G1858" s="50" t="s">
        <v>89</v>
      </c>
      <c r="H1858" s="51">
        <v>142</v>
      </c>
      <c r="I1858" s="51"/>
      <c r="K1858" s="52">
        <f>Tabela6[[#This Row],[CONSUMO]]*Tabela6[[#This Row],[VALOR UNIT]]-Tabela6[[#This Row],[DESCONTO]]</f>
        <v>0</v>
      </c>
      <c r="L1858" s="53">
        <f>Tabela6[[#This Row],[CUSTO TOTAL]]/Tabela6[[#This Row],[CONSUMO]]</f>
        <v>0</v>
      </c>
      <c r="M1858" s="50">
        <f>Tabela6[[#This Row],[KM ATUAL]]-E1843</f>
        <v>-482762</v>
      </c>
      <c r="N1858" s="51">
        <f>Tabela6[[#This Row],[KM Rodados ]]/Tabela6[[#This Row],[CONSUMO]]</f>
        <v>-3399.7323943661972</v>
      </c>
      <c r="O1858" s="48"/>
      <c r="P1858" s="47"/>
      <c r="Q1858" s="49"/>
      <c r="R1858" s="47"/>
      <c r="S1858" s="50"/>
      <c r="T1858" s="51"/>
      <c r="U1858" s="49"/>
      <c r="V1858" s="51"/>
      <c r="W1858" s="51"/>
      <c r="X1858" s="53"/>
      <c r="Y1858" s="50"/>
      <c r="Z1858" s="51"/>
    </row>
    <row r="1859" spans="1:26" ht="14.45" customHeight="1" x14ac:dyDescent="0.25">
      <c r="A1859" s="47" t="s">
        <v>314</v>
      </c>
      <c r="B1859" s="78">
        <v>45138</v>
      </c>
      <c r="C1859" s="47" t="s">
        <v>23</v>
      </c>
      <c r="E1859" s="47">
        <v>238254</v>
      </c>
      <c r="F1859" s="50"/>
      <c r="G1859" s="50" t="s">
        <v>89</v>
      </c>
      <c r="H1859" s="51">
        <v>155</v>
      </c>
      <c r="I1859" s="51"/>
      <c r="K1859" s="52">
        <f>Tabela6[[#This Row],[CONSUMO]]*Tabela6[[#This Row],[VALOR UNIT]]-Tabela6[[#This Row],[DESCONTO]]</f>
        <v>0</v>
      </c>
      <c r="L1859" s="53">
        <f>Tabela6[[#This Row],[CUSTO TOTAL]]/Tabela6[[#This Row],[CONSUMO]]</f>
        <v>0</v>
      </c>
      <c r="M1859" s="50">
        <f>Tabela6[[#This Row],[KM ATUAL]]-E1858</f>
        <v>765</v>
      </c>
      <c r="N1859" s="51">
        <f>Tabela6[[#This Row],[KM Rodados ]]/Tabela6[[#This Row],[CONSUMO]]</f>
        <v>4.935483870967742</v>
      </c>
      <c r="O1859" s="48"/>
      <c r="P1859" s="47"/>
      <c r="Q1859" s="49"/>
      <c r="R1859" s="47"/>
      <c r="S1859" s="50"/>
      <c r="T1859" s="51"/>
      <c r="U1859" s="49"/>
      <c r="V1859" s="51"/>
      <c r="W1859" s="51"/>
      <c r="X1859" s="53"/>
      <c r="Y1859" s="50"/>
      <c r="Z1859" s="51"/>
    </row>
    <row r="1860" spans="1:26" ht="14.45" customHeight="1" x14ac:dyDescent="0.25">
      <c r="A1860" s="47">
        <v>6506</v>
      </c>
      <c r="B1860" s="78">
        <v>45139</v>
      </c>
      <c r="C1860" s="47" t="s">
        <v>68</v>
      </c>
      <c r="D1860" s="49" t="s">
        <v>299</v>
      </c>
      <c r="E1860" s="47">
        <v>903431</v>
      </c>
      <c r="F1860" s="50" t="s">
        <v>89</v>
      </c>
      <c r="G1860" s="51" t="s">
        <v>89</v>
      </c>
      <c r="H1860" s="49">
        <v>353</v>
      </c>
      <c r="I1860" s="51"/>
      <c r="J1860" s="51">
        <v>4.45</v>
      </c>
      <c r="K1860" s="51">
        <f>Tabela6[[#This Row],[CONSUMO]]*Tabela6[[#This Row],[VALOR UNIT]]-Tabela6[[#This Row],[DESCONTO]]</f>
        <v>1570.8500000000001</v>
      </c>
      <c r="L1860" s="53">
        <f>Tabela6[[#This Row],[CUSTO TOTAL]]/Tabela6[[#This Row],[CONSUMO]]</f>
        <v>4.45</v>
      </c>
      <c r="M1860" s="50">
        <f>Tabela6[[#This Row],[KM ATUAL]]-E1815</f>
        <v>267041</v>
      </c>
      <c r="N1860" s="51">
        <f>Tabela6[[#This Row],[KM Rodados ]]/Tabela6[[#This Row],[CONSUMO]]</f>
        <v>756.49008498583567</v>
      </c>
      <c r="O1860" s="48"/>
      <c r="P1860" s="47"/>
      <c r="Q1860" s="49"/>
      <c r="R1860" s="47"/>
      <c r="S1860" s="50"/>
      <c r="T1860" s="51"/>
      <c r="U1860" s="49"/>
      <c r="V1860" s="51"/>
      <c r="W1860" s="51"/>
      <c r="X1860" s="53"/>
      <c r="Y1860" s="50"/>
      <c r="Z1860" s="51"/>
    </row>
    <row r="1861" spans="1:26" ht="14.45" customHeight="1" x14ac:dyDescent="0.25">
      <c r="A1861" s="47">
        <v>6387</v>
      </c>
      <c r="B1861" s="78">
        <v>45139</v>
      </c>
      <c r="C1861" s="47" t="s">
        <v>43</v>
      </c>
      <c r="D1861" s="49" t="s">
        <v>299</v>
      </c>
      <c r="E1861" s="47">
        <v>138174</v>
      </c>
      <c r="F1861" s="50" t="s">
        <v>89</v>
      </c>
      <c r="G1861" s="51" t="s">
        <v>89</v>
      </c>
      <c r="H1861" s="49">
        <v>14</v>
      </c>
      <c r="I1861" s="51"/>
      <c r="J1861" s="51">
        <v>4.45</v>
      </c>
      <c r="K1861" s="53">
        <f>Tabela6[[#This Row],[CONSUMO]]*Tabela6[[#This Row],[VALOR UNIT]]-Tabela6[[#This Row],[DESCONTO]]</f>
        <v>62.300000000000004</v>
      </c>
      <c r="L1861" s="50">
        <v>4.45</v>
      </c>
      <c r="M1861" s="51">
        <f>Tabela6[[#This Row],[KM ATUAL]]-E1833</f>
        <v>-266966</v>
      </c>
      <c r="N1861" s="51">
        <f>Tabela6[[#This Row],[KM Rodados ]]/Tabela6[[#This Row],[CONSUMO]]</f>
        <v>-19069</v>
      </c>
      <c r="O1861" s="48"/>
      <c r="P1861" s="47"/>
      <c r="Q1861" s="49"/>
      <c r="R1861" s="47"/>
      <c r="S1861" s="50"/>
      <c r="T1861" s="51"/>
      <c r="U1861" s="49"/>
      <c r="V1861" s="51"/>
      <c r="W1861" s="51"/>
      <c r="X1861" s="53"/>
      <c r="Y1861" s="50"/>
      <c r="Z1861" s="51"/>
    </row>
    <row r="1862" spans="1:26" ht="14.45" customHeight="1" x14ac:dyDescent="0.25">
      <c r="A1862" s="47">
        <v>6506</v>
      </c>
      <c r="B1862" s="78">
        <v>45139</v>
      </c>
      <c r="C1862" s="47" t="s">
        <v>8</v>
      </c>
      <c r="D1862" s="49" t="s">
        <v>299</v>
      </c>
      <c r="E1862" s="47">
        <v>875678</v>
      </c>
      <c r="F1862" s="50" t="s">
        <v>89</v>
      </c>
      <c r="G1862" s="51" t="s">
        <v>89</v>
      </c>
      <c r="H1862" s="49">
        <v>4.5999999999999996</v>
      </c>
      <c r="I1862" s="51"/>
      <c r="J1862" s="51">
        <v>4.45</v>
      </c>
      <c r="K1862" s="52">
        <f>Tabela6[[#This Row],[CONSUMO]]*Tabela6[[#This Row],[VALOR UNIT]]-Tabela6[[#This Row],[DESCONTO]]</f>
        <v>20.47</v>
      </c>
      <c r="L1862" s="53">
        <f>Tabela6[[#This Row],[CUSTO TOTAL]]/Tabela6[[#This Row],[CONSUMO]]</f>
        <v>4.45</v>
      </c>
      <c r="M1862" s="51">
        <f>Tabela6[[#This Row],[KM ATUAL]]-E1848</f>
        <v>202172</v>
      </c>
      <c r="N1862" s="51">
        <f>Tabela6[[#This Row],[KM Rodados ]]/Tabela6[[#This Row],[CONSUMO]]</f>
        <v>43950.434782608696</v>
      </c>
      <c r="O1862" s="48"/>
      <c r="P1862" s="47"/>
      <c r="Q1862" s="49"/>
      <c r="R1862" s="47"/>
      <c r="S1862" s="50"/>
      <c r="T1862" s="51"/>
      <c r="U1862" s="49"/>
      <c r="V1862" s="51"/>
      <c r="W1862" s="51"/>
      <c r="X1862" s="53"/>
      <c r="Y1862" s="50"/>
      <c r="Z1862" s="51"/>
    </row>
    <row r="1863" spans="1:26" ht="14.45" customHeight="1" x14ac:dyDescent="0.25">
      <c r="A1863" s="47">
        <v>6387</v>
      </c>
      <c r="B1863" s="78">
        <v>45139</v>
      </c>
      <c r="C1863" s="47" t="s">
        <v>22</v>
      </c>
      <c r="D1863" s="49" t="s">
        <v>299</v>
      </c>
      <c r="E1863" s="47">
        <v>331746</v>
      </c>
      <c r="F1863" s="50" t="s">
        <v>89</v>
      </c>
      <c r="G1863" s="51" t="s">
        <v>89</v>
      </c>
      <c r="H1863" s="49">
        <v>127</v>
      </c>
      <c r="I1863" s="51"/>
      <c r="J1863" s="51">
        <v>4.45</v>
      </c>
      <c r="K1863" s="53">
        <f>Tabela6[[#This Row],[CONSUMO]]*Tabela6[[#This Row],[VALOR UNIT]]-Tabela6[[#This Row],[DESCONTO]]</f>
        <v>565.15</v>
      </c>
      <c r="L1863" s="50">
        <v>4.45</v>
      </c>
      <c r="M1863" s="50">
        <f>Tabela6[[#This Row],[KM ATUAL]]-E1810</f>
        <v>-72824</v>
      </c>
      <c r="N1863" s="51">
        <f>Tabela6[[#This Row],[KM Rodados ]]/Tabela6[[#This Row],[CONSUMO]]</f>
        <v>-573.41732283464569</v>
      </c>
      <c r="O1863" s="48"/>
      <c r="P1863" s="47"/>
      <c r="Q1863" s="49"/>
      <c r="R1863" s="47"/>
      <c r="S1863" s="50"/>
      <c r="T1863" s="51"/>
      <c r="U1863" s="49"/>
      <c r="V1863" s="51"/>
      <c r="W1863" s="51"/>
      <c r="X1863" s="53"/>
      <c r="Y1863" s="50"/>
      <c r="Z1863" s="51"/>
    </row>
    <row r="1864" spans="1:26" ht="14.45" customHeight="1" x14ac:dyDescent="0.25">
      <c r="A1864" s="47">
        <v>6387</v>
      </c>
      <c r="B1864" s="78">
        <v>45139</v>
      </c>
      <c r="C1864" s="47" t="s">
        <v>39</v>
      </c>
      <c r="D1864" s="49" t="s">
        <v>299</v>
      </c>
      <c r="E1864" s="47">
        <v>95126</v>
      </c>
      <c r="F1864" s="50" t="s">
        <v>89</v>
      </c>
      <c r="G1864" s="50" t="s">
        <v>89</v>
      </c>
      <c r="H1864" s="51">
        <v>86</v>
      </c>
      <c r="I1864" s="51"/>
      <c r="J1864" s="51">
        <v>4.45</v>
      </c>
      <c r="K1864" s="53">
        <f>Tabela6[[#This Row],[CONSUMO]]*Tabela6[[#This Row],[VALOR UNIT]]-Tabela6[[#This Row],[DESCONTO]]</f>
        <v>382.7</v>
      </c>
      <c r="L1864" s="50">
        <v>4.45</v>
      </c>
      <c r="M1864" s="50">
        <f>Tabela6[[#This Row],[KM ATUAL]]-E1779</f>
        <v>-53120</v>
      </c>
      <c r="N1864" s="51">
        <f>Tabela6[[#This Row],[KM Rodados ]]/Tabela6[[#This Row],[CONSUMO]]</f>
        <v>-617.67441860465112</v>
      </c>
      <c r="O1864" s="48"/>
      <c r="P1864" s="47"/>
      <c r="Q1864" s="49"/>
      <c r="R1864" s="47"/>
      <c r="S1864" s="50"/>
      <c r="T1864" s="51"/>
      <c r="U1864" s="49"/>
      <c r="V1864" s="51"/>
      <c r="W1864" s="51"/>
      <c r="X1864" s="53"/>
      <c r="Y1864" s="50"/>
      <c r="Z1864" s="51"/>
    </row>
    <row r="1865" spans="1:26" ht="14.45" customHeight="1" x14ac:dyDescent="0.25">
      <c r="A1865" s="47">
        <v>5838</v>
      </c>
      <c r="B1865" s="78">
        <v>45139</v>
      </c>
      <c r="C1865" s="47" t="s">
        <v>70</v>
      </c>
      <c r="D1865" s="49" t="s">
        <v>308</v>
      </c>
      <c r="E1865" s="47">
        <v>218198</v>
      </c>
      <c r="F1865" s="50" t="s">
        <v>89</v>
      </c>
      <c r="G1865" s="50" t="s">
        <v>89</v>
      </c>
      <c r="H1865" s="49">
        <v>200</v>
      </c>
      <c r="I1865" s="51"/>
      <c r="J1865" s="51">
        <v>4.79</v>
      </c>
      <c r="K1865" s="51">
        <f>Tabela6[[#This Row],[CONSUMO]]*Tabela6[[#This Row],[VALOR UNIT]]-Tabela6[[#This Row],[DESCONTO]]</f>
        <v>958</v>
      </c>
      <c r="L1865" s="53">
        <f>Tabela6[[#This Row],[CUSTO TOTAL]]/Tabela6[[#This Row],[CONSUMO]]</f>
        <v>4.79</v>
      </c>
      <c r="M1865" s="50">
        <f>Tabela6[[#This Row],[KM ATUAL]]-E1852</f>
        <v>-450733</v>
      </c>
      <c r="N1865" s="51">
        <f>Tabela6[[#This Row],[KM Rodados ]]/Tabela6[[#This Row],[CONSUMO]]</f>
        <v>-2253.665</v>
      </c>
      <c r="O1865" s="48"/>
      <c r="P1865" s="47"/>
      <c r="Q1865" s="49"/>
      <c r="R1865" s="47"/>
      <c r="S1865" s="50"/>
      <c r="T1865" s="51"/>
      <c r="U1865" s="49"/>
      <c r="V1865" s="51"/>
      <c r="W1865" s="51"/>
      <c r="X1865" s="53"/>
      <c r="Y1865" s="50"/>
      <c r="Z1865" s="51"/>
    </row>
    <row r="1866" spans="1:26" ht="14.45" customHeight="1" x14ac:dyDescent="0.25">
      <c r="A1866" s="47">
        <v>318296</v>
      </c>
      <c r="B1866" s="78">
        <v>45139</v>
      </c>
      <c r="C1866" s="47" t="s">
        <v>203</v>
      </c>
      <c r="D1866" s="49" t="s">
        <v>276</v>
      </c>
      <c r="E1866" s="47">
        <v>105047</v>
      </c>
      <c r="F1866" s="50" t="s">
        <v>244</v>
      </c>
      <c r="G1866" s="50" t="s">
        <v>244</v>
      </c>
      <c r="H1866" s="50">
        <v>41.460999999999999</v>
      </c>
      <c r="I1866" s="51"/>
      <c r="J1866" s="51">
        <v>5.49</v>
      </c>
      <c r="K1866" s="52">
        <f>Tabela6[[#This Row],[CONSUMO]]*Tabela6[[#This Row],[VALOR UNIT]]-Tabela6[[#This Row],[DESCONTO]]</f>
        <v>227.62089</v>
      </c>
      <c r="L1866" s="53">
        <f>Tabela6[[#This Row],[CUSTO TOTAL]]/Tabela6[[#This Row],[CONSUMO]]</f>
        <v>5.49</v>
      </c>
      <c r="M1866" s="50">
        <f>Tabela6[[#This Row],[KM ATUAL]]-E1865</f>
        <v>-113151</v>
      </c>
      <c r="N1866" s="51">
        <f>Tabela6[[#This Row],[KM Rodados ]]/Tabela6[[#This Row],[CONSUMO]]</f>
        <v>-2729.0948119919926</v>
      </c>
      <c r="O1866" s="48"/>
      <c r="P1866" s="47"/>
      <c r="Q1866" s="49"/>
      <c r="R1866" s="47"/>
      <c r="S1866" s="50"/>
      <c r="T1866" s="51"/>
      <c r="U1866" s="49"/>
      <c r="V1866" s="51"/>
      <c r="W1866" s="51"/>
      <c r="X1866" s="53"/>
      <c r="Y1866" s="50"/>
      <c r="Z1866" s="51"/>
    </row>
    <row r="1867" spans="1:26" ht="14.45" customHeight="1" x14ac:dyDescent="0.25">
      <c r="A1867" s="47" t="s">
        <v>314</v>
      </c>
      <c r="B1867" s="78">
        <v>45139</v>
      </c>
      <c r="C1867" s="47" t="s">
        <v>72</v>
      </c>
      <c r="E1867" s="47">
        <v>405893</v>
      </c>
      <c r="F1867" s="50"/>
      <c r="G1867" s="50" t="s">
        <v>89</v>
      </c>
      <c r="H1867" s="51">
        <v>38.5</v>
      </c>
      <c r="I1867" s="51"/>
      <c r="K1867" s="53">
        <f>Tabela6[[#This Row],[CONSUMO]]*Tabela6[[#This Row],[VALOR UNIT]]-Tabela6[[#This Row],[DESCONTO]]</f>
        <v>0</v>
      </c>
      <c r="L1867" s="53">
        <f>Tabela6[[#This Row],[CUSTO TOTAL]]/Tabela6[[#This Row],[CONSUMO]]</f>
        <v>0</v>
      </c>
      <c r="M1867" s="50">
        <f>Tabela6[[#This Row],[KM ATUAL]]-E1849</f>
        <v>188157</v>
      </c>
      <c r="N1867" s="51">
        <f>Tabela6[[#This Row],[KM Rodados ]]/Tabela6[[#This Row],[CONSUMO]]</f>
        <v>4887.1948051948048</v>
      </c>
      <c r="O1867" s="48"/>
      <c r="P1867" s="47"/>
      <c r="Q1867" s="49"/>
      <c r="R1867" s="47"/>
      <c r="S1867" s="50"/>
      <c r="T1867" s="51"/>
      <c r="U1867" s="49"/>
      <c r="V1867" s="51"/>
      <c r="W1867" s="51"/>
      <c r="X1867" s="53"/>
      <c r="Y1867" s="50"/>
      <c r="Z1867" s="51"/>
    </row>
    <row r="1868" spans="1:26" ht="14.45" customHeight="1" x14ac:dyDescent="0.25">
      <c r="A1868" s="47">
        <v>6387</v>
      </c>
      <c r="B1868" s="78">
        <v>45139</v>
      </c>
      <c r="C1868" s="47" t="s">
        <v>64</v>
      </c>
      <c r="D1868" s="49" t="s">
        <v>299</v>
      </c>
      <c r="E1868" s="47">
        <v>85062</v>
      </c>
      <c r="F1868" s="50" t="s">
        <v>89</v>
      </c>
      <c r="G1868" s="50" t="s">
        <v>89</v>
      </c>
      <c r="H1868" s="49">
        <v>153</v>
      </c>
      <c r="I1868" s="51"/>
      <c r="J1868" s="51">
        <v>4.45</v>
      </c>
      <c r="K1868" s="51">
        <f>Tabela6[[#This Row],[CONSUMO]]*Tabela6[[#This Row],[VALOR UNIT]]-Tabela6[[#This Row],[DESCONTO]]</f>
        <v>680.85</v>
      </c>
      <c r="L1868" s="53">
        <f>Tabela6[[#This Row],[CUSTO TOTAL]]/Tabela6[[#This Row],[CONSUMO]]</f>
        <v>4.45</v>
      </c>
      <c r="M1868" s="50">
        <f>Tabela6[[#This Row],[KM ATUAL]]-E1831</f>
        <v>-52994</v>
      </c>
      <c r="N1868" s="51">
        <f>Tabela6[[#This Row],[KM Rodados ]]/Tabela6[[#This Row],[CONSUMO]]</f>
        <v>-346.36601307189545</v>
      </c>
      <c r="O1868" s="48"/>
      <c r="P1868" s="47"/>
      <c r="Q1868" s="49"/>
      <c r="R1868" s="47"/>
      <c r="S1868" s="50"/>
      <c r="T1868" s="51"/>
      <c r="U1868" s="49"/>
      <c r="V1868" s="51"/>
      <c r="W1868" s="51"/>
      <c r="X1868" s="53"/>
      <c r="Y1868" s="50"/>
      <c r="Z1868" s="51"/>
    </row>
    <row r="1869" spans="1:26" ht="14.45" customHeight="1" x14ac:dyDescent="0.25">
      <c r="A1869" s="47">
        <v>6387</v>
      </c>
      <c r="B1869" s="78">
        <v>45139</v>
      </c>
      <c r="C1869" s="47" t="s">
        <v>21</v>
      </c>
      <c r="D1869" s="49" t="s">
        <v>299</v>
      </c>
      <c r="E1869" s="47">
        <v>149378</v>
      </c>
      <c r="F1869" s="50" t="s">
        <v>89</v>
      </c>
      <c r="G1869" s="50" t="s">
        <v>89</v>
      </c>
      <c r="H1869" s="49">
        <v>82</v>
      </c>
      <c r="I1869" s="51"/>
      <c r="J1869" s="51">
        <v>4.45</v>
      </c>
      <c r="K1869" s="52">
        <f>Tabela6[[#This Row],[CONSUMO]]*Tabela6[[#This Row],[VALOR UNIT]]-Tabela6[[#This Row],[DESCONTO]]</f>
        <v>364.90000000000003</v>
      </c>
      <c r="L1869" s="53">
        <f>Tabela6[[#This Row],[CUSTO TOTAL]]/Tabela6[[#This Row],[CONSUMO]]</f>
        <v>4.45</v>
      </c>
      <c r="M1869" s="50">
        <f>Tabela6[[#This Row],[KM ATUAL]]-E1842</f>
        <v>82123</v>
      </c>
      <c r="N1869" s="51">
        <f>Tabela6[[#This Row],[KM Rodados ]]/Tabela6[[#This Row],[CONSUMO]]</f>
        <v>1001.5</v>
      </c>
      <c r="O1869" s="48"/>
      <c r="P1869" s="47"/>
      <c r="Q1869" s="49"/>
      <c r="R1869" s="47"/>
      <c r="S1869" s="50"/>
      <c r="T1869" s="51"/>
      <c r="U1869" s="49"/>
      <c r="V1869" s="51"/>
      <c r="W1869" s="51"/>
      <c r="X1869" s="53"/>
      <c r="Y1869" s="50"/>
      <c r="Z1869" s="51"/>
    </row>
    <row r="1870" spans="1:26" ht="14.45" customHeight="1" x14ac:dyDescent="0.25">
      <c r="A1870" s="47">
        <v>6506</v>
      </c>
      <c r="B1870" s="78">
        <v>45139</v>
      </c>
      <c r="C1870" s="47" t="s">
        <v>301</v>
      </c>
      <c r="D1870" s="49" t="s">
        <v>299</v>
      </c>
      <c r="E1870" s="47">
        <v>1033816</v>
      </c>
      <c r="F1870" s="50" t="s">
        <v>89</v>
      </c>
      <c r="G1870" s="50" t="s">
        <v>89</v>
      </c>
      <c r="H1870" s="49">
        <v>45</v>
      </c>
      <c r="I1870" s="51"/>
      <c r="J1870" s="51">
        <v>4.45</v>
      </c>
      <c r="K1870" s="51">
        <f>Tabela6[[#This Row],[CONSUMO]]*Tabela6[[#This Row],[VALOR UNIT]]-Tabela6[[#This Row],[DESCONTO]]</f>
        <v>200.25</v>
      </c>
      <c r="L1870" s="53">
        <f>Tabela6[[#This Row],[CUSTO TOTAL]]/Tabela6[[#This Row],[CONSUMO]]</f>
        <v>4.45</v>
      </c>
      <c r="M1870" s="50">
        <f>Tabela6[[#This Row],[KM ATUAL]]-E1808</f>
        <v>896331</v>
      </c>
      <c r="N1870" s="51">
        <f>Tabela6[[#This Row],[KM Rodados ]]/Tabela6[[#This Row],[CONSUMO]]</f>
        <v>19918.466666666667</v>
      </c>
      <c r="O1870" s="48"/>
      <c r="P1870" s="47"/>
      <c r="Q1870" s="49"/>
      <c r="R1870" s="47"/>
      <c r="S1870" s="50"/>
      <c r="T1870" s="51"/>
      <c r="U1870" s="49"/>
      <c r="V1870" s="51"/>
      <c r="W1870" s="51"/>
      <c r="X1870" s="53"/>
      <c r="Y1870" s="50"/>
      <c r="Z1870" s="51"/>
    </row>
    <row r="1871" spans="1:26" ht="14.45" customHeight="1" x14ac:dyDescent="0.25">
      <c r="A1871" s="47">
        <v>6387</v>
      </c>
      <c r="B1871" s="78">
        <v>45139</v>
      </c>
      <c r="C1871" s="47" t="s">
        <v>15</v>
      </c>
      <c r="D1871" s="49" t="s">
        <v>299</v>
      </c>
      <c r="E1871" s="47">
        <v>376897</v>
      </c>
      <c r="F1871" s="50" t="s">
        <v>89</v>
      </c>
      <c r="G1871" s="50" t="s">
        <v>89</v>
      </c>
      <c r="H1871" s="49">
        <v>81</v>
      </c>
      <c r="I1871" s="51"/>
      <c r="J1871" s="51">
        <v>4.45</v>
      </c>
      <c r="K1871" s="52">
        <f>Tabela6[[#This Row],[CONSUMO]]*Tabela6[[#This Row],[VALOR UNIT]]-Tabela6[[#This Row],[DESCONTO]]</f>
        <v>360.45</v>
      </c>
      <c r="L1871" s="53">
        <f>Tabela6[[#This Row],[CUSTO TOTAL]]/Tabela6[[#This Row],[CONSUMO]]</f>
        <v>4.45</v>
      </c>
      <c r="M1871" s="50">
        <f>Tabela6[[#This Row],[KM ATUAL]]-E1841</f>
        <v>224729</v>
      </c>
      <c r="N1871" s="51">
        <f>Tabela6[[#This Row],[KM Rodados ]]/Tabela6[[#This Row],[CONSUMO]]</f>
        <v>2774.4320987654319</v>
      </c>
      <c r="O1871" s="48"/>
      <c r="P1871" s="47"/>
      <c r="Q1871" s="49"/>
      <c r="R1871" s="47"/>
      <c r="S1871" s="50"/>
      <c r="T1871" s="51"/>
      <c r="U1871" s="49"/>
      <c r="V1871" s="51"/>
      <c r="W1871" s="51"/>
      <c r="X1871" s="53"/>
      <c r="Y1871" s="50"/>
      <c r="Z1871" s="51"/>
    </row>
    <row r="1872" spans="1:26" ht="14.45" customHeight="1" x14ac:dyDescent="0.25">
      <c r="A1872" s="47">
        <v>6387</v>
      </c>
      <c r="B1872" s="78">
        <v>45139</v>
      </c>
      <c r="C1872" s="47" t="s">
        <v>19</v>
      </c>
      <c r="D1872" s="49" t="s">
        <v>299</v>
      </c>
      <c r="E1872" s="47">
        <v>319176</v>
      </c>
      <c r="F1872" s="50" t="s">
        <v>89</v>
      </c>
      <c r="G1872" s="50" t="s">
        <v>89</v>
      </c>
      <c r="H1872" s="51">
        <v>157</v>
      </c>
      <c r="I1872" s="51"/>
      <c r="J1872" s="51">
        <v>4.45</v>
      </c>
      <c r="K1872" s="51">
        <f>Tabela6[[#This Row],[CONSUMO]]*Tabela6[[#This Row],[VALOR UNIT]]-Tabela6[[#This Row],[DESCONTO]]</f>
        <v>698.65</v>
      </c>
      <c r="L1872" s="53">
        <f>Tabela6[[#This Row],[CUSTO TOTAL]]/Tabela6[[#This Row],[CONSUMO]]</f>
        <v>4.45</v>
      </c>
      <c r="M1872" s="50">
        <f>Tabela6[[#This Row],[KM ATUAL]]-E1847</f>
        <v>-170732</v>
      </c>
      <c r="N1872" s="51">
        <f>Tabela6[[#This Row],[KM Rodados ]]/Tabela6[[#This Row],[CONSUMO]]</f>
        <v>-1087.4649681528663</v>
      </c>
      <c r="O1872" s="48"/>
      <c r="P1872" s="47"/>
      <c r="Q1872" s="49"/>
      <c r="R1872" s="47"/>
      <c r="S1872" s="50"/>
      <c r="T1872" s="51"/>
      <c r="U1872" s="49"/>
      <c r="V1872" s="51"/>
      <c r="W1872" s="51"/>
      <c r="X1872" s="53"/>
      <c r="Y1872" s="50"/>
      <c r="Z1872" s="51"/>
    </row>
    <row r="1873" spans="1:26" ht="14.45" customHeight="1" x14ac:dyDescent="0.25">
      <c r="A1873" s="47">
        <v>6506</v>
      </c>
      <c r="B1873" s="78">
        <v>45139</v>
      </c>
      <c r="C1873" s="47" t="s">
        <v>20</v>
      </c>
      <c r="D1873" s="49" t="s">
        <v>299</v>
      </c>
      <c r="E1873" s="47">
        <v>262929</v>
      </c>
      <c r="F1873" s="50" t="s">
        <v>89</v>
      </c>
      <c r="G1873" s="50" t="s">
        <v>89</v>
      </c>
      <c r="H1873" s="49">
        <v>66</v>
      </c>
      <c r="I1873" s="51"/>
      <c r="J1873" s="51">
        <v>4.45</v>
      </c>
      <c r="K1873" s="52">
        <f>Tabela6[[#This Row],[CONSUMO]]*Tabela6[[#This Row],[VALOR UNIT]]-Tabela6[[#This Row],[DESCONTO]]</f>
        <v>293.7</v>
      </c>
      <c r="L1873" s="53">
        <f>Tabela6[[#This Row],[CUSTO TOTAL]]/Tabela6[[#This Row],[CONSUMO]]</f>
        <v>4.45</v>
      </c>
      <c r="M1873" s="50">
        <f>Tabela6[[#This Row],[KM ATUAL]]-E1833</f>
        <v>-142211</v>
      </c>
      <c r="N1873" s="51">
        <f>Tabela6[[#This Row],[KM Rodados ]]/Tabela6[[#This Row],[CONSUMO]]</f>
        <v>-2154.712121212121</v>
      </c>
      <c r="O1873" s="48"/>
      <c r="P1873" s="47"/>
      <c r="Q1873" s="49"/>
      <c r="R1873" s="47"/>
      <c r="S1873" s="50"/>
      <c r="T1873" s="51"/>
      <c r="U1873" s="49"/>
      <c r="V1873" s="51"/>
      <c r="W1873" s="51"/>
      <c r="X1873" s="53"/>
      <c r="Y1873" s="50"/>
      <c r="Z1873" s="51"/>
    </row>
    <row r="1874" spans="1:26" ht="14.45" customHeight="1" x14ac:dyDescent="0.25">
      <c r="A1874" s="47">
        <v>6506</v>
      </c>
      <c r="B1874" s="78">
        <v>45140</v>
      </c>
      <c r="C1874" s="47" t="s">
        <v>43</v>
      </c>
      <c r="D1874" s="49" t="s">
        <v>299</v>
      </c>
      <c r="E1874" s="47">
        <v>138303</v>
      </c>
      <c r="F1874" s="50" t="s">
        <v>89</v>
      </c>
      <c r="G1874" s="51" t="s">
        <v>89</v>
      </c>
      <c r="H1874" s="49">
        <v>17</v>
      </c>
      <c r="I1874" s="51"/>
      <c r="J1874" s="51">
        <v>4.45</v>
      </c>
      <c r="K1874" s="53">
        <f>Tabela6[[#This Row],[CONSUMO]]*Tabela6[[#This Row],[VALOR UNIT]]-Tabela6[[#This Row],[DESCONTO]]</f>
        <v>75.650000000000006</v>
      </c>
      <c r="L1874" s="50">
        <v>4.45</v>
      </c>
      <c r="M1874" s="51">
        <f>Tabela6[[#This Row],[KM ATUAL]]-E1849</f>
        <v>-79433</v>
      </c>
      <c r="N1874" s="51">
        <f>Tabela6[[#This Row],[KM Rodados ]]/Tabela6[[#This Row],[CONSUMO]]</f>
        <v>-4672.5294117647063</v>
      </c>
      <c r="O1874" s="48"/>
      <c r="P1874" s="47"/>
      <c r="Q1874" s="49"/>
      <c r="R1874" s="47"/>
      <c r="S1874" s="50"/>
      <c r="T1874" s="51"/>
      <c r="U1874" s="49"/>
      <c r="V1874" s="51"/>
      <c r="W1874" s="51"/>
      <c r="X1874" s="53"/>
      <c r="Y1874" s="50"/>
      <c r="Z1874" s="51"/>
    </row>
    <row r="1875" spans="1:26" ht="14.45" customHeight="1" x14ac:dyDescent="0.25">
      <c r="A1875" s="47">
        <v>6506</v>
      </c>
      <c r="B1875" s="78">
        <v>45140</v>
      </c>
      <c r="C1875" s="47" t="s">
        <v>9</v>
      </c>
      <c r="D1875" s="49" t="s">
        <v>299</v>
      </c>
      <c r="E1875" s="47">
        <v>613056</v>
      </c>
      <c r="F1875" s="50" t="s">
        <v>89</v>
      </c>
      <c r="G1875" s="50" t="s">
        <v>89</v>
      </c>
      <c r="H1875" s="49">
        <v>108.9</v>
      </c>
      <c r="I1875" s="51"/>
      <c r="J1875" s="51">
        <v>4.45</v>
      </c>
      <c r="K1875" s="53">
        <f>Tabela6[[#This Row],[CONSUMO]]*Tabela6[[#This Row],[VALOR UNIT]]-Tabela6[[#This Row],[DESCONTO]]</f>
        <v>484.60500000000002</v>
      </c>
      <c r="L1875" s="53">
        <v>4.45</v>
      </c>
      <c r="M1875" s="50">
        <f>Tabela6[[#This Row],[KM ATUAL]]-E1701</f>
        <v>297414</v>
      </c>
      <c r="N1875" s="51">
        <f>Tabela6[[#This Row],[KM Rodados ]]/Tabela6[[#This Row],[CONSUMO]]</f>
        <v>2731.0743801652893</v>
      </c>
      <c r="O1875" s="48"/>
      <c r="P1875" s="47"/>
      <c r="Q1875" s="49"/>
      <c r="R1875" s="47"/>
      <c r="S1875" s="50"/>
      <c r="T1875" s="51"/>
      <c r="U1875" s="49"/>
      <c r="V1875" s="51"/>
      <c r="W1875" s="51"/>
      <c r="X1875" s="53"/>
      <c r="Y1875" s="50"/>
      <c r="Z1875" s="51"/>
    </row>
    <row r="1876" spans="1:26" ht="14.45" customHeight="1" x14ac:dyDescent="0.25">
      <c r="A1876" s="47">
        <v>2311</v>
      </c>
      <c r="B1876" s="78">
        <v>45140</v>
      </c>
      <c r="C1876" s="47" t="s">
        <v>42</v>
      </c>
      <c r="D1876" s="49" t="s">
        <v>253</v>
      </c>
      <c r="E1876" s="47">
        <v>368764</v>
      </c>
      <c r="F1876" s="50" t="s">
        <v>89</v>
      </c>
      <c r="G1876" s="50" t="s">
        <v>89</v>
      </c>
      <c r="H1876" s="49">
        <v>38.03</v>
      </c>
      <c r="I1876" s="51"/>
      <c r="J1876" s="51">
        <v>5.09</v>
      </c>
      <c r="K1876" s="53">
        <f>Tabela6[[#This Row],[CONSUMO]]*Tabela6[[#This Row],[VALOR UNIT]]-Tabela6[[#This Row],[DESCONTO]]</f>
        <v>193.5727</v>
      </c>
      <c r="L1876" s="77">
        <v>5.09</v>
      </c>
      <c r="M1876" s="50">
        <f>Tabela6[[#This Row],[KM ATUAL]]-E1818</f>
        <v>50736</v>
      </c>
      <c r="N1876" s="51">
        <f>Tabela6[[#This Row],[KM Rodados ]]/Tabela6[[#This Row],[CONSUMO]]</f>
        <v>1334.1046542203524</v>
      </c>
      <c r="O1876" s="48"/>
      <c r="P1876" s="47"/>
      <c r="Q1876" s="49"/>
      <c r="R1876" s="47"/>
      <c r="S1876" s="50"/>
      <c r="T1876" s="51"/>
      <c r="U1876" s="49"/>
      <c r="V1876" s="51"/>
      <c r="W1876" s="51"/>
      <c r="X1876" s="53"/>
      <c r="Y1876" s="50"/>
      <c r="Z1876" s="51"/>
    </row>
    <row r="1877" spans="1:26" ht="14.45" customHeight="1" x14ac:dyDescent="0.25">
      <c r="A1877" s="47">
        <v>6506</v>
      </c>
      <c r="B1877" s="78">
        <v>45140</v>
      </c>
      <c r="C1877" s="47" t="s">
        <v>67</v>
      </c>
      <c r="D1877" s="49" t="s">
        <v>299</v>
      </c>
      <c r="E1877" s="47">
        <v>673934</v>
      </c>
      <c r="F1877" s="50" t="s">
        <v>89</v>
      </c>
      <c r="G1877" s="51" t="s">
        <v>89</v>
      </c>
      <c r="H1877" s="49">
        <v>103</v>
      </c>
      <c r="I1877" s="51"/>
      <c r="J1877" s="51">
        <v>4.45</v>
      </c>
      <c r="K1877" s="53">
        <f>Tabela6[[#This Row],[CONSUMO]]*Tabela6[[#This Row],[VALOR UNIT]]-Tabela6[[#This Row],[DESCONTO]]</f>
        <v>458.35</v>
      </c>
      <c r="L1877" s="50">
        <v>4.45</v>
      </c>
      <c r="M1877" s="50">
        <f>Tabela6[[#This Row],[KM ATUAL]]-E1842</f>
        <v>606679</v>
      </c>
      <c r="N1877" s="51">
        <f>Tabela6[[#This Row],[KM Rodados ]]/Tabela6[[#This Row],[CONSUMO]]</f>
        <v>5890.0873786407765</v>
      </c>
      <c r="O1877" s="48"/>
      <c r="P1877" s="47"/>
      <c r="Q1877" s="49"/>
      <c r="R1877" s="47"/>
      <c r="S1877" s="50"/>
      <c r="T1877" s="51"/>
      <c r="U1877" s="49"/>
      <c r="V1877" s="51"/>
      <c r="W1877" s="51"/>
      <c r="X1877" s="53"/>
      <c r="Y1877" s="50"/>
      <c r="Z1877" s="51"/>
    </row>
    <row r="1878" spans="1:26" ht="14.45" customHeight="1" x14ac:dyDescent="0.25">
      <c r="A1878" s="47" t="s">
        <v>314</v>
      </c>
      <c r="B1878" s="78">
        <v>45140</v>
      </c>
      <c r="C1878" s="47" t="s">
        <v>215</v>
      </c>
      <c r="E1878" s="47">
        <v>226489</v>
      </c>
      <c r="F1878" s="50"/>
      <c r="G1878" s="50" t="s">
        <v>244</v>
      </c>
      <c r="H1878" s="51">
        <v>35.450000000000003</v>
      </c>
      <c r="I1878" s="51"/>
      <c r="K1878" s="53">
        <f>Tabela6[[#This Row],[CONSUMO]]*Tabela6[[#This Row],[VALOR UNIT]]-Tabela6[[#This Row],[DESCONTO]]</f>
        <v>0</v>
      </c>
      <c r="L1878" s="53">
        <f>Tabela6[[#This Row],[CUSTO TOTAL]]/Tabela6[[#This Row],[CONSUMO]]</f>
        <v>0</v>
      </c>
      <c r="M1878" s="50">
        <f>Tabela6[[#This Row],[KM ATUAL]]-E1745</f>
        <v>-492348</v>
      </c>
      <c r="N1878" s="51">
        <f>Tabela6[[#This Row],[KM Rodados ]]/Tabela6[[#This Row],[CONSUMO]]</f>
        <v>-13888.519040902678</v>
      </c>
      <c r="O1878" s="48"/>
      <c r="P1878" s="47"/>
      <c r="Q1878" s="49"/>
      <c r="R1878" s="47"/>
      <c r="S1878" s="50"/>
      <c r="T1878" s="51"/>
      <c r="U1878" s="49"/>
      <c r="V1878" s="51"/>
      <c r="W1878" s="51"/>
      <c r="X1878" s="53"/>
      <c r="Y1878" s="50"/>
      <c r="Z1878" s="51"/>
    </row>
    <row r="1879" spans="1:26" ht="14.45" customHeight="1" x14ac:dyDescent="0.25">
      <c r="A1879" s="47">
        <v>6506</v>
      </c>
      <c r="B1879" s="78">
        <v>45140</v>
      </c>
      <c r="C1879" s="47" t="s">
        <v>71</v>
      </c>
      <c r="D1879" s="49" t="s">
        <v>299</v>
      </c>
      <c r="E1879" s="47">
        <v>115580</v>
      </c>
      <c r="F1879" s="50" t="s">
        <v>89</v>
      </c>
      <c r="G1879" s="50" t="s">
        <v>89</v>
      </c>
      <c r="H1879" s="49">
        <v>472</v>
      </c>
      <c r="I1879" s="51"/>
      <c r="J1879" s="51">
        <v>4.45</v>
      </c>
      <c r="K1879" s="51">
        <f>Tabela6[[#This Row],[CONSUMO]]*Tabela6[[#This Row],[VALOR UNIT]]-Tabela6[[#This Row],[DESCONTO]]</f>
        <v>2100.4</v>
      </c>
      <c r="L1879" s="53">
        <f>Tabela6[[#This Row],[CUSTO TOTAL]]/Tabela6[[#This Row],[CONSUMO]]</f>
        <v>4.45</v>
      </c>
      <c r="M1879" s="50">
        <f>Tabela6[[#This Row],[KM ATUAL]]-E1804</f>
        <v>-184936</v>
      </c>
      <c r="N1879" s="51">
        <f>Tabela6[[#This Row],[KM Rodados ]]/Tabela6[[#This Row],[CONSUMO]]</f>
        <v>-391.81355932203388</v>
      </c>
      <c r="O1879" s="48"/>
      <c r="P1879" s="47"/>
      <c r="Q1879" s="49"/>
      <c r="R1879" s="47"/>
      <c r="S1879" s="50"/>
      <c r="T1879" s="51"/>
      <c r="U1879" s="49"/>
      <c r="V1879" s="51"/>
      <c r="W1879" s="51"/>
      <c r="X1879" s="53"/>
      <c r="Y1879" s="50"/>
      <c r="Z1879" s="51"/>
    </row>
    <row r="1880" spans="1:26" ht="14.45" customHeight="1" x14ac:dyDescent="0.25">
      <c r="A1880" s="47">
        <v>6506</v>
      </c>
      <c r="B1880" s="78">
        <v>45140</v>
      </c>
      <c r="C1880" s="47" t="s">
        <v>41</v>
      </c>
      <c r="D1880" s="49" t="s">
        <v>299</v>
      </c>
      <c r="E1880" s="47">
        <v>669494</v>
      </c>
      <c r="F1880" s="50" t="s">
        <v>89</v>
      </c>
      <c r="G1880" s="50" t="s">
        <v>89</v>
      </c>
      <c r="H1880" s="49">
        <v>117</v>
      </c>
      <c r="I1880" s="51"/>
      <c r="J1880" s="51">
        <v>4.45</v>
      </c>
      <c r="K1880" s="52">
        <f>Tabela6[[#This Row],[CONSUMO]]*Tabela6[[#This Row],[VALOR UNIT]]-Tabela6[[#This Row],[DESCONTO]]</f>
        <v>520.65</v>
      </c>
      <c r="L1880" s="53">
        <f>Tabela6[[#This Row],[CUSTO TOTAL]]/Tabela6[[#This Row],[CONSUMO]]</f>
        <v>4.45</v>
      </c>
      <c r="M1880" s="50">
        <f>Tabela6[[#This Row],[KM ATUAL]]-E1851</f>
        <v>538185</v>
      </c>
      <c r="N1880" s="51">
        <f>Tabela6[[#This Row],[KM Rodados ]]/Tabela6[[#This Row],[CONSUMO]]</f>
        <v>4599.8717948717949</v>
      </c>
      <c r="O1880" s="48"/>
      <c r="P1880" s="47"/>
      <c r="Q1880" s="49"/>
      <c r="R1880" s="47"/>
      <c r="S1880" s="50"/>
      <c r="T1880" s="51"/>
      <c r="U1880" s="49"/>
      <c r="V1880" s="51"/>
      <c r="W1880" s="51"/>
      <c r="X1880" s="53"/>
      <c r="Y1880" s="50"/>
      <c r="Z1880" s="51"/>
    </row>
    <row r="1881" spans="1:26" ht="14.45" customHeight="1" x14ac:dyDescent="0.25">
      <c r="A1881" s="47">
        <v>6506</v>
      </c>
      <c r="B1881" s="78">
        <v>45140</v>
      </c>
      <c r="C1881" s="47" t="s">
        <v>10</v>
      </c>
      <c r="D1881" s="49" t="s">
        <v>299</v>
      </c>
      <c r="E1881" s="47">
        <v>720674</v>
      </c>
      <c r="F1881" s="50" t="s">
        <v>89</v>
      </c>
      <c r="G1881" s="50" t="s">
        <v>89</v>
      </c>
      <c r="H1881" s="49">
        <v>120</v>
      </c>
      <c r="I1881" s="51"/>
      <c r="J1881" s="51">
        <v>4.45</v>
      </c>
      <c r="K1881" s="51">
        <f>Tabela6[[#This Row],[CONSUMO]]*Tabela6[[#This Row],[VALOR UNIT]]-Tabela6[[#This Row],[DESCONTO]]</f>
        <v>534</v>
      </c>
      <c r="L1881" s="53">
        <f>Tabela6[[#This Row],[CUSTO TOTAL]]/Tabela6[[#This Row],[CONSUMO]]</f>
        <v>4.45</v>
      </c>
      <c r="M1881" s="50">
        <f>Tabela6[[#This Row],[KM ATUAL]]-E1837</f>
        <v>358575</v>
      </c>
      <c r="N1881" s="51">
        <f>Tabela6[[#This Row],[KM Rodados ]]/Tabela6[[#This Row],[CONSUMO]]</f>
        <v>2988.125</v>
      </c>
      <c r="O1881" s="48"/>
      <c r="P1881" s="47"/>
      <c r="Q1881" s="49"/>
      <c r="R1881" s="47"/>
      <c r="S1881" s="50"/>
      <c r="T1881" s="51"/>
      <c r="U1881" s="49"/>
      <c r="V1881" s="51"/>
      <c r="W1881" s="51"/>
      <c r="X1881" s="53"/>
      <c r="Y1881" s="50"/>
      <c r="Z1881" s="51"/>
    </row>
    <row r="1882" spans="1:26" ht="14.45" customHeight="1" x14ac:dyDescent="0.25">
      <c r="A1882" s="47">
        <v>2441</v>
      </c>
      <c r="B1882" s="78">
        <v>45140</v>
      </c>
      <c r="C1882" s="47" t="s">
        <v>11</v>
      </c>
      <c r="D1882" s="49" t="s">
        <v>253</v>
      </c>
      <c r="E1882" s="47">
        <v>397377</v>
      </c>
      <c r="F1882" s="50" t="s">
        <v>89</v>
      </c>
      <c r="G1882" s="50" t="s">
        <v>89</v>
      </c>
      <c r="H1882" s="49">
        <v>95.68</v>
      </c>
      <c r="I1882" s="51"/>
      <c r="J1882" s="51">
        <v>5.09</v>
      </c>
      <c r="K1882" s="51">
        <f>Tabela6[[#This Row],[CONSUMO]]*Tabela6[[#This Row],[VALOR UNIT]]-Tabela6[[#This Row],[DESCONTO]]</f>
        <v>487.01120000000003</v>
      </c>
      <c r="L1882" s="53">
        <f>Tabela6[[#This Row],[CUSTO TOTAL]]/Tabela6[[#This Row],[CONSUMO]]</f>
        <v>5.09</v>
      </c>
      <c r="M1882" s="50">
        <f>Tabela6[[#This Row],[KM ATUAL]]-E1767</f>
        <v>181266</v>
      </c>
      <c r="N1882" s="51">
        <f>Tabela6[[#This Row],[KM Rodados ]]/Tabela6[[#This Row],[CONSUMO]]</f>
        <v>1894.5025083612038</v>
      </c>
      <c r="O1882" s="48"/>
      <c r="P1882" s="47"/>
      <c r="Q1882" s="49"/>
      <c r="R1882" s="47"/>
      <c r="S1882" s="50"/>
      <c r="T1882" s="51"/>
      <c r="U1882" s="49"/>
      <c r="V1882" s="51"/>
      <c r="W1882" s="51"/>
      <c r="X1882" s="53"/>
      <c r="Y1882" s="50"/>
      <c r="Z1882" s="51"/>
    </row>
    <row r="1883" spans="1:26" ht="14.45" customHeight="1" x14ac:dyDescent="0.25">
      <c r="A1883" s="47">
        <v>703079</v>
      </c>
      <c r="B1883" s="78">
        <v>45140</v>
      </c>
      <c r="C1883" s="47" t="s">
        <v>13</v>
      </c>
      <c r="D1883" s="49" t="s">
        <v>264</v>
      </c>
      <c r="E1883" s="47">
        <v>639487</v>
      </c>
      <c r="F1883" s="50" t="s">
        <v>89</v>
      </c>
      <c r="G1883" s="50" t="s">
        <v>89</v>
      </c>
      <c r="H1883" s="49">
        <v>113.01300000000001</v>
      </c>
      <c r="I1883" s="51"/>
      <c r="J1883" s="51">
        <v>4.99</v>
      </c>
      <c r="K1883" s="51">
        <f>Tabela6[[#This Row],[CONSUMO]]*Tabela6[[#This Row],[VALOR UNIT]]-Tabela6[[#This Row],[DESCONTO]]</f>
        <v>563.93487000000005</v>
      </c>
      <c r="L1883" s="53">
        <f>Tabela6[[#This Row],[CUSTO TOTAL]]/Tabela6[[#This Row],[CONSUMO]]</f>
        <v>4.99</v>
      </c>
      <c r="M1883" s="50">
        <f>Tabela6[[#This Row],[KM ATUAL]]-E1848</f>
        <v>-34019</v>
      </c>
      <c r="N1883" s="51">
        <f>Tabela6[[#This Row],[KM Rodados ]]/Tabela6[[#This Row],[CONSUMO]]</f>
        <v>-301.0184669020378</v>
      </c>
      <c r="O1883" s="48"/>
      <c r="P1883" s="47"/>
      <c r="Q1883" s="49"/>
      <c r="R1883" s="47"/>
      <c r="S1883" s="50"/>
      <c r="T1883" s="51"/>
      <c r="U1883" s="49"/>
      <c r="V1883" s="51"/>
      <c r="W1883" s="51"/>
      <c r="X1883" s="53"/>
      <c r="Y1883" s="50"/>
      <c r="Z1883" s="51"/>
    </row>
    <row r="1884" spans="1:26" ht="14.45" customHeight="1" x14ac:dyDescent="0.25">
      <c r="A1884" s="47">
        <v>6506</v>
      </c>
      <c r="B1884" s="78">
        <v>45140</v>
      </c>
      <c r="C1884" s="47" t="s">
        <v>13</v>
      </c>
      <c r="D1884" s="49" t="s">
        <v>299</v>
      </c>
      <c r="E1884" s="47">
        <v>639872</v>
      </c>
      <c r="F1884" s="50" t="s">
        <v>89</v>
      </c>
      <c r="G1884" s="50" t="s">
        <v>89</v>
      </c>
      <c r="H1884" s="49">
        <v>85</v>
      </c>
      <c r="I1884" s="51"/>
      <c r="J1884" s="51">
        <v>4.45</v>
      </c>
      <c r="K1884" s="51">
        <f>Tabela6[[#This Row],[CONSUMO]]*Tabela6[[#This Row],[VALOR UNIT]]-Tabela6[[#This Row],[DESCONTO]]</f>
        <v>378.25</v>
      </c>
      <c r="L1884" s="53">
        <f>Tabela6[[#This Row],[CUSTO TOTAL]]/Tabela6[[#This Row],[CONSUMO]]</f>
        <v>4.45</v>
      </c>
      <c r="M1884" s="50">
        <f>Tabela6[[#This Row],[KM ATUAL]]-E1883</f>
        <v>385</v>
      </c>
      <c r="N1884" s="51">
        <f>Tabela6[[#This Row],[KM Rodados ]]/Tabela6[[#This Row],[CONSUMO]]</f>
        <v>4.5294117647058822</v>
      </c>
      <c r="O1884" s="48"/>
      <c r="P1884" s="47"/>
      <c r="Q1884" s="49"/>
      <c r="R1884" s="47"/>
      <c r="S1884" s="50"/>
      <c r="T1884" s="51"/>
      <c r="U1884" s="49"/>
      <c r="V1884" s="51"/>
      <c r="W1884" s="51"/>
      <c r="X1884" s="53"/>
      <c r="Y1884" s="50"/>
      <c r="Z1884" s="51"/>
    </row>
    <row r="1885" spans="1:26" ht="14.45" customHeight="1" x14ac:dyDescent="0.25">
      <c r="A1885" s="47">
        <v>6506</v>
      </c>
      <c r="B1885" s="78">
        <v>45140</v>
      </c>
      <c r="C1885" s="47" t="s">
        <v>74</v>
      </c>
      <c r="D1885" s="49" t="s">
        <v>299</v>
      </c>
      <c r="E1885" s="47">
        <v>67842</v>
      </c>
      <c r="F1885" s="50" t="s">
        <v>89</v>
      </c>
      <c r="G1885" s="50" t="s">
        <v>89</v>
      </c>
      <c r="H1885" s="49">
        <v>71</v>
      </c>
      <c r="I1885" s="51"/>
      <c r="J1885" s="51">
        <v>4.45</v>
      </c>
      <c r="K1885" s="51">
        <f>Tabela6[[#This Row],[CONSUMO]]*Tabela6[[#This Row],[VALOR UNIT]]-Tabela6[[#This Row],[DESCONTO]]</f>
        <v>315.95</v>
      </c>
      <c r="L1885" s="53">
        <f>Tabela6[[#This Row],[CUSTO TOTAL]]/Tabela6[[#This Row],[CONSUMO]]</f>
        <v>4.45</v>
      </c>
      <c r="M1885" s="50">
        <f>Tabela6[[#This Row],[KM ATUAL]]-E1837</f>
        <v>-294257</v>
      </c>
      <c r="N1885" s="51">
        <f>Tabela6[[#This Row],[KM Rodados ]]/Tabela6[[#This Row],[CONSUMO]]</f>
        <v>-4144.4647887323945</v>
      </c>
      <c r="O1885" s="48"/>
      <c r="P1885" s="47"/>
      <c r="Q1885" s="49"/>
      <c r="R1885" s="47"/>
      <c r="S1885" s="50"/>
      <c r="T1885" s="51"/>
      <c r="U1885" s="49"/>
      <c r="V1885" s="51"/>
      <c r="W1885" s="51"/>
      <c r="X1885" s="53"/>
      <c r="Y1885" s="50"/>
      <c r="Z1885" s="51"/>
    </row>
    <row r="1886" spans="1:26" ht="14.45" customHeight="1" x14ac:dyDescent="0.25">
      <c r="A1886" s="47">
        <v>38977</v>
      </c>
      <c r="B1886" s="78">
        <v>45141</v>
      </c>
      <c r="C1886" s="47" t="s">
        <v>43</v>
      </c>
      <c r="D1886" s="49" t="s">
        <v>261</v>
      </c>
      <c r="E1886" s="47">
        <v>138605</v>
      </c>
      <c r="F1886" s="50" t="s">
        <v>89</v>
      </c>
      <c r="G1886" s="51" t="s">
        <v>89</v>
      </c>
      <c r="H1886" s="49">
        <v>47.07</v>
      </c>
      <c r="I1886" s="51"/>
      <c r="J1886" s="51">
        <v>5.29</v>
      </c>
      <c r="K1886" s="53">
        <f>Tabela6[[#This Row],[CONSUMO]]*Tabela6[[#This Row],[VALOR UNIT]]-Tabela6[[#This Row],[DESCONTO]]</f>
        <v>249.00030000000001</v>
      </c>
      <c r="L1886" s="50">
        <v>5.29</v>
      </c>
      <c r="M1886" s="51">
        <f>Tabela6[[#This Row],[KM ATUAL]]-E1883</f>
        <v>-500882</v>
      </c>
      <c r="N1886" s="51">
        <f>Tabela6[[#This Row],[KM Rodados ]]/Tabela6[[#This Row],[CONSUMO]]</f>
        <v>-10641.215211387296</v>
      </c>
      <c r="O1886" s="48"/>
      <c r="P1886" s="47"/>
      <c r="Q1886" s="49"/>
      <c r="R1886" s="47"/>
      <c r="S1886" s="50"/>
      <c r="T1886" s="51"/>
      <c r="U1886" s="49"/>
      <c r="V1886" s="51"/>
      <c r="W1886" s="51"/>
      <c r="X1886" s="53"/>
      <c r="Y1886" s="50"/>
      <c r="Z1886" s="51"/>
    </row>
    <row r="1887" spans="1:26" ht="14.45" customHeight="1" x14ac:dyDescent="0.25">
      <c r="A1887" s="47">
        <v>6506</v>
      </c>
      <c r="B1887" s="78">
        <v>45141</v>
      </c>
      <c r="C1887" s="47" t="s">
        <v>222</v>
      </c>
      <c r="D1887" s="49" t="s">
        <v>299</v>
      </c>
      <c r="E1887" s="47">
        <v>490499</v>
      </c>
      <c r="F1887" s="50" t="s">
        <v>89</v>
      </c>
      <c r="G1887" s="50" t="s">
        <v>89</v>
      </c>
      <c r="H1887" s="49">
        <v>201</v>
      </c>
      <c r="I1887" s="51"/>
      <c r="J1887" s="51">
        <v>4.45</v>
      </c>
      <c r="K1887" s="53">
        <f>Tabela6[[#This Row],[CONSUMO]]*Tabela6[[#This Row],[VALOR UNIT]]-Tabela6[[#This Row],[DESCONTO]]</f>
        <v>894.45</v>
      </c>
      <c r="L1887" s="50">
        <v>4.45</v>
      </c>
      <c r="M1887" s="50">
        <f>Tabela6[[#This Row],[KM ATUAL]]-E1836</f>
        <v>114042</v>
      </c>
      <c r="N1887" s="51">
        <f>Tabela6[[#This Row],[KM Rodados ]]/Tabela6[[#This Row],[CONSUMO]]</f>
        <v>567.37313432835822</v>
      </c>
      <c r="O1887" s="48"/>
      <c r="P1887" s="47"/>
      <c r="Q1887" s="49"/>
      <c r="R1887" s="47"/>
      <c r="S1887" s="50"/>
      <c r="T1887" s="51"/>
      <c r="U1887" s="49"/>
      <c r="V1887" s="51"/>
      <c r="W1887" s="51"/>
      <c r="X1887" s="53"/>
      <c r="Y1887" s="50"/>
      <c r="Z1887" s="51"/>
    </row>
    <row r="1888" spans="1:26" ht="14.45" customHeight="1" x14ac:dyDescent="0.25">
      <c r="A1888" s="47">
        <v>6506</v>
      </c>
      <c r="B1888" s="78">
        <v>45141</v>
      </c>
      <c r="C1888" s="47" t="s">
        <v>72</v>
      </c>
      <c r="D1888" s="49" t="s">
        <v>299</v>
      </c>
      <c r="E1888" s="47">
        <v>406270</v>
      </c>
      <c r="F1888" s="50" t="s">
        <v>89</v>
      </c>
      <c r="G1888" s="50" t="s">
        <v>89</v>
      </c>
      <c r="H1888" s="49">
        <v>51</v>
      </c>
      <c r="I1888" s="51"/>
      <c r="J1888" s="51">
        <v>4.45</v>
      </c>
      <c r="K1888" s="51">
        <f>Tabela6[[#This Row],[CONSUMO]]*Tabela6[[#This Row],[VALOR UNIT]]-Tabela6[[#This Row],[DESCONTO]]</f>
        <v>226.95000000000002</v>
      </c>
      <c r="L1888" s="53">
        <f>Tabela6[[#This Row],[CUSTO TOTAL]]/Tabela6[[#This Row],[CONSUMO]]</f>
        <v>4.45</v>
      </c>
      <c r="M1888" s="50">
        <f>Tabela6[[#This Row],[KM ATUAL]]-E1865</f>
        <v>188072</v>
      </c>
      <c r="N1888" s="51">
        <f>Tabela6[[#This Row],[KM Rodados ]]/Tabela6[[#This Row],[CONSUMO]]</f>
        <v>3687.6862745098038</v>
      </c>
      <c r="O1888" s="48"/>
      <c r="P1888" s="47"/>
      <c r="Q1888" s="49"/>
      <c r="R1888" s="47"/>
      <c r="S1888" s="50"/>
      <c r="T1888" s="51"/>
      <c r="U1888" s="49"/>
      <c r="V1888" s="51"/>
      <c r="W1888" s="51"/>
      <c r="X1888" s="53"/>
      <c r="Y1888" s="50"/>
      <c r="Z1888" s="51"/>
    </row>
    <row r="1889" spans="1:26" ht="14.45" customHeight="1" x14ac:dyDescent="0.25">
      <c r="A1889" s="47">
        <v>6506</v>
      </c>
      <c r="B1889" s="78">
        <v>45141</v>
      </c>
      <c r="C1889" s="47" t="s">
        <v>73</v>
      </c>
      <c r="D1889" s="49" t="s">
        <v>299</v>
      </c>
      <c r="E1889" s="47">
        <v>132024</v>
      </c>
      <c r="F1889" s="50" t="s">
        <v>89</v>
      </c>
      <c r="G1889" s="50" t="s">
        <v>89</v>
      </c>
      <c r="H1889" s="51">
        <v>147</v>
      </c>
      <c r="I1889" s="51"/>
      <c r="J1889" s="51">
        <v>4.45</v>
      </c>
      <c r="K1889" s="52">
        <f>Tabela6[[#This Row],[CONSUMO]]*Tabela6[[#This Row],[VALOR UNIT]]-Tabela6[[#This Row],[DESCONTO]]</f>
        <v>654.15</v>
      </c>
      <c r="L1889" s="53">
        <f>Tabela6[[#This Row],[CUSTO TOTAL]]/Tabela6[[#This Row],[CONSUMO]]</f>
        <v>4.45</v>
      </c>
      <c r="M1889" s="50">
        <f>Tabela6[[#This Row],[KM ATUAL]]-E1843</f>
        <v>-588227</v>
      </c>
      <c r="N1889" s="51">
        <f>Tabela6[[#This Row],[KM Rodados ]]/Tabela6[[#This Row],[CONSUMO]]</f>
        <v>-4001.5442176870747</v>
      </c>
      <c r="O1889" s="48"/>
      <c r="P1889" s="47"/>
      <c r="Q1889" s="49"/>
      <c r="R1889" s="47"/>
      <c r="S1889" s="50"/>
      <c r="T1889" s="51"/>
      <c r="U1889" s="49"/>
      <c r="V1889" s="51"/>
      <c r="W1889" s="51"/>
      <c r="X1889" s="53"/>
      <c r="Y1889" s="50"/>
      <c r="Z1889" s="51"/>
    </row>
    <row r="1890" spans="1:26" ht="14.45" customHeight="1" x14ac:dyDescent="0.25">
      <c r="A1890" s="47">
        <v>6506</v>
      </c>
      <c r="B1890" s="78">
        <v>45141</v>
      </c>
      <c r="C1890" s="47" t="s">
        <v>21</v>
      </c>
      <c r="D1890" s="49" t="s">
        <v>299</v>
      </c>
      <c r="E1890" s="47">
        <v>149862</v>
      </c>
      <c r="F1890" s="50" t="s">
        <v>89</v>
      </c>
      <c r="G1890" s="50" t="s">
        <v>89</v>
      </c>
      <c r="H1890" s="49">
        <v>108</v>
      </c>
      <c r="I1890" s="51"/>
      <c r="J1890" s="51">
        <v>4.45</v>
      </c>
      <c r="K1890" s="52">
        <f>Tabela6[[#This Row],[CONSUMO]]*Tabela6[[#This Row],[VALOR UNIT]]-Tabela6[[#This Row],[DESCONTO]]</f>
        <v>480.6</v>
      </c>
      <c r="L1890" s="53">
        <f>Tabela6[[#This Row],[CUSTO TOTAL]]/Tabela6[[#This Row],[CONSUMO]]</f>
        <v>4.45</v>
      </c>
      <c r="M1890" s="50">
        <f>Tabela6[[#This Row],[KM ATUAL]]-E1860</f>
        <v>-753569</v>
      </c>
      <c r="N1890" s="51">
        <f>Tabela6[[#This Row],[KM Rodados ]]/Tabela6[[#This Row],[CONSUMO]]</f>
        <v>-6977.4907407407409</v>
      </c>
      <c r="O1890" s="48"/>
      <c r="P1890" s="47"/>
      <c r="Q1890" s="49"/>
      <c r="R1890" s="47"/>
      <c r="S1890" s="50"/>
      <c r="T1890" s="51"/>
      <c r="U1890" s="49"/>
      <c r="V1890" s="51"/>
      <c r="W1890" s="51"/>
      <c r="X1890" s="53"/>
      <c r="Y1890" s="50"/>
      <c r="Z1890" s="51"/>
    </row>
    <row r="1891" spans="1:26" ht="14.45" customHeight="1" x14ac:dyDescent="0.25">
      <c r="A1891" s="47">
        <v>6506</v>
      </c>
      <c r="B1891" s="78">
        <v>45141</v>
      </c>
      <c r="C1891" s="47" t="s">
        <v>17</v>
      </c>
      <c r="D1891" s="49" t="s">
        <v>299</v>
      </c>
      <c r="E1891" s="47">
        <v>363897</v>
      </c>
      <c r="F1891" s="50" t="s">
        <v>89</v>
      </c>
      <c r="G1891" s="50" t="s">
        <v>89</v>
      </c>
      <c r="H1891" s="51">
        <v>158</v>
      </c>
      <c r="I1891" s="51"/>
      <c r="J1891" s="51">
        <v>4.45</v>
      </c>
      <c r="K1891" s="51">
        <f>Tabela6[[#This Row],[CONSUMO]]*Tabela6[[#This Row],[VALOR UNIT]]-Tabela6[[#This Row],[DESCONTO]]</f>
        <v>703.1</v>
      </c>
      <c r="L1891" s="53">
        <f>Tabela6[[#This Row],[CUSTO TOTAL]]/Tabela6[[#This Row],[CONSUMO]]</f>
        <v>4.45</v>
      </c>
      <c r="M1891" s="50">
        <f>Tabela6[[#This Row],[KM ATUAL]]-E1836</f>
        <v>-12560</v>
      </c>
      <c r="N1891" s="51">
        <f>Tabela6[[#This Row],[KM Rodados ]]/Tabela6[[#This Row],[CONSUMO]]</f>
        <v>-79.493670886075947</v>
      </c>
      <c r="O1891" s="48"/>
      <c r="P1891" s="47"/>
      <c r="Q1891" s="49"/>
      <c r="R1891" s="47"/>
      <c r="S1891" s="50"/>
      <c r="T1891" s="51"/>
      <c r="U1891" s="49"/>
      <c r="V1891" s="51"/>
      <c r="W1891" s="51"/>
      <c r="X1891" s="53"/>
      <c r="Y1891" s="50"/>
      <c r="Z1891" s="51"/>
    </row>
    <row r="1892" spans="1:26" ht="14.45" customHeight="1" x14ac:dyDescent="0.25">
      <c r="A1892" s="47">
        <v>6506</v>
      </c>
      <c r="B1892" s="78">
        <v>45141</v>
      </c>
      <c r="C1892" s="47" t="s">
        <v>19</v>
      </c>
      <c r="D1892" s="49" t="s">
        <v>299</v>
      </c>
      <c r="E1892" s="47">
        <v>319562</v>
      </c>
      <c r="F1892" s="50" t="s">
        <v>89</v>
      </c>
      <c r="G1892" s="50" t="s">
        <v>89</v>
      </c>
      <c r="H1892" s="51">
        <v>75</v>
      </c>
      <c r="I1892" s="51"/>
      <c r="J1892" s="51">
        <v>4.45</v>
      </c>
      <c r="K1892" s="51">
        <f>Tabela6[[#This Row],[CONSUMO]]*Tabela6[[#This Row],[VALOR UNIT]]-Tabela6[[#This Row],[DESCONTO]]</f>
        <v>333.75</v>
      </c>
      <c r="L1892" s="53">
        <f>Tabela6[[#This Row],[CUSTO TOTAL]]/Tabela6[[#This Row],[CONSUMO]]</f>
        <v>4.45</v>
      </c>
      <c r="M1892" s="50">
        <f>Tabela6[[#This Row],[KM ATUAL]]-E1860</f>
        <v>-583869</v>
      </c>
      <c r="N1892" s="51">
        <f>Tabela6[[#This Row],[KM Rodados ]]/Tabela6[[#This Row],[CONSUMO]]</f>
        <v>-7784.92</v>
      </c>
      <c r="O1892" s="48"/>
      <c r="P1892" s="47"/>
      <c r="Q1892" s="49"/>
      <c r="R1892" s="47"/>
      <c r="S1892" s="50"/>
      <c r="T1892" s="51"/>
      <c r="U1892" s="49"/>
      <c r="V1892" s="51"/>
      <c r="W1892" s="51"/>
      <c r="X1892" s="53"/>
      <c r="Y1892" s="50"/>
      <c r="Z1892" s="51"/>
    </row>
    <row r="1893" spans="1:26" ht="14.45" customHeight="1" x14ac:dyDescent="0.25">
      <c r="A1893" s="47">
        <v>6506</v>
      </c>
      <c r="B1893" s="78">
        <v>45141</v>
      </c>
      <c r="C1893" s="47" t="s">
        <v>23</v>
      </c>
      <c r="D1893" s="49" t="s">
        <v>299</v>
      </c>
      <c r="E1893" s="47">
        <v>238448</v>
      </c>
      <c r="F1893" s="50" t="s">
        <v>89</v>
      </c>
      <c r="G1893" s="50" t="s">
        <v>89</v>
      </c>
      <c r="H1893" s="49">
        <v>40</v>
      </c>
      <c r="I1893" s="51"/>
      <c r="J1893" s="51">
        <v>4.45</v>
      </c>
      <c r="K1893" s="51">
        <f>Tabela6[[#This Row],[CONSUMO]]*Tabela6[[#This Row],[VALOR UNIT]]-Tabela6[[#This Row],[DESCONTO]]</f>
        <v>178</v>
      </c>
      <c r="L1893" s="53">
        <f>Tabela6[[#This Row],[CUSTO TOTAL]]/Tabela6[[#This Row],[CONSUMO]]</f>
        <v>4.45</v>
      </c>
      <c r="M1893" s="50">
        <f>Tabela6[[#This Row],[KM ATUAL]]-E1854</f>
        <v>-399632</v>
      </c>
      <c r="N1893" s="51">
        <f>Tabela6[[#This Row],[KM Rodados ]]/Tabela6[[#This Row],[CONSUMO]]</f>
        <v>-9990.7999999999993</v>
      </c>
      <c r="O1893" s="48"/>
      <c r="P1893" s="47"/>
      <c r="Q1893" s="49"/>
      <c r="R1893" s="47"/>
      <c r="S1893" s="50"/>
      <c r="T1893" s="51"/>
      <c r="U1893" s="49"/>
      <c r="V1893" s="51"/>
      <c r="W1893" s="51"/>
      <c r="X1893" s="53"/>
      <c r="Y1893" s="50"/>
      <c r="Z1893" s="51"/>
    </row>
    <row r="1894" spans="1:26" ht="14.45" customHeight="1" x14ac:dyDescent="0.25">
      <c r="A1894" s="47">
        <v>6506</v>
      </c>
      <c r="B1894" s="78">
        <v>45142</v>
      </c>
      <c r="C1894" s="47" t="s">
        <v>43</v>
      </c>
      <c r="D1894" s="49" t="s">
        <v>299</v>
      </c>
      <c r="E1894" s="47">
        <v>138895</v>
      </c>
      <c r="F1894" s="50" t="s">
        <v>89</v>
      </c>
      <c r="G1894" s="51" t="s">
        <v>89</v>
      </c>
      <c r="H1894" s="49">
        <v>36.1</v>
      </c>
      <c r="I1894" s="51"/>
      <c r="J1894" s="51">
        <v>4.45</v>
      </c>
      <c r="K1894" s="53">
        <f>Tabela6[[#This Row],[CONSUMO]]*Tabela6[[#This Row],[VALOR UNIT]]-Tabela6[[#This Row],[DESCONTO]]</f>
        <v>160.64500000000001</v>
      </c>
      <c r="L1894" s="50">
        <v>4.45</v>
      </c>
      <c r="M1894" s="51">
        <f>Tabela6[[#This Row],[KM ATUAL]]-E1879</f>
        <v>23315</v>
      </c>
      <c r="N1894" s="51">
        <f>Tabela6[[#This Row],[KM Rodados ]]/Tabela6[[#This Row],[CONSUMO]]</f>
        <v>645.84487534626032</v>
      </c>
      <c r="O1894" s="48"/>
      <c r="P1894" s="47"/>
      <c r="Q1894" s="49"/>
      <c r="R1894" s="47"/>
      <c r="S1894" s="50"/>
      <c r="T1894" s="51"/>
      <c r="U1894" s="49"/>
      <c r="V1894" s="51"/>
      <c r="W1894" s="51"/>
      <c r="X1894" s="53"/>
      <c r="Y1894" s="50"/>
      <c r="Z1894" s="51"/>
    </row>
    <row r="1895" spans="1:26" ht="14.45" customHeight="1" x14ac:dyDescent="0.25">
      <c r="A1895" s="47">
        <v>6506</v>
      </c>
      <c r="B1895" s="78">
        <v>45142</v>
      </c>
      <c r="C1895" s="47" t="s">
        <v>67</v>
      </c>
      <c r="D1895" s="49" t="s">
        <v>299</v>
      </c>
      <c r="E1895" s="47">
        <v>674372</v>
      </c>
      <c r="F1895" s="50" t="s">
        <v>89</v>
      </c>
      <c r="G1895" s="51" t="s">
        <v>89</v>
      </c>
      <c r="H1895" s="49">
        <v>107</v>
      </c>
      <c r="I1895" s="51"/>
      <c r="J1895" s="51">
        <v>4.45</v>
      </c>
      <c r="K1895" s="53">
        <f>Tabela6[[#This Row],[CONSUMO]]*Tabela6[[#This Row],[VALOR UNIT]]-Tabela6[[#This Row],[DESCONTO]]</f>
        <v>476.15000000000003</v>
      </c>
      <c r="L1895" s="50">
        <v>4.45</v>
      </c>
      <c r="M1895" s="50">
        <f>Tabela6[[#This Row],[KM ATUAL]]-E1875</f>
        <v>61316</v>
      </c>
      <c r="N1895" s="51">
        <f>Tabela6[[#This Row],[KM Rodados ]]/Tabela6[[#This Row],[CONSUMO]]</f>
        <v>573.04672897196258</v>
      </c>
      <c r="O1895" s="48"/>
      <c r="P1895" s="47"/>
      <c r="Q1895" s="49"/>
      <c r="R1895" s="47"/>
      <c r="S1895" s="50"/>
      <c r="T1895" s="51"/>
      <c r="U1895" s="49"/>
      <c r="V1895" s="51"/>
      <c r="W1895" s="51"/>
      <c r="X1895" s="53"/>
      <c r="Y1895" s="50"/>
      <c r="Z1895" s="51"/>
    </row>
    <row r="1896" spans="1:26" ht="14.45" customHeight="1" x14ac:dyDescent="0.25">
      <c r="A1896" s="47">
        <v>6506</v>
      </c>
      <c r="B1896" s="78">
        <v>45142</v>
      </c>
      <c r="C1896" s="47" t="s">
        <v>22</v>
      </c>
      <c r="D1896" s="49" t="s">
        <v>299</v>
      </c>
      <c r="E1896" s="47">
        <v>332232</v>
      </c>
      <c r="F1896" s="50" t="s">
        <v>89</v>
      </c>
      <c r="G1896" s="51" t="s">
        <v>89</v>
      </c>
      <c r="H1896" s="49">
        <v>124</v>
      </c>
      <c r="I1896" s="51"/>
      <c r="J1896" s="51">
        <v>4.45</v>
      </c>
      <c r="K1896" s="53">
        <f>Tabela6[[#This Row],[CONSUMO]]*Tabela6[[#This Row],[VALOR UNIT]]-Tabela6[[#This Row],[DESCONTO]]</f>
        <v>551.80000000000007</v>
      </c>
      <c r="L1896" s="50">
        <v>4.45</v>
      </c>
      <c r="M1896" s="50">
        <f>Tabela6[[#This Row],[KM ATUAL]]-E1854</f>
        <v>-305848</v>
      </c>
      <c r="N1896" s="51">
        <f>Tabela6[[#This Row],[KM Rodados ]]/Tabela6[[#This Row],[CONSUMO]]</f>
        <v>-2466.516129032258</v>
      </c>
      <c r="O1896" s="48"/>
      <c r="P1896" s="47"/>
      <c r="Q1896" s="49"/>
      <c r="R1896" s="47"/>
      <c r="S1896" s="50"/>
      <c r="T1896" s="51"/>
      <c r="U1896" s="49"/>
      <c r="V1896" s="51"/>
      <c r="W1896" s="51"/>
      <c r="X1896" s="53"/>
      <c r="Y1896" s="50"/>
      <c r="Z1896" s="51"/>
    </row>
    <row r="1897" spans="1:26" ht="14.45" customHeight="1" x14ac:dyDescent="0.25">
      <c r="A1897" s="47">
        <v>6506</v>
      </c>
      <c r="B1897" s="78">
        <v>45142</v>
      </c>
      <c r="C1897" s="47" t="s">
        <v>39</v>
      </c>
      <c r="D1897" s="49" t="s">
        <v>299</v>
      </c>
      <c r="E1897" s="47">
        <v>95836</v>
      </c>
      <c r="F1897" s="50" t="s">
        <v>89</v>
      </c>
      <c r="G1897" s="50" t="s">
        <v>89</v>
      </c>
      <c r="H1897" s="51">
        <v>116</v>
      </c>
      <c r="I1897" s="51"/>
      <c r="J1897" s="51">
        <v>4.45</v>
      </c>
      <c r="K1897" s="53">
        <f>Tabela6[[#This Row],[CONSUMO]]*Tabela6[[#This Row],[VALOR UNIT]]-Tabela6[[#This Row],[DESCONTO]]</f>
        <v>516.20000000000005</v>
      </c>
      <c r="L1897" s="50">
        <v>4.45</v>
      </c>
      <c r="M1897" s="50">
        <f>Tabela6[[#This Row],[KM ATUAL]]-E1856</f>
        <v>-192782</v>
      </c>
      <c r="N1897" s="51">
        <f>Tabela6[[#This Row],[KM Rodados ]]/Tabela6[[#This Row],[CONSUMO]]</f>
        <v>-1661.9137931034484</v>
      </c>
      <c r="O1897" s="48"/>
      <c r="P1897" s="47"/>
      <c r="Q1897" s="49"/>
      <c r="R1897" s="47"/>
      <c r="S1897" s="50"/>
      <c r="T1897" s="51"/>
      <c r="U1897" s="49"/>
      <c r="V1897" s="51"/>
      <c r="W1897" s="51"/>
      <c r="X1897" s="53"/>
      <c r="Y1897" s="50"/>
      <c r="Z1897" s="51"/>
    </row>
    <row r="1898" spans="1:26" ht="14.45" customHeight="1" x14ac:dyDescent="0.25">
      <c r="A1898" s="47">
        <v>319196</v>
      </c>
      <c r="B1898" s="78">
        <v>45142</v>
      </c>
      <c r="C1898" s="47" t="s">
        <v>203</v>
      </c>
      <c r="D1898" s="49" t="s">
        <v>276</v>
      </c>
      <c r="E1898" s="47">
        <v>105428</v>
      </c>
      <c r="F1898" s="50" t="s">
        <v>244</v>
      </c>
      <c r="G1898" s="50" t="s">
        <v>244</v>
      </c>
      <c r="H1898" s="50">
        <v>31</v>
      </c>
      <c r="I1898" s="51"/>
      <c r="J1898" s="51">
        <v>5.49</v>
      </c>
      <c r="K1898" s="52">
        <f>Tabela6[[#This Row],[CONSUMO]]*Tabela6[[#This Row],[VALOR UNIT]]-Tabela6[[#This Row],[DESCONTO]]</f>
        <v>170.19</v>
      </c>
      <c r="L1898" s="53">
        <f>Tabela6[[#This Row],[CUSTO TOTAL]]/Tabela6[[#This Row],[CONSUMO]]</f>
        <v>5.49</v>
      </c>
      <c r="M1898" s="50">
        <f>Tabela6[[#This Row],[KM ATUAL]]-E1866</f>
        <v>381</v>
      </c>
      <c r="N1898" s="51">
        <f>Tabela6[[#This Row],[KM Rodados ]]/Tabela6[[#This Row],[CONSUMO]]</f>
        <v>12.290322580645162</v>
      </c>
      <c r="O1898" s="48"/>
      <c r="P1898" s="47"/>
      <c r="Q1898" s="49"/>
      <c r="R1898" s="47"/>
      <c r="S1898" s="50"/>
      <c r="T1898" s="51"/>
      <c r="U1898" s="49"/>
      <c r="V1898" s="51"/>
      <c r="W1898" s="51"/>
      <c r="X1898" s="53"/>
      <c r="Y1898" s="50"/>
      <c r="Z1898" s="51"/>
    </row>
    <row r="1899" spans="1:26" ht="14.45" customHeight="1" x14ac:dyDescent="0.25">
      <c r="A1899" s="47" t="s">
        <v>314</v>
      </c>
      <c r="B1899" s="78">
        <v>45142</v>
      </c>
      <c r="C1899" s="47" t="s">
        <v>72</v>
      </c>
      <c r="E1899" s="47">
        <v>406689</v>
      </c>
      <c r="F1899" s="50"/>
      <c r="G1899" s="50" t="s">
        <v>89</v>
      </c>
      <c r="H1899" s="50">
        <v>50</v>
      </c>
      <c r="I1899" s="51"/>
      <c r="K1899" s="52">
        <f>Tabela6[[#This Row],[CONSUMO]]*Tabela6[[#This Row],[VALOR UNIT]]-Tabela6[[#This Row],[DESCONTO]]</f>
        <v>0</v>
      </c>
      <c r="L1899" s="53">
        <f>Tabela6[[#This Row],[CUSTO TOTAL]]/Tabela6[[#This Row],[CONSUMO]]</f>
        <v>0</v>
      </c>
      <c r="M1899" s="50">
        <f>Tabela6[[#This Row],[KM ATUAL]]-E1875</f>
        <v>-206367</v>
      </c>
      <c r="N1899" s="49">
        <f>Tabela6[[#This Row],[KM Rodados ]]/Tabela6[[#This Row],[CONSUMO]]</f>
        <v>-4127.34</v>
      </c>
      <c r="O1899" s="48"/>
      <c r="P1899" s="47"/>
      <c r="Q1899" s="49"/>
      <c r="R1899" s="47"/>
      <c r="S1899" s="50"/>
      <c r="T1899" s="51"/>
      <c r="U1899" s="49"/>
      <c r="V1899" s="51"/>
      <c r="W1899" s="51"/>
      <c r="X1899" s="53"/>
      <c r="Y1899" s="50"/>
      <c r="Z1899" s="51"/>
    </row>
    <row r="1900" spans="1:26" ht="14.45" customHeight="1" x14ac:dyDescent="0.25">
      <c r="A1900" s="47">
        <v>43111</v>
      </c>
      <c r="B1900" s="78">
        <v>45142</v>
      </c>
      <c r="C1900" s="47" t="s">
        <v>64</v>
      </c>
      <c r="D1900" s="49" t="s">
        <v>253</v>
      </c>
      <c r="E1900" s="47">
        <v>85775</v>
      </c>
      <c r="F1900" s="50" t="s">
        <v>89</v>
      </c>
      <c r="G1900" s="50" t="s">
        <v>89</v>
      </c>
      <c r="H1900" s="49">
        <v>212.51</v>
      </c>
      <c r="I1900" s="51"/>
      <c r="J1900" s="51">
        <v>5.09</v>
      </c>
      <c r="K1900" s="51">
        <f>Tabela6[[#This Row],[CONSUMO]]*Tabela6[[#This Row],[VALOR UNIT]]-Tabela6[[#This Row],[DESCONTO]]</f>
        <v>1081.6759</v>
      </c>
      <c r="L1900" s="53">
        <f>Tabela6[[#This Row],[CUSTO TOTAL]]/Tabela6[[#This Row],[CONSUMO]]</f>
        <v>5.09</v>
      </c>
      <c r="M1900" s="50">
        <f>Tabela6[[#This Row],[KM ATUAL]]-E1849</f>
        <v>-131961</v>
      </c>
      <c r="N1900" s="51">
        <f>Tabela6[[#This Row],[KM Rodados ]]/Tabela6[[#This Row],[CONSUMO]]</f>
        <v>-620.96371935438333</v>
      </c>
      <c r="O1900" s="48"/>
      <c r="P1900" s="47"/>
      <c r="Q1900" s="49"/>
      <c r="R1900" s="47"/>
      <c r="S1900" s="50"/>
      <c r="T1900" s="51"/>
      <c r="U1900" s="49"/>
      <c r="V1900" s="51"/>
      <c r="W1900" s="51"/>
      <c r="X1900" s="53"/>
      <c r="Y1900" s="50"/>
      <c r="Z1900" s="51"/>
    </row>
    <row r="1901" spans="1:26" ht="14.45" customHeight="1" x14ac:dyDescent="0.25">
      <c r="A1901" s="47">
        <v>6506</v>
      </c>
      <c r="B1901" s="78">
        <v>45142</v>
      </c>
      <c r="C1901" s="47" t="s">
        <v>10</v>
      </c>
      <c r="D1901" s="49" t="s">
        <v>299</v>
      </c>
      <c r="E1901" s="47">
        <v>721018</v>
      </c>
      <c r="F1901" s="50" t="s">
        <v>89</v>
      </c>
      <c r="G1901" s="50" t="s">
        <v>89</v>
      </c>
      <c r="H1901" s="49">
        <v>97</v>
      </c>
      <c r="I1901" s="51"/>
      <c r="J1901" s="51">
        <v>4.45</v>
      </c>
      <c r="K1901" s="51">
        <f>Tabela6[[#This Row],[CONSUMO]]*Tabela6[[#This Row],[VALOR UNIT]]-Tabela6[[#This Row],[DESCONTO]]</f>
        <v>431.65000000000003</v>
      </c>
      <c r="L1901" s="53">
        <f>Tabela6[[#This Row],[CUSTO TOTAL]]/Tabela6[[#This Row],[CONSUMO]]</f>
        <v>4.45</v>
      </c>
      <c r="M1901" s="50">
        <f>Tabela6[[#This Row],[KM ATUAL]]-E1879</f>
        <v>605438</v>
      </c>
      <c r="N1901" s="51">
        <f>Tabela6[[#This Row],[KM Rodados ]]/Tabela6[[#This Row],[CONSUMO]]</f>
        <v>6241.6288659793818</v>
      </c>
      <c r="O1901" s="48"/>
      <c r="P1901" s="47"/>
      <c r="Q1901" s="49"/>
      <c r="R1901" s="47"/>
      <c r="S1901" s="50"/>
      <c r="T1901" s="51"/>
      <c r="U1901" s="49"/>
      <c r="V1901" s="51"/>
      <c r="W1901" s="51"/>
      <c r="X1901" s="53"/>
      <c r="Y1901" s="50"/>
      <c r="Z1901" s="51"/>
    </row>
    <row r="1902" spans="1:26" ht="14.45" customHeight="1" x14ac:dyDescent="0.25">
      <c r="A1902" s="47">
        <v>4122</v>
      </c>
      <c r="B1902" s="78">
        <v>45142</v>
      </c>
      <c r="C1902" s="47" t="s">
        <v>12</v>
      </c>
      <c r="D1902" s="49" t="s">
        <v>253</v>
      </c>
      <c r="E1902" s="47">
        <v>318028</v>
      </c>
      <c r="F1902" s="50" t="s">
        <v>89</v>
      </c>
      <c r="G1902" s="50" t="s">
        <v>89</v>
      </c>
      <c r="H1902" s="49">
        <v>85.24</v>
      </c>
      <c r="I1902" s="51"/>
      <c r="J1902" s="51">
        <v>5.09</v>
      </c>
      <c r="K1902" s="51">
        <f>Tabela6[[#This Row],[CONSUMO]]*Tabela6[[#This Row],[VALOR UNIT]]-Tabela6[[#This Row],[DESCONTO]]</f>
        <v>433.87159999999994</v>
      </c>
      <c r="L1902" s="53">
        <f>Tabela6[[#This Row],[CUSTO TOTAL]]/Tabela6[[#This Row],[CONSUMO]]</f>
        <v>5.09</v>
      </c>
      <c r="M1902" s="50">
        <f>Tabela6[[#This Row],[KM ATUAL]]-E1779</f>
        <v>169782</v>
      </c>
      <c r="N1902" s="84">
        <f>Tabela6[[#This Row],[KM Rodados ]]/Tabela6[[#This Row],[CONSUMO]]</f>
        <v>1991.8113561708119</v>
      </c>
      <c r="O1902" s="48"/>
      <c r="P1902" s="47"/>
      <c r="Q1902" s="49"/>
      <c r="R1902" s="47"/>
      <c r="S1902" s="50"/>
      <c r="T1902" s="51"/>
      <c r="U1902" s="49"/>
      <c r="V1902" s="51"/>
      <c r="W1902" s="51"/>
      <c r="X1902" s="53"/>
      <c r="Y1902" s="50"/>
      <c r="Z1902" s="51"/>
    </row>
    <row r="1903" spans="1:26" ht="14.45" customHeight="1" x14ac:dyDescent="0.25">
      <c r="A1903" s="47">
        <v>6506</v>
      </c>
      <c r="B1903" s="78">
        <v>45142</v>
      </c>
      <c r="C1903" s="47" t="s">
        <v>13</v>
      </c>
      <c r="D1903" s="49" t="s">
        <v>299</v>
      </c>
      <c r="E1903" s="47">
        <v>639891</v>
      </c>
      <c r="F1903" s="50" t="s">
        <v>89</v>
      </c>
      <c r="G1903" s="50" t="s">
        <v>89</v>
      </c>
      <c r="H1903" s="49">
        <v>103</v>
      </c>
      <c r="I1903" s="51"/>
      <c r="J1903" s="51">
        <v>4.45</v>
      </c>
      <c r="K1903" s="51">
        <f>Tabela6[[#This Row],[CONSUMO]]*Tabela6[[#This Row],[VALOR UNIT]]-Tabela6[[#This Row],[DESCONTO]]</f>
        <v>458.35</v>
      </c>
      <c r="L1903" s="53">
        <f>Tabela6[[#This Row],[CUSTO TOTAL]]/Tabela6[[#This Row],[CONSUMO]]</f>
        <v>4.45</v>
      </c>
      <c r="M1903" s="50">
        <f>Tabela6[[#This Row],[KM ATUAL]]-E1875</f>
        <v>26835</v>
      </c>
      <c r="N1903" s="75">
        <f>Tabela6[[#This Row],[KM Rodados ]]/Tabela6[[#This Row],[CONSUMO]]</f>
        <v>260.53398058252429</v>
      </c>
      <c r="O1903" s="48"/>
      <c r="P1903" s="47"/>
      <c r="Q1903" s="49"/>
      <c r="R1903" s="47"/>
      <c r="S1903" s="50"/>
      <c r="T1903" s="51"/>
      <c r="U1903" s="49"/>
      <c r="V1903" s="51"/>
      <c r="W1903" s="51"/>
      <c r="X1903" s="53"/>
      <c r="Y1903" s="50"/>
      <c r="Z1903" s="51"/>
    </row>
    <row r="1904" spans="1:26" ht="14.45" customHeight="1" x14ac:dyDescent="0.25">
      <c r="A1904" s="47">
        <v>6506</v>
      </c>
      <c r="B1904" s="78">
        <v>45142</v>
      </c>
      <c r="C1904" s="47" t="s">
        <v>15</v>
      </c>
      <c r="D1904" s="49" t="s">
        <v>299</v>
      </c>
      <c r="E1904" s="47">
        <v>377201</v>
      </c>
      <c r="F1904" s="50" t="s">
        <v>89</v>
      </c>
      <c r="G1904" s="50" t="s">
        <v>89</v>
      </c>
      <c r="H1904" s="49">
        <v>51</v>
      </c>
      <c r="I1904" s="51"/>
      <c r="J1904" s="51">
        <v>4.45</v>
      </c>
      <c r="K1904" s="52">
        <f>Tabela6[[#This Row],[CONSUMO]]*Tabela6[[#This Row],[VALOR UNIT]]-Tabela6[[#This Row],[DESCONTO]]</f>
        <v>226.95000000000002</v>
      </c>
      <c r="L1904" s="53">
        <f>Tabela6[[#This Row],[CUSTO TOTAL]]/Tabela6[[#This Row],[CONSUMO]]</f>
        <v>4.45</v>
      </c>
      <c r="M1904" s="50">
        <f>Tabela6[[#This Row],[KM ATUAL]]-E1859</f>
        <v>138947</v>
      </c>
      <c r="N1904" s="51">
        <f>Tabela6[[#This Row],[KM Rodados ]]/Tabela6[[#This Row],[CONSUMO]]</f>
        <v>2724.4509803921569</v>
      </c>
      <c r="O1904" s="48"/>
      <c r="P1904" s="47"/>
      <c r="Q1904" s="49"/>
      <c r="R1904" s="47"/>
      <c r="S1904" s="50"/>
      <c r="T1904" s="51"/>
      <c r="U1904" s="49"/>
      <c r="V1904" s="51"/>
      <c r="W1904" s="51"/>
      <c r="X1904" s="53"/>
      <c r="Y1904" s="50"/>
      <c r="Z1904" s="51"/>
    </row>
    <row r="1905" spans="1:26" ht="14.45" customHeight="1" x14ac:dyDescent="0.25">
      <c r="A1905" s="47">
        <v>554503</v>
      </c>
      <c r="B1905" s="78">
        <v>45142</v>
      </c>
      <c r="C1905" s="47" t="s">
        <v>16</v>
      </c>
      <c r="D1905" s="49" t="s">
        <v>255</v>
      </c>
      <c r="E1905" s="47">
        <v>301113</v>
      </c>
      <c r="F1905" s="50" t="s">
        <v>89</v>
      </c>
      <c r="G1905" s="50" t="s">
        <v>89</v>
      </c>
      <c r="H1905" s="49">
        <v>122.181</v>
      </c>
      <c r="I1905" s="51"/>
      <c r="J1905" s="51">
        <v>5.3230000000000004</v>
      </c>
      <c r="K1905" s="52">
        <f>Tabela6[[#This Row],[CONSUMO]]*Tabela6[[#This Row],[VALOR UNIT]]-Tabela6[[#This Row],[DESCONTO]]</f>
        <v>650.369463</v>
      </c>
      <c r="L1905" s="53">
        <f>Tabela6[[#This Row],[CUSTO TOTAL]]/Tabela6[[#This Row],[CONSUMO]]</f>
        <v>5.3230000000000004</v>
      </c>
      <c r="M1905" s="50">
        <f>Tabela6[[#This Row],[KM ATUAL]]-E1802</f>
        <v>152570</v>
      </c>
      <c r="N1905" s="51">
        <f>Tabela6[[#This Row],[KM Rodados ]]/Tabela6[[#This Row],[CONSUMO]]</f>
        <v>1248.7211595910985</v>
      </c>
      <c r="O1905" s="48"/>
      <c r="P1905" s="47"/>
      <c r="Q1905" s="49"/>
      <c r="R1905" s="47"/>
      <c r="S1905" s="50"/>
      <c r="T1905" s="51"/>
      <c r="U1905" s="49"/>
      <c r="V1905" s="51"/>
      <c r="W1905" s="51"/>
      <c r="X1905" s="53"/>
      <c r="Y1905" s="50"/>
      <c r="Z1905" s="51"/>
    </row>
    <row r="1906" spans="1:26" ht="14.45" customHeight="1" x14ac:dyDescent="0.25">
      <c r="A1906" s="47">
        <v>6506</v>
      </c>
      <c r="B1906" s="78">
        <v>45142</v>
      </c>
      <c r="C1906" s="47" t="s">
        <v>20</v>
      </c>
      <c r="D1906" s="49" t="s">
        <v>299</v>
      </c>
      <c r="E1906" s="47">
        <v>263546</v>
      </c>
      <c r="F1906" s="50" t="s">
        <v>89</v>
      </c>
      <c r="G1906" s="50" t="s">
        <v>89</v>
      </c>
      <c r="H1906" s="49">
        <v>77</v>
      </c>
      <c r="I1906" s="51"/>
      <c r="J1906" s="51">
        <v>4.45</v>
      </c>
      <c r="K1906" s="52">
        <f>Tabela6[[#This Row],[CONSUMO]]*Tabela6[[#This Row],[VALOR UNIT]]-Tabela6[[#This Row],[DESCONTO]]</f>
        <v>342.65000000000003</v>
      </c>
      <c r="L1906" s="53">
        <f>Tabela6[[#This Row],[CUSTO TOTAL]]/Tabela6[[#This Row],[CONSUMO]]</f>
        <v>4.45</v>
      </c>
      <c r="M1906" s="50">
        <f>Tabela6[[#This Row],[KM ATUAL]]-E1871</f>
        <v>-113351</v>
      </c>
      <c r="N1906" s="51">
        <f>Tabela6[[#This Row],[KM Rodados ]]/Tabela6[[#This Row],[CONSUMO]]</f>
        <v>-1472.090909090909</v>
      </c>
      <c r="O1906" s="48"/>
      <c r="P1906" s="47"/>
      <c r="Q1906" s="49"/>
      <c r="R1906" s="47"/>
      <c r="S1906" s="50"/>
      <c r="T1906" s="51"/>
      <c r="U1906" s="49"/>
      <c r="V1906" s="51"/>
      <c r="W1906" s="51"/>
      <c r="X1906" s="53"/>
      <c r="Y1906" s="50"/>
      <c r="Z1906" s="51"/>
    </row>
    <row r="1907" spans="1:26" ht="14.45" customHeight="1" x14ac:dyDescent="0.25">
      <c r="A1907" s="47" t="s">
        <v>314</v>
      </c>
      <c r="B1907" s="78">
        <v>45142</v>
      </c>
      <c r="C1907" s="49" t="s">
        <v>40</v>
      </c>
      <c r="E1907" s="47">
        <v>152647</v>
      </c>
      <c r="F1907" s="50"/>
      <c r="G1907" s="50" t="s">
        <v>244</v>
      </c>
      <c r="H1907" s="51">
        <v>39.630000000000003</v>
      </c>
      <c r="I1907" s="51"/>
      <c r="K1907" s="52">
        <f>Tabela6[[#This Row],[CONSUMO]]*Tabela6[[#This Row],[VALOR UNIT]]-Tabela6[[#This Row],[DESCONTO]]</f>
        <v>0</v>
      </c>
      <c r="L1907" s="53">
        <f>Tabela6[[#This Row],[CUSTO TOTAL]]/Tabela6[[#This Row],[CONSUMO]]</f>
        <v>0</v>
      </c>
      <c r="M1907" s="50">
        <f>Tabela6[[#This Row],[KM ATUAL]]-E1906</f>
        <v>-110899</v>
      </c>
      <c r="N1907" s="51">
        <f>Tabela6[[#This Row],[KM Rodados ]]/Tabela6[[#This Row],[CONSUMO]]</f>
        <v>-2798.3598284128184</v>
      </c>
      <c r="O1907" s="48"/>
      <c r="P1907" s="47"/>
      <c r="Q1907" s="49"/>
      <c r="R1907" s="47"/>
      <c r="S1907" s="50"/>
      <c r="T1907" s="51"/>
      <c r="U1907" s="49"/>
      <c r="V1907" s="51"/>
      <c r="W1907" s="51"/>
      <c r="X1907" s="53"/>
      <c r="Y1907" s="50"/>
      <c r="Z1907" s="51"/>
    </row>
    <row r="1908" spans="1:26" ht="14.45" customHeight="1" x14ac:dyDescent="0.25">
      <c r="A1908" s="47">
        <v>6506</v>
      </c>
      <c r="B1908" s="78">
        <v>45142</v>
      </c>
      <c r="C1908" s="47" t="s">
        <v>74</v>
      </c>
      <c r="D1908" s="49" t="s">
        <v>299</v>
      </c>
      <c r="E1908" s="47">
        <v>68209</v>
      </c>
      <c r="F1908" s="50" t="s">
        <v>89</v>
      </c>
      <c r="G1908" s="50" t="s">
        <v>89</v>
      </c>
      <c r="H1908" s="49">
        <v>43</v>
      </c>
      <c r="I1908" s="51"/>
      <c r="J1908" s="51">
        <v>4.45</v>
      </c>
      <c r="K1908" s="51">
        <f>Tabela6[[#This Row],[CONSUMO]]*Tabela6[[#This Row],[VALOR UNIT]]-Tabela6[[#This Row],[DESCONTO]]</f>
        <v>191.35</v>
      </c>
      <c r="L1908" s="53">
        <f>Tabela6[[#This Row],[CUSTO TOTAL]]/Tabela6[[#This Row],[CONSUMO]]</f>
        <v>4.45</v>
      </c>
      <c r="M1908" s="50">
        <f>Tabela6[[#This Row],[KM ATUAL]]-E1887</f>
        <v>-422290</v>
      </c>
      <c r="N1908" s="51">
        <f>Tabela6[[#This Row],[KM Rodados ]]/Tabela6[[#This Row],[CONSUMO]]</f>
        <v>-9820.6976744186049</v>
      </c>
      <c r="O1908" s="48"/>
      <c r="P1908" s="47"/>
      <c r="Q1908" s="49"/>
      <c r="R1908" s="47"/>
      <c r="S1908" s="50"/>
      <c r="T1908" s="51"/>
      <c r="U1908" s="49"/>
      <c r="V1908" s="51"/>
      <c r="W1908" s="51"/>
      <c r="X1908" s="53"/>
      <c r="Y1908" s="50"/>
      <c r="Z1908" s="51"/>
    </row>
    <row r="1909" spans="1:26" ht="14.45" customHeight="1" x14ac:dyDescent="0.25">
      <c r="A1909" s="47">
        <v>319456</v>
      </c>
      <c r="B1909" s="78">
        <v>45143</v>
      </c>
      <c r="C1909" s="47" t="s">
        <v>222</v>
      </c>
      <c r="D1909" s="49" t="s">
        <v>276</v>
      </c>
      <c r="F1909" s="50" t="s">
        <v>241</v>
      </c>
      <c r="G1909" s="50" t="s">
        <v>241</v>
      </c>
      <c r="H1909" s="50">
        <v>43</v>
      </c>
      <c r="I1909" s="51"/>
      <c r="J1909" s="51">
        <v>3.69</v>
      </c>
      <c r="K1909" s="52">
        <f>Tabela6[[#This Row],[CONSUMO]]*Tabela6[[#This Row],[VALOR UNIT]]-Tabela6[[#This Row],[DESCONTO]]</f>
        <v>158.66999999999999</v>
      </c>
      <c r="L1909" s="53">
        <f>Tabela6[[#This Row],[CUSTO TOTAL]]/Tabela6[[#This Row],[CONSUMO]]</f>
        <v>3.6899999999999995</v>
      </c>
      <c r="M1909" s="53"/>
      <c r="N1909" s="49"/>
      <c r="O1909" s="48"/>
      <c r="P1909" s="47"/>
      <c r="Q1909" s="49"/>
      <c r="R1909" s="47"/>
      <c r="S1909" s="50"/>
      <c r="T1909" s="51"/>
      <c r="U1909" s="49"/>
      <c r="V1909" s="51"/>
      <c r="W1909" s="51"/>
      <c r="X1909" s="53"/>
      <c r="Y1909" s="50"/>
      <c r="Z1909" s="51"/>
    </row>
    <row r="1910" spans="1:26" ht="14.45" customHeight="1" x14ac:dyDescent="0.25">
      <c r="A1910" s="47" t="s">
        <v>314</v>
      </c>
      <c r="B1910" s="78">
        <v>45143</v>
      </c>
      <c r="C1910" s="47" t="s">
        <v>72</v>
      </c>
      <c r="E1910" s="47">
        <v>406670</v>
      </c>
      <c r="F1910" s="50"/>
      <c r="G1910" s="50" t="s">
        <v>89</v>
      </c>
      <c r="H1910" s="51">
        <v>48.5</v>
      </c>
      <c r="I1910" s="51"/>
      <c r="K1910" s="52">
        <f>Tabela6[[#This Row],[CONSUMO]]*Tabela6[[#This Row],[VALOR UNIT]]-Tabela6[[#This Row],[DESCONTO]]</f>
        <v>0</v>
      </c>
      <c r="L1910" s="53">
        <f>Tabela6[[#This Row],[CUSTO TOTAL]]/Tabela6[[#This Row],[CONSUMO]]</f>
        <v>0</v>
      </c>
      <c r="M1910" s="50">
        <f>Tabela6[[#This Row],[KM ATUAL]]-E1883</f>
        <v>-232817</v>
      </c>
      <c r="N1910" s="51">
        <f>Tabela6[[#This Row],[KM Rodados ]]/Tabela6[[#This Row],[CONSUMO]]</f>
        <v>-4800.3505154639179</v>
      </c>
      <c r="O1910" s="48"/>
      <c r="P1910" s="47"/>
      <c r="Q1910" s="49"/>
      <c r="R1910" s="47"/>
      <c r="S1910" s="50"/>
      <c r="T1910" s="51"/>
      <c r="U1910" s="49"/>
      <c r="V1910" s="51"/>
      <c r="W1910" s="51"/>
      <c r="X1910" s="53"/>
      <c r="Y1910" s="50"/>
      <c r="Z1910" s="51"/>
    </row>
    <row r="1911" spans="1:26" ht="14.45" customHeight="1" x14ac:dyDescent="0.25">
      <c r="A1911" s="47" t="s">
        <v>314</v>
      </c>
      <c r="B1911" s="78">
        <v>45143</v>
      </c>
      <c r="C1911" s="47" t="s">
        <v>41</v>
      </c>
      <c r="E1911" s="47">
        <v>669993</v>
      </c>
      <c r="F1911" s="50"/>
      <c r="G1911" s="50" t="s">
        <v>89</v>
      </c>
      <c r="H1911" s="51">
        <v>109</v>
      </c>
      <c r="I1911" s="51"/>
      <c r="K1911" s="53">
        <f>Tabela6[[#This Row],[CONSUMO]]*Tabela6[[#This Row],[VALOR UNIT]]-Tabela6[[#This Row],[DESCONTO]]</f>
        <v>0</v>
      </c>
      <c r="L1911" s="53">
        <f>Tabela6[[#This Row],[CUSTO TOTAL]]/Tabela6[[#This Row],[CONSUMO]]</f>
        <v>0</v>
      </c>
      <c r="M1911" s="50">
        <f>Tabela6[[#This Row],[KM ATUAL]]-E1881</f>
        <v>-50681</v>
      </c>
      <c r="N1911" s="50">
        <f>Tabela6[[#This Row],[KM Rodados ]]/Tabela6[[#This Row],[CONSUMO]]</f>
        <v>-464.9633027522936</v>
      </c>
      <c r="O1911" s="48"/>
      <c r="P1911" s="47"/>
      <c r="Q1911" s="49"/>
      <c r="R1911" s="47"/>
      <c r="S1911" s="50"/>
      <c r="T1911" s="51"/>
      <c r="U1911" s="49"/>
      <c r="V1911" s="51"/>
      <c r="W1911" s="51"/>
      <c r="X1911" s="53"/>
      <c r="Y1911" s="50"/>
      <c r="Z1911" s="51"/>
    </row>
    <row r="1912" spans="1:26" ht="14.45" customHeight="1" x14ac:dyDescent="0.25">
      <c r="A1912" s="47" t="s">
        <v>314</v>
      </c>
      <c r="B1912" s="78">
        <v>45144</v>
      </c>
      <c r="C1912" s="47" t="s">
        <v>42</v>
      </c>
      <c r="E1912" s="47">
        <v>369105</v>
      </c>
      <c r="F1912" s="50"/>
      <c r="G1912" s="50" t="s">
        <v>89</v>
      </c>
      <c r="H1912" s="51">
        <v>55</v>
      </c>
      <c r="I1912" s="51"/>
      <c r="K1912" s="53">
        <f>Tabela6[[#This Row],[CONSUMO]]*Tabela6[[#This Row],[VALOR UNIT]]-Tabela6[[#This Row],[DESCONTO]]</f>
        <v>0</v>
      </c>
      <c r="L1912" s="53">
        <f>Tabela6[[#This Row],[CUSTO TOTAL]]/Tabela6[[#This Row],[CONSUMO]]</f>
        <v>0</v>
      </c>
      <c r="M1912" s="50">
        <f>Tabela6[[#This Row],[KM ATUAL]]-E1874</f>
        <v>230802</v>
      </c>
      <c r="N1912" s="47">
        <f>Tabela6[[#This Row],[KM Rodados ]]/Tabela6[[#This Row],[CONSUMO]]</f>
        <v>4196.3999999999996</v>
      </c>
      <c r="O1912" s="48"/>
      <c r="P1912" s="47"/>
      <c r="Q1912" s="49"/>
      <c r="R1912" s="47"/>
      <c r="S1912" s="50"/>
      <c r="T1912" s="51"/>
      <c r="U1912" s="49"/>
      <c r="V1912" s="51"/>
      <c r="W1912" s="51"/>
      <c r="X1912" s="53"/>
      <c r="Y1912" s="50"/>
      <c r="Z1912" s="51"/>
    </row>
    <row r="1913" spans="1:26" ht="14.45" customHeight="1" x14ac:dyDescent="0.25">
      <c r="A1913" s="47" t="s">
        <v>314</v>
      </c>
      <c r="B1913" s="78">
        <v>45144</v>
      </c>
      <c r="C1913" s="47" t="s">
        <v>203</v>
      </c>
      <c r="E1913" s="47">
        <v>105954</v>
      </c>
      <c r="F1913" s="50"/>
      <c r="G1913" s="50" t="s">
        <v>244</v>
      </c>
      <c r="H1913" s="50">
        <v>44.52</v>
      </c>
      <c r="I1913" s="51"/>
      <c r="K1913" s="52">
        <f>Tabela6[[#This Row],[CONSUMO]]*Tabela6[[#This Row],[VALOR UNIT]]-Tabela6[[#This Row],[DESCONTO]]</f>
        <v>0</v>
      </c>
      <c r="L1913" s="53">
        <f>Tabela6[[#This Row],[CUSTO TOTAL]]/Tabela6[[#This Row],[CONSUMO]]</f>
        <v>0</v>
      </c>
      <c r="M1913" s="50">
        <f>Tabela6[[#This Row],[KM ATUAL]]-E1872</f>
        <v>-213222</v>
      </c>
      <c r="N1913" s="51">
        <f>Tabela6[[#This Row],[KM Rodados ]]/Tabela6[[#This Row],[CONSUMO]]</f>
        <v>-4789.3530997304579</v>
      </c>
      <c r="O1913" s="48"/>
      <c r="P1913" s="47"/>
      <c r="Q1913" s="49"/>
      <c r="R1913" s="47"/>
      <c r="S1913" s="50"/>
      <c r="T1913" s="51"/>
      <c r="U1913" s="49"/>
      <c r="V1913" s="51"/>
      <c r="W1913" s="51"/>
      <c r="X1913" s="53"/>
      <c r="Y1913" s="50"/>
      <c r="Z1913" s="51"/>
    </row>
    <row r="1914" spans="1:26" ht="14.45" customHeight="1" x14ac:dyDescent="0.25">
      <c r="A1914" s="47">
        <v>348429</v>
      </c>
      <c r="B1914" s="78">
        <v>45144</v>
      </c>
      <c r="C1914" s="47" t="s">
        <v>72</v>
      </c>
      <c r="D1914" s="49" t="s">
        <v>309</v>
      </c>
      <c r="E1914" s="47">
        <v>406977</v>
      </c>
      <c r="F1914" s="50" t="s">
        <v>89</v>
      </c>
      <c r="G1914" s="50" t="s">
        <v>89</v>
      </c>
      <c r="H1914" s="49">
        <v>36</v>
      </c>
      <c r="I1914" s="51"/>
      <c r="J1914" s="51">
        <v>4.7699999999999996</v>
      </c>
      <c r="K1914" s="51">
        <f>Tabela6[[#This Row],[CONSUMO]]*Tabela6[[#This Row],[VALOR UNIT]]-Tabela6[[#This Row],[DESCONTO]]</f>
        <v>171.71999999999997</v>
      </c>
      <c r="L1914" s="53">
        <f>Tabela6[[#This Row],[CUSTO TOTAL]]/Tabela6[[#This Row],[CONSUMO]]</f>
        <v>4.7699999999999996</v>
      </c>
      <c r="M1914" s="50">
        <f>Tabela6[[#This Row],[KM ATUAL]]-E1913</f>
        <v>301023</v>
      </c>
      <c r="N1914" s="51">
        <f>Tabela6[[#This Row],[KM Rodados ]]/Tabela6[[#This Row],[CONSUMO]]</f>
        <v>8361.75</v>
      </c>
      <c r="O1914" s="48"/>
      <c r="P1914" s="47"/>
      <c r="Q1914" s="49"/>
      <c r="R1914" s="47"/>
      <c r="S1914" s="50"/>
      <c r="T1914" s="51"/>
      <c r="U1914" s="49"/>
      <c r="V1914" s="51"/>
      <c r="W1914" s="51"/>
      <c r="X1914" s="53"/>
      <c r="Y1914" s="50"/>
      <c r="Z1914" s="51"/>
    </row>
    <row r="1915" spans="1:26" ht="14.45" customHeight="1" x14ac:dyDescent="0.25">
      <c r="A1915" s="47" t="s">
        <v>314</v>
      </c>
      <c r="B1915" s="78">
        <v>45144</v>
      </c>
      <c r="C1915" s="47" t="s">
        <v>301</v>
      </c>
      <c r="E1915" s="47">
        <v>1035398</v>
      </c>
      <c r="F1915" s="50"/>
      <c r="G1915" s="50" t="s">
        <v>89</v>
      </c>
      <c r="H1915" s="51">
        <v>510</v>
      </c>
      <c r="I1915" s="51"/>
      <c r="K1915" s="52">
        <f>Tabela6[[#This Row],[CONSUMO]]*Tabela6[[#This Row],[VALOR UNIT]]-Tabela6[[#This Row],[DESCONTO]]</f>
        <v>0</v>
      </c>
      <c r="L1915" s="53">
        <f>Tabela6[[#This Row],[CUSTO TOTAL]]/Tabela6[[#This Row],[CONSUMO]]</f>
        <v>0</v>
      </c>
      <c r="M1915" s="50">
        <f>Tabela6[[#This Row],[KM ATUAL]]-E1860</f>
        <v>131967</v>
      </c>
      <c r="N1915" s="51">
        <f>Tabela6[[#This Row],[KM Rodados ]]/Tabela6[[#This Row],[CONSUMO]]</f>
        <v>258.75882352941176</v>
      </c>
      <c r="O1915" s="48"/>
      <c r="P1915" s="47"/>
      <c r="Q1915" s="49"/>
      <c r="R1915" s="47"/>
      <c r="S1915" s="50"/>
      <c r="T1915" s="51"/>
      <c r="U1915" s="49"/>
      <c r="V1915" s="51"/>
      <c r="W1915" s="51"/>
      <c r="X1915" s="53"/>
      <c r="Y1915" s="50"/>
      <c r="Z1915" s="51"/>
    </row>
    <row r="1916" spans="1:26" ht="14.45" customHeight="1" x14ac:dyDescent="0.25">
      <c r="A1916" s="47" t="s">
        <v>314</v>
      </c>
      <c r="B1916" s="78">
        <v>45144</v>
      </c>
      <c r="C1916" s="47" t="s">
        <v>20</v>
      </c>
      <c r="E1916" s="47">
        <v>264050</v>
      </c>
      <c r="F1916" s="50"/>
      <c r="G1916" s="50" t="s">
        <v>89</v>
      </c>
      <c r="H1916" s="51">
        <v>65.3</v>
      </c>
      <c r="I1916" s="51"/>
      <c r="K1916" s="52">
        <f>Tabela6[[#This Row],[CONSUMO]]*Tabela6[[#This Row],[VALOR UNIT]]-Tabela6[[#This Row],[DESCONTO]]</f>
        <v>0</v>
      </c>
      <c r="L1916" s="53">
        <f>Tabela6[[#This Row],[CUSTO TOTAL]]/Tabela6[[#This Row],[CONSUMO]]</f>
        <v>0</v>
      </c>
      <c r="M1916" s="50">
        <f>Tabela6[[#This Row],[KM ATUAL]]-E1899</f>
        <v>-142639</v>
      </c>
      <c r="N1916" s="51">
        <f>Tabela6[[#This Row],[KM Rodados ]]/Tabela6[[#This Row],[CONSUMO]]</f>
        <v>-2184.3644716692193</v>
      </c>
      <c r="O1916" s="48"/>
      <c r="P1916" s="47"/>
      <c r="Q1916" s="49"/>
      <c r="R1916" s="47"/>
      <c r="S1916" s="50"/>
      <c r="T1916" s="51"/>
      <c r="U1916" s="49"/>
      <c r="V1916" s="51"/>
      <c r="W1916" s="51"/>
      <c r="X1916" s="53"/>
      <c r="Y1916" s="50"/>
      <c r="Z1916" s="51"/>
    </row>
    <row r="1917" spans="1:26" ht="14.45" customHeight="1" x14ac:dyDescent="0.25">
      <c r="A1917" s="47">
        <v>199540</v>
      </c>
      <c r="B1917" s="78">
        <v>45145</v>
      </c>
      <c r="C1917" s="47" t="s">
        <v>43</v>
      </c>
      <c r="D1917" s="49" t="s">
        <v>262</v>
      </c>
      <c r="E1917" s="47">
        <v>138978</v>
      </c>
      <c r="F1917" s="50" t="s">
        <v>89</v>
      </c>
      <c r="G1917" s="51" t="s">
        <v>89</v>
      </c>
      <c r="H1917" s="49">
        <v>13.82</v>
      </c>
      <c r="I1917" s="51"/>
      <c r="J1917" s="51">
        <v>4.79</v>
      </c>
      <c r="K1917" s="53">
        <f>Tabela6[[#This Row],[CONSUMO]]*Tabela6[[#This Row],[VALOR UNIT]]-Tabela6[[#This Row],[DESCONTO]]</f>
        <v>66.197800000000001</v>
      </c>
      <c r="L1917" s="50">
        <v>4.79</v>
      </c>
      <c r="M1917" s="51">
        <f>Tabela6[[#This Row],[KM ATUAL]]-E1902</f>
        <v>-179050</v>
      </c>
      <c r="N1917" s="51">
        <f>Tabela6[[#This Row],[KM Rodados ]]/Tabela6[[#This Row],[CONSUMO]]</f>
        <v>-12955.861070911722</v>
      </c>
      <c r="O1917" s="48"/>
      <c r="P1917" s="47"/>
      <c r="Q1917" s="49"/>
      <c r="R1917" s="47"/>
      <c r="S1917" s="50"/>
      <c r="T1917" s="51"/>
      <c r="U1917" s="49"/>
      <c r="V1917" s="51"/>
      <c r="W1917" s="51"/>
      <c r="X1917" s="53"/>
      <c r="Y1917" s="50"/>
      <c r="Z1917" s="51"/>
    </row>
    <row r="1918" spans="1:26" ht="14.45" customHeight="1" x14ac:dyDescent="0.25">
      <c r="A1918" s="47">
        <v>6506</v>
      </c>
      <c r="B1918" s="78">
        <v>45145</v>
      </c>
      <c r="C1918" s="47" t="s">
        <v>43</v>
      </c>
      <c r="D1918" s="49" t="s">
        <v>299</v>
      </c>
      <c r="E1918" s="47">
        <v>139325</v>
      </c>
      <c r="F1918" s="50" t="s">
        <v>89</v>
      </c>
      <c r="G1918" s="51" t="s">
        <v>89</v>
      </c>
      <c r="H1918" s="49">
        <v>43</v>
      </c>
      <c r="I1918" s="51"/>
      <c r="J1918" s="51">
        <v>4.45</v>
      </c>
      <c r="K1918" s="53">
        <f>Tabela6[[#This Row],[CONSUMO]]*Tabela6[[#This Row],[VALOR UNIT]]-Tabela6[[#This Row],[DESCONTO]]</f>
        <v>191.35</v>
      </c>
      <c r="L1918" s="50">
        <v>4.45</v>
      </c>
      <c r="M1918" s="51">
        <f>Tabela6[[#This Row],[KM ATUAL]]-E1911</f>
        <v>-530668</v>
      </c>
      <c r="N1918" s="51">
        <f>Tabela6[[#This Row],[KM Rodados ]]/Tabela6[[#This Row],[CONSUMO]]</f>
        <v>-12341.116279069767</v>
      </c>
      <c r="O1918" s="48"/>
      <c r="P1918" s="47"/>
      <c r="Q1918" s="49"/>
      <c r="R1918" s="47"/>
      <c r="S1918" s="50"/>
      <c r="T1918" s="51"/>
      <c r="U1918" s="49"/>
      <c r="V1918" s="51"/>
      <c r="W1918" s="51"/>
      <c r="X1918" s="53"/>
      <c r="Y1918" s="50"/>
      <c r="Z1918" s="51"/>
    </row>
    <row r="1919" spans="1:26" ht="14.45" customHeight="1" x14ac:dyDescent="0.25">
      <c r="A1919" s="47">
        <v>199600</v>
      </c>
      <c r="B1919" s="78">
        <v>45145</v>
      </c>
      <c r="C1919" s="47" t="s">
        <v>70</v>
      </c>
      <c r="D1919" s="49" t="s">
        <v>262</v>
      </c>
      <c r="E1919" s="47">
        <v>219418</v>
      </c>
      <c r="F1919" s="50" t="s">
        <v>89</v>
      </c>
      <c r="G1919" s="50" t="s">
        <v>89</v>
      </c>
      <c r="H1919" s="49">
        <v>547</v>
      </c>
      <c r="I1919" s="51"/>
      <c r="J1919" s="51">
        <v>4.79</v>
      </c>
      <c r="K1919" s="51">
        <f>Tabela6[[#This Row],[CONSUMO]]*Tabela6[[#This Row],[VALOR UNIT]]-Tabela6[[#This Row],[DESCONTO]]</f>
        <v>2620.13</v>
      </c>
      <c r="L1919" s="53">
        <f>Tabela6[[#This Row],[CUSTO TOTAL]]/Tabela6[[#This Row],[CONSUMO]]</f>
        <v>4.79</v>
      </c>
      <c r="M1919" s="50">
        <f>Tabela6[[#This Row],[KM ATUAL]]-E1854</f>
        <v>-418662</v>
      </c>
      <c r="N1919" s="51">
        <f>Tabela6[[#This Row],[KM Rodados ]]/Tabela6[[#This Row],[CONSUMO]]</f>
        <v>-765.37842778793424</v>
      </c>
      <c r="O1919" s="48"/>
      <c r="P1919" s="47"/>
      <c r="Q1919" s="49"/>
      <c r="R1919" s="47"/>
      <c r="S1919" s="50"/>
      <c r="T1919" s="51"/>
      <c r="U1919" s="49"/>
      <c r="V1919" s="51"/>
      <c r="W1919" s="51"/>
      <c r="X1919" s="53"/>
      <c r="Y1919" s="50"/>
      <c r="Z1919" s="51"/>
    </row>
    <row r="1920" spans="1:26" ht="14.45" customHeight="1" x14ac:dyDescent="0.25">
      <c r="A1920" s="47" t="s">
        <v>314</v>
      </c>
      <c r="B1920" s="78">
        <v>45145</v>
      </c>
      <c r="C1920" s="47" t="s">
        <v>72</v>
      </c>
      <c r="E1920" s="47">
        <v>407327</v>
      </c>
      <c r="F1920" s="50"/>
      <c r="G1920" s="50" t="s">
        <v>89</v>
      </c>
      <c r="H1920" s="51">
        <v>42.5</v>
      </c>
      <c r="I1920" s="51"/>
      <c r="K1920" s="52">
        <f>Tabela6[[#This Row],[CONSUMO]]*Tabela6[[#This Row],[VALOR UNIT]]-Tabela6[[#This Row],[DESCONTO]]</f>
        <v>0</v>
      </c>
      <c r="L1920" s="53">
        <f>Tabela6[[#This Row],[CUSTO TOTAL]]/Tabela6[[#This Row],[CONSUMO]]</f>
        <v>0</v>
      </c>
      <c r="M1920" s="50">
        <f>Tabela6[[#This Row],[KM ATUAL]]-E1919</f>
        <v>187909</v>
      </c>
      <c r="N1920" s="51">
        <f>Tabela6[[#This Row],[KM Rodados ]]/Tabela6[[#This Row],[CONSUMO]]</f>
        <v>4421.3882352941173</v>
      </c>
      <c r="O1920" s="48"/>
      <c r="P1920" s="47"/>
      <c r="Q1920" s="49"/>
      <c r="R1920" s="47"/>
      <c r="S1920" s="50"/>
      <c r="T1920" s="51"/>
      <c r="U1920" s="49"/>
      <c r="V1920" s="51"/>
      <c r="W1920" s="51"/>
      <c r="X1920" s="53"/>
      <c r="Y1920" s="50"/>
      <c r="Z1920" s="51"/>
    </row>
    <row r="1921" spans="1:26" ht="14.45" customHeight="1" x14ac:dyDescent="0.25">
      <c r="A1921" s="47">
        <v>503299</v>
      </c>
      <c r="B1921" s="78">
        <v>45145</v>
      </c>
      <c r="C1921" s="47" t="s">
        <v>72</v>
      </c>
      <c r="D1921" s="49" t="s">
        <v>310</v>
      </c>
      <c r="E1921" s="47">
        <v>407795</v>
      </c>
      <c r="F1921" s="50" t="s">
        <v>89</v>
      </c>
      <c r="G1921" s="50" t="s">
        <v>89</v>
      </c>
      <c r="H1921" s="49">
        <v>63.603000000000002</v>
      </c>
      <c r="I1921" s="51"/>
      <c r="J1921" s="51">
        <v>4.8899999999999997</v>
      </c>
      <c r="K1921" s="51">
        <f>Tabela6[[#This Row],[CONSUMO]]*Tabela6[[#This Row],[VALOR UNIT]]-Tabela6[[#This Row],[DESCONTO]]</f>
        <v>311.01866999999999</v>
      </c>
      <c r="L1921" s="53">
        <f>Tabela6[[#This Row],[CUSTO TOTAL]]/Tabela6[[#This Row],[CONSUMO]]</f>
        <v>4.8899999999999997</v>
      </c>
      <c r="M1921" s="50">
        <f>Tabela6[[#This Row],[KM ATUAL]]-E1915</f>
        <v>-627603</v>
      </c>
      <c r="N1921" s="51">
        <f>Tabela6[[#This Row],[KM Rodados ]]/Tabela6[[#This Row],[CONSUMO]]</f>
        <v>-9867.5062497052022</v>
      </c>
      <c r="O1921" s="48"/>
      <c r="P1921" s="47"/>
      <c r="Q1921" s="49"/>
      <c r="R1921" s="47"/>
      <c r="S1921" s="50"/>
      <c r="T1921" s="51"/>
      <c r="U1921" s="49"/>
      <c r="V1921" s="51"/>
      <c r="W1921" s="51"/>
      <c r="X1921" s="53"/>
      <c r="Y1921" s="50"/>
      <c r="Z1921" s="51"/>
    </row>
    <row r="1922" spans="1:26" ht="14.45" customHeight="1" x14ac:dyDescent="0.25">
      <c r="A1922" s="47">
        <v>320157</v>
      </c>
      <c r="B1922" s="78">
        <v>45145</v>
      </c>
      <c r="C1922" s="47" t="s">
        <v>71</v>
      </c>
      <c r="D1922" s="49" t="s">
        <v>276</v>
      </c>
      <c r="E1922" s="47">
        <v>116504</v>
      </c>
      <c r="F1922" s="50" t="s">
        <v>241</v>
      </c>
      <c r="G1922" s="50" t="s">
        <v>241</v>
      </c>
      <c r="H1922" s="50">
        <v>75.106999999999999</v>
      </c>
      <c r="I1922" s="51"/>
      <c r="J1922" s="51">
        <v>3.69</v>
      </c>
      <c r="K1922" s="52">
        <f>Tabela6[[#This Row],[CONSUMO]]*Tabela6[[#This Row],[VALOR UNIT]]-Tabela6[[#This Row],[DESCONTO]]</f>
        <v>277.14483000000001</v>
      </c>
      <c r="L1922" s="53">
        <f>Tabela6[[#This Row],[CUSTO TOTAL]]/Tabela6[[#This Row],[CONSUMO]]</f>
        <v>3.6900000000000004</v>
      </c>
      <c r="M1922" s="53"/>
      <c r="N1922" s="49"/>
      <c r="O1922" s="48"/>
      <c r="P1922" s="47"/>
      <c r="Q1922" s="49"/>
      <c r="R1922" s="47"/>
      <c r="S1922" s="50"/>
      <c r="T1922" s="51"/>
      <c r="U1922" s="49"/>
      <c r="V1922" s="51"/>
      <c r="W1922" s="51"/>
      <c r="X1922" s="53"/>
      <c r="Y1922" s="50"/>
      <c r="Z1922" s="51"/>
    </row>
    <row r="1923" spans="1:26" ht="14.45" customHeight="1" x14ac:dyDescent="0.25">
      <c r="A1923" s="47">
        <v>6506</v>
      </c>
      <c r="B1923" s="78">
        <v>45145</v>
      </c>
      <c r="C1923" s="47" t="s">
        <v>41</v>
      </c>
      <c r="D1923" s="49" t="s">
        <v>299</v>
      </c>
      <c r="E1923" s="47">
        <v>670384</v>
      </c>
      <c r="F1923" s="50" t="s">
        <v>89</v>
      </c>
      <c r="G1923" s="50" t="s">
        <v>89</v>
      </c>
      <c r="H1923" s="49">
        <v>83</v>
      </c>
      <c r="I1923" s="51"/>
      <c r="J1923" s="51">
        <v>4.45</v>
      </c>
      <c r="K1923" s="52">
        <f>Tabela6[[#This Row],[CONSUMO]]*Tabela6[[#This Row],[VALOR UNIT]]-Tabela6[[#This Row],[DESCONTO]]</f>
        <v>369.35</v>
      </c>
      <c r="L1923" s="53">
        <f>Tabela6[[#This Row],[CUSTO TOTAL]]/Tabela6[[#This Row],[CONSUMO]]</f>
        <v>4.45</v>
      </c>
      <c r="M1923" s="50">
        <f>Tabela6[[#This Row],[KM ATUAL]]-E1910</f>
        <v>263714</v>
      </c>
      <c r="N1923" s="51">
        <f>Tabela6[[#This Row],[KM Rodados ]]/Tabela6[[#This Row],[CONSUMO]]</f>
        <v>3177.2771084337351</v>
      </c>
      <c r="O1923" s="48"/>
      <c r="P1923" s="47"/>
      <c r="Q1923" s="49"/>
      <c r="R1923" s="47"/>
      <c r="S1923" s="50"/>
      <c r="T1923" s="51"/>
      <c r="U1923" s="49"/>
      <c r="V1923" s="51"/>
      <c r="W1923" s="51"/>
      <c r="X1923" s="53"/>
      <c r="Y1923" s="50"/>
      <c r="Z1923" s="51"/>
    </row>
    <row r="1924" spans="1:26" ht="14.45" customHeight="1" x14ac:dyDescent="0.25">
      <c r="A1924" s="47">
        <v>6506</v>
      </c>
      <c r="B1924" s="78">
        <v>45145</v>
      </c>
      <c r="C1924" s="47" t="s">
        <v>10</v>
      </c>
      <c r="D1924" s="49" t="s">
        <v>299</v>
      </c>
      <c r="E1924" s="47">
        <v>721383</v>
      </c>
      <c r="F1924" s="50" t="s">
        <v>89</v>
      </c>
      <c r="G1924" s="50" t="s">
        <v>89</v>
      </c>
      <c r="H1924" s="49">
        <v>86</v>
      </c>
      <c r="I1924" s="51"/>
      <c r="J1924" s="51">
        <v>4.45</v>
      </c>
      <c r="K1924" s="51">
        <f>Tabela6[[#This Row],[CONSUMO]]*Tabela6[[#This Row],[VALOR UNIT]]-Tabela6[[#This Row],[DESCONTO]]</f>
        <v>382.7</v>
      </c>
      <c r="L1924" s="53">
        <f>Tabela6[[#This Row],[CUSTO TOTAL]]/Tabela6[[#This Row],[CONSUMO]]</f>
        <v>4.45</v>
      </c>
      <c r="M1924" s="50">
        <f>Tabela6[[#This Row],[KM ATUAL]]-E1901</f>
        <v>365</v>
      </c>
      <c r="N1924" s="51">
        <f>Tabela6[[#This Row],[KM Rodados ]]/Tabela6[[#This Row],[CONSUMO]]</f>
        <v>4.2441860465116283</v>
      </c>
      <c r="O1924" s="48"/>
      <c r="P1924" s="47"/>
      <c r="Q1924" s="49"/>
      <c r="R1924" s="47"/>
      <c r="S1924" s="50"/>
      <c r="T1924" s="51"/>
      <c r="U1924" s="49"/>
      <c r="V1924" s="51"/>
      <c r="W1924" s="51"/>
      <c r="X1924" s="53"/>
      <c r="Y1924" s="50"/>
      <c r="Z1924" s="51"/>
    </row>
    <row r="1925" spans="1:26" ht="14.45" customHeight="1" x14ac:dyDescent="0.25">
      <c r="A1925" s="47">
        <v>6506</v>
      </c>
      <c r="B1925" s="78">
        <v>45145</v>
      </c>
      <c r="C1925" s="47" t="s">
        <v>206</v>
      </c>
      <c r="D1925" s="49" t="s">
        <v>299</v>
      </c>
      <c r="E1925" s="47">
        <v>952164</v>
      </c>
      <c r="F1925" s="50" t="s">
        <v>89</v>
      </c>
      <c r="G1925" s="50" t="s">
        <v>89</v>
      </c>
      <c r="H1925" s="49">
        <v>550</v>
      </c>
      <c r="I1925" s="51"/>
      <c r="J1925" s="51">
        <v>4.45</v>
      </c>
      <c r="K1925" s="52">
        <f>Tabela6[[#This Row],[CONSUMO]]*Tabela6[[#This Row],[VALOR UNIT]]-Tabela6[[#This Row],[DESCONTO]]</f>
        <v>2447.5</v>
      </c>
      <c r="L1925" s="53">
        <f>Tabela6[[#This Row],[CUSTO TOTAL]]/Tabela6[[#This Row],[CONSUMO]]</f>
        <v>4.45</v>
      </c>
      <c r="M1925" s="50">
        <f>Tabela6[[#This Row],[KM ATUAL]]-E1849</f>
        <v>734428</v>
      </c>
      <c r="N1925" s="51">
        <f>Tabela6[[#This Row],[KM Rodados ]]/Tabela6[[#This Row],[CONSUMO]]</f>
        <v>1335.3236363636363</v>
      </c>
      <c r="O1925" s="48"/>
      <c r="P1925" s="47"/>
      <c r="Q1925" s="49"/>
      <c r="R1925" s="47"/>
      <c r="S1925" s="50"/>
      <c r="T1925" s="51"/>
      <c r="U1925" s="49"/>
      <c r="V1925" s="51"/>
      <c r="W1925" s="51"/>
      <c r="X1925" s="53"/>
      <c r="Y1925" s="50"/>
      <c r="Z1925" s="51"/>
    </row>
    <row r="1926" spans="1:26" ht="14.45" customHeight="1" x14ac:dyDescent="0.25">
      <c r="A1926" s="47">
        <v>6506</v>
      </c>
      <c r="B1926" s="78">
        <v>45145</v>
      </c>
      <c r="C1926" s="47" t="s">
        <v>17</v>
      </c>
      <c r="D1926" s="49" t="s">
        <v>299</v>
      </c>
      <c r="E1926" s="47">
        <v>364283</v>
      </c>
      <c r="F1926" s="50" t="s">
        <v>89</v>
      </c>
      <c r="G1926" s="50" t="s">
        <v>89</v>
      </c>
      <c r="H1926" s="51">
        <v>92</v>
      </c>
      <c r="I1926" s="51"/>
      <c r="J1926" s="51">
        <v>4.45</v>
      </c>
      <c r="K1926" s="51">
        <f>Tabela6[[#This Row],[CONSUMO]]*Tabela6[[#This Row],[VALOR UNIT]]-Tabela6[[#This Row],[DESCONTO]]</f>
        <v>409.40000000000003</v>
      </c>
      <c r="L1926" s="53">
        <f>Tabela6[[#This Row],[CUSTO TOTAL]]/Tabela6[[#This Row],[CONSUMO]]</f>
        <v>4.45</v>
      </c>
      <c r="M1926" s="50">
        <f>Tabela6[[#This Row],[KM ATUAL]]-E1898</f>
        <v>258855</v>
      </c>
      <c r="N1926" s="51">
        <f>Tabela6[[#This Row],[KM Rodados ]]/Tabela6[[#This Row],[CONSUMO]]</f>
        <v>2813.641304347826</v>
      </c>
      <c r="O1926" s="48"/>
      <c r="P1926" s="47"/>
      <c r="Q1926" s="49"/>
      <c r="R1926" s="47"/>
      <c r="S1926" s="50"/>
      <c r="T1926" s="51"/>
      <c r="U1926" s="49"/>
      <c r="V1926" s="51"/>
      <c r="W1926" s="51"/>
      <c r="X1926" s="53"/>
      <c r="Y1926" s="50"/>
      <c r="Z1926" s="51"/>
    </row>
    <row r="1927" spans="1:26" ht="14.45" customHeight="1" x14ac:dyDescent="0.25">
      <c r="A1927" s="47">
        <v>6506</v>
      </c>
      <c r="B1927" s="78">
        <v>45145</v>
      </c>
      <c r="C1927" s="47" t="s">
        <v>19</v>
      </c>
      <c r="D1927" s="49" t="s">
        <v>299</v>
      </c>
      <c r="E1927" s="47">
        <v>320012</v>
      </c>
      <c r="F1927" s="50" t="s">
        <v>89</v>
      </c>
      <c r="G1927" s="50" t="s">
        <v>89</v>
      </c>
      <c r="H1927" s="51">
        <v>96</v>
      </c>
      <c r="I1927" s="51"/>
      <c r="J1927" s="51">
        <v>4.45</v>
      </c>
      <c r="K1927" s="51">
        <f>Tabela6[[#This Row],[CONSUMO]]*Tabela6[[#This Row],[VALOR UNIT]]-Tabela6[[#This Row],[DESCONTO]]</f>
        <v>427.20000000000005</v>
      </c>
      <c r="L1927" s="53">
        <f>Tabela6[[#This Row],[CUSTO TOTAL]]/Tabela6[[#This Row],[CONSUMO]]</f>
        <v>4.45</v>
      </c>
      <c r="M1927" s="50">
        <f>Tabela6[[#This Row],[KM ATUAL]]-E1893</f>
        <v>81564</v>
      </c>
      <c r="N1927" s="51">
        <f>Tabela6[[#This Row],[KM Rodados ]]/Tabela6[[#This Row],[CONSUMO]]</f>
        <v>849.625</v>
      </c>
      <c r="O1927" s="48"/>
      <c r="P1927" s="47"/>
      <c r="Q1927" s="49"/>
      <c r="R1927" s="47"/>
      <c r="S1927" s="50"/>
      <c r="T1927" s="51"/>
      <c r="U1927" s="49"/>
      <c r="V1927" s="51"/>
      <c r="W1927" s="51"/>
      <c r="X1927" s="53"/>
      <c r="Y1927" s="50"/>
      <c r="Z1927" s="51"/>
    </row>
    <row r="1928" spans="1:26" ht="14.45" customHeight="1" x14ac:dyDescent="0.25">
      <c r="A1928" s="47">
        <v>6506</v>
      </c>
      <c r="B1928" s="78">
        <v>45145</v>
      </c>
      <c r="C1928" s="47" t="s">
        <v>74</v>
      </c>
      <c r="D1928" s="49" t="s">
        <v>299</v>
      </c>
      <c r="E1928" s="47">
        <v>68665</v>
      </c>
      <c r="F1928" s="50" t="s">
        <v>89</v>
      </c>
      <c r="G1928" s="50" t="s">
        <v>89</v>
      </c>
      <c r="H1928" s="49">
        <v>58</v>
      </c>
      <c r="I1928" s="51"/>
      <c r="J1928" s="51">
        <v>4.45</v>
      </c>
      <c r="K1928" s="51">
        <f>Tabela6[[#This Row],[CONSUMO]]*Tabela6[[#This Row],[VALOR UNIT]]-Tabela6[[#This Row],[DESCONTO]]</f>
        <v>258.10000000000002</v>
      </c>
      <c r="L1928" s="53">
        <f>Tabela6[[#This Row],[CUSTO TOTAL]]/Tabela6[[#This Row],[CONSUMO]]</f>
        <v>4.45</v>
      </c>
      <c r="M1928" s="50">
        <f>Tabela6[[#This Row],[KM ATUAL]]-E1907</f>
        <v>-83982</v>
      </c>
      <c r="N1928" s="51">
        <f>Tabela6[[#This Row],[KM Rodados ]]/Tabela6[[#This Row],[CONSUMO]]</f>
        <v>-1447.9655172413793</v>
      </c>
      <c r="O1928" s="48"/>
      <c r="P1928" s="47"/>
      <c r="Q1928" s="49"/>
      <c r="R1928" s="47"/>
      <c r="S1928" s="50"/>
      <c r="T1928" s="51"/>
      <c r="U1928" s="49"/>
      <c r="V1928" s="51"/>
      <c r="W1928" s="51"/>
      <c r="X1928" s="53"/>
      <c r="Y1928" s="50"/>
      <c r="Z1928" s="51"/>
    </row>
    <row r="1929" spans="1:26" ht="14.45" customHeight="1" x14ac:dyDescent="0.25">
      <c r="A1929" s="47">
        <v>320088</v>
      </c>
      <c r="B1929" s="78">
        <v>45145</v>
      </c>
      <c r="C1929" s="47" t="s">
        <v>74</v>
      </c>
      <c r="D1929" s="49" t="s">
        <v>276</v>
      </c>
      <c r="E1929" s="47">
        <v>68670</v>
      </c>
      <c r="F1929" s="50" t="s">
        <v>241</v>
      </c>
      <c r="G1929" s="50" t="s">
        <v>241</v>
      </c>
      <c r="H1929" s="50">
        <v>8.5329999999999995</v>
      </c>
      <c r="I1929" s="51"/>
      <c r="J1929" s="51">
        <v>3.69</v>
      </c>
      <c r="K1929" s="52">
        <f>Tabela6[[#This Row],[CONSUMO]]*Tabela6[[#This Row],[VALOR UNIT]]-Tabela6[[#This Row],[DESCONTO]]</f>
        <v>31.486769999999996</v>
      </c>
      <c r="L1929" s="53">
        <f>Tabela6[[#This Row],[CUSTO TOTAL]]/Tabela6[[#This Row],[CONSUMO]]</f>
        <v>3.69</v>
      </c>
      <c r="M1929" s="53"/>
      <c r="N1929" s="49"/>
      <c r="O1929" s="48"/>
      <c r="P1929" s="47"/>
      <c r="Q1929" s="49"/>
      <c r="R1929" s="47"/>
      <c r="S1929" s="50"/>
      <c r="T1929" s="51"/>
      <c r="U1929" s="49"/>
      <c r="V1929" s="51"/>
      <c r="W1929" s="51"/>
      <c r="X1929" s="53"/>
      <c r="Y1929" s="50"/>
      <c r="Z1929" s="51"/>
    </row>
    <row r="1930" spans="1:26" ht="14.45" customHeight="1" x14ac:dyDescent="0.25">
      <c r="A1930" s="47" t="s">
        <v>314</v>
      </c>
      <c r="B1930" s="78">
        <v>45146</v>
      </c>
      <c r="C1930" s="47" t="s">
        <v>43</v>
      </c>
      <c r="E1930" s="47">
        <v>139571</v>
      </c>
      <c r="F1930" s="50"/>
      <c r="G1930" s="51" t="s">
        <v>89</v>
      </c>
      <c r="H1930" s="49">
        <v>28</v>
      </c>
      <c r="I1930" s="51"/>
      <c r="K1930" s="53">
        <f>Tabela6[[#This Row],[CONSUMO]]*Tabela6[[#This Row],[VALOR UNIT]]-Tabela6[[#This Row],[DESCONTO]]</f>
        <v>0</v>
      </c>
      <c r="L1930" s="50">
        <f>Tabela6[[#This Row],[CUSTO TOTAL]]/Tabela6[[#This Row],[CONSUMO]]</f>
        <v>0</v>
      </c>
      <c r="M1930" s="51">
        <f>Tabela6[[#This Row],[KM ATUAL]]-E1909</f>
        <v>139571</v>
      </c>
      <c r="N1930" s="51">
        <f>Tabela6[[#This Row],[KM Rodados ]]/Tabela6[[#This Row],[CONSUMO]]</f>
        <v>4984.6785714285716</v>
      </c>
      <c r="O1930" s="48"/>
      <c r="P1930" s="47"/>
      <c r="Q1930" s="49"/>
      <c r="R1930" s="47"/>
      <c r="S1930" s="50"/>
      <c r="T1930" s="51"/>
      <c r="U1930" s="49"/>
      <c r="V1930" s="51"/>
      <c r="W1930" s="51"/>
      <c r="X1930" s="53"/>
      <c r="Y1930" s="50"/>
      <c r="Z1930" s="51"/>
    </row>
    <row r="1931" spans="1:26" ht="14.45" customHeight="1" x14ac:dyDescent="0.25">
      <c r="A1931" s="47">
        <v>7295</v>
      </c>
      <c r="B1931" s="78">
        <v>45146</v>
      </c>
      <c r="C1931" s="47" t="s">
        <v>42</v>
      </c>
      <c r="D1931" s="49" t="s">
        <v>253</v>
      </c>
      <c r="E1931" s="47">
        <v>369411</v>
      </c>
      <c r="F1931" s="50" t="s">
        <v>89</v>
      </c>
      <c r="G1931" s="50" t="s">
        <v>89</v>
      </c>
      <c r="H1931" s="49">
        <v>62.27</v>
      </c>
      <c r="I1931" s="51"/>
      <c r="J1931" s="51">
        <v>5.09</v>
      </c>
      <c r="K1931" s="53">
        <f>Tabela6[[#This Row],[CONSUMO]]*Tabela6[[#This Row],[VALOR UNIT]]-Tabela6[[#This Row],[DESCONTO]]</f>
        <v>316.95429999999999</v>
      </c>
      <c r="L1931" s="77">
        <v>5.09</v>
      </c>
      <c r="M1931" s="50">
        <f>Tabela6[[#This Row],[KM ATUAL]]-E1915</f>
        <v>-665987</v>
      </c>
      <c r="N1931" s="51">
        <f>Tabela6[[#This Row],[KM Rodados ]]/Tabela6[[#This Row],[CONSUMO]]</f>
        <v>-10695.150152561426</v>
      </c>
      <c r="O1931" s="48"/>
      <c r="P1931" s="47"/>
      <c r="Q1931" s="49"/>
      <c r="R1931" s="47"/>
      <c r="S1931" s="50"/>
      <c r="T1931" s="51"/>
      <c r="U1931" s="49"/>
      <c r="V1931" s="51"/>
      <c r="W1931" s="51"/>
      <c r="X1931" s="53"/>
      <c r="Y1931" s="50"/>
      <c r="Z1931" s="51"/>
    </row>
    <row r="1932" spans="1:26" ht="14.45" customHeight="1" x14ac:dyDescent="0.25">
      <c r="A1932" s="47">
        <v>6506</v>
      </c>
      <c r="B1932" s="78">
        <v>45146</v>
      </c>
      <c r="C1932" s="47" t="s">
        <v>222</v>
      </c>
      <c r="D1932" s="49" t="s">
        <v>299</v>
      </c>
      <c r="E1932" s="47">
        <v>491336</v>
      </c>
      <c r="F1932" s="50" t="s">
        <v>89</v>
      </c>
      <c r="G1932" s="50" t="s">
        <v>89</v>
      </c>
      <c r="H1932" s="49">
        <v>322</v>
      </c>
      <c r="I1932" s="51"/>
      <c r="J1932" s="51">
        <v>4.45</v>
      </c>
      <c r="K1932" s="53">
        <f>Tabela6[[#This Row],[CONSUMO]]*Tabela6[[#This Row],[VALOR UNIT]]-Tabela6[[#This Row],[DESCONTO]]</f>
        <v>1432.9</v>
      </c>
      <c r="L1932" s="50">
        <v>4.45</v>
      </c>
      <c r="M1932" s="50">
        <f>Tabela6[[#This Row],[KM ATUAL]]-E1892</f>
        <v>171774</v>
      </c>
      <c r="N1932" s="51">
        <f>Tabela6[[#This Row],[KM Rodados ]]/Tabela6[[#This Row],[CONSUMO]]</f>
        <v>533.45962732919259</v>
      </c>
      <c r="O1932" s="48"/>
      <c r="P1932" s="47"/>
      <c r="Q1932" s="49"/>
      <c r="R1932" s="47"/>
      <c r="S1932" s="50"/>
      <c r="T1932" s="51"/>
      <c r="U1932" s="49"/>
      <c r="V1932" s="51"/>
      <c r="W1932" s="51"/>
      <c r="X1932" s="53"/>
      <c r="Y1932" s="50"/>
      <c r="Z1932" s="51"/>
    </row>
    <row r="1933" spans="1:26" ht="14.45" customHeight="1" x14ac:dyDescent="0.25">
      <c r="A1933" s="47">
        <v>6605</v>
      </c>
      <c r="B1933" s="78">
        <v>45146</v>
      </c>
      <c r="C1933" s="47" t="s">
        <v>67</v>
      </c>
      <c r="D1933" s="49" t="s">
        <v>299</v>
      </c>
      <c r="E1933" s="47">
        <v>674687</v>
      </c>
      <c r="F1933" s="50" t="s">
        <v>89</v>
      </c>
      <c r="G1933" s="51" t="s">
        <v>89</v>
      </c>
      <c r="H1933" s="49">
        <v>80</v>
      </c>
      <c r="I1933" s="51"/>
      <c r="J1933" s="51">
        <v>4.5199999999999996</v>
      </c>
      <c r="K1933" s="53">
        <f>Tabela6[[#This Row],[CONSUMO]]*Tabela6[[#This Row],[VALOR UNIT]]-Tabela6[[#This Row],[DESCONTO]]</f>
        <v>361.59999999999997</v>
      </c>
      <c r="L1933" s="50">
        <v>0</v>
      </c>
      <c r="M1933" s="50">
        <f>Tabela6[[#This Row],[KM ATUAL]]-E1898</f>
        <v>569259</v>
      </c>
      <c r="N1933" s="51">
        <f>Tabela6[[#This Row],[KM Rodados ]]/Tabela6[[#This Row],[CONSUMO]]</f>
        <v>7115.7375000000002</v>
      </c>
      <c r="O1933" s="48"/>
      <c r="P1933" s="47"/>
      <c r="Q1933" s="49"/>
      <c r="R1933" s="47"/>
      <c r="S1933" s="50"/>
      <c r="T1933" s="51"/>
      <c r="U1933" s="49"/>
      <c r="V1933" s="51"/>
      <c r="W1933" s="51"/>
      <c r="X1933" s="53"/>
      <c r="Y1933" s="50"/>
      <c r="Z1933" s="51"/>
    </row>
    <row r="1934" spans="1:26" ht="14.45" customHeight="1" x14ac:dyDescent="0.25">
      <c r="A1934" s="47">
        <v>320423</v>
      </c>
      <c r="B1934" s="78">
        <v>45146</v>
      </c>
      <c r="C1934" s="47" t="s">
        <v>67</v>
      </c>
      <c r="D1934" s="49" t="s">
        <v>276</v>
      </c>
      <c r="F1934" s="50" t="s">
        <v>241</v>
      </c>
      <c r="G1934" s="50" t="s">
        <v>241</v>
      </c>
      <c r="H1934" s="50">
        <v>10.007999999999999</v>
      </c>
      <c r="I1934" s="51"/>
      <c r="J1934" s="51">
        <v>3.69</v>
      </c>
      <c r="K1934" s="52">
        <f>Tabela6[[#This Row],[CONSUMO]]*Tabela6[[#This Row],[VALOR UNIT]]-Tabela6[[#This Row],[DESCONTO]]</f>
        <v>36.929519999999997</v>
      </c>
      <c r="L1934" s="53">
        <f>Tabela6[[#This Row],[CUSTO TOTAL]]/Tabela6[[#This Row],[CONSUMO]]</f>
        <v>3.69</v>
      </c>
      <c r="M1934" s="53"/>
      <c r="N1934" s="49"/>
      <c r="O1934" s="48"/>
      <c r="P1934" s="47"/>
      <c r="Q1934" s="49"/>
      <c r="R1934" s="47"/>
      <c r="S1934" s="50"/>
      <c r="T1934" s="51"/>
      <c r="U1934" s="49"/>
      <c r="V1934" s="51"/>
      <c r="W1934" s="51"/>
      <c r="X1934" s="53"/>
      <c r="Y1934" s="50"/>
      <c r="Z1934" s="51"/>
    </row>
    <row r="1935" spans="1:26" ht="14.45" customHeight="1" x14ac:dyDescent="0.25">
      <c r="A1935" s="47">
        <v>6605</v>
      </c>
      <c r="B1935" s="78">
        <v>45146</v>
      </c>
      <c r="C1935" s="47" t="s">
        <v>22</v>
      </c>
      <c r="D1935" s="49" t="s">
        <v>299</v>
      </c>
      <c r="E1935" s="47">
        <v>332476</v>
      </c>
      <c r="F1935" s="50" t="s">
        <v>89</v>
      </c>
      <c r="G1935" s="51" t="s">
        <v>89</v>
      </c>
      <c r="H1935" s="49">
        <v>58</v>
      </c>
      <c r="I1935" s="51"/>
      <c r="J1935" s="51">
        <v>4.5199999999999996</v>
      </c>
      <c r="K1935" s="53">
        <f>Tabela6[[#This Row],[CONSUMO]]*Tabela6[[#This Row],[VALOR UNIT]]-Tabela6[[#This Row],[DESCONTO]]</f>
        <v>262.15999999999997</v>
      </c>
      <c r="L1935" s="50">
        <v>0</v>
      </c>
      <c r="M1935" s="50">
        <f>Tabela6[[#This Row],[KM ATUAL]]-E1894</f>
        <v>193581</v>
      </c>
      <c r="N1935" s="51">
        <f>Tabela6[[#This Row],[KM Rodados ]]/Tabela6[[#This Row],[CONSUMO]]</f>
        <v>3337.6034482758619</v>
      </c>
      <c r="O1935" s="48"/>
      <c r="P1935" s="47"/>
      <c r="Q1935" s="49"/>
      <c r="R1935" s="47"/>
      <c r="S1935" s="50"/>
      <c r="T1935" s="51"/>
      <c r="U1935" s="49"/>
      <c r="V1935" s="51"/>
      <c r="W1935" s="51"/>
      <c r="X1935" s="53"/>
      <c r="Y1935" s="50"/>
      <c r="Z1935" s="51"/>
    </row>
    <row r="1936" spans="1:26" ht="14.45" customHeight="1" x14ac:dyDescent="0.25">
      <c r="A1936" s="47">
        <v>6605</v>
      </c>
      <c r="B1936" s="78">
        <v>45146</v>
      </c>
      <c r="C1936" s="47" t="s">
        <v>39</v>
      </c>
      <c r="D1936" s="49" t="s">
        <v>299</v>
      </c>
      <c r="E1936" s="47">
        <v>96217</v>
      </c>
      <c r="F1936" s="50" t="s">
        <v>89</v>
      </c>
      <c r="G1936" s="50" t="s">
        <v>89</v>
      </c>
      <c r="H1936" s="51">
        <v>70</v>
      </c>
      <c r="I1936" s="51"/>
      <c r="J1936" s="51">
        <v>4.5199999999999996</v>
      </c>
      <c r="K1936" s="53">
        <f>Tabela6[[#This Row],[CONSUMO]]*Tabela6[[#This Row],[VALOR UNIT]]-Tabela6[[#This Row],[DESCONTO]]</f>
        <v>316.39999999999998</v>
      </c>
      <c r="L1936" s="50">
        <v>0</v>
      </c>
      <c r="M1936" s="50">
        <f>Tabela6[[#This Row],[KM ATUAL]]-E1893</f>
        <v>-142231</v>
      </c>
      <c r="N1936" s="51">
        <f>Tabela6[[#This Row],[KM Rodados ]]/Tabela6[[#This Row],[CONSUMO]]</f>
        <v>-2031.8714285714286</v>
      </c>
      <c r="O1936" s="48"/>
      <c r="P1936" s="47"/>
      <c r="Q1936" s="49"/>
      <c r="R1936" s="47"/>
      <c r="S1936" s="50"/>
      <c r="T1936" s="51"/>
      <c r="U1936" s="49"/>
      <c r="V1936" s="51"/>
      <c r="W1936" s="51"/>
      <c r="X1936" s="53"/>
      <c r="Y1936" s="50"/>
      <c r="Z1936" s="51"/>
    </row>
    <row r="1937" spans="1:26" ht="14.45" customHeight="1" x14ac:dyDescent="0.25">
      <c r="A1937" s="47">
        <v>6605</v>
      </c>
      <c r="B1937" s="78">
        <v>45146</v>
      </c>
      <c r="C1937" s="47" t="s">
        <v>70</v>
      </c>
      <c r="D1937" s="49" t="s">
        <v>299</v>
      </c>
      <c r="E1937" s="47">
        <v>219730</v>
      </c>
      <c r="F1937" s="50" t="s">
        <v>89</v>
      </c>
      <c r="G1937" s="50" t="s">
        <v>89</v>
      </c>
      <c r="H1937" s="49">
        <v>120</v>
      </c>
      <c r="I1937" s="51"/>
      <c r="J1937" s="51">
        <v>4.5199999999999996</v>
      </c>
      <c r="K1937" s="51">
        <f>Tabela6[[#This Row],[CONSUMO]]*Tabela6[[#This Row],[VALOR UNIT]]-Tabela6[[#This Row],[DESCONTO]]</f>
        <v>542.4</v>
      </c>
      <c r="L1937" s="53">
        <f>Tabela6[[#This Row],[CUSTO TOTAL]]/Tabela6[[#This Row],[CONSUMO]]</f>
        <v>4.5199999999999996</v>
      </c>
      <c r="M1937" s="50">
        <f>Tabela6[[#This Row],[KM ATUAL]]-E1914</f>
        <v>-187247</v>
      </c>
      <c r="N1937" s="51">
        <f>Tabela6[[#This Row],[KM Rodados ]]/Tabela6[[#This Row],[CONSUMO]]</f>
        <v>-1560.3916666666667</v>
      </c>
      <c r="O1937" s="48"/>
      <c r="P1937" s="47"/>
      <c r="Q1937" s="49"/>
      <c r="R1937" s="47"/>
      <c r="S1937" s="50"/>
      <c r="T1937" s="51"/>
      <c r="U1937" s="49"/>
      <c r="V1937" s="51"/>
      <c r="W1937" s="51"/>
      <c r="X1937" s="53"/>
      <c r="Y1937" s="50"/>
      <c r="Z1937" s="51"/>
    </row>
    <row r="1938" spans="1:26" ht="14.45" customHeight="1" x14ac:dyDescent="0.25">
      <c r="A1938" s="47">
        <v>320443</v>
      </c>
      <c r="B1938" s="78">
        <v>45146</v>
      </c>
      <c r="C1938" s="47" t="s">
        <v>203</v>
      </c>
      <c r="D1938" s="49" t="s">
        <v>276</v>
      </c>
      <c r="E1938" s="47">
        <v>106505</v>
      </c>
      <c r="F1938" s="50" t="s">
        <v>244</v>
      </c>
      <c r="G1938" s="50" t="s">
        <v>244</v>
      </c>
      <c r="H1938" s="50">
        <v>48.850999999999999</v>
      </c>
      <c r="I1938" s="51"/>
      <c r="J1938" s="51">
        <v>5.49</v>
      </c>
      <c r="K1938" s="52">
        <f>Tabela6[[#This Row],[CONSUMO]]*Tabela6[[#This Row],[VALOR UNIT]]-Tabela6[[#This Row],[DESCONTO]]</f>
        <v>268.19199000000003</v>
      </c>
      <c r="L1938" s="53">
        <f>Tabela6[[#This Row],[CUSTO TOTAL]]/Tabela6[[#This Row],[CONSUMO]]</f>
        <v>5.4900000000000011</v>
      </c>
      <c r="M1938" s="50">
        <f>Tabela6[[#This Row],[KM ATUAL]]-E1937</f>
        <v>-113225</v>
      </c>
      <c r="N1938" s="51">
        <f>Tabela6[[#This Row],[KM Rodados ]]/Tabela6[[#This Row],[CONSUMO]]</f>
        <v>-2317.762174776361</v>
      </c>
      <c r="O1938" s="48"/>
      <c r="P1938" s="47"/>
      <c r="Q1938" s="49"/>
      <c r="R1938" s="47"/>
      <c r="S1938" s="50"/>
      <c r="T1938" s="51"/>
      <c r="U1938" s="49"/>
      <c r="V1938" s="51"/>
      <c r="W1938" s="51"/>
      <c r="X1938" s="53"/>
      <c r="Y1938" s="50"/>
      <c r="Z1938" s="51"/>
    </row>
    <row r="1939" spans="1:26" ht="14.45" customHeight="1" x14ac:dyDescent="0.25">
      <c r="A1939" s="47">
        <v>6605</v>
      </c>
      <c r="B1939" s="78">
        <v>45146</v>
      </c>
      <c r="C1939" s="47" t="s">
        <v>72</v>
      </c>
      <c r="D1939" s="49" t="s">
        <v>299</v>
      </c>
      <c r="E1939" s="47">
        <v>407954</v>
      </c>
      <c r="F1939" s="50" t="s">
        <v>89</v>
      </c>
      <c r="G1939" s="50" t="s">
        <v>89</v>
      </c>
      <c r="H1939" s="49">
        <v>24</v>
      </c>
      <c r="I1939" s="51"/>
      <c r="J1939" s="51">
        <v>4.5199999999999996</v>
      </c>
      <c r="K1939" s="51">
        <f>Tabela6[[#This Row],[CONSUMO]]*Tabela6[[#This Row],[VALOR UNIT]]-Tabela6[[#This Row],[DESCONTO]]</f>
        <v>108.47999999999999</v>
      </c>
      <c r="L1939" s="53">
        <f>Tabela6[[#This Row],[CUSTO TOTAL]]/Tabela6[[#This Row],[CONSUMO]]</f>
        <v>4.5199999999999996</v>
      </c>
      <c r="M1939" s="50">
        <f>Tabela6[[#This Row],[KM ATUAL]]-E1922</f>
        <v>291450</v>
      </c>
      <c r="N1939" s="51">
        <f>Tabela6[[#This Row],[KM Rodados ]]/Tabela6[[#This Row],[CONSUMO]]</f>
        <v>12143.75</v>
      </c>
      <c r="O1939" s="48"/>
      <c r="P1939" s="47"/>
      <c r="Q1939" s="49"/>
      <c r="R1939" s="47"/>
      <c r="S1939" s="50"/>
      <c r="T1939" s="51"/>
      <c r="U1939" s="49"/>
      <c r="V1939" s="51"/>
      <c r="W1939" s="51"/>
      <c r="X1939" s="53"/>
      <c r="Y1939" s="50"/>
      <c r="Z1939" s="51"/>
    </row>
    <row r="1940" spans="1:26" ht="14.45" customHeight="1" x14ac:dyDescent="0.25">
      <c r="A1940" s="47">
        <v>6605</v>
      </c>
      <c r="B1940" s="78">
        <v>45146</v>
      </c>
      <c r="C1940" s="47" t="s">
        <v>73</v>
      </c>
      <c r="D1940" s="49" t="s">
        <v>299</v>
      </c>
      <c r="E1940" s="47">
        <v>132783</v>
      </c>
      <c r="F1940" s="50" t="s">
        <v>89</v>
      </c>
      <c r="G1940" s="50" t="s">
        <v>89</v>
      </c>
      <c r="H1940" s="51">
        <v>160</v>
      </c>
      <c r="I1940" s="51"/>
      <c r="J1940" s="51">
        <v>4.5199999999999996</v>
      </c>
      <c r="K1940" s="52">
        <f>Tabela6[[#This Row],[CONSUMO]]*Tabela6[[#This Row],[VALOR UNIT]]-Tabela6[[#This Row],[DESCONTO]]</f>
        <v>723.19999999999993</v>
      </c>
      <c r="L1940" s="53">
        <f>Tabela6[[#This Row],[CUSTO TOTAL]]/Tabela6[[#This Row],[CONSUMO]]</f>
        <v>4.5199999999999996</v>
      </c>
      <c r="M1940" s="50">
        <f>Tabela6[[#This Row],[KM ATUAL]]-E1893</f>
        <v>-105665</v>
      </c>
      <c r="N1940" s="51">
        <f>Tabela6[[#This Row],[KM Rodados ]]/Tabela6[[#This Row],[CONSUMO]]</f>
        <v>-660.40625</v>
      </c>
      <c r="O1940" s="48"/>
      <c r="P1940" s="47"/>
      <c r="Q1940" s="49"/>
      <c r="R1940" s="47"/>
      <c r="S1940" s="50"/>
      <c r="T1940" s="51"/>
      <c r="U1940" s="49"/>
      <c r="V1940" s="51"/>
      <c r="W1940" s="51"/>
      <c r="X1940" s="53"/>
      <c r="Y1940" s="50"/>
      <c r="Z1940" s="51"/>
    </row>
    <row r="1941" spans="1:26" ht="14.45" customHeight="1" x14ac:dyDescent="0.25">
      <c r="A1941" s="47">
        <v>7478</v>
      </c>
      <c r="B1941" s="78">
        <v>45146</v>
      </c>
      <c r="C1941" s="47" t="s">
        <v>64</v>
      </c>
      <c r="D1941" s="49" t="s">
        <v>253</v>
      </c>
      <c r="E1941" s="47">
        <v>86345</v>
      </c>
      <c r="F1941" s="50" t="s">
        <v>89</v>
      </c>
      <c r="G1941" s="50" t="s">
        <v>89</v>
      </c>
      <c r="H1941" s="49">
        <v>163.92</v>
      </c>
      <c r="I1941" s="51"/>
      <c r="J1941" s="51">
        <v>5.09</v>
      </c>
      <c r="K1941" s="51">
        <f>Tabela6[[#This Row],[CONSUMO]]*Tabela6[[#This Row],[VALOR UNIT]]-Tabela6[[#This Row],[DESCONTO]]</f>
        <v>834.35279999999989</v>
      </c>
      <c r="L1941" s="53">
        <f>Tabela6[[#This Row],[CUSTO TOTAL]]/Tabela6[[#This Row],[CONSUMO]]</f>
        <v>5.09</v>
      </c>
      <c r="M1941" s="50">
        <f>Tabela6[[#This Row],[KM ATUAL]]-E1914</f>
        <v>-320632</v>
      </c>
      <c r="N1941" s="51">
        <f>Tabela6[[#This Row],[KM Rodados ]]/Tabela6[[#This Row],[CONSUMO]]</f>
        <v>-1956.0273304050759</v>
      </c>
      <c r="O1941" s="48"/>
      <c r="P1941" s="47"/>
      <c r="Q1941" s="49"/>
      <c r="R1941" s="47"/>
      <c r="S1941" s="50"/>
      <c r="T1941" s="51"/>
      <c r="U1941" s="49"/>
      <c r="V1941" s="51"/>
      <c r="W1941" s="51"/>
      <c r="X1941" s="53"/>
      <c r="Y1941" s="50"/>
      <c r="Z1941" s="51"/>
    </row>
    <row r="1942" spans="1:26" ht="14.45" customHeight="1" x14ac:dyDescent="0.25">
      <c r="A1942" s="47">
        <v>6605</v>
      </c>
      <c r="B1942" s="78">
        <v>45146</v>
      </c>
      <c r="C1942" s="47" t="s">
        <v>21</v>
      </c>
      <c r="D1942" s="49" t="s">
        <v>299</v>
      </c>
      <c r="E1942" s="47">
        <v>150321</v>
      </c>
      <c r="F1942" s="50" t="s">
        <v>89</v>
      </c>
      <c r="G1942" s="50" t="s">
        <v>89</v>
      </c>
      <c r="H1942" s="49">
        <v>103</v>
      </c>
      <c r="I1942" s="51"/>
      <c r="J1942" s="51">
        <v>4.5199999999999996</v>
      </c>
      <c r="K1942" s="52">
        <f>Tabela6[[#This Row],[CONSUMO]]*Tabela6[[#This Row],[VALOR UNIT]]-Tabela6[[#This Row],[DESCONTO]]</f>
        <v>465.55999999999995</v>
      </c>
      <c r="L1942" s="53">
        <f>Tabela6[[#This Row],[CUSTO TOTAL]]/Tabela6[[#This Row],[CONSUMO]]</f>
        <v>4.5199999999999996</v>
      </c>
      <c r="M1942" s="50">
        <f>Tabela6[[#This Row],[KM ATUAL]]-E1889</f>
        <v>18297</v>
      </c>
      <c r="N1942" s="51">
        <f>Tabela6[[#This Row],[KM Rodados ]]/Tabela6[[#This Row],[CONSUMO]]</f>
        <v>177.64077669902912</v>
      </c>
      <c r="O1942" s="48"/>
      <c r="P1942" s="47"/>
      <c r="Q1942" s="49"/>
      <c r="R1942" s="47"/>
      <c r="S1942" s="50"/>
      <c r="T1942" s="51"/>
      <c r="U1942" s="49"/>
      <c r="V1942" s="51"/>
      <c r="W1942" s="51"/>
      <c r="X1942" s="53"/>
      <c r="Y1942" s="50"/>
      <c r="Z1942" s="51"/>
    </row>
    <row r="1943" spans="1:26" ht="14.45" customHeight="1" x14ac:dyDescent="0.25">
      <c r="A1943" s="47">
        <v>7273</v>
      </c>
      <c r="B1943" s="78">
        <v>45146</v>
      </c>
      <c r="C1943" s="47" t="s">
        <v>11</v>
      </c>
      <c r="D1943" s="49" t="s">
        <v>253</v>
      </c>
      <c r="E1943" s="47">
        <v>397823</v>
      </c>
      <c r="F1943" s="50" t="s">
        <v>89</v>
      </c>
      <c r="G1943" s="50" t="s">
        <v>89</v>
      </c>
      <c r="H1943" s="49">
        <v>92.69</v>
      </c>
      <c r="I1943" s="51"/>
      <c r="J1943" s="51">
        <v>5.09</v>
      </c>
      <c r="K1943" s="51">
        <f>Tabela6[[#This Row],[CONSUMO]]*Tabela6[[#This Row],[VALOR UNIT]]-Tabela6[[#This Row],[DESCONTO]]</f>
        <v>471.79209999999995</v>
      </c>
      <c r="L1943" s="53">
        <f>Tabela6[[#This Row],[CUSTO TOTAL]]/Tabela6[[#This Row],[CONSUMO]]</f>
        <v>5.09</v>
      </c>
      <c r="M1943" s="50">
        <f>Tabela6[[#This Row],[KM ATUAL]]-E1897</f>
        <v>301987</v>
      </c>
      <c r="N1943" s="51">
        <f>Tabela6[[#This Row],[KM Rodados ]]/Tabela6[[#This Row],[CONSUMO]]</f>
        <v>3258.0321501780127</v>
      </c>
      <c r="O1943" s="48"/>
      <c r="P1943" s="47"/>
      <c r="Q1943" s="49"/>
      <c r="R1943" s="47"/>
      <c r="S1943" s="50"/>
      <c r="T1943" s="51"/>
      <c r="U1943" s="49"/>
      <c r="V1943" s="51"/>
      <c r="W1943" s="51"/>
      <c r="X1943" s="53"/>
      <c r="Y1943" s="50"/>
      <c r="Z1943" s="51"/>
    </row>
    <row r="1944" spans="1:26" ht="14.45" customHeight="1" x14ac:dyDescent="0.25">
      <c r="A1944" s="47">
        <v>6605</v>
      </c>
      <c r="B1944" s="78">
        <v>45146</v>
      </c>
      <c r="C1944" s="47" t="s">
        <v>15</v>
      </c>
      <c r="D1944" s="49" t="s">
        <v>299</v>
      </c>
      <c r="E1944" s="47">
        <v>377613</v>
      </c>
      <c r="F1944" s="50" t="s">
        <v>89</v>
      </c>
      <c r="G1944" s="50" t="s">
        <v>89</v>
      </c>
      <c r="H1944" s="49">
        <v>66</v>
      </c>
      <c r="I1944" s="51"/>
      <c r="J1944" s="51">
        <v>4.5199999999999996</v>
      </c>
      <c r="K1944" s="52">
        <f>Tabela6[[#This Row],[CONSUMO]]*Tabela6[[#This Row],[VALOR UNIT]]-Tabela6[[#This Row],[DESCONTO]]</f>
        <v>298.32</v>
      </c>
      <c r="L1944" s="53">
        <f>Tabela6[[#This Row],[CUSTO TOTAL]]/Tabela6[[#This Row],[CONSUMO]]</f>
        <v>4.5199999999999996</v>
      </c>
      <c r="M1944" s="50">
        <f>Tabela6[[#This Row],[KM ATUAL]]-E1908</f>
        <v>309404</v>
      </c>
      <c r="N1944" s="51">
        <f>Tabela6[[#This Row],[KM Rodados ]]/Tabela6[[#This Row],[CONSUMO]]</f>
        <v>4687.939393939394</v>
      </c>
      <c r="O1944" s="48"/>
      <c r="P1944" s="47"/>
      <c r="Q1944" s="49"/>
      <c r="R1944" s="47"/>
      <c r="S1944" s="50"/>
      <c r="T1944" s="51"/>
      <c r="U1944" s="49"/>
      <c r="V1944" s="51"/>
      <c r="W1944" s="51"/>
      <c r="X1944" s="53"/>
      <c r="Y1944" s="50"/>
      <c r="Z1944" s="51"/>
    </row>
    <row r="1945" spans="1:26" ht="14.45" customHeight="1" x14ac:dyDescent="0.25">
      <c r="A1945" s="47">
        <v>555461</v>
      </c>
      <c r="B1945" s="78">
        <v>45146</v>
      </c>
      <c r="C1945" s="47" t="s">
        <v>18</v>
      </c>
      <c r="D1945" s="49" t="s">
        <v>255</v>
      </c>
      <c r="E1945" s="47">
        <v>322971</v>
      </c>
      <c r="F1945" s="50" t="s">
        <v>89</v>
      </c>
      <c r="G1945" s="51" t="s">
        <v>89</v>
      </c>
      <c r="H1945" s="49">
        <v>72.070999999999998</v>
      </c>
      <c r="I1945" s="51"/>
      <c r="J1945" s="51">
        <v>5.09</v>
      </c>
      <c r="K1945" s="51">
        <f>Tabela6[[#This Row],[CONSUMO]]*Tabela6[[#This Row],[VALOR UNIT]]-Tabela6[[#This Row],[DESCONTO]]</f>
        <v>366.84138999999999</v>
      </c>
      <c r="L1945" s="53">
        <f>Tabela6[[#This Row],[CUSTO TOTAL]]/Tabela6[[#This Row],[CONSUMO]]</f>
        <v>5.09</v>
      </c>
      <c r="M1945" s="50">
        <f>Tabela6[[#This Row],[KM ATUAL]]-E1861</f>
        <v>184797</v>
      </c>
      <c r="N1945" s="79">
        <f>Tabela6[[#This Row],[KM Rodados ]]/Tabela6[[#This Row],[CONSUMO]]</f>
        <v>2564.0965159356747</v>
      </c>
      <c r="O1945" s="48"/>
      <c r="P1945" s="47"/>
      <c r="Q1945" s="49"/>
      <c r="R1945" s="47"/>
      <c r="S1945" s="50"/>
      <c r="T1945" s="51"/>
      <c r="U1945" s="49"/>
      <c r="V1945" s="51"/>
      <c r="W1945" s="51"/>
      <c r="X1945" s="53"/>
      <c r="Y1945" s="50"/>
      <c r="Z1945" s="51"/>
    </row>
    <row r="1946" spans="1:26" ht="14.45" customHeight="1" x14ac:dyDescent="0.25">
      <c r="A1946" s="47" t="s">
        <v>314</v>
      </c>
      <c r="B1946" s="78">
        <v>45146</v>
      </c>
      <c r="C1946" s="47" t="s">
        <v>19</v>
      </c>
      <c r="E1946" s="47">
        <v>320452</v>
      </c>
      <c r="F1946" s="50"/>
      <c r="G1946" s="50" t="s">
        <v>89</v>
      </c>
      <c r="H1946" s="51">
        <v>115</v>
      </c>
      <c r="I1946" s="51"/>
      <c r="K1946" s="52">
        <f>Tabela6[[#This Row],[CONSUMO]]*Tabela6[[#This Row],[VALOR UNIT]]-Tabela6[[#This Row],[DESCONTO]]</f>
        <v>0</v>
      </c>
      <c r="L1946" s="53">
        <f>Tabela6[[#This Row],[CUSTO TOTAL]]/Tabela6[[#This Row],[CONSUMO]]</f>
        <v>0</v>
      </c>
      <c r="M1946" s="50">
        <f>Tabela6[[#This Row],[KM ATUAL]]-E1923</f>
        <v>-349932</v>
      </c>
      <c r="N1946" s="51">
        <f>Tabela6[[#This Row],[KM Rodados ]]/Tabela6[[#This Row],[CONSUMO]]</f>
        <v>-3042.8869565217392</v>
      </c>
      <c r="O1946" s="48"/>
      <c r="P1946" s="47"/>
      <c r="Q1946" s="49"/>
      <c r="R1946" s="47"/>
      <c r="S1946" s="50"/>
      <c r="T1946" s="51"/>
      <c r="U1946" s="49"/>
      <c r="V1946" s="51"/>
      <c r="W1946" s="51"/>
      <c r="X1946" s="53"/>
      <c r="Y1946" s="50"/>
      <c r="Z1946" s="51"/>
    </row>
    <row r="1947" spans="1:26" ht="14.45" customHeight="1" x14ac:dyDescent="0.25">
      <c r="A1947" s="47">
        <v>6605</v>
      </c>
      <c r="B1947" s="78">
        <v>45146</v>
      </c>
      <c r="C1947" s="47" t="s">
        <v>20</v>
      </c>
      <c r="D1947" s="49" t="s">
        <v>299</v>
      </c>
      <c r="E1947" s="47">
        <v>264575</v>
      </c>
      <c r="F1947" s="50" t="s">
        <v>89</v>
      </c>
      <c r="G1947" s="50" t="s">
        <v>89</v>
      </c>
      <c r="H1947" s="49">
        <v>63</v>
      </c>
      <c r="I1947" s="51"/>
      <c r="J1947" s="51">
        <v>4.5199999999999996</v>
      </c>
      <c r="K1947" s="52">
        <f>Tabela6[[#This Row],[CONSUMO]]*Tabela6[[#This Row],[VALOR UNIT]]-Tabela6[[#This Row],[DESCONTO]]</f>
        <v>284.76</v>
      </c>
      <c r="L1947" s="53">
        <f>Tabela6[[#This Row],[CUSTO TOTAL]]/Tabela6[[#This Row],[CONSUMO]]</f>
        <v>4.5199999999999996</v>
      </c>
      <c r="M1947" s="50">
        <f>Tabela6[[#This Row],[KM ATUAL]]-E1918</f>
        <v>125250</v>
      </c>
      <c r="N1947" s="51">
        <f>Tabela6[[#This Row],[KM Rodados ]]/Tabela6[[#This Row],[CONSUMO]]</f>
        <v>1988.0952380952381</v>
      </c>
      <c r="O1947" s="48"/>
      <c r="P1947" s="47"/>
      <c r="Q1947" s="49"/>
      <c r="R1947" s="47"/>
      <c r="S1947" s="50"/>
      <c r="T1947" s="51"/>
      <c r="U1947" s="49"/>
      <c r="V1947" s="51"/>
      <c r="W1947" s="51"/>
      <c r="X1947" s="53"/>
      <c r="Y1947" s="50"/>
      <c r="Z1947" s="51"/>
    </row>
    <row r="1948" spans="1:26" ht="14.45" customHeight="1" x14ac:dyDescent="0.25">
      <c r="A1948" s="47">
        <v>6506</v>
      </c>
      <c r="B1948" s="78">
        <v>45146</v>
      </c>
      <c r="C1948" s="47" t="s">
        <v>23</v>
      </c>
      <c r="D1948" s="49" t="s">
        <v>299</v>
      </c>
      <c r="E1948" s="47">
        <v>238815</v>
      </c>
      <c r="F1948" s="50" t="s">
        <v>89</v>
      </c>
      <c r="G1948" s="50" t="s">
        <v>89</v>
      </c>
      <c r="H1948" s="49">
        <v>80</v>
      </c>
      <c r="I1948" s="51"/>
      <c r="J1948" s="51">
        <v>4.45</v>
      </c>
      <c r="K1948" s="51">
        <f>Tabela6[[#This Row],[CONSUMO]]*Tabela6[[#This Row],[VALOR UNIT]]-Tabela6[[#This Row],[DESCONTO]]</f>
        <v>356</v>
      </c>
      <c r="L1948" s="53">
        <f>Tabela6[[#This Row],[CUSTO TOTAL]]/Tabela6[[#This Row],[CONSUMO]]</f>
        <v>4.45</v>
      </c>
      <c r="M1948" s="50">
        <f>Tabela6[[#This Row],[KM ATUAL]]-E1910</f>
        <v>-167855</v>
      </c>
      <c r="N1948" s="51">
        <f>Tabela6[[#This Row],[KM Rodados ]]/Tabela6[[#This Row],[CONSUMO]]</f>
        <v>-2098.1875</v>
      </c>
      <c r="O1948" s="48"/>
      <c r="P1948" s="47"/>
      <c r="Q1948" s="49"/>
      <c r="R1948" s="47"/>
      <c r="S1948" s="50"/>
      <c r="T1948" s="51"/>
      <c r="U1948" s="49"/>
      <c r="V1948" s="51"/>
      <c r="W1948" s="51"/>
      <c r="X1948" s="53"/>
      <c r="Y1948" s="50"/>
      <c r="Z1948" s="51"/>
    </row>
    <row r="1949" spans="1:26" ht="14.45" customHeight="1" x14ac:dyDescent="0.25">
      <c r="A1949" s="47">
        <v>6605</v>
      </c>
      <c r="B1949" s="78">
        <v>45147</v>
      </c>
      <c r="C1949" s="47" t="s">
        <v>68</v>
      </c>
      <c r="D1949" s="49" t="s">
        <v>299</v>
      </c>
      <c r="E1949" s="47">
        <v>904520</v>
      </c>
      <c r="F1949" s="50" t="s">
        <v>89</v>
      </c>
      <c r="G1949" s="51" t="s">
        <v>89</v>
      </c>
      <c r="H1949" s="49">
        <v>395</v>
      </c>
      <c r="I1949" s="51"/>
      <c r="J1949" s="51">
        <v>4.5199999999999996</v>
      </c>
      <c r="K1949" s="51">
        <f>Tabela6[[#This Row],[CONSUMO]]*Tabela6[[#This Row],[VALOR UNIT]]-Tabela6[[#This Row],[DESCONTO]]</f>
        <v>1785.3999999999999</v>
      </c>
      <c r="L1949" s="53">
        <f>Tabela6[[#This Row],[CUSTO TOTAL]]/Tabela6[[#This Row],[CONSUMO]]</f>
        <v>4.5199999999999996</v>
      </c>
      <c r="M1949" s="50">
        <f>Tabela6[[#This Row],[KM ATUAL]]-E1861</f>
        <v>766346</v>
      </c>
      <c r="N1949" s="51">
        <f>Tabela6[[#This Row],[KM Rodados ]]/Tabela6[[#This Row],[CONSUMO]]</f>
        <v>1940.1164556962026</v>
      </c>
      <c r="O1949" s="48"/>
      <c r="P1949" s="47"/>
      <c r="Q1949" s="49"/>
      <c r="R1949" s="47"/>
      <c r="S1949" s="50"/>
      <c r="T1949" s="51"/>
      <c r="U1949" s="49"/>
      <c r="V1949" s="51"/>
      <c r="W1949" s="51"/>
      <c r="X1949" s="53"/>
      <c r="Y1949" s="50"/>
      <c r="Z1949" s="51"/>
    </row>
    <row r="1950" spans="1:26" ht="14.45" customHeight="1" x14ac:dyDescent="0.25">
      <c r="A1950" s="47">
        <v>6605</v>
      </c>
      <c r="B1950" s="78">
        <v>45147</v>
      </c>
      <c r="C1950" s="47" t="s">
        <v>43</v>
      </c>
      <c r="D1950" s="49" t="s">
        <v>299</v>
      </c>
      <c r="E1950" s="47">
        <v>139869</v>
      </c>
      <c r="F1950" s="50" t="s">
        <v>89</v>
      </c>
      <c r="G1950" s="51" t="s">
        <v>89</v>
      </c>
      <c r="H1950" s="49">
        <v>33</v>
      </c>
      <c r="I1950" s="51"/>
      <c r="J1950" s="51">
        <v>4.5199999999999996</v>
      </c>
      <c r="K1950" s="53">
        <f>Tabela6[[#This Row],[CONSUMO]]*Tabela6[[#This Row],[VALOR UNIT]]-Tabela6[[#This Row],[DESCONTO]]</f>
        <v>149.16</v>
      </c>
      <c r="L1950" s="50">
        <v>0</v>
      </c>
      <c r="M1950" s="51">
        <f>Tabela6[[#This Row],[KM ATUAL]]-E1941</f>
        <v>53524</v>
      </c>
      <c r="N1950" s="51">
        <f>Tabela6[[#This Row],[KM Rodados ]]/Tabela6[[#This Row],[CONSUMO]]</f>
        <v>1621.939393939394</v>
      </c>
      <c r="O1950" s="48"/>
      <c r="P1950" s="47"/>
      <c r="Q1950" s="49"/>
      <c r="R1950" s="47"/>
      <c r="S1950" s="50"/>
      <c r="T1950" s="51"/>
      <c r="U1950" s="49"/>
      <c r="V1950" s="51"/>
      <c r="W1950" s="51"/>
      <c r="X1950" s="53"/>
      <c r="Y1950" s="50"/>
      <c r="Z1950" s="51"/>
    </row>
    <row r="1951" spans="1:26" ht="14.45" customHeight="1" x14ac:dyDescent="0.25">
      <c r="A1951" s="47" t="s">
        <v>314</v>
      </c>
      <c r="B1951" s="78">
        <v>45147</v>
      </c>
      <c r="C1951" s="47" t="s">
        <v>67</v>
      </c>
      <c r="E1951" s="47">
        <v>675088</v>
      </c>
      <c r="F1951" s="50"/>
      <c r="G1951" s="51" t="s">
        <v>89</v>
      </c>
      <c r="H1951" s="51">
        <v>102</v>
      </c>
      <c r="I1951" s="51"/>
      <c r="K1951" s="53">
        <f>Tabela6[[#This Row],[CONSUMO]]*Tabela6[[#This Row],[VALOR UNIT]]-Tabela6[[#This Row],[DESCONTO]]</f>
        <v>0</v>
      </c>
      <c r="L1951" s="53">
        <f>Tabela6[[#This Row],[CUSTO TOTAL]]/Tabela6[[#This Row],[CONSUMO]]</f>
        <v>0</v>
      </c>
      <c r="M1951" s="50">
        <f>Tabela6[[#This Row],[KM ATUAL]]-E1924</f>
        <v>-46295</v>
      </c>
      <c r="N1951" s="51">
        <f>Tabela6[[#This Row],[KM Rodados ]]/Tabela6[[#This Row],[CONSUMO]]</f>
        <v>-453.87254901960785</v>
      </c>
      <c r="O1951" s="48"/>
      <c r="P1951" s="47"/>
      <c r="Q1951" s="49"/>
      <c r="R1951" s="47"/>
      <c r="S1951" s="50"/>
      <c r="T1951" s="51"/>
      <c r="U1951" s="49"/>
      <c r="V1951" s="51"/>
      <c r="W1951" s="51"/>
      <c r="X1951" s="53"/>
      <c r="Y1951" s="50"/>
      <c r="Z1951" s="51"/>
    </row>
    <row r="1952" spans="1:26" ht="14.45" customHeight="1" x14ac:dyDescent="0.25">
      <c r="A1952" s="47">
        <v>320608</v>
      </c>
      <c r="B1952" s="78">
        <v>45147</v>
      </c>
      <c r="C1952" s="47" t="s">
        <v>215</v>
      </c>
      <c r="D1952" s="49" t="s">
        <v>276</v>
      </c>
      <c r="E1952" s="47">
        <v>226868</v>
      </c>
      <c r="F1952" s="50" t="s">
        <v>244</v>
      </c>
      <c r="G1952" s="50" t="s">
        <v>244</v>
      </c>
      <c r="H1952" s="50">
        <v>36.630000000000003</v>
      </c>
      <c r="I1952" s="51"/>
      <c r="J1952" s="51">
        <v>5.49</v>
      </c>
      <c r="K1952" s="51">
        <f>Tabela6[[#This Row],[CONSUMO]]*Tabela6[[#This Row],[VALOR UNIT]]-Tabela6[[#This Row],[DESCONTO]]</f>
        <v>201.09870000000001</v>
      </c>
      <c r="L1952" s="53">
        <f>Tabela6[[#This Row],[CUSTO TOTAL]]/Tabela6[[#This Row],[CONSUMO]]</f>
        <v>5.49</v>
      </c>
      <c r="M1952" s="50">
        <f>Tabela6[[#This Row],[KM ATUAL]]-E1951</f>
        <v>-448220</v>
      </c>
      <c r="N1952" s="51">
        <f>Tabela6[[#This Row],[KM Rodados ]]/Tabela6[[#This Row],[CONSUMO]]</f>
        <v>-12236.418236418236</v>
      </c>
      <c r="O1952" s="48"/>
      <c r="P1952" s="47"/>
      <c r="Q1952" s="49"/>
      <c r="R1952" s="47"/>
      <c r="S1952" s="50"/>
      <c r="T1952" s="51"/>
      <c r="U1952" s="49"/>
      <c r="V1952" s="51"/>
      <c r="W1952" s="51"/>
      <c r="X1952" s="53"/>
      <c r="Y1952" s="50"/>
      <c r="Z1952" s="51"/>
    </row>
    <row r="1953" spans="1:26" ht="14.45" customHeight="1" x14ac:dyDescent="0.25">
      <c r="A1953" s="47">
        <v>6605</v>
      </c>
      <c r="B1953" s="78">
        <v>45147</v>
      </c>
      <c r="C1953" s="47" t="s">
        <v>72</v>
      </c>
      <c r="D1953" s="49" t="s">
        <v>299</v>
      </c>
      <c r="E1953" s="47">
        <v>408073</v>
      </c>
      <c r="F1953" s="50"/>
      <c r="G1953" s="50" t="s">
        <v>89</v>
      </c>
      <c r="H1953" s="49">
        <v>15</v>
      </c>
      <c r="I1953" s="51"/>
      <c r="J1953" s="51">
        <v>4.5199999999999996</v>
      </c>
      <c r="K1953" s="52">
        <f>Tabela6[[#This Row],[CONSUMO]]*Tabela6[[#This Row],[VALOR UNIT]]-Tabela6[[#This Row],[DESCONTO]]</f>
        <v>67.8</v>
      </c>
      <c r="L1953" s="53">
        <f>Tabela6[[#This Row],[CUSTO TOTAL]]/Tabela6[[#This Row],[CONSUMO]]</f>
        <v>4.5199999999999996</v>
      </c>
      <c r="M1953" s="50">
        <f>Tabela6[[#This Row],[KM ATUAL]]-E1942</f>
        <v>257752</v>
      </c>
      <c r="N1953" s="51">
        <f>Tabela6[[#This Row],[KM Rodados ]]/Tabela6[[#This Row],[CONSUMO]]</f>
        <v>17183.466666666667</v>
      </c>
      <c r="O1953" s="48"/>
      <c r="P1953" s="47"/>
      <c r="Q1953" s="49"/>
      <c r="R1953" s="47"/>
      <c r="S1953" s="50"/>
      <c r="T1953" s="51"/>
      <c r="U1953" s="49"/>
      <c r="V1953" s="51"/>
      <c r="W1953" s="51"/>
      <c r="X1953" s="53"/>
      <c r="Y1953" s="50"/>
      <c r="Z1953" s="51"/>
    </row>
    <row r="1954" spans="1:26" ht="14.45" customHeight="1" x14ac:dyDescent="0.25">
      <c r="A1954" s="47">
        <v>875603</v>
      </c>
      <c r="B1954" s="78">
        <v>45147</v>
      </c>
      <c r="C1954" s="47" t="s">
        <v>72</v>
      </c>
      <c r="D1954" s="49" t="s">
        <v>253</v>
      </c>
      <c r="E1954" s="47">
        <v>408497</v>
      </c>
      <c r="F1954" s="50" t="s">
        <v>89</v>
      </c>
      <c r="G1954" s="50" t="s">
        <v>89</v>
      </c>
      <c r="H1954" s="49">
        <v>54.97</v>
      </c>
      <c r="I1954" s="51"/>
      <c r="J1954" s="51">
        <v>5.09</v>
      </c>
      <c r="K1954" s="51">
        <f>Tabela6[[#This Row],[CONSUMO]]*Tabela6[[#This Row],[VALOR UNIT]]-Tabela6[[#This Row],[DESCONTO]]</f>
        <v>279.79730000000001</v>
      </c>
      <c r="L1954" s="53">
        <f>Tabela6[[#This Row],[CUSTO TOTAL]]/Tabela6[[#This Row],[CONSUMO]]</f>
        <v>5.09</v>
      </c>
      <c r="M1954" s="50">
        <f>Tabela6[[#This Row],[KM ATUAL]]-E1939</f>
        <v>543</v>
      </c>
      <c r="N1954" s="51">
        <f>Tabela6[[#This Row],[KM Rodados ]]/Tabela6[[#This Row],[CONSUMO]]</f>
        <v>9.8781153356376201</v>
      </c>
      <c r="O1954" s="48"/>
      <c r="P1954" s="47"/>
      <c r="Q1954" s="49"/>
      <c r="R1954" s="47"/>
      <c r="S1954" s="50"/>
      <c r="T1954" s="51"/>
      <c r="U1954" s="49"/>
      <c r="V1954" s="51"/>
      <c r="W1954" s="51"/>
      <c r="X1954" s="53"/>
      <c r="Y1954" s="50"/>
      <c r="Z1954" s="51"/>
    </row>
    <row r="1955" spans="1:26" ht="14.45" customHeight="1" x14ac:dyDescent="0.25">
      <c r="A1955" s="47">
        <v>6605</v>
      </c>
      <c r="B1955" s="78">
        <v>45147</v>
      </c>
      <c r="C1955" s="47" t="s">
        <v>41</v>
      </c>
      <c r="D1955" s="49" t="s">
        <v>299</v>
      </c>
      <c r="E1955" s="47">
        <v>670797</v>
      </c>
      <c r="F1955" s="50" t="s">
        <v>89</v>
      </c>
      <c r="G1955" s="50" t="s">
        <v>89</v>
      </c>
      <c r="H1955" s="49">
        <v>84</v>
      </c>
      <c r="I1955" s="51"/>
      <c r="J1955" s="51">
        <v>4.5199999999999996</v>
      </c>
      <c r="K1955" s="52">
        <f>Tabela6[[#This Row],[CONSUMO]]*Tabela6[[#This Row],[VALOR UNIT]]-Tabela6[[#This Row],[DESCONTO]]</f>
        <v>379.67999999999995</v>
      </c>
      <c r="L1955" s="53">
        <f>Tabela6[[#This Row],[CUSTO TOTAL]]/Tabela6[[#This Row],[CONSUMO]]</f>
        <v>4.5199999999999996</v>
      </c>
      <c r="M1955" s="50">
        <f>Tabela6[[#This Row],[KM ATUAL]]-E1916</f>
        <v>406747</v>
      </c>
      <c r="N1955" s="51">
        <f>Tabela6[[#This Row],[KM Rodados ]]/Tabela6[[#This Row],[CONSUMO]]</f>
        <v>4842.2261904761908</v>
      </c>
      <c r="O1955" s="48"/>
      <c r="P1955" s="47"/>
      <c r="Q1955" s="49"/>
      <c r="R1955" s="47"/>
      <c r="S1955" s="50"/>
      <c r="T1955" s="51"/>
      <c r="U1955" s="49"/>
      <c r="V1955" s="51"/>
      <c r="W1955" s="51"/>
      <c r="X1955" s="53"/>
      <c r="Y1955" s="50"/>
      <c r="Z1955" s="51"/>
    </row>
    <row r="1956" spans="1:26" ht="14.45" customHeight="1" x14ac:dyDescent="0.25">
      <c r="A1956" s="47">
        <v>6605</v>
      </c>
      <c r="B1956" s="78">
        <v>45147</v>
      </c>
      <c r="C1956" s="47" t="s">
        <v>10</v>
      </c>
      <c r="D1956" s="49" t="s">
        <v>299</v>
      </c>
      <c r="E1956" s="47">
        <v>721821</v>
      </c>
      <c r="F1956" s="50" t="s">
        <v>89</v>
      </c>
      <c r="G1956" s="50" t="s">
        <v>89</v>
      </c>
      <c r="H1956" s="49">
        <v>117</v>
      </c>
      <c r="I1956" s="51"/>
      <c r="J1956" s="51">
        <v>4.5199999999999996</v>
      </c>
      <c r="K1956" s="51">
        <f>Tabela6[[#This Row],[CONSUMO]]*Tabela6[[#This Row],[VALOR UNIT]]-Tabela6[[#This Row],[DESCONTO]]</f>
        <v>528.83999999999992</v>
      </c>
      <c r="L1956" s="53">
        <f>Tabela6[[#This Row],[CUSTO TOTAL]]/Tabela6[[#This Row],[CONSUMO]]</f>
        <v>4.5199999999999996</v>
      </c>
      <c r="M1956" s="50">
        <f>Tabela6[[#This Row],[KM ATUAL]]-E1927</f>
        <v>401809</v>
      </c>
      <c r="N1956" s="51">
        <f>Tabela6[[#This Row],[KM Rodados ]]/Tabela6[[#This Row],[CONSUMO]]</f>
        <v>3434.264957264957</v>
      </c>
      <c r="O1956" s="48"/>
      <c r="P1956" s="47"/>
      <c r="Q1956" s="49"/>
      <c r="R1956" s="47"/>
      <c r="S1956" s="50"/>
      <c r="T1956" s="51"/>
      <c r="U1956" s="49"/>
      <c r="V1956" s="51"/>
      <c r="W1956" s="51"/>
      <c r="X1956" s="53"/>
      <c r="Y1956" s="50"/>
      <c r="Z1956" s="51"/>
    </row>
    <row r="1957" spans="1:26" ht="14.45" customHeight="1" x14ac:dyDescent="0.25">
      <c r="A1957" s="47">
        <v>585516</v>
      </c>
      <c r="B1957" s="78">
        <v>45147</v>
      </c>
      <c r="C1957" s="47" t="s">
        <v>301</v>
      </c>
      <c r="D1957" s="49" t="s">
        <v>275</v>
      </c>
      <c r="E1957" s="47">
        <v>1036780</v>
      </c>
      <c r="F1957" s="50" t="s">
        <v>89</v>
      </c>
      <c r="G1957" s="50" t="s">
        <v>89</v>
      </c>
      <c r="H1957" s="49">
        <v>500.18</v>
      </c>
      <c r="I1957" s="51"/>
      <c r="J1957" s="51">
        <v>4.8899999999999997</v>
      </c>
      <c r="K1957" s="51">
        <f>Tabela6[[#This Row],[CONSUMO]]*Tabela6[[#This Row],[VALOR UNIT]]-Tabela6[[#This Row],[DESCONTO]]</f>
        <v>2445.8802000000001</v>
      </c>
      <c r="L1957" s="53">
        <f>Tabela6[[#This Row],[CUSTO TOTAL]]/Tabela6[[#This Row],[CONSUMO]]</f>
        <v>4.8899999999999997</v>
      </c>
      <c r="M1957" s="50">
        <f>Tabela6[[#This Row],[KM ATUAL]]-E1923</f>
        <v>366396</v>
      </c>
      <c r="N1957" s="51">
        <f>Tabela6[[#This Row],[KM Rodados ]]/Tabela6[[#This Row],[CONSUMO]]</f>
        <v>732.52828981566631</v>
      </c>
      <c r="O1957" s="48"/>
      <c r="P1957" s="47"/>
      <c r="Q1957" s="49"/>
      <c r="R1957" s="47"/>
      <c r="S1957" s="50"/>
      <c r="T1957" s="51"/>
      <c r="U1957" s="49"/>
      <c r="V1957" s="51"/>
      <c r="W1957" s="51"/>
      <c r="X1957" s="53"/>
      <c r="Y1957" s="50"/>
      <c r="Z1957" s="51"/>
    </row>
    <row r="1958" spans="1:26" ht="14.45" customHeight="1" x14ac:dyDescent="0.25">
      <c r="A1958" s="47">
        <v>6605</v>
      </c>
      <c r="B1958" s="78">
        <v>45147</v>
      </c>
      <c r="C1958" s="47" t="s">
        <v>13</v>
      </c>
      <c r="D1958" s="49" t="s">
        <v>299</v>
      </c>
      <c r="E1958" s="47">
        <v>640244</v>
      </c>
      <c r="F1958" s="50" t="s">
        <v>89</v>
      </c>
      <c r="G1958" s="50" t="s">
        <v>89</v>
      </c>
      <c r="H1958" s="49">
        <v>94</v>
      </c>
      <c r="I1958" s="51"/>
      <c r="J1958" s="51">
        <v>4.5199999999999996</v>
      </c>
      <c r="K1958" s="51">
        <f>Tabela6[[#This Row],[CONSUMO]]*Tabela6[[#This Row],[VALOR UNIT]]-Tabela6[[#This Row],[DESCONTO]]</f>
        <v>424.87999999999994</v>
      </c>
      <c r="L1958" s="53">
        <f>Tabela6[[#This Row],[CUSTO TOTAL]]/Tabela6[[#This Row],[CONSUMO]]</f>
        <v>4.5199999999999996</v>
      </c>
      <c r="M1958" s="50">
        <f>Tabela6[[#This Row],[KM ATUAL]]-E1906</f>
        <v>376698</v>
      </c>
      <c r="N1958" s="51">
        <f>Tabela6[[#This Row],[KM Rodados ]]/Tabela6[[#This Row],[CONSUMO]]</f>
        <v>4007.4255319148938</v>
      </c>
      <c r="O1958" s="48"/>
      <c r="P1958" s="47"/>
      <c r="Q1958" s="49"/>
      <c r="R1958" s="47"/>
      <c r="S1958" s="50"/>
      <c r="T1958" s="51"/>
      <c r="U1958" s="49"/>
      <c r="V1958" s="51"/>
      <c r="W1958" s="51"/>
      <c r="X1958" s="53"/>
      <c r="Y1958" s="50"/>
      <c r="Z1958" s="51"/>
    </row>
    <row r="1959" spans="1:26" ht="14.45" customHeight="1" x14ac:dyDescent="0.25">
      <c r="A1959" s="47">
        <v>6605</v>
      </c>
      <c r="B1959" s="78">
        <v>45147</v>
      </c>
      <c r="C1959" s="47" t="s">
        <v>17</v>
      </c>
      <c r="D1959" s="49" t="s">
        <v>299</v>
      </c>
      <c r="E1959" s="47">
        <v>364902</v>
      </c>
      <c r="F1959" s="50" t="s">
        <v>89</v>
      </c>
      <c r="G1959" s="50" t="s">
        <v>89</v>
      </c>
      <c r="H1959" s="51">
        <v>96</v>
      </c>
      <c r="I1959" s="51"/>
      <c r="J1959" s="51">
        <v>4.5199999999999996</v>
      </c>
      <c r="K1959" s="51">
        <f>Tabela6[[#This Row],[CONSUMO]]*Tabela6[[#This Row],[VALOR UNIT]]-Tabela6[[#This Row],[DESCONTO]]</f>
        <v>433.91999999999996</v>
      </c>
      <c r="L1959" s="53">
        <f>Tabela6[[#This Row],[CUSTO TOTAL]]/Tabela6[[#This Row],[CONSUMO]]</f>
        <v>4.5199999999999996</v>
      </c>
      <c r="M1959" s="50">
        <f>Tabela6[[#This Row],[KM ATUAL]]-E1923</f>
        <v>-305482</v>
      </c>
      <c r="N1959" s="84">
        <f>Tabela6[[#This Row],[KM Rodados ]]/Tabela6[[#This Row],[CONSUMO]]</f>
        <v>-3182.1041666666665</v>
      </c>
      <c r="O1959" s="48"/>
      <c r="P1959" s="47"/>
      <c r="Q1959" s="49"/>
      <c r="R1959" s="47"/>
      <c r="S1959" s="50"/>
      <c r="T1959" s="51"/>
      <c r="U1959" s="49"/>
      <c r="V1959" s="51"/>
      <c r="W1959" s="51"/>
      <c r="X1959" s="53"/>
      <c r="Y1959" s="50"/>
      <c r="Z1959" s="51"/>
    </row>
    <row r="1960" spans="1:26" ht="14.45" customHeight="1" x14ac:dyDescent="0.25">
      <c r="A1960" s="47">
        <v>6605</v>
      </c>
      <c r="B1960" s="78">
        <v>45147</v>
      </c>
      <c r="C1960" s="47" t="s">
        <v>19</v>
      </c>
      <c r="D1960" s="49" t="s">
        <v>299</v>
      </c>
      <c r="E1960" s="47">
        <v>320902</v>
      </c>
      <c r="F1960" s="50" t="s">
        <v>89</v>
      </c>
      <c r="G1960" s="50" t="s">
        <v>89</v>
      </c>
      <c r="H1960" s="51">
        <v>116</v>
      </c>
      <c r="I1960" s="51"/>
      <c r="J1960" s="51">
        <v>4.5199999999999996</v>
      </c>
      <c r="K1960" s="51">
        <f>Tabela6[[#This Row],[CONSUMO]]*Tabela6[[#This Row],[VALOR UNIT]]-Tabela6[[#This Row],[DESCONTO]]</f>
        <v>524.31999999999994</v>
      </c>
      <c r="L1960" s="53">
        <f>Tabela6[[#This Row],[CUSTO TOTAL]]/Tabela6[[#This Row],[CONSUMO]]</f>
        <v>4.5199999999999996</v>
      </c>
      <c r="M1960" s="50">
        <f>Tabela6[[#This Row],[KM ATUAL]]-E1950</f>
        <v>181033</v>
      </c>
      <c r="N1960" s="51">
        <f>Tabela6[[#This Row],[KM Rodados ]]/Tabela6[[#This Row],[CONSUMO]]</f>
        <v>1560.6293103448277</v>
      </c>
      <c r="O1960" s="48"/>
      <c r="P1960" s="47"/>
      <c r="Q1960" s="49"/>
      <c r="R1960" s="47"/>
      <c r="S1960" s="50"/>
      <c r="T1960" s="51"/>
      <c r="U1960" s="49"/>
      <c r="V1960" s="51"/>
      <c r="W1960" s="51"/>
      <c r="X1960" s="53"/>
      <c r="Y1960" s="50"/>
      <c r="Z1960" s="51"/>
    </row>
    <row r="1961" spans="1:26" ht="14.45" customHeight="1" x14ac:dyDescent="0.25">
      <c r="A1961" s="47">
        <v>6605</v>
      </c>
      <c r="B1961" s="78">
        <v>45147</v>
      </c>
      <c r="C1961" s="47" t="s">
        <v>20</v>
      </c>
      <c r="D1961" s="49" t="s">
        <v>299</v>
      </c>
      <c r="E1961" s="47">
        <v>264971</v>
      </c>
      <c r="F1961" s="50" t="s">
        <v>89</v>
      </c>
      <c r="G1961" s="50" t="s">
        <v>89</v>
      </c>
      <c r="H1961" s="49">
        <v>62</v>
      </c>
      <c r="I1961" s="51"/>
      <c r="J1961" s="51">
        <v>4.5199999999999996</v>
      </c>
      <c r="K1961" s="52">
        <f>Tabela6[[#This Row],[CONSUMO]]*Tabela6[[#This Row],[VALOR UNIT]]-Tabela6[[#This Row],[DESCONTO]]</f>
        <v>280.23999999999995</v>
      </c>
      <c r="L1961" s="53">
        <f>Tabela6[[#This Row],[CUSTO TOTAL]]/Tabela6[[#This Row],[CONSUMO]]</f>
        <v>4.5199999999999996</v>
      </c>
      <c r="M1961" s="50">
        <f>Tabela6[[#This Row],[KM ATUAL]]-E1945</f>
        <v>-58000</v>
      </c>
      <c r="N1961" s="51">
        <f>Tabela6[[#This Row],[KM Rodados ]]/Tabela6[[#This Row],[CONSUMO]]</f>
        <v>-935.48387096774195</v>
      </c>
      <c r="O1961" s="48"/>
      <c r="P1961" s="47"/>
      <c r="Q1961" s="49"/>
      <c r="R1961" s="47"/>
      <c r="S1961" s="50"/>
      <c r="T1961" s="51"/>
      <c r="U1961" s="49"/>
      <c r="V1961" s="51"/>
      <c r="W1961" s="51"/>
      <c r="X1961" s="53"/>
      <c r="Y1961" s="50"/>
      <c r="Z1961" s="51"/>
    </row>
    <row r="1962" spans="1:26" ht="14.45" customHeight="1" x14ac:dyDescent="0.25">
      <c r="A1962" s="47">
        <v>6605</v>
      </c>
      <c r="B1962" s="78">
        <v>45147</v>
      </c>
      <c r="C1962" s="47" t="s">
        <v>23</v>
      </c>
      <c r="D1962" s="49" t="s">
        <v>299</v>
      </c>
      <c r="E1962" s="47">
        <v>238829</v>
      </c>
      <c r="F1962" s="50" t="s">
        <v>89</v>
      </c>
      <c r="G1962" s="50" t="s">
        <v>89</v>
      </c>
      <c r="H1962" s="49">
        <v>6</v>
      </c>
      <c r="I1962" s="51"/>
      <c r="J1962" s="51">
        <v>4.5199999999999996</v>
      </c>
      <c r="K1962" s="51">
        <f>Tabela6[[#This Row],[CONSUMO]]*Tabela6[[#This Row],[VALOR UNIT]]-Tabela6[[#This Row],[DESCONTO]]</f>
        <v>27.119999999999997</v>
      </c>
      <c r="L1962" s="53">
        <f>Tabela6[[#This Row],[CUSTO TOTAL]]/Tabela6[[#This Row],[CONSUMO]]</f>
        <v>4.5199999999999996</v>
      </c>
      <c r="M1962" s="50">
        <f>Tabela6[[#This Row],[KM ATUAL]]-E1938</f>
        <v>132324</v>
      </c>
      <c r="N1962" s="51">
        <f>Tabela6[[#This Row],[KM Rodados ]]/Tabela6[[#This Row],[CONSUMO]]</f>
        <v>22054</v>
      </c>
      <c r="O1962" s="48"/>
      <c r="P1962" s="47"/>
      <c r="Q1962" s="49"/>
      <c r="R1962" s="47"/>
      <c r="S1962" s="50"/>
      <c r="T1962" s="51"/>
      <c r="U1962" s="49"/>
      <c r="V1962" s="51"/>
      <c r="W1962" s="51"/>
      <c r="X1962" s="53"/>
      <c r="Y1962" s="50"/>
      <c r="Z1962" s="51"/>
    </row>
    <row r="1963" spans="1:26" ht="14.45" customHeight="1" x14ac:dyDescent="0.25">
      <c r="A1963" s="47">
        <v>6605</v>
      </c>
      <c r="B1963" s="78">
        <v>45147</v>
      </c>
      <c r="C1963" s="47" t="s">
        <v>74</v>
      </c>
      <c r="D1963" s="49" t="s">
        <v>299</v>
      </c>
      <c r="E1963" s="47">
        <v>69245</v>
      </c>
      <c r="F1963" s="50" t="s">
        <v>89</v>
      </c>
      <c r="G1963" s="50" t="s">
        <v>89</v>
      </c>
      <c r="H1963" s="49">
        <v>69</v>
      </c>
      <c r="I1963" s="51"/>
      <c r="J1963" s="51">
        <v>4.5199999999999996</v>
      </c>
      <c r="K1963" s="51">
        <f>Tabela6[[#This Row],[CONSUMO]]*Tabela6[[#This Row],[VALOR UNIT]]-Tabela6[[#This Row],[DESCONTO]]</f>
        <v>311.88</v>
      </c>
      <c r="L1963" s="53">
        <f>Tabela6[[#This Row],[CUSTO TOTAL]]/Tabela6[[#This Row],[CONSUMO]]</f>
        <v>4.5199999999999996</v>
      </c>
      <c r="M1963" s="50">
        <f>Tabela6[[#This Row],[KM ATUAL]]-E1929</f>
        <v>575</v>
      </c>
      <c r="N1963" s="51">
        <f>Tabela6[[#This Row],[KM Rodados ]]/Tabela6[[#This Row],[CONSUMO]]</f>
        <v>8.3333333333333339</v>
      </c>
      <c r="O1963" s="48"/>
      <c r="P1963" s="47"/>
      <c r="Q1963" s="49"/>
      <c r="R1963" s="47"/>
      <c r="S1963" s="50"/>
      <c r="T1963" s="51"/>
      <c r="U1963" s="49"/>
      <c r="V1963" s="51"/>
      <c r="W1963" s="51"/>
      <c r="X1963" s="53"/>
      <c r="Y1963" s="50"/>
      <c r="Z1963" s="51"/>
    </row>
    <row r="1964" spans="1:26" ht="14.45" customHeight="1" x14ac:dyDescent="0.25">
      <c r="A1964" s="47" t="s">
        <v>314</v>
      </c>
      <c r="B1964" s="78">
        <v>45148</v>
      </c>
      <c r="C1964" s="47" t="s">
        <v>203</v>
      </c>
      <c r="E1964" s="47">
        <v>106951</v>
      </c>
      <c r="G1964" s="50" t="s">
        <v>244</v>
      </c>
      <c r="H1964" s="51">
        <v>41.25</v>
      </c>
      <c r="K1964" s="52">
        <f>Tabela6[[#This Row],[CONSUMO]]*Tabela6[[#This Row],[VALOR UNIT]]-Tabela6[[#This Row],[DESCONTO]]</f>
        <v>0</v>
      </c>
      <c r="L1964" s="53">
        <f>Tabela6[[#This Row],[CUSTO TOTAL]]/Tabela6[[#This Row],[CONSUMO]]</f>
        <v>0</v>
      </c>
      <c r="M1964" s="50">
        <f>Tabela6[[#This Row],[KM ATUAL]]-E1913</f>
        <v>997</v>
      </c>
      <c r="N1964" s="51">
        <f>Tabela6[[#This Row],[KM Rodados ]]/Tabela6[[#This Row],[CONSUMO]]</f>
        <v>24.169696969696968</v>
      </c>
      <c r="O1964" s="48"/>
      <c r="P1964" s="47"/>
      <c r="Q1964" s="49"/>
      <c r="R1964" s="47"/>
      <c r="S1964" s="50"/>
      <c r="T1964" s="51"/>
      <c r="U1964" s="49"/>
      <c r="V1964" s="51"/>
      <c r="W1964" s="51"/>
      <c r="X1964" s="53"/>
      <c r="Y1964" s="50"/>
      <c r="Z1964" s="51"/>
    </row>
    <row r="1965" spans="1:26" ht="14.45" customHeight="1" x14ac:dyDescent="0.25">
      <c r="A1965" s="47">
        <v>6605</v>
      </c>
      <c r="B1965" s="78">
        <v>45148</v>
      </c>
      <c r="C1965" s="47" t="s">
        <v>72</v>
      </c>
      <c r="D1965" s="49" t="s">
        <v>299</v>
      </c>
      <c r="E1965" s="47">
        <v>408668</v>
      </c>
      <c r="F1965" s="50" t="s">
        <v>89</v>
      </c>
      <c r="G1965" s="50" t="s">
        <v>89</v>
      </c>
      <c r="H1965" s="49">
        <v>23</v>
      </c>
      <c r="I1965" s="51"/>
      <c r="J1965" s="51">
        <v>4.5199999999999996</v>
      </c>
      <c r="K1965" s="51">
        <f>Tabela6[[#This Row],[CONSUMO]]*Tabela6[[#This Row],[VALOR UNIT]]-Tabela6[[#This Row],[DESCONTO]]</f>
        <v>103.96</v>
      </c>
      <c r="L1965" s="53">
        <f>Tabela6[[#This Row],[CUSTO TOTAL]]/Tabela6[[#This Row],[CONSUMO]]</f>
        <v>4.5199999999999996</v>
      </c>
      <c r="M1965" s="50">
        <f>Tabela6[[#This Row],[KM ATUAL]]-E1946</f>
        <v>88216</v>
      </c>
      <c r="N1965" s="51">
        <f>Tabela6[[#This Row],[KM Rodados ]]/Tabela6[[#This Row],[CONSUMO]]</f>
        <v>3835.478260869565</v>
      </c>
      <c r="O1965" s="48"/>
      <c r="P1965" s="47"/>
      <c r="Q1965" s="49"/>
      <c r="R1965" s="47"/>
      <c r="S1965" s="50"/>
      <c r="T1965" s="51"/>
      <c r="U1965" s="49"/>
      <c r="V1965" s="51"/>
      <c r="W1965" s="51"/>
      <c r="X1965" s="53"/>
      <c r="Y1965" s="50"/>
      <c r="Z1965" s="51"/>
    </row>
    <row r="1966" spans="1:26" ht="14.45" customHeight="1" x14ac:dyDescent="0.25">
      <c r="A1966" s="47">
        <v>162017</v>
      </c>
      <c r="B1966" s="78">
        <v>45148</v>
      </c>
      <c r="C1966" s="47" t="s">
        <v>73</v>
      </c>
      <c r="D1966" s="49" t="s">
        <v>311</v>
      </c>
      <c r="E1966" s="47">
        <v>133624</v>
      </c>
      <c r="F1966" s="50" t="s">
        <v>89</v>
      </c>
      <c r="G1966" s="50" t="s">
        <v>89</v>
      </c>
      <c r="H1966" s="51">
        <v>183</v>
      </c>
      <c r="I1966" s="51">
        <v>225.09</v>
      </c>
      <c r="J1966" s="51">
        <v>6.42</v>
      </c>
      <c r="K1966" s="52">
        <f>Tabela6[[#This Row],[CONSUMO]]*Tabela6[[#This Row],[VALOR UNIT]]-Tabela6[[#This Row],[DESCONTO]]</f>
        <v>949.76999999999987</v>
      </c>
      <c r="L1966" s="53">
        <f>Tabela6[[#This Row],[CUSTO TOTAL]]/Tabela6[[#This Row],[CONSUMO]]</f>
        <v>5.1899999999999995</v>
      </c>
      <c r="M1966" s="50">
        <f>Tabela6[[#This Row],[KM ATUAL]]-E1939</f>
        <v>-274330</v>
      </c>
      <c r="N1966" s="51">
        <f>Tabela6[[#This Row],[KM Rodados ]]/Tabela6[[#This Row],[CONSUMO]]</f>
        <v>-1499.0710382513662</v>
      </c>
      <c r="O1966" s="48"/>
      <c r="P1966" s="47"/>
      <c r="Q1966" s="49"/>
      <c r="R1966" s="47"/>
      <c r="S1966" s="50"/>
      <c r="T1966" s="51"/>
      <c r="U1966" s="49"/>
      <c r="V1966" s="51"/>
      <c r="W1966" s="51"/>
      <c r="X1966" s="53"/>
      <c r="Y1966" s="50"/>
      <c r="Z1966" s="51"/>
    </row>
    <row r="1967" spans="1:26" ht="14.45" customHeight="1" x14ac:dyDescent="0.25">
      <c r="A1967" s="47">
        <v>6605</v>
      </c>
      <c r="B1967" s="78">
        <v>45148</v>
      </c>
      <c r="C1967" s="47" t="s">
        <v>71</v>
      </c>
      <c r="D1967" s="49" t="s">
        <v>299</v>
      </c>
      <c r="E1967" s="47">
        <v>117125</v>
      </c>
      <c r="F1967" s="50" t="s">
        <v>89</v>
      </c>
      <c r="G1967" s="50" t="s">
        <v>89</v>
      </c>
      <c r="H1967" s="49">
        <v>471</v>
      </c>
      <c r="I1967" s="51"/>
      <c r="J1967" s="51">
        <v>4.5199999999999996</v>
      </c>
      <c r="K1967" s="51">
        <f>Tabela6[[#This Row],[CONSUMO]]*Tabela6[[#This Row],[VALOR UNIT]]-Tabela6[[#This Row],[DESCONTO]]</f>
        <v>2128.9199999999996</v>
      </c>
      <c r="L1967" s="53">
        <f>Tabela6[[#This Row],[CUSTO TOTAL]]/Tabela6[[#This Row],[CONSUMO]]</f>
        <v>4.5199999999999996</v>
      </c>
      <c r="M1967" s="50">
        <f>Tabela6[[#This Row],[KM ATUAL]]-E1885</f>
        <v>49283</v>
      </c>
      <c r="N1967" s="51">
        <f>Tabela6[[#This Row],[KM Rodados ]]/Tabela6[[#This Row],[CONSUMO]]</f>
        <v>104.63481953290871</v>
      </c>
      <c r="O1967" s="48"/>
      <c r="P1967" s="47"/>
      <c r="Q1967" s="49"/>
      <c r="R1967" s="47"/>
      <c r="S1967" s="50"/>
      <c r="T1967" s="51"/>
      <c r="U1967" s="49"/>
      <c r="V1967" s="51"/>
      <c r="W1967" s="51"/>
      <c r="X1967" s="53"/>
      <c r="Y1967" s="50"/>
      <c r="Z1967" s="51"/>
    </row>
    <row r="1968" spans="1:26" ht="14.45" customHeight="1" x14ac:dyDescent="0.25">
      <c r="A1968" s="47">
        <v>875603</v>
      </c>
      <c r="B1968" s="78">
        <v>45148</v>
      </c>
      <c r="C1968" s="47" t="s">
        <v>64</v>
      </c>
      <c r="D1968" s="49" t="s">
        <v>253</v>
      </c>
      <c r="E1968" s="47">
        <v>86921</v>
      </c>
      <c r="F1968" s="50" t="s">
        <v>89</v>
      </c>
      <c r="G1968" s="50" t="s">
        <v>89</v>
      </c>
      <c r="H1968" s="49">
        <v>161.97999999999999</v>
      </c>
      <c r="I1968" s="51"/>
      <c r="J1968" s="51">
        <v>5.09</v>
      </c>
      <c r="K1968" s="51">
        <f>Tabela6[[#This Row],[CONSUMO]]*Tabela6[[#This Row],[VALOR UNIT]]-Tabela6[[#This Row],[DESCONTO]]</f>
        <v>824.4781999999999</v>
      </c>
      <c r="L1968" s="53">
        <f>Tabela6[[#This Row],[CUSTO TOTAL]]/Tabela6[[#This Row],[CONSUMO]]</f>
        <v>5.09</v>
      </c>
      <c r="M1968" s="50">
        <f>Tabela6[[#This Row],[KM ATUAL]]-E1933</f>
        <v>-587766</v>
      </c>
      <c r="N1968" s="51">
        <f>Tabela6[[#This Row],[KM Rodados ]]/Tabela6[[#This Row],[CONSUMO]]</f>
        <v>-3628.633164588221</v>
      </c>
      <c r="O1968" s="48"/>
      <c r="P1968" s="47"/>
      <c r="Q1968" s="49"/>
      <c r="R1968" s="47"/>
      <c r="S1968" s="50"/>
      <c r="T1968" s="51"/>
      <c r="U1968" s="49"/>
      <c r="V1968" s="51"/>
      <c r="W1968" s="51"/>
      <c r="X1968" s="53"/>
      <c r="Y1968" s="50"/>
      <c r="Z1968" s="51"/>
    </row>
    <row r="1969" spans="1:26" ht="14.45" customHeight="1" x14ac:dyDescent="0.25">
      <c r="A1969" s="47">
        <v>713171</v>
      </c>
      <c r="B1969" s="78">
        <v>45148</v>
      </c>
      <c r="C1969" s="47" t="s">
        <v>13</v>
      </c>
      <c r="D1969" s="49" t="s">
        <v>264</v>
      </c>
      <c r="E1969" s="47">
        <v>640803</v>
      </c>
      <c r="F1969" s="50" t="s">
        <v>89</v>
      </c>
      <c r="G1969" s="50" t="s">
        <v>89</v>
      </c>
      <c r="H1969" s="49">
        <v>135.28299999999999</v>
      </c>
      <c r="I1969" s="51"/>
      <c r="J1969" s="51">
        <v>5.09</v>
      </c>
      <c r="K1969" s="51">
        <f>Tabela6[[#This Row],[CONSUMO]]*Tabela6[[#This Row],[VALOR UNIT]]-Tabela6[[#This Row],[DESCONTO]]</f>
        <v>688.59046999999987</v>
      </c>
      <c r="L1969" s="53">
        <f>Tabela6[[#This Row],[CUSTO TOTAL]]/Tabela6[[#This Row],[CONSUMO]]</f>
        <v>5.09</v>
      </c>
      <c r="M1969" s="50">
        <f>Tabela6[[#This Row],[KM ATUAL]]-E1962</f>
        <v>401974</v>
      </c>
      <c r="N1969" s="51">
        <f>Tabela6[[#This Row],[KM Rodados ]]/Tabela6[[#This Row],[CONSUMO]]</f>
        <v>2971.3563418907033</v>
      </c>
      <c r="O1969" s="48"/>
      <c r="P1969" s="47"/>
      <c r="Q1969" s="49"/>
      <c r="R1969" s="47"/>
      <c r="S1969" s="50"/>
      <c r="T1969" s="51"/>
      <c r="U1969" s="49"/>
      <c r="V1969" s="51"/>
      <c r="W1969" s="51"/>
      <c r="X1969" s="53"/>
      <c r="Y1969" s="50"/>
      <c r="Z1969" s="51"/>
    </row>
    <row r="1970" spans="1:26" ht="14.45" customHeight="1" x14ac:dyDescent="0.25">
      <c r="A1970" s="47" t="s">
        <v>314</v>
      </c>
      <c r="B1970" s="78">
        <v>45148</v>
      </c>
      <c r="C1970" s="47" t="s">
        <v>14</v>
      </c>
      <c r="E1970" s="47">
        <v>289231</v>
      </c>
      <c r="F1970" s="50"/>
      <c r="G1970" s="50" t="s">
        <v>244</v>
      </c>
      <c r="H1970" s="51">
        <v>39</v>
      </c>
      <c r="I1970" s="51"/>
      <c r="K1970" s="52">
        <f>Tabela6[[#This Row],[CONSUMO]]*Tabela6[[#This Row],[VALOR UNIT]]-Tabela6[[#This Row],[DESCONTO]]</f>
        <v>0</v>
      </c>
      <c r="L1970" s="53">
        <f>Tabela6[[#This Row],[CUSTO TOTAL]]/Tabela6[[#This Row],[CONSUMO]]</f>
        <v>0</v>
      </c>
      <c r="M1970" s="50">
        <f>Tabela6[[#This Row],[KM ATUAL]]-E1969</f>
        <v>-351572</v>
      </c>
      <c r="N1970" s="51">
        <f>Tabela6[[#This Row],[KM Rodados ]]/Tabela6[[#This Row],[CONSUMO]]</f>
        <v>-9014.6666666666661</v>
      </c>
      <c r="O1970" s="48"/>
      <c r="P1970" s="47"/>
      <c r="Q1970" s="49"/>
      <c r="R1970" s="47"/>
      <c r="S1970" s="50"/>
      <c r="T1970" s="51"/>
      <c r="U1970" s="49"/>
      <c r="V1970" s="51"/>
      <c r="W1970" s="51"/>
      <c r="X1970" s="53"/>
      <c r="Y1970" s="50"/>
      <c r="Z1970" s="51"/>
    </row>
    <row r="1971" spans="1:26" ht="14.45" customHeight="1" x14ac:dyDescent="0.25">
      <c r="A1971" s="47">
        <v>6605</v>
      </c>
      <c r="B1971" s="78">
        <v>45148</v>
      </c>
      <c r="C1971" s="47" t="s">
        <v>23</v>
      </c>
      <c r="D1971" s="49" t="s">
        <v>299</v>
      </c>
      <c r="E1971" s="47">
        <v>239179</v>
      </c>
      <c r="F1971" s="50" t="s">
        <v>89</v>
      </c>
      <c r="G1971" s="50" t="s">
        <v>89</v>
      </c>
      <c r="H1971" s="49">
        <v>73</v>
      </c>
      <c r="I1971" s="51"/>
      <c r="J1971" s="51">
        <v>4.5199999999999996</v>
      </c>
      <c r="K1971" s="51">
        <f>Tabela6[[#This Row],[CONSUMO]]*Tabela6[[#This Row],[VALOR UNIT]]-Tabela6[[#This Row],[DESCONTO]]</f>
        <v>329.96</v>
      </c>
      <c r="L1971" s="53">
        <f>Tabela6[[#This Row],[CUSTO TOTAL]]/Tabela6[[#This Row],[CONSUMO]]</f>
        <v>4.5199999999999996</v>
      </c>
      <c r="M1971" s="50">
        <f>Tabela6[[#This Row],[KM ATUAL]]-E1955</f>
        <v>-431618</v>
      </c>
      <c r="N1971" s="51">
        <f>Tabela6[[#This Row],[KM Rodados ]]/Tabela6[[#This Row],[CONSUMO]]</f>
        <v>-5912.5753424657532</v>
      </c>
      <c r="O1971" s="48"/>
      <c r="P1971" s="47"/>
      <c r="Q1971" s="49"/>
      <c r="R1971" s="47"/>
      <c r="S1971" s="50"/>
      <c r="T1971" s="51"/>
      <c r="U1971" s="49"/>
      <c r="V1971" s="51"/>
      <c r="W1971" s="51"/>
      <c r="X1971" s="53"/>
      <c r="Y1971" s="50"/>
      <c r="Z1971" s="51"/>
    </row>
    <row r="1972" spans="1:26" ht="14.45" customHeight="1" x14ac:dyDescent="0.25">
      <c r="A1972" s="47" t="s">
        <v>314</v>
      </c>
      <c r="B1972" s="78">
        <v>45148</v>
      </c>
      <c r="C1972" s="49" t="s">
        <v>40</v>
      </c>
      <c r="E1972" s="47">
        <v>153120</v>
      </c>
      <c r="F1972" s="50"/>
      <c r="G1972" s="50" t="s">
        <v>244</v>
      </c>
      <c r="H1972" s="51">
        <v>38.520000000000003</v>
      </c>
      <c r="I1972" s="51"/>
      <c r="K1972" s="52">
        <f>Tabela6[[#This Row],[CONSUMO]]*Tabela6[[#This Row],[VALOR UNIT]]-Tabela6[[#This Row],[DESCONTO]]</f>
        <v>0</v>
      </c>
      <c r="L1972" s="53">
        <f>Tabela6[[#This Row],[CUSTO TOTAL]]/Tabela6[[#This Row],[CONSUMO]]</f>
        <v>0</v>
      </c>
      <c r="M1972" s="50">
        <f>Tabela6[[#This Row],[KM ATUAL]]-E1971</f>
        <v>-86059</v>
      </c>
      <c r="N1972" s="51">
        <f>Tabela6[[#This Row],[KM Rodados ]]/Tabela6[[#This Row],[CONSUMO]]</f>
        <v>-2234.1381100726894</v>
      </c>
      <c r="O1972" s="48"/>
      <c r="P1972" s="47"/>
      <c r="Q1972" s="49"/>
      <c r="R1972" s="47"/>
      <c r="S1972" s="50"/>
      <c r="T1972" s="51"/>
      <c r="U1972" s="49"/>
      <c r="V1972" s="51"/>
      <c r="W1972" s="51"/>
      <c r="X1972" s="53"/>
      <c r="Y1972" s="50"/>
      <c r="Z1972" s="51"/>
    </row>
    <row r="1973" spans="1:26" ht="14.45" customHeight="1" x14ac:dyDescent="0.25">
      <c r="A1973" s="47">
        <v>6605</v>
      </c>
      <c r="B1973" s="78">
        <v>45149</v>
      </c>
      <c r="C1973" s="47" t="s">
        <v>68</v>
      </c>
      <c r="D1973" s="49" t="s">
        <v>299</v>
      </c>
      <c r="E1973" s="47">
        <v>905295</v>
      </c>
      <c r="F1973" s="50" t="s">
        <v>89</v>
      </c>
      <c r="G1973" s="51" t="s">
        <v>89</v>
      </c>
      <c r="H1973" s="49">
        <v>307</v>
      </c>
      <c r="I1973" s="51"/>
      <c r="J1973" s="51">
        <v>4.5199999999999996</v>
      </c>
      <c r="K1973" s="51">
        <f>Tabela6[[#This Row],[CONSUMO]]*Tabela6[[#This Row],[VALOR UNIT]]-Tabela6[[#This Row],[DESCONTO]]</f>
        <v>1387.6399999999999</v>
      </c>
      <c r="L1973" s="53">
        <f>Tabela6[[#This Row],[CUSTO TOTAL]]/Tabela6[[#This Row],[CONSUMO]]</f>
        <v>4.5199999999999996</v>
      </c>
      <c r="M1973" s="50">
        <f>Tabela6[[#This Row],[KM ATUAL]]-E1952</f>
        <v>678427</v>
      </c>
      <c r="N1973" s="51">
        <f>Tabela6[[#This Row],[KM Rodados ]]/Tabela6[[#This Row],[CONSUMO]]</f>
        <v>2209.8599348534203</v>
      </c>
      <c r="O1973" s="48"/>
      <c r="P1973" s="47"/>
      <c r="Q1973" s="49"/>
      <c r="R1973" s="47"/>
      <c r="S1973" s="50"/>
      <c r="T1973" s="51"/>
      <c r="U1973" s="49"/>
      <c r="V1973" s="51"/>
      <c r="W1973" s="51"/>
      <c r="X1973" s="53"/>
      <c r="Y1973" s="50"/>
      <c r="Z1973" s="51"/>
    </row>
    <row r="1974" spans="1:26" ht="14.45" customHeight="1" x14ac:dyDescent="0.25">
      <c r="A1974" s="47">
        <v>6605</v>
      </c>
      <c r="B1974" s="78">
        <v>45149</v>
      </c>
      <c r="C1974" s="47" t="s">
        <v>222</v>
      </c>
      <c r="D1974" s="49" t="s">
        <v>299</v>
      </c>
      <c r="E1974" s="47">
        <v>492319</v>
      </c>
      <c r="F1974" s="50" t="s">
        <v>89</v>
      </c>
      <c r="G1974" s="50" t="s">
        <v>89</v>
      </c>
      <c r="H1974" s="49">
        <v>330</v>
      </c>
      <c r="I1974" s="51"/>
      <c r="J1974" s="51">
        <v>4.5199999999999996</v>
      </c>
      <c r="K1974" s="53">
        <f>Tabela6[[#This Row],[CONSUMO]]*Tabela6[[#This Row],[VALOR UNIT]]-Tabela6[[#This Row],[DESCONTO]]</f>
        <v>1491.6</v>
      </c>
      <c r="L1974" s="50">
        <v>0</v>
      </c>
      <c r="M1974" s="50">
        <f>Tabela6[[#This Row],[KM ATUAL]]-E1932</f>
        <v>983</v>
      </c>
      <c r="N1974" s="51">
        <f>Tabela6[[#This Row],[KM Rodados ]]/Tabela6[[#This Row],[CONSUMO]]</f>
        <v>2.978787878787879</v>
      </c>
      <c r="O1974" s="48"/>
      <c r="P1974" s="47"/>
      <c r="Q1974" s="49"/>
      <c r="R1974" s="47"/>
      <c r="S1974" s="50"/>
      <c r="T1974" s="51"/>
      <c r="U1974" s="49"/>
      <c r="V1974" s="51"/>
      <c r="W1974" s="51"/>
      <c r="X1974" s="53"/>
      <c r="Y1974" s="50"/>
      <c r="Z1974" s="51"/>
    </row>
    <row r="1975" spans="1:26" ht="14.45" customHeight="1" x14ac:dyDescent="0.25">
      <c r="A1975" s="47">
        <v>162408</v>
      </c>
      <c r="B1975" s="78">
        <v>45149</v>
      </c>
      <c r="C1975" s="47" t="s">
        <v>73</v>
      </c>
      <c r="D1975" s="49" t="s">
        <v>311</v>
      </c>
      <c r="E1975" s="47">
        <v>134355</v>
      </c>
      <c r="F1975" s="50" t="s">
        <v>89</v>
      </c>
      <c r="G1975" s="50" t="s">
        <v>89</v>
      </c>
      <c r="H1975" s="51">
        <v>160</v>
      </c>
      <c r="I1975" s="51">
        <v>171.2</v>
      </c>
      <c r="J1975" s="51">
        <v>6.42</v>
      </c>
      <c r="K1975" s="52">
        <f>Tabela6[[#This Row],[CONSUMO]]*Tabela6[[#This Row],[VALOR UNIT]]-Tabela6[[#This Row],[DESCONTO]]</f>
        <v>856</v>
      </c>
      <c r="L1975" s="53">
        <f>Tabela6[[#This Row],[CUSTO TOTAL]]/Tabela6[[#This Row],[CONSUMO]]</f>
        <v>5.35</v>
      </c>
      <c r="M1975" s="50">
        <f>Tabela6[[#This Row],[KM ATUAL]]-E1969</f>
        <v>-506448</v>
      </c>
      <c r="N1975" s="51">
        <f>Tabela6[[#This Row],[KM Rodados ]]/Tabela6[[#This Row],[CONSUMO]]</f>
        <v>-3165.3</v>
      </c>
      <c r="O1975" s="48"/>
      <c r="P1975" s="47"/>
      <c r="Q1975" s="49"/>
      <c r="R1975" s="47"/>
      <c r="S1975" s="50"/>
      <c r="T1975" s="51"/>
      <c r="U1975" s="49"/>
      <c r="V1975" s="51"/>
      <c r="W1975" s="51"/>
      <c r="X1975" s="53"/>
      <c r="Y1975" s="50"/>
      <c r="Z1975" s="51"/>
    </row>
    <row r="1976" spans="1:26" ht="14.45" customHeight="1" x14ac:dyDescent="0.25">
      <c r="A1976" s="47">
        <v>647804</v>
      </c>
      <c r="B1976" s="78">
        <v>45149</v>
      </c>
      <c r="C1976" s="47" t="s">
        <v>13</v>
      </c>
      <c r="D1976" s="49" t="s">
        <v>271</v>
      </c>
      <c r="E1976" s="116">
        <v>641273</v>
      </c>
      <c r="F1976" s="50" t="s">
        <v>89</v>
      </c>
      <c r="G1976" s="50" t="s">
        <v>89</v>
      </c>
      <c r="H1976" s="49">
        <v>79.010999999999996</v>
      </c>
      <c r="I1976" s="51"/>
      <c r="J1976" s="51">
        <v>4.8899999999999997</v>
      </c>
      <c r="K1976" s="51">
        <f>Tabela6[[#This Row],[CONSUMO]]*Tabela6[[#This Row],[VALOR UNIT]]-Tabela6[[#This Row],[DESCONTO]]</f>
        <v>386.36378999999994</v>
      </c>
      <c r="L1976" s="53">
        <f>Tabela6[[#This Row],[CUSTO TOTAL]]/Tabela6[[#This Row],[CONSUMO]]</f>
        <v>4.8899999999999997</v>
      </c>
      <c r="M1976" s="50">
        <f>Tabela6[[#This Row],[KM ATUAL]]-E1970</f>
        <v>352042</v>
      </c>
      <c r="N1976" s="51">
        <f>Tabela6[[#This Row],[KM Rodados ]]/Tabela6[[#This Row],[CONSUMO]]</f>
        <v>4455.6074470643334</v>
      </c>
      <c r="O1976" s="48"/>
      <c r="P1976" s="47"/>
      <c r="Q1976" s="49"/>
      <c r="R1976" s="47"/>
      <c r="S1976" s="50"/>
      <c r="T1976" s="51"/>
      <c r="U1976" s="49"/>
      <c r="V1976" s="51"/>
      <c r="W1976" s="51"/>
      <c r="X1976" s="53"/>
      <c r="Y1976" s="50"/>
      <c r="Z1976" s="51"/>
    </row>
    <row r="1977" spans="1:26" ht="14.45" customHeight="1" x14ac:dyDescent="0.25">
      <c r="A1977" s="47" t="s">
        <v>314</v>
      </c>
      <c r="B1977" s="78">
        <v>45149</v>
      </c>
      <c r="C1977" s="47" t="s">
        <v>14</v>
      </c>
      <c r="E1977" s="47">
        <v>289870</v>
      </c>
      <c r="F1977" s="50"/>
      <c r="G1977" s="50" t="s">
        <v>244</v>
      </c>
      <c r="H1977" s="51">
        <v>41</v>
      </c>
      <c r="I1977" s="51"/>
      <c r="K1977" s="52">
        <f>Tabela6[[#This Row],[CONSUMO]]*Tabela6[[#This Row],[VALOR UNIT]]-Tabela6[[#This Row],[DESCONTO]]</f>
        <v>0</v>
      </c>
      <c r="L1977" s="53">
        <f>Tabela6[[#This Row],[CUSTO TOTAL]]/Tabela6[[#This Row],[CONSUMO]]</f>
        <v>0</v>
      </c>
      <c r="M1977" s="50">
        <f>Tabela6[[#This Row],[KM ATUAL]]-E1976</f>
        <v>-351403</v>
      </c>
      <c r="N1977" s="51">
        <f>Tabela6[[#This Row],[KM Rodados ]]/Tabela6[[#This Row],[CONSUMO]]</f>
        <v>-8570.8048780487807</v>
      </c>
      <c r="O1977" s="48"/>
      <c r="P1977" s="47"/>
      <c r="Q1977" s="49"/>
      <c r="R1977" s="47"/>
      <c r="S1977" s="50"/>
      <c r="T1977" s="51"/>
      <c r="U1977" s="49"/>
      <c r="V1977" s="51"/>
      <c r="W1977" s="51"/>
      <c r="X1977" s="53"/>
      <c r="Y1977" s="50"/>
      <c r="Z1977" s="51"/>
    </row>
    <row r="1978" spans="1:26" ht="14.45" customHeight="1" x14ac:dyDescent="0.25">
      <c r="A1978" s="47" t="s">
        <v>314</v>
      </c>
      <c r="B1978" s="78">
        <v>45149</v>
      </c>
      <c r="C1978" s="47" t="s">
        <v>15</v>
      </c>
      <c r="E1978" s="47">
        <v>378392</v>
      </c>
      <c r="F1978" s="50"/>
      <c r="G1978" s="50" t="s">
        <v>89</v>
      </c>
      <c r="H1978" s="51">
        <v>124</v>
      </c>
      <c r="I1978" s="51"/>
      <c r="K1978" s="52">
        <f>Tabela6[[#This Row],[CONSUMO]]*Tabela6[[#This Row],[VALOR UNIT]]-Tabela6[[#This Row],[DESCONTO]]</f>
        <v>0</v>
      </c>
      <c r="L1978" s="53">
        <f>Tabela6[[#This Row],[CUSTO TOTAL]]/Tabela6[[#This Row],[CONSUMO]]</f>
        <v>0</v>
      </c>
      <c r="M1978" s="50">
        <f>Tabela6[[#This Row],[KM ATUAL]]-E1937</f>
        <v>158662</v>
      </c>
      <c r="N1978" s="51">
        <f>Tabela6[[#This Row],[KM Rodados ]]/Tabela6[[#This Row],[CONSUMO]]</f>
        <v>1279.5322580645161</v>
      </c>
      <c r="O1978" s="48"/>
      <c r="P1978" s="47"/>
      <c r="Q1978" s="49"/>
      <c r="R1978" s="47"/>
      <c r="S1978" s="50"/>
      <c r="T1978" s="51"/>
      <c r="U1978" s="49"/>
      <c r="V1978" s="51"/>
      <c r="W1978" s="51"/>
      <c r="X1978" s="53"/>
      <c r="Y1978" s="50"/>
      <c r="Z1978" s="51"/>
    </row>
    <row r="1979" spans="1:26" ht="14.45" customHeight="1" x14ac:dyDescent="0.25">
      <c r="A1979" s="47">
        <v>6605</v>
      </c>
      <c r="B1979" s="78">
        <v>45149</v>
      </c>
      <c r="C1979" s="47" t="s">
        <v>17</v>
      </c>
      <c r="D1979" s="49" t="s">
        <v>299</v>
      </c>
      <c r="E1979" s="47">
        <v>365126</v>
      </c>
      <c r="F1979" s="50" t="s">
        <v>89</v>
      </c>
      <c r="G1979" s="50" t="s">
        <v>89</v>
      </c>
      <c r="H1979" s="51">
        <v>90</v>
      </c>
      <c r="I1979" s="51"/>
      <c r="J1979" s="51">
        <v>4.9000000000000004</v>
      </c>
      <c r="K1979" s="51">
        <f>Tabela6[[#This Row],[CONSUMO]]*Tabela6[[#This Row],[VALOR UNIT]]-Tabela6[[#This Row],[DESCONTO]]</f>
        <v>441.00000000000006</v>
      </c>
      <c r="L1979" s="53">
        <f>Tabela6[[#This Row],[CUSTO TOTAL]]/Tabela6[[#This Row],[CONSUMO]]</f>
        <v>4.9000000000000004</v>
      </c>
      <c r="M1979" s="50">
        <f>Tabela6[[#This Row],[KM ATUAL]]-E1959</f>
        <v>224</v>
      </c>
      <c r="N1979" s="51">
        <f>Tabela6[[#This Row],[KM Rodados ]]/Tabela6[[#This Row],[CONSUMO]]</f>
        <v>2.4888888888888889</v>
      </c>
      <c r="O1979" s="48"/>
      <c r="P1979" s="47"/>
      <c r="Q1979" s="49"/>
      <c r="R1979" s="47"/>
      <c r="S1979" s="50"/>
      <c r="T1979" s="51"/>
      <c r="U1979" s="49"/>
      <c r="V1979" s="51"/>
      <c r="W1979" s="51"/>
      <c r="X1979" s="53"/>
      <c r="Y1979" s="50"/>
      <c r="Z1979" s="51"/>
    </row>
    <row r="1980" spans="1:26" ht="14.45" customHeight="1" x14ac:dyDescent="0.25">
      <c r="A1980" s="47">
        <v>6605</v>
      </c>
      <c r="B1980" s="78">
        <v>45149</v>
      </c>
      <c r="C1980" s="47" t="s">
        <v>19</v>
      </c>
      <c r="D1980" s="49" t="s">
        <v>299</v>
      </c>
      <c r="E1980" s="47">
        <v>321230</v>
      </c>
      <c r="F1980" s="50" t="s">
        <v>89</v>
      </c>
      <c r="G1980" s="50" t="s">
        <v>89</v>
      </c>
      <c r="H1980" s="51">
        <v>77</v>
      </c>
      <c r="I1980" s="51"/>
      <c r="J1980" s="51">
        <v>4.5199999999999996</v>
      </c>
      <c r="K1980" s="51">
        <f>Tabela6[[#This Row],[CONSUMO]]*Tabela6[[#This Row],[VALOR UNIT]]-Tabela6[[#This Row],[DESCONTO]]</f>
        <v>348.03999999999996</v>
      </c>
      <c r="L1980" s="53">
        <f>Tabela6[[#This Row],[CUSTO TOTAL]]/Tabela6[[#This Row],[CONSUMO]]</f>
        <v>4.5199999999999996</v>
      </c>
      <c r="M1980" s="50">
        <f>Tabela6[[#This Row],[KM ATUAL]]-E1962</f>
        <v>82401</v>
      </c>
      <c r="N1980" s="51">
        <f>Tabela6[[#This Row],[KM Rodados ]]/Tabela6[[#This Row],[CONSUMO]]</f>
        <v>1070.1428571428571</v>
      </c>
      <c r="O1980" s="48"/>
      <c r="P1980" s="47"/>
      <c r="Q1980" s="49"/>
      <c r="R1980" s="47"/>
      <c r="S1980" s="50"/>
      <c r="T1980" s="51"/>
      <c r="U1980" s="49"/>
      <c r="V1980" s="51"/>
      <c r="W1980" s="51"/>
      <c r="X1980" s="53"/>
      <c r="Y1980" s="50"/>
      <c r="Z1980" s="51"/>
    </row>
    <row r="1981" spans="1:26" ht="14.45" customHeight="1" x14ac:dyDescent="0.25">
      <c r="A1981" s="47">
        <v>6605</v>
      </c>
      <c r="B1981" s="78">
        <v>45149</v>
      </c>
      <c r="C1981" s="47" t="s">
        <v>20</v>
      </c>
      <c r="D1981" s="49" t="s">
        <v>299</v>
      </c>
      <c r="E1981" s="119">
        <v>265081</v>
      </c>
      <c r="F1981" s="50" t="s">
        <v>89</v>
      </c>
      <c r="G1981" s="50" t="s">
        <v>89</v>
      </c>
      <c r="H1981" s="49">
        <v>18.5</v>
      </c>
      <c r="I1981" s="51"/>
      <c r="J1981" s="51">
        <v>4.5199999999999996</v>
      </c>
      <c r="K1981" s="52">
        <f>Tabela6[[#This Row],[CONSUMO]]*Tabela6[[#This Row],[VALOR UNIT]]-Tabela6[[#This Row],[DESCONTO]]</f>
        <v>83.61999999999999</v>
      </c>
      <c r="L1981" s="53">
        <f>Tabela6[[#This Row],[CUSTO TOTAL]]/Tabela6[[#This Row],[CONSUMO]]</f>
        <v>4.5199999999999996</v>
      </c>
      <c r="M1981" s="50">
        <f>Tabela6[[#This Row],[KM ATUAL]]-E1966</f>
        <v>131457</v>
      </c>
      <c r="N1981" s="51">
        <f>Tabela6[[#This Row],[KM Rodados ]]/Tabela6[[#This Row],[CONSUMO]]</f>
        <v>7105.7837837837842</v>
      </c>
      <c r="O1981" s="48"/>
      <c r="P1981" s="47"/>
      <c r="Q1981" s="49"/>
      <c r="R1981" s="47"/>
      <c r="S1981" s="50"/>
      <c r="T1981" s="51"/>
      <c r="U1981" s="49"/>
      <c r="V1981" s="51"/>
      <c r="W1981" s="51"/>
      <c r="X1981" s="53"/>
      <c r="Y1981" s="50"/>
      <c r="Z1981" s="51"/>
    </row>
    <row r="1982" spans="1:26" ht="14.45" customHeight="1" x14ac:dyDescent="0.25">
      <c r="A1982" s="47" t="s">
        <v>314</v>
      </c>
      <c r="B1982" s="78">
        <v>45150</v>
      </c>
      <c r="C1982" s="47" t="s">
        <v>43</v>
      </c>
      <c r="E1982" s="47">
        <v>140293</v>
      </c>
      <c r="F1982" s="50"/>
      <c r="G1982" s="51" t="s">
        <v>89</v>
      </c>
      <c r="H1982" s="49">
        <v>45.23</v>
      </c>
      <c r="I1982" s="51"/>
      <c r="K1982" s="53">
        <f>Tabela6[[#This Row],[CONSUMO]]*Tabela6[[#This Row],[VALOR UNIT]]-Tabela6[[#This Row],[DESCONTO]]</f>
        <v>0</v>
      </c>
      <c r="L1982" s="50">
        <f>Tabela6[[#This Row],[CUSTO TOTAL]]/Tabela6[[#This Row],[CONSUMO]]</f>
        <v>0</v>
      </c>
      <c r="M1982" s="51">
        <f>Tabela6[[#This Row],[KM ATUAL]]-E1957</f>
        <v>-896487</v>
      </c>
      <c r="N1982" s="51">
        <f>Tabela6[[#This Row],[KM Rodados ]]/Tabela6[[#This Row],[CONSUMO]]</f>
        <v>-19820.627901835065</v>
      </c>
      <c r="O1982" s="48"/>
      <c r="P1982" s="47"/>
      <c r="Q1982" s="49"/>
      <c r="R1982" s="47"/>
      <c r="S1982" s="50"/>
      <c r="T1982" s="51"/>
      <c r="U1982" s="49"/>
      <c r="V1982" s="51"/>
      <c r="W1982" s="51"/>
      <c r="X1982" s="53"/>
      <c r="Y1982" s="50"/>
      <c r="Z1982" s="51"/>
    </row>
    <row r="1983" spans="1:26" ht="14.45" customHeight="1" x14ac:dyDescent="0.25">
      <c r="A1983" s="47" t="s">
        <v>314</v>
      </c>
      <c r="B1983" s="78">
        <v>45150</v>
      </c>
      <c r="C1983" s="47" t="s">
        <v>203</v>
      </c>
      <c r="E1983" s="47">
        <v>107401</v>
      </c>
      <c r="G1983" s="50" t="s">
        <v>244</v>
      </c>
      <c r="H1983" s="51">
        <v>38.520000000000003</v>
      </c>
      <c r="K1983" s="52">
        <f>Tabela6[[#This Row],[CONSUMO]]*Tabela6[[#This Row],[VALOR UNIT]]-Tabela6[[#This Row],[DESCONTO]]</f>
        <v>0</v>
      </c>
      <c r="L1983" s="53">
        <f>Tabela6[[#This Row],[CUSTO TOTAL]]/Tabela6[[#This Row],[CONSUMO]]</f>
        <v>0</v>
      </c>
      <c r="M1983" s="50">
        <f>Tabela6[[#This Row],[KM ATUAL]]-E1982</f>
        <v>-32892</v>
      </c>
      <c r="N1983" s="51">
        <f>Tabela6[[#This Row],[KM Rodados ]]/Tabela6[[#This Row],[CONSUMO]]</f>
        <v>-853.89408099688467</v>
      </c>
      <c r="O1983" s="48"/>
      <c r="P1983" s="47"/>
      <c r="Q1983" s="49"/>
      <c r="R1983" s="47"/>
      <c r="S1983" s="50"/>
      <c r="T1983" s="51"/>
      <c r="U1983" s="49"/>
      <c r="V1983" s="51"/>
      <c r="W1983" s="51"/>
      <c r="X1983" s="53"/>
      <c r="Y1983" s="50"/>
      <c r="Z1983" s="51"/>
    </row>
    <row r="1984" spans="1:26" ht="14.45" customHeight="1" x14ac:dyDescent="0.25">
      <c r="A1984" s="47" t="s">
        <v>314</v>
      </c>
      <c r="B1984" s="78">
        <v>45150</v>
      </c>
      <c r="C1984" s="47" t="s">
        <v>14</v>
      </c>
      <c r="E1984" s="47">
        <v>290303</v>
      </c>
      <c r="F1984" s="50"/>
      <c r="G1984" s="50" t="s">
        <v>244</v>
      </c>
      <c r="H1984" s="51">
        <v>35</v>
      </c>
      <c r="I1984" s="51"/>
      <c r="K1984" s="52">
        <f>Tabela6[[#This Row],[CONSUMO]]*Tabela6[[#This Row],[VALOR UNIT]]-Tabela6[[#This Row],[DESCONTO]]</f>
        <v>0</v>
      </c>
      <c r="L1984" s="53">
        <f>Tabela6[[#This Row],[CUSTO TOTAL]]/Tabela6[[#This Row],[CONSUMO]]</f>
        <v>0</v>
      </c>
      <c r="M1984" s="50">
        <f>Tabela6[[#This Row],[KM ATUAL]]-E1983</f>
        <v>182902</v>
      </c>
      <c r="N1984" s="51">
        <f>Tabela6[[#This Row],[KM Rodados ]]/Tabela6[[#This Row],[CONSUMO]]</f>
        <v>5225.7714285714283</v>
      </c>
      <c r="O1984" s="48"/>
      <c r="P1984" s="47"/>
      <c r="Q1984" s="49"/>
      <c r="R1984" s="47"/>
      <c r="S1984" s="50"/>
      <c r="T1984" s="51"/>
      <c r="U1984" s="49"/>
      <c r="V1984" s="51"/>
      <c r="W1984" s="51"/>
      <c r="X1984" s="53"/>
      <c r="Y1984" s="50"/>
      <c r="Z1984" s="51"/>
    </row>
    <row r="1985" spans="1:26" ht="14.45" customHeight="1" x14ac:dyDescent="0.25">
      <c r="A1985" s="47" t="s">
        <v>314</v>
      </c>
      <c r="B1985" s="78">
        <v>45151</v>
      </c>
      <c r="C1985" s="47" t="s">
        <v>67</v>
      </c>
      <c r="E1985" s="47">
        <v>675629</v>
      </c>
      <c r="F1985" s="50"/>
      <c r="G1985" s="51" t="s">
        <v>89</v>
      </c>
      <c r="H1985" s="51">
        <v>142</v>
      </c>
      <c r="I1985" s="51"/>
      <c r="K1985" s="53">
        <f>Tabela6[[#This Row],[CONSUMO]]*Tabela6[[#This Row],[VALOR UNIT]]-Tabela6[[#This Row],[DESCONTO]]</f>
        <v>0</v>
      </c>
      <c r="L1985" s="53">
        <f>Tabela6[[#This Row],[CUSTO TOTAL]]/Tabela6[[#This Row],[CONSUMO]]</f>
        <v>0</v>
      </c>
      <c r="M1985" s="50">
        <f>Tabela6[[#This Row],[KM ATUAL]]-E1966</f>
        <v>542005</v>
      </c>
      <c r="N1985" s="51">
        <f>Tabela6[[#This Row],[KM Rodados ]]/Tabela6[[#This Row],[CONSUMO]]</f>
        <v>3816.9366197183099</v>
      </c>
      <c r="O1985" s="48"/>
      <c r="P1985" s="47"/>
      <c r="Q1985" s="49"/>
      <c r="R1985" s="47"/>
      <c r="S1985" s="50"/>
      <c r="T1985" s="51"/>
      <c r="U1985" s="49"/>
      <c r="V1985" s="51"/>
      <c r="W1985" s="51"/>
      <c r="X1985" s="53"/>
      <c r="Y1985" s="50"/>
      <c r="Z1985" s="51"/>
    </row>
    <row r="1986" spans="1:26" ht="14.45" customHeight="1" x14ac:dyDescent="0.25">
      <c r="A1986" s="47" t="s">
        <v>314</v>
      </c>
      <c r="B1986" s="78">
        <v>45151</v>
      </c>
      <c r="C1986" s="47" t="s">
        <v>70</v>
      </c>
      <c r="E1986" s="47">
        <v>220899</v>
      </c>
      <c r="F1986" s="50"/>
      <c r="G1986" s="50" t="s">
        <v>89</v>
      </c>
      <c r="H1986" s="51">
        <v>509</v>
      </c>
      <c r="I1986" s="51"/>
      <c r="K1986" s="52">
        <f>Tabela6[[#This Row],[CONSUMO]]*Tabela6[[#This Row],[VALOR UNIT]]-Tabela6[[#This Row],[DESCONTO]]</f>
        <v>0</v>
      </c>
      <c r="L1986" s="53">
        <f>Tabela6[[#This Row],[CUSTO TOTAL]]/Tabela6[[#This Row],[CONSUMO]]</f>
        <v>0</v>
      </c>
      <c r="M1986" s="50">
        <f>Tabela6[[#This Row],[KM ATUAL]]-E1945</f>
        <v>-102072</v>
      </c>
      <c r="N1986" s="51">
        <f>Tabela6[[#This Row],[KM Rodados ]]/Tabela6[[#This Row],[CONSUMO]]</f>
        <v>-200.5343811394892</v>
      </c>
      <c r="O1986" s="48"/>
      <c r="P1986" s="47"/>
      <c r="Q1986" s="49"/>
      <c r="R1986" s="47"/>
      <c r="S1986" s="50"/>
      <c r="T1986" s="51"/>
      <c r="U1986" s="49"/>
      <c r="V1986" s="51"/>
      <c r="W1986" s="51"/>
      <c r="X1986" s="53"/>
      <c r="Y1986" s="50"/>
      <c r="Z1986" s="51"/>
    </row>
    <row r="1987" spans="1:26" ht="14.45" customHeight="1" x14ac:dyDescent="0.25">
      <c r="A1987" s="47">
        <v>345732</v>
      </c>
      <c r="B1987" s="78">
        <v>45151</v>
      </c>
      <c r="C1987" s="47" t="s">
        <v>19</v>
      </c>
      <c r="D1987" s="49" t="s">
        <v>237</v>
      </c>
      <c r="E1987" s="47">
        <v>321451</v>
      </c>
      <c r="F1987" s="50" t="s">
        <v>89</v>
      </c>
      <c r="G1987" s="50" t="s">
        <v>89</v>
      </c>
      <c r="H1987" s="51">
        <v>40</v>
      </c>
      <c r="I1987" s="51">
        <v>42</v>
      </c>
      <c r="J1987" s="51">
        <v>5.86</v>
      </c>
      <c r="K1987" s="51">
        <f>Tabela6[[#This Row],[CONSUMO]]*Tabela6[[#This Row],[VALOR UNIT]]-Tabela6[[#This Row],[DESCONTO]]</f>
        <v>192.4</v>
      </c>
      <c r="L1987" s="53">
        <f>Tabela6[[#This Row],[CUSTO TOTAL]]/Tabela6[[#This Row],[CONSUMO]]</f>
        <v>4.8100000000000005</v>
      </c>
      <c r="M1987" s="50">
        <f>Tabela6[[#This Row],[KM ATUAL]]-E1981</f>
        <v>56370</v>
      </c>
      <c r="N1987" s="51">
        <f>Tabela6[[#This Row],[KM Rodados ]]/Tabela6[[#This Row],[CONSUMO]]</f>
        <v>1409.25</v>
      </c>
      <c r="O1987" s="48"/>
      <c r="P1987" s="47"/>
      <c r="Q1987" s="49"/>
      <c r="R1987" s="47"/>
      <c r="S1987" s="50"/>
      <c r="T1987" s="51"/>
      <c r="U1987" s="49"/>
      <c r="V1987" s="51"/>
      <c r="W1987" s="51"/>
      <c r="X1987" s="53"/>
      <c r="Y1987" s="50"/>
      <c r="Z1987" s="51"/>
    </row>
    <row r="1988" spans="1:26" ht="14.45" customHeight="1" x14ac:dyDescent="0.25">
      <c r="A1988" s="47">
        <v>6693</v>
      </c>
      <c r="B1988" s="78">
        <v>45152</v>
      </c>
      <c r="C1988" s="47" t="s">
        <v>43</v>
      </c>
      <c r="D1988" s="49" t="s">
        <v>299</v>
      </c>
      <c r="E1988" s="47">
        <v>140609</v>
      </c>
      <c r="F1988" s="50" t="s">
        <v>89</v>
      </c>
      <c r="G1988" s="51" t="s">
        <v>89</v>
      </c>
      <c r="H1988" s="49">
        <v>38</v>
      </c>
      <c r="I1988" s="51"/>
      <c r="J1988" s="51">
        <v>4.9000000000000004</v>
      </c>
      <c r="K1988" s="53">
        <f>Tabela6[[#This Row],[CONSUMO]]*Tabela6[[#This Row],[VALOR UNIT]]-Tabela6[[#This Row],[DESCONTO]]</f>
        <v>186.20000000000002</v>
      </c>
      <c r="L1988" s="50">
        <v>0</v>
      </c>
      <c r="M1988" s="51">
        <f>Tabela6[[#This Row],[KM ATUAL]]-E1979</f>
        <v>-224517</v>
      </c>
      <c r="N1988" s="51">
        <f>Tabela6[[#This Row],[KM Rodados ]]/Tabela6[[#This Row],[CONSUMO]]</f>
        <v>-5908.3421052631575</v>
      </c>
      <c r="O1988" s="48"/>
      <c r="P1988" s="47"/>
      <c r="Q1988" s="49"/>
      <c r="R1988" s="47"/>
      <c r="S1988" s="50"/>
      <c r="T1988" s="51"/>
      <c r="U1988" s="49"/>
      <c r="V1988" s="51"/>
      <c r="W1988" s="51"/>
      <c r="X1988" s="53"/>
      <c r="Y1988" s="50"/>
      <c r="Z1988" s="51"/>
    </row>
    <row r="1989" spans="1:26" ht="14.45" customHeight="1" x14ac:dyDescent="0.25">
      <c r="A1989" s="47">
        <v>6693</v>
      </c>
      <c r="B1989" s="78">
        <v>45152</v>
      </c>
      <c r="C1989" s="47" t="s">
        <v>22</v>
      </c>
      <c r="D1989" s="49" t="s">
        <v>299</v>
      </c>
      <c r="E1989" s="47">
        <v>333030</v>
      </c>
      <c r="F1989" s="50" t="s">
        <v>89</v>
      </c>
      <c r="G1989" s="51" t="s">
        <v>89</v>
      </c>
      <c r="H1989" s="49">
        <v>142</v>
      </c>
      <c r="I1989" s="51"/>
      <c r="J1989" s="51">
        <v>4.9000000000000004</v>
      </c>
      <c r="K1989" s="53">
        <f>Tabela6[[#This Row],[CONSUMO]]*Tabela6[[#This Row],[VALOR UNIT]]-Tabela6[[#This Row],[DESCONTO]]</f>
        <v>695.80000000000007</v>
      </c>
      <c r="L1989" s="50">
        <v>0</v>
      </c>
      <c r="M1989" s="50">
        <f>Tabela6[[#This Row],[KM ATUAL]]-E1940</f>
        <v>200247</v>
      </c>
      <c r="N1989" s="51">
        <f>Tabela6[[#This Row],[KM Rodados ]]/Tabela6[[#This Row],[CONSUMO]]</f>
        <v>1410.1901408450703</v>
      </c>
      <c r="O1989" s="48"/>
      <c r="P1989" s="47"/>
      <c r="Q1989" s="49"/>
      <c r="R1989" s="47"/>
      <c r="S1989" s="50"/>
      <c r="T1989" s="51"/>
      <c r="U1989" s="49"/>
      <c r="V1989" s="51"/>
      <c r="W1989" s="51"/>
      <c r="X1989" s="53"/>
      <c r="Y1989" s="50"/>
      <c r="Z1989" s="51"/>
    </row>
    <row r="1990" spans="1:26" ht="14.45" customHeight="1" x14ac:dyDescent="0.25">
      <c r="A1990" s="47">
        <v>200893</v>
      </c>
      <c r="B1990" s="78">
        <v>45152</v>
      </c>
      <c r="C1990" s="47" t="s">
        <v>39</v>
      </c>
      <c r="D1990" s="49" t="s">
        <v>262</v>
      </c>
      <c r="E1990" s="47">
        <v>96832</v>
      </c>
      <c r="F1990" s="50" t="s">
        <v>89</v>
      </c>
      <c r="G1990" s="50" t="s">
        <v>89</v>
      </c>
      <c r="H1990" s="51">
        <v>101</v>
      </c>
      <c r="I1990" s="51"/>
      <c r="J1990" s="51">
        <v>4.83</v>
      </c>
      <c r="K1990" s="53">
        <f>Tabela6[[#This Row],[CONSUMO]]*Tabela6[[#This Row],[VALOR UNIT]]-Tabela6[[#This Row],[DESCONTO]]</f>
        <v>487.83</v>
      </c>
      <c r="L1990" s="50">
        <v>4.83</v>
      </c>
      <c r="M1990" s="50">
        <f>Tabela6[[#This Row],[KM ATUAL]]-E1947</f>
        <v>-167743</v>
      </c>
      <c r="N1990" s="51">
        <f>Tabela6[[#This Row],[KM Rodados ]]/Tabela6[[#This Row],[CONSUMO]]</f>
        <v>-1660.8217821782177</v>
      </c>
      <c r="O1990" s="48"/>
      <c r="P1990" s="47"/>
      <c r="Q1990" s="49"/>
      <c r="R1990" s="47"/>
      <c r="S1990" s="50"/>
      <c r="T1990" s="51"/>
      <c r="U1990" s="49"/>
      <c r="V1990" s="51"/>
      <c r="W1990" s="51"/>
      <c r="X1990" s="53"/>
      <c r="Y1990" s="50"/>
      <c r="Z1990" s="51"/>
    </row>
    <row r="1991" spans="1:26" ht="14.45" customHeight="1" x14ac:dyDescent="0.25">
      <c r="A1991" s="47">
        <v>6693</v>
      </c>
      <c r="B1991" s="78">
        <v>45152</v>
      </c>
      <c r="C1991" s="47" t="s">
        <v>39</v>
      </c>
      <c r="D1991" s="49" t="s">
        <v>299</v>
      </c>
      <c r="E1991" s="47">
        <v>97188</v>
      </c>
      <c r="F1991" s="50" t="s">
        <v>89</v>
      </c>
      <c r="G1991" s="50" t="s">
        <v>89</v>
      </c>
      <c r="H1991" s="51">
        <v>66</v>
      </c>
      <c r="I1991" s="51"/>
      <c r="J1991" s="51">
        <v>4.9000000000000004</v>
      </c>
      <c r="K1991" s="53">
        <f>Tabela6[[#This Row],[CONSUMO]]*Tabela6[[#This Row],[VALOR UNIT]]-Tabela6[[#This Row],[DESCONTO]]</f>
        <v>323.40000000000003</v>
      </c>
      <c r="L1991" s="50">
        <v>0</v>
      </c>
      <c r="M1991" s="50">
        <f>Tabela6[[#This Row],[KM ATUAL]]-E1981</f>
        <v>-167893</v>
      </c>
      <c r="N1991" s="51">
        <f>Tabela6[[#This Row],[KM Rodados ]]/Tabela6[[#This Row],[CONSUMO]]</f>
        <v>-2543.8333333333335</v>
      </c>
      <c r="O1991" s="48"/>
      <c r="P1991" s="47"/>
      <c r="Q1991" s="49"/>
      <c r="R1991" s="47"/>
      <c r="S1991" s="50"/>
      <c r="T1991" s="51"/>
      <c r="U1991" s="49"/>
      <c r="V1991" s="51"/>
      <c r="W1991" s="51"/>
      <c r="X1991" s="53"/>
      <c r="Y1991" s="50"/>
      <c r="Z1991" s="51"/>
    </row>
    <row r="1992" spans="1:26" ht="14.45" customHeight="1" x14ac:dyDescent="0.25">
      <c r="A1992" s="47">
        <v>322092</v>
      </c>
      <c r="B1992" s="78">
        <v>45152</v>
      </c>
      <c r="C1992" s="47" t="s">
        <v>203</v>
      </c>
      <c r="D1992" s="49" t="s">
        <v>276</v>
      </c>
      <c r="E1992" s="47">
        <v>107844</v>
      </c>
      <c r="F1992" s="50" t="s">
        <v>244</v>
      </c>
      <c r="G1992" s="50" t="s">
        <v>244</v>
      </c>
      <c r="H1992" s="50">
        <v>43.831000000000003</v>
      </c>
      <c r="I1992" s="51"/>
      <c r="J1992" s="51">
        <v>5.49</v>
      </c>
      <c r="K1992" s="52">
        <f>Tabela6[[#This Row],[CONSUMO]]*Tabela6[[#This Row],[VALOR UNIT]]-Tabela6[[#This Row],[DESCONTO]]</f>
        <v>240.63219000000004</v>
      </c>
      <c r="L1992" s="53">
        <f>Tabela6[[#This Row],[CUSTO TOTAL]]/Tabela6[[#This Row],[CONSUMO]]</f>
        <v>5.49</v>
      </c>
      <c r="M1992" s="50">
        <f>Tabela6[[#This Row],[KM ATUAL]]-E1991</f>
        <v>10656</v>
      </c>
      <c r="N1992" s="51">
        <f>Tabela6[[#This Row],[KM Rodados ]]/Tabela6[[#This Row],[CONSUMO]]</f>
        <v>243.11560311195271</v>
      </c>
      <c r="O1992" s="48"/>
      <c r="P1992" s="47"/>
      <c r="Q1992" s="49"/>
      <c r="R1992" s="47"/>
      <c r="S1992" s="50"/>
      <c r="T1992" s="51"/>
      <c r="U1992" s="49"/>
      <c r="V1992" s="51"/>
      <c r="W1992" s="51"/>
      <c r="X1992" s="53"/>
      <c r="Y1992" s="50"/>
      <c r="Z1992" s="51"/>
    </row>
    <row r="1993" spans="1:26" ht="14.45" customHeight="1" x14ac:dyDescent="0.25">
      <c r="A1993" s="47">
        <v>12289</v>
      </c>
      <c r="B1993" s="78">
        <v>45152</v>
      </c>
      <c r="C1993" s="47" t="s">
        <v>72</v>
      </c>
      <c r="D1993" s="49" t="s">
        <v>253</v>
      </c>
      <c r="E1993" s="47">
        <v>409051</v>
      </c>
      <c r="F1993" s="50" t="s">
        <v>89</v>
      </c>
      <c r="G1993" s="50" t="s">
        <v>89</v>
      </c>
      <c r="H1993" s="49">
        <v>49.5</v>
      </c>
      <c r="I1993" s="51"/>
      <c r="J1993" s="51">
        <v>5.19</v>
      </c>
      <c r="K1993" s="51">
        <f>Tabela6[[#This Row],[CONSUMO]]*Tabela6[[#This Row],[VALOR UNIT]]-Tabela6[[#This Row],[DESCONTO]]</f>
        <v>256.90500000000003</v>
      </c>
      <c r="L1993" s="53">
        <f>Tabela6[[#This Row],[CUSTO TOTAL]]/Tabela6[[#This Row],[CONSUMO]]</f>
        <v>5.19</v>
      </c>
      <c r="M1993" s="50">
        <f>Tabela6[[#This Row],[KM ATUAL]]-E1980</f>
        <v>87821</v>
      </c>
      <c r="N1993" s="51">
        <f>Tabela6[[#This Row],[KM Rodados ]]/Tabela6[[#This Row],[CONSUMO]]</f>
        <v>1774.1616161616162</v>
      </c>
      <c r="O1993" s="48"/>
      <c r="P1993" s="47"/>
      <c r="Q1993" s="49"/>
      <c r="R1993" s="47"/>
      <c r="S1993" s="50"/>
      <c r="T1993" s="51"/>
      <c r="U1993" s="49"/>
      <c r="V1993" s="51"/>
      <c r="W1993" s="51"/>
      <c r="X1993" s="53"/>
      <c r="Y1993" s="50"/>
      <c r="Z1993" s="51"/>
    </row>
    <row r="1994" spans="1:26" ht="14.45" customHeight="1" x14ac:dyDescent="0.25">
      <c r="A1994" s="47">
        <v>6693</v>
      </c>
      <c r="B1994" s="78">
        <v>45152</v>
      </c>
      <c r="C1994" s="47" t="s">
        <v>73</v>
      </c>
      <c r="D1994" s="49" t="s">
        <v>299</v>
      </c>
      <c r="E1994" s="47">
        <v>135184</v>
      </c>
      <c r="F1994" s="50" t="s">
        <v>89</v>
      </c>
      <c r="G1994" s="50" t="s">
        <v>89</v>
      </c>
      <c r="H1994" s="51">
        <v>148</v>
      </c>
      <c r="I1994" s="51"/>
      <c r="J1994" s="51">
        <v>4.9000000000000004</v>
      </c>
      <c r="K1994" s="52">
        <f>Tabela6[[#This Row],[CONSUMO]]*Tabela6[[#This Row],[VALOR UNIT]]-Tabela6[[#This Row],[DESCONTO]]</f>
        <v>725.2</v>
      </c>
      <c r="L1994" s="53">
        <f>Tabela6[[#This Row],[CUSTO TOTAL]]/Tabela6[[#This Row],[CONSUMO]]</f>
        <v>4.9000000000000004</v>
      </c>
      <c r="M1994" s="50">
        <f>Tabela6[[#This Row],[KM ATUAL]]-E1977</f>
        <v>-154686</v>
      </c>
      <c r="N1994" s="51">
        <f>Tabela6[[#This Row],[KM Rodados ]]/Tabela6[[#This Row],[CONSUMO]]</f>
        <v>-1045.1756756756756</v>
      </c>
      <c r="O1994" s="48"/>
      <c r="P1994" s="47"/>
      <c r="Q1994" s="49"/>
      <c r="R1994" s="47"/>
      <c r="S1994" s="50"/>
      <c r="T1994" s="51"/>
      <c r="U1994" s="49"/>
      <c r="V1994" s="51"/>
      <c r="W1994" s="51"/>
      <c r="X1994" s="53"/>
      <c r="Y1994" s="50"/>
      <c r="Z1994" s="51"/>
    </row>
    <row r="1995" spans="1:26" ht="14.45" customHeight="1" x14ac:dyDescent="0.25">
      <c r="A1995" s="47">
        <v>12504</v>
      </c>
      <c r="B1995" s="78">
        <v>45152</v>
      </c>
      <c r="C1995" s="47" t="s">
        <v>64</v>
      </c>
      <c r="D1995" s="49" t="s">
        <v>253</v>
      </c>
      <c r="E1995" s="47">
        <v>87448</v>
      </c>
      <c r="F1995" s="50" t="s">
        <v>89</v>
      </c>
      <c r="G1995" s="50" t="s">
        <v>89</v>
      </c>
      <c r="H1995" s="49">
        <v>160.47999999999999</v>
      </c>
      <c r="I1995" s="51"/>
      <c r="J1995" s="51">
        <v>5.19</v>
      </c>
      <c r="K1995" s="51">
        <f>Tabela6[[#This Row],[CONSUMO]]*Tabela6[[#This Row],[VALOR UNIT]]-Tabela6[[#This Row],[DESCONTO]]</f>
        <v>832.89120000000003</v>
      </c>
      <c r="L1995" s="53">
        <f>Tabela6[[#This Row],[CUSTO TOTAL]]/Tabela6[[#This Row],[CONSUMO]]</f>
        <v>5.19</v>
      </c>
      <c r="M1995" s="50">
        <f>Tabela6[[#This Row],[KM ATUAL]]-E1978</f>
        <v>-290944</v>
      </c>
      <c r="N1995" s="51">
        <f>Tabela6[[#This Row],[KM Rodados ]]/Tabela6[[#This Row],[CONSUMO]]</f>
        <v>-1812.9611166500499</v>
      </c>
      <c r="O1995" s="48"/>
      <c r="P1995" s="47"/>
      <c r="Q1995" s="49"/>
      <c r="R1995" s="47"/>
      <c r="S1995" s="50"/>
      <c r="T1995" s="51"/>
      <c r="U1995" s="49"/>
      <c r="V1995" s="51"/>
      <c r="W1995" s="51"/>
      <c r="X1995" s="53"/>
      <c r="Y1995" s="50"/>
      <c r="Z1995" s="51"/>
    </row>
    <row r="1996" spans="1:26" ht="14.45" customHeight="1" x14ac:dyDescent="0.25">
      <c r="A1996" s="47">
        <v>6693</v>
      </c>
      <c r="B1996" s="78">
        <v>45152</v>
      </c>
      <c r="C1996" s="47" t="s">
        <v>41</v>
      </c>
      <c r="D1996" s="49" t="s">
        <v>299</v>
      </c>
      <c r="E1996" s="47">
        <v>671164</v>
      </c>
      <c r="F1996" s="50" t="s">
        <v>89</v>
      </c>
      <c r="G1996" s="50" t="s">
        <v>89</v>
      </c>
      <c r="H1996" s="49">
        <v>86</v>
      </c>
      <c r="I1996" s="51"/>
      <c r="J1996" s="51">
        <v>4.9000000000000004</v>
      </c>
      <c r="K1996" s="52">
        <f>Tabela6[[#This Row],[CONSUMO]]*Tabela6[[#This Row],[VALOR UNIT]]-Tabela6[[#This Row],[DESCONTO]]</f>
        <v>421.40000000000003</v>
      </c>
      <c r="L1996" s="53">
        <f>Tabela6[[#This Row],[CUSTO TOTAL]]/Tabela6[[#This Row],[CONSUMO]]</f>
        <v>4.9000000000000004</v>
      </c>
      <c r="M1996" s="50">
        <f>Tabela6[[#This Row],[KM ATUAL]]-E1964</f>
        <v>564213</v>
      </c>
      <c r="N1996" s="51">
        <f>Tabela6[[#This Row],[KM Rodados ]]/Tabela6[[#This Row],[CONSUMO]]</f>
        <v>6560.6162790697672</v>
      </c>
      <c r="O1996" s="48"/>
      <c r="P1996" s="47"/>
      <c r="Q1996" s="49"/>
      <c r="R1996" s="47"/>
      <c r="S1996" s="50"/>
      <c r="T1996" s="51"/>
      <c r="U1996" s="49"/>
      <c r="V1996" s="51"/>
      <c r="W1996" s="51"/>
      <c r="X1996" s="53"/>
      <c r="Y1996" s="50"/>
      <c r="Z1996" s="51"/>
    </row>
    <row r="1997" spans="1:26" ht="14.45" customHeight="1" x14ac:dyDescent="0.25">
      <c r="A1997" s="47">
        <v>6693</v>
      </c>
      <c r="B1997" s="78">
        <v>45152</v>
      </c>
      <c r="C1997" s="47" t="s">
        <v>10</v>
      </c>
      <c r="D1997" s="49" t="s">
        <v>299</v>
      </c>
      <c r="E1997" s="47">
        <v>722182</v>
      </c>
      <c r="F1997" s="50" t="s">
        <v>89</v>
      </c>
      <c r="G1997" s="50" t="s">
        <v>89</v>
      </c>
      <c r="H1997" s="49">
        <v>106</v>
      </c>
      <c r="I1997" s="51"/>
      <c r="J1997" s="51">
        <v>4.9000000000000004</v>
      </c>
      <c r="K1997" s="51">
        <f>Tabela6[[#This Row],[CONSUMO]]*Tabela6[[#This Row],[VALOR UNIT]]-Tabela6[[#This Row],[DESCONTO]]</f>
        <v>519.40000000000009</v>
      </c>
      <c r="L1997" s="53">
        <f>Tabela6[[#This Row],[CUSTO TOTAL]]/Tabela6[[#This Row],[CONSUMO]]</f>
        <v>4.9000000000000012</v>
      </c>
      <c r="M1997" s="50">
        <f>Tabela6[[#This Row],[KM ATUAL]]-E1960</f>
        <v>401280</v>
      </c>
      <c r="N1997" s="51">
        <f>Tabela6[[#This Row],[KM Rodados ]]/Tabela6[[#This Row],[CONSUMO]]</f>
        <v>3785.6603773584907</v>
      </c>
      <c r="O1997" s="48"/>
      <c r="P1997" s="47"/>
      <c r="Q1997" s="49"/>
      <c r="R1997" s="47"/>
      <c r="S1997" s="50"/>
      <c r="T1997" s="51"/>
      <c r="U1997" s="49"/>
      <c r="V1997" s="51"/>
      <c r="W1997" s="51"/>
      <c r="X1997" s="53"/>
      <c r="Y1997" s="50"/>
      <c r="Z1997" s="51"/>
    </row>
    <row r="1998" spans="1:26" ht="14.45" customHeight="1" x14ac:dyDescent="0.25">
      <c r="A1998" s="47">
        <v>249261</v>
      </c>
      <c r="B1998" s="78">
        <v>45152</v>
      </c>
      <c r="C1998" s="47" t="s">
        <v>206</v>
      </c>
      <c r="D1998" s="49" t="s">
        <v>273</v>
      </c>
      <c r="E1998" s="47">
        <v>953936</v>
      </c>
      <c r="F1998" s="50" t="s">
        <v>89</v>
      </c>
      <c r="G1998" s="50" t="s">
        <v>89</v>
      </c>
      <c r="H1998" s="49">
        <v>611</v>
      </c>
      <c r="I1998" s="51"/>
      <c r="J1998" s="51">
        <v>5.09</v>
      </c>
      <c r="K1998" s="52">
        <f>Tabela6[[#This Row],[CONSUMO]]*Tabela6[[#This Row],[VALOR UNIT]]-Tabela6[[#This Row],[DESCONTO]]</f>
        <v>3109.99</v>
      </c>
      <c r="L1998" s="53">
        <f>Tabela6[[#This Row],[CUSTO TOTAL]]/Tabela6[[#This Row],[CONSUMO]]</f>
        <v>5.09</v>
      </c>
      <c r="M1998" s="50">
        <f>Tabela6[[#This Row],[KM ATUAL]]-E1922</f>
        <v>837432</v>
      </c>
      <c r="N1998" s="51">
        <f>Tabela6[[#This Row],[KM Rodados ]]/Tabela6[[#This Row],[CONSUMO]]</f>
        <v>1370.5924713584288</v>
      </c>
      <c r="O1998" s="48"/>
      <c r="P1998" s="47"/>
      <c r="Q1998" s="49"/>
      <c r="R1998" s="47"/>
      <c r="S1998" s="50"/>
      <c r="T1998" s="51"/>
      <c r="U1998" s="49"/>
      <c r="V1998" s="51"/>
      <c r="W1998" s="51"/>
      <c r="X1998" s="53"/>
      <c r="Y1998" s="50"/>
      <c r="Z1998" s="51"/>
    </row>
    <row r="1999" spans="1:26" ht="14.45" customHeight="1" x14ac:dyDescent="0.25">
      <c r="A1999" s="47">
        <v>12443</v>
      </c>
      <c r="B1999" s="78">
        <v>45152</v>
      </c>
      <c r="C1999" s="47" t="s">
        <v>12</v>
      </c>
      <c r="D1999" s="49" t="s">
        <v>253</v>
      </c>
      <c r="E1999" s="47">
        <v>318556</v>
      </c>
      <c r="F1999" s="50" t="s">
        <v>89</v>
      </c>
      <c r="G1999" s="50" t="s">
        <v>89</v>
      </c>
      <c r="H1999" s="49">
        <v>110.02</v>
      </c>
      <c r="I1999" s="51"/>
      <c r="J1999" s="51">
        <v>5.19</v>
      </c>
      <c r="K1999" s="51">
        <f>Tabela6[[#This Row],[CONSUMO]]*Tabela6[[#This Row],[VALOR UNIT]]-Tabela6[[#This Row],[DESCONTO]]</f>
        <v>571.00380000000007</v>
      </c>
      <c r="L1999" s="53">
        <f>Tabela6[[#This Row],[CUSTO TOTAL]]/Tabela6[[#This Row],[CONSUMO]]</f>
        <v>5.19</v>
      </c>
      <c r="M1999" s="50">
        <f>Tabela6[[#This Row],[KM ATUAL]]-E1908</f>
        <v>250347</v>
      </c>
      <c r="N1999" s="51">
        <f>Tabela6[[#This Row],[KM Rodados ]]/Tabela6[[#This Row],[CONSUMO]]</f>
        <v>2275.4680967096892</v>
      </c>
      <c r="O1999" s="48"/>
      <c r="P1999" s="47"/>
      <c r="Q1999" s="49"/>
      <c r="R1999" s="47"/>
      <c r="S1999" s="50"/>
      <c r="T1999" s="51"/>
      <c r="U1999" s="49"/>
      <c r="V1999" s="51"/>
      <c r="W1999" s="51"/>
      <c r="X1999" s="53"/>
      <c r="Y1999" s="50"/>
      <c r="Z1999" s="51"/>
    </row>
    <row r="2000" spans="1:26" ht="14.45" customHeight="1" x14ac:dyDescent="0.25">
      <c r="A2000" s="47" t="s">
        <v>314</v>
      </c>
      <c r="B2000" s="78">
        <v>45152</v>
      </c>
      <c r="C2000" s="47" t="s">
        <v>13</v>
      </c>
      <c r="E2000" s="47">
        <v>641655</v>
      </c>
      <c r="F2000" s="50"/>
      <c r="G2000" s="50" t="s">
        <v>89</v>
      </c>
      <c r="H2000" s="51">
        <v>93</v>
      </c>
      <c r="I2000" s="51"/>
      <c r="K2000" s="52">
        <f>Tabela6[[#This Row],[CONSUMO]]*Tabela6[[#This Row],[VALOR UNIT]]-Tabela6[[#This Row],[DESCONTO]]</f>
        <v>0</v>
      </c>
      <c r="L2000" s="53">
        <f>Tabela6[[#This Row],[CUSTO TOTAL]]/Tabela6[[#This Row],[CONSUMO]]</f>
        <v>0</v>
      </c>
      <c r="M2000" s="50">
        <f>Tabela6[[#This Row],[KM ATUAL]]-E1974</f>
        <v>149336</v>
      </c>
      <c r="N2000" s="51">
        <f>Tabela6[[#This Row],[KM Rodados ]]/Tabela6[[#This Row],[CONSUMO]]</f>
        <v>1605.763440860215</v>
      </c>
      <c r="O2000" s="48"/>
      <c r="P2000" s="47"/>
      <c r="Q2000" s="49"/>
      <c r="R2000" s="47"/>
      <c r="S2000" s="50"/>
      <c r="T2000" s="51"/>
      <c r="U2000" s="49"/>
      <c r="V2000" s="51"/>
      <c r="W2000" s="51"/>
      <c r="X2000" s="53"/>
      <c r="Y2000" s="50"/>
      <c r="Z2000" s="51"/>
    </row>
    <row r="2001" spans="1:26" ht="14.45" customHeight="1" x14ac:dyDescent="0.25">
      <c r="A2001" s="47">
        <v>637102</v>
      </c>
      <c r="B2001" s="78">
        <v>45152</v>
      </c>
      <c r="C2001" s="47" t="s">
        <v>13</v>
      </c>
      <c r="D2001" s="49" t="s">
        <v>272</v>
      </c>
      <c r="E2001" s="47">
        <v>641570</v>
      </c>
      <c r="F2001" s="50" t="s">
        <v>89</v>
      </c>
      <c r="G2001" s="50" t="s">
        <v>89</v>
      </c>
      <c r="H2001" s="50">
        <v>97.45</v>
      </c>
      <c r="I2001" s="51"/>
      <c r="J2001" s="51">
        <v>5.09</v>
      </c>
      <c r="K2001" s="52">
        <f>Tabela6[[#This Row],[CONSUMO]]*Tabela6[[#This Row],[VALOR UNIT]]-Tabela6[[#This Row],[DESCONTO]]</f>
        <v>496.02050000000003</v>
      </c>
      <c r="L2001" s="53">
        <f>Tabela6[[#This Row],[CUSTO TOTAL]]/Tabela6[[#This Row],[CONSUMO]]</f>
        <v>5.09</v>
      </c>
      <c r="M2001" s="50">
        <f>Tabela6[[#This Row],[KM ATUAL]]-E1994</f>
        <v>506386</v>
      </c>
      <c r="N2001" s="84">
        <f>Tabela6[[#This Row],[KM Rodados ]]/Tabela6[[#This Row],[CONSUMO]]</f>
        <v>5196.3673678809646</v>
      </c>
      <c r="O2001" s="48"/>
      <c r="P2001" s="47"/>
      <c r="Q2001" s="49"/>
      <c r="R2001" s="47"/>
      <c r="S2001" s="50"/>
      <c r="T2001" s="51"/>
      <c r="U2001" s="49"/>
      <c r="V2001" s="51"/>
      <c r="W2001" s="51"/>
      <c r="X2001" s="53"/>
      <c r="Y2001" s="50"/>
      <c r="Z2001" s="51"/>
    </row>
    <row r="2002" spans="1:26" ht="14.45" customHeight="1" x14ac:dyDescent="0.25">
      <c r="A2002" s="47" t="s">
        <v>314</v>
      </c>
      <c r="B2002" s="78">
        <v>45152</v>
      </c>
      <c r="C2002" s="47" t="s">
        <v>14</v>
      </c>
      <c r="E2002" s="47">
        <v>291058</v>
      </c>
      <c r="F2002" s="50"/>
      <c r="G2002" s="50" t="s">
        <v>244</v>
      </c>
      <c r="H2002" s="51">
        <v>42</v>
      </c>
      <c r="I2002" s="51"/>
      <c r="K2002" s="52">
        <f>Tabela6[[#This Row],[CONSUMO]]*Tabela6[[#This Row],[VALOR UNIT]]-Tabela6[[#This Row],[DESCONTO]]</f>
        <v>0</v>
      </c>
      <c r="L2002" s="53">
        <f>Tabela6[[#This Row],[CUSTO TOTAL]]/Tabela6[[#This Row],[CONSUMO]]</f>
        <v>0</v>
      </c>
      <c r="M2002" s="50">
        <f>Tabela6[[#This Row],[KM ATUAL]]-E2001</f>
        <v>-350512</v>
      </c>
      <c r="N2002" s="51">
        <f>Tabela6[[#This Row],[KM Rodados ]]/Tabela6[[#This Row],[CONSUMO]]</f>
        <v>-8345.5238095238092</v>
      </c>
      <c r="O2002" s="48"/>
      <c r="P2002" s="47"/>
      <c r="Q2002" s="49"/>
      <c r="R2002" s="47"/>
      <c r="S2002" s="50"/>
      <c r="T2002" s="51"/>
      <c r="U2002" s="49"/>
      <c r="V2002" s="51"/>
      <c r="W2002" s="51"/>
      <c r="X2002" s="53"/>
      <c r="Y2002" s="50"/>
      <c r="Z2002" s="51"/>
    </row>
    <row r="2003" spans="1:26" ht="14.45" customHeight="1" x14ac:dyDescent="0.25">
      <c r="A2003" s="47">
        <v>321988</v>
      </c>
      <c r="B2003" s="78">
        <v>45152</v>
      </c>
      <c r="C2003" s="47" t="s">
        <v>15</v>
      </c>
      <c r="D2003" s="49" t="s">
        <v>276</v>
      </c>
      <c r="E2003" s="47">
        <v>378422</v>
      </c>
      <c r="F2003" s="50" t="s">
        <v>89</v>
      </c>
      <c r="G2003" s="50" t="s">
        <v>89</v>
      </c>
      <c r="H2003" s="50">
        <v>131.97999999999999</v>
      </c>
      <c r="I2003" s="51"/>
      <c r="J2003" s="51">
        <v>4.99</v>
      </c>
      <c r="K2003" s="52">
        <f>Tabela6[[#This Row],[CONSUMO]]*Tabela6[[#This Row],[VALOR UNIT]]-Tabela6[[#This Row],[DESCONTO]]</f>
        <v>658.58019999999999</v>
      </c>
      <c r="L2003" s="53">
        <f>Tabela6[[#This Row],[CUSTO TOTAL]]/Tabela6[[#This Row],[CONSUMO]]</f>
        <v>4.99</v>
      </c>
      <c r="M2003" s="50">
        <f>Tabela6[[#This Row],[KM ATUAL]]-E1978</f>
        <v>30</v>
      </c>
      <c r="N2003" s="84">
        <f>Tabela6[[#This Row],[KM Rodados ]]/Tabela6[[#This Row],[CONSUMO]]</f>
        <v>0.22730716775268983</v>
      </c>
      <c r="O2003" s="48"/>
      <c r="P2003" s="47"/>
      <c r="Q2003" s="49"/>
      <c r="R2003" s="47"/>
      <c r="S2003" s="50"/>
      <c r="T2003" s="51"/>
      <c r="U2003" s="49"/>
      <c r="V2003" s="51"/>
      <c r="W2003" s="51"/>
      <c r="X2003" s="53"/>
      <c r="Y2003" s="50"/>
      <c r="Z2003" s="51"/>
    </row>
    <row r="2004" spans="1:26" ht="14.45" customHeight="1" x14ac:dyDescent="0.25">
      <c r="A2004" s="47">
        <v>6693</v>
      </c>
      <c r="B2004" s="78">
        <v>45152</v>
      </c>
      <c r="C2004" s="47" t="s">
        <v>20</v>
      </c>
      <c r="D2004" s="49" t="s">
        <v>299</v>
      </c>
      <c r="E2004" s="47">
        <v>265529</v>
      </c>
      <c r="F2004" s="50" t="s">
        <v>89</v>
      </c>
      <c r="G2004" s="50" t="s">
        <v>89</v>
      </c>
      <c r="H2004" s="49">
        <v>64</v>
      </c>
      <c r="I2004" s="51"/>
      <c r="J2004" s="51">
        <v>4.9000000000000004</v>
      </c>
      <c r="K2004" s="52">
        <f>Tabela6[[#This Row],[CONSUMO]]*Tabela6[[#This Row],[VALOR UNIT]]-Tabela6[[#This Row],[DESCONTO]]</f>
        <v>313.60000000000002</v>
      </c>
      <c r="L2004" s="53">
        <f>Tabela6[[#This Row],[CUSTO TOTAL]]/Tabela6[[#This Row],[CONSUMO]]</f>
        <v>4.9000000000000004</v>
      </c>
      <c r="M2004" s="50">
        <f>Tabela6[[#This Row],[KM ATUAL]]-E1985</f>
        <v>-410100</v>
      </c>
      <c r="N2004" s="51">
        <f>Tabela6[[#This Row],[KM Rodados ]]/Tabela6[[#This Row],[CONSUMO]]</f>
        <v>-6407.8125</v>
      </c>
      <c r="O2004" s="48"/>
      <c r="P2004" s="47"/>
      <c r="Q2004" s="49"/>
      <c r="R2004" s="47"/>
      <c r="S2004" s="50"/>
      <c r="T2004" s="51"/>
      <c r="U2004" s="49"/>
      <c r="V2004" s="51"/>
      <c r="W2004" s="51"/>
      <c r="X2004" s="53"/>
      <c r="Y2004" s="50"/>
      <c r="Z2004" s="51"/>
    </row>
    <row r="2005" spans="1:26" ht="14.45" customHeight="1" x14ac:dyDescent="0.25">
      <c r="A2005" s="47">
        <v>6693</v>
      </c>
      <c r="B2005" s="78">
        <v>45152</v>
      </c>
      <c r="C2005" s="47" t="s">
        <v>23</v>
      </c>
      <c r="D2005" s="49" t="s">
        <v>299</v>
      </c>
      <c r="E2005" s="47">
        <v>239629</v>
      </c>
      <c r="F2005" s="50" t="s">
        <v>89</v>
      </c>
      <c r="G2005" s="50" t="s">
        <v>89</v>
      </c>
      <c r="H2005" s="49">
        <v>86</v>
      </c>
      <c r="I2005" s="51"/>
      <c r="J2005" s="51">
        <v>4.9000000000000004</v>
      </c>
      <c r="K2005" s="51">
        <f>Tabela6[[#This Row],[CONSUMO]]*Tabela6[[#This Row],[VALOR UNIT]]-Tabela6[[#This Row],[DESCONTO]]</f>
        <v>421.40000000000003</v>
      </c>
      <c r="L2005" s="53">
        <f>Tabela6[[#This Row],[CUSTO TOTAL]]/Tabela6[[#This Row],[CONSUMO]]</f>
        <v>4.9000000000000004</v>
      </c>
      <c r="M2005" s="50">
        <f>Tabela6[[#This Row],[KM ATUAL]]-E1984</f>
        <v>-50674</v>
      </c>
      <c r="N2005" s="51">
        <f>Tabela6[[#This Row],[KM Rodados ]]/Tabela6[[#This Row],[CONSUMO]]</f>
        <v>-589.23255813953483</v>
      </c>
      <c r="O2005" s="48"/>
      <c r="P2005" s="47"/>
      <c r="Q2005" s="49"/>
      <c r="R2005" s="47"/>
      <c r="S2005" s="50"/>
      <c r="T2005" s="51"/>
      <c r="U2005" s="49"/>
      <c r="V2005" s="51"/>
      <c r="W2005" s="51"/>
      <c r="X2005" s="53"/>
      <c r="Y2005" s="50"/>
      <c r="Z2005" s="51"/>
    </row>
    <row r="2006" spans="1:26" ht="14.45" customHeight="1" x14ac:dyDescent="0.25">
      <c r="A2006" s="47">
        <v>6693</v>
      </c>
      <c r="B2006" s="78">
        <v>45152</v>
      </c>
      <c r="C2006" s="47" t="s">
        <v>74</v>
      </c>
      <c r="D2006" s="49" t="s">
        <v>299</v>
      </c>
      <c r="E2006" s="47">
        <v>69951</v>
      </c>
      <c r="F2006" s="50" t="s">
        <v>89</v>
      </c>
      <c r="G2006" s="50" t="s">
        <v>89</v>
      </c>
      <c r="H2006" s="49">
        <v>84</v>
      </c>
      <c r="I2006" s="51"/>
      <c r="J2006" s="51">
        <v>4.9000000000000004</v>
      </c>
      <c r="K2006" s="51">
        <f>Tabela6[[#This Row],[CONSUMO]]*Tabela6[[#This Row],[VALOR UNIT]]-Tabela6[[#This Row],[DESCONTO]]</f>
        <v>411.6</v>
      </c>
      <c r="L2006" s="53">
        <f>Tabela6[[#This Row],[CUSTO TOTAL]]/Tabela6[[#This Row],[CONSUMO]]</f>
        <v>4.9000000000000004</v>
      </c>
      <c r="M2006" s="50">
        <f>Tabela6[[#This Row],[KM ATUAL]]-E1974</f>
        <v>-422368</v>
      </c>
      <c r="N2006" s="51">
        <f>Tabela6[[#This Row],[KM Rodados ]]/Tabela6[[#This Row],[CONSUMO]]</f>
        <v>-5028.1904761904761</v>
      </c>
      <c r="O2006" s="48"/>
      <c r="P2006" s="47"/>
      <c r="Q2006" s="49"/>
      <c r="R2006" s="47"/>
      <c r="S2006" s="50"/>
      <c r="T2006" s="51"/>
      <c r="U2006" s="49"/>
      <c r="V2006" s="51"/>
      <c r="W2006" s="51"/>
      <c r="X2006" s="53"/>
      <c r="Y2006" s="50"/>
      <c r="Z2006" s="51"/>
    </row>
    <row r="2007" spans="1:26" ht="14.45" customHeight="1" x14ac:dyDescent="0.25">
      <c r="A2007" s="47">
        <v>6693</v>
      </c>
      <c r="B2007" s="78">
        <v>45153</v>
      </c>
      <c r="C2007" s="47" t="s">
        <v>68</v>
      </c>
      <c r="D2007" s="49" t="s">
        <v>299</v>
      </c>
      <c r="E2007" s="47">
        <v>906079</v>
      </c>
      <c r="F2007" s="50" t="s">
        <v>89</v>
      </c>
      <c r="G2007" s="51" t="s">
        <v>89</v>
      </c>
      <c r="H2007" s="49">
        <v>306</v>
      </c>
      <c r="I2007" s="51"/>
      <c r="J2007" s="51">
        <v>4.9000000000000004</v>
      </c>
      <c r="K2007" s="51">
        <f>Tabela6[[#This Row],[CONSUMO]]*Tabela6[[#This Row],[VALOR UNIT]]-Tabela6[[#This Row],[DESCONTO]]</f>
        <v>1499.4</v>
      </c>
      <c r="L2007" s="53">
        <f>Tabela6[[#This Row],[CUSTO TOTAL]]/Tabela6[[#This Row],[CONSUMO]]</f>
        <v>4.9000000000000004</v>
      </c>
      <c r="M2007" s="50">
        <f>Tabela6[[#This Row],[KM ATUAL]]-E1970</f>
        <v>616848</v>
      </c>
      <c r="N2007" s="51">
        <f>Tabela6[[#This Row],[KM Rodados ]]/Tabela6[[#This Row],[CONSUMO]]</f>
        <v>2015.8431372549019</v>
      </c>
      <c r="O2007" s="48"/>
      <c r="P2007" s="47"/>
      <c r="Q2007" s="49"/>
      <c r="R2007" s="47"/>
      <c r="S2007" s="50"/>
      <c r="T2007" s="51"/>
      <c r="U2007" s="49"/>
      <c r="V2007" s="51"/>
      <c r="W2007" s="51"/>
      <c r="X2007" s="53"/>
      <c r="Y2007" s="50"/>
      <c r="Z2007" s="51"/>
    </row>
    <row r="2008" spans="1:26" ht="14.45" customHeight="1" x14ac:dyDescent="0.25">
      <c r="A2008" s="47">
        <v>322487</v>
      </c>
      <c r="B2008" s="78">
        <v>45153</v>
      </c>
      <c r="C2008" s="47" t="s">
        <v>43</v>
      </c>
      <c r="D2008" s="49" t="s">
        <v>276</v>
      </c>
      <c r="E2008" s="47">
        <v>140833</v>
      </c>
      <c r="F2008" s="50" t="s">
        <v>89</v>
      </c>
      <c r="G2008" s="51" t="s">
        <v>89</v>
      </c>
      <c r="H2008" s="49">
        <v>28.379000000000001</v>
      </c>
      <c r="I2008" s="51"/>
      <c r="J2008" s="51">
        <v>5.09</v>
      </c>
      <c r="K2008" s="53">
        <f>Tabela6[[#This Row],[CONSUMO]]*Tabela6[[#This Row],[VALOR UNIT]]-Tabela6[[#This Row],[DESCONTO]]</f>
        <v>144.44910999999999</v>
      </c>
      <c r="L2008" s="50">
        <v>5.09</v>
      </c>
      <c r="M2008" s="51">
        <f>Tabela6[[#This Row],[KM ATUAL]]-E1990</f>
        <v>44001</v>
      </c>
      <c r="N2008" s="51">
        <f>Tabela6[[#This Row],[KM Rodados ]]/Tabela6[[#This Row],[CONSUMO]]</f>
        <v>1550.477465731703</v>
      </c>
      <c r="O2008" s="48"/>
      <c r="P2008" s="47"/>
      <c r="Q2008" s="49"/>
      <c r="R2008" s="47"/>
      <c r="S2008" s="50"/>
      <c r="T2008" s="51"/>
      <c r="U2008" s="49"/>
      <c r="V2008" s="51"/>
      <c r="W2008" s="51"/>
      <c r="X2008" s="53"/>
      <c r="Y2008" s="50"/>
      <c r="Z2008" s="51"/>
    </row>
    <row r="2009" spans="1:26" ht="14.45" customHeight="1" x14ac:dyDescent="0.25">
      <c r="A2009" s="47">
        <v>6693</v>
      </c>
      <c r="B2009" s="78">
        <v>45153</v>
      </c>
      <c r="C2009" s="47" t="s">
        <v>222</v>
      </c>
      <c r="D2009" s="49" t="s">
        <v>299</v>
      </c>
      <c r="E2009" s="47">
        <v>493153</v>
      </c>
      <c r="F2009" s="50" t="s">
        <v>89</v>
      </c>
      <c r="G2009" s="50" t="s">
        <v>89</v>
      </c>
      <c r="H2009" s="49">
        <v>297</v>
      </c>
      <c r="I2009" s="51"/>
      <c r="J2009" s="51">
        <v>4.9000000000000004</v>
      </c>
      <c r="K2009" s="53">
        <f>Tabela6[[#This Row],[CONSUMO]]*Tabela6[[#This Row],[VALOR UNIT]]-Tabela6[[#This Row],[DESCONTO]]</f>
        <v>1455.3000000000002</v>
      </c>
      <c r="L2009" s="50">
        <v>0</v>
      </c>
      <c r="M2009" s="50">
        <f>Tabela6[[#This Row],[KM ATUAL]]-E1974</f>
        <v>834</v>
      </c>
      <c r="N2009" s="51">
        <f>Tabela6[[#This Row],[KM Rodados ]]/Tabela6[[#This Row],[CONSUMO]]</f>
        <v>2.808080808080808</v>
      </c>
      <c r="O2009" s="48"/>
      <c r="P2009" s="47"/>
      <c r="Q2009" s="49"/>
      <c r="R2009" s="47"/>
      <c r="S2009" s="50"/>
      <c r="T2009" s="51"/>
      <c r="U2009" s="49"/>
      <c r="V2009" s="51"/>
      <c r="W2009" s="51"/>
      <c r="X2009" s="53"/>
      <c r="Y2009" s="50"/>
      <c r="Z2009" s="51"/>
    </row>
    <row r="2010" spans="1:26" ht="14.45" customHeight="1" x14ac:dyDescent="0.25">
      <c r="A2010" s="47">
        <v>6693</v>
      </c>
      <c r="B2010" s="78">
        <v>45153</v>
      </c>
      <c r="C2010" s="47" t="s">
        <v>67</v>
      </c>
      <c r="D2010" s="49" t="s">
        <v>299</v>
      </c>
      <c r="E2010" s="47">
        <v>675891</v>
      </c>
      <c r="F2010" s="50" t="s">
        <v>89</v>
      </c>
      <c r="G2010" s="51" t="s">
        <v>89</v>
      </c>
      <c r="H2010" s="49">
        <v>72</v>
      </c>
      <c r="I2010" s="51"/>
      <c r="J2010" s="51">
        <v>4.9000000000000004</v>
      </c>
      <c r="K2010" s="53">
        <f>Tabela6[[#This Row],[CONSUMO]]*Tabela6[[#This Row],[VALOR UNIT]]-Tabela6[[#This Row],[DESCONTO]]</f>
        <v>352.8</v>
      </c>
      <c r="L2010" s="50">
        <v>0</v>
      </c>
      <c r="M2010" s="50">
        <f>Tabela6[[#This Row],[KM ATUAL]]-E1979</f>
        <v>310765</v>
      </c>
      <c r="N2010" s="51">
        <f>Tabela6[[#This Row],[KM Rodados ]]/Tabela6[[#This Row],[CONSUMO]]</f>
        <v>4316.1805555555557</v>
      </c>
      <c r="O2010" s="48"/>
      <c r="P2010" s="47"/>
      <c r="Q2010" s="49"/>
      <c r="R2010" s="47"/>
      <c r="S2010" s="50"/>
      <c r="T2010" s="51"/>
      <c r="U2010" s="49"/>
      <c r="V2010" s="51"/>
      <c r="W2010" s="51"/>
      <c r="X2010" s="53"/>
      <c r="Y2010" s="50"/>
      <c r="Z2010" s="51"/>
    </row>
    <row r="2011" spans="1:26" ht="14.45" customHeight="1" x14ac:dyDescent="0.25">
      <c r="A2011" s="47" t="s">
        <v>314</v>
      </c>
      <c r="B2011" s="78">
        <v>45153</v>
      </c>
      <c r="C2011" s="47" t="s">
        <v>215</v>
      </c>
      <c r="E2011" s="47">
        <v>227222</v>
      </c>
      <c r="G2011" s="50" t="s">
        <v>244</v>
      </c>
      <c r="H2011" s="51">
        <v>37.56</v>
      </c>
      <c r="K2011" s="52">
        <f>Tabela6[[#This Row],[CONSUMO]]*Tabela6[[#This Row],[VALOR UNIT]]-Tabela6[[#This Row],[DESCONTO]]</f>
        <v>0</v>
      </c>
      <c r="L2011" s="53">
        <f>Tabela6[[#This Row],[CUSTO TOTAL]]/Tabela6[[#This Row],[CONSUMO]]</f>
        <v>0</v>
      </c>
      <c r="M2011" s="50">
        <f>Tabela6[[#This Row],[KM ATUAL]]-E1830</f>
        <v>160465</v>
      </c>
      <c r="N2011" s="51">
        <f>Tabela6[[#This Row],[KM Rodados ]]/Tabela6[[#This Row],[CONSUMO]]</f>
        <v>4272.2310969116079</v>
      </c>
      <c r="O2011" s="48"/>
      <c r="P2011" s="47"/>
      <c r="Q2011" s="49"/>
      <c r="R2011" s="47"/>
      <c r="S2011" s="50"/>
      <c r="T2011" s="51"/>
      <c r="U2011" s="49"/>
      <c r="V2011" s="51"/>
      <c r="W2011" s="51"/>
      <c r="X2011" s="53"/>
      <c r="Y2011" s="50"/>
      <c r="Z2011" s="51"/>
    </row>
    <row r="2012" spans="1:26" ht="14.45" customHeight="1" x14ac:dyDescent="0.25">
      <c r="A2012" s="47" t="s">
        <v>314</v>
      </c>
      <c r="B2012" s="78">
        <v>45153</v>
      </c>
      <c r="C2012" s="47" t="s">
        <v>39</v>
      </c>
      <c r="E2012" s="47">
        <v>97943</v>
      </c>
      <c r="F2012" s="50"/>
      <c r="G2012" s="50" t="s">
        <v>89</v>
      </c>
      <c r="H2012" s="51">
        <v>125</v>
      </c>
      <c r="I2012" s="51"/>
      <c r="K2012" s="53">
        <f>Tabela6[[#This Row],[CONSUMO]]*Tabela6[[#This Row],[VALOR UNIT]]-Tabela6[[#This Row],[DESCONTO]]</f>
        <v>0</v>
      </c>
      <c r="L2012" s="53">
        <f>Tabela6[[#This Row],[CUSTO TOTAL]]/Tabela6[[#This Row],[CONSUMO]]</f>
        <v>0</v>
      </c>
      <c r="M2012" s="50">
        <f>Tabela6[[#This Row],[KM ATUAL]]-E1993</f>
        <v>-311108</v>
      </c>
      <c r="N2012" s="51">
        <f>Tabela6[[#This Row],[KM Rodados ]]/Tabela6[[#This Row],[CONSUMO]]</f>
        <v>-2488.864</v>
      </c>
      <c r="O2012" s="48"/>
      <c r="P2012" s="47"/>
      <c r="Q2012" s="49"/>
      <c r="R2012" s="47"/>
      <c r="S2012" s="50"/>
      <c r="T2012" s="51"/>
      <c r="U2012" s="49"/>
      <c r="V2012" s="51"/>
      <c r="W2012" s="51"/>
      <c r="X2012" s="53"/>
      <c r="Y2012" s="50"/>
      <c r="Z2012" s="51"/>
    </row>
    <row r="2013" spans="1:26" ht="14.45" customHeight="1" x14ac:dyDescent="0.25">
      <c r="A2013" s="47">
        <v>557516</v>
      </c>
      <c r="B2013" s="78">
        <v>45153</v>
      </c>
      <c r="C2013" s="47" t="s">
        <v>64</v>
      </c>
      <c r="D2013" s="49" t="s">
        <v>255</v>
      </c>
      <c r="E2013" s="47">
        <v>87734</v>
      </c>
      <c r="F2013" s="50" t="s">
        <v>89</v>
      </c>
      <c r="G2013" s="50" t="s">
        <v>89</v>
      </c>
      <c r="H2013" s="49">
        <v>89.12</v>
      </c>
      <c r="I2013" s="51"/>
      <c r="J2013" s="51">
        <v>5.95</v>
      </c>
      <c r="K2013" s="51">
        <f>Tabela6[[#This Row],[CONSUMO]]*Tabela6[[#This Row],[VALOR UNIT]]-Tabela6[[#This Row],[DESCONTO]]</f>
        <v>530.26400000000001</v>
      </c>
      <c r="L2013" s="53">
        <f>Tabela6[[#This Row],[CUSTO TOTAL]]/Tabela6[[#This Row],[CONSUMO]]</f>
        <v>5.95</v>
      </c>
      <c r="M2013" s="50">
        <f>Tabela6[[#This Row],[KM ATUAL]]-E1984</f>
        <v>-202569</v>
      </c>
      <c r="N2013" s="51">
        <f>Tabela6[[#This Row],[KM Rodados ]]/Tabela6[[#This Row],[CONSUMO]]</f>
        <v>-2272.9914721723517</v>
      </c>
      <c r="O2013" s="48"/>
      <c r="P2013" s="47"/>
      <c r="Q2013" s="49"/>
      <c r="R2013" s="47"/>
      <c r="S2013" s="50"/>
      <c r="T2013" s="51"/>
      <c r="U2013" s="49"/>
      <c r="V2013" s="51"/>
      <c r="W2013" s="51"/>
      <c r="X2013" s="53"/>
      <c r="Y2013" s="50"/>
      <c r="Z2013" s="51"/>
    </row>
    <row r="2014" spans="1:26" ht="14.45" customHeight="1" x14ac:dyDescent="0.25">
      <c r="A2014" s="47">
        <v>322432</v>
      </c>
      <c r="B2014" s="78">
        <v>45153</v>
      </c>
      <c r="C2014" s="47" t="s">
        <v>21</v>
      </c>
      <c r="D2014" s="49" t="s">
        <v>276</v>
      </c>
      <c r="E2014" s="47">
        <v>151120</v>
      </c>
      <c r="F2014" s="50" t="s">
        <v>89</v>
      </c>
      <c r="G2014" s="50" t="s">
        <v>89</v>
      </c>
      <c r="H2014" s="49">
        <v>209.68</v>
      </c>
      <c r="I2014" s="51"/>
      <c r="J2014" s="51">
        <v>5.09</v>
      </c>
      <c r="K2014" s="52">
        <f>Tabela6[[#This Row],[CONSUMO]]*Tabela6[[#This Row],[VALOR UNIT]]-Tabela6[[#This Row],[DESCONTO]]</f>
        <v>1067.2711999999999</v>
      </c>
      <c r="L2014" s="53">
        <f>Tabela6[[#This Row],[CUSTO TOTAL]]/Tabela6[[#This Row],[CONSUMO]]</f>
        <v>5.089999999999999</v>
      </c>
      <c r="M2014" s="50">
        <f>Tabela6[[#This Row],[KM ATUAL]]-E1952</f>
        <v>-75748</v>
      </c>
      <c r="N2014" s="51">
        <f>Tabela6[[#This Row],[KM Rodados ]]/Tabela6[[#This Row],[CONSUMO]]</f>
        <v>-361.2552460892789</v>
      </c>
      <c r="O2014" s="48"/>
      <c r="P2014" s="47"/>
      <c r="Q2014" s="49"/>
      <c r="R2014" s="47"/>
      <c r="S2014" s="50"/>
      <c r="T2014" s="51"/>
      <c r="U2014" s="49"/>
      <c r="V2014" s="51"/>
      <c r="W2014" s="51"/>
      <c r="X2014" s="53"/>
      <c r="Y2014" s="50"/>
      <c r="Z2014" s="51"/>
    </row>
    <row r="2015" spans="1:26" ht="14.45" customHeight="1" x14ac:dyDescent="0.25">
      <c r="A2015" s="47">
        <v>13030</v>
      </c>
      <c r="B2015" s="78">
        <v>45153</v>
      </c>
      <c r="C2015" s="47" t="s">
        <v>11</v>
      </c>
      <c r="D2015" s="49" t="s">
        <v>253</v>
      </c>
      <c r="E2015" s="47">
        <v>398358</v>
      </c>
      <c r="F2015" s="50" t="s">
        <v>89</v>
      </c>
      <c r="G2015" s="50" t="s">
        <v>89</v>
      </c>
      <c r="H2015" s="49">
        <v>96.65</v>
      </c>
      <c r="I2015" s="51"/>
      <c r="J2015" s="51">
        <v>5.19</v>
      </c>
      <c r="K2015" s="51">
        <f>Tabela6[[#This Row],[CONSUMO]]*Tabela6[[#This Row],[VALOR UNIT]]-Tabela6[[#This Row],[DESCONTO]]</f>
        <v>501.61350000000004</v>
      </c>
      <c r="L2015" s="53">
        <f>Tabela6[[#This Row],[CUSTO TOTAL]]/Tabela6[[#This Row],[CONSUMO]]</f>
        <v>5.19</v>
      </c>
      <c r="M2015" s="50">
        <f>Tabela6[[#This Row],[KM ATUAL]]-E1937</f>
        <v>178628</v>
      </c>
      <c r="N2015" s="51">
        <f>Tabela6[[#This Row],[KM Rodados ]]/Tabela6[[#This Row],[CONSUMO]]</f>
        <v>1848.194516295913</v>
      </c>
      <c r="O2015" s="48"/>
      <c r="P2015" s="47"/>
      <c r="Q2015" s="49"/>
      <c r="R2015" s="47"/>
      <c r="S2015" s="50"/>
      <c r="T2015" s="51"/>
      <c r="U2015" s="49"/>
      <c r="V2015" s="51"/>
      <c r="W2015" s="51"/>
      <c r="X2015" s="53"/>
      <c r="Y2015" s="50"/>
      <c r="Z2015" s="51"/>
    </row>
    <row r="2016" spans="1:26" ht="14.45" customHeight="1" x14ac:dyDescent="0.25">
      <c r="A2016" s="47" t="s">
        <v>314</v>
      </c>
      <c r="B2016" s="78">
        <v>45153</v>
      </c>
      <c r="C2016" s="47" t="s">
        <v>301</v>
      </c>
      <c r="E2016" s="89">
        <v>1038325</v>
      </c>
      <c r="F2016" s="50"/>
      <c r="G2016" s="50" t="s">
        <v>89</v>
      </c>
      <c r="H2016" s="51">
        <v>509</v>
      </c>
      <c r="I2016" s="51"/>
      <c r="K2016" s="52">
        <f>Tabela6[[#This Row],[CONSUMO]]*Tabela6[[#This Row],[VALOR UNIT]]-Tabela6[[#This Row],[DESCONTO]]</f>
        <v>0</v>
      </c>
      <c r="L2016" s="53">
        <f>Tabela6[[#This Row],[CUSTO TOTAL]]/Tabela6[[#This Row],[CONSUMO]]</f>
        <v>0</v>
      </c>
      <c r="M2016" s="50">
        <f>Tabela6[[#This Row],[KM ATUAL]]-E2015</f>
        <v>639967</v>
      </c>
      <c r="N2016" s="51">
        <f>Tabela6[[#This Row],[KM Rodados ]]/Tabela6[[#This Row],[CONSUMO]]</f>
        <v>1257.3025540275048</v>
      </c>
      <c r="O2016" s="48"/>
      <c r="P2016" s="47"/>
      <c r="Q2016" s="49"/>
      <c r="R2016" s="47"/>
      <c r="S2016" s="50"/>
      <c r="T2016" s="51"/>
      <c r="U2016" s="49"/>
      <c r="V2016" s="51"/>
      <c r="W2016" s="51"/>
      <c r="X2016" s="53"/>
      <c r="Y2016" s="50"/>
      <c r="Z2016" s="51"/>
    </row>
    <row r="2017" spans="1:26" ht="14.45" customHeight="1" x14ac:dyDescent="0.25">
      <c r="A2017" s="47" t="s">
        <v>314</v>
      </c>
      <c r="B2017" s="78">
        <v>45153</v>
      </c>
      <c r="C2017" s="47" t="s">
        <v>14</v>
      </c>
      <c r="E2017" s="47">
        <v>291264</v>
      </c>
      <c r="F2017" s="50"/>
      <c r="G2017" s="50" t="s">
        <v>244</v>
      </c>
      <c r="H2017" s="51">
        <v>14</v>
      </c>
      <c r="I2017" s="51"/>
      <c r="K2017" s="52">
        <f>Tabela6[[#This Row],[CONSUMO]]*Tabela6[[#This Row],[VALOR UNIT]]-Tabela6[[#This Row],[DESCONTO]]</f>
        <v>0</v>
      </c>
      <c r="L2017" s="53">
        <f>Tabela6[[#This Row],[CUSTO TOTAL]]/Tabela6[[#This Row],[CONSUMO]]</f>
        <v>0</v>
      </c>
      <c r="M2017" s="50">
        <f>Tabela6[[#This Row],[KM ATUAL]]-E2016</f>
        <v>-747061</v>
      </c>
      <c r="N2017" s="51">
        <f>Tabela6[[#This Row],[KM Rodados ]]/Tabela6[[#This Row],[CONSUMO]]</f>
        <v>-53361.5</v>
      </c>
      <c r="O2017" s="48"/>
      <c r="P2017" s="47"/>
      <c r="Q2017" s="49"/>
      <c r="R2017" s="47"/>
      <c r="S2017" s="50"/>
      <c r="T2017" s="51"/>
      <c r="U2017" s="49"/>
      <c r="V2017" s="51"/>
      <c r="W2017" s="51"/>
      <c r="X2017" s="53"/>
      <c r="Y2017" s="50"/>
      <c r="Z2017" s="51"/>
    </row>
    <row r="2018" spans="1:26" ht="14.45" customHeight="1" x14ac:dyDescent="0.25">
      <c r="A2018" s="47">
        <v>557534</v>
      </c>
      <c r="B2018" s="78">
        <v>45153</v>
      </c>
      <c r="C2018" s="47" t="s">
        <v>16</v>
      </c>
      <c r="D2018" s="49" t="s">
        <v>255</v>
      </c>
      <c r="E2018" s="47">
        <v>301704</v>
      </c>
      <c r="F2018" s="50" t="s">
        <v>89</v>
      </c>
      <c r="G2018" s="50" t="s">
        <v>89</v>
      </c>
      <c r="H2018" s="49">
        <v>111.721</v>
      </c>
      <c r="I2018" s="51"/>
      <c r="J2018" s="51">
        <v>5.69</v>
      </c>
      <c r="K2018" s="52">
        <f>Tabela6[[#This Row],[CONSUMO]]*Tabela6[[#This Row],[VALOR UNIT]]-Tabela6[[#This Row],[DESCONTO]]</f>
        <v>635.69249000000002</v>
      </c>
      <c r="L2018" s="53">
        <f>Tabela6[[#This Row],[CUSTO TOTAL]]/Tabela6[[#This Row],[CONSUMO]]</f>
        <v>5.69</v>
      </c>
      <c r="M2018" s="50">
        <f>Tabela6[[#This Row],[KM ATUAL]]-E1906</f>
        <v>38158</v>
      </c>
      <c r="N2018" s="51">
        <f>Tabela6[[#This Row],[KM Rodados ]]/Tabela6[[#This Row],[CONSUMO]]</f>
        <v>341.54724716033689</v>
      </c>
      <c r="O2018" s="48"/>
      <c r="P2018" s="47"/>
      <c r="Q2018" s="49"/>
      <c r="R2018" s="47"/>
      <c r="S2018" s="50"/>
      <c r="T2018" s="51"/>
      <c r="U2018" s="49"/>
      <c r="V2018" s="51"/>
      <c r="W2018" s="51"/>
      <c r="X2018" s="53"/>
      <c r="Y2018" s="50"/>
      <c r="Z2018" s="51"/>
    </row>
    <row r="2019" spans="1:26" ht="14.45" customHeight="1" x14ac:dyDescent="0.25">
      <c r="A2019" s="47">
        <v>322475</v>
      </c>
      <c r="B2019" s="78">
        <v>45153</v>
      </c>
      <c r="C2019" s="47" t="s">
        <v>20</v>
      </c>
      <c r="D2019" s="49" t="s">
        <v>276</v>
      </c>
      <c r="E2019" s="47">
        <v>266099</v>
      </c>
      <c r="F2019" s="50" t="s">
        <v>89</v>
      </c>
      <c r="G2019" s="50" t="s">
        <v>89</v>
      </c>
      <c r="H2019" s="49">
        <v>78.98</v>
      </c>
      <c r="I2019" s="51"/>
      <c r="J2019" s="51">
        <v>5.09</v>
      </c>
      <c r="K2019" s="52">
        <f>Tabela6[[#This Row],[CONSUMO]]*Tabela6[[#This Row],[VALOR UNIT]]-Tabela6[[#This Row],[DESCONTO]]</f>
        <v>402.00819999999999</v>
      </c>
      <c r="L2019" s="53">
        <f>Tabela6[[#This Row],[CUSTO TOTAL]]/Tabela6[[#This Row],[CONSUMO]]</f>
        <v>5.09</v>
      </c>
      <c r="M2019" s="50">
        <f>Tabela6[[#This Row],[KM ATUAL]]-E2006</f>
        <v>196148</v>
      </c>
      <c r="N2019" s="51">
        <f>Tabela6[[#This Row],[KM Rodados ]]/Tabela6[[#This Row],[CONSUMO]]</f>
        <v>2483.5148138769309</v>
      </c>
      <c r="O2019" s="48"/>
      <c r="P2019" s="47"/>
      <c r="Q2019" s="49"/>
      <c r="R2019" s="47"/>
      <c r="S2019" s="50"/>
      <c r="T2019" s="51"/>
      <c r="U2019" s="49"/>
      <c r="V2019" s="51"/>
      <c r="W2019" s="51"/>
      <c r="X2019" s="53"/>
      <c r="Y2019" s="50"/>
      <c r="Z2019" s="51"/>
    </row>
    <row r="2020" spans="1:26" ht="14.45" customHeight="1" x14ac:dyDescent="0.25">
      <c r="A2020" s="47">
        <v>6605</v>
      </c>
      <c r="B2020" s="78">
        <v>45154</v>
      </c>
      <c r="C2020" s="47" t="s">
        <v>68</v>
      </c>
      <c r="D2020" s="49" t="s">
        <v>299</v>
      </c>
      <c r="E2020" s="47">
        <v>906861</v>
      </c>
      <c r="F2020" s="50" t="s">
        <v>89</v>
      </c>
      <c r="G2020" s="51" t="s">
        <v>89</v>
      </c>
      <c r="H2020" s="49">
        <v>341</v>
      </c>
      <c r="I2020" s="51"/>
      <c r="J2020" s="51">
        <v>4.9000000000000004</v>
      </c>
      <c r="K2020" s="51">
        <f>Tabela6[[#This Row],[CONSUMO]]*Tabela6[[#This Row],[VALOR UNIT]]-Tabela6[[#This Row],[DESCONTO]]</f>
        <v>1670.9</v>
      </c>
      <c r="L2020" s="53">
        <f>Tabela6[[#This Row],[CUSTO TOTAL]]/Tabela6[[#This Row],[CONSUMO]]</f>
        <v>4.9000000000000004</v>
      </c>
      <c r="M2020" s="50">
        <f>Tabela6[[#This Row],[KM ATUAL]]-E2014</f>
        <v>755741</v>
      </c>
      <c r="N2020" s="51">
        <f>Tabela6[[#This Row],[KM Rodados ]]/Tabela6[[#This Row],[CONSUMO]]</f>
        <v>2216.2492668621699</v>
      </c>
      <c r="O2020" s="48"/>
      <c r="P2020" s="47"/>
      <c r="Q2020" s="49"/>
      <c r="R2020" s="47"/>
      <c r="S2020" s="50"/>
      <c r="T2020" s="51"/>
      <c r="U2020" s="49"/>
      <c r="V2020" s="51"/>
      <c r="W2020" s="51"/>
      <c r="X2020" s="53"/>
      <c r="Y2020" s="50"/>
      <c r="Z2020" s="51"/>
    </row>
    <row r="2021" spans="1:26" ht="14.45" customHeight="1" x14ac:dyDescent="0.25">
      <c r="A2021" s="47">
        <v>6693</v>
      </c>
      <c r="B2021" s="78">
        <v>45154</v>
      </c>
      <c r="C2021" s="47" t="s">
        <v>43</v>
      </c>
      <c r="D2021" s="49" t="s">
        <v>299</v>
      </c>
      <c r="E2021" s="47">
        <v>141159</v>
      </c>
      <c r="F2021" s="50" t="s">
        <v>89</v>
      </c>
      <c r="G2021" s="51" t="s">
        <v>89</v>
      </c>
      <c r="H2021" s="49">
        <v>44</v>
      </c>
      <c r="I2021" s="51"/>
      <c r="J2021" s="51">
        <v>4.9000000000000004</v>
      </c>
      <c r="K2021" s="53">
        <f>Tabela6[[#This Row],[CONSUMO]]*Tabela6[[#This Row],[VALOR UNIT]]-Tabela6[[#This Row],[DESCONTO]]</f>
        <v>215.60000000000002</v>
      </c>
      <c r="L2021" s="50">
        <v>0</v>
      </c>
      <c r="M2021" s="51">
        <f>Tabela6[[#This Row],[KM ATUAL]]-E2004</f>
        <v>-124370</v>
      </c>
      <c r="N2021" s="51">
        <f>Tabela6[[#This Row],[KM Rodados ]]/Tabela6[[#This Row],[CONSUMO]]</f>
        <v>-2826.590909090909</v>
      </c>
      <c r="O2021" s="48"/>
      <c r="P2021" s="47"/>
      <c r="Q2021" s="49"/>
      <c r="R2021" s="47"/>
      <c r="S2021" s="50"/>
      <c r="T2021" s="51"/>
      <c r="U2021" s="49"/>
      <c r="V2021" s="51"/>
      <c r="W2021" s="51"/>
      <c r="X2021" s="53"/>
      <c r="Y2021" s="50"/>
      <c r="Z2021" s="51"/>
    </row>
    <row r="2022" spans="1:26" ht="14.45" customHeight="1" x14ac:dyDescent="0.25">
      <c r="A2022" s="47">
        <v>557729</v>
      </c>
      <c r="B2022" s="78">
        <v>45154</v>
      </c>
      <c r="C2022" s="47" t="s">
        <v>9</v>
      </c>
      <c r="D2022" s="49" t="s">
        <v>255</v>
      </c>
      <c r="E2022" s="47">
        <v>616288</v>
      </c>
      <c r="F2022" s="50" t="s">
        <v>89</v>
      </c>
      <c r="G2022" s="50" t="s">
        <v>89</v>
      </c>
      <c r="H2022" s="49">
        <v>109.35</v>
      </c>
      <c r="I2022" s="51"/>
      <c r="J2022" s="51">
        <v>5.95</v>
      </c>
      <c r="K2022" s="53">
        <f>Tabela6[[#This Row],[CONSUMO]]*Tabela6[[#This Row],[VALOR UNIT]]-Tabela6[[#This Row],[DESCONTO]]</f>
        <v>650.63249999999994</v>
      </c>
      <c r="L2022" s="53">
        <v>5.9499999999999993</v>
      </c>
      <c r="M2022" s="50">
        <f>Tabela6[[#This Row],[KM ATUAL]]-E1877</f>
        <v>-57646</v>
      </c>
      <c r="N2022" s="65">
        <f>Tabela6[[#This Row],[KM Rodados ]]/Tabela6[[#This Row],[CONSUMO]]</f>
        <v>-527.16963877457704</v>
      </c>
      <c r="O2022" s="48"/>
      <c r="P2022" s="47"/>
      <c r="Q2022" s="49"/>
      <c r="R2022" s="47"/>
      <c r="S2022" s="50"/>
      <c r="T2022" s="51"/>
      <c r="U2022" s="49"/>
      <c r="V2022" s="51"/>
      <c r="W2022" s="51"/>
      <c r="X2022" s="53"/>
      <c r="Y2022" s="50"/>
      <c r="Z2022" s="51"/>
    </row>
    <row r="2023" spans="1:26" ht="14.45" customHeight="1" x14ac:dyDescent="0.25">
      <c r="A2023" s="47">
        <v>6693</v>
      </c>
      <c r="B2023" s="78">
        <v>45154</v>
      </c>
      <c r="C2023" s="47" t="s">
        <v>67</v>
      </c>
      <c r="D2023" s="49" t="s">
        <v>299</v>
      </c>
      <c r="E2023" s="47">
        <v>676290</v>
      </c>
      <c r="F2023" s="50" t="s">
        <v>89</v>
      </c>
      <c r="G2023" s="51" t="s">
        <v>89</v>
      </c>
      <c r="H2023" s="49">
        <v>107</v>
      </c>
      <c r="I2023" s="51"/>
      <c r="J2023" s="51">
        <v>4.9000000000000004</v>
      </c>
      <c r="K2023" s="53">
        <f>Tabela6[[#This Row],[CONSUMO]]*Tabela6[[#This Row],[VALOR UNIT]]-Tabela6[[#This Row],[DESCONTO]]</f>
        <v>524.30000000000007</v>
      </c>
      <c r="L2023" s="50">
        <v>0</v>
      </c>
      <c r="M2023" s="50">
        <f>Tabela6[[#This Row],[KM ATUAL]]-E2010</f>
        <v>399</v>
      </c>
      <c r="N2023" s="51">
        <f>Tabela6[[#This Row],[KM Rodados ]]/Tabela6[[#This Row],[CONSUMO]]</f>
        <v>3.7289719626168223</v>
      </c>
      <c r="O2023" s="48"/>
      <c r="P2023" s="47"/>
      <c r="Q2023" s="49"/>
      <c r="R2023" s="47"/>
      <c r="S2023" s="50"/>
      <c r="T2023" s="51"/>
      <c r="U2023" s="49"/>
      <c r="V2023" s="51"/>
      <c r="W2023" s="51"/>
      <c r="X2023" s="53"/>
      <c r="Y2023" s="50"/>
      <c r="Z2023" s="51"/>
    </row>
    <row r="2024" spans="1:26" ht="14.45" customHeight="1" x14ac:dyDescent="0.25">
      <c r="A2024" s="47" t="s">
        <v>314</v>
      </c>
      <c r="B2024" s="78">
        <v>45154</v>
      </c>
      <c r="C2024" s="47" t="s">
        <v>39</v>
      </c>
      <c r="E2024" s="47">
        <v>98595</v>
      </c>
      <c r="F2024" s="50"/>
      <c r="G2024" s="50" t="s">
        <v>89</v>
      </c>
      <c r="H2024" s="51">
        <v>104</v>
      </c>
      <c r="I2024" s="51"/>
      <c r="K2024" s="53">
        <f>Tabela6[[#This Row],[CONSUMO]]*Tabela6[[#This Row],[VALOR UNIT]]-Tabela6[[#This Row],[DESCONTO]]</f>
        <v>0</v>
      </c>
      <c r="L2024" s="53">
        <f>Tabela6[[#This Row],[CUSTO TOTAL]]/Tabela6[[#This Row],[CONSUMO]]</f>
        <v>0</v>
      </c>
      <c r="M2024" s="50">
        <f>Tabela6[[#This Row],[KM ATUAL]]-E2010</f>
        <v>-577296</v>
      </c>
      <c r="N2024" s="51">
        <f>Tabela6[[#This Row],[KM Rodados ]]/Tabela6[[#This Row],[CONSUMO]]</f>
        <v>-5550.9230769230771</v>
      </c>
      <c r="O2024" s="48"/>
      <c r="P2024" s="47"/>
      <c r="Q2024" s="49"/>
      <c r="R2024" s="47"/>
      <c r="S2024" s="50"/>
      <c r="T2024" s="51"/>
      <c r="U2024" s="49"/>
      <c r="V2024" s="51"/>
      <c r="W2024" s="51"/>
      <c r="X2024" s="53"/>
      <c r="Y2024" s="50"/>
      <c r="Z2024" s="51"/>
    </row>
    <row r="2025" spans="1:26" ht="14.45" customHeight="1" x14ac:dyDescent="0.25">
      <c r="A2025" s="47">
        <v>6693</v>
      </c>
      <c r="B2025" s="78">
        <v>45154</v>
      </c>
      <c r="C2025" s="47" t="s">
        <v>72</v>
      </c>
      <c r="D2025" s="49" t="s">
        <v>299</v>
      </c>
      <c r="E2025" s="47">
        <v>409246</v>
      </c>
      <c r="F2025" s="50" t="s">
        <v>89</v>
      </c>
      <c r="G2025" s="50" t="s">
        <v>89</v>
      </c>
      <c r="H2025" s="49">
        <v>27</v>
      </c>
      <c r="I2025" s="51"/>
      <c r="J2025" s="51">
        <v>4.9000000000000004</v>
      </c>
      <c r="K2025" s="51">
        <f>Tabela6[[#This Row],[CONSUMO]]*Tabela6[[#This Row],[VALOR UNIT]]-Tabela6[[#This Row],[DESCONTO]]</f>
        <v>132.30000000000001</v>
      </c>
      <c r="L2025" s="53">
        <f>Tabela6[[#This Row],[CUSTO TOTAL]]/Tabela6[[#This Row],[CONSUMO]]</f>
        <v>4.9000000000000004</v>
      </c>
      <c r="M2025" s="50">
        <f>Tabela6[[#This Row],[KM ATUAL]]-E1986</f>
        <v>188347</v>
      </c>
      <c r="N2025" s="51">
        <f>Tabela6[[#This Row],[KM Rodados ]]/Tabela6[[#This Row],[CONSUMO]]</f>
        <v>6975.8148148148148</v>
      </c>
      <c r="O2025" s="48"/>
      <c r="P2025" s="47"/>
      <c r="Q2025" s="49"/>
      <c r="R2025" s="47"/>
      <c r="S2025" s="50"/>
      <c r="T2025" s="51"/>
      <c r="U2025" s="49"/>
      <c r="V2025" s="51"/>
      <c r="W2025" s="51"/>
      <c r="X2025" s="53"/>
      <c r="Y2025" s="50"/>
      <c r="Z2025" s="51"/>
    </row>
    <row r="2026" spans="1:26" ht="14.45" customHeight="1" x14ac:dyDescent="0.25">
      <c r="A2026" s="47">
        <v>6693</v>
      </c>
      <c r="B2026" s="78">
        <v>45154</v>
      </c>
      <c r="C2026" s="47" t="s">
        <v>72</v>
      </c>
      <c r="D2026" s="49" t="s">
        <v>299</v>
      </c>
      <c r="E2026" s="47">
        <v>409366</v>
      </c>
      <c r="F2026" s="50" t="s">
        <v>89</v>
      </c>
      <c r="G2026" s="50" t="s">
        <v>89</v>
      </c>
      <c r="H2026" s="49">
        <v>17</v>
      </c>
      <c r="I2026" s="51"/>
      <c r="J2026" s="51">
        <v>4.9000000000000004</v>
      </c>
      <c r="K2026" s="51">
        <f>Tabela6[[#This Row],[CONSUMO]]*Tabela6[[#This Row],[VALOR UNIT]]-Tabela6[[#This Row],[DESCONTO]]</f>
        <v>83.300000000000011</v>
      </c>
      <c r="L2026" s="53">
        <f>Tabela6[[#This Row],[CUSTO TOTAL]]/Tabela6[[#This Row],[CONSUMO]]</f>
        <v>4.9000000000000004</v>
      </c>
      <c r="M2026" s="50">
        <f>Tabela6[[#This Row],[KM ATUAL]]-E2022</f>
        <v>-206922</v>
      </c>
      <c r="N2026" s="51">
        <f>Tabela6[[#This Row],[KM Rodados ]]/Tabela6[[#This Row],[CONSUMO]]</f>
        <v>-12171.882352941177</v>
      </c>
      <c r="O2026" s="48"/>
      <c r="P2026" s="47"/>
      <c r="Q2026" s="49"/>
      <c r="R2026" s="47"/>
      <c r="S2026" s="50"/>
      <c r="T2026" s="51"/>
      <c r="U2026" s="49"/>
      <c r="V2026" s="51"/>
      <c r="W2026" s="51"/>
      <c r="X2026" s="53"/>
      <c r="Y2026" s="50"/>
      <c r="Z2026" s="51"/>
    </row>
    <row r="2027" spans="1:26" ht="14.45" customHeight="1" x14ac:dyDescent="0.25">
      <c r="A2027" s="47">
        <v>579890</v>
      </c>
      <c r="B2027" s="78">
        <v>45154</v>
      </c>
      <c r="C2027" s="47" t="s">
        <v>73</v>
      </c>
      <c r="D2027" s="49" t="s">
        <v>313</v>
      </c>
      <c r="E2027" s="47">
        <v>135632</v>
      </c>
      <c r="F2027" s="50" t="s">
        <v>89</v>
      </c>
      <c r="G2027" s="50" t="s">
        <v>89</v>
      </c>
      <c r="H2027" s="51">
        <v>100.771</v>
      </c>
      <c r="I2027" s="51"/>
      <c r="J2027" s="51">
        <v>5.89</v>
      </c>
      <c r="K2027" s="52">
        <f>Tabela6[[#This Row],[CONSUMO]]*Tabela6[[#This Row],[VALOR UNIT]]-Tabela6[[#This Row],[DESCONTO]]</f>
        <v>593.54119000000003</v>
      </c>
      <c r="L2027" s="53">
        <f>Tabela6[[#This Row],[CUSTO TOTAL]]/Tabela6[[#This Row],[CONSUMO]]</f>
        <v>5.8900000000000006</v>
      </c>
      <c r="M2027" s="50">
        <f>Tabela6[[#This Row],[KM ATUAL]]-E2001</f>
        <v>-505938</v>
      </c>
      <c r="N2027" s="51">
        <f>Tabela6[[#This Row],[KM Rodados ]]/Tabela6[[#This Row],[CONSUMO]]</f>
        <v>-5020.6706294469641</v>
      </c>
      <c r="O2027" s="48"/>
      <c r="P2027" s="47"/>
      <c r="Q2027" s="49"/>
      <c r="R2027" s="47"/>
      <c r="S2027" s="50"/>
      <c r="T2027" s="51"/>
      <c r="U2027" s="49"/>
      <c r="V2027" s="51"/>
      <c r="W2027" s="51"/>
      <c r="X2027" s="53"/>
      <c r="Y2027" s="50"/>
      <c r="Z2027" s="51"/>
    </row>
    <row r="2028" spans="1:26" ht="14.45" customHeight="1" x14ac:dyDescent="0.25">
      <c r="A2028" s="47">
        <v>6693</v>
      </c>
      <c r="B2028" s="78">
        <v>45154</v>
      </c>
      <c r="C2028" s="47" t="s">
        <v>71</v>
      </c>
      <c r="D2028" s="49" t="s">
        <v>299</v>
      </c>
      <c r="E2028" s="47">
        <v>118377</v>
      </c>
      <c r="F2028" s="50" t="s">
        <v>89</v>
      </c>
      <c r="G2028" s="50" t="s">
        <v>89</v>
      </c>
      <c r="H2028" s="49">
        <v>384</v>
      </c>
      <c r="I2028" s="51"/>
      <c r="J2028" s="51">
        <v>4.9000000000000004</v>
      </c>
      <c r="K2028" s="51">
        <f>Tabela6[[#This Row],[CONSUMO]]*Tabela6[[#This Row],[VALOR UNIT]]-Tabela6[[#This Row],[DESCONTO]]</f>
        <v>1881.6000000000001</v>
      </c>
      <c r="L2028" s="53">
        <f>Tabela6[[#This Row],[CUSTO TOTAL]]/Tabela6[[#This Row],[CONSUMO]]</f>
        <v>4.9000000000000004</v>
      </c>
      <c r="M2028" s="50">
        <f>Tabela6[[#This Row],[KM ATUAL]]-E1979</f>
        <v>-246749</v>
      </c>
      <c r="N2028" s="51">
        <f>Tabela6[[#This Row],[KM Rodados ]]/Tabela6[[#This Row],[CONSUMO]]</f>
        <v>-642.57552083333337</v>
      </c>
      <c r="O2028" s="48"/>
      <c r="P2028" s="47"/>
      <c r="Q2028" s="49"/>
      <c r="R2028" s="47"/>
      <c r="S2028" s="50"/>
      <c r="T2028" s="51"/>
      <c r="U2028" s="49"/>
      <c r="V2028" s="51"/>
      <c r="W2028" s="51"/>
      <c r="X2028" s="53"/>
      <c r="Y2028" s="50"/>
      <c r="Z2028" s="51"/>
    </row>
    <row r="2029" spans="1:26" ht="14.45" customHeight="1" x14ac:dyDescent="0.25">
      <c r="A2029" s="47">
        <v>6693</v>
      </c>
      <c r="B2029" s="78">
        <v>45154</v>
      </c>
      <c r="C2029" s="47" t="s">
        <v>41</v>
      </c>
      <c r="D2029" s="49" t="s">
        <v>299</v>
      </c>
      <c r="E2029" s="47">
        <v>671716</v>
      </c>
      <c r="F2029" s="50" t="s">
        <v>89</v>
      </c>
      <c r="G2029" s="50" t="s">
        <v>89</v>
      </c>
      <c r="H2029" s="49">
        <v>118</v>
      </c>
      <c r="I2029" s="51"/>
      <c r="J2029" s="51">
        <v>4.9000000000000004</v>
      </c>
      <c r="K2029" s="52">
        <f>Tabela6[[#This Row],[CONSUMO]]*Tabela6[[#This Row],[VALOR UNIT]]-Tabela6[[#This Row],[DESCONTO]]</f>
        <v>578.20000000000005</v>
      </c>
      <c r="L2029" s="53">
        <f>Tabela6[[#This Row],[CUSTO TOTAL]]/Tabela6[[#This Row],[CONSUMO]]</f>
        <v>4.9000000000000004</v>
      </c>
      <c r="M2029" s="50">
        <f>Tabela6[[#This Row],[KM ATUAL]]-E1998</f>
        <v>-282220</v>
      </c>
      <c r="N2029" s="51">
        <f>Tabela6[[#This Row],[KM Rodados ]]/Tabela6[[#This Row],[CONSUMO]]</f>
        <v>-2391.6949152542375</v>
      </c>
      <c r="O2029" s="48"/>
      <c r="P2029" s="47"/>
      <c r="Q2029" s="49"/>
      <c r="R2029" s="47"/>
      <c r="S2029" s="50"/>
      <c r="T2029" s="51"/>
      <c r="U2029" s="49"/>
      <c r="V2029" s="51"/>
      <c r="W2029" s="51"/>
      <c r="X2029" s="53"/>
      <c r="Y2029" s="50"/>
      <c r="Z2029" s="51"/>
    </row>
    <row r="2030" spans="1:26" ht="14.45" customHeight="1" x14ac:dyDescent="0.25">
      <c r="A2030" s="47">
        <v>6693</v>
      </c>
      <c r="B2030" s="78">
        <v>45154</v>
      </c>
      <c r="C2030" s="47" t="s">
        <v>13</v>
      </c>
      <c r="D2030" s="49" t="s">
        <v>299</v>
      </c>
      <c r="E2030" s="47">
        <v>642126</v>
      </c>
      <c r="F2030" s="50" t="s">
        <v>89</v>
      </c>
      <c r="G2030" s="50" t="s">
        <v>89</v>
      </c>
      <c r="H2030" s="49">
        <v>119</v>
      </c>
      <c r="I2030" s="51"/>
      <c r="J2030" s="51">
        <v>4.9000000000000004</v>
      </c>
      <c r="K2030" s="51">
        <f>Tabela6[[#This Row],[CONSUMO]]*Tabela6[[#This Row],[VALOR UNIT]]-Tabela6[[#This Row],[DESCONTO]]</f>
        <v>583.1</v>
      </c>
      <c r="L2030" s="53">
        <f>Tabela6[[#This Row],[CUSTO TOTAL]]/Tabela6[[#This Row],[CONSUMO]]</f>
        <v>4.9000000000000004</v>
      </c>
      <c r="M2030" s="50">
        <f>Tabela6[[#This Row],[KM ATUAL]]-E2014</f>
        <v>491006</v>
      </c>
      <c r="N2030" s="51">
        <f>Tabela6[[#This Row],[KM Rodados ]]/Tabela6[[#This Row],[CONSUMO]]</f>
        <v>4126.1008403361348</v>
      </c>
      <c r="O2030" s="48"/>
      <c r="P2030" s="47"/>
      <c r="Q2030" s="49"/>
      <c r="R2030" s="47"/>
      <c r="S2030" s="50"/>
      <c r="T2030" s="51"/>
      <c r="U2030" s="49"/>
      <c r="V2030" s="51"/>
      <c r="W2030" s="51"/>
      <c r="X2030" s="53"/>
      <c r="Y2030" s="50"/>
      <c r="Z2030" s="51"/>
    </row>
    <row r="2031" spans="1:26" ht="14.45" customHeight="1" x14ac:dyDescent="0.25">
      <c r="A2031" s="47">
        <v>6693</v>
      </c>
      <c r="B2031" s="78">
        <v>45154</v>
      </c>
      <c r="C2031" s="47" t="s">
        <v>15</v>
      </c>
      <c r="D2031" s="49" t="s">
        <v>299</v>
      </c>
      <c r="E2031" s="47">
        <v>379108</v>
      </c>
      <c r="F2031" s="50" t="s">
        <v>89</v>
      </c>
      <c r="G2031" s="50" t="s">
        <v>89</v>
      </c>
      <c r="H2031" s="49">
        <v>111</v>
      </c>
      <c r="I2031" s="51"/>
      <c r="J2031" s="51">
        <v>4.9000000000000004</v>
      </c>
      <c r="K2031" s="52">
        <f>Tabela6[[#This Row],[CONSUMO]]*Tabela6[[#This Row],[VALOR UNIT]]-Tabela6[[#This Row],[DESCONTO]]</f>
        <v>543.90000000000009</v>
      </c>
      <c r="L2031" s="53">
        <f>Tabela6[[#This Row],[CUSTO TOTAL]]/Tabela6[[#This Row],[CONSUMO]]</f>
        <v>4.9000000000000012</v>
      </c>
      <c r="M2031" s="50">
        <f>Tabela6[[#This Row],[KM ATUAL]]-E2016</f>
        <v>-659217</v>
      </c>
      <c r="N2031" s="51">
        <f>Tabela6[[#This Row],[KM Rodados ]]/Tabela6[[#This Row],[CONSUMO]]</f>
        <v>-5938.8918918918916</v>
      </c>
      <c r="O2031" s="48"/>
      <c r="P2031" s="47"/>
      <c r="Q2031" s="49"/>
      <c r="R2031" s="47"/>
      <c r="S2031" s="50"/>
      <c r="T2031" s="51"/>
      <c r="U2031" s="49"/>
      <c r="V2031" s="51"/>
      <c r="W2031" s="51"/>
      <c r="X2031" s="53"/>
      <c r="Y2031" s="50"/>
      <c r="Z2031" s="51"/>
    </row>
    <row r="2032" spans="1:26" ht="14.45" customHeight="1" x14ac:dyDescent="0.25">
      <c r="A2032" s="47">
        <v>6693</v>
      </c>
      <c r="B2032" s="78">
        <v>45154</v>
      </c>
      <c r="C2032" s="47" t="s">
        <v>17</v>
      </c>
      <c r="D2032" s="49" t="s">
        <v>299</v>
      </c>
      <c r="E2032" s="47">
        <v>365899</v>
      </c>
      <c r="F2032" s="50" t="s">
        <v>89</v>
      </c>
      <c r="G2032" s="50" t="s">
        <v>89</v>
      </c>
      <c r="H2032" s="51">
        <v>175</v>
      </c>
      <c r="I2032" s="51"/>
      <c r="J2032" s="51">
        <v>4.9000000000000004</v>
      </c>
      <c r="K2032" s="51">
        <f>Tabela6[[#This Row],[CONSUMO]]*Tabela6[[#This Row],[VALOR UNIT]]-Tabela6[[#This Row],[DESCONTO]]</f>
        <v>857.50000000000011</v>
      </c>
      <c r="L2032" s="53">
        <f>Tabela6[[#This Row],[CUSTO TOTAL]]/Tabela6[[#This Row],[CONSUMO]]</f>
        <v>4.9000000000000004</v>
      </c>
      <c r="M2032" s="50">
        <f>Tabela6[[#This Row],[KM ATUAL]]-E1990</f>
        <v>269067</v>
      </c>
      <c r="N2032" s="51">
        <f>Tabela6[[#This Row],[KM Rodados ]]/Tabela6[[#This Row],[CONSUMO]]</f>
        <v>1537.5257142857142</v>
      </c>
      <c r="O2032" s="48"/>
      <c r="P2032" s="47"/>
      <c r="Q2032" s="49"/>
      <c r="R2032" s="47"/>
      <c r="S2032" s="50"/>
      <c r="T2032" s="51"/>
      <c r="U2032" s="49"/>
      <c r="V2032" s="51"/>
      <c r="W2032" s="51"/>
      <c r="X2032" s="53"/>
      <c r="Y2032" s="50"/>
      <c r="Z2032" s="51"/>
    </row>
    <row r="2033" spans="1:26" ht="14.45" customHeight="1" x14ac:dyDescent="0.25">
      <c r="A2033" s="47">
        <v>6693</v>
      </c>
      <c r="B2033" s="78">
        <v>45154</v>
      </c>
      <c r="C2033" s="47" t="s">
        <v>19</v>
      </c>
      <c r="D2033" s="49" t="s">
        <v>299</v>
      </c>
      <c r="E2033" s="47">
        <v>322326</v>
      </c>
      <c r="F2033" s="50" t="s">
        <v>89</v>
      </c>
      <c r="G2033" s="50" t="s">
        <v>89</v>
      </c>
      <c r="H2033" s="51">
        <v>159</v>
      </c>
      <c r="I2033" s="51"/>
      <c r="J2033" s="51">
        <v>4.9000000000000004</v>
      </c>
      <c r="K2033" s="51">
        <f>Tabela6[[#This Row],[CONSUMO]]*Tabela6[[#This Row],[VALOR UNIT]]-Tabela6[[#This Row],[DESCONTO]]</f>
        <v>779.1</v>
      </c>
      <c r="L2033" s="53">
        <f>Tabela6[[#This Row],[CUSTO TOTAL]]/Tabela6[[#This Row],[CONSUMO]]</f>
        <v>4.9000000000000004</v>
      </c>
      <c r="M2033" s="50">
        <f>Tabela6[[#This Row],[KM ATUAL]]-E1992</f>
        <v>214482</v>
      </c>
      <c r="N2033" s="51">
        <f>Tabela6[[#This Row],[KM Rodados ]]/Tabela6[[#This Row],[CONSUMO]]</f>
        <v>1348.9433962264152</v>
      </c>
      <c r="O2033" s="48"/>
      <c r="P2033" s="47"/>
      <c r="Q2033" s="49"/>
      <c r="R2033" s="47"/>
      <c r="S2033" s="50"/>
      <c r="T2033" s="51"/>
      <c r="U2033" s="49"/>
      <c r="V2033" s="51"/>
      <c r="W2033" s="51"/>
      <c r="X2033" s="53"/>
      <c r="Y2033" s="50"/>
      <c r="Z2033" s="51"/>
    </row>
    <row r="2034" spans="1:26" ht="14.45" customHeight="1" x14ac:dyDescent="0.25">
      <c r="A2034" s="47">
        <v>14984</v>
      </c>
      <c r="B2034" s="78">
        <v>45155</v>
      </c>
      <c r="C2034" s="47" t="s">
        <v>42</v>
      </c>
      <c r="D2034" s="49" t="s">
        <v>253</v>
      </c>
      <c r="E2034" s="47">
        <v>370139</v>
      </c>
      <c r="F2034" s="50" t="s">
        <v>89</v>
      </c>
      <c r="G2034" s="50" t="s">
        <v>89</v>
      </c>
      <c r="H2034" s="49">
        <v>91.69</v>
      </c>
      <c r="I2034" s="51"/>
      <c r="J2034" s="51">
        <v>5.69</v>
      </c>
      <c r="K2034" s="53">
        <f>Tabela6[[#This Row],[CONSUMO]]*Tabela6[[#This Row],[VALOR UNIT]]-Tabela6[[#This Row],[DESCONTO]]</f>
        <v>521.71609999999998</v>
      </c>
      <c r="L2034" s="77">
        <v>5.69</v>
      </c>
      <c r="M2034" s="50">
        <f>Tabela6[[#This Row],[KM ATUAL]]-E1935</f>
        <v>37663</v>
      </c>
      <c r="N2034" s="51">
        <f>Tabela6[[#This Row],[KM Rodados ]]/Tabela6[[#This Row],[CONSUMO]]</f>
        <v>410.76453266441268</v>
      </c>
      <c r="O2034" s="48"/>
      <c r="P2034" s="47"/>
      <c r="Q2034" s="49"/>
      <c r="R2034" s="47"/>
      <c r="S2034" s="50"/>
      <c r="T2034" s="51"/>
      <c r="U2034" s="49"/>
      <c r="V2034" s="51"/>
      <c r="W2034" s="51"/>
      <c r="X2034" s="53"/>
      <c r="Y2034" s="50"/>
      <c r="Z2034" s="51"/>
    </row>
    <row r="2035" spans="1:26" ht="14.45" customHeight="1" x14ac:dyDescent="0.25">
      <c r="A2035" s="47">
        <v>201536</v>
      </c>
      <c r="B2035" s="78">
        <v>45155</v>
      </c>
      <c r="C2035" s="47" t="s">
        <v>70</v>
      </c>
      <c r="D2035" s="49" t="s">
        <v>262</v>
      </c>
      <c r="E2035" s="47">
        <v>221566</v>
      </c>
      <c r="F2035" s="50"/>
      <c r="G2035" s="50" t="s">
        <v>241</v>
      </c>
      <c r="H2035" s="49">
        <v>67.441000000000003</v>
      </c>
      <c r="I2035" s="51">
        <v>24.28</v>
      </c>
      <c r="J2035" s="51">
        <v>3.69</v>
      </c>
      <c r="K2035" s="51">
        <f>Tabela6[[#This Row],[CONSUMO]]*Tabela6[[#This Row],[VALOR UNIT]]-Tabela6[[#This Row],[DESCONTO]]</f>
        <v>224.57729</v>
      </c>
      <c r="L2035" s="53">
        <f>Tabela6[[#This Row],[CUSTO TOTAL]]/Tabela6[[#This Row],[CONSUMO]]</f>
        <v>3.3299816135585179</v>
      </c>
      <c r="M2035" s="50"/>
      <c r="O2035" s="48"/>
      <c r="P2035" s="47"/>
      <c r="Q2035" s="49"/>
      <c r="R2035" s="47"/>
      <c r="S2035" s="50"/>
      <c r="T2035" s="51"/>
      <c r="U2035" s="49"/>
      <c r="V2035" s="51"/>
      <c r="W2035" s="51"/>
      <c r="X2035" s="53"/>
      <c r="Y2035" s="50"/>
      <c r="Z2035" s="51"/>
    </row>
    <row r="2036" spans="1:26" ht="14.45" customHeight="1" x14ac:dyDescent="0.25">
      <c r="A2036" s="47">
        <v>557968</v>
      </c>
      <c r="B2036" s="78">
        <v>45155</v>
      </c>
      <c r="C2036" s="47" t="s">
        <v>64</v>
      </c>
      <c r="D2036" s="49" t="s">
        <v>255</v>
      </c>
      <c r="E2036" s="47">
        <v>88226</v>
      </c>
      <c r="F2036" s="50" t="s">
        <v>89</v>
      </c>
      <c r="G2036" s="50" t="s">
        <v>89</v>
      </c>
      <c r="H2036" s="49">
        <v>154.25</v>
      </c>
      <c r="I2036" s="51"/>
      <c r="J2036" s="51">
        <v>6.16</v>
      </c>
      <c r="K2036" s="51">
        <f>Tabela6[[#This Row],[CONSUMO]]*Tabela6[[#This Row],[VALOR UNIT]]-Tabela6[[#This Row],[DESCONTO]]</f>
        <v>950.18000000000006</v>
      </c>
      <c r="L2036" s="53">
        <f>Tabela6[[#This Row],[CUSTO TOTAL]]/Tabela6[[#This Row],[CONSUMO]]</f>
        <v>6.16</v>
      </c>
      <c r="M2036" s="50">
        <f>Tabela6[[#This Row],[KM ATUAL]]-E2019</f>
        <v>-177873</v>
      </c>
      <c r="N2036" s="51">
        <f>Tabela6[[#This Row],[KM Rodados ]]/Tabela6[[#This Row],[CONSUMO]]</f>
        <v>-1153.1474878444085</v>
      </c>
      <c r="O2036" s="48"/>
      <c r="P2036" s="47"/>
      <c r="Q2036" s="49"/>
      <c r="R2036" s="47"/>
      <c r="S2036" s="50"/>
      <c r="T2036" s="51"/>
      <c r="U2036" s="49"/>
      <c r="V2036" s="51"/>
      <c r="W2036" s="51"/>
      <c r="X2036" s="53"/>
      <c r="Y2036" s="50"/>
      <c r="Z2036" s="51"/>
    </row>
    <row r="2037" spans="1:26" ht="14.45" customHeight="1" x14ac:dyDescent="0.25">
      <c r="A2037" s="47">
        <v>717810</v>
      </c>
      <c r="B2037" s="78">
        <v>45155</v>
      </c>
      <c r="C2037" s="47" t="s">
        <v>13</v>
      </c>
      <c r="D2037" s="49" t="s">
        <v>264</v>
      </c>
      <c r="E2037" s="47">
        <v>642777</v>
      </c>
      <c r="F2037" s="50" t="s">
        <v>89</v>
      </c>
      <c r="G2037" s="50" t="s">
        <v>89</v>
      </c>
      <c r="H2037" s="49">
        <v>127.17100000000001</v>
      </c>
      <c r="I2037" s="51"/>
      <c r="J2037" s="51">
        <v>6.01</v>
      </c>
      <c r="K2037" s="51">
        <f>Tabela6[[#This Row],[CONSUMO]]*Tabela6[[#This Row],[VALOR UNIT]]-Tabela6[[#This Row],[DESCONTO]]</f>
        <v>764.29771000000005</v>
      </c>
      <c r="L2037" s="53">
        <f>Tabela6[[#This Row],[CUSTO TOTAL]]/Tabela6[[#This Row],[CONSUMO]]</f>
        <v>6.01</v>
      </c>
      <c r="M2037" s="50">
        <f>Tabela6[[#This Row],[KM ATUAL]]-E2025</f>
        <v>233531</v>
      </c>
      <c r="N2037" s="51">
        <f>Tabela6[[#This Row],[KM Rodados ]]/Tabela6[[#This Row],[CONSUMO]]</f>
        <v>1836.3542002500569</v>
      </c>
      <c r="O2037" s="48"/>
      <c r="P2037" s="47"/>
      <c r="Q2037" s="49"/>
      <c r="R2037" s="47"/>
      <c r="S2037" s="50"/>
      <c r="T2037" s="51"/>
      <c r="U2037" s="49"/>
      <c r="V2037" s="51"/>
      <c r="W2037" s="51"/>
      <c r="X2037" s="53"/>
      <c r="Y2037" s="50"/>
      <c r="Z2037" s="51"/>
    </row>
    <row r="2038" spans="1:26" ht="14.45" customHeight="1" x14ac:dyDescent="0.25">
      <c r="A2038" s="47">
        <v>166576</v>
      </c>
      <c r="B2038" s="78">
        <v>45156</v>
      </c>
      <c r="C2038" s="47" t="s">
        <v>43</v>
      </c>
      <c r="D2038" s="49" t="s">
        <v>246</v>
      </c>
      <c r="E2038" s="47">
        <v>141441</v>
      </c>
      <c r="F2038" s="50" t="s">
        <v>89</v>
      </c>
      <c r="G2038" s="51" t="s">
        <v>89</v>
      </c>
      <c r="H2038" s="49">
        <v>35.965000000000003</v>
      </c>
      <c r="I2038" s="51">
        <v>33.08</v>
      </c>
      <c r="J2038" s="51">
        <v>6.81</v>
      </c>
      <c r="K2038" s="53">
        <f>Tabela6[[#This Row],[CONSUMO]]*Tabela6[[#This Row],[VALOR UNIT]]-Tabela6[[#This Row],[DESCONTO]]</f>
        <v>211.84165000000002</v>
      </c>
      <c r="L2038" s="50">
        <v>5.8902168775198112</v>
      </c>
      <c r="M2038" s="51">
        <f>Tabela6[[#This Row],[KM ATUAL]]-E2023</f>
        <v>-534849</v>
      </c>
      <c r="N2038" s="51">
        <f>Tabela6[[#This Row],[KM Rodados ]]/Tabela6[[#This Row],[CONSUMO]]</f>
        <v>-14871.374947865979</v>
      </c>
      <c r="O2038" s="48"/>
      <c r="P2038" s="47"/>
      <c r="Q2038" s="49"/>
      <c r="R2038" s="47"/>
      <c r="S2038" s="50"/>
      <c r="T2038" s="51"/>
      <c r="U2038" s="49"/>
      <c r="V2038" s="51"/>
      <c r="W2038" s="51"/>
      <c r="X2038" s="53"/>
      <c r="Y2038" s="50"/>
      <c r="Z2038" s="51"/>
    </row>
    <row r="2039" spans="1:26" ht="14.45" customHeight="1" x14ac:dyDescent="0.25">
      <c r="A2039" s="47">
        <v>201831</v>
      </c>
      <c r="B2039" s="78">
        <v>45156</v>
      </c>
      <c r="C2039" s="47" t="s">
        <v>43</v>
      </c>
      <c r="D2039" s="49" t="s">
        <v>262</v>
      </c>
      <c r="E2039" s="47">
        <v>141746</v>
      </c>
      <c r="F2039" s="50" t="s">
        <v>89</v>
      </c>
      <c r="G2039" s="51" t="s">
        <v>89</v>
      </c>
      <c r="H2039" s="49">
        <v>38.01</v>
      </c>
      <c r="I2039" s="51"/>
      <c r="J2039" s="51">
        <v>5.89</v>
      </c>
      <c r="K2039" s="53">
        <f>Tabela6[[#This Row],[CONSUMO]]*Tabela6[[#This Row],[VALOR UNIT]]-Tabela6[[#This Row],[DESCONTO]]</f>
        <v>223.87889999999999</v>
      </c>
      <c r="L2039" s="50">
        <v>5.89</v>
      </c>
      <c r="M2039" s="51">
        <f>Tabela6[[#This Row],[KM ATUAL]]-E2034</f>
        <v>-228393</v>
      </c>
      <c r="N2039" s="51">
        <f>Tabela6[[#This Row],[KM Rodados ]]/Tabela6[[#This Row],[CONSUMO]]</f>
        <v>-6008.7608524072612</v>
      </c>
      <c r="O2039" s="48"/>
      <c r="P2039" s="47"/>
      <c r="Q2039" s="49"/>
      <c r="R2039" s="47"/>
      <c r="S2039" s="50"/>
      <c r="T2039" s="51"/>
      <c r="U2039" s="49"/>
      <c r="V2039" s="51"/>
      <c r="W2039" s="51"/>
      <c r="X2039" s="53"/>
      <c r="Y2039" s="50"/>
      <c r="Z2039" s="51"/>
    </row>
    <row r="2040" spans="1:26" ht="14.45" customHeight="1" x14ac:dyDescent="0.25">
      <c r="A2040" s="47">
        <v>6693</v>
      </c>
      <c r="B2040" s="78">
        <v>45156</v>
      </c>
      <c r="C2040" s="47" t="s">
        <v>222</v>
      </c>
      <c r="D2040" s="49" t="s">
        <v>299</v>
      </c>
      <c r="E2040" s="47">
        <v>493968</v>
      </c>
      <c r="F2040" s="50" t="s">
        <v>89</v>
      </c>
      <c r="G2040" s="50" t="s">
        <v>89</v>
      </c>
      <c r="H2040" s="49">
        <v>300</v>
      </c>
      <c r="I2040" s="51"/>
      <c r="J2040" s="51">
        <v>4.9000000000000004</v>
      </c>
      <c r="K2040" s="53">
        <f>Tabela6[[#This Row],[CONSUMO]]*Tabela6[[#This Row],[VALOR UNIT]]-Tabela6[[#This Row],[DESCONTO]]</f>
        <v>1470</v>
      </c>
      <c r="L2040" s="50">
        <v>0</v>
      </c>
      <c r="M2040" s="50">
        <f>Tabela6[[#This Row],[KM ATUAL]]-E2007</f>
        <v>-412111</v>
      </c>
      <c r="N2040" s="51">
        <f>Tabela6[[#This Row],[KM Rodados ]]/Tabela6[[#This Row],[CONSUMO]]</f>
        <v>-1373.7033333333334</v>
      </c>
      <c r="O2040" s="48"/>
      <c r="P2040" s="47"/>
      <c r="Q2040" s="49"/>
      <c r="R2040" s="47"/>
      <c r="S2040" s="50"/>
      <c r="T2040" s="51"/>
      <c r="U2040" s="49"/>
      <c r="V2040" s="51"/>
      <c r="W2040" s="51"/>
      <c r="X2040" s="53"/>
      <c r="Y2040" s="50"/>
      <c r="Z2040" s="51"/>
    </row>
    <row r="2041" spans="1:26" ht="14.45" customHeight="1" x14ac:dyDescent="0.25">
      <c r="A2041" s="47" t="s">
        <v>314</v>
      </c>
      <c r="B2041" s="78">
        <v>45156</v>
      </c>
      <c r="C2041" s="47" t="s">
        <v>22</v>
      </c>
      <c r="E2041" s="47">
        <v>333452</v>
      </c>
      <c r="F2041" s="50"/>
      <c r="G2041" s="50" t="s">
        <v>89</v>
      </c>
      <c r="H2041" s="51">
        <v>95</v>
      </c>
      <c r="I2041" s="51"/>
      <c r="K2041" s="53">
        <f>Tabela6[[#This Row],[CONSUMO]]*Tabela6[[#This Row],[VALOR UNIT]]-Tabela6[[#This Row],[DESCONTO]]</f>
        <v>0</v>
      </c>
      <c r="L2041" s="53">
        <f>Tabela6[[#This Row],[CUSTO TOTAL]]/Tabela6[[#This Row],[CONSUMO]]</f>
        <v>0</v>
      </c>
      <c r="M2041" s="50">
        <f>Tabela6[[#This Row],[KM ATUAL]]-E1982</f>
        <v>193159</v>
      </c>
      <c r="N2041" s="50">
        <f>Tabela6[[#This Row],[KM Rodados ]]/Tabela6[[#This Row],[CONSUMO]]</f>
        <v>2033.2526315789473</v>
      </c>
      <c r="O2041" s="48"/>
      <c r="P2041" s="47"/>
      <c r="Q2041" s="49"/>
      <c r="R2041" s="47"/>
      <c r="S2041" s="50"/>
      <c r="T2041" s="51"/>
      <c r="U2041" s="49"/>
      <c r="V2041" s="51"/>
      <c r="W2041" s="51"/>
      <c r="X2041" s="53"/>
      <c r="Y2041" s="50"/>
      <c r="Z2041" s="51"/>
    </row>
    <row r="2042" spans="1:26" ht="14.45" customHeight="1" x14ac:dyDescent="0.25">
      <c r="A2042" s="47">
        <v>6693</v>
      </c>
      <c r="B2042" s="78">
        <v>45156</v>
      </c>
      <c r="C2042" s="47" t="s">
        <v>39</v>
      </c>
      <c r="D2042" s="49" t="s">
        <v>299</v>
      </c>
      <c r="E2042" s="47">
        <v>99059</v>
      </c>
      <c r="F2042" s="50" t="s">
        <v>89</v>
      </c>
      <c r="G2042" s="50" t="s">
        <v>89</v>
      </c>
      <c r="H2042" s="51">
        <v>70</v>
      </c>
      <c r="I2042" s="51"/>
      <c r="J2042" s="51">
        <v>4.9000000000000004</v>
      </c>
      <c r="K2042" s="53">
        <f>Tabela6[[#This Row],[CONSUMO]]*Tabela6[[#This Row],[VALOR UNIT]]-Tabela6[[#This Row],[DESCONTO]]</f>
        <v>343</v>
      </c>
      <c r="L2042" s="50">
        <v>0</v>
      </c>
      <c r="M2042" s="50">
        <f>Tabela6[[#This Row],[KM ATUAL]]-E2025</f>
        <v>-310187</v>
      </c>
      <c r="N2042" s="51">
        <f>Tabela6[[#This Row],[KM Rodados ]]/Tabela6[[#This Row],[CONSUMO]]</f>
        <v>-4431.2428571428572</v>
      </c>
      <c r="O2042" s="48"/>
      <c r="P2042" s="47"/>
      <c r="Q2042" s="49"/>
      <c r="R2042" s="47"/>
      <c r="S2042" s="50"/>
      <c r="T2042" s="51"/>
      <c r="U2042" s="49"/>
      <c r="V2042" s="51"/>
      <c r="W2042" s="51"/>
      <c r="X2042" s="53"/>
      <c r="Y2042" s="50"/>
      <c r="Z2042" s="51"/>
    </row>
    <row r="2043" spans="1:26" ht="14.45" customHeight="1" x14ac:dyDescent="0.25">
      <c r="A2043" s="47">
        <v>201709</v>
      </c>
      <c r="B2043" s="78">
        <v>45156</v>
      </c>
      <c r="C2043" s="47" t="s">
        <v>72</v>
      </c>
      <c r="D2043" s="49" t="s">
        <v>262</v>
      </c>
      <c r="E2043" s="47">
        <v>409487</v>
      </c>
      <c r="F2043" s="50" t="s">
        <v>89</v>
      </c>
      <c r="G2043" s="50" t="s">
        <v>89</v>
      </c>
      <c r="H2043" s="49">
        <v>17.829999999999998</v>
      </c>
      <c r="I2043" s="51"/>
      <c r="J2043" s="51">
        <v>5.89</v>
      </c>
      <c r="K2043" s="51">
        <f>Tabela6[[#This Row],[CONSUMO]]*Tabela6[[#This Row],[VALOR UNIT]]-Tabela6[[#This Row],[DESCONTO]]</f>
        <v>105.01869999999998</v>
      </c>
      <c r="L2043" s="53">
        <f>Tabela6[[#This Row],[CUSTO TOTAL]]/Tabela6[[#This Row],[CONSUMO]]</f>
        <v>5.89</v>
      </c>
      <c r="M2043" s="50">
        <f>Tabela6[[#This Row],[KM ATUAL]]-E2029</f>
        <v>-262229</v>
      </c>
      <c r="N2043" s="51">
        <f>Tabela6[[#This Row],[KM Rodados ]]/Tabela6[[#This Row],[CONSUMO]]</f>
        <v>-14707.178911946159</v>
      </c>
      <c r="O2043" s="48"/>
      <c r="P2043" s="47"/>
      <c r="Q2043" s="49"/>
      <c r="R2043" s="47"/>
      <c r="S2043" s="50"/>
      <c r="T2043" s="51"/>
      <c r="U2043" s="49"/>
      <c r="V2043" s="51"/>
      <c r="W2043" s="51"/>
      <c r="X2043" s="53"/>
      <c r="Y2043" s="50"/>
      <c r="Z2043" s="51"/>
    </row>
    <row r="2044" spans="1:26" ht="14.45" customHeight="1" x14ac:dyDescent="0.25">
      <c r="A2044" s="47">
        <v>15800</v>
      </c>
      <c r="B2044" s="78">
        <v>45156</v>
      </c>
      <c r="C2044" s="47" t="s">
        <v>72</v>
      </c>
      <c r="D2044" s="49" t="s">
        <v>253</v>
      </c>
      <c r="E2044" s="47">
        <v>409809</v>
      </c>
      <c r="F2044" s="50" t="s">
        <v>89</v>
      </c>
      <c r="G2044" s="50" t="s">
        <v>89</v>
      </c>
      <c r="H2044" s="49">
        <v>33.020000000000003</v>
      </c>
      <c r="I2044" s="51"/>
      <c r="J2044" s="51">
        <v>5.99</v>
      </c>
      <c r="K2044" s="51">
        <f>Tabela6[[#This Row],[CONSUMO]]*Tabela6[[#This Row],[VALOR UNIT]]-Tabela6[[#This Row],[DESCONTO]]</f>
        <v>197.78980000000001</v>
      </c>
      <c r="L2044" s="53">
        <f>Tabela6[[#This Row],[CUSTO TOTAL]]/Tabela6[[#This Row],[CONSUMO]]</f>
        <v>5.99</v>
      </c>
      <c r="M2044" s="50">
        <f>Tabela6[[#This Row],[KM ATUAL]]-E2043</f>
        <v>322</v>
      </c>
      <c r="N2044" s="51">
        <f>Tabela6[[#This Row],[KM Rodados ]]/Tabela6[[#This Row],[CONSUMO]]</f>
        <v>9.7516656571774671</v>
      </c>
      <c r="O2044" s="48"/>
      <c r="P2044" s="47"/>
      <c r="Q2044" s="49"/>
      <c r="R2044" s="47"/>
      <c r="S2044" s="50"/>
      <c r="T2044" s="51"/>
      <c r="U2044" s="49"/>
      <c r="V2044" s="51"/>
      <c r="W2044" s="51"/>
      <c r="X2044" s="53"/>
      <c r="Y2044" s="50"/>
      <c r="Z2044" s="51"/>
    </row>
    <row r="2045" spans="1:26" ht="14.45" customHeight="1" x14ac:dyDescent="0.25">
      <c r="A2045" s="47">
        <v>201767</v>
      </c>
      <c r="B2045" s="78">
        <v>45156</v>
      </c>
      <c r="C2045" s="47" t="s">
        <v>73</v>
      </c>
      <c r="D2045" s="49" t="s">
        <v>262</v>
      </c>
      <c r="E2045" s="47">
        <v>136413</v>
      </c>
      <c r="F2045" s="50" t="s">
        <v>89</v>
      </c>
      <c r="G2045" s="50" t="s">
        <v>89</v>
      </c>
      <c r="H2045" s="51">
        <v>185.9</v>
      </c>
      <c r="I2045" s="51"/>
      <c r="J2045" s="51">
        <v>5.89</v>
      </c>
      <c r="K2045" s="52">
        <f>Tabela6[[#This Row],[CONSUMO]]*Tabela6[[#This Row],[VALOR UNIT]]-Tabela6[[#This Row],[DESCONTO]]</f>
        <v>1094.951</v>
      </c>
      <c r="L2045" s="53">
        <f>Tabela6[[#This Row],[CUSTO TOTAL]]/Tabela6[[#This Row],[CONSUMO]]</f>
        <v>5.89</v>
      </c>
      <c r="M2045" s="50">
        <f>Tabela6[[#This Row],[KM ATUAL]]-E2024</f>
        <v>37818</v>
      </c>
      <c r="N2045" s="51">
        <f>Tabela6[[#This Row],[KM Rodados ]]/Tabela6[[#This Row],[CONSUMO]]</f>
        <v>203.4319526627219</v>
      </c>
      <c r="O2045" s="48"/>
      <c r="P2045" s="47"/>
      <c r="Q2045" s="49"/>
      <c r="R2045" s="47"/>
      <c r="S2045" s="50"/>
      <c r="T2045" s="51"/>
      <c r="U2045" s="49"/>
      <c r="V2045" s="51"/>
      <c r="W2045" s="51"/>
      <c r="X2045" s="53"/>
      <c r="Y2045" s="50"/>
      <c r="Z2045" s="51"/>
    </row>
    <row r="2046" spans="1:26" ht="14.45" customHeight="1" x14ac:dyDescent="0.25">
      <c r="A2046" s="47">
        <v>201809</v>
      </c>
      <c r="B2046" s="78">
        <v>45156</v>
      </c>
      <c r="C2046" s="47" t="s">
        <v>10</v>
      </c>
      <c r="D2046" s="49" t="s">
        <v>262</v>
      </c>
      <c r="E2046" s="47">
        <v>722524</v>
      </c>
      <c r="F2046" s="50" t="s">
        <v>89</v>
      </c>
      <c r="G2046" s="50" t="s">
        <v>89</v>
      </c>
      <c r="H2046" s="49">
        <v>93.760999999999996</v>
      </c>
      <c r="I2046" s="51"/>
      <c r="J2046" s="51">
        <v>5.89</v>
      </c>
      <c r="K2046" s="51">
        <f>Tabela6[[#This Row],[CONSUMO]]*Tabela6[[#This Row],[VALOR UNIT]]-Tabela6[[#This Row],[DESCONTO]]</f>
        <v>552.2522899999999</v>
      </c>
      <c r="L2046" s="53">
        <f>Tabela6[[#This Row],[CUSTO TOTAL]]/Tabela6[[#This Row],[CONSUMO]]</f>
        <v>5.8899999999999988</v>
      </c>
      <c r="M2046" s="50">
        <f>Tabela6[[#This Row],[KM ATUAL]]-E2003</f>
        <v>344102</v>
      </c>
      <c r="N2046" s="51">
        <f>Tabela6[[#This Row],[KM Rodados ]]/Tabela6[[#This Row],[CONSUMO]]</f>
        <v>3669.9907210887259</v>
      </c>
      <c r="O2046" s="48"/>
      <c r="P2046" s="47"/>
      <c r="Q2046" s="49"/>
      <c r="R2046" s="47"/>
      <c r="S2046" s="50"/>
      <c r="T2046" s="51"/>
      <c r="U2046" s="49"/>
      <c r="V2046" s="51"/>
      <c r="W2046" s="51"/>
      <c r="X2046" s="53"/>
      <c r="Y2046" s="50"/>
      <c r="Z2046" s="51"/>
    </row>
    <row r="2047" spans="1:26" ht="14.45" customHeight="1" x14ac:dyDescent="0.25">
      <c r="A2047" s="47">
        <v>323349</v>
      </c>
      <c r="B2047" s="78">
        <v>45156</v>
      </c>
      <c r="C2047" s="47" t="s">
        <v>17</v>
      </c>
      <c r="D2047" s="49" t="s">
        <v>276</v>
      </c>
      <c r="E2047" s="47">
        <v>366444</v>
      </c>
      <c r="F2047" s="50" t="s">
        <v>89</v>
      </c>
      <c r="G2047" s="50" t="s">
        <v>89</v>
      </c>
      <c r="H2047" s="51">
        <v>122.32899999999999</v>
      </c>
      <c r="I2047" s="51"/>
      <c r="J2047" s="51">
        <v>5.89</v>
      </c>
      <c r="K2047" s="51">
        <f>Tabela6[[#This Row],[CONSUMO]]*Tabela6[[#This Row],[VALOR UNIT]]-Tabela6[[#This Row],[DESCONTO]]</f>
        <v>720.51780999999994</v>
      </c>
      <c r="L2047" s="53">
        <f>Tabela6[[#This Row],[CUSTO TOTAL]]/Tabela6[[#This Row],[CONSUMO]]</f>
        <v>5.89</v>
      </c>
      <c r="M2047" s="50">
        <f>Tabela6[[#This Row],[KM ATUAL]]-E2027</f>
        <v>230812</v>
      </c>
      <c r="N2047" s="51">
        <f>Tabela6[[#This Row],[KM Rodados ]]/Tabela6[[#This Row],[CONSUMO]]</f>
        <v>1886.8134293585333</v>
      </c>
      <c r="O2047" s="48"/>
      <c r="P2047" s="47"/>
      <c r="Q2047" s="49"/>
      <c r="R2047" s="47"/>
      <c r="S2047" s="50"/>
      <c r="T2047" s="51"/>
      <c r="U2047" s="49"/>
      <c r="V2047" s="51"/>
      <c r="W2047" s="51"/>
      <c r="X2047" s="53"/>
      <c r="Y2047" s="50"/>
      <c r="Z2047" s="51"/>
    </row>
    <row r="2048" spans="1:26" ht="14.45" customHeight="1" x14ac:dyDescent="0.25">
      <c r="A2048" s="47">
        <v>201778</v>
      </c>
      <c r="B2048" s="78">
        <v>45156</v>
      </c>
      <c r="C2048" s="47" t="s">
        <v>20</v>
      </c>
      <c r="D2048" s="49" t="s">
        <v>262</v>
      </c>
      <c r="E2048" s="47">
        <v>266586</v>
      </c>
      <c r="F2048" s="50" t="s">
        <v>89</v>
      </c>
      <c r="G2048" s="50" t="s">
        <v>89</v>
      </c>
      <c r="H2048" s="49">
        <v>55.25</v>
      </c>
      <c r="I2048" s="51"/>
      <c r="J2048" s="51">
        <v>5.89</v>
      </c>
      <c r="K2048" s="52">
        <f>Tabela6[[#This Row],[CONSUMO]]*Tabela6[[#This Row],[VALOR UNIT]]-Tabela6[[#This Row],[DESCONTO]]</f>
        <v>325.42249999999996</v>
      </c>
      <c r="L2048" s="53">
        <f>Tabela6[[#This Row],[CUSTO TOTAL]]/Tabela6[[#This Row],[CONSUMO]]</f>
        <v>5.8899999999999988</v>
      </c>
      <c r="M2048" s="50">
        <f>Tabela6[[#This Row],[KM ATUAL]]-E2022</f>
        <v>-349702</v>
      </c>
      <c r="N2048" s="51">
        <f>Tabela6[[#This Row],[KM Rodados ]]/Tabela6[[#This Row],[CONSUMO]]</f>
        <v>-6329.4479638009052</v>
      </c>
      <c r="O2048" s="48"/>
      <c r="P2048" s="47"/>
      <c r="Q2048" s="49"/>
      <c r="R2048" s="47"/>
      <c r="S2048" s="50"/>
      <c r="T2048" s="51"/>
      <c r="U2048" s="49"/>
      <c r="V2048" s="51"/>
      <c r="W2048" s="51"/>
      <c r="X2048" s="53"/>
      <c r="Y2048" s="50"/>
      <c r="Z2048" s="51"/>
    </row>
    <row r="2049" spans="1:26" ht="14.45" customHeight="1" x14ac:dyDescent="0.25">
      <c r="A2049" s="47">
        <v>15413</v>
      </c>
      <c r="B2049" s="78">
        <v>45156</v>
      </c>
      <c r="C2049" s="47" t="s">
        <v>23</v>
      </c>
      <c r="D2049" s="49" t="s">
        <v>253</v>
      </c>
      <c r="E2049" s="47">
        <v>240329</v>
      </c>
      <c r="F2049" s="50" t="s">
        <v>89</v>
      </c>
      <c r="G2049" s="50" t="s">
        <v>89</v>
      </c>
      <c r="H2049" s="49">
        <v>140.80000000000001</v>
      </c>
      <c r="I2049" s="51"/>
      <c r="J2049" s="51">
        <v>5.69</v>
      </c>
      <c r="K2049" s="51">
        <f>Tabela6[[#This Row],[CONSUMO]]*Tabela6[[#This Row],[VALOR UNIT]]-Tabela6[[#This Row],[DESCONTO]]</f>
        <v>801.15200000000016</v>
      </c>
      <c r="L2049" s="53">
        <f>Tabela6[[#This Row],[CUSTO TOTAL]]/Tabela6[[#This Row],[CONSUMO]]</f>
        <v>5.69</v>
      </c>
      <c r="M2049" s="50">
        <f>Tabela6[[#This Row],[KM ATUAL]]-E1997</f>
        <v>-481853</v>
      </c>
      <c r="N2049" s="51">
        <f>Tabela6[[#This Row],[KM Rodados ]]/Tabela6[[#This Row],[CONSUMO]]</f>
        <v>-3422.251420454545</v>
      </c>
      <c r="O2049" s="48"/>
      <c r="P2049" s="47"/>
      <c r="Q2049" s="49"/>
      <c r="R2049" s="47"/>
      <c r="S2049" s="50"/>
      <c r="T2049" s="51"/>
      <c r="U2049" s="49"/>
      <c r="V2049" s="51"/>
      <c r="W2049" s="51"/>
      <c r="X2049" s="53"/>
      <c r="Y2049" s="50"/>
      <c r="Z2049" s="51"/>
    </row>
    <row r="2050" spans="1:26" ht="14.45" customHeight="1" x14ac:dyDescent="0.25">
      <c r="A2050" s="47">
        <v>323253</v>
      </c>
      <c r="B2050" s="78">
        <v>45156</v>
      </c>
      <c r="C2050" s="47" t="s">
        <v>74</v>
      </c>
      <c r="D2050" s="49" t="s">
        <v>276</v>
      </c>
      <c r="E2050" s="47">
        <v>70581</v>
      </c>
      <c r="F2050" s="50" t="s">
        <v>89</v>
      </c>
      <c r="G2050" s="50" t="s">
        <v>89</v>
      </c>
      <c r="H2050" s="49">
        <v>79.459999999999994</v>
      </c>
      <c r="I2050" s="51"/>
      <c r="J2050" s="51">
        <v>5.89</v>
      </c>
      <c r="K2050" s="51">
        <f>Tabela6[[#This Row],[CONSUMO]]*Tabela6[[#This Row],[VALOR UNIT]]-Tabela6[[#This Row],[DESCONTO]]</f>
        <v>468.01939999999996</v>
      </c>
      <c r="L2050" s="53">
        <f>Tabela6[[#This Row],[CUSTO TOTAL]]/Tabela6[[#This Row],[CONSUMO]]</f>
        <v>5.89</v>
      </c>
      <c r="M2050" s="50">
        <f>Tabela6[[#This Row],[KM ATUAL]]-E2007</f>
        <v>-835498</v>
      </c>
      <c r="N2050" s="51">
        <f>Tabela6[[#This Row],[KM Rodados ]]/Tabela6[[#This Row],[CONSUMO]]</f>
        <v>-10514.6992197332</v>
      </c>
      <c r="O2050" s="48"/>
      <c r="P2050" s="47"/>
      <c r="Q2050" s="49"/>
      <c r="R2050" s="47"/>
      <c r="S2050" s="50"/>
      <c r="T2050" s="51"/>
      <c r="U2050" s="49"/>
      <c r="V2050" s="51"/>
      <c r="W2050" s="51"/>
      <c r="X2050" s="53"/>
      <c r="Y2050" s="50"/>
      <c r="Z2050" s="51"/>
    </row>
    <row r="2051" spans="1:26" ht="14.45" customHeight="1" x14ac:dyDescent="0.25">
      <c r="A2051" s="47">
        <v>323253</v>
      </c>
      <c r="B2051" s="78">
        <v>45156</v>
      </c>
      <c r="C2051" s="47" t="s">
        <v>74</v>
      </c>
      <c r="D2051" s="49" t="s">
        <v>276</v>
      </c>
      <c r="E2051" s="47">
        <v>70581</v>
      </c>
      <c r="F2051" s="50" t="s">
        <v>241</v>
      </c>
      <c r="G2051" s="50" t="s">
        <v>241</v>
      </c>
      <c r="H2051" s="50">
        <v>1.8540000000000001</v>
      </c>
      <c r="I2051" s="51"/>
      <c r="J2051" s="51">
        <v>3.69</v>
      </c>
      <c r="K2051" s="52">
        <f>Tabela6[[#This Row],[CONSUMO]]*Tabela6[[#This Row],[VALOR UNIT]]-Tabela6[[#This Row],[DESCONTO]]</f>
        <v>6.8412600000000001</v>
      </c>
      <c r="L2051" s="53">
        <f>Tabela6[[#This Row],[CUSTO TOTAL]]/Tabela6[[#This Row],[CONSUMO]]</f>
        <v>3.69</v>
      </c>
      <c r="M2051" s="53"/>
      <c r="N2051" s="49"/>
      <c r="O2051" s="48"/>
      <c r="P2051" s="47"/>
      <c r="Q2051" s="49"/>
      <c r="R2051" s="47"/>
      <c r="S2051" s="50"/>
      <c r="T2051" s="51"/>
      <c r="U2051" s="49"/>
      <c r="V2051" s="51"/>
      <c r="W2051" s="51"/>
      <c r="X2051" s="53"/>
      <c r="Y2051" s="50"/>
      <c r="Z2051" s="51"/>
    </row>
    <row r="2052" spans="1:26" ht="14.45" customHeight="1" x14ac:dyDescent="0.25">
      <c r="A2052" s="47">
        <v>202007</v>
      </c>
      <c r="B2052" s="78">
        <v>45157</v>
      </c>
      <c r="C2052" s="47" t="s">
        <v>68</v>
      </c>
      <c r="D2052" s="49" t="s">
        <v>262</v>
      </c>
      <c r="E2052" s="47">
        <v>907646</v>
      </c>
      <c r="F2052" s="50" t="s">
        <v>89</v>
      </c>
      <c r="G2052" s="51" t="s">
        <v>89</v>
      </c>
      <c r="H2052" s="49">
        <v>324.959</v>
      </c>
      <c r="I2052" s="51"/>
      <c r="J2052" s="51">
        <v>5.89</v>
      </c>
      <c r="K2052" s="51">
        <f>Tabela6[[#This Row],[CONSUMO]]*Tabela6[[#This Row],[VALOR UNIT]]-Tabela6[[#This Row],[DESCONTO]]</f>
        <v>1914.0085099999999</v>
      </c>
      <c r="L2052" s="53">
        <f>Tabela6[[#This Row],[CUSTO TOTAL]]/Tabela6[[#This Row],[CONSUMO]]</f>
        <v>5.89</v>
      </c>
      <c r="M2052" s="50">
        <f>Tabela6[[#This Row],[KM ATUAL]]-E2020</f>
        <v>785</v>
      </c>
      <c r="N2052" s="51">
        <f>Tabela6[[#This Row],[KM Rodados ]]/Tabela6[[#This Row],[CONSUMO]]</f>
        <v>2.4156893638889829</v>
      </c>
      <c r="O2052" s="48"/>
      <c r="P2052" s="47"/>
      <c r="Q2052" s="49"/>
      <c r="R2052" s="47"/>
      <c r="S2052" s="50"/>
      <c r="T2052" s="51"/>
      <c r="U2052" s="49"/>
      <c r="V2052" s="51"/>
      <c r="W2052" s="51"/>
      <c r="X2052" s="53"/>
      <c r="Y2052" s="50"/>
      <c r="Z2052" s="51"/>
    </row>
    <row r="2053" spans="1:26" ht="14.45" customHeight="1" x14ac:dyDescent="0.25">
      <c r="A2053" s="47">
        <v>348393</v>
      </c>
      <c r="B2053" s="78">
        <v>45158</v>
      </c>
      <c r="C2053" s="47" t="s">
        <v>68</v>
      </c>
      <c r="D2053" s="49" t="s">
        <v>281</v>
      </c>
      <c r="E2053" s="47">
        <v>907972</v>
      </c>
      <c r="F2053" s="50" t="s">
        <v>89</v>
      </c>
      <c r="G2053" s="51" t="s">
        <v>89</v>
      </c>
      <c r="H2053" s="49">
        <v>152</v>
      </c>
      <c r="I2053" s="51">
        <v>162.63</v>
      </c>
      <c r="J2053" s="51">
        <v>7.01</v>
      </c>
      <c r="K2053" s="51">
        <f>Tabela6[[#This Row],[CONSUMO]]*Tabela6[[#This Row],[VALOR UNIT]]-Tabela6[[#This Row],[DESCONTO]]</f>
        <v>902.89</v>
      </c>
      <c r="L2053" s="53">
        <f>Tabela6[[#This Row],[CUSTO TOTAL]]/Tabela6[[#This Row],[CONSUMO]]</f>
        <v>5.9400657894736844</v>
      </c>
      <c r="M2053" s="50">
        <f>Tabela6[[#This Row],[KM ATUAL]]-E2052</f>
        <v>326</v>
      </c>
      <c r="N2053" s="51">
        <f>Tabela6[[#This Row],[KM Rodados ]]/Tabela6[[#This Row],[CONSUMO]]</f>
        <v>2.1447368421052633</v>
      </c>
      <c r="O2053" s="48"/>
      <c r="P2053" s="47"/>
      <c r="Q2053" s="49"/>
      <c r="R2053" s="47"/>
      <c r="S2053" s="50"/>
      <c r="T2053" s="51"/>
      <c r="U2053" s="49"/>
      <c r="V2053" s="51"/>
      <c r="W2053" s="51"/>
      <c r="X2053" s="53"/>
      <c r="Y2053" s="50"/>
      <c r="Z2053" s="51"/>
    </row>
    <row r="2054" spans="1:26" ht="14.45" customHeight="1" x14ac:dyDescent="0.25">
      <c r="A2054" s="47">
        <v>652376</v>
      </c>
      <c r="B2054" s="78">
        <v>45158</v>
      </c>
      <c r="C2054" s="47" t="s">
        <v>9</v>
      </c>
      <c r="D2054" s="49" t="s">
        <v>271</v>
      </c>
      <c r="E2054" s="47">
        <v>618774</v>
      </c>
      <c r="F2054" s="50" t="s">
        <v>89</v>
      </c>
      <c r="G2054" s="50" t="s">
        <v>89</v>
      </c>
      <c r="H2054" s="49">
        <v>126</v>
      </c>
      <c r="I2054" s="51"/>
      <c r="J2054" s="51">
        <v>6.11</v>
      </c>
      <c r="K2054" s="53">
        <f>Tabela6[[#This Row],[CONSUMO]]*Tabela6[[#This Row],[VALOR UNIT]]-Tabela6[[#This Row],[DESCONTO]]</f>
        <v>769.86</v>
      </c>
      <c r="L2054" s="53">
        <v>6.11</v>
      </c>
      <c r="M2054" s="50">
        <f>Tabela6[[#This Row],[KM ATUAL]]-E2015</f>
        <v>220416</v>
      </c>
      <c r="N2054" s="65">
        <f>Tabela6[[#This Row],[KM Rodados ]]/Tabela6[[#This Row],[CONSUMO]]</f>
        <v>1749.3333333333333</v>
      </c>
      <c r="O2054" s="48"/>
      <c r="P2054" s="47"/>
      <c r="Q2054" s="49"/>
      <c r="R2054" s="47"/>
      <c r="S2054" s="50"/>
      <c r="T2054" s="51"/>
      <c r="U2054" s="49"/>
      <c r="V2054" s="51"/>
      <c r="W2054" s="51"/>
      <c r="X2054" s="53"/>
      <c r="Y2054" s="50"/>
      <c r="Z2054" s="51"/>
    </row>
    <row r="2055" spans="1:26" ht="14.45" customHeight="1" x14ac:dyDescent="0.25">
      <c r="A2055" s="47" t="s">
        <v>314</v>
      </c>
      <c r="B2055" s="78">
        <v>45158</v>
      </c>
      <c r="C2055" s="47" t="s">
        <v>222</v>
      </c>
      <c r="E2055" s="47">
        <v>494694</v>
      </c>
      <c r="F2055" s="50"/>
      <c r="G2055" s="50" t="s">
        <v>89</v>
      </c>
      <c r="H2055" s="51">
        <v>245.2</v>
      </c>
      <c r="I2055" s="51"/>
      <c r="K2055" s="53">
        <f>Tabela6[[#This Row],[CONSUMO]]*Tabela6[[#This Row],[VALOR UNIT]]-Tabela6[[#This Row],[DESCONTO]]</f>
        <v>0</v>
      </c>
      <c r="L2055" s="53">
        <f>Tabela6[[#This Row],[CUSTO TOTAL]]/Tabela6[[#This Row],[CONSUMO]]</f>
        <v>0</v>
      </c>
      <c r="M2055" s="50">
        <f>Tabela6[[#This Row],[KM ATUAL]]-E2032</f>
        <v>128795</v>
      </c>
      <c r="N2055" s="50">
        <f>Tabela6[[#This Row],[KM Rodados ]]/Tabela6[[#This Row],[CONSUMO]]</f>
        <v>525.26508972267538</v>
      </c>
      <c r="O2055" s="48"/>
      <c r="P2055" s="47"/>
      <c r="Q2055" s="49"/>
      <c r="R2055" s="47"/>
      <c r="S2055" s="50"/>
      <c r="T2055" s="51"/>
      <c r="U2055" s="49"/>
      <c r="V2055" s="51"/>
      <c r="W2055" s="51"/>
      <c r="X2055" s="53"/>
      <c r="Y2055" s="50"/>
      <c r="Z2055" s="51"/>
    </row>
    <row r="2056" spans="1:26" ht="14.45" customHeight="1" x14ac:dyDescent="0.25">
      <c r="A2056" s="47">
        <v>296082</v>
      </c>
      <c r="B2056" s="78">
        <v>45158</v>
      </c>
      <c r="C2056" s="47" t="s">
        <v>73</v>
      </c>
      <c r="D2056" s="49" t="s">
        <v>311</v>
      </c>
      <c r="E2056" s="47">
        <v>137324</v>
      </c>
      <c r="F2056" s="50" t="s">
        <v>89</v>
      </c>
      <c r="G2056" s="50" t="s">
        <v>89</v>
      </c>
      <c r="H2056" s="51">
        <v>184.01900000000001</v>
      </c>
      <c r="I2056" s="51">
        <v>241.07</v>
      </c>
      <c r="J2056" s="51">
        <v>7.3</v>
      </c>
      <c r="K2056" s="52">
        <f>Tabela6[[#This Row],[CONSUMO]]*Tabela6[[#This Row],[VALOR UNIT]]-Tabela6[[#This Row],[DESCONTO]]</f>
        <v>1102.2687000000001</v>
      </c>
      <c r="L2056" s="53">
        <f>Tabela6[[#This Row],[CUSTO TOTAL]]/Tabela6[[#This Row],[CONSUMO]]</f>
        <v>5.9899722311283075</v>
      </c>
      <c r="M2056" s="50">
        <f>Tabela6[[#This Row],[KM ATUAL]]-E2042</f>
        <v>38265</v>
      </c>
      <c r="N2056" s="51">
        <f>Tabela6[[#This Row],[KM Rodados ]]/Tabela6[[#This Row],[CONSUMO]]</f>
        <v>207.9404844065015</v>
      </c>
      <c r="O2056" s="48"/>
      <c r="P2056" s="47"/>
      <c r="Q2056" s="49"/>
      <c r="R2056" s="47"/>
      <c r="S2056" s="50"/>
      <c r="T2056" s="51"/>
      <c r="U2056" s="49"/>
      <c r="V2056" s="51"/>
      <c r="W2056" s="51"/>
      <c r="X2056" s="53"/>
      <c r="Y2056" s="50"/>
      <c r="Z2056" s="51"/>
    </row>
    <row r="2057" spans="1:26" ht="14.45" customHeight="1" x14ac:dyDescent="0.25">
      <c r="A2057" s="47">
        <v>697542</v>
      </c>
      <c r="B2057" s="78">
        <v>45159</v>
      </c>
      <c r="C2057" s="47" t="s">
        <v>43</v>
      </c>
      <c r="D2057" s="49" t="s">
        <v>257</v>
      </c>
      <c r="E2057" s="47">
        <v>142049</v>
      </c>
      <c r="F2057" s="50" t="s">
        <v>89</v>
      </c>
      <c r="G2057" s="51" t="s">
        <v>89</v>
      </c>
      <c r="H2057" s="49">
        <v>39.151000000000003</v>
      </c>
      <c r="I2057" s="51"/>
      <c r="J2057" s="51">
        <v>5.79</v>
      </c>
      <c r="K2057" s="53">
        <f>Tabela6[[#This Row],[CONSUMO]]*Tabela6[[#This Row],[VALOR UNIT]]-Tabela6[[#This Row],[DESCONTO]]</f>
        <v>226.68429000000003</v>
      </c>
      <c r="L2057" s="50">
        <v>5.79</v>
      </c>
      <c r="M2057" s="51">
        <f>Tabela6[[#This Row],[KM ATUAL]]-E2030</f>
        <v>-500077</v>
      </c>
      <c r="N2057" s="51">
        <f>Tabela6[[#This Row],[KM Rodados ]]/Tabela6[[#This Row],[CONSUMO]]</f>
        <v>-12773.032617302239</v>
      </c>
      <c r="O2057" s="48"/>
      <c r="P2057" s="47"/>
      <c r="Q2057" s="49"/>
      <c r="R2057" s="47"/>
      <c r="S2057" s="50"/>
      <c r="T2057" s="51"/>
      <c r="U2057" s="49"/>
      <c r="V2057" s="51"/>
      <c r="W2057" s="51"/>
      <c r="X2057" s="53"/>
      <c r="Y2057" s="50"/>
      <c r="Z2057" s="51"/>
    </row>
    <row r="2058" spans="1:26" ht="14.45" customHeight="1" x14ac:dyDescent="0.25">
      <c r="A2058" s="47">
        <v>6693</v>
      </c>
      <c r="B2058" s="78">
        <v>45159</v>
      </c>
      <c r="C2058" s="47" t="s">
        <v>72</v>
      </c>
      <c r="D2058" s="49" t="s">
        <v>299</v>
      </c>
      <c r="E2058" s="47">
        <v>410081</v>
      </c>
      <c r="F2058" s="50" t="s">
        <v>89</v>
      </c>
      <c r="G2058" s="50" t="s">
        <v>89</v>
      </c>
      <c r="H2058" s="49">
        <v>33</v>
      </c>
      <c r="I2058" s="51"/>
      <c r="J2058" s="51">
        <v>4.9000000000000004</v>
      </c>
      <c r="K2058" s="51">
        <f>Tabela6[[#This Row],[CONSUMO]]*Tabela6[[#This Row],[VALOR UNIT]]-Tabela6[[#This Row],[DESCONTO]]</f>
        <v>161.70000000000002</v>
      </c>
      <c r="L2058" s="53">
        <f>Tabela6[[#This Row],[CUSTO TOTAL]]/Tabela6[[#This Row],[CONSUMO]]</f>
        <v>4.9000000000000004</v>
      </c>
      <c r="M2058" s="50">
        <f>Tabela6[[#This Row],[KM ATUAL]]-E2027</f>
        <v>274449</v>
      </c>
      <c r="N2058" s="51">
        <f>Tabela6[[#This Row],[KM Rodados ]]/Tabela6[[#This Row],[CONSUMO]]</f>
        <v>8316.636363636364</v>
      </c>
      <c r="O2058" s="48"/>
      <c r="P2058" s="47"/>
      <c r="Q2058" s="49"/>
      <c r="R2058" s="47"/>
      <c r="S2058" s="50"/>
      <c r="T2058" s="51"/>
      <c r="U2058" s="49"/>
      <c r="V2058" s="51"/>
      <c r="W2058" s="51"/>
      <c r="X2058" s="53"/>
      <c r="Y2058" s="50"/>
      <c r="Z2058" s="51"/>
    </row>
    <row r="2059" spans="1:26" ht="14.45" customHeight="1" x14ac:dyDescent="0.25">
      <c r="A2059" s="66">
        <v>296656</v>
      </c>
      <c r="B2059" s="78">
        <v>45159</v>
      </c>
      <c r="C2059" s="47" t="s">
        <v>73</v>
      </c>
      <c r="D2059" s="49" t="s">
        <v>311</v>
      </c>
      <c r="E2059" s="47">
        <v>137985</v>
      </c>
      <c r="F2059" s="50" t="s">
        <v>241</v>
      </c>
      <c r="G2059" s="51" t="s">
        <v>241</v>
      </c>
      <c r="H2059" s="49">
        <v>21.097000000000001</v>
      </c>
      <c r="I2059" s="51"/>
      <c r="J2059" s="51">
        <v>3.19</v>
      </c>
      <c r="K2059" s="52">
        <f>Tabela6[[#This Row],[CONSUMO]]*Tabela6[[#This Row],[VALOR UNIT]]-Tabela6[[#This Row],[DESCONTO]]</f>
        <v>67.299430000000001</v>
      </c>
      <c r="L2059" s="53">
        <f>Tabela6[[#This Row],[CUSTO TOTAL]]/Tabela6[[#This Row],[CONSUMO]]</f>
        <v>3.19</v>
      </c>
      <c r="M2059" s="50"/>
      <c r="O2059" s="48"/>
      <c r="P2059" s="47"/>
      <c r="Q2059" s="49"/>
      <c r="R2059" s="47"/>
      <c r="S2059" s="50"/>
      <c r="T2059" s="51"/>
      <c r="U2059" s="49"/>
      <c r="V2059" s="51"/>
      <c r="W2059" s="51"/>
      <c r="X2059" s="53"/>
      <c r="Y2059" s="50"/>
      <c r="Z2059" s="51"/>
    </row>
    <row r="2060" spans="1:26" ht="14.45" customHeight="1" x14ac:dyDescent="0.25">
      <c r="A2060" s="47">
        <v>296654</v>
      </c>
      <c r="B2060" s="78">
        <v>45159</v>
      </c>
      <c r="C2060" s="47" t="s">
        <v>73</v>
      </c>
      <c r="D2060" s="49" t="s">
        <v>311</v>
      </c>
      <c r="E2060" s="47">
        <v>137985</v>
      </c>
      <c r="F2060" s="50" t="s">
        <v>89</v>
      </c>
      <c r="G2060" s="50" t="s">
        <v>89</v>
      </c>
      <c r="H2060" s="51">
        <v>172.48099999999999</v>
      </c>
      <c r="I2060" s="51">
        <v>184.55</v>
      </c>
      <c r="J2060" s="51">
        <v>7.3</v>
      </c>
      <c r="K2060" s="52">
        <f>Tabela6[[#This Row],[CONSUMO]]*Tabela6[[#This Row],[VALOR UNIT]]-Tabela6[[#This Row],[DESCONTO]]</f>
        <v>1074.5613000000001</v>
      </c>
      <c r="L2060" s="53">
        <f>Tabela6[[#This Row],[CUSTO TOTAL]]/Tabela6[[#This Row],[CONSUMO]]</f>
        <v>6.2300270754459914</v>
      </c>
      <c r="M2060" s="50">
        <f>Tabela6[[#This Row],[KM ATUAL]]-E2037</f>
        <v>-504792</v>
      </c>
      <c r="N2060" s="51">
        <f>Tabela6[[#This Row],[KM Rodados ]]/Tabela6[[#This Row],[CONSUMO]]</f>
        <v>-2926.6527907421687</v>
      </c>
      <c r="O2060" s="48"/>
      <c r="P2060" s="47"/>
      <c r="Q2060" s="49"/>
      <c r="R2060" s="47"/>
      <c r="S2060" s="50"/>
      <c r="T2060" s="51"/>
      <c r="U2060" s="49"/>
      <c r="V2060" s="51"/>
      <c r="W2060" s="51"/>
      <c r="X2060" s="53"/>
      <c r="Y2060" s="50"/>
      <c r="Z2060" s="51"/>
    </row>
    <row r="2061" spans="1:26" ht="14.45" customHeight="1" x14ac:dyDescent="0.25">
      <c r="A2061" s="47">
        <v>189033</v>
      </c>
      <c r="B2061" s="78">
        <v>45159</v>
      </c>
      <c r="C2061" s="47" t="s">
        <v>206</v>
      </c>
      <c r="D2061" s="49" t="s">
        <v>262</v>
      </c>
      <c r="E2061" s="47">
        <v>954591</v>
      </c>
      <c r="F2061" s="50" t="s">
        <v>89</v>
      </c>
      <c r="G2061" s="50" t="s">
        <v>89</v>
      </c>
      <c r="H2061" s="49">
        <v>506.65</v>
      </c>
      <c r="I2061" s="51"/>
      <c r="J2061" s="51">
        <v>4.8899999999999997</v>
      </c>
      <c r="K2061" s="52">
        <f>Tabela6[[#This Row],[CONSUMO]]*Tabela6[[#This Row],[VALOR UNIT]]-Tabela6[[#This Row],[DESCONTO]]</f>
        <v>2477.5184999999997</v>
      </c>
      <c r="L2061" s="53">
        <f>Tabela6[[#This Row],[CUSTO TOTAL]]/Tabela6[[#This Row],[CONSUMO]]</f>
        <v>4.8899999999999997</v>
      </c>
      <c r="M2061" s="50">
        <f>Tabela6[[#This Row],[KM ATUAL]]-E1983</f>
        <v>847190</v>
      </c>
      <c r="N2061" s="51">
        <f>Tabela6[[#This Row],[KM Rodados ]]/Tabela6[[#This Row],[CONSUMO]]</f>
        <v>1672.1405309385177</v>
      </c>
      <c r="O2061" s="48"/>
      <c r="P2061" s="47"/>
      <c r="Q2061" s="49"/>
      <c r="R2061" s="47"/>
      <c r="S2061" s="50"/>
      <c r="T2061" s="51"/>
      <c r="U2061" s="49"/>
      <c r="V2061" s="51"/>
      <c r="W2061" s="51"/>
      <c r="X2061" s="53"/>
      <c r="Y2061" s="50"/>
      <c r="Z2061" s="51"/>
    </row>
    <row r="2062" spans="1:26" ht="14.45" customHeight="1" x14ac:dyDescent="0.25">
      <c r="A2062" s="47">
        <v>244247</v>
      </c>
      <c r="B2062" s="78">
        <v>45159</v>
      </c>
      <c r="C2062" s="47" t="s">
        <v>206</v>
      </c>
      <c r="D2062" s="49" t="s">
        <v>268</v>
      </c>
      <c r="E2062" s="47">
        <v>955825</v>
      </c>
      <c r="F2062" s="50" t="s">
        <v>89</v>
      </c>
      <c r="G2062" s="50" t="s">
        <v>89</v>
      </c>
      <c r="H2062" s="49">
        <v>660</v>
      </c>
      <c r="I2062" s="51"/>
      <c r="J2062" s="51">
        <v>6.09</v>
      </c>
      <c r="K2062" s="52">
        <f>Tabela6[[#This Row],[CONSUMO]]*Tabela6[[#This Row],[VALOR UNIT]]-Tabela6[[#This Row],[DESCONTO]]</f>
        <v>4019.4</v>
      </c>
      <c r="L2062" s="53">
        <f>Tabela6[[#This Row],[CUSTO TOTAL]]/Tabela6[[#This Row],[CONSUMO]]</f>
        <v>6.09</v>
      </c>
      <c r="M2062" s="50">
        <f>Tabela6[[#This Row],[KM ATUAL]]-E2061</f>
        <v>1234</v>
      </c>
      <c r="N2062" s="51">
        <f>Tabela6[[#This Row],[KM Rodados ]]/Tabela6[[#This Row],[CONSUMO]]</f>
        <v>1.8696969696969696</v>
      </c>
      <c r="O2062" s="48"/>
      <c r="P2062" s="47"/>
      <c r="Q2062" s="49"/>
      <c r="R2062" s="47"/>
      <c r="S2062" s="50"/>
      <c r="T2062" s="51"/>
      <c r="U2062" s="49"/>
      <c r="V2062" s="51"/>
      <c r="W2062" s="51"/>
      <c r="X2062" s="53"/>
      <c r="Y2062" s="50"/>
      <c r="Z2062" s="51"/>
    </row>
    <row r="2063" spans="1:26" ht="14.45" customHeight="1" x14ac:dyDescent="0.25">
      <c r="A2063" s="47">
        <v>6693</v>
      </c>
      <c r="B2063" s="78">
        <v>45159</v>
      </c>
      <c r="C2063" s="47" t="s">
        <v>13</v>
      </c>
      <c r="D2063" s="49" t="s">
        <v>299</v>
      </c>
      <c r="E2063" s="47">
        <v>643088</v>
      </c>
      <c r="F2063" s="50" t="s">
        <v>89</v>
      </c>
      <c r="G2063" s="50" t="s">
        <v>89</v>
      </c>
      <c r="H2063" s="49">
        <v>93</v>
      </c>
      <c r="I2063" s="51"/>
      <c r="J2063" s="51">
        <v>4.9000000000000004</v>
      </c>
      <c r="K2063" s="51">
        <f>Tabela6[[#This Row],[CONSUMO]]*Tabela6[[#This Row],[VALOR UNIT]]-Tabela6[[#This Row],[DESCONTO]]</f>
        <v>455.70000000000005</v>
      </c>
      <c r="L2063" s="53">
        <f>Tabela6[[#This Row],[CUSTO TOTAL]]/Tabela6[[#This Row],[CONSUMO]]</f>
        <v>4.9000000000000004</v>
      </c>
      <c r="M2063" s="50">
        <f>Tabela6[[#This Row],[KM ATUAL]]-E2024</f>
        <v>544493</v>
      </c>
      <c r="N2063" s="51">
        <f>Tabela6[[#This Row],[KM Rodados ]]/Tabela6[[#This Row],[CONSUMO]]</f>
        <v>5854.7634408602153</v>
      </c>
      <c r="O2063" s="48"/>
      <c r="P2063" s="47"/>
      <c r="Q2063" s="49"/>
      <c r="R2063" s="47"/>
      <c r="S2063" s="50"/>
      <c r="T2063" s="51"/>
      <c r="U2063" s="49"/>
      <c r="V2063" s="51"/>
      <c r="W2063" s="51"/>
      <c r="X2063" s="53"/>
      <c r="Y2063" s="50"/>
      <c r="Z2063" s="51"/>
    </row>
    <row r="2064" spans="1:26" ht="14.45" customHeight="1" x14ac:dyDescent="0.25">
      <c r="A2064" s="47">
        <v>558972</v>
      </c>
      <c r="B2064" s="78">
        <v>45159</v>
      </c>
      <c r="C2064" s="47" t="s">
        <v>16</v>
      </c>
      <c r="D2064" s="49" t="s">
        <v>255</v>
      </c>
      <c r="E2064" s="47">
        <v>302201</v>
      </c>
      <c r="F2064" s="50" t="s">
        <v>89</v>
      </c>
      <c r="G2064" s="50" t="s">
        <v>89</v>
      </c>
      <c r="H2064" s="49">
        <v>99.361000000000004</v>
      </c>
      <c r="I2064" s="51"/>
      <c r="J2064" s="51">
        <v>6.58</v>
      </c>
      <c r="K2064" s="52">
        <f>Tabela6[[#This Row],[CONSUMO]]*Tabela6[[#This Row],[VALOR UNIT]]-Tabela6[[#This Row],[DESCONTO]]</f>
        <v>653.79538000000002</v>
      </c>
      <c r="L2064" s="53">
        <f>Tabela6[[#This Row],[CUSTO TOTAL]]/Tabela6[[#This Row],[CONSUMO]]</f>
        <v>6.58</v>
      </c>
      <c r="M2064" s="50">
        <f>Tabela6[[#This Row],[KM ATUAL]]-E1996</f>
        <v>-368963</v>
      </c>
      <c r="N2064" s="51">
        <f>Tabela6[[#This Row],[KM Rodados ]]/Tabela6[[#This Row],[CONSUMO]]</f>
        <v>-3713.3583599198878</v>
      </c>
      <c r="O2064" s="48"/>
      <c r="P2064" s="47"/>
      <c r="Q2064" s="49"/>
      <c r="R2064" s="47"/>
      <c r="S2064" s="50"/>
      <c r="T2064" s="51"/>
      <c r="U2064" s="49"/>
      <c r="V2064" s="51"/>
      <c r="W2064" s="51"/>
      <c r="X2064" s="53"/>
      <c r="Y2064" s="50"/>
      <c r="Z2064" s="51"/>
    </row>
    <row r="2065" spans="1:26" ht="14.45" customHeight="1" x14ac:dyDescent="0.25">
      <c r="A2065" s="47">
        <v>324196</v>
      </c>
      <c r="B2065" s="78">
        <v>45159</v>
      </c>
      <c r="C2065" s="47" t="s">
        <v>17</v>
      </c>
      <c r="D2065" s="49" t="s">
        <v>276</v>
      </c>
      <c r="E2065" s="47">
        <v>366679</v>
      </c>
      <c r="F2065" s="50" t="s">
        <v>241</v>
      </c>
      <c r="G2065" s="50" t="s">
        <v>241</v>
      </c>
      <c r="H2065" s="50">
        <v>27.567</v>
      </c>
      <c r="I2065" s="51"/>
      <c r="J2065" s="51">
        <v>3.69</v>
      </c>
      <c r="K2065" s="52">
        <f>Tabela6[[#This Row],[CONSUMO]]*Tabela6[[#This Row],[VALOR UNIT]]-Tabela6[[#This Row],[DESCONTO]]</f>
        <v>101.72223</v>
      </c>
      <c r="L2065" s="53">
        <f>Tabela6[[#This Row],[CUSTO TOTAL]]/Tabela6[[#This Row],[CONSUMO]]</f>
        <v>3.69</v>
      </c>
      <c r="M2065" s="53"/>
      <c r="N2065" s="49"/>
      <c r="O2065" s="48"/>
      <c r="P2065" s="47"/>
      <c r="Q2065" s="49"/>
      <c r="R2065" s="47"/>
      <c r="S2065" s="50"/>
      <c r="T2065" s="51"/>
      <c r="U2065" s="49"/>
      <c r="V2065" s="51"/>
      <c r="W2065" s="51"/>
      <c r="X2065" s="53"/>
      <c r="Y2065" s="50"/>
      <c r="Z2065" s="51"/>
    </row>
    <row r="2066" spans="1:26" ht="14.45" customHeight="1" x14ac:dyDescent="0.25">
      <c r="A2066" s="47">
        <v>904102</v>
      </c>
      <c r="B2066" s="78">
        <v>45159</v>
      </c>
      <c r="C2066" s="47" t="s">
        <v>74</v>
      </c>
      <c r="D2066" s="49" t="s">
        <v>307</v>
      </c>
      <c r="E2066" s="47">
        <v>70702</v>
      </c>
      <c r="F2066" s="50" t="s">
        <v>89</v>
      </c>
      <c r="G2066" s="50" t="s">
        <v>89</v>
      </c>
      <c r="H2066" s="49">
        <v>13.125999999999999</v>
      </c>
      <c r="I2066" s="51">
        <v>12.46</v>
      </c>
      <c r="J2066" s="51">
        <v>7</v>
      </c>
      <c r="K2066" s="51">
        <f>Tabela6[[#This Row],[CONSUMO]]*Tabela6[[#This Row],[VALOR UNIT]]-Tabela6[[#This Row],[DESCONTO]]</f>
        <v>79.421999999999997</v>
      </c>
      <c r="L2066" s="53">
        <f>Tabela6[[#This Row],[CUSTO TOTAL]]/Tabela6[[#This Row],[CONSUMO]]</f>
        <v>6.0507389913149474</v>
      </c>
      <c r="M2066" s="50">
        <f>Tabela6[[#This Row],[KM ATUAL]]-E2032</f>
        <v>-295197</v>
      </c>
      <c r="N2066" s="51">
        <f>Tabela6[[#This Row],[KM Rodados ]]/Tabela6[[#This Row],[CONSUMO]]</f>
        <v>-22489.486515313121</v>
      </c>
      <c r="O2066" s="48"/>
      <c r="P2066" s="47"/>
      <c r="Q2066" s="49"/>
      <c r="R2066" s="47"/>
      <c r="S2066" s="50"/>
      <c r="T2066" s="51"/>
      <c r="U2066" s="49"/>
      <c r="V2066" s="51"/>
      <c r="W2066" s="51"/>
      <c r="X2066" s="53"/>
      <c r="Y2066" s="50"/>
      <c r="Z2066" s="51"/>
    </row>
    <row r="2067" spans="1:26" ht="14.45" customHeight="1" x14ac:dyDescent="0.25">
      <c r="A2067" s="47">
        <v>133040</v>
      </c>
      <c r="B2067" s="78">
        <v>45160</v>
      </c>
      <c r="C2067" s="47" t="s">
        <v>68</v>
      </c>
      <c r="D2067" s="49" t="s">
        <v>263</v>
      </c>
      <c r="E2067" s="47">
        <v>908805</v>
      </c>
      <c r="F2067" s="50" t="s">
        <v>89</v>
      </c>
      <c r="G2067" s="51" t="s">
        <v>89</v>
      </c>
      <c r="H2067" s="49">
        <v>296.53100000000001</v>
      </c>
      <c r="I2067" s="51">
        <v>29.66</v>
      </c>
      <c r="J2067" s="51">
        <v>6.05</v>
      </c>
      <c r="K2067" s="51">
        <f>Tabela6[[#This Row],[CONSUMO]]*Tabela6[[#This Row],[VALOR UNIT]]-Tabela6[[#This Row],[DESCONTO]]</f>
        <v>1764.3525499999998</v>
      </c>
      <c r="L2067" s="53">
        <f>Tabela6[[#This Row],[CUSTO TOTAL]]/Tabela6[[#This Row],[CONSUMO]]</f>
        <v>5.9499767309320095</v>
      </c>
      <c r="M2067" s="50">
        <f>Tabela6[[#This Row],[KM ATUAL]]-E2038</f>
        <v>767364</v>
      </c>
      <c r="N2067" s="51">
        <f>Tabela6[[#This Row],[KM Rodados ]]/Tabela6[[#This Row],[CONSUMO]]</f>
        <v>2587.8036360447982</v>
      </c>
      <c r="O2067" s="48"/>
      <c r="P2067" s="47"/>
      <c r="Q2067" s="49"/>
      <c r="R2067" s="47"/>
      <c r="S2067" s="50"/>
      <c r="T2067" s="51"/>
      <c r="U2067" s="49"/>
      <c r="V2067" s="51"/>
      <c r="W2067" s="51"/>
      <c r="X2067" s="53"/>
      <c r="Y2067" s="50"/>
      <c r="Z2067" s="51"/>
    </row>
    <row r="2068" spans="1:26" ht="14.45" customHeight="1" x14ac:dyDescent="0.25">
      <c r="A2068" s="47" t="s">
        <v>314</v>
      </c>
      <c r="B2068" s="78">
        <v>45160</v>
      </c>
      <c r="C2068" s="47" t="s">
        <v>43</v>
      </c>
      <c r="E2068" s="47">
        <v>142234</v>
      </c>
      <c r="F2068" s="50"/>
      <c r="G2068" s="51" t="s">
        <v>89</v>
      </c>
      <c r="H2068" s="49">
        <v>24</v>
      </c>
      <c r="I2068" s="51"/>
      <c r="K2068" s="53">
        <f>Tabela6[[#This Row],[CONSUMO]]*Tabela6[[#This Row],[VALOR UNIT]]-Tabela6[[#This Row],[DESCONTO]]</f>
        <v>0</v>
      </c>
      <c r="L2068" s="50">
        <f>Tabela6[[#This Row],[CUSTO TOTAL]]/Tabela6[[#This Row],[CONSUMO]]</f>
        <v>0</v>
      </c>
      <c r="M2068" s="51">
        <f>Tabela6[[#This Row],[KM ATUAL]]-E2039</f>
        <v>488</v>
      </c>
      <c r="N2068" s="51">
        <f>Tabela6[[#This Row],[KM Rodados ]]/Tabela6[[#This Row],[CONSUMO]]</f>
        <v>20.333333333333332</v>
      </c>
      <c r="O2068" s="48"/>
      <c r="P2068" s="47"/>
      <c r="Q2068" s="49"/>
      <c r="R2068" s="47"/>
      <c r="S2068" s="50"/>
      <c r="T2068" s="51"/>
      <c r="U2068" s="49"/>
      <c r="V2068" s="51"/>
      <c r="W2068" s="51"/>
      <c r="X2068" s="53"/>
      <c r="Y2068" s="50"/>
      <c r="Z2068" s="51"/>
    </row>
    <row r="2069" spans="1:26" ht="14.45" customHeight="1" x14ac:dyDescent="0.25">
      <c r="A2069" s="47">
        <v>13822</v>
      </c>
      <c r="B2069" s="78">
        <v>45160</v>
      </c>
      <c r="C2069" s="47" t="s">
        <v>43</v>
      </c>
      <c r="D2069" s="49" t="s">
        <v>319</v>
      </c>
      <c r="E2069" s="47">
        <v>142572</v>
      </c>
      <c r="F2069" s="50" t="s">
        <v>89</v>
      </c>
      <c r="G2069" s="51" t="s">
        <v>89</v>
      </c>
      <c r="H2069" s="49">
        <v>44.54</v>
      </c>
      <c r="I2069" s="51"/>
      <c r="J2069" s="51">
        <v>5.99</v>
      </c>
      <c r="K2069" s="53">
        <f>Tabela6[[#This Row],[CONSUMO]]*Tabela6[[#This Row],[VALOR UNIT]]-Tabela6[[#This Row],[DESCONTO]]</f>
        <v>266.7946</v>
      </c>
      <c r="L2069" s="50">
        <v>5.99</v>
      </c>
      <c r="M2069" s="51">
        <f>Tabela6[[#This Row],[KM ATUAL]]-E2061</f>
        <v>-812019</v>
      </c>
      <c r="N2069" s="51">
        <f>Tabela6[[#This Row],[KM Rodados ]]/Tabela6[[#This Row],[CONSUMO]]</f>
        <v>-18231.230354737316</v>
      </c>
      <c r="O2069" s="48"/>
      <c r="P2069" s="47"/>
      <c r="Q2069" s="49"/>
      <c r="R2069" s="47"/>
      <c r="S2069" s="50"/>
      <c r="T2069" s="51"/>
      <c r="U2069" s="49"/>
      <c r="V2069" s="51"/>
      <c r="W2069" s="51"/>
      <c r="X2069" s="53"/>
      <c r="Y2069" s="50"/>
      <c r="Z2069" s="51"/>
    </row>
    <row r="2070" spans="1:26" ht="14.45" customHeight="1" x14ac:dyDescent="0.25">
      <c r="A2070" s="47">
        <v>653213</v>
      </c>
      <c r="B2070" s="78">
        <v>45160</v>
      </c>
      <c r="C2070" s="47" t="s">
        <v>9</v>
      </c>
      <c r="D2070" s="49" t="s">
        <v>271</v>
      </c>
      <c r="E2070" s="47">
        <v>619302</v>
      </c>
      <c r="F2070" s="50" t="s">
        <v>89</v>
      </c>
      <c r="G2070" s="50" t="s">
        <v>89</v>
      </c>
      <c r="H2070" s="49">
        <v>138.96</v>
      </c>
      <c r="I2070" s="51"/>
      <c r="J2070" s="51">
        <v>5.99</v>
      </c>
      <c r="K2070" s="53">
        <f>Tabela6[[#This Row],[CONSUMO]]*Tabela6[[#This Row],[VALOR UNIT]]-Tabela6[[#This Row],[DESCONTO]]</f>
        <v>832.37040000000013</v>
      </c>
      <c r="L2070" s="53">
        <v>5.99</v>
      </c>
      <c r="M2070" s="50">
        <f>Tabela6[[#This Row],[KM ATUAL]]-E2025</f>
        <v>210056</v>
      </c>
      <c r="N2070" s="51">
        <f>Tabela6[[#This Row],[KM Rodados ]]/Tabela6[[#This Row],[CONSUMO]]</f>
        <v>1511.6292458261369</v>
      </c>
      <c r="O2070" s="48"/>
      <c r="P2070" s="47"/>
      <c r="Q2070" s="49"/>
      <c r="R2070" s="47"/>
      <c r="S2070" s="50"/>
      <c r="T2070" s="51"/>
      <c r="U2070" s="49"/>
      <c r="V2070" s="51"/>
      <c r="W2070" s="51"/>
      <c r="X2070" s="53"/>
      <c r="Y2070" s="50"/>
      <c r="Z2070" s="51"/>
    </row>
    <row r="2071" spans="1:26" ht="14.45" customHeight="1" x14ac:dyDescent="0.25">
      <c r="A2071" s="47">
        <v>132692</v>
      </c>
      <c r="B2071" s="78">
        <v>45160</v>
      </c>
      <c r="C2071" s="47" t="s">
        <v>67</v>
      </c>
      <c r="D2071" s="49" t="s">
        <v>263</v>
      </c>
      <c r="E2071" s="47">
        <v>676784</v>
      </c>
      <c r="F2071" s="50" t="s">
        <v>89</v>
      </c>
      <c r="G2071" s="51" t="s">
        <v>89</v>
      </c>
      <c r="H2071" s="49">
        <v>116.87</v>
      </c>
      <c r="I2071" s="51">
        <v>11.69</v>
      </c>
      <c r="J2071" s="51">
        <v>5.99</v>
      </c>
      <c r="K2071" s="53">
        <f>Tabela6[[#This Row],[CONSUMO]]*Tabela6[[#This Row],[VALOR UNIT]]-Tabela6[[#This Row],[DESCONTO]]</f>
        <v>688.36130000000003</v>
      </c>
      <c r="L2071" s="50">
        <v>5.88997433045264</v>
      </c>
      <c r="M2071" s="50">
        <f>Tabela6[[#This Row],[KM ATUAL]]-E1999</f>
        <v>358228</v>
      </c>
      <c r="N2071" s="51">
        <f>Tabela6[[#This Row],[KM Rodados ]]/Tabela6[[#This Row],[CONSUMO]]</f>
        <v>3065.183537263626</v>
      </c>
      <c r="O2071" s="48"/>
      <c r="P2071" s="47"/>
      <c r="Q2071" s="49"/>
      <c r="R2071" s="47"/>
      <c r="S2071" s="50"/>
      <c r="T2071" s="51"/>
      <c r="U2071" s="49"/>
      <c r="V2071" s="51"/>
      <c r="W2071" s="51"/>
      <c r="X2071" s="53"/>
      <c r="Y2071" s="50"/>
      <c r="Z2071" s="51"/>
    </row>
    <row r="2072" spans="1:26" ht="14.45" customHeight="1" x14ac:dyDescent="0.25">
      <c r="A2072" s="47">
        <v>6693</v>
      </c>
      <c r="B2072" s="78">
        <v>45160</v>
      </c>
      <c r="C2072" s="47" t="s">
        <v>70</v>
      </c>
      <c r="D2072" s="49" t="s">
        <v>299</v>
      </c>
      <c r="E2072" s="47">
        <v>221589</v>
      </c>
      <c r="F2072" s="50" t="s">
        <v>89</v>
      </c>
      <c r="G2072" s="50" t="s">
        <v>89</v>
      </c>
      <c r="H2072" s="49">
        <v>592</v>
      </c>
      <c r="I2072" s="51"/>
      <c r="J2072" s="51">
        <v>5.8</v>
      </c>
      <c r="K2072" s="51">
        <f>Tabela6[[#This Row],[CONSUMO]]*Tabela6[[#This Row],[VALOR UNIT]]-Tabela6[[#This Row],[DESCONTO]]</f>
        <v>3433.6</v>
      </c>
      <c r="L2072" s="53">
        <f>Tabela6[[#This Row],[CUSTO TOTAL]]/Tabela6[[#This Row],[CONSUMO]]</f>
        <v>5.8</v>
      </c>
      <c r="M2072" s="50">
        <f>Tabela6[[#This Row],[KM ATUAL]]-E2071</f>
        <v>-455195</v>
      </c>
      <c r="N2072" s="51">
        <f>Tabela6[[#This Row],[KM Rodados ]]/Tabela6[[#This Row],[CONSUMO]]</f>
        <v>-768.91047297297303</v>
      </c>
      <c r="O2072" s="48"/>
      <c r="P2072" s="47"/>
      <c r="Q2072" s="49"/>
      <c r="R2072" s="47"/>
      <c r="S2072" s="50"/>
      <c r="T2072" s="51"/>
      <c r="U2072" s="49"/>
      <c r="V2072" s="51"/>
      <c r="W2072" s="51"/>
      <c r="X2072" s="53"/>
      <c r="Y2072" s="50"/>
      <c r="Z2072" s="51"/>
    </row>
    <row r="2073" spans="1:26" ht="14.45" customHeight="1" x14ac:dyDescent="0.25">
      <c r="A2073" s="47">
        <v>132289</v>
      </c>
      <c r="B2073" s="78">
        <v>45160</v>
      </c>
      <c r="C2073" s="47" t="s">
        <v>203</v>
      </c>
      <c r="D2073" s="49" t="s">
        <v>260</v>
      </c>
      <c r="E2073" s="47">
        <v>108383</v>
      </c>
      <c r="F2073" s="50" t="s">
        <v>244</v>
      </c>
      <c r="G2073" s="51" t="s">
        <v>244</v>
      </c>
      <c r="H2073" s="49">
        <v>39.799999999999997</v>
      </c>
      <c r="I2073" s="51"/>
      <c r="J2073" s="51">
        <v>5.79</v>
      </c>
      <c r="K2073" s="51">
        <f>Tabela6[[#This Row],[CONSUMO]]*Tabela6[[#This Row],[VALOR UNIT]]-Tabela6[[#This Row],[DESCONTO]]</f>
        <v>230.44199999999998</v>
      </c>
      <c r="L2073" s="53">
        <f>Tabela6[[#This Row],[CUSTO TOTAL]]/Tabela6[[#This Row],[CONSUMO]]</f>
        <v>5.79</v>
      </c>
      <c r="M2073" s="50">
        <f>Tabela6[[#This Row],[KM ATUAL]]-E2006</f>
        <v>38432</v>
      </c>
      <c r="N2073" s="51">
        <f>Tabela6[[#This Row],[KM Rodados ]]/Tabela6[[#This Row],[CONSUMO]]</f>
        <v>965.6281407035176</v>
      </c>
      <c r="O2073" s="48"/>
      <c r="P2073" s="47"/>
      <c r="Q2073" s="49"/>
      <c r="R2073" s="47"/>
      <c r="S2073" s="50"/>
      <c r="T2073" s="51"/>
      <c r="U2073" s="49"/>
      <c r="V2073" s="51"/>
      <c r="W2073" s="51"/>
      <c r="X2073" s="53"/>
      <c r="Y2073" s="50"/>
      <c r="Z2073" s="51"/>
    </row>
    <row r="2074" spans="1:26" ht="14.45" customHeight="1" x14ac:dyDescent="0.25">
      <c r="A2074" s="47">
        <v>6693</v>
      </c>
      <c r="B2074" s="78">
        <v>45160</v>
      </c>
      <c r="C2074" s="47" t="s">
        <v>72</v>
      </c>
      <c r="D2074" s="49" t="s">
        <v>299</v>
      </c>
      <c r="E2074" s="47">
        <v>410406</v>
      </c>
      <c r="F2074" s="50" t="s">
        <v>89</v>
      </c>
      <c r="G2074" s="50" t="s">
        <v>89</v>
      </c>
      <c r="H2074" s="49">
        <v>41</v>
      </c>
      <c r="I2074" s="51"/>
      <c r="J2074" s="51">
        <v>4.9000000000000004</v>
      </c>
      <c r="K2074" s="51">
        <f>Tabela6[[#This Row],[CONSUMO]]*Tabela6[[#This Row],[VALOR UNIT]]-Tabela6[[#This Row],[DESCONTO]]</f>
        <v>200.9</v>
      </c>
      <c r="L2074" s="53">
        <f>Tabela6[[#This Row],[CUSTO TOTAL]]/Tabela6[[#This Row],[CONSUMO]]</f>
        <v>4.9000000000000004</v>
      </c>
      <c r="M2074" s="50">
        <f>Tabela6[[#This Row],[KM ATUAL]]-E2066</f>
        <v>339704</v>
      </c>
      <c r="N2074" s="51">
        <f>Tabela6[[#This Row],[KM Rodados ]]/Tabela6[[#This Row],[CONSUMO]]</f>
        <v>8285.4634146341468</v>
      </c>
      <c r="O2074" s="48"/>
      <c r="P2074" s="47"/>
      <c r="Q2074" s="49"/>
      <c r="R2074" s="47"/>
      <c r="S2074" s="50"/>
      <c r="T2074" s="51"/>
      <c r="U2074" s="49"/>
      <c r="V2074" s="51"/>
      <c r="W2074" s="51"/>
      <c r="X2074" s="53"/>
      <c r="Y2074" s="50"/>
      <c r="Z2074" s="51"/>
    </row>
    <row r="2075" spans="1:26" ht="14.45" customHeight="1" x14ac:dyDescent="0.25">
      <c r="A2075" s="47">
        <v>6693</v>
      </c>
      <c r="B2075" s="78">
        <v>45160</v>
      </c>
      <c r="C2075" s="47" t="s">
        <v>71</v>
      </c>
      <c r="D2075" s="49" t="s">
        <v>299</v>
      </c>
      <c r="E2075" s="47">
        <v>119371</v>
      </c>
      <c r="F2075" s="50" t="s">
        <v>89</v>
      </c>
      <c r="G2075" s="50" t="s">
        <v>89</v>
      </c>
      <c r="H2075" s="49">
        <v>260</v>
      </c>
      <c r="I2075" s="51"/>
      <c r="J2075" s="51">
        <v>4.9000000000000004</v>
      </c>
      <c r="K2075" s="51">
        <f>Tabela6[[#This Row],[CONSUMO]]*Tabela6[[#This Row],[VALOR UNIT]]-Tabela6[[#This Row],[DESCONTO]]</f>
        <v>1274</v>
      </c>
      <c r="L2075" s="53">
        <f>Tabela6[[#This Row],[CUSTO TOTAL]]/Tabela6[[#This Row],[CONSUMO]]</f>
        <v>4.9000000000000004</v>
      </c>
      <c r="M2075" s="50">
        <f>Tabela6[[#This Row],[KM ATUAL]]-E2013</f>
        <v>31637</v>
      </c>
      <c r="N2075" s="51">
        <f>Tabela6[[#This Row],[KM Rodados ]]/Tabela6[[#This Row],[CONSUMO]]</f>
        <v>121.68076923076923</v>
      </c>
      <c r="O2075" s="48"/>
      <c r="P2075" s="47"/>
      <c r="Q2075" s="49"/>
      <c r="R2075" s="47"/>
      <c r="S2075" s="50"/>
      <c r="T2075" s="51"/>
      <c r="U2075" s="49"/>
      <c r="V2075" s="51"/>
      <c r="W2075" s="51"/>
      <c r="X2075" s="53"/>
      <c r="Y2075" s="50"/>
      <c r="Z2075" s="51"/>
    </row>
    <row r="2076" spans="1:26" ht="14.45" customHeight="1" x14ac:dyDescent="0.25">
      <c r="A2076" s="47">
        <v>18864</v>
      </c>
      <c r="B2076" s="78">
        <v>45160</v>
      </c>
      <c r="C2076" s="47" t="s">
        <v>64</v>
      </c>
      <c r="D2076" s="49" t="s">
        <v>253</v>
      </c>
      <c r="E2076" s="47">
        <v>88944</v>
      </c>
      <c r="F2076" s="50" t="s">
        <v>89</v>
      </c>
      <c r="G2076" s="50" t="s">
        <v>89</v>
      </c>
      <c r="H2076" s="49">
        <v>200.59</v>
      </c>
      <c r="I2076" s="51"/>
      <c r="J2076" s="51">
        <v>5.99</v>
      </c>
      <c r="K2076" s="51">
        <f>Tabela6[[#This Row],[CONSUMO]]*Tabela6[[#This Row],[VALOR UNIT]]-Tabela6[[#This Row],[DESCONTO]]</f>
        <v>1201.5341000000001</v>
      </c>
      <c r="L2076" s="53">
        <f>Tabela6[[#This Row],[CUSTO TOTAL]]/Tabela6[[#This Row],[CONSUMO]]</f>
        <v>5.99</v>
      </c>
      <c r="M2076" s="50">
        <f>Tabela6[[#This Row],[KM ATUAL]]-E1993</f>
        <v>-320107</v>
      </c>
      <c r="N2076" s="51">
        <f>Tabela6[[#This Row],[KM Rodados ]]/Tabela6[[#This Row],[CONSUMO]]</f>
        <v>-1595.8273094371602</v>
      </c>
      <c r="O2076" s="48"/>
      <c r="P2076" s="47"/>
      <c r="Q2076" s="49"/>
      <c r="R2076" s="47"/>
      <c r="S2076" s="50"/>
      <c r="T2076" s="51"/>
      <c r="U2076" s="49"/>
      <c r="V2076" s="51"/>
      <c r="W2076" s="51"/>
      <c r="X2076" s="53"/>
      <c r="Y2076" s="50"/>
      <c r="Z2076" s="51"/>
    </row>
    <row r="2077" spans="1:26" ht="14.45" customHeight="1" x14ac:dyDescent="0.25">
      <c r="A2077" s="47">
        <v>132846</v>
      </c>
      <c r="B2077" s="78">
        <v>45160</v>
      </c>
      <c r="C2077" s="47" t="s">
        <v>21</v>
      </c>
      <c r="D2077" s="49" t="s">
        <v>263</v>
      </c>
      <c r="E2077" s="47">
        <v>151856</v>
      </c>
      <c r="F2077" s="50" t="s">
        <v>89</v>
      </c>
      <c r="G2077" s="50" t="s">
        <v>89</v>
      </c>
      <c r="H2077" s="49">
        <v>182.29</v>
      </c>
      <c r="I2077" s="51">
        <v>18.23</v>
      </c>
      <c r="J2077" s="51">
        <v>5.69</v>
      </c>
      <c r="K2077" s="52">
        <f>Tabela6[[#This Row],[CONSUMO]]*Tabela6[[#This Row],[VALOR UNIT]]-Tabela6[[#This Row],[DESCONTO]]</f>
        <v>1019.0001</v>
      </c>
      <c r="L2077" s="53">
        <f>Tabela6[[#This Row],[CUSTO TOTAL]]/Tabela6[[#This Row],[CONSUMO]]</f>
        <v>5.5899945142355589</v>
      </c>
      <c r="M2077" s="50">
        <f>Tabela6[[#This Row],[KM ATUAL]]-E1974</f>
        <v>-340463</v>
      </c>
      <c r="N2077" s="51">
        <f>Tabela6[[#This Row],[KM Rodados ]]/Tabela6[[#This Row],[CONSUMO]]</f>
        <v>-1867.6998189697736</v>
      </c>
      <c r="O2077" s="48"/>
      <c r="P2077" s="47"/>
      <c r="Q2077" s="49"/>
      <c r="R2077" s="47"/>
      <c r="S2077" s="50"/>
      <c r="T2077" s="51"/>
      <c r="U2077" s="49"/>
      <c r="V2077" s="51"/>
      <c r="W2077" s="51"/>
      <c r="X2077" s="53"/>
      <c r="Y2077" s="50"/>
      <c r="Z2077" s="51"/>
    </row>
    <row r="2078" spans="1:26" ht="14.45" customHeight="1" x14ac:dyDescent="0.25">
      <c r="A2078" s="47">
        <v>18542</v>
      </c>
      <c r="B2078" s="78">
        <v>45160</v>
      </c>
      <c r="C2078" s="47" t="s">
        <v>12</v>
      </c>
      <c r="D2078" s="49" t="s">
        <v>253</v>
      </c>
      <c r="E2078" s="47">
        <v>319143</v>
      </c>
      <c r="F2078" s="50" t="s">
        <v>89</v>
      </c>
      <c r="G2078" s="50" t="s">
        <v>89</v>
      </c>
      <c r="H2078" s="49">
        <v>99.48</v>
      </c>
      <c r="I2078" s="51"/>
      <c r="J2078" s="51">
        <v>5.99</v>
      </c>
      <c r="K2078" s="51">
        <f>Tabela6[[#This Row],[CONSUMO]]*Tabela6[[#This Row],[VALOR UNIT]]-Tabela6[[#This Row],[DESCONTO]]</f>
        <v>595.88520000000005</v>
      </c>
      <c r="L2078" s="53">
        <f>Tabela6[[#This Row],[CUSTO TOTAL]]/Tabela6[[#This Row],[CONSUMO]]</f>
        <v>5.99</v>
      </c>
      <c r="M2078" s="50">
        <f>Tabela6[[#This Row],[KM ATUAL]]-E1955</f>
        <v>-351654</v>
      </c>
      <c r="N2078" s="51">
        <f>Tabela6[[#This Row],[KM Rodados ]]/Tabela6[[#This Row],[CONSUMO]]</f>
        <v>-3534.9215922798553</v>
      </c>
      <c r="O2078" s="48"/>
      <c r="P2078" s="47"/>
      <c r="Q2078" s="49"/>
      <c r="R2078" s="47"/>
      <c r="S2078" s="50"/>
      <c r="T2078" s="51"/>
      <c r="U2078" s="49"/>
      <c r="V2078" s="51"/>
      <c r="W2078" s="51"/>
      <c r="X2078" s="53"/>
      <c r="Y2078" s="50"/>
      <c r="Z2078" s="51"/>
    </row>
    <row r="2079" spans="1:26" ht="14.45" customHeight="1" x14ac:dyDescent="0.25">
      <c r="A2079" s="47">
        <v>329727</v>
      </c>
      <c r="B2079" s="78">
        <v>45160</v>
      </c>
      <c r="C2079" s="47" t="s">
        <v>13</v>
      </c>
      <c r="D2079" s="49" t="s">
        <v>320</v>
      </c>
      <c r="E2079" s="47">
        <v>643678</v>
      </c>
      <c r="F2079" s="50" t="s">
        <v>89</v>
      </c>
      <c r="G2079" s="50" t="s">
        <v>89</v>
      </c>
      <c r="H2079" s="49">
        <v>130.22999999999999</v>
      </c>
      <c r="I2079" s="51">
        <v>35.159999999999997</v>
      </c>
      <c r="J2079" s="51">
        <v>5.92</v>
      </c>
      <c r="K2079" s="51">
        <f>Tabela6[[#This Row],[CONSUMO]]*Tabela6[[#This Row],[VALOR UNIT]]-Tabela6[[#This Row],[DESCONTO]]</f>
        <v>735.80160000000001</v>
      </c>
      <c r="L2079" s="53">
        <f>Tabela6[[#This Row],[CUSTO TOTAL]]/Tabela6[[#This Row],[CONSUMO]]</f>
        <v>5.650016125316748</v>
      </c>
      <c r="M2079" s="50">
        <f>Tabela6[[#This Row],[KM ATUAL]]-E2038</f>
        <v>502237</v>
      </c>
      <c r="N2079" s="51">
        <f>Tabela6[[#This Row],[KM Rodados ]]/Tabela6[[#This Row],[CONSUMO]]</f>
        <v>3856.5384320049147</v>
      </c>
      <c r="O2079" s="48"/>
      <c r="P2079" s="47"/>
      <c r="Q2079" s="49"/>
      <c r="R2079" s="47"/>
      <c r="S2079" s="50"/>
      <c r="T2079" s="51"/>
      <c r="U2079" s="49"/>
      <c r="V2079" s="51"/>
      <c r="W2079" s="51"/>
      <c r="X2079" s="53"/>
      <c r="Y2079" s="50"/>
      <c r="Z2079" s="51"/>
    </row>
    <row r="2080" spans="1:26" ht="14.45" customHeight="1" x14ac:dyDescent="0.25">
      <c r="A2080" s="47">
        <v>6693</v>
      </c>
      <c r="B2080" s="78">
        <v>45160</v>
      </c>
      <c r="C2080" s="47" t="s">
        <v>15</v>
      </c>
      <c r="D2080" s="49" t="s">
        <v>299</v>
      </c>
      <c r="E2080" s="47">
        <v>379814</v>
      </c>
      <c r="F2080" s="50" t="s">
        <v>89</v>
      </c>
      <c r="G2080" s="50" t="s">
        <v>89</v>
      </c>
      <c r="H2080" s="49">
        <v>110</v>
      </c>
      <c r="I2080" s="51"/>
      <c r="J2080" s="51">
        <v>4.9000000000000004</v>
      </c>
      <c r="K2080" s="52">
        <f>Tabela6[[#This Row],[CONSUMO]]*Tabela6[[#This Row],[VALOR UNIT]]-Tabela6[[#This Row],[DESCONTO]]</f>
        <v>539</v>
      </c>
      <c r="L2080" s="53">
        <f>Tabela6[[#This Row],[CUSTO TOTAL]]/Tabela6[[#This Row],[CONSUMO]]</f>
        <v>4.9000000000000004</v>
      </c>
      <c r="M2080" s="50">
        <f>Tabela6[[#This Row],[KM ATUAL]]-E2008</f>
        <v>238981</v>
      </c>
      <c r="N2080" s="51">
        <f>Tabela6[[#This Row],[KM Rodados ]]/Tabela6[[#This Row],[CONSUMO]]</f>
        <v>2172.5545454545454</v>
      </c>
      <c r="O2080" s="48"/>
      <c r="P2080" s="47"/>
      <c r="Q2080" s="49"/>
      <c r="R2080" s="47"/>
      <c r="S2080" s="50"/>
      <c r="T2080" s="51"/>
      <c r="U2080" s="49"/>
      <c r="V2080" s="51"/>
      <c r="W2080" s="51"/>
      <c r="X2080" s="53"/>
      <c r="Y2080" s="50"/>
      <c r="Z2080" s="51"/>
    </row>
    <row r="2081" spans="1:26" ht="14.45" customHeight="1" x14ac:dyDescent="0.25">
      <c r="A2081" s="47">
        <v>6693</v>
      </c>
      <c r="B2081" s="78">
        <v>45160</v>
      </c>
      <c r="C2081" s="47" t="s">
        <v>17</v>
      </c>
      <c r="D2081" s="49" t="s">
        <v>299</v>
      </c>
      <c r="E2081" s="47">
        <v>366898</v>
      </c>
      <c r="F2081" s="50" t="s">
        <v>89</v>
      </c>
      <c r="G2081" s="50" t="s">
        <v>89</v>
      </c>
      <c r="H2081" s="51">
        <v>103</v>
      </c>
      <c r="I2081" s="51"/>
      <c r="J2081" s="51">
        <v>4.9000000000000004</v>
      </c>
      <c r="K2081" s="51">
        <f>Tabela6[[#This Row],[CONSUMO]]*Tabela6[[#This Row],[VALOR UNIT]]-Tabela6[[#This Row],[DESCONTO]]</f>
        <v>504.70000000000005</v>
      </c>
      <c r="L2081" s="53">
        <f>Tabela6[[#This Row],[CUSTO TOTAL]]/Tabela6[[#This Row],[CONSUMO]]</f>
        <v>4.9000000000000004</v>
      </c>
      <c r="M2081" s="50">
        <f>Tabela6[[#This Row],[KM ATUAL]]-E2032</f>
        <v>999</v>
      </c>
      <c r="N2081" s="51">
        <f>Tabela6[[#This Row],[KM Rodados ]]/Tabela6[[#This Row],[CONSUMO]]</f>
        <v>9.6990291262135919</v>
      </c>
      <c r="O2081" s="48"/>
      <c r="P2081" s="47"/>
      <c r="Q2081" s="49"/>
      <c r="R2081" s="47"/>
      <c r="S2081" s="50"/>
      <c r="T2081" s="51"/>
      <c r="U2081" s="49"/>
      <c r="V2081" s="51"/>
      <c r="W2081" s="51"/>
      <c r="X2081" s="53"/>
      <c r="Y2081" s="50"/>
      <c r="Z2081" s="51"/>
    </row>
    <row r="2082" spans="1:26" ht="14.45" customHeight="1" x14ac:dyDescent="0.25">
      <c r="A2082" s="47">
        <v>559410</v>
      </c>
      <c r="B2082" s="78">
        <v>45160</v>
      </c>
      <c r="C2082" s="47" t="s">
        <v>18</v>
      </c>
      <c r="D2082" s="49" t="s">
        <v>255</v>
      </c>
      <c r="E2082" s="47">
        <v>325206</v>
      </c>
      <c r="F2082" s="50" t="s">
        <v>89</v>
      </c>
      <c r="G2082" s="51" t="s">
        <v>89</v>
      </c>
      <c r="H2082" s="49">
        <v>57.621000000000002</v>
      </c>
      <c r="I2082" s="51"/>
      <c r="J2082" s="51">
        <v>6.58</v>
      </c>
      <c r="K2082" s="51">
        <f>Tabela6[[#This Row],[CONSUMO]]*Tabela6[[#This Row],[VALOR UNIT]]-Tabela6[[#This Row],[DESCONTO]]</f>
        <v>379.14618000000002</v>
      </c>
      <c r="L2082" s="53">
        <f>Tabela6[[#This Row],[CUSTO TOTAL]]/Tabela6[[#This Row],[CONSUMO]]</f>
        <v>6.58</v>
      </c>
      <c r="M2082" s="50">
        <f>Tabela6[[#This Row],[KM ATUAL]]-E1905</f>
        <v>24093</v>
      </c>
      <c r="N2082" s="79">
        <f>Tabela6[[#This Row],[KM Rodados ]]/Tabela6[[#This Row],[CONSUMO]]</f>
        <v>418.12880720570621</v>
      </c>
      <c r="O2082" s="48"/>
      <c r="P2082" s="47"/>
      <c r="Q2082" s="49"/>
      <c r="R2082" s="47"/>
      <c r="S2082" s="50"/>
      <c r="T2082" s="51"/>
      <c r="U2082" s="49"/>
      <c r="V2082" s="51"/>
      <c r="W2082" s="51"/>
      <c r="X2082" s="53"/>
      <c r="Y2082" s="50"/>
      <c r="Z2082" s="51"/>
    </row>
    <row r="2083" spans="1:26" ht="14.45" customHeight="1" x14ac:dyDescent="0.25">
      <c r="A2083" s="47">
        <v>6693</v>
      </c>
      <c r="B2083" s="78">
        <v>45160</v>
      </c>
      <c r="C2083" s="47" t="s">
        <v>19</v>
      </c>
      <c r="D2083" s="49" t="s">
        <v>299</v>
      </c>
      <c r="E2083" s="47">
        <v>323043</v>
      </c>
      <c r="F2083" s="50" t="s">
        <v>89</v>
      </c>
      <c r="G2083" s="50" t="s">
        <v>89</v>
      </c>
      <c r="H2083" s="51">
        <v>150</v>
      </c>
      <c r="I2083" s="51"/>
      <c r="J2083" s="51">
        <v>4.9000000000000004</v>
      </c>
      <c r="K2083" s="51">
        <f>Tabela6[[#This Row],[CONSUMO]]*Tabela6[[#This Row],[VALOR UNIT]]-Tabela6[[#This Row],[DESCONTO]]</f>
        <v>735</v>
      </c>
      <c r="L2083" s="53">
        <f>Tabela6[[#This Row],[CUSTO TOTAL]]/Tabela6[[#This Row],[CONSUMO]]</f>
        <v>4.9000000000000004</v>
      </c>
      <c r="M2083" s="50">
        <f>Tabela6[[#This Row],[KM ATUAL]]-E2010</f>
        <v>-352848</v>
      </c>
      <c r="N2083" s="51">
        <f>Tabela6[[#This Row],[KM Rodados ]]/Tabela6[[#This Row],[CONSUMO]]</f>
        <v>-2352.3200000000002</v>
      </c>
      <c r="O2083" s="48"/>
      <c r="P2083" s="47"/>
      <c r="Q2083" s="49"/>
      <c r="R2083" s="47"/>
      <c r="S2083" s="50"/>
      <c r="T2083" s="51"/>
      <c r="U2083" s="49"/>
      <c r="V2083" s="51"/>
      <c r="W2083" s="51"/>
      <c r="X2083" s="53"/>
      <c r="Y2083" s="50"/>
      <c r="Z2083" s="51"/>
    </row>
    <row r="2084" spans="1:26" ht="14.45" customHeight="1" x14ac:dyDescent="0.25">
      <c r="A2084" s="47">
        <v>6693</v>
      </c>
      <c r="B2084" s="78">
        <v>45160</v>
      </c>
      <c r="C2084" s="47" t="s">
        <v>20</v>
      </c>
      <c r="D2084" s="49" t="s">
        <v>299</v>
      </c>
      <c r="E2084" s="47">
        <v>267128</v>
      </c>
      <c r="F2084" s="50" t="s">
        <v>89</v>
      </c>
      <c r="G2084" s="50" t="s">
        <v>89</v>
      </c>
      <c r="H2084" s="49">
        <v>66</v>
      </c>
      <c r="I2084" s="51"/>
      <c r="J2084" s="51">
        <v>4.9000000000000004</v>
      </c>
      <c r="K2084" s="52">
        <f>Tabela6[[#This Row],[CONSUMO]]*Tabela6[[#This Row],[VALOR UNIT]]-Tabela6[[#This Row],[DESCONTO]]</f>
        <v>323.40000000000003</v>
      </c>
      <c r="L2084" s="53">
        <f>Tabela6[[#This Row],[CUSTO TOTAL]]/Tabela6[[#This Row],[CONSUMO]]</f>
        <v>4.9000000000000004</v>
      </c>
      <c r="M2084" s="50">
        <f>Tabela6[[#This Row],[KM ATUAL]]-E2026</f>
        <v>-142238</v>
      </c>
      <c r="N2084" s="51">
        <f>Tabela6[[#This Row],[KM Rodados ]]/Tabela6[[#This Row],[CONSUMO]]</f>
        <v>-2155.121212121212</v>
      </c>
      <c r="O2084" s="48"/>
      <c r="P2084" s="47"/>
      <c r="Q2084" s="49"/>
      <c r="R2084" s="47"/>
      <c r="S2084" s="50"/>
      <c r="T2084" s="51"/>
      <c r="U2084" s="49"/>
      <c r="V2084" s="51"/>
      <c r="W2084" s="51"/>
      <c r="X2084" s="53"/>
      <c r="Y2084" s="50"/>
      <c r="Z2084" s="51"/>
    </row>
    <row r="2085" spans="1:26" ht="14.45" customHeight="1" x14ac:dyDescent="0.25">
      <c r="A2085" s="66">
        <v>202651</v>
      </c>
      <c r="B2085" s="78">
        <v>45160</v>
      </c>
      <c r="C2085" s="47" t="s">
        <v>40</v>
      </c>
      <c r="D2085" s="49" t="s">
        <v>262</v>
      </c>
      <c r="E2085" s="47">
        <v>153623</v>
      </c>
      <c r="F2085" s="50" t="s">
        <v>244</v>
      </c>
      <c r="G2085" s="50" t="s">
        <v>244</v>
      </c>
      <c r="H2085" s="49">
        <v>45.238999999999997</v>
      </c>
      <c r="I2085" s="51"/>
      <c r="J2085" s="51">
        <v>5.89</v>
      </c>
      <c r="K2085" s="77">
        <f>Tabela6[[#This Row],[CONSUMO]]*Tabela6[[#This Row],[VALOR UNIT]]-Tabela6[[#This Row],[DESCONTO]]</f>
        <v>266.45770999999996</v>
      </c>
      <c r="L2085" s="50">
        <v>5.89</v>
      </c>
      <c r="M2085" s="50">
        <f>Tabela6[[#This Row],[KM ATUAL]]-E2084</f>
        <v>-113505</v>
      </c>
      <c r="N2085" s="51">
        <f>Tabela6[[#This Row],[KM Rodados ]]/Tabela6[[#This Row],[CONSUMO]]</f>
        <v>-2509.0077145825508</v>
      </c>
    </row>
    <row r="2086" spans="1:26" ht="14.45" customHeight="1" x14ac:dyDescent="0.25">
      <c r="A2086" s="47">
        <v>6693</v>
      </c>
      <c r="B2086" s="78">
        <v>45160</v>
      </c>
      <c r="C2086" s="47" t="s">
        <v>74</v>
      </c>
      <c r="D2086" s="49" t="s">
        <v>299</v>
      </c>
      <c r="E2086" s="47">
        <v>71072</v>
      </c>
      <c r="F2086" s="50" t="s">
        <v>89</v>
      </c>
      <c r="G2086" s="50" t="s">
        <v>89</v>
      </c>
      <c r="H2086" s="49">
        <v>47</v>
      </c>
      <c r="I2086" s="51"/>
      <c r="J2086" s="51">
        <v>4.9000000000000004</v>
      </c>
      <c r="K2086" s="51">
        <f>Tabela6[[#This Row],[CONSUMO]]*Tabela6[[#This Row],[VALOR UNIT]]-Tabela6[[#This Row],[DESCONTO]]</f>
        <v>230.3</v>
      </c>
      <c r="L2086" s="53">
        <f>Tabela6[[#This Row],[CUSTO TOTAL]]/Tabela6[[#This Row],[CONSUMO]]</f>
        <v>4.9000000000000004</v>
      </c>
      <c r="M2086" s="50">
        <f>Tabela6[[#This Row],[KM ATUAL]]-E2061</f>
        <v>-883519</v>
      </c>
      <c r="N2086" s="51">
        <f>Tabela6[[#This Row],[KM Rodados ]]/Tabela6[[#This Row],[CONSUMO]]</f>
        <v>-18798.276595744679</v>
      </c>
    </row>
    <row r="2087" spans="1:26" ht="14.45" customHeight="1" x14ac:dyDescent="0.25">
      <c r="A2087" s="47">
        <v>6693</v>
      </c>
      <c r="B2087" s="78">
        <v>45160</v>
      </c>
      <c r="C2087" s="47" t="s">
        <v>315</v>
      </c>
      <c r="D2087" s="49" t="s">
        <v>299</v>
      </c>
      <c r="E2087" s="47">
        <v>513</v>
      </c>
      <c r="F2087" s="50" t="s">
        <v>89</v>
      </c>
      <c r="G2087" s="51" t="s">
        <v>89</v>
      </c>
      <c r="H2087" s="49">
        <v>33</v>
      </c>
      <c r="I2087" s="51"/>
      <c r="J2087" s="51">
        <v>4.9000000000000004</v>
      </c>
      <c r="K2087" s="53">
        <f>Tabela6[[#This Row],[CONSUMO]]*Tabela6[[#This Row],[VALOR UNIT]]-Tabela6[[#This Row],[DESCONTO]]</f>
        <v>161.70000000000002</v>
      </c>
      <c r="L2087" s="50">
        <v>0</v>
      </c>
      <c r="N2087" s="66"/>
    </row>
    <row r="2088" spans="1:26" ht="14.45" customHeight="1" x14ac:dyDescent="0.25">
      <c r="A2088" s="47">
        <v>6873</v>
      </c>
      <c r="B2088" s="78">
        <v>45161</v>
      </c>
      <c r="C2088" s="47" t="s">
        <v>43</v>
      </c>
      <c r="D2088" s="49" t="s">
        <v>299</v>
      </c>
      <c r="E2088" s="47">
        <v>142804</v>
      </c>
      <c r="F2088" s="50" t="s">
        <v>89</v>
      </c>
      <c r="G2088" s="51" t="s">
        <v>89</v>
      </c>
      <c r="H2088" s="49">
        <v>27</v>
      </c>
      <c r="I2088" s="51"/>
      <c r="J2088" s="51">
        <v>5.8</v>
      </c>
      <c r="K2088" s="53">
        <f>Tabela6[[#This Row],[CONSUMO]]*Tabela6[[#This Row],[VALOR UNIT]]-Tabela6[[#This Row],[DESCONTO]]</f>
        <v>156.6</v>
      </c>
      <c r="L2088" s="50">
        <v>0</v>
      </c>
      <c r="M2088" s="51">
        <f>Tabela6[[#This Row],[KM ATUAL]]-E2077</f>
        <v>-9052</v>
      </c>
      <c r="N2088" s="51">
        <f>Tabela6[[#This Row],[KM Rodados ]]/Tabela6[[#This Row],[CONSUMO]]</f>
        <v>-335.25925925925924</v>
      </c>
    </row>
    <row r="2089" spans="1:26" ht="14.45" customHeight="1" x14ac:dyDescent="0.25">
      <c r="A2089" s="66">
        <v>202799</v>
      </c>
      <c r="B2089" s="78">
        <v>45161</v>
      </c>
      <c r="C2089" s="47" t="s">
        <v>222</v>
      </c>
      <c r="D2089" s="49" t="s">
        <v>262</v>
      </c>
      <c r="E2089" s="47">
        <v>494818</v>
      </c>
      <c r="F2089" s="50" t="s">
        <v>241</v>
      </c>
      <c r="G2089" s="50" t="s">
        <v>241</v>
      </c>
      <c r="H2089" s="49">
        <v>44.530999999999999</v>
      </c>
      <c r="I2089" s="51">
        <v>16.03</v>
      </c>
      <c r="J2089" s="51">
        <v>3.69</v>
      </c>
      <c r="K2089" s="53">
        <f>Tabela6[[#This Row],[CONSUMO]]*Tabela6[[#This Row],[VALOR UNIT]]-Tabela6[[#This Row],[DESCONTO]]</f>
        <v>148.28939</v>
      </c>
      <c r="L2089" s="50">
        <v>3.3300260492690485</v>
      </c>
      <c r="M2089" s="50"/>
    </row>
    <row r="2090" spans="1:26" ht="14.45" customHeight="1" x14ac:dyDescent="0.25">
      <c r="A2090" s="47">
        <v>6873</v>
      </c>
      <c r="B2090" s="78">
        <v>45161</v>
      </c>
      <c r="C2090" s="47" t="s">
        <v>39</v>
      </c>
      <c r="D2090" s="49" t="s">
        <v>299</v>
      </c>
      <c r="E2090" s="47">
        <v>99298</v>
      </c>
      <c r="F2090" s="50" t="s">
        <v>89</v>
      </c>
      <c r="G2090" s="50" t="s">
        <v>89</v>
      </c>
      <c r="H2090" s="51">
        <v>99</v>
      </c>
      <c r="I2090" s="51"/>
      <c r="J2090" s="51">
        <v>5.8</v>
      </c>
      <c r="K2090" s="53">
        <f>Tabela6[[#This Row],[CONSUMO]]*Tabela6[[#This Row],[VALOR UNIT]]-Tabela6[[#This Row],[DESCONTO]]</f>
        <v>574.19999999999993</v>
      </c>
      <c r="L2090" s="50">
        <v>0</v>
      </c>
      <c r="M2090" s="50">
        <f>Tabela6[[#This Row],[KM ATUAL]]-E2020</f>
        <v>-807563</v>
      </c>
      <c r="N2090" s="75">
        <f>Tabela6[[#This Row],[KM Rodados ]]/Tabela6[[#This Row],[CONSUMO]]</f>
        <v>-8157.2020202020203</v>
      </c>
    </row>
    <row r="2091" spans="1:26" ht="14.45" customHeight="1" x14ac:dyDescent="0.25">
      <c r="A2091" s="47">
        <v>591653</v>
      </c>
      <c r="B2091" s="78">
        <v>45161</v>
      </c>
      <c r="C2091" s="47" t="s">
        <v>70</v>
      </c>
      <c r="D2091" s="49" t="s">
        <v>275</v>
      </c>
      <c r="E2091" s="47">
        <v>221859</v>
      </c>
      <c r="F2091" s="50" t="s">
        <v>89</v>
      </c>
      <c r="G2091" s="50" t="s">
        <v>89</v>
      </c>
      <c r="H2091" s="50">
        <v>510.46</v>
      </c>
      <c r="I2091" s="51"/>
      <c r="J2091" s="51">
        <v>5.89</v>
      </c>
      <c r="K2091" s="52">
        <f>Tabela6[[#This Row],[CONSUMO]]*Tabela6[[#This Row],[VALOR UNIT]]-Tabela6[[#This Row],[DESCONTO]]</f>
        <v>3006.6093999999998</v>
      </c>
      <c r="L2091" s="53">
        <f>Tabela6[[#This Row],[CUSTO TOTAL]]/Tabela6[[#This Row],[CONSUMO]]</f>
        <v>5.89</v>
      </c>
      <c r="M2091" s="50">
        <f>Tabela6[[#This Row],[KM ATUAL]]-E2063</f>
        <v>-421229</v>
      </c>
      <c r="N2091" s="84">
        <f>Tabela6[[#This Row],[KM Rodados ]]/Tabela6[[#This Row],[CONSUMO]]</f>
        <v>-825.19492222701092</v>
      </c>
    </row>
    <row r="2092" spans="1:26" ht="14.45" customHeight="1" x14ac:dyDescent="0.25">
      <c r="A2092" s="47">
        <v>6873</v>
      </c>
      <c r="B2092" s="78">
        <v>45161</v>
      </c>
      <c r="C2092" s="47" t="s">
        <v>73</v>
      </c>
      <c r="D2092" s="49" t="s">
        <v>299</v>
      </c>
      <c r="E2092" s="47">
        <v>138804</v>
      </c>
      <c r="F2092" s="50" t="s">
        <v>89</v>
      </c>
      <c r="G2092" s="50" t="s">
        <v>89</v>
      </c>
      <c r="H2092" s="51">
        <v>148</v>
      </c>
      <c r="I2092" s="51"/>
      <c r="J2092" s="51">
        <v>5.8</v>
      </c>
      <c r="K2092" s="52">
        <f>Tabela6[[#This Row],[CONSUMO]]*Tabela6[[#This Row],[VALOR UNIT]]-Tabela6[[#This Row],[DESCONTO]]</f>
        <v>858.4</v>
      </c>
      <c r="L2092" s="53">
        <f>Tabela6[[#This Row],[CUSTO TOTAL]]/Tabela6[[#This Row],[CONSUMO]]</f>
        <v>5.8</v>
      </c>
      <c r="M2092" s="50">
        <f>Tabela6[[#This Row],[KM ATUAL]]-E2051</f>
        <v>68223</v>
      </c>
      <c r="N2092" s="51">
        <f>Tabela6[[#This Row],[KM Rodados ]]/Tabela6[[#This Row],[CONSUMO]]</f>
        <v>460.9662162162162</v>
      </c>
    </row>
    <row r="2093" spans="1:26" ht="14.45" customHeight="1" x14ac:dyDescent="0.25">
      <c r="A2093" s="47">
        <v>6873</v>
      </c>
      <c r="B2093" s="78">
        <v>45161</v>
      </c>
      <c r="C2093" s="47" t="s">
        <v>41</v>
      </c>
      <c r="D2093" s="49" t="s">
        <v>299</v>
      </c>
      <c r="E2093" s="47">
        <v>672583</v>
      </c>
      <c r="F2093" s="50" t="s">
        <v>89</v>
      </c>
      <c r="G2093" s="50" t="s">
        <v>89</v>
      </c>
      <c r="H2093" s="49">
        <v>184</v>
      </c>
      <c r="I2093" s="51"/>
      <c r="J2093" s="51">
        <v>5.8</v>
      </c>
      <c r="K2093" s="52">
        <f>Tabela6[[#This Row],[CONSUMO]]*Tabela6[[#This Row],[VALOR UNIT]]-Tabela6[[#This Row],[DESCONTO]]</f>
        <v>1067.2</v>
      </c>
      <c r="L2093" s="53">
        <f>Tabela6[[#This Row],[CUSTO TOTAL]]/Tabela6[[#This Row],[CONSUMO]]</f>
        <v>5.8</v>
      </c>
      <c r="M2093" s="50">
        <f>Tabela6[[#This Row],[KM ATUAL]]-E1997</f>
        <v>-49599</v>
      </c>
      <c r="N2093" s="51">
        <f>Tabela6[[#This Row],[KM Rodados ]]/Tabela6[[#This Row],[CONSUMO]]</f>
        <v>-269.55978260869563</v>
      </c>
    </row>
    <row r="2094" spans="1:26" ht="14.45" customHeight="1" x14ac:dyDescent="0.25">
      <c r="A2094" s="47">
        <v>6873</v>
      </c>
      <c r="B2094" s="78">
        <v>45161</v>
      </c>
      <c r="C2094" s="47" t="s">
        <v>13</v>
      </c>
      <c r="D2094" s="49" t="s">
        <v>299</v>
      </c>
      <c r="E2094" s="47">
        <v>643951</v>
      </c>
      <c r="F2094" s="50" t="s">
        <v>89</v>
      </c>
      <c r="G2094" s="50" t="s">
        <v>89</v>
      </c>
      <c r="H2094" s="49">
        <v>62</v>
      </c>
      <c r="I2094" s="51"/>
      <c r="J2094" s="51">
        <v>5.8</v>
      </c>
      <c r="K2094" s="51">
        <f>Tabela6[[#This Row],[CONSUMO]]*Tabela6[[#This Row],[VALOR UNIT]]-Tabela6[[#This Row],[DESCONTO]]</f>
        <v>359.59999999999997</v>
      </c>
      <c r="L2094" s="53">
        <f>Tabela6[[#This Row],[CUSTO TOTAL]]/Tabela6[[#This Row],[CONSUMO]]</f>
        <v>5.8</v>
      </c>
      <c r="M2094" s="50">
        <f>Tabela6[[#This Row],[KM ATUAL]]-E2090</f>
        <v>544653</v>
      </c>
      <c r="N2094" s="51">
        <f>Tabela6[[#This Row],[KM Rodados ]]/Tabela6[[#This Row],[CONSUMO]]</f>
        <v>8784.7258064516136</v>
      </c>
    </row>
    <row r="2095" spans="1:26" ht="14.45" customHeight="1" x14ac:dyDescent="0.25">
      <c r="A2095" s="47">
        <v>202784</v>
      </c>
      <c r="B2095" s="78">
        <v>45161</v>
      </c>
      <c r="C2095" s="47" t="s">
        <v>14</v>
      </c>
      <c r="D2095" s="49" t="s">
        <v>262</v>
      </c>
      <c r="E2095" s="47">
        <v>291557</v>
      </c>
      <c r="F2095" s="50" t="s">
        <v>244</v>
      </c>
      <c r="G2095" s="50" t="s">
        <v>244</v>
      </c>
      <c r="H2095" s="49">
        <v>19.920000000000002</v>
      </c>
      <c r="I2095" s="51"/>
      <c r="J2095" s="51">
        <v>5.89</v>
      </c>
      <c r="K2095" s="52">
        <f>Tabela6[[#This Row],[CONSUMO]]*Tabela6[[#This Row],[VALOR UNIT]]-Tabela6[[#This Row],[DESCONTO]]</f>
        <v>117.3288</v>
      </c>
      <c r="L2095" s="53">
        <f>Tabela6[[#This Row],[CUSTO TOTAL]]/Tabela6[[#This Row],[CONSUMO]]</f>
        <v>5.89</v>
      </c>
      <c r="M2095" s="50">
        <f>Tabela6[[#This Row],[KM ATUAL]]-E2094</f>
        <v>-352394</v>
      </c>
      <c r="N2095" s="51">
        <f>Tabela6[[#This Row],[KM Rodados ]]/Tabela6[[#This Row],[CONSUMO]]</f>
        <v>-17690.461847389557</v>
      </c>
    </row>
    <row r="2096" spans="1:26" ht="14.45" customHeight="1" x14ac:dyDescent="0.25">
      <c r="A2096" s="47">
        <v>202805</v>
      </c>
      <c r="B2096" s="78">
        <v>45161</v>
      </c>
      <c r="C2096" s="47" t="s">
        <v>15</v>
      </c>
      <c r="D2096" s="49" t="s">
        <v>262</v>
      </c>
      <c r="E2096" s="47">
        <v>379825</v>
      </c>
      <c r="F2096" s="50" t="s">
        <v>241</v>
      </c>
      <c r="G2096" s="50" t="s">
        <v>241</v>
      </c>
      <c r="H2096" s="50">
        <v>16.594999999999999</v>
      </c>
      <c r="I2096" s="51">
        <v>5.98</v>
      </c>
      <c r="J2096" s="51">
        <v>3.69</v>
      </c>
      <c r="K2096" s="52">
        <f>Tabela6[[#This Row],[CONSUMO]]*Tabela6[[#This Row],[VALOR UNIT]]-Tabela6[[#This Row],[DESCONTO]]</f>
        <v>55.255549999999999</v>
      </c>
      <c r="L2096" s="53">
        <f>Tabela6[[#This Row],[CUSTO TOTAL]]/Tabela6[[#This Row],[CONSUMO]]</f>
        <v>3.3296504971376923</v>
      </c>
      <c r="M2096" s="53"/>
      <c r="N2096" s="49"/>
    </row>
    <row r="2097" spans="1:14" ht="14.45" customHeight="1" x14ac:dyDescent="0.25">
      <c r="A2097" s="47">
        <v>875603</v>
      </c>
      <c r="B2097" s="78">
        <v>45161</v>
      </c>
      <c r="C2097" s="47" t="s">
        <v>23</v>
      </c>
      <c r="D2097" s="49" t="s">
        <v>253</v>
      </c>
      <c r="E2097" s="47">
        <v>240980</v>
      </c>
      <c r="F2097" s="50" t="s">
        <v>89</v>
      </c>
      <c r="G2097" s="50" t="s">
        <v>89</v>
      </c>
      <c r="H2097" s="49">
        <v>126.82</v>
      </c>
      <c r="I2097" s="51"/>
      <c r="J2097" s="51">
        <v>5.99</v>
      </c>
      <c r="K2097" s="51">
        <f>Tabela6[[#This Row],[CONSUMO]]*Tabela6[[#This Row],[VALOR UNIT]]-Tabela6[[#This Row],[DESCONTO]]</f>
        <v>759.65179999999998</v>
      </c>
      <c r="L2097" s="53">
        <f>Tabela6[[#This Row],[CUSTO TOTAL]]/Tabela6[[#This Row],[CONSUMO]]</f>
        <v>5.99</v>
      </c>
      <c r="M2097" s="50">
        <f>Tabela6[[#This Row],[KM ATUAL]]-E2017</f>
        <v>-50284</v>
      </c>
      <c r="N2097" s="51">
        <f>Tabela6[[#This Row],[KM Rodados ]]/Tabela6[[#This Row],[CONSUMO]]</f>
        <v>-396.49897492509069</v>
      </c>
    </row>
    <row r="2098" spans="1:14" ht="14.45" customHeight="1" x14ac:dyDescent="0.25">
      <c r="A2098" s="47">
        <v>126891</v>
      </c>
      <c r="B2098" s="78">
        <v>45162</v>
      </c>
      <c r="C2098" s="49" t="s">
        <v>68</v>
      </c>
      <c r="D2098" s="49" t="s">
        <v>281</v>
      </c>
      <c r="E2098" s="47">
        <v>909811</v>
      </c>
      <c r="F2098" s="49" t="s">
        <v>89</v>
      </c>
      <c r="G2098" s="50" t="s">
        <v>89</v>
      </c>
      <c r="H2098" s="51">
        <v>407.01600000000002</v>
      </c>
      <c r="I2098" s="49">
        <v>374.45</v>
      </c>
      <c r="J2098" s="51">
        <v>7.01</v>
      </c>
      <c r="K2098" s="51">
        <f>Tabela6[[#This Row],[CONSUMO]]*Tabela6[[#This Row],[VALOR UNIT]]-Tabela6[[#This Row],[DESCONTO]]</f>
        <v>2478.73216</v>
      </c>
      <c r="L2098" s="53">
        <f>Tabela6[[#This Row],[CUSTO TOTAL]]/Tabela6[[#This Row],[CONSUMO]]</f>
        <v>6.0900115965957111</v>
      </c>
      <c r="M2098" s="50">
        <f>Tabela6[[#This Row],[KM ATUAL]]-E2041</f>
        <v>576359</v>
      </c>
      <c r="N2098" s="51">
        <f>Tabela6[[#This Row],[KM Rodados ]]/Tabela6[[#This Row],[CONSUMO]]</f>
        <v>1416.0598109165242</v>
      </c>
    </row>
    <row r="2099" spans="1:14" ht="14.45" customHeight="1" x14ac:dyDescent="0.25">
      <c r="A2099" s="47">
        <v>654150</v>
      </c>
      <c r="B2099" s="78">
        <v>45162</v>
      </c>
      <c r="C2099" s="47" t="s">
        <v>9</v>
      </c>
      <c r="D2099" s="49" t="s">
        <v>271</v>
      </c>
      <c r="E2099" s="47">
        <v>619787</v>
      </c>
      <c r="F2099" s="50" t="s">
        <v>89</v>
      </c>
      <c r="G2099" s="50" t="s">
        <v>89</v>
      </c>
      <c r="H2099" s="49">
        <v>115</v>
      </c>
      <c r="I2099" s="51"/>
      <c r="J2099" s="51">
        <v>5.99</v>
      </c>
      <c r="K2099" s="53">
        <f>Tabela6[[#This Row],[CONSUMO]]*Tabela6[[#This Row],[VALOR UNIT]]-Tabela6[[#This Row],[DESCONTO]]</f>
        <v>688.85</v>
      </c>
      <c r="L2099" s="53">
        <v>5.99</v>
      </c>
      <c r="M2099" s="50">
        <f>Tabela6[[#This Row],[KM ATUAL]]-E2077</f>
        <v>467931</v>
      </c>
      <c r="N2099" s="51">
        <f>Tabela6[[#This Row],[KM Rodados ]]/Tabela6[[#This Row],[CONSUMO]]</f>
        <v>4068.9652173913041</v>
      </c>
    </row>
    <row r="2100" spans="1:14" ht="14.45" customHeight="1" x14ac:dyDescent="0.25">
      <c r="A2100" s="47">
        <v>20584</v>
      </c>
      <c r="B2100" s="78">
        <v>45162</v>
      </c>
      <c r="C2100" s="47" t="s">
        <v>42</v>
      </c>
      <c r="D2100" s="49" t="s">
        <v>253</v>
      </c>
      <c r="E2100" s="47">
        <v>370636</v>
      </c>
      <c r="F2100" s="50" t="s">
        <v>89</v>
      </c>
      <c r="G2100" s="50" t="s">
        <v>89</v>
      </c>
      <c r="H2100" s="49">
        <v>81.599999999999994</v>
      </c>
      <c r="I2100" s="51"/>
      <c r="J2100" s="51">
        <v>5.99</v>
      </c>
      <c r="K2100" s="53">
        <f>Tabela6[[#This Row],[CONSUMO]]*Tabela6[[#This Row],[VALOR UNIT]]-Tabela6[[#This Row],[DESCONTO]]</f>
        <v>488.78399999999999</v>
      </c>
      <c r="L2100" s="77">
        <v>5.99</v>
      </c>
      <c r="M2100" s="50">
        <f>Tabela6[[#This Row],[KM ATUAL]]-E1997</f>
        <v>-351546</v>
      </c>
      <c r="N2100" s="51">
        <f>Tabela6[[#This Row],[KM Rodados ]]/Tabela6[[#This Row],[CONSUMO]]</f>
        <v>-4308.1617647058829</v>
      </c>
    </row>
    <row r="2101" spans="1:14" ht="14.45" customHeight="1" x14ac:dyDescent="0.25">
      <c r="A2101" s="47">
        <v>6873</v>
      </c>
      <c r="B2101" s="78">
        <v>45162</v>
      </c>
      <c r="C2101" s="47" t="s">
        <v>22</v>
      </c>
      <c r="D2101" s="49" t="s">
        <v>299</v>
      </c>
      <c r="E2101" s="47">
        <v>334038</v>
      </c>
      <c r="F2101" s="50" t="s">
        <v>89</v>
      </c>
      <c r="G2101" s="51" t="s">
        <v>89</v>
      </c>
      <c r="H2101" s="49">
        <v>99</v>
      </c>
      <c r="I2101" s="51"/>
      <c r="J2101" s="51">
        <v>5.8</v>
      </c>
      <c r="K2101" s="53">
        <f>Tabela6[[#This Row],[CONSUMO]]*Tabela6[[#This Row],[VALOR UNIT]]-Tabela6[[#This Row],[DESCONTO]]</f>
        <v>574.19999999999993</v>
      </c>
      <c r="L2101" s="50">
        <v>0</v>
      </c>
      <c r="M2101" s="50">
        <f>Tabela6[[#This Row],[KM ATUAL]]-E2020</f>
        <v>-572823</v>
      </c>
      <c r="N2101" s="51">
        <f>Tabela6[[#This Row],[KM Rodados ]]/Tabela6[[#This Row],[CONSUMO]]</f>
        <v>-5786.090909090909</v>
      </c>
    </row>
    <row r="2102" spans="1:14" ht="14.45" customHeight="1" x14ac:dyDescent="0.25">
      <c r="A2102" s="47">
        <v>6873</v>
      </c>
      <c r="B2102" s="78">
        <v>45162</v>
      </c>
      <c r="C2102" s="47" t="s">
        <v>10</v>
      </c>
      <c r="D2102" s="49" t="s">
        <v>299</v>
      </c>
      <c r="E2102" s="47">
        <v>723031</v>
      </c>
      <c r="F2102" s="50" t="s">
        <v>89</v>
      </c>
      <c r="G2102" s="50" t="s">
        <v>89</v>
      </c>
      <c r="H2102" s="49">
        <v>147</v>
      </c>
      <c r="I2102" s="51"/>
      <c r="J2102" s="51">
        <v>5.8</v>
      </c>
      <c r="K2102" s="51">
        <f>Tabela6[[#This Row],[CONSUMO]]*Tabela6[[#This Row],[VALOR UNIT]]-Tabela6[[#This Row],[DESCONTO]]</f>
        <v>852.6</v>
      </c>
      <c r="L2102" s="53">
        <f>Tabela6[[#This Row],[CUSTO TOTAL]]/Tabela6[[#This Row],[CONSUMO]]</f>
        <v>5.8</v>
      </c>
      <c r="M2102" s="50">
        <f>Tabela6[[#This Row],[KM ATUAL]]-E2009</f>
        <v>229878</v>
      </c>
      <c r="N2102" s="51">
        <f>Tabela6[[#This Row],[KM Rodados ]]/Tabela6[[#This Row],[CONSUMO]]</f>
        <v>1563.795918367347</v>
      </c>
    </row>
    <row r="2103" spans="1:14" ht="14.45" customHeight="1" x14ac:dyDescent="0.25">
      <c r="A2103" s="47">
        <v>126891</v>
      </c>
      <c r="B2103" s="78">
        <v>45162</v>
      </c>
      <c r="C2103" s="47" t="s">
        <v>206</v>
      </c>
      <c r="D2103" s="49" t="s">
        <v>237</v>
      </c>
      <c r="E2103" s="47">
        <v>956598</v>
      </c>
      <c r="F2103" s="50" t="s">
        <v>89</v>
      </c>
      <c r="G2103" s="50" t="s">
        <v>89</v>
      </c>
      <c r="H2103" s="49">
        <v>266.00200000000001</v>
      </c>
      <c r="I2103" s="51"/>
      <c r="J2103" s="51">
        <v>6.24</v>
      </c>
      <c r="K2103" s="52">
        <f>Tabela6[[#This Row],[CONSUMO]]*Tabela6[[#This Row],[VALOR UNIT]]-Tabela6[[#This Row],[DESCONTO]]</f>
        <v>1659.85248</v>
      </c>
      <c r="L2103" s="53">
        <f>Tabela6[[#This Row],[CUSTO TOTAL]]/Tabela6[[#This Row],[CONSUMO]]</f>
        <v>6.24</v>
      </c>
      <c r="M2103" s="50">
        <f>Tabela6[[#This Row],[KM ATUAL]]-E2049</f>
        <v>716269</v>
      </c>
      <c r="N2103" s="51">
        <f>Tabela6[[#This Row],[KM Rodados ]]/Tabela6[[#This Row],[CONSUMO]]</f>
        <v>2692.7203554860489</v>
      </c>
    </row>
    <row r="2104" spans="1:14" ht="14.45" customHeight="1" x14ac:dyDescent="0.25">
      <c r="A2104" s="47">
        <v>722268</v>
      </c>
      <c r="B2104" s="78">
        <v>45162</v>
      </c>
      <c r="C2104" s="49" t="s">
        <v>13</v>
      </c>
      <c r="D2104" s="49" t="s">
        <v>264</v>
      </c>
      <c r="E2104" s="47">
        <v>644545</v>
      </c>
      <c r="F2104" s="49" t="s">
        <v>89</v>
      </c>
      <c r="G2104" s="50" t="s">
        <v>89</v>
      </c>
      <c r="H2104" s="51">
        <v>100.00700000000001</v>
      </c>
      <c r="J2104" s="51">
        <v>6.01</v>
      </c>
      <c r="K2104" s="51">
        <f>Tabela6[[#This Row],[CONSUMO]]*Tabela6[[#This Row],[VALOR UNIT]]-Tabela6[[#This Row],[DESCONTO]]</f>
        <v>601.04206999999997</v>
      </c>
      <c r="L2104" s="53">
        <f>Tabela6[[#This Row],[CUSTO TOTAL]]/Tabela6[[#This Row],[CONSUMO]]</f>
        <v>6.01</v>
      </c>
      <c r="M2104" s="50">
        <f>Tabela6[[#This Row],[KM ATUAL]]-E2086</f>
        <v>573473</v>
      </c>
      <c r="N2104" s="51">
        <f>Tabela6[[#This Row],[KM Rodados ]]/Tabela6[[#This Row],[CONSUMO]]</f>
        <v>5734.3285969982098</v>
      </c>
    </row>
    <row r="2105" spans="1:14" ht="14.45" customHeight="1" x14ac:dyDescent="0.25">
      <c r="A2105" s="47">
        <v>654050</v>
      </c>
      <c r="B2105" s="78">
        <v>45162</v>
      </c>
      <c r="C2105" s="47" t="s">
        <v>14</v>
      </c>
      <c r="D2105" s="49" t="s">
        <v>271</v>
      </c>
      <c r="E2105" s="47">
        <v>292151</v>
      </c>
      <c r="F2105" s="50" t="s">
        <v>244</v>
      </c>
      <c r="G2105" s="50" t="s">
        <v>244</v>
      </c>
      <c r="H2105" s="49">
        <v>35.090000000000003</v>
      </c>
      <c r="I2105" s="51"/>
      <c r="J2105" s="51">
        <v>5.89</v>
      </c>
      <c r="K2105" s="53">
        <f>Tabela6[[#This Row],[CONSUMO]]*Tabela6[[#This Row],[VALOR UNIT]]-Tabela6[[#This Row],[DESCONTO]]</f>
        <v>206.68010000000001</v>
      </c>
      <c r="L2105" s="50">
        <v>5.89</v>
      </c>
      <c r="M2105" s="50">
        <f>Tabela6[[#This Row],[KM ATUAL]]-E2094</f>
        <v>-351800</v>
      </c>
      <c r="N2105" s="51">
        <f>Tabela6[[#This Row],[KM Rodados ]]/Tabela6[[#This Row],[CONSUMO]]</f>
        <v>-10025.648332858364</v>
      </c>
    </row>
    <row r="2106" spans="1:14" ht="14.45" customHeight="1" x14ac:dyDescent="0.25">
      <c r="A2106" s="47">
        <v>559961</v>
      </c>
      <c r="B2106" s="78">
        <v>45162</v>
      </c>
      <c r="C2106" s="47" t="s">
        <v>38</v>
      </c>
      <c r="D2106" s="49" t="s">
        <v>255</v>
      </c>
      <c r="E2106" s="47">
        <v>135946</v>
      </c>
      <c r="F2106" s="50" t="s">
        <v>244</v>
      </c>
      <c r="G2106" s="50" t="s">
        <v>244</v>
      </c>
      <c r="H2106" s="49">
        <v>49.180999999999997</v>
      </c>
      <c r="I2106" s="51"/>
      <c r="J2106" s="51">
        <v>5.94</v>
      </c>
      <c r="K2106" s="53">
        <f>Tabela6[[#This Row],[CONSUMO]]*Tabela6[[#This Row],[VALOR UNIT]]-Tabela6[[#This Row],[DESCONTO]]</f>
        <v>292.13513999999998</v>
      </c>
      <c r="L2106" s="50">
        <v>5.9399999999999995</v>
      </c>
      <c r="M2106" s="50">
        <f>Tabela6[[#This Row],[KM ATUAL]]-E2105</f>
        <v>-156205</v>
      </c>
      <c r="N2106" s="51">
        <f>Tabela6[[#This Row],[KM Rodados ]]/Tabela6[[#This Row],[CONSUMO]]</f>
        <v>-3176.124926292674</v>
      </c>
    </row>
    <row r="2107" spans="1:14" ht="14.45" customHeight="1" x14ac:dyDescent="0.25">
      <c r="A2107" s="47">
        <v>1152169</v>
      </c>
      <c r="B2107" s="78">
        <v>45162</v>
      </c>
      <c r="C2107" s="47" t="s">
        <v>74</v>
      </c>
      <c r="D2107" s="49" t="s">
        <v>318</v>
      </c>
      <c r="E2107" s="47">
        <v>71505</v>
      </c>
      <c r="F2107" s="50" t="s">
        <v>89</v>
      </c>
      <c r="G2107" s="50" t="s">
        <v>89</v>
      </c>
      <c r="H2107" s="49">
        <v>44.12</v>
      </c>
      <c r="I2107" s="51"/>
      <c r="J2107" s="51">
        <v>5.86</v>
      </c>
      <c r="K2107" s="51">
        <f>Tabela6[[#This Row],[CONSUMO]]*Tabela6[[#This Row],[VALOR UNIT]]-Tabela6[[#This Row],[DESCONTO]]</f>
        <v>258.54320000000001</v>
      </c>
      <c r="L2107" s="53">
        <f>Tabela6[[#This Row],[CUSTO TOTAL]]/Tabela6[[#This Row],[CONSUMO]]</f>
        <v>5.86</v>
      </c>
      <c r="M2107" s="50">
        <f>Tabela6[[#This Row],[KM ATUAL]]-E2070</f>
        <v>-547797</v>
      </c>
      <c r="N2107" s="51">
        <f>Tabela6[[#This Row],[KM Rodados ]]/Tabela6[[#This Row],[CONSUMO]]</f>
        <v>-12416.069809610155</v>
      </c>
    </row>
    <row r="2108" spans="1:14" ht="14.45" customHeight="1" x14ac:dyDescent="0.25">
      <c r="A2108" s="47">
        <v>210267</v>
      </c>
      <c r="B2108" s="78">
        <v>45162</v>
      </c>
      <c r="C2108" s="47" t="s">
        <v>74</v>
      </c>
      <c r="D2108" s="49" t="s">
        <v>269</v>
      </c>
      <c r="E2108" s="47">
        <v>71592</v>
      </c>
      <c r="F2108" s="50" t="s">
        <v>89</v>
      </c>
      <c r="G2108" s="50" t="s">
        <v>89</v>
      </c>
      <c r="H2108" s="49">
        <v>10.19</v>
      </c>
      <c r="I2108" s="51"/>
      <c r="J2108" s="51">
        <v>5.99</v>
      </c>
      <c r="K2108" s="51">
        <f>Tabela6[[#This Row],[CONSUMO]]*Tabela6[[#This Row],[VALOR UNIT]]-Tabela6[[#This Row],[DESCONTO]]</f>
        <v>61.0381</v>
      </c>
      <c r="L2108" s="53">
        <f>Tabela6[[#This Row],[CUSTO TOTAL]]/Tabela6[[#This Row],[CONSUMO]]</f>
        <v>5.99</v>
      </c>
      <c r="M2108" s="50">
        <f>Tabela6[[#This Row],[KM ATUAL]]-E2107</f>
        <v>87</v>
      </c>
      <c r="N2108" s="51">
        <f>Tabela6[[#This Row],[KM Rodados ]]/Tabela6[[#This Row],[CONSUMO]]</f>
        <v>8.5377821393523075</v>
      </c>
    </row>
    <row r="2109" spans="1:14" ht="14.45" customHeight="1" x14ac:dyDescent="0.25">
      <c r="A2109" s="47">
        <v>6873</v>
      </c>
      <c r="B2109" s="78">
        <v>45163</v>
      </c>
      <c r="C2109" s="47" t="s">
        <v>222</v>
      </c>
      <c r="D2109" s="49" t="s">
        <v>299</v>
      </c>
      <c r="E2109" s="47">
        <v>495661</v>
      </c>
      <c r="F2109" s="49" t="s">
        <v>89</v>
      </c>
      <c r="G2109" s="50" t="s">
        <v>89</v>
      </c>
      <c r="H2109" s="51">
        <v>342</v>
      </c>
      <c r="J2109" s="51">
        <v>5.8</v>
      </c>
      <c r="K2109" s="51">
        <f>Tabela6[[#This Row],[CONSUMO]]*Tabela6[[#This Row],[VALOR UNIT]]-Tabela6[[#This Row],[DESCONTO]]</f>
        <v>1983.6</v>
      </c>
      <c r="L2109" s="53">
        <v>0</v>
      </c>
      <c r="M2109" s="50">
        <f>Tabela6[[#This Row],[KM ATUAL]]-E2035</f>
        <v>274095</v>
      </c>
      <c r="N2109" s="51">
        <f>Tabela6[[#This Row],[KM Rodados ]]/Tabela6[[#This Row],[CONSUMO]]</f>
        <v>801.4473684210526</v>
      </c>
    </row>
    <row r="2110" spans="1:14" ht="14.45" customHeight="1" x14ac:dyDescent="0.25">
      <c r="A2110" s="47">
        <v>6873</v>
      </c>
      <c r="B2110" s="78">
        <v>45163</v>
      </c>
      <c r="C2110" s="47" t="s">
        <v>67</v>
      </c>
      <c r="D2110" s="49" t="s">
        <v>299</v>
      </c>
      <c r="E2110" s="47">
        <v>677055</v>
      </c>
      <c r="F2110" s="49" t="s">
        <v>89</v>
      </c>
      <c r="G2110" s="50" t="s">
        <v>89</v>
      </c>
      <c r="H2110" s="51">
        <v>73</v>
      </c>
      <c r="J2110" s="51">
        <v>5.8</v>
      </c>
      <c r="K2110" s="51">
        <f>Tabela6[[#This Row],[CONSUMO]]*Tabela6[[#This Row],[VALOR UNIT]]-Tabela6[[#This Row],[DESCONTO]]</f>
        <v>423.4</v>
      </c>
      <c r="L2110" s="53">
        <v>0</v>
      </c>
      <c r="M2110" s="50">
        <f>Tabela6[[#This Row],[KM ATUAL]]-E2069</f>
        <v>534483</v>
      </c>
      <c r="N2110" s="51">
        <f>Tabela6[[#This Row],[KM Rodados ]]/Tabela6[[#This Row],[CONSUMO]]</f>
        <v>7321.6849315068494</v>
      </c>
    </row>
    <row r="2111" spans="1:14" ht="14.45" customHeight="1" x14ac:dyDescent="0.25">
      <c r="A2111" s="47">
        <v>6873</v>
      </c>
      <c r="B2111" s="78">
        <v>45163</v>
      </c>
      <c r="C2111" s="47" t="s">
        <v>22</v>
      </c>
      <c r="D2111" s="49" t="s">
        <v>299</v>
      </c>
      <c r="E2111" s="47">
        <v>334272</v>
      </c>
      <c r="F2111" s="49" t="s">
        <v>89</v>
      </c>
      <c r="G2111" s="50" t="s">
        <v>89</v>
      </c>
      <c r="H2111" s="51">
        <v>35</v>
      </c>
      <c r="J2111" s="51">
        <v>5.8</v>
      </c>
      <c r="K2111" s="51">
        <f>Tabela6[[#This Row],[CONSUMO]]*Tabela6[[#This Row],[VALOR UNIT]]-Tabela6[[#This Row],[DESCONTO]]</f>
        <v>203</v>
      </c>
      <c r="L2111" s="53">
        <v>0</v>
      </c>
      <c r="M2111" s="50">
        <f>Tabela6[[#This Row],[KM ATUAL]]-E2096</f>
        <v>-45553</v>
      </c>
      <c r="N2111" s="84">
        <f>Tabela6[[#This Row],[KM Rodados ]]/Tabela6[[#This Row],[CONSUMO]]</f>
        <v>-1301.5142857142857</v>
      </c>
    </row>
    <row r="2112" spans="1:14" ht="14.45" customHeight="1" x14ac:dyDescent="0.25">
      <c r="A2112" s="47">
        <v>325404</v>
      </c>
      <c r="B2112" s="78">
        <v>45163</v>
      </c>
      <c r="C2112" s="47" t="s">
        <v>203</v>
      </c>
      <c r="D2112" s="49" t="s">
        <v>276</v>
      </c>
      <c r="E2112" s="47">
        <v>109066</v>
      </c>
      <c r="F2112" s="49" t="s">
        <v>244</v>
      </c>
      <c r="G2112" s="50" t="s">
        <v>244</v>
      </c>
      <c r="H2112" s="51">
        <v>51.670999999999999</v>
      </c>
      <c r="J2112" s="51">
        <v>5.89</v>
      </c>
      <c r="K2112" s="51">
        <f>Tabela6[[#This Row],[CONSUMO]]*Tabela6[[#This Row],[VALOR UNIT]]-Tabela6[[#This Row],[DESCONTO]]</f>
        <v>304.34218999999996</v>
      </c>
      <c r="L2112" s="53">
        <f>Tabela6[[#This Row],[CUSTO TOTAL]]/Tabela6[[#This Row],[CONSUMO]]</f>
        <v>5.89</v>
      </c>
      <c r="M2112" s="50">
        <f>Tabela6[[#This Row],[KM ATUAL]]-E2064</f>
        <v>-193135</v>
      </c>
      <c r="N2112" s="51">
        <f>Tabela6[[#This Row],[KM Rodados ]]/Tabela6[[#This Row],[CONSUMO]]</f>
        <v>-3737.7832826924196</v>
      </c>
    </row>
    <row r="2113" spans="1:14" ht="14.45" customHeight="1" x14ac:dyDescent="0.25">
      <c r="A2113" s="47">
        <v>203217</v>
      </c>
      <c r="B2113" s="78">
        <v>45163</v>
      </c>
      <c r="C2113" t="s">
        <v>73</v>
      </c>
      <c r="D2113" s="49" t="s">
        <v>262</v>
      </c>
      <c r="E2113" s="47">
        <v>139258</v>
      </c>
      <c r="F2113" s="49" t="s">
        <v>241</v>
      </c>
      <c r="G2113" s="50" t="s">
        <v>241</v>
      </c>
      <c r="H2113" s="51">
        <v>14.646000000000001</v>
      </c>
      <c r="I2113" s="49">
        <v>5.27</v>
      </c>
      <c r="J2113" s="51">
        <v>3.69</v>
      </c>
      <c r="K2113" s="52">
        <f>Tabela6[[#This Row],[CONSUMO]]*Tabela6[[#This Row],[VALOR UNIT]]-Tabela6[[#This Row],[DESCONTO]]</f>
        <v>48.773740000000004</v>
      </c>
      <c r="L2113" s="53">
        <f>Tabela6[[#This Row],[CUSTO TOTAL]]/Tabela6[[#This Row],[CONSUMO]]</f>
        <v>3.3301747917520141</v>
      </c>
      <c r="M2113" s="50"/>
    </row>
    <row r="2114" spans="1:14" ht="14.45" customHeight="1" x14ac:dyDescent="0.25">
      <c r="A2114" s="47">
        <v>6873</v>
      </c>
      <c r="B2114" s="78">
        <v>45163</v>
      </c>
      <c r="C2114" s="49" t="s">
        <v>73</v>
      </c>
      <c r="D2114" s="49" t="s">
        <v>299</v>
      </c>
      <c r="E2114" s="47">
        <v>139263</v>
      </c>
      <c r="F2114" s="49" t="s">
        <v>89</v>
      </c>
      <c r="G2114" s="50" t="s">
        <v>89</v>
      </c>
      <c r="H2114" s="51">
        <v>90</v>
      </c>
      <c r="J2114" s="51">
        <v>5.8</v>
      </c>
      <c r="K2114" s="52">
        <f>Tabela6[[#This Row],[CONSUMO]]*Tabela6[[#This Row],[VALOR UNIT]]-Tabela6[[#This Row],[DESCONTO]]</f>
        <v>522</v>
      </c>
      <c r="L2114" s="53">
        <f>Tabela6[[#This Row],[CUSTO TOTAL]]/Tabela6[[#This Row],[CONSUMO]]</f>
        <v>5.8</v>
      </c>
      <c r="M2114" s="50">
        <f>Tabela6[[#This Row],[KM ATUAL]]-E2081</f>
        <v>-227635</v>
      </c>
      <c r="N2114" s="51">
        <f>Tabela6[[#This Row],[KM Rodados ]]/Tabela6[[#This Row],[CONSUMO]]</f>
        <v>-2529.2777777777778</v>
      </c>
    </row>
    <row r="2115" spans="1:14" ht="14.45" customHeight="1" x14ac:dyDescent="0.25">
      <c r="A2115" s="47">
        <v>6873</v>
      </c>
      <c r="B2115" s="78">
        <v>45163</v>
      </c>
      <c r="C2115" s="49" t="s">
        <v>21</v>
      </c>
      <c r="D2115" s="49" t="s">
        <v>299</v>
      </c>
      <c r="E2115" s="47">
        <v>152420</v>
      </c>
      <c r="F2115" s="49" t="s">
        <v>89</v>
      </c>
      <c r="G2115" s="50" t="s">
        <v>89</v>
      </c>
      <c r="H2115" s="51">
        <v>137</v>
      </c>
      <c r="J2115" s="51">
        <v>5.8</v>
      </c>
      <c r="K2115" s="52">
        <f>Tabela6[[#This Row],[CONSUMO]]*Tabela6[[#This Row],[VALOR UNIT]]-Tabela6[[#This Row],[DESCONTO]]</f>
        <v>794.6</v>
      </c>
      <c r="L2115" s="53">
        <f>Tabela6[[#This Row],[CUSTO TOTAL]]/Tabela6[[#This Row],[CONSUMO]]</f>
        <v>5.8</v>
      </c>
      <c r="M2115" s="50">
        <f>Tabela6[[#This Row],[KM ATUAL]]-E2083</f>
        <v>-170623</v>
      </c>
      <c r="N2115" s="51">
        <f>Tabela6[[#This Row],[KM Rodados ]]/Tabela6[[#This Row],[CONSUMO]]</f>
        <v>-1245.4233576642337</v>
      </c>
    </row>
    <row r="2116" spans="1:14" ht="14.45" customHeight="1" x14ac:dyDescent="0.25">
      <c r="A2116" s="47">
        <v>1331018</v>
      </c>
      <c r="B2116" s="78">
        <v>45163</v>
      </c>
      <c r="C2116" t="s">
        <v>13</v>
      </c>
      <c r="D2116" s="49" t="s">
        <v>247</v>
      </c>
      <c r="E2116" s="47">
        <v>644775</v>
      </c>
      <c r="F2116" s="49" t="s">
        <v>241</v>
      </c>
      <c r="G2116" s="50" t="s">
        <v>241</v>
      </c>
      <c r="H2116" s="51">
        <v>25</v>
      </c>
      <c r="J2116" s="51">
        <v>3.19</v>
      </c>
      <c r="K2116" s="51">
        <f>Tabela6[[#This Row],[CONSUMO]]*Tabela6[[#This Row],[VALOR UNIT]]-Tabela6[[#This Row],[DESCONTO]]</f>
        <v>79.75</v>
      </c>
      <c r="L2116" s="53">
        <f>Tabela6[[#This Row],[CUSTO TOTAL]]/Tabela6[[#This Row],[CONSUMO]]</f>
        <v>3.19</v>
      </c>
      <c r="M2116" s="50"/>
    </row>
    <row r="2117" spans="1:14" ht="14.45" customHeight="1" x14ac:dyDescent="0.25">
      <c r="A2117" s="47">
        <v>1331018</v>
      </c>
      <c r="B2117" s="78">
        <v>45163</v>
      </c>
      <c r="C2117" s="49" t="s">
        <v>13</v>
      </c>
      <c r="D2117" s="49" t="s">
        <v>247</v>
      </c>
      <c r="E2117" s="119">
        <v>644775</v>
      </c>
      <c r="F2117" s="49" t="s">
        <v>89</v>
      </c>
      <c r="G2117" s="50" t="s">
        <v>89</v>
      </c>
      <c r="H2117" s="51">
        <v>55.02</v>
      </c>
      <c r="J2117" s="51">
        <v>6.29</v>
      </c>
      <c r="K2117" s="51">
        <f>Tabela6[[#This Row],[CONSUMO]]*Tabela6[[#This Row],[VALOR UNIT]]-Tabela6[[#This Row],[DESCONTO]]</f>
        <v>346.07580000000002</v>
      </c>
      <c r="L2117" s="53">
        <f>Tabela6[[#This Row],[CUSTO TOTAL]]/Tabela6[[#This Row],[CONSUMO]]</f>
        <v>6.29</v>
      </c>
      <c r="M2117" s="50">
        <f>Tabela6[[#This Row],[KM ATUAL]]-E2100</f>
        <v>274139</v>
      </c>
      <c r="N2117" s="51">
        <f>Tabela6[[#This Row],[KM Rodados ]]/Tabela6[[#This Row],[CONSUMO]]</f>
        <v>4982.5336241366776</v>
      </c>
    </row>
    <row r="2118" spans="1:14" ht="14.45" customHeight="1" x14ac:dyDescent="0.25">
      <c r="A2118" s="47">
        <v>203236</v>
      </c>
      <c r="B2118" s="78">
        <v>45163</v>
      </c>
      <c r="C2118" s="49" t="s">
        <v>14</v>
      </c>
      <c r="D2118" s="49" t="s">
        <v>262</v>
      </c>
      <c r="E2118" s="47">
        <v>292701</v>
      </c>
      <c r="F2118" s="49" t="s">
        <v>244</v>
      </c>
      <c r="G2118" s="50" t="s">
        <v>244</v>
      </c>
      <c r="H2118" s="51">
        <v>38.65</v>
      </c>
      <c r="J2118" s="51">
        <v>5.69</v>
      </c>
      <c r="K2118" s="52">
        <f>Tabela6[[#This Row],[CONSUMO]]*Tabela6[[#This Row],[VALOR UNIT]]-Tabela6[[#This Row],[DESCONTO]]</f>
        <v>219.91849999999999</v>
      </c>
      <c r="L2118" s="53">
        <v>5.69</v>
      </c>
      <c r="M2118" s="50">
        <f>Tabela6[[#This Row],[KM ATUAL]]-E2097</f>
        <v>51721</v>
      </c>
      <c r="N2118" s="51">
        <f>Tabela6[[#This Row],[KM Rodados ]]/Tabela6[[#This Row],[CONSUMO]]</f>
        <v>1338.1888745148772</v>
      </c>
    </row>
    <row r="2119" spans="1:14" ht="14.45" customHeight="1" x14ac:dyDescent="0.25">
      <c r="A2119" s="47">
        <v>6873</v>
      </c>
      <c r="B2119" s="78">
        <v>45163</v>
      </c>
      <c r="C2119" s="47" t="s">
        <v>19</v>
      </c>
      <c r="D2119" s="49" t="s">
        <v>299</v>
      </c>
      <c r="E2119" s="47">
        <v>323446</v>
      </c>
      <c r="F2119" s="49" t="s">
        <v>89</v>
      </c>
      <c r="G2119" s="50" t="s">
        <v>89</v>
      </c>
      <c r="H2119" s="51">
        <v>95</v>
      </c>
      <c r="J2119" s="51">
        <v>5.8</v>
      </c>
      <c r="K2119" s="51">
        <f>Tabela6[[#This Row],[CONSUMO]]*Tabela6[[#This Row],[VALOR UNIT]]-Tabela6[[#This Row],[DESCONTO]]</f>
        <v>551</v>
      </c>
      <c r="L2119" s="53">
        <f>Tabela6[[#This Row],[CUSTO TOTAL]]/Tabela6[[#This Row],[CONSUMO]]</f>
        <v>5.8</v>
      </c>
      <c r="M2119" s="50">
        <f>Tabela6[[#This Row],[KM ATUAL]]-E2074</f>
        <v>-86960</v>
      </c>
      <c r="N2119" s="51">
        <f>Tabela6[[#This Row],[KM Rodados ]]/Tabela6[[#This Row],[CONSUMO]]</f>
        <v>-915.36842105263156</v>
      </c>
    </row>
    <row r="2120" spans="1:14" ht="14.45" customHeight="1" x14ac:dyDescent="0.25">
      <c r="A2120" s="47">
        <v>6873</v>
      </c>
      <c r="B2120" s="78">
        <v>45163</v>
      </c>
      <c r="C2120" s="49" t="s">
        <v>20</v>
      </c>
      <c r="D2120" s="49" t="s">
        <v>299</v>
      </c>
      <c r="E2120" s="47">
        <v>267619</v>
      </c>
      <c r="F2120" s="49" t="s">
        <v>89</v>
      </c>
      <c r="G2120" s="50" t="s">
        <v>89</v>
      </c>
      <c r="H2120" s="51">
        <v>56</v>
      </c>
      <c r="J2120" s="51">
        <v>5.8</v>
      </c>
      <c r="K2120" s="52">
        <f>Tabela6[[#This Row],[CONSUMO]]*Tabela6[[#This Row],[VALOR UNIT]]-Tabela6[[#This Row],[DESCONTO]]</f>
        <v>324.8</v>
      </c>
      <c r="L2120" s="53">
        <f>Tabela6[[#This Row],[CUSTO TOTAL]]/Tabela6[[#This Row],[CONSUMO]]</f>
        <v>5.8</v>
      </c>
      <c r="M2120" s="50">
        <f>Tabela6[[#This Row],[KM ATUAL]]-E2075</f>
        <v>148248</v>
      </c>
      <c r="N2120" s="51">
        <f>Tabela6[[#This Row],[KM Rodados ]]/Tabela6[[#This Row],[CONSUMO]]</f>
        <v>2647.2857142857142</v>
      </c>
    </row>
    <row r="2121" spans="1:14" ht="14.45" customHeight="1" x14ac:dyDescent="0.25">
      <c r="A2121" s="47">
        <v>1311976</v>
      </c>
      <c r="B2121" s="78">
        <v>45163</v>
      </c>
      <c r="C2121" s="49" t="s">
        <v>23</v>
      </c>
      <c r="D2121" s="49" t="s">
        <v>250</v>
      </c>
      <c r="E2121" s="47">
        <v>241330</v>
      </c>
      <c r="F2121" s="49" t="s">
        <v>89</v>
      </c>
      <c r="G2121" s="50" t="s">
        <v>89</v>
      </c>
      <c r="H2121" s="51">
        <v>98.63</v>
      </c>
      <c r="J2121" s="51">
        <v>6.29</v>
      </c>
      <c r="K2121" s="51">
        <f>Tabela6[[#This Row],[CONSUMO]]*Tabela6[[#This Row],[VALOR UNIT]]-Tabela6[[#This Row],[DESCONTO]]</f>
        <v>620.3827</v>
      </c>
      <c r="L2121" s="53">
        <f>Tabela6[[#This Row],[CUSTO TOTAL]]/Tabela6[[#This Row],[CONSUMO]]</f>
        <v>6.29</v>
      </c>
      <c r="M2121" s="50">
        <f>Tabela6[[#This Row],[KM ATUAL]]-E2094</f>
        <v>-402621</v>
      </c>
      <c r="N2121" s="51">
        <f>Tabela6[[#This Row],[KM Rodados ]]/Tabela6[[#This Row],[CONSUMO]]</f>
        <v>-4082.1352529656292</v>
      </c>
    </row>
    <row r="2122" spans="1:14" ht="14.45" customHeight="1" x14ac:dyDescent="0.25">
      <c r="A2122" s="47">
        <v>34235</v>
      </c>
      <c r="B2122" s="78">
        <v>45163</v>
      </c>
      <c r="C2122" s="47" t="s">
        <v>74</v>
      </c>
      <c r="D2122" s="49" t="s">
        <v>274</v>
      </c>
      <c r="E2122" s="47">
        <v>71959</v>
      </c>
      <c r="F2122" s="49" t="s">
        <v>89</v>
      </c>
      <c r="G2122" s="50" t="s">
        <v>89</v>
      </c>
      <c r="H2122" s="51">
        <v>66</v>
      </c>
      <c r="J2122" s="51">
        <v>5.99</v>
      </c>
      <c r="K2122" s="51">
        <f>Tabela6[[#This Row],[CONSUMO]]*Tabela6[[#This Row],[VALOR UNIT]]-Tabela6[[#This Row],[DESCONTO]]</f>
        <v>395.34000000000003</v>
      </c>
      <c r="L2122" s="53">
        <f>Tabela6[[#This Row],[CUSTO TOTAL]]/Tabela6[[#This Row],[CONSUMO]]</f>
        <v>5.99</v>
      </c>
      <c r="M2122" s="50">
        <f>Tabela6[[#This Row],[KM ATUAL]]-E2105</f>
        <v>-220192</v>
      </c>
      <c r="N2122" s="51">
        <f>Tabela6[[#This Row],[KM Rodados ]]/Tabela6[[#This Row],[CONSUMO]]</f>
        <v>-3336.242424242424</v>
      </c>
    </row>
    <row r="2123" spans="1:14" ht="14.45" customHeight="1" x14ac:dyDescent="0.25">
      <c r="A2123" s="47">
        <v>1817359</v>
      </c>
      <c r="B2123" s="78">
        <v>45164</v>
      </c>
      <c r="C2123" s="49" t="s">
        <v>206</v>
      </c>
      <c r="D2123" s="49" t="s">
        <v>306</v>
      </c>
      <c r="E2123" s="47">
        <v>957667</v>
      </c>
      <c r="F2123" s="49" t="s">
        <v>89</v>
      </c>
      <c r="G2123" s="50" t="s">
        <v>89</v>
      </c>
      <c r="H2123" s="51">
        <v>308.80099999999999</v>
      </c>
      <c r="I2123" s="49">
        <v>419.96</v>
      </c>
      <c r="J2123" s="51">
        <v>7.32</v>
      </c>
      <c r="K2123" s="52">
        <f>Tabela6[[#This Row],[CONSUMO]]*Tabela6[[#This Row],[VALOR UNIT]]-Tabela6[[#This Row],[DESCONTO]]</f>
        <v>1840.4633199999998</v>
      </c>
      <c r="L2123" s="53">
        <f>Tabela6[[#This Row],[CUSTO TOTAL]]/Tabela6[[#This Row],[CONSUMO]]</f>
        <v>5.9600303107826722</v>
      </c>
      <c r="M2123" s="50">
        <f>Tabela6[[#This Row],[KM ATUAL]]-E2100</f>
        <v>587031</v>
      </c>
      <c r="N2123" s="51">
        <f>Tabela6[[#This Row],[KM Rodados ]]/Tabela6[[#This Row],[CONSUMO]]</f>
        <v>1901.0009682611133</v>
      </c>
    </row>
    <row r="2124" spans="1:14" ht="14.45" customHeight="1" x14ac:dyDescent="0.25">
      <c r="A2124" s="47" t="s">
        <v>314</v>
      </c>
      <c r="B2124" s="78">
        <v>45165</v>
      </c>
      <c r="C2124" s="47" t="s">
        <v>67</v>
      </c>
      <c r="E2124" s="47">
        <v>677099</v>
      </c>
      <c r="G2124" s="50" t="s">
        <v>89</v>
      </c>
      <c r="H2124" s="51">
        <v>12</v>
      </c>
      <c r="K2124" s="52">
        <f>Tabela6[[#This Row],[CONSUMO]]*Tabela6[[#This Row],[VALOR UNIT]]-Tabela6[[#This Row],[DESCONTO]]</f>
        <v>0</v>
      </c>
      <c r="L2124" s="53">
        <f>Tabela6[[#This Row],[CUSTO TOTAL]]/Tabela6[[#This Row],[CONSUMO]]</f>
        <v>0</v>
      </c>
      <c r="M2124" s="50">
        <f>Tabela6[[#This Row],[KM ATUAL]]-E2107</f>
        <v>605594</v>
      </c>
      <c r="N2124" s="51">
        <f>Tabela6[[#This Row],[KM Rodados ]]/Tabela6[[#This Row],[CONSUMO]]</f>
        <v>50466.166666666664</v>
      </c>
    </row>
    <row r="2125" spans="1:14" ht="14.45" customHeight="1" x14ac:dyDescent="0.25">
      <c r="A2125" s="47">
        <v>298599</v>
      </c>
      <c r="B2125" s="78">
        <v>45165</v>
      </c>
      <c r="C2125" t="s">
        <v>73</v>
      </c>
      <c r="D2125" s="49" t="s">
        <v>311</v>
      </c>
      <c r="E2125" s="47">
        <v>140101</v>
      </c>
      <c r="F2125" s="49" t="s">
        <v>241</v>
      </c>
      <c r="G2125" s="50" t="s">
        <v>241</v>
      </c>
      <c r="H2125" s="51">
        <v>11.409000000000001</v>
      </c>
      <c r="J2125" s="51">
        <v>3.19</v>
      </c>
      <c r="K2125" s="52">
        <f>Tabela6[[#This Row],[CONSUMO]]*Tabela6[[#This Row],[VALOR UNIT]]-Tabela6[[#This Row],[DESCONTO]]</f>
        <v>36.394710000000003</v>
      </c>
      <c r="L2125" s="53">
        <f>Tabela6[[#This Row],[CUSTO TOTAL]]/Tabela6[[#This Row],[CONSUMO]]</f>
        <v>3.19</v>
      </c>
      <c r="M2125" s="50"/>
    </row>
    <row r="2126" spans="1:14" ht="14.45" customHeight="1" x14ac:dyDescent="0.25">
      <c r="A2126" s="47">
        <v>298597</v>
      </c>
      <c r="B2126" s="78">
        <v>45165</v>
      </c>
      <c r="C2126" s="49" t="s">
        <v>73</v>
      </c>
      <c r="D2126" s="49" t="s">
        <v>311</v>
      </c>
      <c r="E2126" s="47">
        <v>140101</v>
      </c>
      <c r="F2126" s="49" t="s">
        <v>89</v>
      </c>
      <c r="G2126" s="50" t="s">
        <v>89</v>
      </c>
      <c r="H2126" s="51">
        <v>192.143</v>
      </c>
      <c r="I2126" s="49">
        <v>251.7</v>
      </c>
      <c r="J2126" s="51">
        <v>7.3</v>
      </c>
      <c r="K2126" s="52">
        <f>Tabela6[[#This Row],[CONSUMO]]*Tabela6[[#This Row],[VALOR UNIT]]-Tabela6[[#This Row],[DESCONTO]]</f>
        <v>1150.9439</v>
      </c>
      <c r="L2126" s="53">
        <f>Tabela6[[#This Row],[CUSTO TOTAL]]/Tabela6[[#This Row],[CONSUMO]]</f>
        <v>5.9900381486705214</v>
      </c>
      <c r="M2126" s="50">
        <f>Tabela6[[#This Row],[KM ATUAL]]-E2120</f>
        <v>-127518</v>
      </c>
      <c r="N2126" s="51">
        <f>Tabela6[[#This Row],[KM Rodados ]]/Tabela6[[#This Row],[CONSUMO]]</f>
        <v>-663.66196010263184</v>
      </c>
    </row>
    <row r="2127" spans="1:14" ht="14.45" customHeight="1" x14ac:dyDescent="0.25">
      <c r="A2127" s="47" t="s">
        <v>314</v>
      </c>
      <c r="B2127" s="78">
        <v>45165</v>
      </c>
      <c r="C2127" s="47" t="s">
        <v>74</v>
      </c>
      <c r="E2127" s="47">
        <v>72268</v>
      </c>
      <c r="G2127" s="50" t="s">
        <v>89</v>
      </c>
      <c r="H2127" s="51">
        <v>38.53</v>
      </c>
      <c r="K2127" s="52">
        <f>Tabela6[[#This Row],[CONSUMO]]*Tabela6[[#This Row],[VALOR UNIT]]-Tabela6[[#This Row],[DESCONTO]]</f>
        <v>0</v>
      </c>
      <c r="L2127" s="53">
        <f>Tabela6[[#This Row],[CUSTO TOTAL]]/Tabela6[[#This Row],[CONSUMO]]</f>
        <v>0</v>
      </c>
      <c r="M2127" s="50">
        <f>Tabela6[[#This Row],[KM ATUAL]]-E2121</f>
        <v>-169062</v>
      </c>
      <c r="N2127" s="51">
        <f>Tabela6[[#This Row],[KM Rodados ]]/Tabela6[[#This Row],[CONSUMO]]</f>
        <v>-4387.8017129509471</v>
      </c>
    </row>
    <row r="2128" spans="1:14" ht="14.45" customHeight="1" x14ac:dyDescent="0.25">
      <c r="A2128" s="47">
        <v>698124</v>
      </c>
      <c r="B2128" s="78">
        <v>45166</v>
      </c>
      <c r="C2128" s="49" t="s">
        <v>43</v>
      </c>
      <c r="D2128" s="49" t="s">
        <v>233</v>
      </c>
      <c r="E2128" s="47">
        <v>143086</v>
      </c>
      <c r="F2128" s="49" t="s">
        <v>89</v>
      </c>
      <c r="G2128" s="50" t="s">
        <v>89</v>
      </c>
      <c r="H2128" s="51">
        <v>33.93</v>
      </c>
      <c r="J2128" s="51">
        <v>5.96</v>
      </c>
      <c r="K2128" s="51">
        <f>Tabela6[[#This Row],[CONSUMO]]*Tabela6[[#This Row],[VALOR UNIT]]-Tabela6[[#This Row],[DESCONTO]]</f>
        <v>202.22280000000001</v>
      </c>
      <c r="L2128" s="53">
        <v>5.96</v>
      </c>
      <c r="M2128" s="50">
        <f>Tabela6[[#This Row],[KM ATUAL]]-E2079</f>
        <v>-500592</v>
      </c>
      <c r="N2128" s="51">
        <f>Tabela6[[#This Row],[KM Rodados ]]/Tabela6[[#This Row],[CONSUMO]]</f>
        <v>-14753.669319186562</v>
      </c>
    </row>
    <row r="2129" spans="1:14" ht="14.45" customHeight="1" x14ac:dyDescent="0.25">
      <c r="A2129" s="47">
        <v>203941</v>
      </c>
      <c r="B2129" s="78">
        <v>45166</v>
      </c>
      <c r="C2129" s="49" t="s">
        <v>43</v>
      </c>
      <c r="D2129" s="49" t="s">
        <v>262</v>
      </c>
      <c r="E2129" s="47">
        <v>143397</v>
      </c>
      <c r="F2129" s="49" t="s">
        <v>89</v>
      </c>
      <c r="G2129" s="50" t="s">
        <v>89</v>
      </c>
      <c r="H2129" s="51">
        <v>36.691000000000003</v>
      </c>
      <c r="J2129" s="51">
        <v>5.99</v>
      </c>
      <c r="K2129" s="51">
        <f>Tabela6[[#This Row],[CONSUMO]]*Tabela6[[#This Row],[VALOR UNIT]]-Tabela6[[#This Row],[DESCONTO]]</f>
        <v>219.77909000000002</v>
      </c>
      <c r="L2129" s="53">
        <v>5.99</v>
      </c>
      <c r="M2129" s="50">
        <f>Tabela6[[#This Row],[KM ATUAL]]-E2122</f>
        <v>71438</v>
      </c>
      <c r="N2129" s="51">
        <f>Tabela6[[#This Row],[KM Rodados ]]/Tabela6[[#This Row],[CONSUMO]]</f>
        <v>1947.0169796407838</v>
      </c>
    </row>
    <row r="2130" spans="1:14" ht="14.45" customHeight="1" x14ac:dyDescent="0.25">
      <c r="A2130" s="47">
        <v>655941</v>
      </c>
      <c r="B2130" s="78">
        <v>45166</v>
      </c>
      <c r="C2130" s="47" t="s">
        <v>9</v>
      </c>
      <c r="D2130" s="49" t="s">
        <v>271</v>
      </c>
      <c r="E2130" s="47">
        <v>620213</v>
      </c>
      <c r="F2130" s="50" t="s">
        <v>89</v>
      </c>
      <c r="G2130" s="50" t="s">
        <v>89</v>
      </c>
      <c r="H2130" s="50">
        <v>132.62</v>
      </c>
      <c r="I2130" s="51"/>
      <c r="J2130" s="51">
        <v>5.58</v>
      </c>
      <c r="K2130" s="52">
        <f>Tabela6[[#This Row],[CONSUMO]]*Tabela6[[#This Row],[VALOR UNIT]]-Tabela6[[#This Row],[DESCONTO]]</f>
        <v>740.01960000000008</v>
      </c>
      <c r="L2130" s="53">
        <f>Tabela6[[#This Row],[CUSTO TOTAL]]/Tabela6[[#This Row],[CONSUMO]]</f>
        <v>5.58</v>
      </c>
      <c r="M2130" s="50">
        <f>Tabela6[[#This Row],[KM ATUAL]]-E2087</f>
        <v>619700</v>
      </c>
      <c r="N2130" s="51">
        <f>Tabela6[[#This Row],[KM Rodados ]]/Tabela6[[#This Row],[CONSUMO]]</f>
        <v>4672.7492082642129</v>
      </c>
    </row>
    <row r="2131" spans="1:14" ht="14.45" customHeight="1" x14ac:dyDescent="0.25">
      <c r="A2131" s="47">
        <v>6873</v>
      </c>
      <c r="B2131" s="78">
        <v>45166</v>
      </c>
      <c r="C2131" s="47" t="s">
        <v>42</v>
      </c>
      <c r="D2131" s="49" t="s">
        <v>299</v>
      </c>
      <c r="E2131" s="47">
        <v>370879</v>
      </c>
      <c r="F2131" s="49" t="s">
        <v>89</v>
      </c>
      <c r="G2131" s="50" t="s">
        <v>89</v>
      </c>
      <c r="H2131" s="51">
        <v>27</v>
      </c>
      <c r="J2131" s="51">
        <v>5.8</v>
      </c>
      <c r="K2131" s="51">
        <f>Tabela6[[#This Row],[CONSUMO]]*Tabela6[[#This Row],[VALOR UNIT]]-Tabela6[[#This Row],[DESCONTO]]</f>
        <v>156.6</v>
      </c>
      <c r="L2131" s="53">
        <v>0</v>
      </c>
      <c r="M2131" s="50">
        <f>Tabela6[[#This Row],[KM ATUAL]]-E2130</f>
        <v>-249334</v>
      </c>
      <c r="N2131" s="51">
        <f>Tabela6[[#This Row],[KM Rodados ]]/Tabela6[[#This Row],[CONSUMO]]</f>
        <v>-9234.5925925925931</v>
      </c>
    </row>
    <row r="2132" spans="1:14" ht="14.45" customHeight="1" x14ac:dyDescent="0.25">
      <c r="A2132" s="47">
        <v>875603</v>
      </c>
      <c r="B2132" s="78">
        <v>45166</v>
      </c>
      <c r="C2132" s="47" t="s">
        <v>42</v>
      </c>
      <c r="D2132" s="49" t="s">
        <v>253</v>
      </c>
      <c r="E2132" s="47">
        <v>371023</v>
      </c>
      <c r="F2132" s="49" t="s">
        <v>89</v>
      </c>
      <c r="G2132" s="50" t="s">
        <v>89</v>
      </c>
      <c r="H2132" s="51">
        <v>35.770000000000003</v>
      </c>
      <c r="J2132" s="51">
        <v>5.99</v>
      </c>
      <c r="K2132" s="51">
        <f>Tabela6[[#This Row],[CONSUMO]]*Tabela6[[#This Row],[VALOR UNIT]]-Tabela6[[#This Row],[DESCONTO]]</f>
        <v>214.26230000000004</v>
      </c>
      <c r="L2132" s="53">
        <v>5.99</v>
      </c>
      <c r="M2132" s="50">
        <f>Tabela6[[#This Row],[KM ATUAL]]-E2122</f>
        <v>299064</v>
      </c>
      <c r="N2132" s="51">
        <f>Tabela6[[#This Row],[KM Rodados ]]/Tabela6[[#This Row],[CONSUMO]]</f>
        <v>8360.7492311993283</v>
      </c>
    </row>
    <row r="2133" spans="1:14" ht="14.45" customHeight="1" x14ac:dyDescent="0.25">
      <c r="A2133" s="47">
        <v>203943</v>
      </c>
      <c r="B2133" s="78">
        <v>45166</v>
      </c>
      <c r="C2133" s="49" t="s">
        <v>215</v>
      </c>
      <c r="D2133" s="49" t="s">
        <v>262</v>
      </c>
      <c r="E2133" s="47">
        <v>227624</v>
      </c>
      <c r="F2133" s="49" t="s">
        <v>244</v>
      </c>
      <c r="G2133" s="50" t="s">
        <v>244</v>
      </c>
      <c r="H2133" s="51">
        <v>39.1</v>
      </c>
      <c r="J2133" s="51">
        <v>5.69</v>
      </c>
      <c r="K2133" s="51">
        <f>Tabela6[[#This Row],[CONSUMO]]*Tabela6[[#This Row],[VALOR UNIT]]-Tabela6[[#This Row],[DESCONTO]]</f>
        <v>222.47900000000001</v>
      </c>
      <c r="L2133" s="53">
        <f>Tabela6[[#This Row],[CUSTO TOTAL]]/Tabela6[[#This Row],[CONSUMO]]</f>
        <v>5.69</v>
      </c>
      <c r="M2133" s="50">
        <f>Tabela6[[#This Row],[KM ATUAL]]-E2132</f>
        <v>-143399</v>
      </c>
      <c r="N2133" s="51">
        <f>Tabela6[[#This Row],[KM Rodados ]]/Tabela6[[#This Row],[CONSUMO]]</f>
        <v>-3667.4936061381072</v>
      </c>
    </row>
    <row r="2134" spans="1:14" ht="14.45" customHeight="1" x14ac:dyDescent="0.25">
      <c r="A2134" s="47">
        <v>299086</v>
      </c>
      <c r="B2134" s="78">
        <v>45166</v>
      </c>
      <c r="C2134" s="49" t="s">
        <v>73</v>
      </c>
      <c r="D2134" s="49" t="s">
        <v>311</v>
      </c>
      <c r="E2134" s="47">
        <v>140736</v>
      </c>
      <c r="F2134" s="49" t="s">
        <v>89</v>
      </c>
      <c r="G2134" s="50" t="s">
        <v>89</v>
      </c>
      <c r="H2134" s="51">
        <v>142</v>
      </c>
      <c r="I2134" s="49">
        <v>186.02</v>
      </c>
      <c r="J2134" s="51">
        <v>7.3</v>
      </c>
      <c r="K2134" s="52">
        <f>Tabela6[[#This Row],[CONSUMO]]*Tabela6[[#This Row],[VALOR UNIT]]-Tabela6[[#This Row],[DESCONTO]]</f>
        <v>850.57999999999993</v>
      </c>
      <c r="L2134" s="53">
        <f>Tabela6[[#This Row],[CUSTO TOTAL]]/Tabela6[[#This Row],[CONSUMO]]</f>
        <v>5.9899999999999993</v>
      </c>
      <c r="M2134" s="50">
        <f>Tabela6[[#This Row],[KM ATUAL]]-E2114</f>
        <v>1473</v>
      </c>
      <c r="N2134" s="51">
        <f>Tabela6[[#This Row],[KM Rodados ]]/Tabela6[[#This Row],[CONSUMO]]</f>
        <v>10.373239436619718</v>
      </c>
    </row>
    <row r="2135" spans="1:14" ht="14.45" customHeight="1" x14ac:dyDescent="0.25">
      <c r="A2135" s="47">
        <v>203886</v>
      </c>
      <c r="B2135" s="78">
        <v>45166</v>
      </c>
      <c r="C2135" s="49" t="s">
        <v>71</v>
      </c>
      <c r="D2135" s="49" t="s">
        <v>262</v>
      </c>
      <c r="E2135" s="47">
        <v>120742</v>
      </c>
      <c r="F2135" s="49" t="s">
        <v>241</v>
      </c>
      <c r="G2135" s="50" t="s">
        <v>241</v>
      </c>
      <c r="H2135" s="51">
        <v>57.296999999999997</v>
      </c>
      <c r="I2135" s="49">
        <v>20.63</v>
      </c>
      <c r="J2135" s="51">
        <v>3.69</v>
      </c>
      <c r="K2135" s="51">
        <f>Tabela6[[#This Row],[CONSUMO]]*Tabela6[[#This Row],[VALOR UNIT]]-Tabela6[[#This Row],[DESCONTO]]</f>
        <v>190.79593</v>
      </c>
      <c r="L2135" s="53">
        <f>Tabela6[[#This Row],[CUSTO TOTAL]]/Tabela6[[#This Row],[CONSUMO]]</f>
        <v>3.3299462450041015</v>
      </c>
      <c r="M2135" s="50"/>
      <c r="N2135" s="75"/>
    </row>
    <row r="2136" spans="1:14" ht="14.45" customHeight="1" x14ac:dyDescent="0.25">
      <c r="A2136" s="47">
        <v>326082</v>
      </c>
      <c r="B2136" s="78">
        <v>45166</v>
      </c>
      <c r="C2136" s="49" t="s">
        <v>64</v>
      </c>
      <c r="D2136" s="49" t="s">
        <v>276</v>
      </c>
      <c r="E2136" s="47">
        <v>89695</v>
      </c>
      <c r="F2136" s="49" t="s">
        <v>89</v>
      </c>
      <c r="G2136" s="50" t="s">
        <v>89</v>
      </c>
      <c r="H2136" s="51">
        <v>225.87</v>
      </c>
      <c r="J2136" s="51">
        <v>5.99</v>
      </c>
      <c r="K2136" s="51">
        <f>Tabela6[[#This Row],[CONSUMO]]*Tabela6[[#This Row],[VALOR UNIT]]-Tabela6[[#This Row],[DESCONTO]]</f>
        <v>1352.9613000000002</v>
      </c>
      <c r="L2136" s="53">
        <f>Tabela6[[#This Row],[CUSTO TOTAL]]/Tabela6[[#This Row],[CONSUMO]]</f>
        <v>5.99</v>
      </c>
      <c r="M2136" s="50">
        <f>Tabela6[[#This Row],[KM ATUAL]]-E2074</f>
        <v>-320711</v>
      </c>
      <c r="N2136" s="51">
        <f>Tabela6[[#This Row],[KM Rodados ]]/Tabela6[[#This Row],[CONSUMO]]</f>
        <v>-1419.8919732589543</v>
      </c>
    </row>
    <row r="2137" spans="1:14" ht="14.45" customHeight="1" x14ac:dyDescent="0.25">
      <c r="A2137" s="47">
        <v>6873</v>
      </c>
      <c r="B2137" s="78">
        <v>45166</v>
      </c>
      <c r="C2137" s="47" t="s">
        <v>41</v>
      </c>
      <c r="D2137" s="49" t="s">
        <v>299</v>
      </c>
      <c r="E2137" s="47">
        <v>673074</v>
      </c>
      <c r="F2137" s="49" t="s">
        <v>89</v>
      </c>
      <c r="G2137" s="50" t="s">
        <v>89</v>
      </c>
      <c r="H2137" s="51">
        <v>111</v>
      </c>
      <c r="J2137" s="51">
        <v>5.8</v>
      </c>
      <c r="K2137" s="52">
        <f>Tabela6[[#This Row],[CONSUMO]]*Tabela6[[#This Row],[VALOR UNIT]]-Tabela6[[#This Row],[DESCONTO]]</f>
        <v>643.79999999999995</v>
      </c>
      <c r="L2137" s="53">
        <f>Tabela6[[#This Row],[CUSTO TOTAL]]/Tabela6[[#This Row],[CONSUMO]]</f>
        <v>5.8</v>
      </c>
      <c r="M2137" s="50">
        <f>Tabela6[[#This Row],[KM ATUAL]]-E2097</f>
        <v>432094</v>
      </c>
      <c r="N2137" s="51">
        <f>Tabela6[[#This Row],[KM Rodados ]]/Tabela6[[#This Row],[CONSUMO]]</f>
        <v>3892.7387387387389</v>
      </c>
    </row>
    <row r="2138" spans="1:14" ht="14.45" customHeight="1" x14ac:dyDescent="0.25">
      <c r="A2138" s="47">
        <v>6873</v>
      </c>
      <c r="B2138" s="78">
        <v>45166</v>
      </c>
      <c r="C2138" s="47" t="s">
        <v>10</v>
      </c>
      <c r="D2138" s="49" t="s">
        <v>299</v>
      </c>
      <c r="E2138" s="47">
        <v>723409</v>
      </c>
      <c r="F2138" s="49" t="s">
        <v>89</v>
      </c>
      <c r="G2138" s="50" t="s">
        <v>89</v>
      </c>
      <c r="H2138" s="51">
        <v>121</v>
      </c>
      <c r="J2138" s="51">
        <v>5.8</v>
      </c>
      <c r="K2138" s="51">
        <f>Tabela6[[#This Row],[CONSUMO]]*Tabela6[[#This Row],[VALOR UNIT]]-Tabela6[[#This Row],[DESCONTO]]</f>
        <v>701.8</v>
      </c>
      <c r="L2138" s="53">
        <f>Tabela6[[#This Row],[CUSTO TOTAL]]/Tabela6[[#This Row],[CONSUMO]]</f>
        <v>5.8</v>
      </c>
      <c r="M2138" s="50">
        <f>Tabela6[[#This Row],[KM ATUAL]]-E2104</f>
        <v>78864</v>
      </c>
      <c r="N2138" s="51">
        <f>Tabela6[[#This Row],[KM Rodados ]]/Tabela6[[#This Row],[CONSUMO]]</f>
        <v>651.76859504132233</v>
      </c>
    </row>
    <row r="2139" spans="1:14" ht="14.45" customHeight="1" x14ac:dyDescent="0.25">
      <c r="A2139" s="47">
        <v>6873</v>
      </c>
      <c r="B2139" s="78">
        <v>45166</v>
      </c>
      <c r="C2139" s="47" t="s">
        <v>301</v>
      </c>
      <c r="D2139" s="49" t="s">
        <v>299</v>
      </c>
      <c r="E2139" s="89">
        <v>1036875</v>
      </c>
      <c r="F2139" s="50"/>
      <c r="G2139" s="50" t="s">
        <v>89</v>
      </c>
      <c r="H2139" s="51">
        <v>456</v>
      </c>
      <c r="I2139" s="51"/>
      <c r="J2139" s="51">
        <v>4.9000000000000004</v>
      </c>
      <c r="K2139" s="52">
        <f>Tabela6[[#This Row],[CONSUMO]]*Tabela6[[#This Row],[VALOR UNIT]]-Tabela6[[#This Row],[DESCONTO]]</f>
        <v>2234.4</v>
      </c>
      <c r="L2139" s="53">
        <f>Tabela6[[#This Row],[CUSTO TOTAL]]/Tabela6[[#This Row],[CONSUMO]]</f>
        <v>4.9000000000000004</v>
      </c>
      <c r="M2139" s="50">
        <f>Tabela6[[#This Row],[KM ATUAL]]-E2091</f>
        <v>815016</v>
      </c>
      <c r="N2139" s="84">
        <f>Tabela6[[#This Row],[KM Rodados ]]/Tabela6[[#This Row],[CONSUMO]]</f>
        <v>1787.3157894736842</v>
      </c>
    </row>
    <row r="2140" spans="1:14" ht="14.45" customHeight="1" x14ac:dyDescent="0.25">
      <c r="A2140" s="47" t="s">
        <v>314</v>
      </c>
      <c r="B2140" s="78">
        <v>45166</v>
      </c>
      <c r="C2140" s="47" t="s">
        <v>12</v>
      </c>
      <c r="E2140" s="47">
        <v>319489</v>
      </c>
      <c r="F2140" s="50"/>
      <c r="G2140" s="50" t="s">
        <v>89</v>
      </c>
      <c r="H2140" s="51">
        <v>86.32</v>
      </c>
      <c r="I2140" s="51"/>
      <c r="K2140" s="53">
        <f>Tabela6[[#This Row],[CONSUMO]]*Tabela6[[#This Row],[VALOR UNIT]]-Tabela6[[#This Row],[DESCONTO]]</f>
        <v>0</v>
      </c>
      <c r="L2140" s="53">
        <f>Tabela6[[#This Row],[CUSTO TOTAL]]/Tabela6[[#This Row],[CONSUMO]]</f>
        <v>0</v>
      </c>
      <c r="M2140" s="50">
        <f>Tabela6[[#This Row],[KM ATUAL]]-E2092</f>
        <v>180685</v>
      </c>
      <c r="N2140" s="51">
        <f>Tabela6[[#This Row],[KM Rodados ]]/Tabela6[[#This Row],[CONSUMO]]</f>
        <v>2093.1997219647824</v>
      </c>
    </row>
    <row r="2141" spans="1:14" ht="14.45" customHeight="1" x14ac:dyDescent="0.25">
      <c r="A2141" s="47">
        <v>6873</v>
      </c>
      <c r="B2141" s="78">
        <v>45166</v>
      </c>
      <c r="C2141" s="49" t="s">
        <v>13</v>
      </c>
      <c r="D2141" s="49" t="s">
        <v>299</v>
      </c>
      <c r="E2141" s="119">
        <v>644787</v>
      </c>
      <c r="F2141" s="49" t="s">
        <v>89</v>
      </c>
      <c r="G2141" s="50" t="s">
        <v>89</v>
      </c>
      <c r="H2141" s="51">
        <v>40</v>
      </c>
      <c r="J2141" s="51">
        <v>5.8</v>
      </c>
      <c r="K2141" s="51">
        <f>Tabela6[[#This Row],[CONSUMO]]*Tabela6[[#This Row],[VALOR UNIT]]-Tabela6[[#This Row],[DESCONTO]]</f>
        <v>232</v>
      </c>
      <c r="L2141" s="53">
        <f>Tabela6[[#This Row],[CUSTO TOTAL]]/Tabela6[[#This Row],[CONSUMO]]</f>
        <v>5.8</v>
      </c>
      <c r="M2141" s="50">
        <f>Tabela6[[#This Row],[KM ATUAL]]-E2129</f>
        <v>501390</v>
      </c>
      <c r="N2141" s="75">
        <f>Tabela6[[#This Row],[KM Rodados ]]/Tabela6[[#This Row],[CONSUMO]]</f>
        <v>12534.75</v>
      </c>
    </row>
    <row r="2142" spans="1:14" ht="14.45" customHeight="1" x14ac:dyDescent="0.25">
      <c r="A2142" s="47">
        <v>560888</v>
      </c>
      <c r="B2142" s="78">
        <v>45166</v>
      </c>
      <c r="C2142" s="49" t="s">
        <v>16</v>
      </c>
      <c r="D2142" s="49" t="s">
        <v>255</v>
      </c>
      <c r="E2142" s="47">
        <v>302671</v>
      </c>
      <c r="F2142" s="49" t="s">
        <v>89</v>
      </c>
      <c r="G2142" s="50" t="s">
        <v>89</v>
      </c>
      <c r="H2142" s="51">
        <v>105.751</v>
      </c>
      <c r="J2142" s="51">
        <v>6.58</v>
      </c>
      <c r="K2142" s="52">
        <f>Tabela6[[#This Row],[CONSUMO]]*Tabela6[[#This Row],[VALOR UNIT]]-Tabela6[[#This Row],[DESCONTO]]</f>
        <v>695.84158000000002</v>
      </c>
      <c r="L2142" s="53">
        <f>Tabela6[[#This Row],[CUSTO TOTAL]]/Tabela6[[#This Row],[CONSUMO]]</f>
        <v>6.58</v>
      </c>
      <c r="M2142" s="50">
        <f>Tabela6[[#This Row],[KM ATUAL]]-E2046</f>
        <v>-419853</v>
      </c>
      <c r="N2142" s="51">
        <f>Tabela6[[#This Row],[KM Rodados ]]/Tabela6[[#This Row],[CONSUMO]]</f>
        <v>-3970.2035914553999</v>
      </c>
    </row>
    <row r="2143" spans="1:14" ht="14.45" customHeight="1" x14ac:dyDescent="0.25">
      <c r="A2143" s="47">
        <v>6873</v>
      </c>
      <c r="B2143" s="78">
        <v>45166</v>
      </c>
      <c r="C2143" t="s">
        <v>17</v>
      </c>
      <c r="D2143" s="49" t="s">
        <v>299</v>
      </c>
      <c r="E2143" s="47">
        <v>367916</v>
      </c>
      <c r="F2143" s="49" t="s">
        <v>89</v>
      </c>
      <c r="G2143" s="50" t="s">
        <v>89</v>
      </c>
      <c r="H2143" s="51">
        <v>231</v>
      </c>
      <c r="J2143" s="51">
        <v>5.8</v>
      </c>
      <c r="K2143" s="51">
        <f>Tabela6[[#This Row],[CONSUMO]]*Tabela6[[#This Row],[VALOR UNIT]]-Tabela6[[#This Row],[DESCONTO]]</f>
        <v>1339.8</v>
      </c>
      <c r="L2143" s="53">
        <f>Tabela6[[#This Row],[CUSTO TOTAL]]/Tabela6[[#This Row],[CONSUMO]]</f>
        <v>5.8</v>
      </c>
      <c r="M2143" s="50">
        <f>Tabela6[[#This Row],[KM ATUAL]]-E2070</f>
        <v>-251386</v>
      </c>
      <c r="N2143" s="51">
        <f>Tabela6[[#This Row],[KM Rodados ]]/Tabela6[[#This Row],[CONSUMO]]</f>
        <v>-1088.2510822510822</v>
      </c>
    </row>
    <row r="2144" spans="1:14" ht="14.45" customHeight="1" x14ac:dyDescent="0.25">
      <c r="A2144" s="47">
        <v>203761</v>
      </c>
      <c r="B2144" s="78">
        <v>45166</v>
      </c>
      <c r="C2144" t="s">
        <v>19</v>
      </c>
      <c r="D2144" s="49" t="s">
        <v>262</v>
      </c>
      <c r="E2144" s="47">
        <v>323454</v>
      </c>
      <c r="G2144" s="50" t="s">
        <v>241</v>
      </c>
      <c r="H2144" s="51">
        <v>16.001999999999999</v>
      </c>
      <c r="I2144" s="49">
        <v>5.76</v>
      </c>
      <c r="J2144" s="51">
        <v>3.69</v>
      </c>
      <c r="K2144" s="52">
        <f>Tabela6[[#This Row],[CONSUMO]]*Tabela6[[#This Row],[VALOR UNIT]]-Tabela6[[#This Row],[DESCONTO]]</f>
        <v>53.287379999999999</v>
      </c>
      <c r="L2144" s="53">
        <f>Tabela6[[#This Row],[CUSTO TOTAL]]/Tabela6[[#This Row],[CONSUMO]]</f>
        <v>3.3300449943757031</v>
      </c>
      <c r="M2144" s="50"/>
      <c r="N2144"/>
    </row>
    <row r="2145" spans="1:14" ht="14.45" customHeight="1" x14ac:dyDescent="0.25">
      <c r="A2145" s="47">
        <v>6873</v>
      </c>
      <c r="B2145" s="78">
        <v>45166</v>
      </c>
      <c r="C2145" s="47" t="s">
        <v>19</v>
      </c>
      <c r="D2145" s="49" t="s">
        <v>299</v>
      </c>
      <c r="E2145" s="47">
        <v>323820</v>
      </c>
      <c r="F2145" s="49" t="s">
        <v>89</v>
      </c>
      <c r="G2145" s="50" t="s">
        <v>89</v>
      </c>
      <c r="H2145" s="51">
        <v>80</v>
      </c>
      <c r="J2145" s="51">
        <v>5.8</v>
      </c>
      <c r="K2145" s="51">
        <f>Tabela6[[#This Row],[CONSUMO]]*Tabela6[[#This Row],[VALOR UNIT]]-Tabela6[[#This Row],[DESCONTO]]</f>
        <v>464</v>
      </c>
      <c r="L2145" s="53">
        <f>Tabela6[[#This Row],[CUSTO TOTAL]]/Tabela6[[#This Row],[CONSUMO]]</f>
        <v>5.8</v>
      </c>
      <c r="M2145" s="50">
        <f>Tabela6[[#This Row],[KM ATUAL]]-E2119</f>
        <v>374</v>
      </c>
      <c r="N2145" s="51">
        <f>Tabela6[[#This Row],[KM Rodados ]]/Tabela6[[#This Row],[CONSUMO]]</f>
        <v>4.6749999999999998</v>
      </c>
    </row>
    <row r="2146" spans="1:14" ht="14.45" customHeight="1" x14ac:dyDescent="0.25">
      <c r="A2146" s="47">
        <v>203942</v>
      </c>
      <c r="B2146" s="78">
        <v>45166</v>
      </c>
      <c r="C2146" s="49" t="s">
        <v>20</v>
      </c>
      <c r="D2146" s="49" t="s">
        <v>262</v>
      </c>
      <c r="E2146" s="47">
        <v>268046</v>
      </c>
      <c r="F2146" s="49" t="s">
        <v>89</v>
      </c>
      <c r="G2146" s="50" t="s">
        <v>89</v>
      </c>
      <c r="H2146" s="51">
        <v>63.79</v>
      </c>
      <c r="J2146" s="51">
        <v>5.99</v>
      </c>
      <c r="K2146" s="52">
        <f>Tabela6[[#This Row],[CONSUMO]]*Tabela6[[#This Row],[VALOR UNIT]]-Tabela6[[#This Row],[DESCONTO]]</f>
        <v>382.10210000000001</v>
      </c>
      <c r="L2146" s="53">
        <f>Tabela6[[#This Row],[CUSTO TOTAL]]/Tabela6[[#This Row],[CONSUMO]]</f>
        <v>5.99</v>
      </c>
      <c r="M2146" s="50">
        <f>Tabela6[[#This Row],[KM ATUAL]]-E2111</f>
        <v>-66226</v>
      </c>
      <c r="N2146" s="51">
        <f>Tabela6[[#This Row],[KM Rodados ]]/Tabela6[[#This Row],[CONSUMO]]</f>
        <v>-1038.1878037309923</v>
      </c>
    </row>
    <row r="2147" spans="1:14" ht="14.45" customHeight="1" x14ac:dyDescent="0.25">
      <c r="A2147" s="47">
        <v>203831</v>
      </c>
      <c r="B2147" s="78">
        <v>45166</v>
      </c>
      <c r="C2147" s="49" t="s">
        <v>40</v>
      </c>
      <c r="D2147" s="49" t="s">
        <v>262</v>
      </c>
      <c r="E2147" s="47">
        <v>154709</v>
      </c>
      <c r="F2147" s="49" t="s">
        <v>244</v>
      </c>
      <c r="G2147" s="50" t="s">
        <v>244</v>
      </c>
      <c r="H2147" s="51">
        <v>12.63</v>
      </c>
      <c r="J2147" s="51">
        <v>5.69</v>
      </c>
      <c r="K2147" s="74">
        <f>Tabela6[[#This Row],[CONSUMO]]*Tabela6[[#This Row],[VALOR UNIT]]-Tabela6[[#This Row],[DESCONTO]]</f>
        <v>71.864700000000013</v>
      </c>
      <c r="L2147" s="53">
        <v>5.69</v>
      </c>
      <c r="M2147" s="50">
        <f>Tabela6[[#This Row],[KM ATUAL]]-E2146</f>
        <v>-113337</v>
      </c>
      <c r="N2147" s="51">
        <f>Tabela6[[#This Row],[KM Rodados ]]/Tabela6[[#This Row],[CONSUMO]]</f>
        <v>-8973.6342042755332</v>
      </c>
    </row>
    <row r="2148" spans="1:14" ht="14.45" customHeight="1" x14ac:dyDescent="0.25">
      <c r="A2148" s="47">
        <v>6873</v>
      </c>
      <c r="B2148" s="78">
        <v>45166</v>
      </c>
      <c r="C2148" s="47" t="s">
        <v>74</v>
      </c>
      <c r="D2148" s="49" t="s">
        <v>299</v>
      </c>
      <c r="E2148" s="47">
        <v>72444</v>
      </c>
      <c r="F2148" s="49" t="s">
        <v>89</v>
      </c>
      <c r="G2148" s="50" t="s">
        <v>89</v>
      </c>
      <c r="H2148" s="51">
        <v>27</v>
      </c>
      <c r="J2148" s="51">
        <v>5.8</v>
      </c>
      <c r="K2148" s="51">
        <f>Tabela6[[#This Row],[CONSUMO]]*Tabela6[[#This Row],[VALOR UNIT]]-Tabela6[[#This Row],[DESCONTO]]</f>
        <v>156.6</v>
      </c>
      <c r="L2148" s="53">
        <f>Tabela6[[#This Row],[CUSTO TOTAL]]/Tabela6[[#This Row],[CONSUMO]]</f>
        <v>5.8</v>
      </c>
      <c r="M2148" s="50">
        <f>Tabela6[[#This Row],[KM ATUAL]]-E2138</f>
        <v>-650965</v>
      </c>
      <c r="N2148" s="51">
        <f>Tabela6[[#This Row],[KM Rodados ]]/Tabela6[[#This Row],[CONSUMO]]</f>
        <v>-24109.814814814814</v>
      </c>
    </row>
    <row r="2149" spans="1:14" ht="14.45" customHeight="1" x14ac:dyDescent="0.25">
      <c r="A2149" s="47">
        <v>211454</v>
      </c>
      <c r="B2149" s="78">
        <v>45166</v>
      </c>
      <c r="C2149" s="47" t="s">
        <v>74</v>
      </c>
      <c r="D2149" s="49" t="s">
        <v>269</v>
      </c>
      <c r="E2149" s="47">
        <v>72725</v>
      </c>
      <c r="F2149" s="49" t="s">
        <v>89</v>
      </c>
      <c r="G2149" s="50" t="s">
        <v>89</v>
      </c>
      <c r="H2149" s="51">
        <v>36.42</v>
      </c>
      <c r="J2149" s="51">
        <v>5.99</v>
      </c>
      <c r="K2149" s="51">
        <f>Tabela6[[#This Row],[CONSUMO]]*Tabela6[[#This Row],[VALOR UNIT]]-Tabela6[[#This Row],[DESCONTO]]</f>
        <v>218.15580000000003</v>
      </c>
      <c r="L2149" s="53">
        <f>Tabela6[[#This Row],[CUSTO TOTAL]]/Tabela6[[#This Row],[CONSUMO]]</f>
        <v>5.99</v>
      </c>
      <c r="M2149" s="50">
        <f>Tabela6[[#This Row],[KM ATUAL]]-E2143</f>
        <v>-295191</v>
      </c>
      <c r="N2149" s="51">
        <f>Tabela6[[#This Row],[KM Rodados ]]/Tabela6[[#This Row],[CONSUMO]]</f>
        <v>-8105.1894563426686</v>
      </c>
    </row>
    <row r="2150" spans="1:14" ht="14.45" customHeight="1" x14ac:dyDescent="0.25">
      <c r="A2150" s="47" t="s">
        <v>314</v>
      </c>
      <c r="B2150" s="78">
        <v>45166</v>
      </c>
      <c r="C2150" s="47"/>
      <c r="E2150" s="47">
        <v>370714</v>
      </c>
      <c r="G2150" s="50" t="s">
        <v>89</v>
      </c>
      <c r="H2150" s="51">
        <v>14</v>
      </c>
      <c r="K2150" s="52">
        <f>Tabela6[[#This Row],[CONSUMO]]*Tabela6[[#This Row],[VALOR UNIT]]-Tabela6[[#This Row],[DESCONTO]]</f>
        <v>0</v>
      </c>
      <c r="L2150" s="53">
        <f>Tabela6[[#This Row],[CUSTO TOTAL]]/Tabela6[[#This Row],[CONSUMO]]</f>
        <v>0</v>
      </c>
      <c r="M2150" s="50">
        <f>Tabela6[[#This Row],[KM ATUAL]]-E2126</f>
        <v>230613</v>
      </c>
      <c r="N2150" s="84">
        <f>Tabela6[[#This Row],[KM Rodados ]]/Tabela6[[#This Row],[CONSUMO]]</f>
        <v>16472.357142857141</v>
      </c>
    </row>
    <row r="2151" spans="1:14" ht="14.45" customHeight="1" x14ac:dyDescent="0.25">
      <c r="A2151" s="47">
        <v>6873</v>
      </c>
      <c r="B2151" s="78">
        <v>45167</v>
      </c>
      <c r="C2151" s="49" t="s">
        <v>68</v>
      </c>
      <c r="D2151" s="49" t="s">
        <v>299</v>
      </c>
      <c r="E2151" s="47">
        <v>910932</v>
      </c>
      <c r="F2151" s="49" t="s">
        <v>89</v>
      </c>
      <c r="G2151" s="50" t="s">
        <v>89</v>
      </c>
      <c r="H2151" s="51">
        <v>376</v>
      </c>
      <c r="J2151" s="51">
        <v>5.8</v>
      </c>
      <c r="K2151" s="51">
        <f>Tabela6[[#This Row],[CONSUMO]]*Tabela6[[#This Row],[VALOR UNIT]]-Tabela6[[#This Row],[DESCONTO]]</f>
        <v>2180.7999999999997</v>
      </c>
      <c r="L2151" s="53">
        <f>Tabela6[[#This Row],[CUSTO TOTAL]]/Tabela6[[#This Row],[CONSUMO]]</f>
        <v>5.7999999999999989</v>
      </c>
      <c r="M2151" s="50">
        <f>Tabela6[[#This Row],[KM ATUAL]]-E2096</f>
        <v>531107</v>
      </c>
      <c r="N2151" s="51">
        <f>Tabela6[[#This Row],[KM Rodados ]]/Tabela6[[#This Row],[CONSUMO]]</f>
        <v>1412.5186170212767</v>
      </c>
    </row>
    <row r="2152" spans="1:14" ht="14.45" customHeight="1" x14ac:dyDescent="0.25">
      <c r="A2152" s="47">
        <v>31907</v>
      </c>
      <c r="B2152" s="78">
        <v>45167</v>
      </c>
      <c r="C2152" s="49" t="s">
        <v>43</v>
      </c>
      <c r="D2152" s="49" t="s">
        <v>300</v>
      </c>
      <c r="E2152" s="47">
        <v>143771</v>
      </c>
      <c r="F2152" s="49" t="s">
        <v>89</v>
      </c>
      <c r="G2152" s="50" t="s">
        <v>89</v>
      </c>
      <c r="H2152" s="51">
        <v>50.4</v>
      </c>
      <c r="J2152" s="51">
        <v>5.99</v>
      </c>
      <c r="K2152" s="51">
        <f>Tabela6[[#This Row],[CONSUMO]]*Tabela6[[#This Row],[VALOR UNIT]]-Tabela6[[#This Row],[DESCONTO]]</f>
        <v>301.89600000000002</v>
      </c>
      <c r="L2152" s="53">
        <v>5.99</v>
      </c>
      <c r="M2152" s="50">
        <f>Tabela6[[#This Row],[KM ATUAL]]-E2147</f>
        <v>-10938</v>
      </c>
      <c r="N2152" s="51">
        <f>Tabela6[[#This Row],[KM Rodados ]]/Tabela6[[#This Row],[CONSUMO]]</f>
        <v>-217.02380952380952</v>
      </c>
    </row>
    <row r="2153" spans="1:14" ht="14.45" customHeight="1" x14ac:dyDescent="0.25">
      <c r="A2153" s="47">
        <v>302946</v>
      </c>
      <c r="B2153" s="78">
        <v>45167</v>
      </c>
      <c r="C2153" s="47" t="s">
        <v>222</v>
      </c>
      <c r="D2153" s="49" t="s">
        <v>270</v>
      </c>
      <c r="E2153" s="47">
        <v>496493</v>
      </c>
      <c r="F2153" s="49" t="s">
        <v>89</v>
      </c>
      <c r="G2153" s="50" t="s">
        <v>89</v>
      </c>
      <c r="H2153" s="51">
        <v>200.57</v>
      </c>
      <c r="J2153" s="51">
        <v>5.99</v>
      </c>
      <c r="K2153" s="51">
        <f>Tabela6[[#This Row],[CONSUMO]]*Tabela6[[#This Row],[VALOR UNIT]]-Tabela6[[#This Row],[DESCONTO]]</f>
        <v>1201.4142999999999</v>
      </c>
      <c r="L2153" s="53">
        <v>5.9899999999999993</v>
      </c>
      <c r="M2153" s="50">
        <f>Tabela6[[#This Row],[KM ATUAL]]-E2116</f>
        <v>-148282</v>
      </c>
      <c r="N2153" s="84">
        <f>Tabela6[[#This Row],[KM Rodados ]]/Tabela6[[#This Row],[CONSUMO]]</f>
        <v>-739.30298648850783</v>
      </c>
    </row>
    <row r="2154" spans="1:14" ht="14.45" customHeight="1" x14ac:dyDescent="0.25">
      <c r="A2154" s="47">
        <v>203991</v>
      </c>
      <c r="B2154" s="78">
        <v>45167</v>
      </c>
      <c r="C2154" s="47" t="s">
        <v>67</v>
      </c>
      <c r="D2154" s="49" t="s">
        <v>262</v>
      </c>
      <c r="E2154" s="47">
        <v>677461</v>
      </c>
      <c r="F2154" s="49" t="s">
        <v>241</v>
      </c>
      <c r="G2154" s="50" t="s">
        <v>241</v>
      </c>
      <c r="H2154" s="51">
        <v>23.263000000000002</v>
      </c>
      <c r="I2154" s="49">
        <v>8.3699999999999992</v>
      </c>
      <c r="J2154" s="51">
        <v>3.69</v>
      </c>
      <c r="K2154" s="51">
        <f>Tabela6[[#This Row],[CONSUMO]]*Tabela6[[#This Row],[VALOR UNIT]]-Tabela6[[#This Row],[DESCONTO]]</f>
        <v>77.470470000000006</v>
      </c>
      <c r="L2154" s="53">
        <v>3.3302011778360487</v>
      </c>
      <c r="M2154" s="50"/>
    </row>
    <row r="2155" spans="1:14" ht="14.45" customHeight="1" x14ac:dyDescent="0.25">
      <c r="A2155" s="47">
        <v>6873</v>
      </c>
      <c r="B2155" s="78">
        <v>45167</v>
      </c>
      <c r="C2155" s="47" t="s">
        <v>67</v>
      </c>
      <c r="D2155" s="49" t="s">
        <v>299</v>
      </c>
      <c r="E2155" s="47">
        <v>677469</v>
      </c>
      <c r="F2155" s="49" t="s">
        <v>89</v>
      </c>
      <c r="G2155" s="50" t="s">
        <v>89</v>
      </c>
      <c r="H2155" s="51">
        <v>116</v>
      </c>
      <c r="J2155" s="51">
        <v>5.8</v>
      </c>
      <c r="K2155" s="51">
        <f>Tabela6[[#This Row],[CONSUMO]]*Tabela6[[#This Row],[VALOR UNIT]]-Tabela6[[#This Row],[DESCONTO]]</f>
        <v>672.8</v>
      </c>
      <c r="L2155" s="53">
        <v>0</v>
      </c>
      <c r="M2155" s="50">
        <f>Tabela6[[#This Row],[KM ATUAL]]-E2121</f>
        <v>436139</v>
      </c>
      <c r="N2155" s="51">
        <f>Tabela6[[#This Row],[KM Rodados ]]/Tabela6[[#This Row],[CONSUMO]]</f>
        <v>3759.8189655172414</v>
      </c>
    </row>
    <row r="2156" spans="1:14" ht="14.45" customHeight="1" x14ac:dyDescent="0.25">
      <c r="A2156" s="47">
        <v>6873</v>
      </c>
      <c r="B2156" s="78">
        <v>45167</v>
      </c>
      <c r="C2156" s="47" t="s">
        <v>22</v>
      </c>
      <c r="D2156" s="49" t="s">
        <v>299</v>
      </c>
      <c r="E2156" s="47">
        <v>334724</v>
      </c>
      <c r="F2156" s="49" t="s">
        <v>89</v>
      </c>
      <c r="G2156" s="50" t="s">
        <v>89</v>
      </c>
      <c r="H2156" s="51">
        <v>105</v>
      </c>
      <c r="J2156" s="51">
        <v>5.8</v>
      </c>
      <c r="K2156" s="51">
        <f>Tabela6[[#This Row],[CONSUMO]]*Tabela6[[#This Row],[VALOR UNIT]]-Tabela6[[#This Row],[DESCONTO]]</f>
        <v>609</v>
      </c>
      <c r="L2156" s="53">
        <v>0</v>
      </c>
      <c r="M2156" s="50">
        <f>Tabela6[[#This Row],[KM ATUAL]]-E2114</f>
        <v>195461</v>
      </c>
      <c r="N2156" s="51">
        <f>Tabela6[[#This Row],[KM Rodados ]]/Tabela6[[#This Row],[CONSUMO]]</f>
        <v>1861.5333333333333</v>
      </c>
    </row>
    <row r="2157" spans="1:14" ht="14.45" customHeight="1" x14ac:dyDescent="0.25">
      <c r="A2157" s="47">
        <v>204022</v>
      </c>
      <c r="B2157" s="78">
        <v>45167</v>
      </c>
      <c r="C2157" t="s">
        <v>39</v>
      </c>
      <c r="D2157" s="49" t="s">
        <v>262</v>
      </c>
      <c r="E2157" s="47">
        <v>99361</v>
      </c>
      <c r="F2157" s="49" t="s">
        <v>241</v>
      </c>
      <c r="G2157" s="50" t="s">
        <v>241</v>
      </c>
      <c r="H2157" s="51">
        <v>20.265000000000001</v>
      </c>
      <c r="I2157" s="49">
        <v>7.3</v>
      </c>
      <c r="J2157" s="51">
        <v>3.69</v>
      </c>
      <c r="K2157" s="51">
        <f>Tabela6[[#This Row],[CONSUMO]]*Tabela6[[#This Row],[VALOR UNIT]]-Tabela6[[#This Row],[DESCONTO]]</f>
        <v>67.477850000000004</v>
      </c>
      <c r="L2157" s="53">
        <f>Tabela6[[#This Row],[CUSTO TOTAL]]/Tabela6[[#This Row],[CONSUMO]]</f>
        <v>3.3297730076486554</v>
      </c>
      <c r="M2157" s="50"/>
    </row>
    <row r="2158" spans="1:14" ht="14.45" customHeight="1" x14ac:dyDescent="0.25">
      <c r="A2158" s="47">
        <v>6873</v>
      </c>
      <c r="B2158" s="78">
        <v>45167</v>
      </c>
      <c r="C2158" s="49" t="s">
        <v>39</v>
      </c>
      <c r="D2158" s="49" t="s">
        <v>299</v>
      </c>
      <c r="E2158" s="47">
        <v>99357</v>
      </c>
      <c r="F2158" s="49" t="s">
        <v>89</v>
      </c>
      <c r="G2158" s="50" t="s">
        <v>89</v>
      </c>
      <c r="H2158" s="51">
        <v>60</v>
      </c>
      <c r="J2158" s="51">
        <v>5.8</v>
      </c>
      <c r="K2158" s="51">
        <f>Tabela6[[#This Row],[CONSUMO]]*Tabela6[[#This Row],[VALOR UNIT]]-Tabela6[[#This Row],[DESCONTO]]</f>
        <v>348</v>
      </c>
      <c r="L2158" s="53">
        <v>0</v>
      </c>
      <c r="M2158" s="50">
        <f>Tabela6[[#This Row],[KM ATUAL]]-E2088</f>
        <v>-43447</v>
      </c>
      <c r="N2158" s="65">
        <f>Tabela6[[#This Row],[KM Rodados ]]/Tabela6[[#This Row],[CONSUMO]]</f>
        <v>-724.11666666666667</v>
      </c>
    </row>
    <row r="2159" spans="1:14" ht="14.45" customHeight="1" x14ac:dyDescent="0.25">
      <c r="A2159" s="47">
        <v>6873</v>
      </c>
      <c r="B2159" s="78">
        <v>45167</v>
      </c>
      <c r="C2159" s="49" t="s">
        <v>70</v>
      </c>
      <c r="D2159" s="49" t="s">
        <v>299</v>
      </c>
      <c r="E2159" s="47">
        <v>221028</v>
      </c>
      <c r="F2159" s="50"/>
      <c r="G2159" s="50" t="s">
        <v>89</v>
      </c>
      <c r="H2159" s="51">
        <v>59</v>
      </c>
      <c r="I2159" s="51"/>
      <c r="J2159" s="51">
        <v>5.8</v>
      </c>
      <c r="K2159" s="52">
        <f>Tabela6[[#This Row],[CONSUMO]]*Tabela6[[#This Row],[VALOR UNIT]]-Tabela6[[#This Row],[DESCONTO]]</f>
        <v>342.2</v>
      </c>
      <c r="L2159" s="53">
        <f>Tabela6[[#This Row],[CUSTO TOTAL]]/Tabela6[[#This Row],[CONSUMO]]</f>
        <v>5.8</v>
      </c>
      <c r="M2159" s="50">
        <f>Tabela6[[#This Row],[KM ATUAL]]-E2046</f>
        <v>-501496</v>
      </c>
      <c r="N2159" s="51">
        <f>Tabela6[[#This Row],[KM Rodados ]]/Tabela6[[#This Row],[CONSUMO]]</f>
        <v>-8499.9322033898297</v>
      </c>
    </row>
    <row r="2160" spans="1:14" ht="14.45" customHeight="1" x14ac:dyDescent="0.25">
      <c r="A2160" s="47">
        <v>6873</v>
      </c>
      <c r="B2160" s="78">
        <v>45167</v>
      </c>
      <c r="C2160" s="47" t="s">
        <v>72</v>
      </c>
      <c r="D2160" s="49" t="s">
        <v>299</v>
      </c>
      <c r="E2160" s="47">
        <v>410548</v>
      </c>
      <c r="F2160" s="49" t="s">
        <v>89</v>
      </c>
      <c r="G2160" s="50" t="s">
        <v>89</v>
      </c>
      <c r="H2160" s="51">
        <v>21</v>
      </c>
      <c r="J2160" s="51">
        <v>5.8</v>
      </c>
      <c r="K2160" s="51">
        <f>Tabela6[[#This Row],[CONSUMO]]*Tabela6[[#This Row],[VALOR UNIT]]-Tabela6[[#This Row],[DESCONTO]]</f>
        <v>121.8</v>
      </c>
      <c r="L2160" s="53">
        <f>Tabela6[[#This Row],[CUSTO TOTAL]]/Tabela6[[#This Row],[CONSUMO]]</f>
        <v>5.8</v>
      </c>
      <c r="M2160" s="50">
        <f>Tabela6[[#This Row],[KM ATUAL]]-E2047</f>
        <v>44104</v>
      </c>
      <c r="N2160" s="51">
        <f>Tabela6[[#This Row],[KM Rodados ]]/Tabela6[[#This Row],[CONSUMO]]</f>
        <v>2100.1904761904761</v>
      </c>
    </row>
    <row r="2161" spans="1:14" ht="14.45" customHeight="1" x14ac:dyDescent="0.25">
      <c r="A2161" s="47">
        <v>24014</v>
      </c>
      <c r="B2161" s="78">
        <v>45167</v>
      </c>
      <c r="C2161" s="47" t="s">
        <v>11</v>
      </c>
      <c r="D2161" s="49" t="s">
        <v>253</v>
      </c>
      <c r="E2161" s="47">
        <v>399583</v>
      </c>
      <c r="F2161" s="49" t="s">
        <v>89</v>
      </c>
      <c r="G2161" s="50" t="s">
        <v>89</v>
      </c>
      <c r="H2161" s="51">
        <v>102.92</v>
      </c>
      <c r="J2161" s="51">
        <v>5.99</v>
      </c>
      <c r="K2161" s="51">
        <f>Tabela6[[#This Row],[CONSUMO]]*Tabela6[[#This Row],[VALOR UNIT]]-Tabela6[[#This Row],[DESCONTO]]</f>
        <v>616.49080000000004</v>
      </c>
      <c r="L2161" s="53">
        <f>Tabela6[[#This Row],[CUSTO TOTAL]]/Tabela6[[#This Row],[CONSUMO]]</f>
        <v>5.99</v>
      </c>
      <c r="M2161" s="50">
        <f>Tabela6[[#This Row],[KM ATUAL]]-E1990</f>
        <v>302751</v>
      </c>
      <c r="N2161" s="75">
        <f>Tabela6[[#This Row],[KM Rodados ]]/Tabela6[[#This Row],[CONSUMO]]</f>
        <v>2941.6148464827052</v>
      </c>
    </row>
    <row r="2162" spans="1:14" ht="14.45" customHeight="1" x14ac:dyDescent="0.25">
      <c r="A2162" s="47">
        <v>6873</v>
      </c>
      <c r="B2162" s="78">
        <v>45167</v>
      </c>
      <c r="C2162" s="49" t="s">
        <v>13</v>
      </c>
      <c r="D2162" s="49" t="s">
        <v>299</v>
      </c>
      <c r="E2162" s="119">
        <v>645185</v>
      </c>
      <c r="F2162" s="49" t="s">
        <v>89</v>
      </c>
      <c r="G2162" s="50" t="s">
        <v>89</v>
      </c>
      <c r="H2162" s="51">
        <v>90</v>
      </c>
      <c r="J2162" s="51">
        <v>5.8</v>
      </c>
      <c r="K2162" s="51">
        <f>Tabela6[[#This Row],[CONSUMO]]*Tabela6[[#This Row],[VALOR UNIT]]-Tabela6[[#This Row],[DESCONTO]]</f>
        <v>522</v>
      </c>
      <c r="L2162" s="53">
        <f>Tabela6[[#This Row],[CUSTO TOTAL]]/Tabela6[[#This Row],[CONSUMO]]</f>
        <v>5.8</v>
      </c>
      <c r="M2162" s="50">
        <f>Tabela6[[#This Row],[KM ATUAL]]-E2134</f>
        <v>504449</v>
      </c>
      <c r="N2162" s="51">
        <f>Tabela6[[#This Row],[KM Rodados ]]/Tabela6[[#This Row],[CONSUMO]]</f>
        <v>5604.9888888888891</v>
      </c>
    </row>
    <row r="2163" spans="1:14" ht="14.45" customHeight="1" x14ac:dyDescent="0.25">
      <c r="A2163" s="47">
        <v>6873</v>
      </c>
      <c r="B2163" s="78">
        <v>45167</v>
      </c>
      <c r="C2163" s="49" t="s">
        <v>23</v>
      </c>
      <c r="D2163" s="49" t="s">
        <v>299</v>
      </c>
      <c r="E2163" s="47">
        <v>241805</v>
      </c>
      <c r="F2163" s="49" t="s">
        <v>89</v>
      </c>
      <c r="G2163" s="50" t="s">
        <v>89</v>
      </c>
      <c r="H2163" s="51">
        <v>98</v>
      </c>
      <c r="J2163" s="51">
        <v>5.8</v>
      </c>
      <c r="K2163" s="51">
        <f>Tabela6[[#This Row],[CONSUMO]]*Tabela6[[#This Row],[VALOR UNIT]]-Tabela6[[#This Row],[DESCONTO]]</f>
        <v>568.4</v>
      </c>
      <c r="L2163" s="53">
        <v>0</v>
      </c>
      <c r="M2163" s="50">
        <f>Tabela6[[#This Row],[KM ATUAL]]-E2124</f>
        <v>-435294</v>
      </c>
      <c r="N2163" s="51">
        <f>Tabela6[[#This Row],[KM Rodados ]]/Tabela6[[#This Row],[CONSUMO]]</f>
        <v>-4441.7755102040819</v>
      </c>
    </row>
    <row r="2164" spans="1:14" ht="14.45" customHeight="1" x14ac:dyDescent="0.25">
      <c r="A2164" s="47">
        <v>6873</v>
      </c>
      <c r="B2164" s="78">
        <v>45167</v>
      </c>
      <c r="C2164" s="47" t="s">
        <v>74</v>
      </c>
      <c r="D2164" s="49" t="s">
        <v>299</v>
      </c>
      <c r="E2164" s="47">
        <v>72986</v>
      </c>
      <c r="F2164" s="49" t="s">
        <v>89</v>
      </c>
      <c r="G2164" s="50" t="s">
        <v>89</v>
      </c>
      <c r="H2164" s="51">
        <v>56</v>
      </c>
      <c r="J2164" s="51">
        <v>5.8</v>
      </c>
      <c r="K2164" s="51">
        <f>Tabela6[[#This Row],[CONSUMO]]*Tabela6[[#This Row],[VALOR UNIT]]-Tabela6[[#This Row],[DESCONTO]]</f>
        <v>324.8</v>
      </c>
      <c r="L2164" s="53">
        <f>Tabela6[[#This Row],[CUSTO TOTAL]]/Tabela6[[#This Row],[CONSUMO]]</f>
        <v>5.8</v>
      </c>
      <c r="M2164" s="50">
        <f>Tabela6[[#This Row],[KM ATUAL]]-E2142</f>
        <v>-229685</v>
      </c>
      <c r="N2164" s="51">
        <f>Tabela6[[#This Row],[KM Rodados ]]/Tabela6[[#This Row],[CONSUMO]]</f>
        <v>-4101.5178571428569</v>
      </c>
    </row>
    <row r="2165" spans="1:14" x14ac:dyDescent="0.25">
      <c r="A2165" s="47">
        <v>6873</v>
      </c>
      <c r="B2165" s="78">
        <v>45168</v>
      </c>
      <c r="C2165" s="47" t="s">
        <v>43</v>
      </c>
      <c r="D2165" s="49" t="s">
        <v>299</v>
      </c>
      <c r="E2165" s="47">
        <v>143887</v>
      </c>
      <c r="G2165" s="50" t="s">
        <v>89</v>
      </c>
      <c r="H2165" s="51">
        <v>15</v>
      </c>
      <c r="J2165" s="51">
        <v>5.8</v>
      </c>
      <c r="K2165" s="52">
        <f>Tabela6[[#This Row],[CONSUMO]]*Tabela6[[#This Row],[VALOR UNIT]]-Tabela6[[#This Row],[DESCONTO]]</f>
        <v>87</v>
      </c>
      <c r="L2165" s="53">
        <f>Tabela6[[#This Row],[CUSTO TOTAL]]/Tabela6[[#This Row],[CONSUMO]]</f>
        <v>5.8</v>
      </c>
      <c r="M2165" s="50">
        <f>Tabela6[[#This Row],[KM ATUAL]]-E2143</f>
        <v>-224029</v>
      </c>
      <c r="N2165" s="51">
        <f>Tabela6[[#This Row],[KM Rodados ]]/Tabela6[[#This Row],[CONSUMO]]</f>
        <v>-14935.266666666666</v>
      </c>
    </row>
    <row r="2166" spans="1:14" x14ac:dyDescent="0.25">
      <c r="A2166" s="47" t="s">
        <v>314</v>
      </c>
      <c r="B2166" s="78">
        <v>45168</v>
      </c>
      <c r="C2166" s="49" t="s">
        <v>43</v>
      </c>
      <c r="E2166" s="47">
        <v>143896</v>
      </c>
      <c r="G2166" s="50" t="s">
        <v>89</v>
      </c>
      <c r="H2166" s="51">
        <v>15</v>
      </c>
      <c r="K2166" s="52">
        <f>Tabela6[[#This Row],[CONSUMO]]*Tabela6[[#This Row],[VALOR UNIT]]-Tabela6[[#This Row],[DESCONTO]]</f>
        <v>0</v>
      </c>
      <c r="L2166" s="53">
        <f>Tabela6[[#This Row],[CUSTO TOTAL]]/Tabela6[[#This Row],[CONSUMO]]</f>
        <v>0</v>
      </c>
      <c r="M2166" s="50">
        <f>Tabela6[[#This Row],[KM ATUAL]]-E2143</f>
        <v>-224020</v>
      </c>
      <c r="N2166" s="51">
        <f>Tabela6[[#This Row],[KM Rodados ]]/Tabela6[[#This Row],[CONSUMO]]</f>
        <v>-14934.666666666666</v>
      </c>
    </row>
    <row r="2167" spans="1:14" x14ac:dyDescent="0.25">
      <c r="A2167" s="47">
        <v>656876</v>
      </c>
      <c r="B2167" s="78">
        <v>45168</v>
      </c>
      <c r="C2167" s="47" t="s">
        <v>9</v>
      </c>
      <c r="D2167" s="49" t="s">
        <v>271</v>
      </c>
      <c r="E2167" s="47">
        <v>620713</v>
      </c>
      <c r="F2167" s="50" t="s">
        <v>89</v>
      </c>
      <c r="G2167" s="50" t="s">
        <v>89</v>
      </c>
      <c r="H2167" s="50">
        <v>124</v>
      </c>
      <c r="I2167" s="51"/>
      <c r="J2167" s="51">
        <v>6.01</v>
      </c>
      <c r="K2167" s="52">
        <f>Tabela6[[#This Row],[CONSUMO]]*Tabela6[[#This Row],[VALOR UNIT]]-Tabela6[[#This Row],[DESCONTO]]</f>
        <v>745.24</v>
      </c>
      <c r="L2167" s="53">
        <f>Tabela6[[#This Row],[CUSTO TOTAL]]/Tabela6[[#This Row],[CONSUMO]]</f>
        <v>6.01</v>
      </c>
      <c r="M2167" s="50">
        <f>Tabela6[[#This Row],[KM ATUAL]]-E2140</f>
        <v>301224</v>
      </c>
      <c r="N2167" s="51">
        <f>Tabela6[[#This Row],[KM Rodados ]]/Tabela6[[#This Row],[CONSUMO]]</f>
        <v>2429.2258064516127</v>
      </c>
    </row>
    <row r="2168" spans="1:14" x14ac:dyDescent="0.25">
      <c r="A2168" s="47">
        <v>135416</v>
      </c>
      <c r="B2168" s="78">
        <v>45168</v>
      </c>
      <c r="C2168" s="47" t="s">
        <v>222</v>
      </c>
      <c r="D2168" s="49" t="s">
        <v>263</v>
      </c>
      <c r="E2168" s="47">
        <v>496964</v>
      </c>
      <c r="F2168" s="49" t="s">
        <v>241</v>
      </c>
      <c r="G2168" s="50" t="s">
        <v>241</v>
      </c>
      <c r="H2168" s="51">
        <v>38</v>
      </c>
      <c r="J2168" s="51">
        <v>3.49</v>
      </c>
      <c r="K2168" s="51">
        <f>Tabela6[[#This Row],[CONSUMO]]*Tabela6[[#This Row],[VALOR UNIT]]-Tabela6[[#This Row],[DESCONTO]]</f>
        <v>132.62</v>
      </c>
      <c r="L2168" s="53">
        <v>3.49</v>
      </c>
      <c r="M2168" s="50"/>
    </row>
    <row r="2169" spans="1:14" x14ac:dyDescent="0.25">
      <c r="A2169" s="47">
        <v>135416</v>
      </c>
      <c r="B2169" s="78">
        <v>45168</v>
      </c>
      <c r="C2169" s="47" t="s">
        <v>222</v>
      </c>
      <c r="D2169" s="49" t="s">
        <v>263</v>
      </c>
      <c r="E2169" s="47">
        <v>497964</v>
      </c>
      <c r="F2169" s="49" t="s">
        <v>89</v>
      </c>
      <c r="G2169" s="50" t="s">
        <v>89</v>
      </c>
      <c r="H2169" s="51">
        <v>326.08100000000002</v>
      </c>
      <c r="I2169" s="49">
        <v>32.61</v>
      </c>
      <c r="J2169" s="51">
        <v>6.09</v>
      </c>
      <c r="K2169" s="51">
        <f>Tabela6[[#This Row],[CONSUMO]]*Tabela6[[#This Row],[VALOR UNIT]]-Tabela6[[#This Row],[DESCONTO]]</f>
        <v>1953.2232900000001</v>
      </c>
      <c r="L2169" s="53">
        <v>5.989994173226898</v>
      </c>
      <c r="M2169" s="50">
        <f>Tabela6[[#This Row],[KM ATUAL]]-E2151</f>
        <v>-412968</v>
      </c>
      <c r="N2169" s="84">
        <f>Tabela6[[#This Row],[KM Rodados ]]/Tabela6[[#This Row],[CONSUMO]]</f>
        <v>-1266.4583339722337</v>
      </c>
    </row>
    <row r="2170" spans="1:14" x14ac:dyDescent="0.25">
      <c r="A2170" s="47">
        <v>6873</v>
      </c>
      <c r="B2170" s="78">
        <v>45168</v>
      </c>
      <c r="C2170" s="49" t="s">
        <v>73</v>
      </c>
      <c r="D2170" s="49" t="s">
        <v>299</v>
      </c>
      <c r="E2170" s="47">
        <v>141566</v>
      </c>
      <c r="F2170" s="49" t="s">
        <v>89</v>
      </c>
      <c r="G2170" s="50" t="s">
        <v>89</v>
      </c>
      <c r="H2170" s="51">
        <v>160</v>
      </c>
      <c r="J2170" s="51">
        <v>5.8</v>
      </c>
      <c r="K2170" s="52">
        <f>Tabela6[[#This Row],[CONSUMO]]*Tabela6[[#This Row],[VALOR UNIT]]-Tabela6[[#This Row],[DESCONTO]]</f>
        <v>928</v>
      </c>
      <c r="L2170" s="53">
        <f>Tabela6[[#This Row],[CUSTO TOTAL]]/Tabela6[[#This Row],[CONSUMO]]</f>
        <v>5.8</v>
      </c>
      <c r="M2170" s="50">
        <f>Tabela6[[#This Row],[KM ATUAL]]-E2143</f>
        <v>-226350</v>
      </c>
      <c r="N2170" s="51">
        <f>Tabela6[[#This Row],[KM Rodados ]]/Tabela6[[#This Row],[CONSUMO]]</f>
        <v>-1414.6875</v>
      </c>
    </row>
    <row r="2171" spans="1:14" x14ac:dyDescent="0.25">
      <c r="A2171" s="47">
        <v>6873</v>
      </c>
      <c r="B2171" s="78">
        <v>45168</v>
      </c>
      <c r="C2171" s="49" t="s">
        <v>71</v>
      </c>
      <c r="D2171" s="49" t="s">
        <v>299</v>
      </c>
      <c r="E2171" s="47">
        <v>121055</v>
      </c>
      <c r="F2171" s="49" t="s">
        <v>89</v>
      </c>
      <c r="G2171" s="50" t="s">
        <v>89</v>
      </c>
      <c r="H2171" s="51">
        <v>530</v>
      </c>
      <c r="J2171" s="51">
        <v>5.8</v>
      </c>
      <c r="K2171" s="51">
        <f>Tabela6[[#This Row],[CONSUMO]]*Tabela6[[#This Row],[VALOR UNIT]]-Tabela6[[#This Row],[DESCONTO]]</f>
        <v>3074</v>
      </c>
      <c r="L2171" s="53">
        <f>Tabela6[[#This Row],[CUSTO TOTAL]]/Tabela6[[#This Row],[CONSUMO]]</f>
        <v>5.8</v>
      </c>
      <c r="M2171" s="50">
        <f>Tabela6[[#This Row],[KM ATUAL]]-E2051</f>
        <v>50474</v>
      </c>
      <c r="N2171" s="51">
        <f>Tabela6[[#This Row],[KM Rodados ]]/Tabela6[[#This Row],[CONSUMO]]</f>
        <v>95.233962264150946</v>
      </c>
    </row>
    <row r="2172" spans="1:14" x14ac:dyDescent="0.25">
      <c r="A2172" s="47">
        <v>25163</v>
      </c>
      <c r="B2172" s="78">
        <v>45168</v>
      </c>
      <c r="C2172" s="49" t="s">
        <v>64</v>
      </c>
      <c r="D2172" s="49" t="s">
        <v>253</v>
      </c>
      <c r="E2172" s="47">
        <v>90366</v>
      </c>
      <c r="F2172" s="49" t="s">
        <v>89</v>
      </c>
      <c r="G2172" s="50" t="s">
        <v>89</v>
      </c>
      <c r="H2172" s="51">
        <v>194.6</v>
      </c>
      <c r="J2172" s="51">
        <v>5.99</v>
      </c>
      <c r="K2172" s="51">
        <f>Tabela6[[#This Row],[CONSUMO]]*Tabela6[[#This Row],[VALOR UNIT]]-Tabela6[[#This Row],[DESCONTO]]</f>
        <v>1165.654</v>
      </c>
      <c r="L2172" s="53">
        <f>Tabela6[[#This Row],[CUSTO TOTAL]]/Tabela6[[#This Row],[CONSUMO]]</f>
        <v>5.99</v>
      </c>
      <c r="M2172" s="50">
        <f>Tabela6[[#This Row],[KM ATUAL]]-E2149</f>
        <v>17641</v>
      </c>
      <c r="N2172" s="51">
        <f>Tabela6[[#This Row],[KM Rodados ]]/Tabela6[[#This Row],[CONSUMO]]</f>
        <v>90.652620760534433</v>
      </c>
    </row>
    <row r="2173" spans="1:14" x14ac:dyDescent="0.25">
      <c r="A2173" s="47">
        <v>25064</v>
      </c>
      <c r="B2173" s="78">
        <v>45168</v>
      </c>
      <c r="C2173" s="49" t="s">
        <v>12</v>
      </c>
      <c r="D2173" s="49" t="s">
        <v>253</v>
      </c>
      <c r="E2173" s="47">
        <v>319776</v>
      </c>
      <c r="F2173" s="49" t="s">
        <v>89</v>
      </c>
      <c r="G2173" s="50" t="s">
        <v>89</v>
      </c>
      <c r="H2173" s="51">
        <v>118.4</v>
      </c>
      <c r="J2173" s="51">
        <v>5.99</v>
      </c>
      <c r="K2173" s="51">
        <f>Tabela6[[#This Row],[CONSUMO]]*Tabela6[[#This Row],[VALOR UNIT]]-Tabela6[[#This Row],[DESCONTO]]</f>
        <v>709.21600000000001</v>
      </c>
      <c r="L2173" s="53">
        <f>Tabela6[[#This Row],[CUSTO TOTAL]]/Tabela6[[#This Row],[CONSUMO]]</f>
        <v>5.99</v>
      </c>
      <c r="M2173" s="50">
        <f>Tabela6[[#This Row],[KM ATUAL]]-E2133</f>
        <v>92152</v>
      </c>
      <c r="N2173" s="51">
        <f>Tabela6[[#This Row],[KM Rodados ]]/Tabela6[[#This Row],[CONSUMO]]</f>
        <v>778.31081081081072</v>
      </c>
    </row>
    <row r="2174" spans="1:14" x14ac:dyDescent="0.25">
      <c r="A2174" s="47">
        <v>331401</v>
      </c>
      <c r="B2174" s="78">
        <v>45168</v>
      </c>
      <c r="C2174" s="49" t="s">
        <v>13</v>
      </c>
      <c r="D2174" s="49" t="s">
        <v>320</v>
      </c>
      <c r="E2174" s="119">
        <v>645610</v>
      </c>
      <c r="F2174" s="49" t="s">
        <v>89</v>
      </c>
      <c r="G2174" s="50" t="s">
        <v>89</v>
      </c>
      <c r="H2174" s="51">
        <v>83.53</v>
      </c>
      <c r="I2174" s="49">
        <v>22.49</v>
      </c>
      <c r="J2174" s="51">
        <v>6.02</v>
      </c>
      <c r="K2174" s="51">
        <f>Tabela6[[#This Row],[CONSUMO]]*Tabela6[[#This Row],[VALOR UNIT]]-Tabela6[[#This Row],[DESCONTO]]</f>
        <v>480.36059999999998</v>
      </c>
      <c r="L2174" s="53">
        <f>Tabela6[[#This Row],[CUSTO TOTAL]]/Tabela6[[#This Row],[CONSUMO]]</f>
        <v>5.7507554172153714</v>
      </c>
      <c r="M2174" s="50">
        <f>Tabela6[[#This Row],[KM ATUAL]]-E2171</f>
        <v>524555</v>
      </c>
      <c r="N2174" s="51">
        <f>Tabela6[[#This Row],[KM Rodados ]]/Tabela6[[#This Row],[CONSUMO]]</f>
        <v>6279.8395785945168</v>
      </c>
    </row>
    <row r="2175" spans="1:14" x14ac:dyDescent="0.25">
      <c r="A2175" s="47">
        <v>204237</v>
      </c>
      <c r="B2175" s="78">
        <v>45168</v>
      </c>
      <c r="C2175" s="49" t="s">
        <v>14</v>
      </c>
      <c r="D2175" s="49" t="s">
        <v>262</v>
      </c>
      <c r="E2175" s="47">
        <v>293187</v>
      </c>
      <c r="F2175" s="49" t="s">
        <v>244</v>
      </c>
      <c r="G2175" s="50" t="s">
        <v>244</v>
      </c>
      <c r="H2175" s="51">
        <v>40.6</v>
      </c>
      <c r="J2175" s="51">
        <v>5.69</v>
      </c>
      <c r="K2175" s="52">
        <f>Tabela6[[#This Row],[CONSUMO]]*Tabela6[[#This Row],[VALOR UNIT]]-Tabela6[[#This Row],[DESCONTO]]</f>
        <v>231.01400000000001</v>
      </c>
      <c r="L2175" s="53">
        <v>5.69</v>
      </c>
      <c r="M2175" s="50">
        <f>Tabela6[[#This Row],[KM ATUAL]]-E2128</f>
        <v>150101</v>
      </c>
      <c r="N2175" s="51">
        <f>Tabela6[[#This Row],[KM Rodados ]]/Tabela6[[#This Row],[CONSUMO]]</f>
        <v>3697.0689655172414</v>
      </c>
    </row>
    <row r="2176" spans="1:14" x14ac:dyDescent="0.25">
      <c r="A2176" s="47">
        <v>656657</v>
      </c>
      <c r="B2176" s="78">
        <v>45168</v>
      </c>
      <c r="C2176" s="49" t="s">
        <v>20</v>
      </c>
      <c r="D2176" s="49" t="s">
        <v>271</v>
      </c>
      <c r="E2176" s="47">
        <v>268677</v>
      </c>
      <c r="F2176" s="49" t="s">
        <v>89</v>
      </c>
      <c r="G2176" s="50" t="s">
        <v>89</v>
      </c>
      <c r="H2176" s="51">
        <v>70.25</v>
      </c>
      <c r="J2176" s="51">
        <v>5.99</v>
      </c>
      <c r="K2176" s="52">
        <f>Tabela6[[#This Row],[CONSUMO]]*Tabela6[[#This Row],[VALOR UNIT]]-Tabela6[[#This Row],[DESCONTO]]</f>
        <v>420.79750000000001</v>
      </c>
      <c r="L2176" s="53">
        <f>Tabela6[[#This Row],[CUSTO TOTAL]]/Tabela6[[#This Row],[CONSUMO]]</f>
        <v>5.99</v>
      </c>
      <c r="M2176" s="50">
        <f>Tabela6[[#This Row],[KM ATUAL]]-E2152</f>
        <v>124906</v>
      </c>
      <c r="N2176" s="51">
        <f>Tabela6[[#This Row],[KM Rodados ]]/Tabela6[[#This Row],[CONSUMO]]</f>
        <v>1778.0213523131672</v>
      </c>
    </row>
    <row r="2177" spans="1:14" x14ac:dyDescent="0.25">
      <c r="A2177" s="47" t="s">
        <v>314</v>
      </c>
      <c r="B2177" s="78">
        <v>45168</v>
      </c>
      <c r="C2177" s="47" t="s">
        <v>23</v>
      </c>
      <c r="E2177" s="47">
        <v>242209</v>
      </c>
      <c r="G2177" s="50" t="s">
        <v>89</v>
      </c>
      <c r="H2177" s="51">
        <v>84.56</v>
      </c>
      <c r="K2177" s="52">
        <f>Tabela6[[#This Row],[CONSUMO]]*Tabela6[[#This Row],[VALOR UNIT]]-Tabela6[[#This Row],[DESCONTO]]</f>
        <v>0</v>
      </c>
      <c r="L2177" s="53">
        <f>Tabela6[[#This Row],[CUSTO TOTAL]]/Tabela6[[#This Row],[CONSUMO]]</f>
        <v>0</v>
      </c>
      <c r="M2177" s="50">
        <f>Tabela6[[#This Row],[KM ATUAL]]-E2155</f>
        <v>-435260</v>
      </c>
      <c r="N2177" s="51">
        <f>Tabela6[[#This Row],[KM Rodados ]]/Tabela6[[#This Row],[CONSUMO]]</f>
        <v>-5147.3509933774831</v>
      </c>
    </row>
    <row r="2178" spans="1:14" x14ac:dyDescent="0.25">
      <c r="A2178" s="47">
        <v>135596</v>
      </c>
      <c r="B2178" s="78">
        <v>45169</v>
      </c>
      <c r="C2178" s="49" t="s">
        <v>68</v>
      </c>
      <c r="D2178" s="49" t="s">
        <v>263</v>
      </c>
      <c r="E2178" s="47">
        <v>911818</v>
      </c>
      <c r="F2178" s="49" t="s">
        <v>89</v>
      </c>
      <c r="G2178" s="50" t="s">
        <v>89</v>
      </c>
      <c r="H2178" s="51">
        <v>352</v>
      </c>
      <c r="I2178" s="49">
        <v>35.200000000000003</v>
      </c>
      <c r="J2178" s="51">
        <v>6.09</v>
      </c>
      <c r="K2178" s="51">
        <f>Tabela6[[#This Row],[CONSUMO]]*Tabela6[[#This Row],[VALOR UNIT]]-Tabela6[[#This Row],[DESCONTO]]</f>
        <v>2108.48</v>
      </c>
      <c r="L2178" s="53">
        <f>Tabela6[[#This Row],[CUSTO TOTAL]]/Tabela6[[#This Row],[CONSUMO]]</f>
        <v>5.99</v>
      </c>
      <c r="M2178" s="50">
        <f>Tabela6[[#This Row],[KM ATUAL]]-E2164</f>
        <v>838832</v>
      </c>
      <c r="N2178" s="51">
        <f>Tabela6[[#This Row],[KM Rodados ]]/Tabela6[[#This Row],[CONSUMO]]</f>
        <v>2383.0454545454545</v>
      </c>
    </row>
    <row r="2179" spans="1:14" x14ac:dyDescent="0.25">
      <c r="A2179" s="47">
        <v>135463</v>
      </c>
      <c r="B2179" s="78">
        <v>45169</v>
      </c>
      <c r="C2179" s="49" t="s">
        <v>43</v>
      </c>
      <c r="D2179" s="49" t="s">
        <v>263</v>
      </c>
      <c r="E2179" s="47">
        <v>144098</v>
      </c>
      <c r="F2179" s="49" t="s">
        <v>89</v>
      </c>
      <c r="G2179" s="50" t="s">
        <v>89</v>
      </c>
      <c r="H2179" s="51">
        <v>26.440999999999999</v>
      </c>
      <c r="I2179" s="49">
        <v>2.64</v>
      </c>
      <c r="J2179" s="51">
        <v>6.09</v>
      </c>
      <c r="K2179" s="51">
        <f>Tabela6[[#This Row],[CONSUMO]]*Tabela6[[#This Row],[VALOR UNIT]]-Tabela6[[#This Row],[DESCONTO]]</f>
        <v>158.38569000000001</v>
      </c>
      <c r="L2179" s="53">
        <v>5.89</v>
      </c>
      <c r="M2179" s="50">
        <f>Tabela6[[#This Row],[KM ATUAL]]-E2176</f>
        <v>-124579</v>
      </c>
      <c r="N2179" s="51">
        <f>Tabela6[[#This Row],[KM Rodados ]]/Tabela6[[#This Row],[CONSUMO]]</f>
        <v>-4711.5842819863092</v>
      </c>
    </row>
    <row r="2180" spans="1:14" x14ac:dyDescent="0.25">
      <c r="A2180" s="47">
        <v>501064</v>
      </c>
      <c r="B2180" s="78">
        <v>45169</v>
      </c>
      <c r="C2180" s="49" t="s">
        <v>43</v>
      </c>
      <c r="D2180" s="49" t="s">
        <v>257</v>
      </c>
      <c r="E2180" s="47">
        <v>144324</v>
      </c>
      <c r="F2180" s="49" t="s">
        <v>89</v>
      </c>
      <c r="G2180" s="50" t="s">
        <v>89</v>
      </c>
      <c r="H2180" s="51">
        <v>30</v>
      </c>
      <c r="J2180" s="51">
        <v>5.89</v>
      </c>
      <c r="K2180" s="51">
        <f>Tabela6[[#This Row],[CONSUMO]]*Tabela6[[#This Row],[VALOR UNIT]]-Tabela6[[#This Row],[DESCONTO]]</f>
        <v>176.7</v>
      </c>
      <c r="L2180" s="53">
        <v>5.9901550622139865</v>
      </c>
      <c r="M2180" s="50">
        <f>Tabela6[[#This Row],[KM ATUAL]]-E2179</f>
        <v>226</v>
      </c>
      <c r="N2180" s="51">
        <f>Tabela6[[#This Row],[KM Rodados ]]/Tabela6[[#This Row],[CONSUMO]]</f>
        <v>7.5333333333333332</v>
      </c>
    </row>
    <row r="2181" spans="1:14" x14ac:dyDescent="0.25">
      <c r="A2181" s="47">
        <v>6873</v>
      </c>
      <c r="B2181" s="78">
        <v>45169</v>
      </c>
      <c r="C2181" s="47" t="s">
        <v>67</v>
      </c>
      <c r="D2181" s="49" t="s">
        <v>299</v>
      </c>
      <c r="E2181" s="47">
        <v>677930</v>
      </c>
      <c r="G2181" s="50" t="s">
        <v>89</v>
      </c>
      <c r="H2181" s="51">
        <v>113</v>
      </c>
      <c r="J2181" s="51">
        <v>5.8</v>
      </c>
      <c r="K2181" s="52">
        <f>Tabela6[[#This Row],[CONSUMO]]*Tabela6[[#This Row],[VALOR UNIT]]-Tabela6[[#This Row],[DESCONTO]]</f>
        <v>655.4</v>
      </c>
      <c r="L2181" s="53">
        <f>Tabela6[[#This Row],[CUSTO TOTAL]]/Tabela6[[#This Row],[CONSUMO]]</f>
        <v>5.8</v>
      </c>
      <c r="M2181" s="50">
        <f>Tabela6[[#This Row],[KM ATUAL]]-E2161</f>
        <v>278347</v>
      </c>
      <c r="N2181" s="51">
        <f>Tabela6[[#This Row],[KM Rodados ]]/Tabela6[[#This Row],[CONSUMO]]</f>
        <v>2463.2477876106195</v>
      </c>
    </row>
    <row r="2182" spans="1:14" x14ac:dyDescent="0.25">
      <c r="A2182" s="47">
        <v>6981</v>
      </c>
      <c r="B2182" s="78">
        <v>45169</v>
      </c>
      <c r="C2182" s="47" t="s">
        <v>72</v>
      </c>
      <c r="D2182" s="49" t="s">
        <v>299</v>
      </c>
      <c r="E2182" s="47">
        <v>411255</v>
      </c>
      <c r="G2182" s="50" t="s">
        <v>89</v>
      </c>
      <c r="H2182" s="51">
        <v>12</v>
      </c>
      <c r="J2182" s="51">
        <v>5.95</v>
      </c>
      <c r="K2182" s="52">
        <f>Tabela6[[#This Row],[CONSUMO]]*Tabela6[[#This Row],[VALOR UNIT]]-Tabela6[[#This Row],[DESCONTO]]</f>
        <v>71.400000000000006</v>
      </c>
      <c r="L2182" s="53">
        <f>Tabela6[[#This Row],[CUSTO TOTAL]]/Tabela6[[#This Row],[CONSUMO]]</f>
        <v>5.95</v>
      </c>
      <c r="M2182" s="50">
        <f>Tabela6[[#This Row],[KM ATUAL]]-E2159</f>
        <v>190227</v>
      </c>
      <c r="N2182" s="84">
        <f>Tabela6[[#This Row],[KM Rodados ]]/Tabela6[[#This Row],[CONSUMO]]</f>
        <v>15852.25</v>
      </c>
    </row>
    <row r="2183" spans="1:14" x14ac:dyDescent="0.25">
      <c r="A2183" s="47">
        <v>6873</v>
      </c>
      <c r="B2183" s="78">
        <v>45169</v>
      </c>
      <c r="C2183" s="47" t="s">
        <v>41</v>
      </c>
      <c r="D2183" s="49" t="s">
        <v>299</v>
      </c>
      <c r="E2183" s="47">
        <v>673558</v>
      </c>
      <c r="G2183" s="50" t="s">
        <v>89</v>
      </c>
      <c r="H2183" s="51">
        <v>103</v>
      </c>
      <c r="J2183" s="51">
        <v>5.8</v>
      </c>
      <c r="K2183" s="52">
        <f>Tabela6[[#This Row],[CONSUMO]]*Tabela6[[#This Row],[VALOR UNIT]]-Tabela6[[#This Row],[DESCONTO]]</f>
        <v>597.4</v>
      </c>
      <c r="L2183" s="53">
        <f>Tabela6[[#This Row],[CUSTO TOTAL]]/Tabela6[[#This Row],[CONSUMO]]</f>
        <v>5.8</v>
      </c>
      <c r="M2183" s="50">
        <f>Tabela6[[#This Row],[KM ATUAL]]-E2131</f>
        <v>302679</v>
      </c>
      <c r="N2183" s="51">
        <f>Tabela6[[#This Row],[KM Rodados ]]/Tabela6[[#This Row],[CONSUMO]]</f>
        <v>2938.6310679611652</v>
      </c>
    </row>
    <row r="2184" spans="1:14" x14ac:dyDescent="0.25">
      <c r="A2184" s="47">
        <v>126891</v>
      </c>
      <c r="B2184" s="78">
        <v>45169</v>
      </c>
      <c r="C2184" s="47" t="s">
        <v>206</v>
      </c>
      <c r="D2184" s="49" t="s">
        <v>237</v>
      </c>
      <c r="E2184" s="47">
        <v>959167</v>
      </c>
      <c r="F2184" s="50" t="s">
        <v>89</v>
      </c>
      <c r="G2184" s="50" t="s">
        <v>89</v>
      </c>
      <c r="H2184" s="50">
        <v>478.00700000000001</v>
      </c>
      <c r="I2184" s="51"/>
      <c r="J2184" s="51">
        <v>6.14</v>
      </c>
      <c r="K2184" s="52">
        <f>Tabela6[[#This Row],[CONSUMO]]*Tabela6[[#This Row],[VALOR UNIT]]-Tabela6[[#This Row],[DESCONTO]]</f>
        <v>2934.9629799999998</v>
      </c>
      <c r="L2184" s="53">
        <f>Tabela6[[#This Row],[CUSTO TOTAL]]/Tabela6[[#This Row],[CONSUMO]]</f>
        <v>6.14</v>
      </c>
      <c r="M2184" s="50">
        <f>Tabela6[[#This Row],[KM ATUAL]]-E2118</f>
        <v>666466</v>
      </c>
      <c r="N2184" s="51">
        <f>Tabela6[[#This Row],[KM Rodados ]]/Tabela6[[#This Row],[CONSUMO]]</f>
        <v>1394.2599166957807</v>
      </c>
    </row>
    <row r="2185" spans="1:14" x14ac:dyDescent="0.25">
      <c r="A2185" s="47">
        <v>1313982</v>
      </c>
      <c r="B2185" s="78">
        <v>45169</v>
      </c>
      <c r="C2185" s="49" t="s">
        <v>12</v>
      </c>
      <c r="D2185" s="49" t="s">
        <v>305</v>
      </c>
      <c r="E2185" s="47">
        <v>320196</v>
      </c>
      <c r="F2185" s="49" t="s">
        <v>89</v>
      </c>
      <c r="G2185" s="50" t="s">
        <v>89</v>
      </c>
      <c r="H2185" s="51">
        <v>85</v>
      </c>
      <c r="J2185" s="51">
        <v>5.82</v>
      </c>
      <c r="K2185" s="51">
        <f>Tabela6[[#This Row],[CONSUMO]]*Tabela6[[#This Row],[VALOR UNIT]]-Tabela6[[#This Row],[DESCONTO]]</f>
        <v>494.70000000000005</v>
      </c>
      <c r="L2185" s="53">
        <f>Tabela6[[#This Row],[CUSTO TOTAL]]/Tabela6[[#This Row],[CONSUMO]]</f>
        <v>5.82</v>
      </c>
      <c r="M2185" s="50">
        <f>Tabela6[[#This Row],[KM ATUAL]]-E2174</f>
        <v>-325414</v>
      </c>
      <c r="N2185" s="51">
        <f>Tabela6[[#This Row],[KM Rodados ]]/Tabela6[[#This Row],[CONSUMO]]</f>
        <v>-3828.4</v>
      </c>
    </row>
    <row r="2186" spans="1:14" x14ac:dyDescent="0.25">
      <c r="A2186" s="47">
        <v>6981</v>
      </c>
      <c r="B2186" s="78">
        <v>45169</v>
      </c>
      <c r="C2186" s="47" t="s">
        <v>13</v>
      </c>
      <c r="D2186" s="49" t="s">
        <v>299</v>
      </c>
      <c r="E2186" s="47">
        <v>645899</v>
      </c>
      <c r="G2186" s="50" t="s">
        <v>89</v>
      </c>
      <c r="H2186" s="51">
        <v>75</v>
      </c>
      <c r="J2186" s="51">
        <v>5.95</v>
      </c>
      <c r="K2186" s="52">
        <f>Tabela6[[#This Row],[CONSUMO]]*Tabela6[[#This Row],[VALOR UNIT]]-Tabela6[[#This Row],[DESCONTO]]</f>
        <v>446.25</v>
      </c>
      <c r="L2186" s="53">
        <f>Tabela6[[#This Row],[CUSTO TOTAL]]/Tabela6[[#This Row],[CONSUMO]]</f>
        <v>5.95</v>
      </c>
      <c r="M2186" s="50">
        <f>Tabela6[[#This Row],[KM ATUAL]]-E2165</f>
        <v>502012</v>
      </c>
      <c r="N2186" s="51">
        <f>Tabela6[[#This Row],[KM Rodados ]]/Tabela6[[#This Row],[CONSUMO]]</f>
        <v>6693.4933333333329</v>
      </c>
    </row>
    <row r="2187" spans="1:14" x14ac:dyDescent="0.25">
      <c r="A2187" s="47">
        <v>6981</v>
      </c>
      <c r="B2187" s="78">
        <v>45169</v>
      </c>
      <c r="C2187" s="47" t="s">
        <v>15</v>
      </c>
      <c r="D2187" s="49" t="s">
        <v>299</v>
      </c>
      <c r="E2187" s="47">
        <v>380568</v>
      </c>
      <c r="G2187" s="50" t="s">
        <v>89</v>
      </c>
      <c r="H2187" s="51">
        <v>80</v>
      </c>
      <c r="J2187" s="51">
        <v>5.95</v>
      </c>
      <c r="K2187" s="52">
        <f>Tabela6[[#This Row],[CONSUMO]]*Tabela6[[#This Row],[VALOR UNIT]]-Tabela6[[#This Row],[DESCONTO]]</f>
        <v>476</v>
      </c>
      <c r="L2187" s="53">
        <f>Tabela6[[#This Row],[CUSTO TOTAL]]/Tabela6[[#This Row],[CONSUMO]]</f>
        <v>5.95</v>
      </c>
      <c r="M2187" s="50">
        <f>Tabela6[[#This Row],[KM ATUAL]]-E2064</f>
        <v>78367</v>
      </c>
      <c r="N2187" s="85">
        <f>Tabela6[[#This Row],[KM Rodados ]]/Tabela6[[#This Row],[CONSUMO]]</f>
        <v>979.58749999999998</v>
      </c>
    </row>
    <row r="2188" spans="1:14" x14ac:dyDescent="0.25">
      <c r="A2188" s="47">
        <v>135511</v>
      </c>
      <c r="B2188" s="78">
        <v>45169</v>
      </c>
      <c r="C2188" s="47" t="s">
        <v>19</v>
      </c>
      <c r="D2188" s="49" t="s">
        <v>263</v>
      </c>
      <c r="E2188" s="47">
        <v>324398</v>
      </c>
      <c r="F2188" s="49" t="s">
        <v>89</v>
      </c>
      <c r="G2188" s="50" t="s">
        <v>89</v>
      </c>
      <c r="H2188" s="51">
        <v>125.16</v>
      </c>
      <c r="I2188" s="49">
        <v>12.522</v>
      </c>
      <c r="J2188" s="51">
        <v>6.09</v>
      </c>
      <c r="K2188" s="51">
        <f>Tabela6[[#This Row],[CONSUMO]]*Tabela6[[#This Row],[VALOR UNIT]]-Tabela6[[#This Row],[DESCONTO]]</f>
        <v>749.7023999999999</v>
      </c>
      <c r="L2188" s="53">
        <f>Tabela6[[#This Row],[CUSTO TOTAL]]/Tabela6[[#This Row],[CONSUMO]]</f>
        <v>5.989952061361457</v>
      </c>
      <c r="M2188" s="50">
        <f>Tabela6[[#This Row],[KM ATUAL]]-E2136</f>
        <v>234703</v>
      </c>
      <c r="N2188" s="51">
        <f>Tabela6[[#This Row],[KM Rodados ]]/Tabela6[[#This Row],[CONSUMO]]</f>
        <v>1875.2237136465326</v>
      </c>
    </row>
    <row r="2189" spans="1:14" x14ac:dyDescent="0.25">
      <c r="A2189" s="47">
        <v>6981</v>
      </c>
      <c r="B2189" s="78">
        <v>45169</v>
      </c>
      <c r="C2189" s="47" t="s">
        <v>20</v>
      </c>
      <c r="D2189" s="49" t="s">
        <v>299</v>
      </c>
      <c r="E2189" s="47">
        <v>269096</v>
      </c>
      <c r="G2189" s="50" t="s">
        <v>89</v>
      </c>
      <c r="H2189" s="51">
        <v>43</v>
      </c>
      <c r="J2189" s="51">
        <v>5.95</v>
      </c>
      <c r="K2189" s="52">
        <f>Tabela6[[#This Row],[CONSUMO]]*Tabela6[[#This Row],[VALOR UNIT]]-Tabela6[[#This Row],[DESCONTO]]</f>
        <v>255.85</v>
      </c>
      <c r="L2189" s="53">
        <f>Tabela6[[#This Row],[CUSTO TOTAL]]/Tabela6[[#This Row],[CONSUMO]]</f>
        <v>5.95</v>
      </c>
      <c r="M2189" s="50">
        <f>Tabela6[[#This Row],[KM ATUAL]]-E2170</f>
        <v>127530</v>
      </c>
      <c r="N2189" s="51">
        <f>Tabela6[[#This Row],[KM Rodados ]]/Tabela6[[#This Row],[CONSUMO]]</f>
        <v>2965.8139534883721</v>
      </c>
    </row>
    <row r="2190" spans="1:14" x14ac:dyDescent="0.25">
      <c r="A2190" s="47">
        <v>6873</v>
      </c>
      <c r="B2190" s="78">
        <v>45169</v>
      </c>
      <c r="C2190" s="47" t="s">
        <v>23</v>
      </c>
      <c r="D2190" s="49" t="s">
        <v>299</v>
      </c>
      <c r="E2190" s="47">
        <v>242659</v>
      </c>
      <c r="G2190" s="50" t="s">
        <v>89</v>
      </c>
      <c r="H2190" s="51">
        <v>93</v>
      </c>
      <c r="J2190" s="51">
        <v>5.8</v>
      </c>
      <c r="K2190" s="52">
        <f>Tabela6[[#This Row],[CONSUMO]]*Tabela6[[#This Row],[VALOR UNIT]]-Tabela6[[#This Row],[DESCONTO]]</f>
        <v>539.4</v>
      </c>
      <c r="L2190" s="53">
        <f>Tabela6[[#This Row],[CUSTO TOTAL]]/Tabela6[[#This Row],[CONSUMO]]</f>
        <v>5.8</v>
      </c>
      <c r="M2190" s="50">
        <f>Tabela6[[#This Row],[KM ATUAL]]-E2189</f>
        <v>-26437</v>
      </c>
      <c r="N2190" s="51">
        <f>Tabela6[[#This Row],[KM Rodados ]]/Tabela6[[#This Row],[CONSUMO]]</f>
        <v>-284.26881720430106</v>
      </c>
    </row>
    <row r="2191" spans="1:14" x14ac:dyDescent="0.25">
      <c r="A2191" s="47">
        <v>204338</v>
      </c>
      <c r="B2191" s="78">
        <v>45169</v>
      </c>
      <c r="C2191" s="49" t="s">
        <v>40</v>
      </c>
      <c r="D2191" s="49" t="s">
        <v>262</v>
      </c>
      <c r="E2191" s="47">
        <v>154559</v>
      </c>
      <c r="G2191" s="50" t="s">
        <v>244</v>
      </c>
      <c r="H2191" s="51">
        <v>27.81</v>
      </c>
      <c r="J2191" s="51">
        <v>5.69</v>
      </c>
      <c r="K2191" s="52">
        <f>Tabela6[[#This Row],[CONSUMO]]*Tabela6[[#This Row],[VALOR UNIT]]-Tabela6[[#This Row],[DESCONTO]]</f>
        <v>158.2389</v>
      </c>
      <c r="L2191" s="53">
        <f>Tabela6[[#This Row],[CUSTO TOTAL]]/Tabela6[[#This Row],[CONSUMO]]</f>
        <v>5.69</v>
      </c>
      <c r="M2191" s="50" t="e">
        <f>Tabela6[[#This Row],[KM ATUAL]]-#REF!</f>
        <v>#REF!</v>
      </c>
      <c r="N2191" s="51" t="e">
        <f>Tabela6[[#This Row],[KM Rodados ]]/Tabela6[[#This Row],[CONSUMO]]</f>
        <v>#REF!</v>
      </c>
    </row>
    <row r="2192" spans="1:14" x14ac:dyDescent="0.25">
      <c r="A2192" s="47">
        <v>1508</v>
      </c>
      <c r="B2192" s="78">
        <v>45169</v>
      </c>
      <c r="C2192" s="47" t="s">
        <v>74</v>
      </c>
      <c r="D2192" s="49" t="s">
        <v>250</v>
      </c>
      <c r="E2192" s="47">
        <v>73424</v>
      </c>
      <c r="F2192" s="49" t="s">
        <v>89</v>
      </c>
      <c r="G2192" s="50" t="s">
        <v>89</v>
      </c>
      <c r="H2192" s="51">
        <v>70.510000000000005</v>
      </c>
      <c r="J2192" s="51">
        <v>6.29</v>
      </c>
      <c r="K2192" s="51">
        <f>Tabela6[[#This Row],[CONSUMO]]*Tabela6[[#This Row],[VALOR UNIT]]-Tabela6[[#This Row],[DESCONTO]]</f>
        <v>443.50790000000001</v>
      </c>
      <c r="L2192" s="53">
        <f>Tabela6[[#This Row],[CUSTO TOTAL]]/Tabela6[[#This Row],[CONSUMO]]</f>
        <v>6.29</v>
      </c>
      <c r="M2192" s="50">
        <f>Tabela6[[#This Row],[KM ATUAL]]-E2177</f>
        <v>-168785</v>
      </c>
      <c r="N2192" s="51">
        <f>Tabela6[[#This Row],[KM Rodados ]]/Tabela6[[#This Row],[CONSUMO]]</f>
        <v>-2393.7739327754925</v>
      </c>
    </row>
    <row r="2193" spans="1:14" x14ac:dyDescent="0.25">
      <c r="A2193" s="47">
        <v>26657</v>
      </c>
      <c r="B2193" s="78">
        <v>45170</v>
      </c>
      <c r="C2193" s="47" t="s">
        <v>42</v>
      </c>
      <c r="D2193" s="49" t="s">
        <v>253</v>
      </c>
      <c r="E2193" s="47">
        <v>371402</v>
      </c>
      <c r="F2193" s="49" t="s">
        <v>89</v>
      </c>
      <c r="G2193" s="50" t="s">
        <v>89</v>
      </c>
      <c r="H2193" s="51">
        <v>73.84</v>
      </c>
      <c r="J2193" s="51">
        <v>5.99</v>
      </c>
      <c r="K2193" s="51">
        <f>Tabela6[[#This Row],[CONSUMO]]*Tabela6[[#This Row],[VALOR UNIT]]-Tabela6[[#This Row],[DESCONTO]]</f>
        <v>442.30160000000006</v>
      </c>
      <c r="L2193" s="53">
        <v>5.99</v>
      </c>
      <c r="M2193" s="50">
        <f>Tabela6[[#This Row],[KM ATUAL]]-E2141</f>
        <v>-273385</v>
      </c>
      <c r="N2193" s="51">
        <f>Tabela6[[#This Row],[KM Rodados ]]/Tabela6[[#This Row],[CONSUMO]]</f>
        <v>-3702.3970747562294</v>
      </c>
    </row>
    <row r="2194" spans="1:14" x14ac:dyDescent="0.25">
      <c r="A2194" s="47" t="s">
        <v>314</v>
      </c>
      <c r="B2194" s="78">
        <v>45170</v>
      </c>
      <c r="C2194" s="47" t="s">
        <v>70</v>
      </c>
      <c r="E2194" s="47">
        <v>222852</v>
      </c>
      <c r="F2194" s="50"/>
      <c r="G2194" s="50" t="s">
        <v>89</v>
      </c>
      <c r="H2194" s="50">
        <v>575</v>
      </c>
      <c r="I2194" s="51"/>
      <c r="K2194" s="52">
        <f>Tabela6[[#This Row],[CONSUMO]]*Tabela6[[#This Row],[VALOR UNIT]]-Tabela6[[#This Row],[DESCONTO]]</f>
        <v>0</v>
      </c>
      <c r="L2194" s="53">
        <f>Tabela6[[#This Row],[CUSTO TOTAL]]/Tabela6[[#This Row],[CONSUMO]]</f>
        <v>0</v>
      </c>
      <c r="M2194" s="50">
        <f>Tabela6[[#This Row],[KM ATUAL]]-E2071</f>
        <v>-453932</v>
      </c>
      <c r="N2194" s="51">
        <f>Tabela6[[#This Row],[KM Rodados ]]/Tabela6[[#This Row],[CONSUMO]]</f>
        <v>-789.44695652173914</v>
      </c>
    </row>
    <row r="2195" spans="1:14" x14ac:dyDescent="0.25">
      <c r="A2195" s="47">
        <v>303622</v>
      </c>
      <c r="B2195" s="78">
        <v>45170</v>
      </c>
      <c r="C2195" s="47" t="s">
        <v>72</v>
      </c>
      <c r="D2195" s="49" t="s">
        <v>270</v>
      </c>
      <c r="E2195" s="47">
        <v>411668</v>
      </c>
      <c r="F2195" s="49" t="s">
        <v>89</v>
      </c>
      <c r="G2195" s="50" t="s">
        <v>89</v>
      </c>
      <c r="H2195" s="51">
        <v>53.58</v>
      </c>
      <c r="J2195" s="51">
        <v>5.99</v>
      </c>
      <c r="K2195" s="51">
        <f>Tabela6[[#This Row],[CONSUMO]]*Tabela6[[#This Row],[VALOR UNIT]]-Tabela6[[#This Row],[DESCONTO]]</f>
        <v>320.94420000000002</v>
      </c>
      <c r="L2195" s="53">
        <f>Tabela6[[#This Row],[CUSTO TOTAL]]/Tabela6[[#This Row],[CONSUMO]]</f>
        <v>5.99</v>
      </c>
      <c r="M2195" s="50">
        <f>Tabela6[[#This Row],[KM ATUAL]]-E2191</f>
        <v>257109</v>
      </c>
      <c r="N2195" s="51">
        <f>Tabela6[[#This Row],[KM Rodados ]]/Tabela6[[#This Row],[CONSUMO]]</f>
        <v>4798.6002239641657</v>
      </c>
    </row>
    <row r="2196" spans="1:14" x14ac:dyDescent="0.25">
      <c r="A2196" s="47">
        <v>204642</v>
      </c>
      <c r="B2196" s="78">
        <v>45170</v>
      </c>
      <c r="C2196" t="s">
        <v>73</v>
      </c>
      <c r="D2196" s="49" t="s">
        <v>262</v>
      </c>
      <c r="E2196" s="47">
        <v>142125</v>
      </c>
      <c r="F2196" s="49" t="s">
        <v>241</v>
      </c>
      <c r="G2196" s="50" t="s">
        <v>241</v>
      </c>
      <c r="H2196" s="51">
        <v>23.638999999999999</v>
      </c>
      <c r="I2196" s="49">
        <v>8.51</v>
      </c>
      <c r="J2196" s="51">
        <v>3.69</v>
      </c>
      <c r="K2196" s="52">
        <f>Tabela6[[#This Row],[CONSUMO]]*Tabela6[[#This Row],[VALOR UNIT]]-Tabela6[[#This Row],[DESCONTO]]</f>
        <v>78.717909999999989</v>
      </c>
      <c r="L2196" s="53">
        <f>Tabela6[[#This Row],[CUSTO TOTAL]]/Tabela6[[#This Row],[CONSUMO]]</f>
        <v>3.3300016921189557</v>
      </c>
      <c r="M2196" s="50"/>
    </row>
    <row r="2197" spans="1:14" x14ac:dyDescent="0.25">
      <c r="A2197" s="47">
        <v>6981</v>
      </c>
      <c r="B2197" s="78">
        <v>45170</v>
      </c>
      <c r="C2197" s="47" t="s">
        <v>73</v>
      </c>
      <c r="D2197" s="49" t="s">
        <v>299</v>
      </c>
      <c r="E2197" s="47">
        <v>142129</v>
      </c>
      <c r="F2197" s="50"/>
      <c r="G2197" s="50" t="s">
        <v>89</v>
      </c>
      <c r="H2197" s="50">
        <v>116</v>
      </c>
      <c r="I2197" s="51"/>
      <c r="J2197" s="51">
        <v>5.95</v>
      </c>
      <c r="K2197" s="52">
        <f>Tabela6[[#This Row],[CONSUMO]]*Tabela6[[#This Row],[VALOR UNIT]]-Tabela6[[#This Row],[DESCONTO]]</f>
        <v>690.2</v>
      </c>
      <c r="L2197" s="53">
        <f>Tabela6[[#This Row],[CUSTO TOTAL]]/Tabela6[[#This Row],[CONSUMO]]</f>
        <v>5.95</v>
      </c>
      <c r="M2197" s="50">
        <f>Tabela6[[#This Row],[KM ATUAL]]-E2173</f>
        <v>-177647</v>
      </c>
      <c r="N2197" s="51">
        <f>Tabela6[[#This Row],[KM Rodados ]]/Tabela6[[#This Row],[CONSUMO]]</f>
        <v>-1531.4396551724137</v>
      </c>
    </row>
    <row r="2198" spans="1:14" x14ac:dyDescent="0.25">
      <c r="A2198" s="47">
        <v>875603</v>
      </c>
      <c r="B2198" s="78">
        <v>45170</v>
      </c>
      <c r="C2198" s="47" t="s">
        <v>64</v>
      </c>
      <c r="D2198" s="49" t="s">
        <v>253</v>
      </c>
      <c r="E2198" s="47">
        <v>90485</v>
      </c>
      <c r="F2198" s="50" t="s">
        <v>89</v>
      </c>
      <c r="G2198" s="50" t="s">
        <v>89</v>
      </c>
      <c r="H2198" s="50">
        <v>154.41</v>
      </c>
      <c r="I2198" s="51"/>
      <c r="J2198" s="51">
        <v>5.99</v>
      </c>
      <c r="K2198" s="52">
        <f>Tabela6[[#This Row],[CONSUMO]]*Tabela6[[#This Row],[VALOR UNIT]]-Tabela6[[#This Row],[DESCONTO]]</f>
        <v>924.91589999999997</v>
      </c>
      <c r="L2198" s="53">
        <f>Tabela6[[#This Row],[CUSTO TOTAL]]/Tabela6[[#This Row],[CONSUMO]]</f>
        <v>5.99</v>
      </c>
      <c r="M2198" s="50">
        <f>Tabela6[[#This Row],[KM ATUAL]]-E2166</f>
        <v>-53411</v>
      </c>
      <c r="N2198" s="84">
        <f>Tabela6[[#This Row],[KM Rodados ]]/Tabela6[[#This Row],[CONSUMO]]</f>
        <v>-345.90376270966908</v>
      </c>
    </row>
    <row r="2199" spans="1:14" x14ac:dyDescent="0.25">
      <c r="A2199" s="47">
        <v>6981</v>
      </c>
      <c r="B2199" s="78">
        <v>45170</v>
      </c>
      <c r="C2199" s="47" t="s">
        <v>21</v>
      </c>
      <c r="D2199" s="49" t="s">
        <v>299</v>
      </c>
      <c r="E2199" s="47">
        <v>153133</v>
      </c>
      <c r="F2199" s="50"/>
      <c r="G2199" s="50" t="s">
        <v>89</v>
      </c>
      <c r="H2199" s="50">
        <v>185</v>
      </c>
      <c r="I2199" s="51"/>
      <c r="J2199" s="51">
        <v>5.95</v>
      </c>
      <c r="K2199" s="52">
        <f>Tabela6[[#This Row],[CONSUMO]]*Tabela6[[#This Row],[VALOR UNIT]]-Tabela6[[#This Row],[DESCONTO]]</f>
        <v>1100.75</v>
      </c>
      <c r="L2199" s="53">
        <f>Tabela6[[#This Row],[CUSTO TOTAL]]/Tabela6[[#This Row],[CONSUMO]]</f>
        <v>5.95</v>
      </c>
      <c r="M2199" s="50">
        <f>Tabela6[[#This Row],[KM ATUAL]]-E2111</f>
        <v>-181139</v>
      </c>
      <c r="N2199" s="51">
        <f>Tabela6[[#This Row],[KM Rodados ]]/Tabela6[[#This Row],[CONSUMO]]</f>
        <v>-979.12972972972977</v>
      </c>
    </row>
    <row r="2200" spans="1:14" x14ac:dyDescent="0.25">
      <c r="A2200" s="47">
        <v>204525</v>
      </c>
      <c r="B2200" s="78">
        <v>45170</v>
      </c>
      <c r="C2200" s="47" t="s">
        <v>301</v>
      </c>
      <c r="D2200" s="49" t="s">
        <v>262</v>
      </c>
      <c r="E2200" s="47">
        <v>1041033</v>
      </c>
      <c r="F2200" s="49" t="s">
        <v>89</v>
      </c>
      <c r="G2200" s="50" t="s">
        <v>89</v>
      </c>
      <c r="H2200" s="51">
        <v>375.62900000000002</v>
      </c>
      <c r="J2200" s="51">
        <v>5.99</v>
      </c>
      <c r="K2200" s="51">
        <f>Tabela6[[#This Row],[CONSUMO]]*Tabela6[[#This Row],[VALOR UNIT]]-Tabela6[[#This Row],[DESCONTO]]</f>
        <v>2250.0177100000001</v>
      </c>
      <c r="L2200" s="53">
        <f>Tabela6[[#This Row],[CUSTO TOTAL]]/Tabela6[[#This Row],[CONSUMO]]</f>
        <v>5.99</v>
      </c>
      <c r="M2200" s="50">
        <f>Tabela6[[#This Row],[KM ATUAL]]-E1980</f>
        <v>719803</v>
      </c>
      <c r="N2200" s="51">
        <f>Tabela6[[#This Row],[KM Rodados ]]/Tabela6[[#This Row],[CONSUMO]]</f>
        <v>1916.2604591232305</v>
      </c>
    </row>
    <row r="2201" spans="1:14" x14ac:dyDescent="0.25">
      <c r="A2201" s="47">
        <v>6981</v>
      </c>
      <c r="B2201" s="78">
        <v>45170</v>
      </c>
      <c r="C2201" s="47" t="s">
        <v>301</v>
      </c>
      <c r="D2201" s="49" t="s">
        <v>299</v>
      </c>
      <c r="E2201" s="47">
        <v>1041447</v>
      </c>
      <c r="F2201" s="50"/>
      <c r="G2201" s="50" t="s">
        <v>89</v>
      </c>
      <c r="H2201" s="50">
        <v>150</v>
      </c>
      <c r="I2201" s="51"/>
      <c r="J2201" s="51">
        <v>5.95</v>
      </c>
      <c r="K2201" s="52">
        <f>Tabela6[[#This Row],[CONSUMO]]*Tabela6[[#This Row],[VALOR UNIT]]-Tabela6[[#This Row],[DESCONTO]]</f>
        <v>892.5</v>
      </c>
      <c r="L2201" s="53">
        <f>Tabela6[[#This Row],[CUSTO TOTAL]]/Tabela6[[#This Row],[CONSUMO]]</f>
        <v>5.95</v>
      </c>
      <c r="M2201" s="50">
        <f>Tabela6[[#This Row],[KM ATUAL]]-E2195</f>
        <v>629779</v>
      </c>
      <c r="N2201" s="49">
        <f>Tabela6[[#This Row],[KM Rodados ]]/Tabela6[[#This Row],[CONSUMO]]</f>
        <v>4198.5266666666666</v>
      </c>
    </row>
    <row r="2202" spans="1:14" x14ac:dyDescent="0.25">
      <c r="A2202" s="47" t="s">
        <v>314</v>
      </c>
      <c r="B2202" s="78">
        <v>45170</v>
      </c>
      <c r="C2202" s="47" t="s">
        <v>12</v>
      </c>
      <c r="E2202" s="47">
        <v>320452</v>
      </c>
      <c r="F2202" s="50"/>
      <c r="G2202" s="50" t="s">
        <v>89</v>
      </c>
      <c r="H2202" s="50">
        <v>77.599999999999994</v>
      </c>
      <c r="I2202" s="51"/>
      <c r="K2202" s="52">
        <f>Tabela6[[#This Row],[CONSUMO]]*Tabela6[[#This Row],[VALOR UNIT]]-Tabela6[[#This Row],[DESCONTO]]</f>
        <v>0</v>
      </c>
      <c r="L2202" s="53">
        <f>Tabela6[[#This Row],[CUSTO TOTAL]]/Tabela6[[#This Row],[CONSUMO]]</f>
        <v>0</v>
      </c>
      <c r="M2202" s="50">
        <f>Tabela6[[#This Row],[KM ATUAL]]-E2175</f>
        <v>27265</v>
      </c>
      <c r="N2202" s="51">
        <f>Tabela6[[#This Row],[KM Rodados ]]/Tabela6[[#This Row],[CONSUMO]]</f>
        <v>351.35309278350519</v>
      </c>
    </row>
    <row r="2203" spans="1:14" x14ac:dyDescent="0.25">
      <c r="A2203" s="47">
        <v>79599</v>
      </c>
      <c r="B2203" s="78">
        <v>45170</v>
      </c>
      <c r="C2203" s="47" t="s">
        <v>15</v>
      </c>
      <c r="D2203" s="49" t="s">
        <v>279</v>
      </c>
      <c r="E2203" s="47">
        <v>381263</v>
      </c>
      <c r="F2203" s="50" t="s">
        <v>89</v>
      </c>
      <c r="G2203" s="50" t="s">
        <v>89</v>
      </c>
      <c r="H2203" s="50">
        <v>118.01</v>
      </c>
      <c r="I2203" s="51"/>
      <c r="J2203" s="51">
        <v>5.89</v>
      </c>
      <c r="K2203" s="52">
        <f>Tabela6[[#This Row],[CONSUMO]]*Tabela6[[#This Row],[VALOR UNIT]]-Tabela6[[#This Row],[DESCONTO]]</f>
        <v>695.07889999999998</v>
      </c>
      <c r="L2203" s="53">
        <f>Tabela6[[#This Row],[CUSTO TOTAL]]/Tabela6[[#This Row],[CONSUMO]]</f>
        <v>5.89</v>
      </c>
      <c r="M2203" s="50">
        <f>Tabela6[[#This Row],[KM ATUAL]]-E2194</f>
        <v>158411</v>
      </c>
      <c r="N2203" s="51">
        <f>Tabela6[[#This Row],[KM Rodados ]]/Tabela6[[#This Row],[CONSUMO]]</f>
        <v>1342.3523430217779</v>
      </c>
    </row>
    <row r="2204" spans="1:14" x14ac:dyDescent="0.25">
      <c r="A2204" s="47">
        <v>6981</v>
      </c>
      <c r="B2204" s="78">
        <v>45170</v>
      </c>
      <c r="C2204" s="47" t="s">
        <v>17</v>
      </c>
      <c r="D2204" s="49" t="s">
        <v>299</v>
      </c>
      <c r="E2204" s="47">
        <v>369658</v>
      </c>
      <c r="F2204" s="50"/>
      <c r="G2204" s="50" t="s">
        <v>89</v>
      </c>
      <c r="H2204" s="50">
        <v>220</v>
      </c>
      <c r="I2204" s="51"/>
      <c r="J2204" s="51">
        <v>5.95</v>
      </c>
      <c r="K2204" s="52">
        <f>Tabela6[[#This Row],[CONSUMO]]*Tabela6[[#This Row],[VALOR UNIT]]-Tabela6[[#This Row],[DESCONTO]]</f>
        <v>1309</v>
      </c>
      <c r="L2204" s="53">
        <f>Tabela6[[#This Row],[CUSTO TOTAL]]/Tabela6[[#This Row],[CONSUMO]]</f>
        <v>5.95</v>
      </c>
      <c r="M2204" s="50">
        <f>Tabela6[[#This Row],[KM ATUAL]]-E2139</f>
        <v>-667217</v>
      </c>
      <c r="N2204" s="84">
        <f>Tabela6[[#This Row],[KM Rodados ]]/Tabela6[[#This Row],[CONSUMO]]</f>
        <v>-3032.8045454545454</v>
      </c>
    </row>
    <row r="2205" spans="1:14" x14ac:dyDescent="0.25">
      <c r="A2205" s="47">
        <v>6981</v>
      </c>
      <c r="B2205" s="78">
        <v>45170</v>
      </c>
      <c r="C2205" s="47" t="s">
        <v>20</v>
      </c>
      <c r="D2205" s="49" t="s">
        <v>299</v>
      </c>
      <c r="E2205" s="47">
        <v>269578</v>
      </c>
      <c r="F2205" s="50"/>
      <c r="G2205" s="50" t="s">
        <v>89</v>
      </c>
      <c r="H2205" s="50">
        <v>56</v>
      </c>
      <c r="I2205" s="51"/>
      <c r="J2205" s="51">
        <v>5.95</v>
      </c>
      <c r="K2205" s="52">
        <f>Tabela6[[#This Row],[CONSUMO]]*Tabela6[[#This Row],[VALOR UNIT]]-Tabela6[[#This Row],[DESCONTO]]</f>
        <v>333.2</v>
      </c>
      <c r="L2205" s="53">
        <f>Tabela6[[#This Row],[CUSTO TOTAL]]/Tabela6[[#This Row],[CONSUMO]]</f>
        <v>5.95</v>
      </c>
      <c r="M2205" s="50">
        <f>Tabela6[[#This Row],[KM ATUAL]]-E2190</f>
        <v>26919</v>
      </c>
      <c r="N2205" s="51">
        <f>Tabela6[[#This Row],[KM Rodados ]]/Tabela6[[#This Row],[CONSUMO]]</f>
        <v>480.69642857142856</v>
      </c>
    </row>
    <row r="2206" spans="1:14" x14ac:dyDescent="0.25">
      <c r="A2206" s="47">
        <v>6981</v>
      </c>
      <c r="B2206" s="78">
        <v>45170</v>
      </c>
      <c r="C2206" s="47" t="s">
        <v>23</v>
      </c>
      <c r="D2206" s="49" t="s">
        <v>299</v>
      </c>
      <c r="E2206" s="47">
        <v>243341</v>
      </c>
      <c r="F2206" s="50"/>
      <c r="G2206" s="50" t="s">
        <v>89</v>
      </c>
      <c r="H2206" s="50">
        <v>126</v>
      </c>
      <c r="I2206" s="51"/>
      <c r="J2206" s="51">
        <v>5.95</v>
      </c>
      <c r="K2206" s="52">
        <f>Tabela6[[#This Row],[CONSUMO]]*Tabela6[[#This Row],[VALOR UNIT]]-Tabela6[[#This Row],[DESCONTO]]</f>
        <v>749.7</v>
      </c>
      <c r="L2206" s="53">
        <f>Tabela6[[#This Row],[CUSTO TOTAL]]/Tabela6[[#This Row],[CONSUMO]]</f>
        <v>5.95</v>
      </c>
      <c r="M2206" s="50">
        <f>Tabela6[[#This Row],[KM ATUAL]]-E2194</f>
        <v>20489</v>
      </c>
      <c r="N2206" s="51">
        <f>Tabela6[[#This Row],[KM Rodados ]]/Tabela6[[#This Row],[CONSUMO]]</f>
        <v>162.61111111111111</v>
      </c>
    </row>
    <row r="2207" spans="1:14" x14ac:dyDescent="0.25">
      <c r="A2207" s="47">
        <v>204534</v>
      </c>
      <c r="B2207" s="78">
        <v>45170</v>
      </c>
      <c r="C2207" s="49" t="s">
        <v>40</v>
      </c>
      <c r="D2207" s="49" t="s">
        <v>262</v>
      </c>
      <c r="E2207" s="47">
        <v>155582</v>
      </c>
      <c r="F2207" s="49" t="s">
        <v>244</v>
      </c>
      <c r="G2207" s="50" t="s">
        <v>244</v>
      </c>
      <c r="H2207" s="51">
        <v>33.06</v>
      </c>
      <c r="J2207" s="51">
        <v>5.69</v>
      </c>
      <c r="K2207" s="74">
        <f>Tabela6[[#This Row],[CONSUMO]]*Tabela6[[#This Row],[VALOR UNIT]]-Tabela6[[#This Row],[DESCONTO]]</f>
        <v>188.11140000000003</v>
      </c>
      <c r="L2207" s="53">
        <v>5.69</v>
      </c>
      <c r="M2207" s="50">
        <f>Tabela6[[#This Row],[KM ATUAL]]-E2168</f>
        <v>-341382</v>
      </c>
      <c r="N2207" s="51">
        <f>Tabela6[[#This Row],[KM Rodados ]]/Tabela6[[#This Row],[CONSUMO]]</f>
        <v>-10326.134301270416</v>
      </c>
    </row>
    <row r="2208" spans="1:14" x14ac:dyDescent="0.25">
      <c r="A2208" s="47">
        <v>204662</v>
      </c>
      <c r="B2208" s="78">
        <v>45170</v>
      </c>
      <c r="C2208" s="47" t="s">
        <v>74</v>
      </c>
      <c r="D2208" s="49" t="s">
        <v>262</v>
      </c>
      <c r="F2208" s="49" t="s">
        <v>241</v>
      </c>
      <c r="G2208" s="50" t="s">
        <v>241</v>
      </c>
      <c r="H2208" s="51">
        <v>2.484</v>
      </c>
      <c r="I2208" s="49">
        <v>0.9</v>
      </c>
      <c r="J2208" s="51">
        <v>3.6989999999999998</v>
      </c>
      <c r="K2208" s="51">
        <f>Tabela6[[#This Row],[CONSUMO]]*Tabela6[[#This Row],[VALOR UNIT]]-Tabela6[[#This Row],[DESCONTO]]</f>
        <v>8.288316</v>
      </c>
      <c r="L2208" s="53">
        <f>Tabela6[[#This Row],[CUSTO TOTAL]]/Tabela6[[#This Row],[CONSUMO]]</f>
        <v>3.3366811594202899</v>
      </c>
      <c r="M2208" s="50"/>
    </row>
    <row r="2209" spans="1:14" x14ac:dyDescent="0.25">
      <c r="A2209" s="47">
        <v>6981</v>
      </c>
      <c r="B2209" s="78">
        <v>45170</v>
      </c>
      <c r="C2209" s="47" t="s">
        <v>74</v>
      </c>
      <c r="D2209" s="49" t="s">
        <v>299</v>
      </c>
      <c r="E2209" s="47">
        <v>74041</v>
      </c>
      <c r="F2209" s="50"/>
      <c r="G2209" s="50" t="s">
        <v>89</v>
      </c>
      <c r="H2209" s="50">
        <v>70</v>
      </c>
      <c r="I2209" s="51"/>
      <c r="J2209" s="51">
        <v>5.95</v>
      </c>
      <c r="K2209" s="52">
        <f>Tabela6[[#This Row],[CONSUMO]]*Tabela6[[#This Row],[VALOR UNIT]]-Tabela6[[#This Row],[DESCONTO]]</f>
        <v>416.5</v>
      </c>
      <c r="L2209" s="53">
        <f>Tabela6[[#This Row],[CUSTO TOTAL]]/Tabela6[[#This Row],[CONSUMO]]</f>
        <v>5.95</v>
      </c>
      <c r="M2209" s="50">
        <f>Tabela6[[#This Row],[KM ATUAL]]-E2189</f>
        <v>-195055</v>
      </c>
      <c r="N2209" s="51">
        <f>Tabela6[[#This Row],[KM Rodados ]]/Tabela6[[#This Row],[CONSUMO]]</f>
        <v>-2786.5</v>
      </c>
    </row>
    <row r="2210" spans="1:14" x14ac:dyDescent="0.25">
      <c r="A2210" s="47">
        <v>303909</v>
      </c>
      <c r="B2210" s="78">
        <v>45171</v>
      </c>
      <c r="C2210" s="47" t="s">
        <v>222</v>
      </c>
      <c r="D2210" s="49" t="s">
        <v>270</v>
      </c>
      <c r="E2210" s="47">
        <v>498021</v>
      </c>
      <c r="F2210" s="49" t="s">
        <v>89</v>
      </c>
      <c r="G2210" s="50" t="s">
        <v>89</v>
      </c>
      <c r="H2210" s="51">
        <v>401.81</v>
      </c>
      <c r="J2210" s="51">
        <v>5.99</v>
      </c>
      <c r="K2210" s="51">
        <f>Tabela6[[#This Row],[CONSUMO]]*Tabela6[[#This Row],[VALOR UNIT]]-Tabela6[[#This Row],[DESCONTO]]</f>
        <v>2406.8418999999999</v>
      </c>
      <c r="L2210" s="53">
        <v>5.9899999999999993</v>
      </c>
      <c r="M2210" s="50">
        <f>Tabela6[[#This Row],[KM ATUAL]]-E2175</f>
        <v>204834</v>
      </c>
      <c r="N2210" s="75">
        <f>Tabela6[[#This Row],[KM Rodados ]]/Tabela6[[#This Row],[CONSUMO]]</f>
        <v>509.77825340334982</v>
      </c>
    </row>
    <row r="2211" spans="1:14" x14ac:dyDescent="0.25">
      <c r="A2211" s="47">
        <v>205195</v>
      </c>
      <c r="B2211" s="78">
        <v>45172</v>
      </c>
      <c r="C2211" s="47" t="s">
        <v>9</v>
      </c>
      <c r="D2211" s="49" t="s">
        <v>262</v>
      </c>
      <c r="E2211" s="47">
        <v>621265</v>
      </c>
      <c r="F2211" s="50" t="s">
        <v>89</v>
      </c>
      <c r="G2211" s="50" t="s">
        <v>89</v>
      </c>
      <c r="H2211" s="50">
        <v>138.42099999999999</v>
      </c>
      <c r="I2211" s="51"/>
      <c r="J2211" s="51">
        <v>5.99</v>
      </c>
      <c r="K2211" s="52">
        <f>Tabela6[[#This Row],[CONSUMO]]*Tabela6[[#This Row],[VALOR UNIT]]-Tabela6[[#This Row],[DESCONTO]]</f>
        <v>829.14179000000001</v>
      </c>
      <c r="L2211" s="53">
        <f>Tabela6[[#This Row],[CUSTO TOTAL]]/Tabela6[[#This Row],[CONSUMO]]</f>
        <v>5.99</v>
      </c>
      <c r="M2211" s="50">
        <f>Tabela6[[#This Row],[KM ATUAL]]-E2181</f>
        <v>-56665</v>
      </c>
      <c r="N2211" s="51">
        <f>Tabela6[[#This Row],[KM Rodados ]]/Tabela6[[#This Row],[CONSUMO]]</f>
        <v>-409.36707580497182</v>
      </c>
    </row>
    <row r="2212" spans="1:14" x14ac:dyDescent="0.25">
      <c r="A2212" s="47" t="s">
        <v>314</v>
      </c>
      <c r="B2212" s="78">
        <v>45172</v>
      </c>
      <c r="C2212" s="47" t="s">
        <v>70</v>
      </c>
      <c r="E2212" s="47">
        <v>224259</v>
      </c>
      <c r="F2212" s="50"/>
      <c r="G2212" s="50" t="s">
        <v>89</v>
      </c>
      <c r="H2212" s="50">
        <v>570</v>
      </c>
      <c r="I2212" s="51"/>
      <c r="K2212" s="52">
        <f>Tabela6[[#This Row],[CONSUMO]]*Tabela6[[#This Row],[VALOR UNIT]]-Tabela6[[#This Row],[DESCONTO]]</f>
        <v>0</v>
      </c>
      <c r="L2212" s="53">
        <f>Tabela6[[#This Row],[CUSTO TOTAL]]/Tabela6[[#This Row],[CONSUMO]]</f>
        <v>0</v>
      </c>
      <c r="M2212" s="50">
        <f>Tabela6[[#This Row],[KM ATUAL]]-E2211</f>
        <v>-397006</v>
      </c>
      <c r="N2212" s="51">
        <f>Tabela6[[#This Row],[KM Rodados ]]/Tabela6[[#This Row],[CONSUMO]]</f>
        <v>-696.50175438596489</v>
      </c>
    </row>
    <row r="2213" spans="1:14" x14ac:dyDescent="0.25">
      <c r="A2213" s="47">
        <v>102908</v>
      </c>
      <c r="B2213" s="78">
        <v>45172</v>
      </c>
      <c r="C2213" s="47" t="s">
        <v>73</v>
      </c>
      <c r="D2213" s="49" t="s">
        <v>311</v>
      </c>
      <c r="E2213" s="47">
        <v>142295</v>
      </c>
      <c r="F2213" s="50" t="s">
        <v>89</v>
      </c>
      <c r="G2213" s="50" t="s">
        <v>89</v>
      </c>
      <c r="H2213" s="50">
        <v>179.00700000000001</v>
      </c>
      <c r="I2213" s="51">
        <v>234.5</v>
      </c>
      <c r="J2213" s="51">
        <v>7.3</v>
      </c>
      <c r="K2213" s="52">
        <f>Tabela6[[#This Row],[CONSUMO]]*Tabela6[[#This Row],[VALOR UNIT]]-Tabela6[[#This Row],[DESCONTO]]</f>
        <v>1072.2511</v>
      </c>
      <c r="L2213" s="53">
        <f>Tabela6[[#This Row],[CUSTO TOTAL]]/Tabela6[[#This Row],[CONSUMO]]</f>
        <v>5.9899953633098146</v>
      </c>
      <c r="M2213" s="50">
        <f>Tabela6[[#This Row],[KM ATUAL]]-E2203</f>
        <v>-238968</v>
      </c>
      <c r="N2213" s="84">
        <f>Tabela6[[#This Row],[KM Rodados ]]/Tabela6[[#This Row],[CONSUMO]]</f>
        <v>-1334.964554458764</v>
      </c>
    </row>
    <row r="2214" spans="1:14" x14ac:dyDescent="0.25">
      <c r="A2214" s="47" t="s">
        <v>314</v>
      </c>
      <c r="B2214" s="78">
        <v>45172</v>
      </c>
      <c r="C2214" s="47" t="s">
        <v>73</v>
      </c>
      <c r="E2214" s="47">
        <v>142995</v>
      </c>
      <c r="F2214" s="50"/>
      <c r="G2214" s="50" t="s">
        <v>89</v>
      </c>
      <c r="H2214" s="50">
        <v>185</v>
      </c>
      <c r="I2214" s="51"/>
      <c r="K2214" s="52">
        <f>Tabela6[[#This Row],[CONSUMO]]*Tabela6[[#This Row],[VALOR UNIT]]-Tabela6[[#This Row],[DESCONTO]]</f>
        <v>0</v>
      </c>
      <c r="L2214" s="53">
        <f>Tabela6[[#This Row],[CUSTO TOTAL]]/Tabela6[[#This Row],[CONSUMO]]</f>
        <v>0</v>
      </c>
      <c r="M2214" s="50">
        <f>Tabela6[[#This Row],[KM ATUAL]]-E2210</f>
        <v>-355026</v>
      </c>
      <c r="N2214" s="51">
        <f>Tabela6[[#This Row],[KM Rodados ]]/Tabela6[[#This Row],[CONSUMO]]</f>
        <v>-1919.0594594594595</v>
      </c>
    </row>
    <row r="2215" spans="1:14" x14ac:dyDescent="0.25">
      <c r="A2215" s="47">
        <v>205196</v>
      </c>
      <c r="B2215" s="78">
        <v>45172</v>
      </c>
      <c r="C2215" s="47" t="s">
        <v>206</v>
      </c>
      <c r="D2215" s="49" t="s">
        <v>262</v>
      </c>
      <c r="F2215" s="50" t="s">
        <v>241</v>
      </c>
      <c r="G2215" s="50" t="s">
        <v>241</v>
      </c>
      <c r="H2215" s="50">
        <v>35.290999999999997</v>
      </c>
      <c r="I2215" s="51">
        <v>12.7</v>
      </c>
      <c r="J2215" s="51">
        <v>3.69</v>
      </c>
      <c r="K2215" s="52">
        <f>Tabela6[[#This Row],[CONSUMO]]*Tabela6[[#This Row],[VALOR UNIT]]-Tabela6[[#This Row],[DESCONTO]]</f>
        <v>117.52378999999998</v>
      </c>
      <c r="L2215" s="53">
        <f>Tabela6[[#This Row],[CUSTO TOTAL]]/Tabela6[[#This Row],[CONSUMO]]</f>
        <v>3.330134878580941</v>
      </c>
      <c r="M2215" s="53"/>
      <c r="N2215" s="49"/>
    </row>
    <row r="2216" spans="1:14" x14ac:dyDescent="0.25">
      <c r="A2216" s="47">
        <v>6981</v>
      </c>
      <c r="B2216" s="78">
        <v>45173</v>
      </c>
      <c r="C2216" s="47" t="s">
        <v>68</v>
      </c>
      <c r="D2216" s="49" t="s">
        <v>299</v>
      </c>
      <c r="E2216" s="47">
        <v>912896</v>
      </c>
      <c r="F2216" s="50"/>
      <c r="G2216" s="50" t="s">
        <v>89</v>
      </c>
      <c r="H2216" s="50">
        <v>435</v>
      </c>
      <c r="I2216" s="51"/>
      <c r="J2216" s="51">
        <v>5.95</v>
      </c>
      <c r="K2216" s="52">
        <f>Tabela6[[#This Row],[CONSUMO]]*Tabela6[[#This Row],[VALOR UNIT]]-Tabela6[[#This Row],[DESCONTO]]</f>
        <v>2588.25</v>
      </c>
      <c r="L2216" s="53">
        <f>Tabela6[[#This Row],[CUSTO TOTAL]]/Tabela6[[#This Row],[CONSUMO]]</f>
        <v>5.95</v>
      </c>
      <c r="M2216" s="50">
        <f>Tabela6[[#This Row],[KM ATUAL]]-E2176</f>
        <v>644219</v>
      </c>
      <c r="N2216" s="51">
        <f>Tabela6[[#This Row],[KM Rodados ]]/Tabela6[[#This Row],[CONSUMO]]</f>
        <v>1480.9632183908045</v>
      </c>
    </row>
    <row r="2217" spans="1:14" x14ac:dyDescent="0.25">
      <c r="A2217" s="47">
        <v>6981</v>
      </c>
      <c r="B2217" s="78">
        <v>45173</v>
      </c>
      <c r="C2217" s="47" t="s">
        <v>43</v>
      </c>
      <c r="D2217" s="49" t="s">
        <v>299</v>
      </c>
      <c r="E2217" s="47">
        <v>144481</v>
      </c>
      <c r="F2217" s="50"/>
      <c r="G2217" s="50" t="s">
        <v>89</v>
      </c>
      <c r="H2217" s="50">
        <v>23</v>
      </c>
      <c r="I2217" s="51"/>
      <c r="J2217" s="51">
        <v>5.95</v>
      </c>
      <c r="K2217" s="52">
        <f>Tabela6[[#This Row],[CONSUMO]]*Tabela6[[#This Row],[VALOR UNIT]]-Tabela6[[#This Row],[DESCONTO]]</f>
        <v>136.85</v>
      </c>
      <c r="L2217" s="53">
        <f>Tabela6[[#This Row],[CUSTO TOTAL]]/Tabela6[[#This Row],[CONSUMO]]</f>
        <v>5.95</v>
      </c>
      <c r="M2217" s="50">
        <f>Tabela6[[#This Row],[KM ATUAL]]-E2178</f>
        <v>-767337</v>
      </c>
      <c r="N2217" s="51">
        <f>Tabela6[[#This Row],[KM Rodados ]]/Tabela6[[#This Row],[CONSUMO]]</f>
        <v>-33362.478260869568</v>
      </c>
    </row>
    <row r="2218" spans="1:14" x14ac:dyDescent="0.25">
      <c r="A2218" s="47">
        <v>6981</v>
      </c>
      <c r="B2218" s="78">
        <v>45173</v>
      </c>
      <c r="C2218" s="47" t="s">
        <v>43</v>
      </c>
      <c r="D2218" s="49" t="s">
        <v>299</v>
      </c>
      <c r="E2218" s="47">
        <v>144686</v>
      </c>
      <c r="F2218" s="50"/>
      <c r="G2218" s="50" t="s">
        <v>89</v>
      </c>
      <c r="H2218" s="50">
        <v>26</v>
      </c>
      <c r="I2218" s="51"/>
      <c r="J2218" s="51">
        <v>5.95</v>
      </c>
      <c r="K2218" s="52">
        <f>Tabela6[[#This Row],[CONSUMO]]*Tabela6[[#This Row],[VALOR UNIT]]-Tabela6[[#This Row],[DESCONTO]]</f>
        <v>154.70000000000002</v>
      </c>
      <c r="L2218" s="53">
        <f>Tabela6[[#This Row],[CUSTO TOTAL]]/Tabela6[[#This Row],[CONSUMO]]</f>
        <v>5.9500000000000011</v>
      </c>
      <c r="M2218" s="50">
        <f>Tabela6[[#This Row],[KM ATUAL]]-E2212</f>
        <v>-79573</v>
      </c>
      <c r="N2218" s="51">
        <f>Tabela6[[#This Row],[KM Rodados ]]/Tabela6[[#This Row],[CONSUMO]]</f>
        <v>-3060.5</v>
      </c>
    </row>
    <row r="2219" spans="1:14" x14ac:dyDescent="0.25">
      <c r="A2219" s="47">
        <v>6981</v>
      </c>
      <c r="B2219" s="78">
        <v>45173</v>
      </c>
      <c r="C2219" s="47" t="s">
        <v>67</v>
      </c>
      <c r="D2219" s="49" t="s">
        <v>299</v>
      </c>
      <c r="E2219" s="47">
        <v>678518</v>
      </c>
      <c r="F2219" s="50"/>
      <c r="G2219" s="50" t="s">
        <v>89</v>
      </c>
      <c r="H2219" s="50">
        <v>137</v>
      </c>
      <c r="I2219" s="51"/>
      <c r="J2219" s="51">
        <v>5.95</v>
      </c>
      <c r="K2219" s="52">
        <f>Tabela6[[#This Row],[CONSUMO]]*Tabela6[[#This Row],[VALOR UNIT]]-Tabela6[[#This Row],[DESCONTO]]</f>
        <v>815.15</v>
      </c>
      <c r="L2219" s="53">
        <f>Tabela6[[#This Row],[CUSTO TOTAL]]/Tabela6[[#This Row],[CONSUMO]]</f>
        <v>5.95</v>
      </c>
      <c r="M2219" s="50">
        <f>Tabela6[[#This Row],[KM ATUAL]]-E2178</f>
        <v>-233300</v>
      </c>
      <c r="N2219" s="51">
        <f>Tabela6[[#This Row],[KM Rodados ]]/Tabela6[[#This Row],[CONSUMO]]</f>
        <v>-1702.9197080291972</v>
      </c>
    </row>
    <row r="2220" spans="1:14" x14ac:dyDescent="0.25">
      <c r="A2220" s="47">
        <v>6981</v>
      </c>
      <c r="B2220" s="78">
        <v>45173</v>
      </c>
      <c r="C2220" s="47" t="s">
        <v>22</v>
      </c>
      <c r="D2220" s="49" t="s">
        <v>299</v>
      </c>
      <c r="E2220" s="47">
        <v>335195</v>
      </c>
      <c r="F2220" s="50"/>
      <c r="G2220" s="50" t="s">
        <v>89</v>
      </c>
      <c r="H2220" s="50">
        <v>123</v>
      </c>
      <c r="I2220" s="51"/>
      <c r="J2220" s="51">
        <v>5.95</v>
      </c>
      <c r="K2220" s="52">
        <f>Tabela6[[#This Row],[CONSUMO]]*Tabela6[[#This Row],[VALOR UNIT]]-Tabela6[[#This Row],[DESCONTO]]</f>
        <v>731.85</v>
      </c>
      <c r="L2220" s="53">
        <f>Tabela6[[#This Row],[CUSTO TOTAL]]/Tabela6[[#This Row],[CONSUMO]]</f>
        <v>5.95</v>
      </c>
      <c r="M2220" s="50">
        <f>Tabela6[[#This Row],[KM ATUAL]]-E2162</f>
        <v>-309990</v>
      </c>
      <c r="N2220" s="51">
        <f>Tabela6[[#This Row],[KM Rodados ]]/Tabela6[[#This Row],[CONSUMO]]</f>
        <v>-2520.2439024390242</v>
      </c>
    </row>
    <row r="2221" spans="1:14" x14ac:dyDescent="0.25">
      <c r="A2221" s="47">
        <v>6981</v>
      </c>
      <c r="B2221" s="78">
        <v>45173</v>
      </c>
      <c r="C2221" s="47" t="s">
        <v>70</v>
      </c>
      <c r="D2221" s="49" t="s">
        <v>299</v>
      </c>
      <c r="E2221" s="47">
        <v>225645</v>
      </c>
      <c r="F2221" s="50"/>
      <c r="G2221" s="50" t="s">
        <v>89</v>
      </c>
      <c r="H2221" s="50">
        <v>544</v>
      </c>
      <c r="I2221" s="51"/>
      <c r="J2221" s="51">
        <v>5.95</v>
      </c>
      <c r="K2221" s="52">
        <f>Tabela6[[#This Row],[CONSUMO]]*Tabela6[[#This Row],[VALOR UNIT]]-Tabela6[[#This Row],[DESCONTO]]</f>
        <v>3236.8</v>
      </c>
      <c r="L2221" s="53">
        <f>Tabela6[[#This Row],[CUSTO TOTAL]]/Tabela6[[#This Row],[CONSUMO]]</f>
        <v>5.95</v>
      </c>
      <c r="M2221" s="50">
        <f>Tabela6[[#This Row],[KM ATUAL]]-E2220</f>
        <v>-109550</v>
      </c>
      <c r="N2221" s="51">
        <f>Tabela6[[#This Row],[KM Rodados ]]/Tabela6[[#This Row],[CONSUMO]]</f>
        <v>-201.37867647058823</v>
      </c>
    </row>
    <row r="2222" spans="1:14" x14ac:dyDescent="0.25">
      <c r="A2222" s="47">
        <v>103106</v>
      </c>
      <c r="B2222" s="78">
        <v>45173</v>
      </c>
      <c r="C2222" s="47" t="s">
        <v>73</v>
      </c>
      <c r="D2222" s="49" t="s">
        <v>311</v>
      </c>
      <c r="E2222" s="47">
        <v>143574</v>
      </c>
      <c r="F2222" s="50" t="s">
        <v>89</v>
      </c>
      <c r="G2222" s="50" t="s">
        <v>89</v>
      </c>
      <c r="H2222" s="50">
        <v>137.417</v>
      </c>
      <c r="I2222" s="51">
        <v>180.01</v>
      </c>
      <c r="J2222" s="51">
        <v>7.3</v>
      </c>
      <c r="K2222" s="52">
        <f>Tabela6[[#This Row],[CONSUMO]]*Tabela6[[#This Row],[VALOR UNIT]]-Tabela6[[#This Row],[DESCONTO]]</f>
        <v>823.13409999999999</v>
      </c>
      <c r="L2222" s="53">
        <f>Tabela6[[#This Row],[CUSTO TOTAL]]/Tabela6[[#This Row],[CONSUMO]]</f>
        <v>5.9900456275424441</v>
      </c>
      <c r="M2222" s="50">
        <f>Tabela6[[#This Row],[KM ATUAL]]-E2221</f>
        <v>-82071</v>
      </c>
      <c r="N2222" s="51">
        <f>Tabela6[[#This Row],[KM Rodados ]]/Tabela6[[#This Row],[CONSUMO]]</f>
        <v>-597.24051609335083</v>
      </c>
    </row>
    <row r="2223" spans="1:14" x14ac:dyDescent="0.25">
      <c r="A2223" s="47">
        <v>103107</v>
      </c>
      <c r="B2223" s="78">
        <v>45173</v>
      </c>
      <c r="C2223" s="47" t="s">
        <v>73</v>
      </c>
      <c r="D2223" s="49" t="s">
        <v>311</v>
      </c>
      <c r="E2223" s="47">
        <v>143574</v>
      </c>
      <c r="F2223" s="50" t="s">
        <v>241</v>
      </c>
      <c r="G2223" s="50" t="s">
        <v>241</v>
      </c>
      <c r="H2223" s="50">
        <v>19.501000000000001</v>
      </c>
      <c r="I2223" s="51"/>
      <c r="J2223" s="51">
        <v>3.19</v>
      </c>
      <c r="K2223" s="52">
        <f>Tabela6[[#This Row],[CONSUMO]]*Tabela6[[#This Row],[VALOR UNIT]]-Tabela6[[#This Row],[DESCONTO]]</f>
        <v>62.208190000000002</v>
      </c>
      <c r="L2223" s="53">
        <f>Tabela6[[#This Row],[CUSTO TOTAL]]/Tabela6[[#This Row],[CONSUMO]]</f>
        <v>3.19</v>
      </c>
      <c r="M2223" s="53"/>
      <c r="N2223" s="49"/>
    </row>
    <row r="2224" spans="1:14" x14ac:dyDescent="0.25">
      <c r="A2224" s="47">
        <v>6981</v>
      </c>
      <c r="B2224" s="78">
        <v>45173</v>
      </c>
      <c r="C2224" s="47" t="s">
        <v>41</v>
      </c>
      <c r="D2224" s="49" t="s">
        <v>299</v>
      </c>
      <c r="E2224" s="47">
        <v>673921</v>
      </c>
      <c r="F2224" s="50"/>
      <c r="G2224" s="50" t="s">
        <v>89</v>
      </c>
      <c r="H2224" s="50">
        <v>92</v>
      </c>
      <c r="I2224" s="51"/>
      <c r="J2224" s="51">
        <v>5.95</v>
      </c>
      <c r="K2224" s="52">
        <f>Tabela6[[#This Row],[CONSUMO]]*Tabela6[[#This Row],[VALOR UNIT]]-Tabela6[[#This Row],[DESCONTO]]</f>
        <v>547.4</v>
      </c>
      <c r="L2224" s="53">
        <f>Tabela6[[#This Row],[CUSTO TOTAL]]/Tabela6[[#This Row],[CONSUMO]]</f>
        <v>5.95</v>
      </c>
      <c r="M2224" s="50">
        <f>Tabela6[[#This Row],[KM ATUAL]]-E2193</f>
        <v>302519</v>
      </c>
      <c r="N2224" s="51">
        <f>Tabela6[[#This Row],[KM Rodados ]]/Tabela6[[#This Row],[CONSUMO]]</f>
        <v>3288.25</v>
      </c>
    </row>
    <row r="2225" spans="1:14" x14ac:dyDescent="0.25">
      <c r="A2225" s="47">
        <v>6981</v>
      </c>
      <c r="B2225" s="78">
        <v>45173</v>
      </c>
      <c r="C2225" s="47" t="s">
        <v>10</v>
      </c>
      <c r="D2225" s="49" t="s">
        <v>299</v>
      </c>
      <c r="E2225" s="47">
        <v>724106</v>
      </c>
      <c r="F2225" s="50"/>
      <c r="G2225" s="50" t="s">
        <v>89</v>
      </c>
      <c r="H2225" s="50">
        <v>206</v>
      </c>
      <c r="I2225" s="51"/>
      <c r="J2225" s="51">
        <v>5.95</v>
      </c>
      <c r="K2225" s="52">
        <f>Tabela6[[#This Row],[CONSUMO]]*Tabela6[[#This Row],[VALOR UNIT]]-Tabela6[[#This Row],[DESCONTO]]</f>
        <v>1225.7</v>
      </c>
      <c r="L2225" s="53">
        <f>Tabela6[[#This Row],[CUSTO TOTAL]]/Tabela6[[#This Row],[CONSUMO]]</f>
        <v>5.95</v>
      </c>
      <c r="M2225" s="50">
        <f>Tabela6[[#This Row],[KM ATUAL]]-E2146</f>
        <v>456060</v>
      </c>
      <c r="N2225" s="51">
        <f>Tabela6[[#This Row],[KM Rodados ]]/Tabela6[[#This Row],[CONSUMO]]</f>
        <v>2213.8834951456311</v>
      </c>
    </row>
    <row r="2226" spans="1:14" x14ac:dyDescent="0.25">
      <c r="A2226" s="47">
        <v>189863</v>
      </c>
      <c r="B2226" s="78">
        <v>45173</v>
      </c>
      <c r="C2226" s="47" t="s">
        <v>206</v>
      </c>
      <c r="D2226" s="49" t="s">
        <v>322</v>
      </c>
      <c r="E2226" s="47">
        <v>960563</v>
      </c>
      <c r="F2226" s="50" t="s">
        <v>89</v>
      </c>
      <c r="G2226" s="50" t="s">
        <v>89</v>
      </c>
      <c r="H2226" s="50">
        <v>408.02100000000002</v>
      </c>
      <c r="I2226" s="51"/>
      <c r="J2226" s="51">
        <v>5.89</v>
      </c>
      <c r="K2226" s="52">
        <f>Tabela6[[#This Row],[CONSUMO]]*Tabela6[[#This Row],[VALOR UNIT]]-Tabela6[[#This Row],[DESCONTO]]</f>
        <v>2403.2436899999998</v>
      </c>
      <c r="L2226" s="53">
        <f>Tabela6[[#This Row],[CUSTO TOTAL]]/Tabela6[[#This Row],[CONSUMO]]</f>
        <v>5.89</v>
      </c>
      <c r="M2226" s="50">
        <f>Tabela6[[#This Row],[KM ATUAL]]-E2207</f>
        <v>804981</v>
      </c>
      <c r="N2226" s="51">
        <f>Tabela6[[#This Row],[KM Rodados ]]/Tabela6[[#This Row],[CONSUMO]]</f>
        <v>1972.8911011933208</v>
      </c>
    </row>
    <row r="2227" spans="1:14" x14ac:dyDescent="0.25">
      <c r="A2227" s="47">
        <v>875603</v>
      </c>
      <c r="B2227" s="78">
        <v>45173</v>
      </c>
      <c r="C2227" s="47" t="s">
        <v>12</v>
      </c>
      <c r="D2227" s="49" t="s">
        <v>253</v>
      </c>
      <c r="E2227" s="47">
        <v>321050</v>
      </c>
      <c r="F2227" s="50" t="s">
        <v>89</v>
      </c>
      <c r="G2227" s="50" t="s">
        <v>89</v>
      </c>
      <c r="H2227" s="50">
        <v>104.19</v>
      </c>
      <c r="I2227" s="51"/>
      <c r="J2227" s="51">
        <v>5.99</v>
      </c>
      <c r="K2227" s="52">
        <f>Tabela6[[#This Row],[CONSUMO]]*Tabela6[[#This Row],[VALOR UNIT]]-Tabela6[[#This Row],[DESCONTO]]</f>
        <v>624.09810000000004</v>
      </c>
      <c r="L2227" s="53">
        <f>Tabela6[[#This Row],[CUSTO TOTAL]]/Tabela6[[#This Row],[CONSUMO]]</f>
        <v>5.99</v>
      </c>
      <c r="M2227" s="50">
        <f>Tabela6[[#This Row],[KM ATUAL]]-E2226</f>
        <v>-639513</v>
      </c>
      <c r="N2227" s="51">
        <f>Tabela6[[#This Row],[KM Rodados ]]/Tabela6[[#This Row],[CONSUMO]]</f>
        <v>-6137.9498992225745</v>
      </c>
    </row>
    <row r="2228" spans="1:14" x14ac:dyDescent="0.25">
      <c r="A2228" s="47">
        <v>6981</v>
      </c>
      <c r="B2228" s="78">
        <v>45173</v>
      </c>
      <c r="C2228" s="47" t="s">
        <v>13</v>
      </c>
      <c r="D2228" s="49" t="s">
        <v>299</v>
      </c>
      <c r="E2228" s="47">
        <v>646290</v>
      </c>
      <c r="F2228" s="50"/>
      <c r="G2228" s="50" t="s">
        <v>89</v>
      </c>
      <c r="H2228" s="50">
        <v>83</v>
      </c>
      <c r="I2228" s="51"/>
      <c r="J2228" s="51">
        <v>5.95</v>
      </c>
      <c r="K2228" s="52">
        <f>Tabela6[[#This Row],[CONSUMO]]*Tabela6[[#This Row],[VALOR UNIT]]-Tabela6[[#This Row],[DESCONTO]]</f>
        <v>493.85</v>
      </c>
      <c r="L2228" s="53">
        <f>Tabela6[[#This Row],[CUSTO TOTAL]]/Tabela6[[#This Row],[CONSUMO]]</f>
        <v>5.95</v>
      </c>
      <c r="M2228" s="50">
        <f>Tabela6[[#This Row],[KM ATUAL]]-E2197</f>
        <v>504161</v>
      </c>
      <c r="N2228" s="51">
        <f>Tabela6[[#This Row],[KM Rodados ]]/Tabela6[[#This Row],[CONSUMO]]</f>
        <v>6074.2289156626503</v>
      </c>
    </row>
    <row r="2229" spans="1:14" x14ac:dyDescent="0.25">
      <c r="A2229" s="47">
        <v>205250</v>
      </c>
      <c r="B2229" s="78">
        <v>45173</v>
      </c>
      <c r="C2229" s="49" t="s">
        <v>40</v>
      </c>
      <c r="D2229" s="49" t="s">
        <v>260</v>
      </c>
      <c r="E2229" s="47">
        <v>156114</v>
      </c>
      <c r="F2229" s="49" t="s">
        <v>244</v>
      </c>
      <c r="G2229" s="50" t="s">
        <v>244</v>
      </c>
      <c r="H2229" s="51">
        <v>39.048999999999999</v>
      </c>
      <c r="J2229" s="51">
        <v>5.69</v>
      </c>
      <c r="K2229" s="74">
        <f>Tabela6[[#This Row],[CONSUMO]]*Tabela6[[#This Row],[VALOR UNIT]]-Tabela6[[#This Row],[DESCONTO]]</f>
        <v>222.18881000000002</v>
      </c>
      <c r="L2229" s="53">
        <v>5.69</v>
      </c>
      <c r="M2229" s="50">
        <f>Tabela6[[#This Row],[KM ATUAL]]-E2226</f>
        <v>-804449</v>
      </c>
      <c r="N2229" s="51">
        <f>Tabela6[[#This Row],[KM Rodados ]]/Tabela6[[#This Row],[CONSUMO]]</f>
        <v>-20601.014110476583</v>
      </c>
    </row>
    <row r="2230" spans="1:14" x14ac:dyDescent="0.25">
      <c r="A2230" s="47" t="s">
        <v>314</v>
      </c>
      <c r="B2230" s="78">
        <v>45174</v>
      </c>
      <c r="C2230" s="47" t="s">
        <v>43</v>
      </c>
      <c r="E2230" s="47">
        <v>144838</v>
      </c>
      <c r="F2230" s="50"/>
      <c r="G2230" s="50" t="s">
        <v>89</v>
      </c>
      <c r="H2230" s="50">
        <v>24.3</v>
      </c>
      <c r="I2230" s="51"/>
      <c r="K2230" s="52">
        <f>Tabela6[[#This Row],[CONSUMO]]*Tabela6[[#This Row],[VALOR UNIT]]-Tabela6[[#This Row],[DESCONTO]]</f>
        <v>0</v>
      </c>
      <c r="L2230" s="53">
        <f>Tabela6[[#This Row],[CUSTO TOTAL]]/Tabela6[[#This Row],[CONSUMO]]</f>
        <v>0</v>
      </c>
      <c r="M2230" s="50">
        <f>Tabela6[[#This Row],[KM ATUAL]]-E2226</f>
        <v>-815725</v>
      </c>
      <c r="N2230" s="51">
        <f>Tabela6[[#This Row],[KM Rodados ]]/Tabela6[[#This Row],[CONSUMO]]</f>
        <v>-33568.930041152264</v>
      </c>
    </row>
    <row r="2231" spans="1:14" x14ac:dyDescent="0.25">
      <c r="A2231" s="47">
        <v>304667</v>
      </c>
      <c r="B2231" s="78">
        <v>45174</v>
      </c>
      <c r="C2231" s="47" t="s">
        <v>43</v>
      </c>
      <c r="D2231" s="49" t="s">
        <v>270</v>
      </c>
      <c r="E2231" s="47">
        <v>145066</v>
      </c>
      <c r="F2231" s="50" t="s">
        <v>89</v>
      </c>
      <c r="G2231" s="50" t="s">
        <v>89</v>
      </c>
      <c r="H2231" s="50">
        <v>25.04</v>
      </c>
      <c r="I2231" s="51"/>
      <c r="J2231" s="51">
        <v>5.99</v>
      </c>
      <c r="K2231" s="52">
        <f>Tabela6[[#This Row],[CONSUMO]]*Tabela6[[#This Row],[VALOR UNIT]]-Tabela6[[#This Row],[DESCONTO]]</f>
        <v>149.9896</v>
      </c>
      <c r="L2231" s="53">
        <f>Tabela6[[#This Row],[CUSTO TOTAL]]/Tabela6[[#This Row],[CONSUMO]]</f>
        <v>5.99</v>
      </c>
      <c r="M2231" s="50">
        <f>Tabela6[[#This Row],[KM ATUAL]]-E2230</f>
        <v>228</v>
      </c>
      <c r="N2231" s="51">
        <f>Tabela6[[#This Row],[KM Rodados ]]/Tabela6[[#This Row],[CONSUMO]]</f>
        <v>9.1054313099041533</v>
      </c>
    </row>
    <row r="2232" spans="1:14" x14ac:dyDescent="0.25">
      <c r="A2232" s="47">
        <v>563237</v>
      </c>
      <c r="B2232" s="78">
        <v>45174</v>
      </c>
      <c r="C2232" s="47" t="s">
        <v>9</v>
      </c>
      <c r="D2232" s="49" t="s">
        <v>255</v>
      </c>
      <c r="E2232" s="47">
        <v>621726</v>
      </c>
      <c r="F2232" s="50" t="s">
        <v>89</v>
      </c>
      <c r="G2232" s="50" t="s">
        <v>89</v>
      </c>
      <c r="H2232" s="50">
        <v>53</v>
      </c>
      <c r="I2232" s="51"/>
      <c r="J2232" s="51">
        <v>6.89</v>
      </c>
      <c r="K2232" s="52">
        <f>Tabela6[[#This Row],[CONSUMO]]*Tabela6[[#This Row],[VALOR UNIT]]-Tabela6[[#This Row],[DESCONTO]]</f>
        <v>365.16999999999996</v>
      </c>
      <c r="L2232" s="53">
        <f>Tabela6[[#This Row],[CUSTO TOTAL]]/Tabela6[[#This Row],[CONSUMO]]</f>
        <v>6.8899999999999988</v>
      </c>
      <c r="M2232" s="50">
        <f>Tabela6[[#This Row],[KM ATUAL]]-E2199</f>
        <v>468593</v>
      </c>
      <c r="N2232" s="51">
        <f>Tabela6[[#This Row],[KM Rodados ]]/Tabela6[[#This Row],[CONSUMO]]</f>
        <v>8841.3773584905666</v>
      </c>
    </row>
    <row r="2233" spans="1:14" x14ac:dyDescent="0.25">
      <c r="A2233" s="47">
        <v>6981</v>
      </c>
      <c r="B2233" s="78">
        <v>45174</v>
      </c>
      <c r="C2233" s="47" t="s">
        <v>222</v>
      </c>
      <c r="D2233" s="49" t="s">
        <v>299</v>
      </c>
      <c r="E2233" s="47">
        <v>498450</v>
      </c>
      <c r="F2233" s="50"/>
      <c r="G2233" s="50" t="s">
        <v>89</v>
      </c>
      <c r="H2233" s="50">
        <v>155</v>
      </c>
      <c r="I2233" s="51"/>
      <c r="J2233" s="51">
        <v>5.95</v>
      </c>
      <c r="K2233" s="52">
        <f>Tabela6[[#This Row],[CONSUMO]]*Tabela6[[#This Row],[VALOR UNIT]]-Tabela6[[#This Row],[DESCONTO]]</f>
        <v>922.25</v>
      </c>
      <c r="L2233" s="53">
        <f>Tabela6[[#This Row],[CUSTO TOTAL]]/Tabela6[[#This Row],[CONSUMO]]</f>
        <v>5.95</v>
      </c>
      <c r="M2233" s="50">
        <f>Tabela6[[#This Row],[KM ATUAL]]-E2204</f>
        <v>128792</v>
      </c>
      <c r="N2233" s="51">
        <f>Tabela6[[#This Row],[KM Rodados ]]/Tabela6[[#This Row],[CONSUMO]]</f>
        <v>830.91612903225803</v>
      </c>
    </row>
    <row r="2234" spans="1:14" x14ac:dyDescent="0.25">
      <c r="A2234" s="47">
        <v>659688</v>
      </c>
      <c r="B2234" s="78">
        <v>45174</v>
      </c>
      <c r="C2234" s="47" t="s">
        <v>72</v>
      </c>
      <c r="D2234" s="49" t="s">
        <v>271</v>
      </c>
      <c r="E2234" s="47">
        <v>412295</v>
      </c>
      <c r="F2234" s="82" t="s">
        <v>89</v>
      </c>
      <c r="G2234" s="50" t="s">
        <v>89</v>
      </c>
      <c r="H2234" s="50">
        <v>41.37</v>
      </c>
      <c r="I2234" s="51"/>
      <c r="J2234" s="51">
        <v>5.99</v>
      </c>
      <c r="K2234" s="52">
        <f>Tabela6[[#This Row],[CONSUMO]]*Tabela6[[#This Row],[VALOR UNIT]]-Tabela6[[#This Row],[DESCONTO]]</f>
        <v>247.80629999999999</v>
      </c>
      <c r="L2234" s="53">
        <f>Tabela6[[#This Row],[CUSTO TOTAL]]/Tabela6[[#This Row],[CONSUMO]]</f>
        <v>5.99</v>
      </c>
      <c r="M2234" s="50">
        <f>Tabela6[[#This Row],[KM ATUAL]]-E2202</f>
        <v>91843</v>
      </c>
      <c r="N2234" s="84">
        <f>Tabela6[[#This Row],[KM Rodados ]]/Tabela6[[#This Row],[CONSUMO]]</f>
        <v>2220.0386753686248</v>
      </c>
    </row>
    <row r="2235" spans="1:14" x14ac:dyDescent="0.25">
      <c r="A2235" s="47">
        <v>1166632</v>
      </c>
      <c r="B2235" s="78">
        <v>45174</v>
      </c>
      <c r="C2235" s="47" t="s">
        <v>72</v>
      </c>
      <c r="D2235" s="49" t="s">
        <v>246</v>
      </c>
      <c r="E2235" s="47">
        <v>412924</v>
      </c>
      <c r="F2235" s="50" t="s">
        <v>89</v>
      </c>
      <c r="G2235" s="50" t="s">
        <v>89</v>
      </c>
      <c r="H2235" s="50">
        <v>32.835000000000001</v>
      </c>
      <c r="I2235" s="51">
        <v>26.92</v>
      </c>
      <c r="J2235" s="51">
        <v>6.71</v>
      </c>
      <c r="K2235" s="52">
        <f>Tabela6[[#This Row],[CONSUMO]]*Tabela6[[#This Row],[VALOR UNIT]]-Tabela6[[#This Row],[DESCONTO]]</f>
        <v>193.40285</v>
      </c>
      <c r="L2235" s="53">
        <f>Tabela6[[#This Row],[CUSTO TOTAL]]/Tabela6[[#This Row],[CONSUMO]]</f>
        <v>5.8901431399421345</v>
      </c>
      <c r="M2235" s="50">
        <f>Tabela6[[#This Row],[KM ATUAL]]-E2228</f>
        <v>-233366</v>
      </c>
      <c r="N2235" s="84">
        <f>Tabela6[[#This Row],[KM Rodados ]]/Tabela6[[#This Row],[CONSUMO]]</f>
        <v>-7107.2331353738391</v>
      </c>
    </row>
    <row r="2236" spans="1:14" x14ac:dyDescent="0.25">
      <c r="A2236" s="47">
        <v>30244</v>
      </c>
      <c r="B2236" s="78">
        <v>45174</v>
      </c>
      <c r="C2236" s="47" t="s">
        <v>64</v>
      </c>
      <c r="D2236" s="49" t="s">
        <v>253</v>
      </c>
      <c r="E2236" s="47">
        <v>91324</v>
      </c>
      <c r="F2236" s="50" t="s">
        <v>89</v>
      </c>
      <c r="G2236" s="50" t="s">
        <v>89</v>
      </c>
      <c r="H2236" s="50">
        <v>146.09</v>
      </c>
      <c r="I2236" s="51"/>
      <c r="J2236" s="51">
        <v>5.99</v>
      </c>
      <c r="K2236" s="52">
        <f>Tabela6[[#This Row],[CONSUMO]]*Tabela6[[#This Row],[VALOR UNIT]]-Tabela6[[#This Row],[DESCONTO]]</f>
        <v>875.07910000000004</v>
      </c>
      <c r="L2236" s="53">
        <f>Tabela6[[#This Row],[CUSTO TOTAL]]/Tabela6[[#This Row],[CONSUMO]]</f>
        <v>5.99</v>
      </c>
      <c r="M2236" s="50">
        <f>Tabela6[[#This Row],[KM ATUAL]]-E2208</f>
        <v>91324</v>
      </c>
      <c r="N2236" s="84">
        <f>Tabela6[[#This Row],[KM Rodados ]]/Tabela6[[#This Row],[CONSUMO]]</f>
        <v>625.12150044493114</v>
      </c>
    </row>
    <row r="2237" spans="1:14" x14ac:dyDescent="0.25">
      <c r="A2237" s="47">
        <v>7069</v>
      </c>
      <c r="B2237" s="78">
        <v>45174</v>
      </c>
      <c r="C2237" s="47" t="s">
        <v>21</v>
      </c>
      <c r="D2237" s="49" t="s">
        <v>299</v>
      </c>
      <c r="E2237" s="47">
        <v>153502</v>
      </c>
      <c r="F2237" s="50"/>
      <c r="G2237" s="50" t="s">
        <v>89</v>
      </c>
      <c r="H2237" s="50">
        <v>87</v>
      </c>
      <c r="I2237" s="51"/>
      <c r="J2237" s="51">
        <v>5.88</v>
      </c>
      <c r="K2237" s="52">
        <f>Tabela6[[#This Row],[CONSUMO]]*Tabela6[[#This Row],[VALOR UNIT]]-Tabela6[[#This Row],[DESCONTO]]</f>
        <v>511.56</v>
      </c>
      <c r="L2237" s="53">
        <f>Tabela6[[#This Row],[CUSTO TOTAL]]/Tabela6[[#This Row],[CONSUMO]]</f>
        <v>5.88</v>
      </c>
      <c r="M2237" s="50">
        <f>Tabela6[[#This Row],[KM ATUAL]]-E2200</f>
        <v>-887531</v>
      </c>
      <c r="N2237" s="51">
        <f>Tabela6[[#This Row],[KM Rodados ]]/Tabela6[[#This Row],[CONSUMO]]</f>
        <v>-10201.505747126437</v>
      </c>
    </row>
    <row r="2238" spans="1:14" x14ac:dyDescent="0.25">
      <c r="A2238" s="47">
        <v>10826</v>
      </c>
      <c r="B2238" s="78">
        <v>45174</v>
      </c>
      <c r="C2238" s="47" t="s">
        <v>13</v>
      </c>
      <c r="D2238" s="49" t="s">
        <v>247</v>
      </c>
      <c r="E2238" s="47">
        <v>646881</v>
      </c>
      <c r="F2238" s="50" t="s">
        <v>89</v>
      </c>
      <c r="G2238" s="50" t="s">
        <v>89</v>
      </c>
      <c r="H2238" s="50">
        <v>134.02000000000001</v>
      </c>
      <c r="I2238" s="51"/>
      <c r="J2238" s="51">
        <v>6.29</v>
      </c>
      <c r="K2238" s="52">
        <f>Tabela6[[#This Row],[CONSUMO]]*Tabela6[[#This Row],[VALOR UNIT]]-Tabela6[[#This Row],[DESCONTO]]</f>
        <v>842.98580000000004</v>
      </c>
      <c r="L2238" s="53">
        <f>Tabela6[[#This Row],[CUSTO TOTAL]]/Tabela6[[#This Row],[CONSUMO]]</f>
        <v>6.29</v>
      </c>
      <c r="M2238" s="50">
        <f>Tabela6[[#This Row],[KM ATUAL]]-E2227</f>
        <v>325831</v>
      </c>
      <c r="N2238" s="51">
        <f>Tabela6[[#This Row],[KM Rodados ]]/Tabela6[[#This Row],[CONSUMO]]</f>
        <v>2431.2117594388897</v>
      </c>
    </row>
    <row r="2239" spans="1:14" x14ac:dyDescent="0.25">
      <c r="A2239" s="47" t="s">
        <v>314</v>
      </c>
      <c r="B2239" s="78">
        <v>45174</v>
      </c>
      <c r="C2239" s="47" t="s">
        <v>15</v>
      </c>
      <c r="E2239" s="47">
        <v>382091</v>
      </c>
      <c r="F2239" s="50"/>
      <c r="G2239" s="50" t="s">
        <v>89</v>
      </c>
      <c r="H2239" s="50">
        <v>119</v>
      </c>
      <c r="I2239" s="51"/>
      <c r="K2239" s="52">
        <f>Tabela6[[#This Row],[CONSUMO]]*Tabela6[[#This Row],[VALOR UNIT]]-Tabela6[[#This Row],[DESCONTO]]</f>
        <v>0</v>
      </c>
      <c r="L2239" s="53">
        <f>Tabela6[[#This Row],[CUSTO TOTAL]]/Tabela6[[#This Row],[CONSUMO]]</f>
        <v>0</v>
      </c>
      <c r="M2239" s="50">
        <f>Tabela6[[#This Row],[KM ATUAL]]-E2127</f>
        <v>309823</v>
      </c>
      <c r="N2239" s="51">
        <f>Tabela6[[#This Row],[KM Rodados ]]/Tabela6[[#This Row],[CONSUMO]]</f>
        <v>2603.5546218487393</v>
      </c>
    </row>
    <row r="2240" spans="1:14" x14ac:dyDescent="0.25">
      <c r="A2240" s="47">
        <v>6981</v>
      </c>
      <c r="B2240" s="78">
        <v>45174</v>
      </c>
      <c r="C2240" s="47" t="s">
        <v>17</v>
      </c>
      <c r="D2240" s="49" t="s">
        <v>299</v>
      </c>
      <c r="E2240" s="47">
        <v>370126</v>
      </c>
      <c r="F2240" s="50"/>
      <c r="G2240" s="50" t="s">
        <v>89</v>
      </c>
      <c r="H2240" s="50">
        <v>110</v>
      </c>
      <c r="I2240" s="51"/>
      <c r="J2240" s="51">
        <v>5.95</v>
      </c>
      <c r="K2240" s="52">
        <f>Tabela6[[#This Row],[CONSUMO]]*Tabela6[[#This Row],[VALOR UNIT]]-Tabela6[[#This Row],[DESCONTO]]</f>
        <v>654.5</v>
      </c>
      <c r="L2240" s="53">
        <f>Tabela6[[#This Row],[CUSTO TOTAL]]/Tabela6[[#This Row],[CONSUMO]]</f>
        <v>5.95</v>
      </c>
      <c r="M2240" s="50">
        <f>Tabela6[[#This Row],[KM ATUAL]]-E2203</f>
        <v>-11137</v>
      </c>
      <c r="N2240" s="51">
        <f>Tabela6[[#This Row],[KM Rodados ]]/Tabela6[[#This Row],[CONSUMO]]</f>
        <v>-101.24545454545455</v>
      </c>
    </row>
    <row r="2241" spans="1:14" x14ac:dyDescent="0.25">
      <c r="A2241" s="47">
        <v>563151</v>
      </c>
      <c r="B2241" s="78">
        <v>45174</v>
      </c>
      <c r="C2241" s="47" t="s">
        <v>18</v>
      </c>
      <c r="D2241" s="49" t="s">
        <v>255</v>
      </c>
      <c r="E2241" s="47">
        <v>326923</v>
      </c>
      <c r="F2241" s="50"/>
      <c r="G2241" s="50" t="s">
        <v>89</v>
      </c>
      <c r="H2241" s="50">
        <v>84.021000000000001</v>
      </c>
      <c r="I2241" s="51"/>
      <c r="J2241" s="51">
        <v>6.89</v>
      </c>
      <c r="K2241" s="52">
        <f>Tabela6[[#This Row],[CONSUMO]]*Tabela6[[#This Row],[VALOR UNIT]]-Tabela6[[#This Row],[DESCONTO]]</f>
        <v>578.90468999999996</v>
      </c>
      <c r="L2241" s="53">
        <f>Tabela6[[#This Row],[CUSTO TOTAL]]/Tabela6[[#This Row],[CONSUMO]]</f>
        <v>6.89</v>
      </c>
      <c r="M2241" s="50">
        <f>Tabela6[[#This Row],[KM ATUAL]]-E2087</f>
        <v>326410</v>
      </c>
      <c r="N2241" s="51">
        <f>Tabela6[[#This Row],[KM Rodados ]]/Tabela6[[#This Row],[CONSUMO]]</f>
        <v>3884.8621178038825</v>
      </c>
    </row>
    <row r="2242" spans="1:14" x14ac:dyDescent="0.25">
      <c r="A2242" s="47">
        <v>6981</v>
      </c>
      <c r="B2242" s="78">
        <v>45174</v>
      </c>
      <c r="C2242" s="47" t="s">
        <v>19</v>
      </c>
      <c r="D2242" s="49" t="s">
        <v>299</v>
      </c>
      <c r="E2242" s="47">
        <v>325044</v>
      </c>
      <c r="F2242" s="50"/>
      <c r="G2242" s="50" t="s">
        <v>89</v>
      </c>
      <c r="H2242" s="50">
        <v>132</v>
      </c>
      <c r="I2242" s="51"/>
      <c r="J2242" s="51">
        <v>5.95</v>
      </c>
      <c r="K2242" s="52">
        <f>Tabela6[[#This Row],[CONSUMO]]*Tabela6[[#This Row],[VALOR UNIT]]-Tabela6[[#This Row],[DESCONTO]]</f>
        <v>785.4</v>
      </c>
      <c r="L2242" s="53">
        <f>Tabela6[[#This Row],[CUSTO TOTAL]]/Tabela6[[#This Row],[CONSUMO]]</f>
        <v>5.95</v>
      </c>
      <c r="M2242" s="50">
        <f>Tabela6[[#This Row],[KM ATUAL]]-E2197</f>
        <v>182915</v>
      </c>
      <c r="N2242" s="51">
        <f>Tabela6[[#This Row],[KM Rodados ]]/Tabela6[[#This Row],[CONSUMO]]</f>
        <v>1385.719696969697</v>
      </c>
    </row>
    <row r="2243" spans="1:14" x14ac:dyDescent="0.25">
      <c r="A2243" s="47">
        <v>563056</v>
      </c>
      <c r="B2243" s="78">
        <v>45174</v>
      </c>
      <c r="C2243" s="47" t="s">
        <v>38</v>
      </c>
      <c r="D2243" s="49" t="s">
        <v>255</v>
      </c>
      <c r="E2243" s="47">
        <v>136400</v>
      </c>
      <c r="F2243" s="50" t="s">
        <v>244</v>
      </c>
      <c r="G2243" s="50" t="s">
        <v>244</v>
      </c>
      <c r="H2243" s="50">
        <v>52.26</v>
      </c>
      <c r="I2243" s="51"/>
      <c r="J2243" s="51">
        <v>5.94</v>
      </c>
      <c r="K2243" s="52">
        <f>Tabela6[[#This Row],[CONSUMO]]*Tabela6[[#This Row],[VALOR UNIT]]-Tabela6[[#This Row],[DESCONTO]]</f>
        <v>310.42439999999999</v>
      </c>
      <c r="L2243" s="53">
        <f>Tabela6[[#This Row],[CUSTO TOTAL]]/Tabela6[[#This Row],[CONSUMO]]</f>
        <v>5.94</v>
      </c>
      <c r="M2243" s="50">
        <f>Tabela6[[#This Row],[KM ATUAL]]-E2082</f>
        <v>-188806</v>
      </c>
      <c r="N2243" s="51">
        <f>Tabela6[[#This Row],[KM Rodados ]]/Tabela6[[#This Row],[CONSUMO]]</f>
        <v>-3612.8205128205132</v>
      </c>
    </row>
    <row r="2244" spans="1:14" x14ac:dyDescent="0.25">
      <c r="A2244" s="47">
        <v>328546</v>
      </c>
      <c r="B2244" s="78">
        <v>45174</v>
      </c>
      <c r="C2244" s="49" t="s">
        <v>40</v>
      </c>
      <c r="D2244" s="49" t="s">
        <v>276</v>
      </c>
      <c r="E2244" s="47">
        <v>156747</v>
      </c>
      <c r="F2244" s="49" t="s">
        <v>244</v>
      </c>
      <c r="G2244" s="50" t="s">
        <v>244</v>
      </c>
      <c r="H2244" s="51">
        <v>44.55</v>
      </c>
      <c r="J2244" s="51">
        <v>5.89</v>
      </c>
      <c r="K2244" s="74">
        <f>Tabela6[[#This Row],[CONSUMO]]*Tabela6[[#This Row],[VALOR UNIT]]-Tabela6[[#This Row],[DESCONTO]]</f>
        <v>262.39949999999999</v>
      </c>
      <c r="L2244" s="53">
        <v>5.8900000000000006</v>
      </c>
      <c r="M2244" s="50">
        <f>Tabela6[[#This Row],[KM ATUAL]]-E2243</f>
        <v>20347</v>
      </c>
      <c r="N2244" s="51">
        <f>Tabela6[[#This Row],[KM Rodados ]]/Tabela6[[#This Row],[CONSUMO]]</f>
        <v>456.72278338945006</v>
      </c>
    </row>
    <row r="2245" spans="1:14" x14ac:dyDescent="0.25">
      <c r="A2245" s="47">
        <v>328546</v>
      </c>
      <c r="B2245" s="78">
        <v>45174</v>
      </c>
      <c r="C2245" s="47" t="s">
        <v>40</v>
      </c>
      <c r="D2245" s="49" t="s">
        <v>276</v>
      </c>
      <c r="E2245" s="47">
        <v>156747</v>
      </c>
      <c r="F2245" s="82"/>
      <c r="G2245" s="50" t="s">
        <v>244</v>
      </c>
      <c r="H2245" s="50">
        <v>44.55</v>
      </c>
      <c r="I2245" s="51"/>
      <c r="J2245" s="51">
        <v>5.89</v>
      </c>
      <c r="K2245" s="52">
        <f>Tabela6[[#This Row],[CONSUMO]]*Tabela6[[#This Row],[VALOR UNIT]]-Tabela6[[#This Row],[DESCONTO]]</f>
        <v>262.39949999999999</v>
      </c>
      <c r="L2245" s="53">
        <f>Tabela6[[#This Row],[CUSTO TOTAL]]/Tabela6[[#This Row],[CONSUMO]]</f>
        <v>5.8900000000000006</v>
      </c>
      <c r="M2245" s="50">
        <f>Tabela6[[#This Row],[KM ATUAL]]-E2179</f>
        <v>12649</v>
      </c>
      <c r="N2245" s="84">
        <f>Tabela6[[#This Row],[KM Rodados ]]/Tabela6[[#This Row],[CONSUMO]]</f>
        <v>283.9281705948373</v>
      </c>
    </row>
    <row r="2246" spans="1:14" x14ac:dyDescent="0.25">
      <c r="A2246" s="47">
        <v>205537</v>
      </c>
      <c r="B2246" s="78">
        <v>45174</v>
      </c>
      <c r="C2246" s="47" t="s">
        <v>74</v>
      </c>
      <c r="D2246" s="49" t="s">
        <v>262</v>
      </c>
      <c r="E2246" s="47">
        <v>74902</v>
      </c>
      <c r="F2246" s="50" t="s">
        <v>241</v>
      </c>
      <c r="G2246" s="50" t="s">
        <v>241</v>
      </c>
      <c r="H2246" s="50">
        <v>2.7240000000000002</v>
      </c>
      <c r="I2246" s="51">
        <v>0.98</v>
      </c>
      <c r="J2246" s="51">
        <v>3.69</v>
      </c>
      <c r="K2246" s="52">
        <f>Tabela6[[#This Row],[CONSUMO]]*Tabela6[[#This Row],[VALOR UNIT]]-Tabela6[[#This Row],[DESCONTO]]</f>
        <v>9.0715599999999998</v>
      </c>
      <c r="L2246" s="53">
        <f>Tabela6[[#This Row],[CUSTO TOTAL]]/Tabela6[[#This Row],[CONSUMO]]</f>
        <v>3.3302349486049923</v>
      </c>
      <c r="M2246" s="53"/>
      <c r="N2246" s="49"/>
    </row>
    <row r="2247" spans="1:14" x14ac:dyDescent="0.25">
      <c r="A2247" s="47">
        <v>6981</v>
      </c>
      <c r="B2247" s="78">
        <v>45174</v>
      </c>
      <c r="C2247" s="47" t="s">
        <v>74</v>
      </c>
      <c r="D2247" s="49" t="s">
        <v>299</v>
      </c>
      <c r="E2247" s="47">
        <v>74873</v>
      </c>
      <c r="F2247" s="50"/>
      <c r="G2247" s="50" t="s">
        <v>89</v>
      </c>
      <c r="H2247" s="50">
        <v>100</v>
      </c>
      <c r="I2247" s="51"/>
      <c r="J2247" s="51">
        <v>5.95</v>
      </c>
      <c r="K2247" s="52">
        <f>Tabela6[[#This Row],[CONSUMO]]*Tabela6[[#This Row],[VALOR UNIT]]-Tabela6[[#This Row],[DESCONTO]]</f>
        <v>595</v>
      </c>
      <c r="L2247" s="53">
        <f>Tabela6[[#This Row],[CUSTO TOTAL]]/Tabela6[[#This Row],[CONSUMO]]</f>
        <v>5.95</v>
      </c>
      <c r="M2247" s="50">
        <f>Tabela6[[#This Row],[KM ATUAL]]-E2213</f>
        <v>-67422</v>
      </c>
      <c r="N2247" s="51">
        <f>Tabela6[[#This Row],[KM Rodados ]]/Tabela6[[#This Row],[CONSUMO]]</f>
        <v>-674.22</v>
      </c>
    </row>
    <row r="2248" spans="1:14" x14ac:dyDescent="0.25">
      <c r="A2248" s="47">
        <v>7069</v>
      </c>
      <c r="B2248" s="78">
        <v>45175</v>
      </c>
      <c r="C2248" s="47" t="s">
        <v>68</v>
      </c>
      <c r="D2248" s="49" t="s">
        <v>299</v>
      </c>
      <c r="E2248" s="47">
        <v>913673</v>
      </c>
      <c r="F2248" s="50"/>
      <c r="G2248" s="50" t="s">
        <v>89</v>
      </c>
      <c r="H2248" s="50">
        <v>305</v>
      </c>
      <c r="I2248" s="51"/>
      <c r="J2248" s="51">
        <v>5.88</v>
      </c>
      <c r="K2248" s="52">
        <f>Tabela6[[#This Row],[CONSUMO]]*Tabela6[[#This Row],[VALOR UNIT]]-Tabela6[[#This Row],[DESCONTO]]</f>
        <v>1793.3999999999999</v>
      </c>
      <c r="L2248" s="53">
        <f>Tabela6[[#This Row],[CUSTO TOTAL]]/Tabela6[[#This Row],[CONSUMO]]</f>
        <v>5.88</v>
      </c>
      <c r="M2248" s="50">
        <f>Tabela6[[#This Row],[KM ATUAL]]-E2214</f>
        <v>770678</v>
      </c>
      <c r="N2248" s="51">
        <f>Tabela6[[#This Row],[KM Rodados ]]/Tabela6[[#This Row],[CONSUMO]]</f>
        <v>2526.8131147540985</v>
      </c>
    </row>
    <row r="2249" spans="1:14" x14ac:dyDescent="0.25">
      <c r="A2249" s="47">
        <v>7069</v>
      </c>
      <c r="B2249" s="78">
        <v>45175</v>
      </c>
      <c r="C2249" s="47" t="s">
        <v>43</v>
      </c>
      <c r="D2249" s="49" t="s">
        <v>299</v>
      </c>
      <c r="E2249" s="47">
        <v>145157</v>
      </c>
      <c r="F2249" s="50"/>
      <c r="G2249" s="50" t="s">
        <v>89</v>
      </c>
      <c r="H2249" s="50">
        <v>13</v>
      </c>
      <c r="I2249" s="51"/>
      <c r="J2249" s="51">
        <v>5.88</v>
      </c>
      <c r="K2249" s="52">
        <f>Tabela6[[#This Row],[CONSUMO]]*Tabela6[[#This Row],[VALOR UNIT]]-Tabela6[[#This Row],[DESCONTO]]</f>
        <v>76.44</v>
      </c>
      <c r="L2249" s="53">
        <f>Tabela6[[#This Row],[CUSTO TOTAL]]/Tabela6[[#This Row],[CONSUMO]]</f>
        <v>5.88</v>
      </c>
      <c r="M2249" s="50">
        <f>Tabela6[[#This Row],[KM ATUAL]]-E2226</f>
        <v>-815406</v>
      </c>
      <c r="N2249" s="51">
        <f>Tabela6[[#This Row],[KM Rodados ]]/Tabela6[[#This Row],[CONSUMO]]</f>
        <v>-62723.538461538461</v>
      </c>
    </row>
    <row r="2250" spans="1:14" x14ac:dyDescent="0.25">
      <c r="A2250" s="47">
        <v>269060</v>
      </c>
      <c r="B2250" s="78">
        <v>45175</v>
      </c>
      <c r="C2250" s="47" t="s">
        <v>222</v>
      </c>
      <c r="D2250" s="49" t="s">
        <v>263</v>
      </c>
      <c r="E2250" s="47">
        <v>498947</v>
      </c>
      <c r="F2250" s="50" t="s">
        <v>241</v>
      </c>
      <c r="G2250" s="50" t="s">
        <v>241</v>
      </c>
      <c r="H2250" s="50">
        <v>39</v>
      </c>
      <c r="I2250" s="51"/>
      <c r="J2250" s="51">
        <v>3.49</v>
      </c>
      <c r="K2250" s="52">
        <f>Tabela6[[#This Row],[CONSUMO]]*Tabela6[[#This Row],[VALOR UNIT]]-Tabela6[[#This Row],[DESCONTO]]</f>
        <v>136.11000000000001</v>
      </c>
      <c r="L2250" s="53">
        <f>Tabela6[[#This Row],[CUSTO TOTAL]]/Tabela6[[#This Row],[CONSUMO]]</f>
        <v>3.49</v>
      </c>
      <c r="M2250" s="53"/>
      <c r="N2250" s="49"/>
    </row>
    <row r="2251" spans="1:14" x14ac:dyDescent="0.25">
      <c r="A2251" s="47">
        <v>305001</v>
      </c>
      <c r="B2251" s="78">
        <v>45175</v>
      </c>
      <c r="C2251" s="47" t="s">
        <v>222</v>
      </c>
      <c r="D2251" s="49" t="s">
        <v>270</v>
      </c>
      <c r="E2251" s="47">
        <v>499211</v>
      </c>
      <c r="F2251" s="50" t="s">
        <v>89</v>
      </c>
      <c r="G2251" s="50" t="s">
        <v>89</v>
      </c>
      <c r="H2251" s="50">
        <v>309</v>
      </c>
      <c r="I2251" s="51"/>
      <c r="J2251" s="51">
        <v>6.09</v>
      </c>
      <c r="K2251" s="52">
        <f>Tabela6[[#This Row],[CONSUMO]]*Tabela6[[#This Row],[VALOR UNIT]]-Tabela6[[#This Row],[DESCONTO]]</f>
        <v>1881.81</v>
      </c>
      <c r="L2251" s="53">
        <f>Tabela6[[#This Row],[CUSTO TOTAL]]/Tabela6[[#This Row],[CONSUMO]]</f>
        <v>6.09</v>
      </c>
      <c r="M2251" s="50">
        <f>Tabela6[[#This Row],[KM ATUAL]]-E2213</f>
        <v>356916</v>
      </c>
      <c r="N2251" s="51">
        <f>Tabela6[[#This Row],[KM Rodados ]]/Tabela6[[#This Row],[CONSUMO]]</f>
        <v>1155.0679611650485</v>
      </c>
    </row>
    <row r="2252" spans="1:14" x14ac:dyDescent="0.25">
      <c r="A2252" s="47">
        <v>7069</v>
      </c>
      <c r="B2252" s="78">
        <v>45175</v>
      </c>
      <c r="C2252" s="47" t="s">
        <v>67</v>
      </c>
      <c r="D2252" s="49" t="s">
        <v>299</v>
      </c>
      <c r="E2252" s="47">
        <v>678869</v>
      </c>
      <c r="F2252" s="50"/>
      <c r="G2252" s="50" t="s">
        <v>89</v>
      </c>
      <c r="H2252" s="50">
        <v>90</v>
      </c>
      <c r="I2252" s="51"/>
      <c r="J2252" s="51">
        <v>5.88</v>
      </c>
      <c r="K2252" s="52">
        <f>Tabela6[[#This Row],[CONSUMO]]*Tabela6[[#This Row],[VALOR UNIT]]-Tabela6[[#This Row],[DESCONTO]]</f>
        <v>529.20000000000005</v>
      </c>
      <c r="L2252" s="53">
        <f>Tabela6[[#This Row],[CUSTO TOTAL]]/Tabela6[[#This Row],[CONSUMO]]</f>
        <v>5.8800000000000008</v>
      </c>
      <c r="M2252" s="50">
        <f>Tabela6[[#This Row],[KM ATUAL]]-E2225</f>
        <v>-45237</v>
      </c>
      <c r="N2252" s="51">
        <f>Tabela6[[#This Row],[KM Rodados ]]/Tabela6[[#This Row],[CONSUMO]]</f>
        <v>-502.63333333333333</v>
      </c>
    </row>
    <row r="2253" spans="1:14" x14ac:dyDescent="0.25">
      <c r="A2253" s="47">
        <v>597427</v>
      </c>
      <c r="B2253" s="78">
        <v>45175</v>
      </c>
      <c r="C2253" s="47" t="s">
        <v>70</v>
      </c>
      <c r="D2253" s="49" t="s">
        <v>275</v>
      </c>
      <c r="E2253" s="47">
        <v>226780</v>
      </c>
      <c r="F2253" s="50" t="s">
        <v>89</v>
      </c>
      <c r="G2253" s="50" t="s">
        <v>89</v>
      </c>
      <c r="H2253" s="50">
        <v>399.65</v>
      </c>
      <c r="I2253" s="51"/>
      <c r="J2253" s="51">
        <v>6.12</v>
      </c>
      <c r="K2253" s="52">
        <f>Tabela6[[#This Row],[CONSUMO]]*Tabela6[[#This Row],[VALOR UNIT]]-Tabela6[[#This Row],[DESCONTO]]</f>
        <v>2445.8579999999997</v>
      </c>
      <c r="L2253" s="53">
        <f>Tabela6[[#This Row],[CUSTO TOTAL]]/Tabela6[[#This Row],[CONSUMO]]</f>
        <v>6.1199999999999992</v>
      </c>
      <c r="M2253" s="50">
        <f>Tabela6[[#This Row],[KM ATUAL]]-E2232</f>
        <v>-394946</v>
      </c>
      <c r="N2253" s="84">
        <f>Tabela6[[#This Row],[KM Rodados ]]/Tabela6[[#This Row],[CONSUMO]]</f>
        <v>-988.22970098836493</v>
      </c>
    </row>
    <row r="2254" spans="1:14" x14ac:dyDescent="0.25">
      <c r="A2254" s="47">
        <v>7069</v>
      </c>
      <c r="B2254" s="78">
        <v>45175</v>
      </c>
      <c r="C2254" s="47" t="s">
        <v>73</v>
      </c>
      <c r="D2254" s="49" t="s">
        <v>299</v>
      </c>
      <c r="E2254" s="47">
        <v>144419</v>
      </c>
      <c r="F2254" s="50"/>
      <c r="G2254" s="50" t="s">
        <v>89</v>
      </c>
      <c r="H2254" s="50">
        <v>170</v>
      </c>
      <c r="I2254" s="51"/>
      <c r="J2254" s="51">
        <v>5.88</v>
      </c>
      <c r="K2254" s="52">
        <f>Tabela6[[#This Row],[CONSUMO]]*Tabela6[[#This Row],[VALOR UNIT]]-Tabela6[[#This Row],[DESCONTO]]</f>
        <v>999.6</v>
      </c>
      <c r="L2254" s="53">
        <f>Tabela6[[#This Row],[CUSTO TOTAL]]/Tabela6[[#This Row],[CONSUMO]]</f>
        <v>5.88</v>
      </c>
      <c r="M2254" s="50">
        <f>Tabela6[[#This Row],[KM ATUAL]]-E2220</f>
        <v>-190776</v>
      </c>
      <c r="N2254" s="51">
        <f>Tabela6[[#This Row],[KM Rodados ]]/Tabela6[[#This Row],[CONSUMO]]</f>
        <v>-1122.2117647058824</v>
      </c>
    </row>
    <row r="2255" spans="1:14" x14ac:dyDescent="0.25">
      <c r="A2255" s="47">
        <v>7069</v>
      </c>
      <c r="B2255" s="78">
        <v>45175</v>
      </c>
      <c r="C2255" s="47" t="s">
        <v>71</v>
      </c>
      <c r="D2255" s="49" t="s">
        <v>299</v>
      </c>
      <c r="E2255" s="47">
        <v>122310</v>
      </c>
      <c r="F2255" s="50"/>
      <c r="G2255" s="50" t="s">
        <v>89</v>
      </c>
      <c r="H2255" s="50">
        <v>378</v>
      </c>
      <c r="I2255" s="51"/>
      <c r="J2255" s="51">
        <v>5.88</v>
      </c>
      <c r="K2255" s="52">
        <f>Tabela6[[#This Row],[CONSUMO]]*Tabela6[[#This Row],[VALOR UNIT]]-Tabela6[[#This Row],[DESCONTO]]</f>
        <v>2222.64</v>
      </c>
      <c r="L2255" s="53">
        <f>Tabela6[[#This Row],[CUSTO TOTAL]]/Tabela6[[#This Row],[CONSUMO]]</f>
        <v>5.88</v>
      </c>
      <c r="M2255" s="50">
        <f>Tabela6[[#This Row],[KM ATUAL]]-E2180</f>
        <v>-22014</v>
      </c>
      <c r="N2255" s="51">
        <f>Tabela6[[#This Row],[KM Rodados ]]/Tabela6[[#This Row],[CONSUMO]]</f>
        <v>-58.238095238095241</v>
      </c>
    </row>
    <row r="2256" spans="1:14" x14ac:dyDescent="0.25">
      <c r="A2256" s="49" t="s">
        <v>314</v>
      </c>
      <c r="B2256" s="78">
        <v>45175</v>
      </c>
      <c r="C2256" s="47" t="s">
        <v>41</v>
      </c>
      <c r="E2256" s="47">
        <v>674225</v>
      </c>
      <c r="F2256" s="50"/>
      <c r="G2256" s="50" t="s">
        <v>89</v>
      </c>
      <c r="H2256" s="50">
        <v>78.5</v>
      </c>
      <c r="I2256" s="51"/>
      <c r="K2256" s="52">
        <f>Tabela6[[#This Row],[CONSUMO]]*Tabela6[[#This Row],[VALOR UNIT]]-Tabela6[[#This Row],[DESCONTO]]</f>
        <v>0</v>
      </c>
      <c r="L2256" s="53">
        <f>Tabela6[[#This Row],[CUSTO TOTAL]]/Tabela6[[#This Row],[CONSUMO]]</f>
        <v>0</v>
      </c>
      <c r="M2256" s="50">
        <f>Tabela6[[#This Row],[KM ATUAL]]-E2169</f>
        <v>176261</v>
      </c>
      <c r="N2256" s="51">
        <f>Tabela6[[#This Row],[KM Rodados ]]/Tabela6[[#This Row],[CONSUMO]]</f>
        <v>2245.3630573248406</v>
      </c>
    </row>
    <row r="2257" spans="1:14" x14ac:dyDescent="0.25">
      <c r="A2257" s="47">
        <v>7069</v>
      </c>
      <c r="B2257" s="78">
        <v>45175</v>
      </c>
      <c r="C2257" s="47" t="s">
        <v>10</v>
      </c>
      <c r="D2257" s="49" t="s">
        <v>299</v>
      </c>
      <c r="E2257" s="47">
        <v>724501</v>
      </c>
      <c r="F2257" s="50"/>
      <c r="G2257" s="50" t="s">
        <v>89</v>
      </c>
      <c r="H2257" s="50">
        <v>113</v>
      </c>
      <c r="I2257" s="51"/>
      <c r="J2257" s="51">
        <v>5.88</v>
      </c>
      <c r="K2257" s="52">
        <f>Tabela6[[#This Row],[CONSUMO]]*Tabela6[[#This Row],[VALOR UNIT]]-Tabela6[[#This Row],[DESCONTO]]</f>
        <v>664.43999999999994</v>
      </c>
      <c r="L2257" s="53">
        <f>Tabela6[[#This Row],[CUSTO TOTAL]]/Tabela6[[#This Row],[CONSUMO]]</f>
        <v>5.88</v>
      </c>
      <c r="M2257" s="50">
        <f>Tabela6[[#This Row],[KM ATUAL]]-E2222</f>
        <v>580927</v>
      </c>
      <c r="N2257" s="51">
        <f>Tabela6[[#This Row],[KM Rodados ]]/Tabela6[[#This Row],[CONSUMO]]</f>
        <v>5140.9469026548677</v>
      </c>
    </row>
    <row r="2258" spans="1:14" x14ac:dyDescent="0.25">
      <c r="A2258" s="47">
        <v>31293</v>
      </c>
      <c r="B2258" s="78">
        <v>45175</v>
      </c>
      <c r="C2258" s="47" t="s">
        <v>11</v>
      </c>
      <c r="D2258" s="49" t="s">
        <v>253</v>
      </c>
      <c r="E2258" s="47">
        <v>400184</v>
      </c>
      <c r="F2258" s="50"/>
      <c r="G2258" s="50" t="s">
        <v>89</v>
      </c>
      <c r="H2258" s="50">
        <v>99.5</v>
      </c>
      <c r="I2258" s="51"/>
      <c r="J2258" s="51">
        <v>6.09</v>
      </c>
      <c r="K2258" s="52">
        <f>Tabela6[[#This Row],[CONSUMO]]*Tabela6[[#This Row],[VALOR UNIT]]-Tabela6[[#This Row],[DESCONTO]]</f>
        <v>605.95500000000004</v>
      </c>
      <c r="L2258" s="53">
        <f>Tabela6[[#This Row],[CUSTO TOTAL]]/Tabela6[[#This Row],[CONSUMO]]</f>
        <v>6.0900000000000007</v>
      </c>
      <c r="M2258" s="50">
        <f>Tabela6[[#This Row],[KM ATUAL]]-E2158</f>
        <v>300827</v>
      </c>
      <c r="N2258" s="51">
        <f>Tabela6[[#This Row],[KM Rodados ]]/Tabela6[[#This Row],[CONSUMO]]</f>
        <v>3023.3869346733668</v>
      </c>
    </row>
    <row r="2259" spans="1:14" ht="13.7" customHeight="1" x14ac:dyDescent="0.25">
      <c r="A2259" s="47">
        <v>7069</v>
      </c>
      <c r="B2259" s="78">
        <v>45175</v>
      </c>
      <c r="C2259" s="47" t="s">
        <v>13</v>
      </c>
      <c r="D2259" s="49" t="s">
        <v>299</v>
      </c>
      <c r="E2259" s="47">
        <v>647134</v>
      </c>
      <c r="F2259" s="50"/>
      <c r="G2259" s="50" t="s">
        <v>89</v>
      </c>
      <c r="H2259" s="50">
        <v>53</v>
      </c>
      <c r="I2259" s="51"/>
      <c r="J2259" s="51">
        <v>5.88</v>
      </c>
      <c r="K2259" s="52">
        <f>Tabela6[[#This Row],[CONSUMO]]*Tabela6[[#This Row],[VALOR UNIT]]-Tabela6[[#This Row],[DESCONTO]]</f>
        <v>311.64</v>
      </c>
      <c r="L2259" s="53">
        <f>Tabela6[[#This Row],[CUSTO TOTAL]]/Tabela6[[#This Row],[CONSUMO]]</f>
        <v>5.88</v>
      </c>
      <c r="M2259" s="50">
        <f>Tabela6[[#This Row],[KM ATUAL]]-E2245</f>
        <v>490387</v>
      </c>
      <c r="N2259" s="51">
        <f>Tabela6[[#This Row],[KM Rodados ]]/Tabela6[[#This Row],[CONSUMO]]</f>
        <v>9252.5849056603765</v>
      </c>
    </row>
    <row r="2260" spans="1:14" x14ac:dyDescent="0.25">
      <c r="A2260" s="47">
        <v>328862</v>
      </c>
      <c r="B2260" s="78">
        <v>45175</v>
      </c>
      <c r="C2260" s="47" t="s">
        <v>14</v>
      </c>
      <c r="D2260" s="49" t="s">
        <v>276</v>
      </c>
      <c r="E2260" s="47">
        <v>293728</v>
      </c>
      <c r="F2260" s="50"/>
      <c r="G2260" s="50" t="s">
        <v>244</v>
      </c>
      <c r="H2260" s="50">
        <v>39.520000000000003</v>
      </c>
      <c r="I2260" s="51"/>
      <c r="J2260" s="51">
        <v>5.89</v>
      </c>
      <c r="K2260" s="52">
        <f>Tabela6[[#This Row],[CONSUMO]]*Tabela6[[#This Row],[VALOR UNIT]]-Tabela6[[#This Row],[DESCONTO]]</f>
        <v>232.77280000000002</v>
      </c>
      <c r="L2260" s="53">
        <f>Tabela6[[#This Row],[CUSTO TOTAL]]/Tabela6[[#This Row],[CONSUMO]]</f>
        <v>5.89</v>
      </c>
      <c r="M2260" s="50">
        <f>Tabela6[[#This Row],[KM ATUAL]]-E2154</f>
        <v>-383733</v>
      </c>
      <c r="N2260" s="51">
        <f>Tabela6[[#This Row],[KM Rodados ]]/Tabela6[[#This Row],[CONSUMO]]</f>
        <v>-9709.8431174089055</v>
      </c>
    </row>
    <row r="2261" spans="1:14" x14ac:dyDescent="0.25">
      <c r="A2261" s="47">
        <v>7069</v>
      </c>
      <c r="B2261" s="78">
        <v>45175</v>
      </c>
      <c r="C2261" s="47" t="s">
        <v>20</v>
      </c>
      <c r="D2261" s="49" t="s">
        <v>299</v>
      </c>
      <c r="E2261" s="47">
        <v>270208</v>
      </c>
      <c r="F2261" s="50"/>
      <c r="G2261" s="50" t="s">
        <v>89</v>
      </c>
      <c r="H2261" s="50">
        <v>66</v>
      </c>
      <c r="I2261" s="51"/>
      <c r="J2261" s="51">
        <v>5.88</v>
      </c>
      <c r="K2261" s="52">
        <f>Tabela6[[#This Row],[CONSUMO]]*Tabela6[[#This Row],[VALOR UNIT]]-Tabela6[[#This Row],[DESCONTO]]</f>
        <v>388.08</v>
      </c>
      <c r="L2261" s="53">
        <f>Tabela6[[#This Row],[CUSTO TOTAL]]/Tabela6[[#This Row],[CONSUMO]]</f>
        <v>5.88</v>
      </c>
      <c r="M2261" s="50">
        <f>Tabela6[[#This Row],[KM ATUAL]]-E2215</f>
        <v>270208</v>
      </c>
      <c r="N2261" s="51">
        <f>Tabela6[[#This Row],[KM Rodados ]]/Tabela6[[#This Row],[CONSUMO]]</f>
        <v>4094.060606060606</v>
      </c>
    </row>
    <row r="2262" spans="1:14" x14ac:dyDescent="0.25">
      <c r="A2262" s="47">
        <v>7069</v>
      </c>
      <c r="B2262" s="78">
        <v>45175</v>
      </c>
      <c r="C2262" s="47" t="s">
        <v>23</v>
      </c>
      <c r="D2262" s="49" t="s">
        <v>299</v>
      </c>
      <c r="E2262" s="47">
        <v>243991</v>
      </c>
      <c r="F2262" s="50"/>
      <c r="G2262" s="50" t="s">
        <v>89</v>
      </c>
      <c r="H2262" s="50">
        <v>134</v>
      </c>
      <c r="I2262" s="51"/>
      <c r="J2262" s="51">
        <v>5.88</v>
      </c>
      <c r="K2262" s="52">
        <f>Tabela6[[#This Row],[CONSUMO]]*Tabela6[[#This Row],[VALOR UNIT]]-Tabela6[[#This Row],[DESCONTO]]</f>
        <v>787.92</v>
      </c>
      <c r="L2262" s="53">
        <f>Tabela6[[#This Row],[CUSTO TOTAL]]/Tabela6[[#This Row],[CONSUMO]]</f>
        <v>5.88</v>
      </c>
      <c r="M2262" s="50">
        <f>Tabela6[[#This Row],[KM ATUAL]]-E2204</f>
        <v>-125667</v>
      </c>
      <c r="N2262" s="51">
        <f>Tabela6[[#This Row],[KM Rodados ]]/Tabela6[[#This Row],[CONSUMO]]</f>
        <v>-937.81343283582089</v>
      </c>
    </row>
    <row r="2263" spans="1:14" x14ac:dyDescent="0.25">
      <c r="A2263" s="47">
        <v>730738</v>
      </c>
      <c r="B2263" s="78">
        <v>45175</v>
      </c>
      <c r="C2263" s="47" t="s">
        <v>74</v>
      </c>
      <c r="D2263" s="49" t="s">
        <v>264</v>
      </c>
      <c r="E2263" s="47">
        <v>75067</v>
      </c>
      <c r="F2263" s="50" t="s">
        <v>89</v>
      </c>
      <c r="G2263" s="50" t="s">
        <v>89</v>
      </c>
      <c r="H2263" s="50">
        <v>104.64</v>
      </c>
      <c r="I2263" s="51"/>
      <c r="J2263" s="51">
        <v>6.22</v>
      </c>
      <c r="K2263" s="52">
        <f>Tabela6[[#This Row],[CONSUMO]]*Tabela6[[#This Row],[VALOR UNIT]]-Tabela6[[#This Row],[DESCONTO]]</f>
        <v>650.86079999999993</v>
      </c>
      <c r="L2263" s="53">
        <f>Tabela6[[#This Row],[CUSTO TOTAL]]/Tabela6[[#This Row],[CONSUMO]]</f>
        <v>6.2199999999999989</v>
      </c>
      <c r="M2263" s="50">
        <f>Tabela6[[#This Row],[KM ATUAL]]-E2242</f>
        <v>-249977</v>
      </c>
      <c r="N2263" s="51">
        <f>Tabela6[[#This Row],[KM Rodados ]]/Tabela6[[#This Row],[CONSUMO]]</f>
        <v>-2388.9239296636088</v>
      </c>
    </row>
    <row r="2264" spans="1:14" x14ac:dyDescent="0.25">
      <c r="A2264" s="47">
        <v>31821</v>
      </c>
      <c r="B2264" s="78">
        <v>45176</v>
      </c>
      <c r="C2264" s="47" t="s">
        <v>39</v>
      </c>
      <c r="D2264" s="49" t="s">
        <v>253</v>
      </c>
      <c r="E2264" s="47">
        <v>100575</v>
      </c>
      <c r="F2264" s="50" t="s">
        <v>89</v>
      </c>
      <c r="G2264" s="50" t="s">
        <v>89</v>
      </c>
      <c r="H2264" s="50">
        <v>82.76</v>
      </c>
      <c r="I2264" s="51"/>
      <c r="J2264" s="51">
        <v>6.09</v>
      </c>
      <c r="K2264" s="52">
        <f>Tabela6[[#This Row],[CONSUMO]]*Tabela6[[#This Row],[VALOR UNIT]]-Tabela6[[#This Row],[DESCONTO]]</f>
        <v>504.00839999999999</v>
      </c>
      <c r="L2264" s="53">
        <f>Tabela6[[#This Row],[CUSTO TOTAL]]/Tabela6[[#This Row],[CONSUMO]]</f>
        <v>6.09</v>
      </c>
      <c r="M2264" s="50">
        <f>Tabela6[[#This Row],[KM ATUAL]]-E2162</f>
        <v>-544610</v>
      </c>
      <c r="N2264" s="84">
        <f>Tabela6[[#This Row],[KM Rodados ]]/Tabela6[[#This Row],[CONSUMO]]</f>
        <v>-6580.5944900918312</v>
      </c>
    </row>
    <row r="2265" spans="1:14" x14ac:dyDescent="0.25">
      <c r="A2265" s="47">
        <v>126891</v>
      </c>
      <c r="B2265" s="78">
        <v>45176</v>
      </c>
      <c r="C2265" s="47" t="s">
        <v>70</v>
      </c>
      <c r="D2265" s="49" t="s">
        <v>237</v>
      </c>
      <c r="E2265" s="47">
        <v>226918</v>
      </c>
      <c r="F2265" s="50" t="s">
        <v>89</v>
      </c>
      <c r="G2265" s="50" t="s">
        <v>89</v>
      </c>
      <c r="H2265" s="50">
        <v>42</v>
      </c>
      <c r="I2265" s="51"/>
      <c r="J2265" s="83">
        <v>6.02</v>
      </c>
      <c r="K2265" s="52">
        <f>Tabela6[[#This Row],[CONSUMO]]*Tabela6[[#This Row],[VALOR UNIT]]-Tabela6[[#This Row],[DESCONTO]]</f>
        <v>252.83999999999997</v>
      </c>
      <c r="L2265" s="53">
        <f>Tabela6[[#This Row],[CUSTO TOTAL]]/Tabela6[[#This Row],[CONSUMO]]</f>
        <v>6.02</v>
      </c>
      <c r="M2265" s="50">
        <f>Tabela6[[#This Row],[KM ATUAL]]-E2250</f>
        <v>-272029</v>
      </c>
      <c r="N2265" s="84">
        <f>Tabela6[[#This Row],[KM Rodados ]]/Tabela6[[#This Row],[CONSUMO]]</f>
        <v>-6476.8809523809523</v>
      </c>
    </row>
    <row r="2266" spans="1:14" x14ac:dyDescent="0.25">
      <c r="A2266" s="47">
        <v>205956</v>
      </c>
      <c r="B2266" s="78">
        <v>45176</v>
      </c>
      <c r="C2266" s="47" t="s">
        <v>73</v>
      </c>
      <c r="D2266" s="49" t="s">
        <v>262</v>
      </c>
      <c r="E2266" s="47">
        <v>144440</v>
      </c>
      <c r="F2266" s="50" t="s">
        <v>241</v>
      </c>
      <c r="G2266" s="50" t="s">
        <v>241</v>
      </c>
      <c r="H2266" s="50">
        <v>8.2059999999999995</v>
      </c>
      <c r="I2266" s="51">
        <v>2.95</v>
      </c>
      <c r="J2266" s="51">
        <v>3.69</v>
      </c>
      <c r="K2266" s="52">
        <f>Tabela6[[#This Row],[CONSUMO]]*Tabela6[[#This Row],[VALOR UNIT]]-Tabela6[[#This Row],[DESCONTO]]</f>
        <v>27.33014</v>
      </c>
      <c r="L2266" s="53">
        <f>Tabela6[[#This Row],[CUSTO TOTAL]]/Tabela6[[#This Row],[CONSUMO]]</f>
        <v>3.330506946136973</v>
      </c>
      <c r="M2266" s="53"/>
      <c r="N2266" s="49"/>
    </row>
    <row r="2267" spans="1:14" x14ac:dyDescent="0.25">
      <c r="A2267" s="47">
        <v>206025</v>
      </c>
      <c r="B2267" s="78">
        <v>45176</v>
      </c>
      <c r="C2267" s="47" t="s">
        <v>21</v>
      </c>
      <c r="D2267" s="49" t="s">
        <v>262</v>
      </c>
      <c r="E2267" s="47">
        <v>153944</v>
      </c>
      <c r="F2267" s="50" t="s">
        <v>89</v>
      </c>
      <c r="G2267" s="50" t="s">
        <v>89</v>
      </c>
      <c r="H2267" s="50">
        <v>108.04900000000001</v>
      </c>
      <c r="I2267" s="51"/>
      <c r="J2267" s="51">
        <v>6.09</v>
      </c>
      <c r="K2267" s="52">
        <f>Tabela6[[#This Row],[CONSUMO]]*Tabela6[[#This Row],[VALOR UNIT]]-Tabela6[[#This Row],[DESCONTO]]</f>
        <v>658.01841000000002</v>
      </c>
      <c r="L2267" s="53">
        <f>Tabela6[[#This Row],[CUSTO TOTAL]]/Tabela6[[#This Row],[CONSUMO]]</f>
        <v>6.09</v>
      </c>
      <c r="M2267" s="50">
        <f>Tabela6[[#This Row],[KM ATUAL]]-E2248</f>
        <v>-759729</v>
      </c>
      <c r="N2267" s="51">
        <f>Tabela6[[#This Row],[KM Rodados ]]/Tabela6[[#This Row],[CONSUMO]]</f>
        <v>-7031.3376338513081</v>
      </c>
    </row>
    <row r="2268" spans="1:14" x14ac:dyDescent="0.25">
      <c r="A2268" s="49">
        <v>7140</v>
      </c>
      <c r="B2268" s="78">
        <v>45176</v>
      </c>
      <c r="C2268" s="47" t="s">
        <v>301</v>
      </c>
      <c r="D2268" s="49" t="s">
        <v>237</v>
      </c>
      <c r="E2268" s="47">
        <v>1042304</v>
      </c>
      <c r="F2268" s="50"/>
      <c r="G2268" s="50" t="s">
        <v>89</v>
      </c>
      <c r="H2268" s="50">
        <v>329.99700000000001</v>
      </c>
      <c r="I2268" s="51"/>
      <c r="J2268" s="51">
        <v>6.02</v>
      </c>
      <c r="K2268" s="52">
        <f>Tabela6[[#This Row],[CONSUMO]]*Tabela6[[#This Row],[VALOR UNIT]]-Tabela6[[#This Row],[DESCONTO]]</f>
        <v>1986.58194</v>
      </c>
      <c r="L2268" s="53">
        <f>Tabela6[[#This Row],[CUSTO TOTAL]]/Tabela6[[#This Row],[CONSUMO]]</f>
        <v>6.02</v>
      </c>
      <c r="M2268" s="50">
        <f>Tabela6[[#This Row],[KM ATUAL]]-E2170</f>
        <v>900738</v>
      </c>
      <c r="N2268" s="51">
        <f>Tabela6[[#This Row],[KM Rodados ]]/Tabela6[[#This Row],[CONSUMO]]</f>
        <v>2729.5339048536803</v>
      </c>
    </row>
    <row r="2269" spans="1:14" x14ac:dyDescent="0.25">
      <c r="A2269" s="47">
        <v>329085</v>
      </c>
      <c r="B2269" s="78">
        <v>45176</v>
      </c>
      <c r="C2269" s="47" t="s">
        <v>40</v>
      </c>
      <c r="D2269" s="49" t="s">
        <v>276</v>
      </c>
      <c r="E2269" s="47">
        <v>157214</v>
      </c>
      <c r="F2269" s="50" t="s">
        <v>244</v>
      </c>
      <c r="G2269" s="50" t="s">
        <v>244</v>
      </c>
      <c r="H2269" s="50">
        <v>33.47</v>
      </c>
      <c r="I2269" s="51"/>
      <c r="J2269" s="51">
        <v>5.89</v>
      </c>
      <c r="K2269" s="74">
        <f>Tabela6[[#This Row],[CONSUMO]]*Tabela6[[#This Row],[VALOR UNIT]]-Tabela6[[#This Row],[DESCONTO]]</f>
        <v>197.13829999999999</v>
      </c>
      <c r="L2269" s="53">
        <f>Tabela6[[#This Row],[CUSTO TOTAL]]/Tabela6[[#This Row],[CONSUMO]]</f>
        <v>5.89</v>
      </c>
      <c r="M2269" s="50">
        <f>Tabela6[[#This Row],[KM ATUAL]]-E2173</f>
        <v>-162562</v>
      </c>
      <c r="N2269" s="51">
        <f>Tabela6[[#This Row],[KM Rodados ]]/Tabela6[[#This Row],[CONSUMO]]</f>
        <v>-4856.9465192709895</v>
      </c>
    </row>
    <row r="2270" spans="1:14" x14ac:dyDescent="0.25">
      <c r="A2270" s="47">
        <v>329085</v>
      </c>
      <c r="B2270" s="78">
        <v>45176</v>
      </c>
      <c r="C2270" s="47" t="s">
        <v>40</v>
      </c>
      <c r="D2270" s="49" t="s">
        <v>276</v>
      </c>
      <c r="E2270" s="47">
        <v>157214</v>
      </c>
      <c r="F2270" s="50"/>
      <c r="G2270" s="50" t="s">
        <v>244</v>
      </c>
      <c r="H2270" s="50">
        <v>33.47</v>
      </c>
      <c r="I2270" s="51"/>
      <c r="J2270" s="83">
        <v>5.89</v>
      </c>
      <c r="K2270" s="52">
        <f>Tabela6[[#This Row],[CONSUMO]]*Tabela6[[#This Row],[VALOR UNIT]]-Tabela6[[#This Row],[DESCONTO]]</f>
        <v>197.13829999999999</v>
      </c>
      <c r="L2270" s="53">
        <f>Tabela6[[#This Row],[CUSTO TOTAL]]/Tabela6[[#This Row],[CONSUMO]]</f>
        <v>5.89</v>
      </c>
      <c r="M2270" s="50">
        <f>Tabela6[[#This Row],[KM ATUAL]]-E2267</f>
        <v>3270</v>
      </c>
      <c r="N2270" s="84">
        <f>Tabela6[[#This Row],[KM Rodados ]]/Tabela6[[#This Row],[CONSUMO]]</f>
        <v>97.69943232745743</v>
      </c>
    </row>
    <row r="2271" spans="1:14" x14ac:dyDescent="0.25">
      <c r="A2271" s="47" t="s">
        <v>314</v>
      </c>
      <c r="B2271" s="78">
        <v>45176</v>
      </c>
      <c r="C2271" s="47" t="s">
        <v>74</v>
      </c>
      <c r="E2271" s="47">
        <v>75594</v>
      </c>
      <c r="F2271" s="50"/>
      <c r="G2271" s="50" t="s">
        <v>89</v>
      </c>
      <c r="H2271" s="50">
        <v>62</v>
      </c>
      <c r="I2271" s="51"/>
      <c r="K2271" s="52">
        <f>Tabela6[[#This Row],[CONSUMO]]*Tabela6[[#This Row],[VALOR UNIT]]-Tabela6[[#This Row],[DESCONTO]]</f>
        <v>0</v>
      </c>
      <c r="L2271" s="53">
        <f>Tabela6[[#This Row],[CUSTO TOTAL]]/Tabela6[[#This Row],[CONSUMO]]</f>
        <v>0</v>
      </c>
      <c r="M2271" s="50">
        <f>Tabela6[[#This Row],[KM ATUAL]]-E2264</f>
        <v>-24981</v>
      </c>
      <c r="N2271" s="49">
        <f>Tabela6[[#This Row],[KM Rodados ]]/Tabela6[[#This Row],[CONSUMO]]</f>
        <v>-402.91935483870969</v>
      </c>
    </row>
    <row r="2272" spans="1:14" x14ac:dyDescent="0.25">
      <c r="A2272" s="47">
        <v>7069</v>
      </c>
      <c r="B2272" s="78">
        <v>45177</v>
      </c>
      <c r="C2272" s="47" t="s">
        <v>43</v>
      </c>
      <c r="D2272" s="49" t="s">
        <v>299</v>
      </c>
      <c r="E2272" s="47">
        <v>145596</v>
      </c>
      <c r="F2272" s="50"/>
      <c r="G2272" s="50" t="s">
        <v>89</v>
      </c>
      <c r="H2272" s="50">
        <v>49</v>
      </c>
      <c r="I2272" s="51"/>
      <c r="J2272" s="51">
        <v>5.88</v>
      </c>
      <c r="K2272" s="52">
        <f>Tabela6[[#This Row],[CONSUMO]]*Tabela6[[#This Row],[VALOR UNIT]]-Tabela6[[#This Row],[DESCONTO]]</f>
        <v>288.12</v>
      </c>
      <c r="L2272" s="53">
        <f>Tabela6[[#This Row],[CUSTO TOTAL]]/Tabela6[[#This Row],[CONSUMO]]</f>
        <v>5.88</v>
      </c>
      <c r="M2272" s="50">
        <f>Tabela6[[#This Row],[KM ATUAL]]-E2256</f>
        <v>-528629</v>
      </c>
      <c r="N2272" s="51">
        <f>Tabela6[[#This Row],[KM Rodados ]]/Tabela6[[#This Row],[CONSUMO]]</f>
        <v>-10788.34693877551</v>
      </c>
    </row>
    <row r="2273" spans="1:14" x14ac:dyDescent="0.25">
      <c r="A2273" s="47">
        <v>7069</v>
      </c>
      <c r="B2273" s="78">
        <v>45177</v>
      </c>
      <c r="C2273" s="47" t="s">
        <v>8</v>
      </c>
      <c r="D2273" s="49" t="s">
        <v>299</v>
      </c>
      <c r="E2273" s="47">
        <v>875912</v>
      </c>
      <c r="F2273" s="50"/>
      <c r="G2273" s="50" t="s">
        <v>89</v>
      </c>
      <c r="H2273" s="50">
        <v>56</v>
      </c>
      <c r="I2273" s="51"/>
      <c r="J2273" s="51">
        <v>5.88</v>
      </c>
      <c r="K2273" s="52">
        <f>Tabela6[[#This Row],[CONSUMO]]*Tabela6[[#This Row],[VALOR UNIT]]-Tabela6[[#This Row],[DESCONTO]]</f>
        <v>329.28</v>
      </c>
      <c r="L2273" s="53">
        <f>Tabela6[[#This Row],[CUSTO TOTAL]]/Tabela6[[#This Row],[CONSUMO]]</f>
        <v>5.88</v>
      </c>
      <c r="M2273" s="51">
        <f>Tabela6[[#This Row],[KM ATUAL]]-E1842</f>
        <v>808657</v>
      </c>
      <c r="N2273" s="51">
        <f>Tabela6[[#This Row],[KM Rodados ]]/Tabela6[[#This Row],[CONSUMO]]</f>
        <v>14440.303571428571</v>
      </c>
    </row>
    <row r="2274" spans="1:14" x14ac:dyDescent="0.25">
      <c r="A2274" s="47">
        <v>7069</v>
      </c>
      <c r="B2274" s="78">
        <v>45177</v>
      </c>
      <c r="C2274" s="47" t="s">
        <v>72</v>
      </c>
      <c r="D2274" s="49" t="s">
        <v>299</v>
      </c>
      <c r="E2274" s="47">
        <v>412991</v>
      </c>
      <c r="F2274" s="50"/>
      <c r="G2274" s="50" t="s">
        <v>89</v>
      </c>
      <c r="H2274" s="50">
        <v>51</v>
      </c>
      <c r="I2274" s="51"/>
      <c r="J2274" s="51">
        <v>5.88</v>
      </c>
      <c r="K2274" s="52">
        <f>Tabela6[[#This Row],[CONSUMO]]*Tabela6[[#This Row],[VALOR UNIT]]-Tabela6[[#This Row],[DESCONTO]]</f>
        <v>299.88</v>
      </c>
      <c r="L2274" s="53">
        <f>Tabela6[[#This Row],[CUSTO TOTAL]]/Tabela6[[#This Row],[CONSUMO]]</f>
        <v>5.88</v>
      </c>
      <c r="M2274" s="50">
        <f>Tabela6[[#This Row],[KM ATUAL]]-E2239</f>
        <v>30900</v>
      </c>
      <c r="N2274" s="84">
        <f>Tabela6[[#This Row],[KM Rodados ]]/Tabela6[[#This Row],[CONSUMO]]</f>
        <v>605.88235294117646</v>
      </c>
    </row>
    <row r="2275" spans="1:14" x14ac:dyDescent="0.25">
      <c r="A2275" s="47">
        <v>33031</v>
      </c>
      <c r="B2275" s="78">
        <v>45177</v>
      </c>
      <c r="C2275" s="47" t="s">
        <v>64</v>
      </c>
      <c r="D2275" s="49" t="s">
        <v>253</v>
      </c>
      <c r="E2275" s="47">
        <v>91743</v>
      </c>
      <c r="F2275" s="50" t="s">
        <v>89</v>
      </c>
      <c r="G2275" s="50" t="s">
        <v>89</v>
      </c>
      <c r="H2275" s="50">
        <v>149.41999999999999</v>
      </c>
      <c r="I2275" s="51"/>
      <c r="J2275" s="51">
        <v>6.09</v>
      </c>
      <c r="K2275" s="52">
        <f>Tabela6[[#This Row],[CONSUMO]]*Tabela6[[#This Row],[VALOR UNIT]]-Tabela6[[#This Row],[DESCONTO]]</f>
        <v>909.9677999999999</v>
      </c>
      <c r="L2275" s="53">
        <f>Tabela6[[#This Row],[CUSTO TOTAL]]/Tabela6[[#This Row],[CONSUMO]]</f>
        <v>6.09</v>
      </c>
      <c r="M2275" s="50">
        <f>Tabela6[[#This Row],[KM ATUAL]]-E2237</f>
        <v>-61759</v>
      </c>
      <c r="N2275" s="51">
        <f>Tabela6[[#This Row],[KM Rodados ]]/Tabela6[[#This Row],[CONSUMO]]</f>
        <v>-413.32485611029318</v>
      </c>
    </row>
    <row r="2276" spans="1:14" x14ac:dyDescent="0.25">
      <c r="A2276" s="49">
        <v>7140</v>
      </c>
      <c r="B2276" s="78">
        <v>45177</v>
      </c>
      <c r="C2276" s="47" t="s">
        <v>301</v>
      </c>
      <c r="E2276" s="47">
        <v>1043054</v>
      </c>
      <c r="F2276" s="50"/>
      <c r="G2276" s="50" t="s">
        <v>89</v>
      </c>
      <c r="H2276" s="50">
        <v>285</v>
      </c>
      <c r="I2276" s="51"/>
      <c r="K2276" s="52">
        <f>Tabela6[[#This Row],[CONSUMO]]*Tabela6[[#This Row],[VALOR UNIT]]-Tabela6[[#This Row],[DESCONTO]]</f>
        <v>0</v>
      </c>
      <c r="L2276" s="53">
        <f>Tabela6[[#This Row],[CUSTO TOTAL]]/Tabela6[[#This Row],[CONSUMO]]</f>
        <v>0</v>
      </c>
      <c r="M2276" s="50">
        <f>Tabela6[[#This Row],[KM ATUAL]]-E2275</f>
        <v>951311</v>
      </c>
      <c r="N2276" s="51">
        <f>Tabela6[[#This Row],[KM Rodados ]]/Tabela6[[#This Row],[CONSUMO]]</f>
        <v>3337.9333333333334</v>
      </c>
    </row>
    <row r="2277" spans="1:14" x14ac:dyDescent="0.25">
      <c r="A2277" s="47">
        <v>373239</v>
      </c>
      <c r="B2277" s="78">
        <v>45177</v>
      </c>
      <c r="C2277" s="47" t="s">
        <v>13</v>
      </c>
      <c r="D2277" s="49" t="s">
        <v>271</v>
      </c>
      <c r="E2277" s="47">
        <v>647488</v>
      </c>
      <c r="F2277" s="50" t="s">
        <v>89</v>
      </c>
      <c r="G2277" s="50" t="s">
        <v>89</v>
      </c>
      <c r="H2277" s="50">
        <v>90.49</v>
      </c>
      <c r="I2277" s="51"/>
      <c r="J2277" s="51">
        <v>6.09</v>
      </c>
      <c r="K2277" s="52">
        <f>Tabela6[[#This Row],[CONSUMO]]*Tabela6[[#This Row],[VALOR UNIT]]-Tabela6[[#This Row],[DESCONTO]]</f>
        <v>551.08409999999992</v>
      </c>
      <c r="L2277" s="53">
        <f>Tabela6[[#This Row],[CUSTO TOTAL]]/Tabela6[[#This Row],[CONSUMO]]</f>
        <v>6.09</v>
      </c>
      <c r="M2277" s="50">
        <f>Tabela6[[#This Row],[KM ATUAL]]-E2257</f>
        <v>-77013</v>
      </c>
      <c r="N2277" s="51">
        <f>Tabela6[[#This Row],[KM Rodados ]]/Tabela6[[#This Row],[CONSUMO]]</f>
        <v>-851.06641617858327</v>
      </c>
    </row>
    <row r="2278" spans="1:14" x14ac:dyDescent="0.25">
      <c r="A2278" s="47">
        <v>504330</v>
      </c>
      <c r="B2278" s="78">
        <v>45177</v>
      </c>
      <c r="C2278" s="47" t="s">
        <v>13</v>
      </c>
      <c r="D2278" s="49" t="s">
        <v>259</v>
      </c>
      <c r="E2278" s="47">
        <v>647972</v>
      </c>
      <c r="F2278" s="50" t="s">
        <v>89</v>
      </c>
      <c r="G2278" s="50" t="s">
        <v>89</v>
      </c>
      <c r="H2278" s="50">
        <v>110.68</v>
      </c>
      <c r="I2278" s="51"/>
      <c r="J2278" s="51">
        <v>6.09</v>
      </c>
      <c r="K2278" s="52">
        <f>Tabela6[[#This Row],[CONSUMO]]*Tabela6[[#This Row],[VALOR UNIT]]-Tabela6[[#This Row],[DESCONTO]]</f>
        <v>674.0412</v>
      </c>
      <c r="L2278" s="53">
        <f>Tabela6[[#This Row],[CUSTO TOTAL]]/Tabela6[[#This Row],[CONSUMO]]</f>
        <v>6.09</v>
      </c>
      <c r="M2278" s="50">
        <f>Tabela6[[#This Row],[KM ATUAL]]-E2277</f>
        <v>484</v>
      </c>
      <c r="N2278" s="51">
        <f>Tabela6[[#This Row],[KM Rodados ]]/Tabela6[[#This Row],[CONSUMO]]</f>
        <v>4.3729671123960969</v>
      </c>
    </row>
    <row r="2279" spans="1:14" x14ac:dyDescent="0.25">
      <c r="A2279" s="47">
        <v>331190</v>
      </c>
      <c r="B2279" s="78">
        <v>45177</v>
      </c>
      <c r="C2279" s="47" t="s">
        <v>74</v>
      </c>
      <c r="D2279" s="49" t="s">
        <v>271</v>
      </c>
      <c r="E2279" s="47">
        <v>76037</v>
      </c>
      <c r="F2279" s="50" t="s">
        <v>89</v>
      </c>
      <c r="G2279" s="50" t="s">
        <v>89</v>
      </c>
      <c r="H2279" s="50">
        <v>51.57</v>
      </c>
      <c r="I2279" s="51"/>
      <c r="J2279" s="51">
        <v>5.99</v>
      </c>
      <c r="K2279" s="52">
        <f>Tabela6[[#This Row],[CONSUMO]]*Tabela6[[#This Row],[VALOR UNIT]]-Tabela6[[#This Row],[DESCONTO]]</f>
        <v>308.90430000000003</v>
      </c>
      <c r="L2279" s="53">
        <f>Tabela6[[#This Row],[CUSTO TOTAL]]/Tabela6[[#This Row],[CONSUMO]]</f>
        <v>5.99</v>
      </c>
      <c r="M2279" s="50">
        <f>Tabela6[[#This Row],[KM ATUAL]]-E2278</f>
        <v>-571935</v>
      </c>
      <c r="N2279" s="51">
        <f>Tabela6[[#This Row],[KM Rodados ]]/Tabela6[[#This Row],[CONSUMO]]</f>
        <v>-11090.459569517161</v>
      </c>
    </row>
    <row r="2280" spans="1:14" x14ac:dyDescent="0.25">
      <c r="A2280" s="47">
        <v>255697</v>
      </c>
      <c r="B2280" s="78">
        <v>45178</v>
      </c>
      <c r="C2280" s="47" t="s">
        <v>203</v>
      </c>
      <c r="D2280" s="49" t="s">
        <v>268</v>
      </c>
      <c r="E2280" s="47">
        <v>110683</v>
      </c>
      <c r="F2280" s="50" t="s">
        <v>244</v>
      </c>
      <c r="G2280" s="50" t="s">
        <v>244</v>
      </c>
      <c r="H2280" s="50">
        <v>45.82</v>
      </c>
      <c r="I2280" s="51"/>
      <c r="J2280" s="83">
        <v>5.45</v>
      </c>
      <c r="K2280" s="52">
        <f>Tabela6[[#This Row],[CONSUMO]]*Tabela6[[#This Row],[VALOR UNIT]]-Tabela6[[#This Row],[DESCONTO]]</f>
        <v>249.71900000000002</v>
      </c>
      <c r="L2280" s="53">
        <f>Tabela6[[#This Row],[CUSTO TOTAL]]/Tabela6[[#This Row],[CONSUMO]]</f>
        <v>5.45</v>
      </c>
      <c r="M2280" s="50">
        <f>Tabela6[[#This Row],[KM ATUAL]]-E2100</f>
        <v>-259953</v>
      </c>
      <c r="N2280" s="51">
        <f>Tabela6[[#This Row],[KM Rodados ]]/Tabela6[[#This Row],[CONSUMO]]</f>
        <v>-5673.3522479266694</v>
      </c>
    </row>
    <row r="2281" spans="1:14" x14ac:dyDescent="0.25">
      <c r="A2281" s="47">
        <v>662557</v>
      </c>
      <c r="B2281" s="78">
        <v>45179</v>
      </c>
      <c r="C2281" s="47" t="s">
        <v>9</v>
      </c>
      <c r="D2281" s="49" t="s">
        <v>271</v>
      </c>
      <c r="E2281" s="47">
        <v>622243</v>
      </c>
      <c r="F2281" s="50" t="s">
        <v>89</v>
      </c>
      <c r="G2281" s="50" t="s">
        <v>89</v>
      </c>
      <c r="H2281" s="50">
        <v>141</v>
      </c>
      <c r="I2281" s="51"/>
      <c r="J2281" s="51">
        <v>6.01</v>
      </c>
      <c r="K2281" s="52">
        <f>Tabela6[[#This Row],[CONSUMO]]*Tabela6[[#This Row],[VALOR UNIT]]-Tabela6[[#This Row],[DESCONTO]]</f>
        <v>847.41</v>
      </c>
      <c r="L2281" s="53">
        <f>Tabela6[[#This Row],[CUSTO TOTAL]]/Tabela6[[#This Row],[CONSUMO]]</f>
        <v>6.01</v>
      </c>
      <c r="M2281" s="50">
        <f>Tabela6[[#This Row],[KM ATUAL]]-E2249</f>
        <v>477086</v>
      </c>
      <c r="N2281" s="51">
        <f>Tabela6[[#This Row],[KM Rodados ]]/Tabela6[[#This Row],[CONSUMO]]</f>
        <v>3383.5886524822695</v>
      </c>
    </row>
    <row r="2282" spans="1:14" x14ac:dyDescent="0.25">
      <c r="A2282" s="47">
        <v>182017</v>
      </c>
      <c r="B2282" s="78">
        <v>45179</v>
      </c>
      <c r="C2282" s="47" t="s">
        <v>73</v>
      </c>
      <c r="D2282" s="49" t="s">
        <v>311</v>
      </c>
      <c r="E2282" s="47">
        <v>145266</v>
      </c>
      <c r="F2282" s="50" t="s">
        <v>89</v>
      </c>
      <c r="G2282" s="50" t="s">
        <v>89</v>
      </c>
      <c r="H2282" s="50">
        <v>187.00299999999999</v>
      </c>
      <c r="I2282" s="51">
        <v>248.71</v>
      </c>
      <c r="J2282" s="51">
        <v>7.42</v>
      </c>
      <c r="K2282" s="52">
        <f>Tabela6[[#This Row],[CONSUMO]]*Tabela6[[#This Row],[VALOR UNIT]]-Tabela6[[#This Row],[DESCONTO]]</f>
        <v>1138.8522599999999</v>
      </c>
      <c r="L2282" s="53">
        <f>Tabela6[[#This Row],[CUSTO TOTAL]]/Tabela6[[#This Row],[CONSUMO]]</f>
        <v>6.0900213365560978</v>
      </c>
      <c r="M2282" s="50">
        <f>Tabela6[[#This Row],[KM ATUAL]]-E2256</f>
        <v>-528959</v>
      </c>
      <c r="N2282" s="51">
        <f>Tabela6[[#This Row],[KM Rodados ]]/Tabela6[[#This Row],[CONSUMO]]</f>
        <v>-2828.6123752025369</v>
      </c>
    </row>
    <row r="2283" spans="1:14" x14ac:dyDescent="0.25">
      <c r="A2283" s="49" t="s">
        <v>314</v>
      </c>
      <c r="B2283" s="78">
        <v>45179</v>
      </c>
      <c r="C2283" s="47" t="s">
        <v>41</v>
      </c>
      <c r="E2283" s="47">
        <v>674589</v>
      </c>
      <c r="F2283" s="50"/>
      <c r="G2283" s="50" t="s">
        <v>89</v>
      </c>
      <c r="H2283" s="50">
        <v>77.5</v>
      </c>
      <c r="I2283" s="51"/>
      <c r="K2283" s="52">
        <f>Tabela6[[#This Row],[CONSUMO]]*Tabela6[[#This Row],[VALOR UNIT]]-Tabela6[[#This Row],[DESCONTO]]</f>
        <v>0</v>
      </c>
      <c r="L2283" s="53">
        <f>Tabela6[[#This Row],[CUSTO TOTAL]]/Tabela6[[#This Row],[CONSUMO]]</f>
        <v>0</v>
      </c>
      <c r="M2283" s="50">
        <f>Tabela6[[#This Row],[KM ATUAL]]-E2282</f>
        <v>529323</v>
      </c>
      <c r="N2283" s="51">
        <f>Tabela6[[#This Row],[KM Rodados ]]/Tabela6[[#This Row],[CONSUMO]]</f>
        <v>6829.9741935483871</v>
      </c>
    </row>
    <row r="2284" spans="1:14" x14ac:dyDescent="0.25">
      <c r="A2284" s="49">
        <v>7140</v>
      </c>
      <c r="B2284" s="78">
        <v>45179</v>
      </c>
      <c r="C2284" s="47" t="s">
        <v>301</v>
      </c>
      <c r="E2284" s="47">
        <v>1043893</v>
      </c>
      <c r="F2284" s="50"/>
      <c r="G2284" s="50" t="s">
        <v>89</v>
      </c>
      <c r="H2284" s="50">
        <v>315</v>
      </c>
      <c r="I2284" s="51"/>
      <c r="K2284" s="52">
        <f>Tabela6[[#This Row],[CONSUMO]]*Tabela6[[#This Row],[VALOR UNIT]]-Tabela6[[#This Row],[DESCONTO]]</f>
        <v>0</v>
      </c>
      <c r="L2284" s="53">
        <f>Tabela6[[#This Row],[CUSTO TOTAL]]/Tabela6[[#This Row],[CONSUMO]]</f>
        <v>0</v>
      </c>
      <c r="M2284" s="50">
        <f>Tabela6[[#This Row],[KM ATUAL]]-E2283</f>
        <v>369304</v>
      </c>
      <c r="N2284" s="51">
        <f>Tabela6[[#This Row],[KM Rodados ]]/Tabela6[[#This Row],[CONSUMO]]</f>
        <v>1172.3936507936507</v>
      </c>
    </row>
    <row r="2285" spans="1:14" x14ac:dyDescent="0.25">
      <c r="A2285" s="47">
        <v>1166632</v>
      </c>
      <c r="B2285" s="78">
        <v>45180</v>
      </c>
      <c r="C2285" s="47" t="s">
        <v>43</v>
      </c>
      <c r="D2285" s="49" t="s">
        <v>246</v>
      </c>
      <c r="E2285" s="47">
        <v>145819</v>
      </c>
      <c r="F2285" s="50" t="s">
        <v>89</v>
      </c>
      <c r="G2285" s="50" t="s">
        <v>89</v>
      </c>
      <c r="H2285" s="50">
        <v>27.736000000000001</v>
      </c>
      <c r="I2285" s="51">
        <v>22.74</v>
      </c>
      <c r="J2285" s="51">
        <v>6.18</v>
      </c>
      <c r="K2285" s="52">
        <f>Tabela6[[#This Row],[CONSUMO]]*Tabela6[[#This Row],[VALOR UNIT]]-Tabela6[[#This Row],[DESCONTO]]</f>
        <v>148.66847999999999</v>
      </c>
      <c r="L2285" s="53">
        <f>Tabela6[[#This Row],[CUSTO TOTAL]]/Tabela6[[#This Row],[CONSUMO]]</f>
        <v>5.3601269108739542</v>
      </c>
      <c r="M2285" s="50">
        <f>Tabela6[[#This Row],[KM ATUAL]]-E2280</f>
        <v>35136</v>
      </c>
      <c r="N2285" s="51">
        <f>Tabela6[[#This Row],[KM Rodados ]]/Tabela6[[#This Row],[CONSUMO]]</f>
        <v>1266.8012691087395</v>
      </c>
    </row>
    <row r="2286" spans="1:14" x14ac:dyDescent="0.25">
      <c r="A2286" s="49">
        <v>7069</v>
      </c>
      <c r="B2286" s="78">
        <v>45180</v>
      </c>
      <c r="C2286" s="47" t="s">
        <v>43</v>
      </c>
      <c r="D2286" s="49" t="s">
        <v>299</v>
      </c>
      <c r="E2286" s="47">
        <v>146029</v>
      </c>
      <c r="F2286" s="50"/>
      <c r="G2286" s="50" t="s">
        <v>89</v>
      </c>
      <c r="H2286" s="50">
        <v>23</v>
      </c>
      <c r="I2286" s="51"/>
      <c r="J2286" s="51">
        <v>5.88</v>
      </c>
      <c r="K2286" s="52">
        <f>Tabela6[[#This Row],[CONSUMO]]*Tabela6[[#This Row],[VALOR UNIT]]-Tabela6[[#This Row],[DESCONTO]]</f>
        <v>135.24</v>
      </c>
      <c r="L2286" s="53">
        <f>Tabela6[[#This Row],[CUSTO TOTAL]]/Tabela6[[#This Row],[CONSUMO]]</f>
        <v>5.8800000000000008</v>
      </c>
      <c r="M2286" s="50">
        <f>Tabela6[[#This Row],[KM ATUAL]]-E2275</f>
        <v>54286</v>
      </c>
      <c r="N2286" s="51">
        <f>Tabela6[[#This Row],[KM Rodados ]]/Tabela6[[#This Row],[CONSUMO]]</f>
        <v>2360.2608695652175</v>
      </c>
    </row>
    <row r="2287" spans="1:14" x14ac:dyDescent="0.25">
      <c r="A2287" s="49">
        <v>7069</v>
      </c>
      <c r="B2287" s="78">
        <v>45180</v>
      </c>
      <c r="C2287" s="47" t="s">
        <v>222</v>
      </c>
      <c r="D2287" s="49" t="s">
        <v>299</v>
      </c>
      <c r="E2287" s="47">
        <v>499683</v>
      </c>
      <c r="F2287" s="50"/>
      <c r="G2287" s="50" t="s">
        <v>89</v>
      </c>
      <c r="H2287" s="50">
        <v>160</v>
      </c>
      <c r="I2287" s="51"/>
      <c r="J2287" s="51">
        <v>5.88</v>
      </c>
      <c r="K2287" s="52">
        <f>Tabela6[[#This Row],[CONSUMO]]*Tabela6[[#This Row],[VALOR UNIT]]-Tabela6[[#This Row],[DESCONTO]]</f>
        <v>940.8</v>
      </c>
      <c r="L2287" s="53">
        <f>Tabela6[[#This Row],[CUSTO TOTAL]]/Tabela6[[#This Row],[CONSUMO]]</f>
        <v>5.88</v>
      </c>
      <c r="M2287" s="50">
        <f>Tabela6[[#This Row],[KM ATUAL]]-E2244</f>
        <v>342936</v>
      </c>
      <c r="N2287" s="51">
        <f>Tabela6[[#This Row],[KM Rodados ]]/Tabela6[[#This Row],[CONSUMO]]</f>
        <v>2143.35</v>
      </c>
    </row>
    <row r="2288" spans="1:14" x14ac:dyDescent="0.25">
      <c r="A2288" s="49">
        <v>7069</v>
      </c>
      <c r="B2288" s="78">
        <v>45180</v>
      </c>
      <c r="C2288" s="47" t="s">
        <v>67</v>
      </c>
      <c r="D2288" s="49" t="s">
        <v>299</v>
      </c>
      <c r="E2288" s="47">
        <v>679341</v>
      </c>
      <c r="F2288" s="50"/>
      <c r="G2288" s="50" t="s">
        <v>89</v>
      </c>
      <c r="H2288" s="50">
        <v>112</v>
      </c>
      <c r="I2288" s="51"/>
      <c r="J2288" s="51">
        <v>5.88</v>
      </c>
      <c r="K2288" s="52">
        <f>Tabela6[[#This Row],[CONSUMO]]*Tabela6[[#This Row],[VALOR UNIT]]-Tabela6[[#This Row],[DESCONTO]]</f>
        <v>658.56</v>
      </c>
      <c r="L2288" s="53">
        <f>Tabela6[[#This Row],[CUSTO TOTAL]]/Tabela6[[#This Row],[CONSUMO]]</f>
        <v>5.88</v>
      </c>
      <c r="M2288" s="50">
        <f>Tabela6[[#This Row],[KM ATUAL]]-E2256</f>
        <v>5116</v>
      </c>
      <c r="N2288" s="51">
        <f>Tabela6[[#This Row],[KM Rodados ]]/Tabela6[[#This Row],[CONSUMO]]</f>
        <v>45.678571428571431</v>
      </c>
    </row>
    <row r="2289" spans="1:14" x14ac:dyDescent="0.25">
      <c r="A2289" s="47">
        <v>206831</v>
      </c>
      <c r="B2289" s="78">
        <v>45180</v>
      </c>
      <c r="C2289" s="47" t="s">
        <v>215</v>
      </c>
      <c r="D2289" s="49" t="s">
        <v>262</v>
      </c>
      <c r="E2289" s="47">
        <v>228099</v>
      </c>
      <c r="F2289" s="50" t="s">
        <v>244</v>
      </c>
      <c r="G2289" s="50" t="s">
        <v>244</v>
      </c>
      <c r="H2289" s="50">
        <v>39.500999999999998</v>
      </c>
      <c r="I2289" s="51"/>
      <c r="J2289" s="51">
        <v>5.69</v>
      </c>
      <c r="K2289" s="51">
        <f>Tabela6[[#This Row],[CONSUMO]]*Tabela6[[#This Row],[VALOR UNIT]]-Tabela6[[#This Row],[DESCONTO]]</f>
        <v>224.76069000000001</v>
      </c>
      <c r="L2289" s="53">
        <f>Tabela6[[#This Row],[CUSTO TOTAL]]/Tabela6[[#This Row],[CONSUMO]]</f>
        <v>5.69</v>
      </c>
      <c r="M2289" s="50">
        <f>Tabela6[[#This Row],[KM ATUAL]]-E2134</f>
        <v>87363</v>
      </c>
      <c r="N2289" s="51">
        <f>Tabela6[[#This Row],[KM Rodados ]]/Tabela6[[#This Row],[CONSUMO]]</f>
        <v>2211.6655274550012</v>
      </c>
    </row>
    <row r="2290" spans="1:14" x14ac:dyDescent="0.25">
      <c r="A2290" s="49">
        <v>7069</v>
      </c>
      <c r="B2290" s="78">
        <v>45180</v>
      </c>
      <c r="C2290" s="47" t="s">
        <v>22</v>
      </c>
      <c r="D2290" s="49" t="s">
        <v>299</v>
      </c>
      <c r="E2290" s="47">
        <v>335759</v>
      </c>
      <c r="F2290" s="50"/>
      <c r="G2290" s="50" t="s">
        <v>89</v>
      </c>
      <c r="H2290" s="50">
        <v>149</v>
      </c>
      <c r="I2290" s="51"/>
      <c r="J2290" s="51">
        <v>5.88</v>
      </c>
      <c r="K2290" s="52">
        <f>Tabela6[[#This Row],[CONSUMO]]*Tabela6[[#This Row],[VALOR UNIT]]-Tabela6[[#This Row],[DESCONTO]]</f>
        <v>876.12</v>
      </c>
      <c r="L2290" s="53">
        <f>Tabela6[[#This Row],[CUSTO TOTAL]]/Tabela6[[#This Row],[CONSUMO]]</f>
        <v>5.88</v>
      </c>
      <c r="M2290" s="50">
        <f>Tabela6[[#This Row],[KM ATUAL]]-E2229</f>
        <v>179645</v>
      </c>
      <c r="N2290" s="51">
        <f>Tabela6[[#This Row],[KM Rodados ]]/Tabela6[[#This Row],[CONSUMO]]</f>
        <v>1205.6711409395973</v>
      </c>
    </row>
    <row r="2291" spans="1:14" x14ac:dyDescent="0.25">
      <c r="A2291" s="49">
        <v>7140</v>
      </c>
      <c r="B2291" s="78">
        <v>45180</v>
      </c>
      <c r="C2291" s="47" t="s">
        <v>22</v>
      </c>
      <c r="D2291" s="49" t="s">
        <v>299</v>
      </c>
      <c r="E2291" s="47">
        <v>335759</v>
      </c>
      <c r="F2291" s="50"/>
      <c r="G2291" s="50" t="s">
        <v>89</v>
      </c>
      <c r="H2291" s="50">
        <v>149</v>
      </c>
      <c r="I2291" s="51"/>
      <c r="J2291" s="51">
        <v>5.85</v>
      </c>
      <c r="K2291" s="52">
        <f>Tabela6[[#This Row],[CONSUMO]]*Tabela6[[#This Row],[VALOR UNIT]]-Tabela6[[#This Row],[DESCONTO]]</f>
        <v>871.65</v>
      </c>
      <c r="L2291" s="53">
        <f>Tabela6[[#This Row],[CUSTO TOTAL]]/Tabela6[[#This Row],[CONSUMO]]</f>
        <v>5.85</v>
      </c>
      <c r="M2291" s="50">
        <f>Tabela6[[#This Row],[KM ATUAL]]-E2215</f>
        <v>335759</v>
      </c>
      <c r="N2291" s="51">
        <f>Tabela6[[#This Row],[KM Rodados ]]/Tabela6[[#This Row],[CONSUMO]]</f>
        <v>2253.4161073825503</v>
      </c>
    </row>
    <row r="2292" spans="1:14" x14ac:dyDescent="0.25">
      <c r="A2292" s="49">
        <v>7140</v>
      </c>
      <c r="B2292" s="78">
        <v>45180</v>
      </c>
      <c r="C2292" s="47" t="s">
        <v>72</v>
      </c>
      <c r="D2292" s="49" t="s">
        <v>299</v>
      </c>
      <c r="E2292" s="47">
        <v>413114</v>
      </c>
      <c r="F2292" s="50"/>
      <c r="G2292" s="50" t="s">
        <v>89</v>
      </c>
      <c r="H2292" s="50">
        <v>23</v>
      </c>
      <c r="I2292" s="51"/>
      <c r="J2292" s="51">
        <v>5.85</v>
      </c>
      <c r="K2292" s="52">
        <f>Tabela6[[#This Row],[CONSUMO]]*Tabela6[[#This Row],[VALOR UNIT]]-Tabela6[[#This Row],[DESCONTO]]</f>
        <v>134.54999999999998</v>
      </c>
      <c r="L2292" s="53">
        <f>Tabela6[[#This Row],[CUSTO TOTAL]]/Tabela6[[#This Row],[CONSUMO]]</f>
        <v>5.85</v>
      </c>
      <c r="M2292" s="50">
        <f>Tabela6[[#This Row],[KM ATUAL]]-E2272</f>
        <v>267518</v>
      </c>
      <c r="N2292" s="51">
        <f>Tabela6[[#This Row],[KM Rodados ]]/Tabela6[[#This Row],[CONSUMO]]</f>
        <v>11631.217391304348</v>
      </c>
    </row>
    <row r="2293" spans="1:14" x14ac:dyDescent="0.25">
      <c r="A2293" s="49">
        <v>7069</v>
      </c>
      <c r="B2293" s="78">
        <v>45180</v>
      </c>
      <c r="C2293" s="47" t="s">
        <v>21</v>
      </c>
      <c r="D2293" s="49" t="s">
        <v>299</v>
      </c>
      <c r="E2293" s="47">
        <v>154815</v>
      </c>
      <c r="F2293" s="50"/>
      <c r="G2293" s="50" t="s">
        <v>89</v>
      </c>
      <c r="H2293" s="50">
        <v>188</v>
      </c>
      <c r="I2293" s="51"/>
      <c r="J2293" s="51">
        <v>5.88</v>
      </c>
      <c r="K2293" s="52">
        <f>Tabela6[[#This Row],[CONSUMO]]*Tabela6[[#This Row],[VALOR UNIT]]-Tabela6[[#This Row],[DESCONTO]]</f>
        <v>1105.44</v>
      </c>
      <c r="L2293" s="53">
        <f>Tabela6[[#This Row],[CUSTO TOTAL]]/Tabela6[[#This Row],[CONSUMO]]</f>
        <v>5.88</v>
      </c>
      <c r="M2293" s="50">
        <f>Tabela6[[#This Row],[KM ATUAL]]-E2270</f>
        <v>-2399</v>
      </c>
      <c r="N2293" s="51">
        <f>Tabela6[[#This Row],[KM Rodados ]]/Tabela6[[#This Row],[CONSUMO]]</f>
        <v>-12.76063829787234</v>
      </c>
    </row>
    <row r="2294" spans="1:14" x14ac:dyDescent="0.25">
      <c r="A2294" s="49">
        <v>330113</v>
      </c>
      <c r="B2294" s="78">
        <v>45180</v>
      </c>
      <c r="C2294" s="47" t="s">
        <v>41</v>
      </c>
      <c r="D2294" s="49" t="s">
        <v>276</v>
      </c>
      <c r="E2294" s="47">
        <v>674562</v>
      </c>
      <c r="F2294" s="50"/>
      <c r="G2294" s="50" t="s">
        <v>89</v>
      </c>
      <c r="H2294" s="50">
        <v>141.22</v>
      </c>
      <c r="I2294" s="51"/>
      <c r="J2294" s="51">
        <v>6.09</v>
      </c>
      <c r="K2294" s="52">
        <f>Tabela6[[#This Row],[CONSUMO]]*Tabela6[[#This Row],[VALOR UNIT]]-Tabela6[[#This Row],[DESCONTO]]</f>
        <v>860.02980000000002</v>
      </c>
      <c r="L2294" s="53">
        <f>Tabela6[[#This Row],[CUSTO TOTAL]]/Tabela6[[#This Row],[CONSUMO]]</f>
        <v>6.09</v>
      </c>
      <c r="M2294" s="50">
        <f>Tabela6[[#This Row],[KM ATUAL]]-E2233</f>
        <v>176112</v>
      </c>
      <c r="N2294" s="51">
        <f>Tabela6[[#This Row],[KM Rodados ]]/Tabela6[[#This Row],[CONSUMO]]</f>
        <v>1247.0754850587737</v>
      </c>
    </row>
    <row r="2295" spans="1:14" x14ac:dyDescent="0.25">
      <c r="A2295" s="49">
        <v>7069</v>
      </c>
      <c r="B2295" s="78">
        <v>45180</v>
      </c>
      <c r="C2295" s="47" t="s">
        <v>10</v>
      </c>
      <c r="D2295" s="49" t="s">
        <v>299</v>
      </c>
      <c r="E2295" s="47">
        <v>724948</v>
      </c>
      <c r="F2295" s="50"/>
      <c r="G2295" s="50" t="s">
        <v>89</v>
      </c>
      <c r="H2295" s="50">
        <v>110</v>
      </c>
      <c r="I2295" s="51"/>
      <c r="J2295" s="51">
        <v>5.88</v>
      </c>
      <c r="K2295" s="52">
        <f>Tabela6[[#This Row],[CONSUMO]]*Tabela6[[#This Row],[VALOR UNIT]]-Tabela6[[#This Row],[DESCONTO]]</f>
        <v>646.79999999999995</v>
      </c>
      <c r="L2295" s="53">
        <f>Tabela6[[#This Row],[CUSTO TOTAL]]/Tabela6[[#This Row],[CONSUMO]]</f>
        <v>5.88</v>
      </c>
      <c r="M2295" s="50">
        <f>Tabela6[[#This Row],[KM ATUAL]]-E2266</f>
        <v>580508</v>
      </c>
      <c r="N2295" s="51">
        <f>Tabela6[[#This Row],[KM Rodados ]]/Tabela6[[#This Row],[CONSUMO]]</f>
        <v>5277.3454545454542</v>
      </c>
    </row>
    <row r="2296" spans="1:14" x14ac:dyDescent="0.25">
      <c r="A2296" s="49">
        <v>7140</v>
      </c>
      <c r="B2296" s="78">
        <v>45180</v>
      </c>
      <c r="C2296" s="47" t="s">
        <v>206</v>
      </c>
      <c r="D2296" s="49" t="s">
        <v>237</v>
      </c>
      <c r="E2296" s="47">
        <v>962473</v>
      </c>
      <c r="F2296" s="50" t="s">
        <v>89</v>
      </c>
      <c r="G2296" s="50" t="s">
        <v>89</v>
      </c>
      <c r="H2296" s="50">
        <v>586</v>
      </c>
      <c r="I2296" s="51">
        <v>773.52</v>
      </c>
      <c r="J2296" s="51">
        <v>7.14</v>
      </c>
      <c r="K2296" s="52">
        <f>Tabela6[[#This Row],[CONSUMO]]*Tabela6[[#This Row],[VALOR UNIT]]-Tabela6[[#This Row],[DESCONTO]]</f>
        <v>3410.52</v>
      </c>
      <c r="L2296" s="53">
        <f>Tabela6[[#This Row],[CUSTO TOTAL]]/Tabela6[[#This Row],[CONSUMO]]</f>
        <v>5.82</v>
      </c>
      <c r="M2296" s="50">
        <f>Tabela6[[#This Row],[KM ATUAL]]-E2214</f>
        <v>819478</v>
      </c>
      <c r="N2296" s="51">
        <f>Tabela6[[#This Row],[KM Rodados ]]/Tabela6[[#This Row],[CONSUMO]]</f>
        <v>1398.4266211604095</v>
      </c>
    </row>
    <row r="2297" spans="1:14" x14ac:dyDescent="0.25">
      <c r="A2297" s="49">
        <v>7069</v>
      </c>
      <c r="B2297" s="78">
        <v>45180</v>
      </c>
      <c r="C2297" s="47" t="s">
        <v>13</v>
      </c>
      <c r="D2297" s="49" t="s">
        <v>299</v>
      </c>
      <c r="E2297" s="47">
        <v>648367</v>
      </c>
      <c r="F2297" s="50"/>
      <c r="G2297" s="50" t="s">
        <v>89</v>
      </c>
      <c r="H2297" s="50">
        <v>85</v>
      </c>
      <c r="I2297" s="51"/>
      <c r="J2297" s="51">
        <v>5.88</v>
      </c>
      <c r="K2297" s="52">
        <f>Tabela6[[#This Row],[CONSUMO]]*Tabela6[[#This Row],[VALOR UNIT]]-Tabela6[[#This Row],[DESCONTO]]</f>
        <v>499.8</v>
      </c>
      <c r="L2297" s="53">
        <f>Tabela6[[#This Row],[CUSTO TOTAL]]/Tabela6[[#This Row],[CONSUMO]]</f>
        <v>5.88</v>
      </c>
      <c r="M2297" s="50">
        <f>Tabela6[[#This Row],[KM ATUAL]]-E2281</f>
        <v>26124</v>
      </c>
      <c r="N2297" s="51">
        <f>Tabela6[[#This Row],[KM Rodados ]]/Tabela6[[#This Row],[CONSUMO]]</f>
        <v>307.34117647058821</v>
      </c>
    </row>
    <row r="2298" spans="1:14" x14ac:dyDescent="0.25">
      <c r="A2298" s="47">
        <v>564486</v>
      </c>
      <c r="B2298" s="78">
        <v>45180</v>
      </c>
      <c r="C2298" s="47" t="s">
        <v>18</v>
      </c>
      <c r="D2298" s="49" t="s">
        <v>255</v>
      </c>
      <c r="E2298" s="47">
        <v>327399</v>
      </c>
      <c r="F2298" s="50" t="s">
        <v>89</v>
      </c>
      <c r="G2298" s="50" t="s">
        <v>89</v>
      </c>
      <c r="H2298" s="50">
        <v>68.180000000000007</v>
      </c>
      <c r="I2298" s="51"/>
      <c r="J2298" s="51">
        <v>6.89</v>
      </c>
      <c r="K2298" s="52">
        <f>Tabela6[[#This Row],[CONSUMO]]*Tabela6[[#This Row],[VALOR UNIT]]-Tabela6[[#This Row],[DESCONTO]]</f>
        <v>469.7602</v>
      </c>
      <c r="L2298" s="53">
        <f>Tabela6[[#This Row],[CUSTO TOTAL]]/Tabela6[[#This Row],[CONSUMO]]</f>
        <v>6.89</v>
      </c>
      <c r="M2298" s="50">
        <f>Tabela6[[#This Row],[KM ATUAL]]-E2260</f>
        <v>33671</v>
      </c>
      <c r="N2298" s="84">
        <f>Tabela6[[#This Row],[KM Rodados ]]/Tabela6[[#This Row],[CONSUMO]]</f>
        <v>493.85450278674091</v>
      </c>
    </row>
    <row r="2299" spans="1:14" x14ac:dyDescent="0.25">
      <c r="A2299" s="49">
        <v>7140</v>
      </c>
      <c r="B2299" s="78">
        <v>45180</v>
      </c>
      <c r="C2299" s="47" t="s">
        <v>19</v>
      </c>
      <c r="D2299" s="49" t="s">
        <v>253</v>
      </c>
      <c r="E2299" s="47">
        <v>325960</v>
      </c>
      <c r="F2299" s="50" t="s">
        <v>89</v>
      </c>
      <c r="G2299" s="50" t="s">
        <v>89</v>
      </c>
      <c r="H2299" s="50">
        <v>190.3</v>
      </c>
      <c r="I2299" s="51"/>
      <c r="J2299" s="51">
        <v>6.09</v>
      </c>
      <c r="K2299" s="52">
        <f>Tabela6[[#This Row],[CONSUMO]]*Tabela6[[#This Row],[VALOR UNIT]]-Tabela6[[#This Row],[DESCONTO]]</f>
        <v>1158.9270000000001</v>
      </c>
      <c r="L2299" s="53">
        <f>Tabela6[[#This Row],[CUSTO TOTAL]]/Tabela6[[#This Row],[CONSUMO]]</f>
        <v>6.0900000000000007</v>
      </c>
      <c r="M2299" s="50">
        <f>Tabela6[[#This Row],[KM ATUAL]]-E2245</f>
        <v>169213</v>
      </c>
      <c r="N2299" s="51">
        <f>Tabela6[[#This Row],[KM Rodados ]]/Tabela6[[#This Row],[CONSUMO]]</f>
        <v>889.19075144508668</v>
      </c>
    </row>
    <row r="2300" spans="1:14" x14ac:dyDescent="0.25">
      <c r="A2300" s="49">
        <v>7140</v>
      </c>
      <c r="B2300" s="78">
        <v>45180</v>
      </c>
      <c r="C2300" s="47" t="s">
        <v>19</v>
      </c>
      <c r="D2300" s="49" t="s">
        <v>253</v>
      </c>
      <c r="E2300" s="47">
        <v>325960</v>
      </c>
      <c r="F2300" s="50" t="s">
        <v>241</v>
      </c>
      <c r="G2300" s="50" t="s">
        <v>241</v>
      </c>
      <c r="H2300" s="50">
        <v>24.76</v>
      </c>
      <c r="I2300" s="51"/>
      <c r="J2300" s="51">
        <v>3.49</v>
      </c>
      <c r="K2300" s="52">
        <f>Tabela6[[#This Row],[CONSUMO]]*Tabela6[[#This Row],[VALOR UNIT]]-Tabela6[[#This Row],[DESCONTO]]</f>
        <v>86.412400000000005</v>
      </c>
      <c r="L2300" s="53">
        <f>Tabela6[[#This Row],[CUSTO TOTAL]]/Tabela6[[#This Row],[CONSUMO]]</f>
        <v>3.4899999999999998</v>
      </c>
      <c r="M2300" s="53"/>
      <c r="N2300" s="49"/>
    </row>
    <row r="2301" spans="1:14" x14ac:dyDescent="0.25">
      <c r="A2301" s="49">
        <v>7069</v>
      </c>
      <c r="B2301" s="78">
        <v>45180</v>
      </c>
      <c r="C2301" s="47" t="s">
        <v>20</v>
      </c>
      <c r="D2301" s="49" t="s">
        <v>299</v>
      </c>
      <c r="E2301" s="47">
        <v>270318</v>
      </c>
      <c r="F2301" s="50"/>
      <c r="G2301" s="50" t="s">
        <v>89</v>
      </c>
      <c r="H2301" s="50">
        <v>17</v>
      </c>
      <c r="I2301" s="51"/>
      <c r="J2301" s="51">
        <v>5.88</v>
      </c>
      <c r="K2301" s="52">
        <f>Tabela6[[#This Row],[CONSUMO]]*Tabela6[[#This Row],[VALOR UNIT]]-Tabela6[[#This Row],[DESCONTO]]</f>
        <v>99.96</v>
      </c>
      <c r="L2301" s="53">
        <f>Tabela6[[#This Row],[CUSTO TOTAL]]/Tabela6[[#This Row],[CONSUMO]]</f>
        <v>5.88</v>
      </c>
      <c r="M2301" s="50">
        <f>Tabela6[[#This Row],[KM ATUAL]]-E2270</f>
        <v>113104</v>
      </c>
      <c r="N2301" s="51">
        <f>Tabela6[[#This Row],[KM Rodados ]]/Tabela6[[#This Row],[CONSUMO]]</f>
        <v>6653.1764705882351</v>
      </c>
    </row>
    <row r="2302" spans="1:14" x14ac:dyDescent="0.25">
      <c r="A2302" s="49">
        <v>7140</v>
      </c>
      <c r="B2302" s="78">
        <v>45180</v>
      </c>
      <c r="C2302" s="47" t="s">
        <v>20</v>
      </c>
      <c r="D2302" s="49" t="s">
        <v>299</v>
      </c>
      <c r="E2302" s="47">
        <v>270746</v>
      </c>
      <c r="F2302" s="50"/>
      <c r="G2302" s="50" t="s">
        <v>89</v>
      </c>
      <c r="H2302" s="50">
        <v>43</v>
      </c>
      <c r="I2302" s="51"/>
      <c r="J2302" s="51">
        <v>5.85</v>
      </c>
      <c r="K2302" s="52">
        <f>Tabela6[[#This Row],[CONSUMO]]*Tabela6[[#This Row],[VALOR UNIT]]-Tabela6[[#This Row],[DESCONTO]]</f>
        <v>251.54999999999998</v>
      </c>
      <c r="L2302" s="53">
        <f>Tabela6[[#This Row],[CUSTO TOTAL]]/Tabela6[[#This Row],[CONSUMO]]</f>
        <v>5.85</v>
      </c>
      <c r="M2302" s="50">
        <f>Tabela6[[#This Row],[KM ATUAL]]-E2293</f>
        <v>115931</v>
      </c>
      <c r="N2302" s="51">
        <f>Tabela6[[#This Row],[KM Rodados ]]/Tabela6[[#This Row],[CONSUMO]]</f>
        <v>2696.0697674418607</v>
      </c>
    </row>
    <row r="2303" spans="1:14" x14ac:dyDescent="0.25">
      <c r="A2303" s="49">
        <v>7140</v>
      </c>
      <c r="B2303" s="78">
        <v>45180</v>
      </c>
      <c r="C2303" s="47" t="s">
        <v>23</v>
      </c>
      <c r="D2303" s="49" t="s">
        <v>299</v>
      </c>
      <c r="E2303" s="47">
        <v>244512</v>
      </c>
      <c r="F2303" s="50"/>
      <c r="G2303" s="50" t="s">
        <v>89</v>
      </c>
      <c r="H2303" s="50">
        <v>102</v>
      </c>
      <c r="I2303" s="51"/>
      <c r="J2303" s="51">
        <v>5.85</v>
      </c>
      <c r="K2303" s="52">
        <f>Tabela6[[#This Row],[CONSUMO]]*Tabela6[[#This Row],[VALOR UNIT]]-Tabela6[[#This Row],[DESCONTO]]</f>
        <v>596.69999999999993</v>
      </c>
      <c r="L2303" s="53">
        <f>Tabela6[[#This Row],[CUSTO TOTAL]]/Tabela6[[#This Row],[CONSUMO]]</f>
        <v>5.85</v>
      </c>
      <c r="M2303" s="50">
        <f>Tabela6[[#This Row],[KM ATUAL]]-E2271</f>
        <v>168918</v>
      </c>
      <c r="N2303" s="51">
        <f>Tabela6[[#This Row],[KM Rodados ]]/Tabela6[[#This Row],[CONSUMO]]</f>
        <v>1656.0588235294117</v>
      </c>
    </row>
    <row r="2304" spans="1:14" x14ac:dyDescent="0.25">
      <c r="A2304" s="49">
        <v>7069</v>
      </c>
      <c r="B2304" s="78">
        <v>45180</v>
      </c>
      <c r="C2304" s="47" t="s">
        <v>74</v>
      </c>
      <c r="D2304" s="49" t="s">
        <v>299</v>
      </c>
      <c r="E2304" s="47">
        <v>76398</v>
      </c>
      <c r="F2304" s="50"/>
      <c r="G2304" s="50" t="s">
        <v>89</v>
      </c>
      <c r="H2304" s="50">
        <v>37</v>
      </c>
      <c r="I2304" s="51"/>
      <c r="J2304" s="51">
        <v>5.88</v>
      </c>
      <c r="K2304" s="52">
        <f>Tabela6[[#This Row],[CONSUMO]]*Tabela6[[#This Row],[VALOR UNIT]]-Tabela6[[#This Row],[DESCONTO]]</f>
        <v>217.56</v>
      </c>
      <c r="L2304" s="53">
        <f>Tabela6[[#This Row],[CUSTO TOTAL]]/Tabela6[[#This Row],[CONSUMO]]</f>
        <v>5.88</v>
      </c>
      <c r="M2304" s="50">
        <f>Tabela6[[#This Row],[KM ATUAL]]-E2284</f>
        <v>-967495</v>
      </c>
      <c r="N2304" s="51">
        <f>Tabela6[[#This Row],[KM Rodados ]]/Tabela6[[#This Row],[CONSUMO]]</f>
        <v>-26148.513513513513</v>
      </c>
    </row>
    <row r="2305" spans="1:14" x14ac:dyDescent="0.25">
      <c r="A2305" s="49">
        <v>7140</v>
      </c>
      <c r="B2305" s="78">
        <v>45181</v>
      </c>
      <c r="C2305" s="47" t="s">
        <v>9</v>
      </c>
      <c r="D2305" s="49" t="s">
        <v>258</v>
      </c>
      <c r="E2305" s="47">
        <v>622749</v>
      </c>
      <c r="F2305" s="50" t="s">
        <v>89</v>
      </c>
      <c r="G2305" s="50" t="s">
        <v>89</v>
      </c>
      <c r="H2305" s="50">
        <v>130.71299999999999</v>
      </c>
      <c r="I2305" s="51"/>
      <c r="J2305" s="51">
        <v>6.09</v>
      </c>
      <c r="K2305" s="52">
        <f>Tabela6[[#This Row],[CONSUMO]]*Tabela6[[#This Row],[VALOR UNIT]]-Tabela6[[#This Row],[DESCONTO]]</f>
        <v>796.04216999999994</v>
      </c>
      <c r="L2305" s="53">
        <f>Tabela6[[#This Row],[CUSTO TOTAL]]/Tabela6[[#This Row],[CONSUMO]]</f>
        <v>6.09</v>
      </c>
      <c r="M2305" s="50">
        <f>Tabela6[[#This Row],[KM ATUAL]]-E2276</f>
        <v>-420305</v>
      </c>
      <c r="N2305" s="51">
        <f>Tabela6[[#This Row],[KM Rodados ]]/Tabela6[[#This Row],[CONSUMO]]</f>
        <v>-3215.479715101023</v>
      </c>
    </row>
    <row r="2306" spans="1:14" x14ac:dyDescent="0.25">
      <c r="A2306" s="49">
        <v>7140</v>
      </c>
      <c r="B2306" s="78">
        <v>45181</v>
      </c>
      <c r="C2306" s="47" t="s">
        <v>67</v>
      </c>
      <c r="D2306" s="49" t="s">
        <v>299</v>
      </c>
      <c r="E2306" s="47">
        <v>679652</v>
      </c>
      <c r="F2306" s="50"/>
      <c r="G2306" s="50" t="s">
        <v>89</v>
      </c>
      <c r="H2306" s="50">
        <v>75</v>
      </c>
      <c r="I2306" s="51"/>
      <c r="J2306" s="51">
        <v>5.85</v>
      </c>
      <c r="K2306" s="52">
        <f>Tabela6[[#This Row],[CONSUMO]]*Tabela6[[#This Row],[VALOR UNIT]]-Tabela6[[#This Row],[DESCONTO]]</f>
        <v>438.75</v>
      </c>
      <c r="L2306" s="53">
        <f>Tabela6[[#This Row],[CUSTO TOTAL]]/Tabela6[[#This Row],[CONSUMO]]</f>
        <v>5.85</v>
      </c>
      <c r="M2306" s="50">
        <f>Tabela6[[#This Row],[KM ATUAL]]-E2278</f>
        <v>31680</v>
      </c>
      <c r="N2306" s="51">
        <f>Tabela6[[#This Row],[KM Rodados ]]/Tabela6[[#This Row],[CONSUMO]]</f>
        <v>422.4</v>
      </c>
    </row>
    <row r="2307" spans="1:14" x14ac:dyDescent="0.25">
      <c r="A2307" s="49">
        <v>7140</v>
      </c>
      <c r="B2307" s="78">
        <v>45181</v>
      </c>
      <c r="C2307" s="47" t="s">
        <v>72</v>
      </c>
      <c r="D2307" s="49" t="s">
        <v>268</v>
      </c>
      <c r="E2307" s="47">
        <v>413383</v>
      </c>
      <c r="F2307" s="50" t="s">
        <v>89</v>
      </c>
      <c r="G2307" s="50" t="s">
        <v>89</v>
      </c>
      <c r="H2307" s="50">
        <v>35.28</v>
      </c>
      <c r="I2307" s="51"/>
      <c r="J2307" s="51">
        <v>5.99</v>
      </c>
      <c r="K2307" s="52">
        <f>Tabela6[[#This Row],[CONSUMO]]*Tabela6[[#This Row],[VALOR UNIT]]-Tabela6[[#This Row],[DESCONTO]]</f>
        <v>211.3272</v>
      </c>
      <c r="L2307" s="53">
        <f>Tabela6[[#This Row],[CUSTO TOTAL]]/Tabela6[[#This Row],[CONSUMO]]</f>
        <v>5.99</v>
      </c>
      <c r="M2307" s="50">
        <f>Tabela6[[#This Row],[KM ATUAL]]-E2301</f>
        <v>143065</v>
      </c>
      <c r="N2307" s="51">
        <f>Tabela6[[#This Row],[KM Rodados ]]/Tabela6[[#This Row],[CONSUMO]]</f>
        <v>4055.1303854875282</v>
      </c>
    </row>
    <row r="2308" spans="1:14" x14ac:dyDescent="0.25">
      <c r="A2308" s="49">
        <v>7140</v>
      </c>
      <c r="B2308" s="78">
        <v>45181</v>
      </c>
      <c r="C2308" s="47" t="s">
        <v>73</v>
      </c>
      <c r="D2308" s="49" t="s">
        <v>311</v>
      </c>
      <c r="E2308" s="47">
        <v>146020</v>
      </c>
      <c r="F2308" s="50" t="s">
        <v>241</v>
      </c>
      <c r="G2308" s="50" t="s">
        <v>241</v>
      </c>
      <c r="H2308" s="50">
        <v>20.003</v>
      </c>
      <c r="I2308" s="51"/>
      <c r="J2308" s="51">
        <v>3.19</v>
      </c>
      <c r="K2308" s="52">
        <f>Tabela6[[#This Row],[CONSUMO]]*Tabela6[[#This Row],[VALOR UNIT]]-Tabela6[[#This Row],[DESCONTO]]</f>
        <v>63.809570000000001</v>
      </c>
      <c r="L2308" s="53">
        <f>Tabela6[[#This Row],[CUSTO TOTAL]]/Tabela6[[#This Row],[CONSUMO]]</f>
        <v>3.19</v>
      </c>
      <c r="M2308" s="53"/>
      <c r="N2308" s="49"/>
    </row>
    <row r="2309" spans="1:14" x14ac:dyDescent="0.25">
      <c r="A2309" s="49">
        <v>7140</v>
      </c>
      <c r="B2309" s="78">
        <v>45181</v>
      </c>
      <c r="C2309" s="47" t="s">
        <v>73</v>
      </c>
      <c r="D2309" s="49" t="s">
        <v>311</v>
      </c>
      <c r="E2309" s="47">
        <v>146020</v>
      </c>
      <c r="F2309" s="50" t="s">
        <v>89</v>
      </c>
      <c r="G2309" s="50" t="s">
        <v>89</v>
      </c>
      <c r="H2309" s="50">
        <v>175.126</v>
      </c>
      <c r="I2309" s="51">
        <v>187.38</v>
      </c>
      <c r="J2309" s="51">
        <v>7.42</v>
      </c>
      <c r="K2309" s="52">
        <f>Tabela6[[#This Row],[CONSUMO]]*Tabela6[[#This Row],[VALOR UNIT]]-Tabela6[[#This Row],[DESCONTO]]</f>
        <v>1112.05492</v>
      </c>
      <c r="L2309" s="53">
        <f>Tabela6[[#This Row],[CUSTO TOTAL]]/Tabela6[[#This Row],[CONSUMO]]</f>
        <v>6.3500275230405538</v>
      </c>
      <c r="M2309" s="50">
        <f>Tabela6[[#This Row],[KM ATUAL]]-E2270</f>
        <v>-11194</v>
      </c>
      <c r="N2309" s="51">
        <f>Tabela6[[#This Row],[KM Rodados ]]/Tabela6[[#This Row],[CONSUMO]]</f>
        <v>-63.919692107396955</v>
      </c>
    </row>
    <row r="2310" spans="1:14" x14ac:dyDescent="0.25">
      <c r="A2310" s="49">
        <v>7140</v>
      </c>
      <c r="B2310" s="78">
        <v>45181</v>
      </c>
      <c r="C2310" s="47" t="s">
        <v>71</v>
      </c>
      <c r="D2310" s="49" t="s">
        <v>299</v>
      </c>
      <c r="E2310" s="47">
        <v>123247</v>
      </c>
      <c r="F2310" s="50"/>
      <c r="G2310" s="50" t="s">
        <v>89</v>
      </c>
      <c r="H2310" s="50">
        <v>285</v>
      </c>
      <c r="I2310" s="51"/>
      <c r="J2310" s="51">
        <v>5.85</v>
      </c>
      <c r="K2310" s="52">
        <f>Tabela6[[#This Row],[CONSUMO]]*Tabela6[[#This Row],[VALOR UNIT]]-Tabela6[[#This Row],[DESCONTO]]</f>
        <v>1667.25</v>
      </c>
      <c r="L2310" s="53">
        <f>Tabela6[[#This Row],[CUSTO TOTAL]]/Tabela6[[#This Row],[CONSUMO]]</f>
        <v>5.85</v>
      </c>
      <c r="M2310" s="50">
        <f>Tabela6[[#This Row],[KM ATUAL]]-E2255</f>
        <v>937</v>
      </c>
      <c r="N2310" s="51">
        <f>Tabela6[[#This Row],[KM Rodados ]]/Tabela6[[#This Row],[CONSUMO]]</f>
        <v>3.287719298245614</v>
      </c>
    </row>
    <row r="2311" spans="1:14" x14ac:dyDescent="0.25">
      <c r="A2311" s="49">
        <v>7140</v>
      </c>
      <c r="B2311" s="78">
        <v>45181</v>
      </c>
      <c r="C2311" s="47" t="s">
        <v>64</v>
      </c>
      <c r="D2311" s="49" t="s">
        <v>253</v>
      </c>
      <c r="E2311" s="47">
        <v>92292</v>
      </c>
      <c r="F2311" s="50" t="s">
        <v>89</v>
      </c>
      <c r="G2311" s="50" t="s">
        <v>89</v>
      </c>
      <c r="H2311" s="50">
        <v>136.99</v>
      </c>
      <c r="I2311" s="51"/>
      <c r="J2311" s="51">
        <v>6.09</v>
      </c>
      <c r="K2311" s="52">
        <f>Tabela6[[#This Row],[CONSUMO]]*Tabela6[[#This Row],[VALOR UNIT]]-Tabela6[[#This Row],[DESCONTO]]</f>
        <v>834.26909999999998</v>
      </c>
      <c r="L2311" s="53">
        <f>Tabela6[[#This Row],[CUSTO TOTAL]]/Tabela6[[#This Row],[CONSUMO]]</f>
        <v>6.09</v>
      </c>
      <c r="M2311" s="50">
        <f>Tabela6[[#This Row],[KM ATUAL]]-E2285</f>
        <v>-53527</v>
      </c>
      <c r="N2311" s="51">
        <f>Tabela6[[#This Row],[KM Rodados ]]/Tabela6[[#This Row],[CONSUMO]]</f>
        <v>-390.7365501131469</v>
      </c>
    </row>
    <row r="2312" spans="1:14" x14ac:dyDescent="0.25">
      <c r="A2312" s="49">
        <v>7140</v>
      </c>
      <c r="B2312" s="78">
        <v>45181</v>
      </c>
      <c r="C2312" s="47" t="s">
        <v>41</v>
      </c>
      <c r="D2312" s="49" t="s">
        <v>299</v>
      </c>
      <c r="E2312" s="47">
        <v>675089</v>
      </c>
      <c r="F2312" s="50"/>
      <c r="G2312" s="50" t="s">
        <v>89</v>
      </c>
      <c r="H2312" s="50">
        <v>110</v>
      </c>
      <c r="I2312" s="51"/>
      <c r="J2312" s="51">
        <v>5.85</v>
      </c>
      <c r="K2312" s="52">
        <f>Tabela6[[#This Row],[CONSUMO]]*Tabela6[[#This Row],[VALOR UNIT]]-Tabela6[[#This Row],[DESCONTO]]</f>
        <v>643.5</v>
      </c>
      <c r="L2312" s="53">
        <f>Tabela6[[#This Row],[CUSTO TOTAL]]/Tabela6[[#This Row],[CONSUMO]]</f>
        <v>5.85</v>
      </c>
      <c r="M2312" s="50">
        <f>Tabela6[[#This Row],[KM ATUAL]]-E2311</f>
        <v>582797</v>
      </c>
      <c r="N2312" s="51">
        <f>Tabela6[[#This Row],[KM Rodados ]]/Tabela6[[#This Row],[CONSUMO]]</f>
        <v>5298.1545454545458</v>
      </c>
    </row>
    <row r="2313" spans="1:14" x14ac:dyDescent="0.25">
      <c r="A2313" s="49">
        <v>7140</v>
      </c>
      <c r="B2313" s="78">
        <v>45181</v>
      </c>
      <c r="C2313" s="47" t="s">
        <v>10</v>
      </c>
      <c r="D2313" s="49" t="s">
        <v>299</v>
      </c>
      <c r="E2313" s="47">
        <v>725443</v>
      </c>
      <c r="F2313" s="50"/>
      <c r="G2313" s="50" t="s">
        <v>89</v>
      </c>
      <c r="H2313" s="50">
        <v>128</v>
      </c>
      <c r="I2313" s="51"/>
      <c r="J2313" s="51">
        <v>5.85</v>
      </c>
      <c r="K2313" s="52">
        <f>Tabela6[[#This Row],[CONSUMO]]*Tabela6[[#This Row],[VALOR UNIT]]-Tabela6[[#This Row],[DESCONTO]]</f>
        <v>748.8</v>
      </c>
      <c r="L2313" s="53">
        <f>Tabela6[[#This Row],[CUSTO TOTAL]]/Tabela6[[#This Row],[CONSUMO]]</f>
        <v>5.85</v>
      </c>
      <c r="M2313" s="50">
        <f>Tabela6[[#This Row],[KM ATUAL]]-E2285</f>
        <v>579624</v>
      </c>
      <c r="N2313" s="51">
        <f>Tabela6[[#This Row],[KM Rodados ]]/Tabela6[[#This Row],[CONSUMO]]</f>
        <v>4528.3125</v>
      </c>
    </row>
    <row r="2314" spans="1:14" x14ac:dyDescent="0.25">
      <c r="A2314" s="49">
        <v>7140</v>
      </c>
      <c r="B2314" s="78">
        <v>45181</v>
      </c>
      <c r="C2314" s="47" t="s">
        <v>301</v>
      </c>
      <c r="D2314" s="49" t="s">
        <v>262</v>
      </c>
      <c r="E2314" s="47">
        <v>1044162</v>
      </c>
      <c r="F2314" s="50" t="s">
        <v>89</v>
      </c>
      <c r="G2314" s="50" t="s">
        <v>89</v>
      </c>
      <c r="H2314" s="50">
        <v>100</v>
      </c>
      <c r="I2314" s="51"/>
      <c r="J2314" s="51">
        <v>6.09</v>
      </c>
      <c r="K2314" s="52">
        <f>Tabela6[[#This Row],[CONSUMO]]*Tabela6[[#This Row],[VALOR UNIT]]-Tabela6[[#This Row],[DESCONTO]]</f>
        <v>609</v>
      </c>
      <c r="L2314" s="53">
        <f>Tabela6[[#This Row],[CUSTO TOTAL]]/Tabela6[[#This Row],[CONSUMO]]</f>
        <v>6.09</v>
      </c>
      <c r="M2314" s="50">
        <f>Tabela6[[#This Row],[KM ATUAL]]-E2313</f>
        <v>318719</v>
      </c>
      <c r="N2314" s="49">
        <f>Tabela6[[#This Row],[KM Rodados ]]/Tabela6[[#This Row],[CONSUMO]]</f>
        <v>3187.19</v>
      </c>
    </row>
    <row r="2315" spans="1:14" x14ac:dyDescent="0.25">
      <c r="A2315" s="47">
        <v>1331018</v>
      </c>
      <c r="B2315" s="78">
        <v>45181</v>
      </c>
      <c r="C2315" s="47" t="s">
        <v>13</v>
      </c>
      <c r="D2315" s="49" t="s">
        <v>247</v>
      </c>
      <c r="E2315" s="47">
        <v>648933</v>
      </c>
      <c r="F2315" s="50"/>
      <c r="G2315" s="50" t="s">
        <v>89</v>
      </c>
      <c r="H2315" s="50">
        <v>122.42</v>
      </c>
      <c r="I2315" s="51"/>
      <c r="J2315" s="51">
        <v>6.29</v>
      </c>
      <c r="K2315" s="52">
        <f>Tabela6[[#This Row],[CONSUMO]]*Tabela6[[#This Row],[VALOR UNIT]]-Tabela6[[#This Row],[DESCONTO]]</f>
        <v>770.02179999999998</v>
      </c>
      <c r="L2315" s="53">
        <f>Tabela6[[#This Row],[CUSTO TOTAL]]/Tabela6[[#This Row],[CONSUMO]]</f>
        <v>6.29</v>
      </c>
      <c r="M2315" s="50">
        <f>Tabela6[[#This Row],[KM ATUAL]]-E2302</f>
        <v>378187</v>
      </c>
      <c r="N2315" s="51">
        <f>Tabela6[[#This Row],[KM Rodados ]]/Tabela6[[#This Row],[CONSUMO]]</f>
        <v>3089.2582911289005</v>
      </c>
    </row>
    <row r="2316" spans="1:14" x14ac:dyDescent="0.25">
      <c r="A2316" s="49">
        <v>7140</v>
      </c>
      <c r="B2316" s="78">
        <v>45181</v>
      </c>
      <c r="C2316" s="47" t="s">
        <v>15</v>
      </c>
      <c r="D2316" s="49" t="s">
        <v>299</v>
      </c>
      <c r="E2316" s="47">
        <v>382818</v>
      </c>
      <c r="F2316" s="50"/>
      <c r="G2316" s="50" t="s">
        <v>89</v>
      </c>
      <c r="H2316" s="50">
        <v>108</v>
      </c>
      <c r="I2316" s="51"/>
      <c r="J2316" s="51">
        <v>5.85</v>
      </c>
      <c r="K2316" s="52">
        <f>Tabela6[[#This Row],[CONSUMO]]*Tabela6[[#This Row],[VALOR UNIT]]-Tabela6[[#This Row],[DESCONTO]]</f>
        <v>631.79999999999995</v>
      </c>
      <c r="L2316" s="53">
        <f>Tabela6[[#This Row],[CUSTO TOTAL]]/Tabela6[[#This Row],[CONSUMO]]</f>
        <v>5.85</v>
      </c>
      <c r="M2316" s="50">
        <f>Tabela6[[#This Row],[KM ATUAL]]-E2315</f>
        <v>-266115</v>
      </c>
      <c r="N2316" s="51">
        <f>Tabela6[[#This Row],[KM Rodados ]]/Tabela6[[#This Row],[CONSUMO]]</f>
        <v>-2464.0277777777778</v>
      </c>
    </row>
    <row r="2317" spans="1:14" x14ac:dyDescent="0.25">
      <c r="A2317" s="49">
        <v>7140</v>
      </c>
      <c r="B2317" s="78">
        <v>45181</v>
      </c>
      <c r="C2317" s="47" t="s">
        <v>20</v>
      </c>
      <c r="D2317" s="49" t="s">
        <v>299</v>
      </c>
      <c r="E2317" s="47">
        <v>271029</v>
      </c>
      <c r="F2317" s="50"/>
      <c r="G2317" s="50" t="s">
        <v>89</v>
      </c>
      <c r="H2317" s="50">
        <v>36</v>
      </c>
      <c r="I2317" s="51"/>
      <c r="J2317" s="51">
        <v>5.85</v>
      </c>
      <c r="K2317" s="52">
        <f>Tabela6[[#This Row],[CONSUMO]]*Tabela6[[#This Row],[VALOR UNIT]]-Tabela6[[#This Row],[DESCONTO]]</f>
        <v>210.6</v>
      </c>
      <c r="L2317" s="53">
        <f>Tabela6[[#This Row],[CUSTO TOTAL]]/Tabela6[[#This Row],[CONSUMO]]</f>
        <v>5.85</v>
      </c>
      <c r="M2317" s="50">
        <f>Tabela6[[#This Row],[KM ATUAL]]-E2296</f>
        <v>-691444</v>
      </c>
      <c r="N2317" s="51">
        <f>Tabela6[[#This Row],[KM Rodados ]]/Tabela6[[#This Row],[CONSUMO]]</f>
        <v>-19206.777777777777</v>
      </c>
    </row>
    <row r="2318" spans="1:14" x14ac:dyDescent="0.25">
      <c r="A2318" s="49">
        <v>7140</v>
      </c>
      <c r="B2318" s="78">
        <v>45182</v>
      </c>
      <c r="C2318" s="47" t="s">
        <v>68</v>
      </c>
      <c r="D2318" s="49" t="s">
        <v>299</v>
      </c>
      <c r="E2318" s="47">
        <v>915244</v>
      </c>
      <c r="F2318" s="50"/>
      <c r="G2318" s="50" t="s">
        <v>89</v>
      </c>
      <c r="H2318" s="50">
        <v>400</v>
      </c>
      <c r="I2318" s="51"/>
      <c r="J2318" s="51">
        <v>5.85</v>
      </c>
      <c r="K2318" s="52">
        <f>Tabela6[[#This Row],[CONSUMO]]*Tabela6[[#This Row],[VALOR UNIT]]-Tabela6[[#This Row],[DESCONTO]]</f>
        <v>2340</v>
      </c>
      <c r="L2318" s="53">
        <f>Tabela6[[#This Row],[CUSTO TOTAL]]/Tabela6[[#This Row],[CONSUMO]]</f>
        <v>5.85</v>
      </c>
      <c r="M2318" s="50">
        <f>Tabela6[[#This Row],[KM ATUAL]]-E2245</f>
        <v>758497</v>
      </c>
      <c r="N2318" s="51">
        <f>Tabela6[[#This Row],[KM Rodados ]]/Tabela6[[#This Row],[CONSUMO]]</f>
        <v>1896.2425000000001</v>
      </c>
    </row>
    <row r="2319" spans="1:14" x14ac:dyDescent="0.25">
      <c r="A2319" s="49">
        <v>7140</v>
      </c>
      <c r="B2319" s="78">
        <v>45182</v>
      </c>
      <c r="C2319" s="47" t="s">
        <v>43</v>
      </c>
      <c r="D2319" s="49" t="s">
        <v>299</v>
      </c>
      <c r="E2319" s="47">
        <v>146632</v>
      </c>
      <c r="F2319" s="50"/>
      <c r="G2319" s="50" t="s">
        <v>89</v>
      </c>
      <c r="H2319" s="50">
        <v>42</v>
      </c>
      <c r="I2319" s="51"/>
      <c r="J2319" s="51">
        <v>5.85</v>
      </c>
      <c r="K2319" s="52">
        <f>Tabela6[[#This Row],[CONSUMO]]*Tabela6[[#This Row],[VALOR UNIT]]-Tabela6[[#This Row],[DESCONTO]]</f>
        <v>245.7</v>
      </c>
      <c r="L2319" s="53">
        <f>Tabela6[[#This Row],[CUSTO TOTAL]]/Tabela6[[#This Row],[CONSUMO]]</f>
        <v>5.85</v>
      </c>
      <c r="M2319" s="50">
        <f>Tabela6[[#This Row],[KM ATUAL]]-E2280</f>
        <v>35949</v>
      </c>
      <c r="N2319" s="84">
        <f>Tabela6[[#This Row],[KM Rodados ]]/Tabela6[[#This Row],[CONSUMO]]</f>
        <v>855.92857142857144</v>
      </c>
    </row>
    <row r="2320" spans="1:14" x14ac:dyDescent="0.25">
      <c r="A2320" s="47">
        <v>875603</v>
      </c>
      <c r="B2320" s="78">
        <v>45182</v>
      </c>
      <c r="C2320" s="47" t="s">
        <v>42</v>
      </c>
      <c r="D2320" s="49" t="s">
        <v>253</v>
      </c>
      <c r="E2320" s="47">
        <v>371987</v>
      </c>
      <c r="F2320" s="50" t="s">
        <v>89</v>
      </c>
      <c r="G2320" s="50" t="s">
        <v>89</v>
      </c>
      <c r="H2320" s="50">
        <v>60.51</v>
      </c>
      <c r="I2320" s="51"/>
      <c r="J2320" s="51">
        <v>6.09</v>
      </c>
      <c r="K2320" s="52">
        <f>Tabela6[[#This Row],[CONSUMO]]*Tabela6[[#This Row],[VALOR UNIT]]-Tabela6[[#This Row],[DESCONTO]]</f>
        <v>368.5059</v>
      </c>
      <c r="L2320" s="53">
        <f>Tabela6[[#This Row],[CUSTO TOTAL]]/Tabela6[[#This Row],[CONSUMO]]</f>
        <v>6.09</v>
      </c>
      <c r="M2320" s="50">
        <f>Tabela6[[#This Row],[KM ATUAL]]-E2319</f>
        <v>225355</v>
      </c>
      <c r="N2320" s="51">
        <f>Tabela6[[#This Row],[KM Rodados ]]/Tabela6[[#This Row],[CONSUMO]]</f>
        <v>3724.2604528177162</v>
      </c>
    </row>
    <row r="2321" spans="1:14" x14ac:dyDescent="0.25">
      <c r="A2321" s="49">
        <v>7140</v>
      </c>
      <c r="B2321" s="78">
        <v>45182</v>
      </c>
      <c r="C2321" s="47" t="s">
        <v>222</v>
      </c>
      <c r="D2321" s="49" t="s">
        <v>262</v>
      </c>
      <c r="E2321" s="47">
        <v>500478</v>
      </c>
      <c r="F2321" s="50" t="s">
        <v>241</v>
      </c>
      <c r="G2321" s="50" t="s">
        <v>241</v>
      </c>
      <c r="H2321" s="50">
        <v>30.260999999999999</v>
      </c>
      <c r="I2321" s="51">
        <v>10.89</v>
      </c>
      <c r="J2321" s="51">
        <v>3.69</v>
      </c>
      <c r="K2321" s="52">
        <f>Tabela6[[#This Row],[CONSUMO]]*Tabela6[[#This Row],[VALOR UNIT]]-Tabela6[[#This Row],[DESCONTO]]</f>
        <v>100.77309</v>
      </c>
      <c r="L2321" s="53">
        <f>Tabela6[[#This Row],[CUSTO TOTAL]]/Tabela6[[#This Row],[CONSUMO]]</f>
        <v>3.3301308615049074</v>
      </c>
      <c r="M2321" s="53"/>
      <c r="N2321" s="49"/>
    </row>
    <row r="2322" spans="1:14" x14ac:dyDescent="0.25">
      <c r="A2322" s="49">
        <v>7140</v>
      </c>
      <c r="B2322" s="78">
        <v>45182</v>
      </c>
      <c r="C2322" s="47" t="s">
        <v>222</v>
      </c>
      <c r="D2322" s="49" t="s">
        <v>299</v>
      </c>
      <c r="E2322" s="47">
        <v>500482</v>
      </c>
      <c r="F2322" s="50"/>
      <c r="G2322" s="50" t="s">
        <v>89</v>
      </c>
      <c r="H2322" s="50">
        <v>276</v>
      </c>
      <c r="I2322" s="51"/>
      <c r="J2322" s="51">
        <v>5.85</v>
      </c>
      <c r="K2322" s="52">
        <f>Tabela6[[#This Row],[CONSUMO]]*Tabela6[[#This Row],[VALOR UNIT]]-Tabela6[[#This Row],[DESCONTO]]</f>
        <v>1614.6</v>
      </c>
      <c r="L2322" s="53">
        <f>Tabela6[[#This Row],[CUSTO TOTAL]]/Tabela6[[#This Row],[CONSUMO]]</f>
        <v>5.85</v>
      </c>
      <c r="M2322" s="50">
        <f>Tabela6[[#This Row],[KM ATUAL]]-E2280</f>
        <v>389799</v>
      </c>
      <c r="N2322" s="51">
        <f>Tabela6[[#This Row],[KM Rodados ]]/Tabela6[[#This Row],[CONSUMO]]</f>
        <v>1412.3152173913043</v>
      </c>
    </row>
    <row r="2323" spans="1:14" x14ac:dyDescent="0.25">
      <c r="A2323" s="49">
        <v>7140</v>
      </c>
      <c r="B2323" s="78">
        <v>45182</v>
      </c>
      <c r="C2323" s="47" t="s">
        <v>67</v>
      </c>
      <c r="D2323" s="49" t="s">
        <v>262</v>
      </c>
      <c r="E2323" s="47">
        <v>679984</v>
      </c>
      <c r="F2323" s="50" t="s">
        <v>241</v>
      </c>
      <c r="G2323" s="50" t="s">
        <v>241</v>
      </c>
      <c r="H2323" s="50">
        <v>22.681999999999999</v>
      </c>
      <c r="I2323" s="51">
        <v>8.17</v>
      </c>
      <c r="J2323" s="51">
        <v>3.69</v>
      </c>
      <c r="K2323" s="52">
        <f>Tabela6[[#This Row],[CONSUMO]]*Tabela6[[#This Row],[VALOR UNIT]]-Tabela6[[#This Row],[DESCONTO]]</f>
        <v>75.526579999999996</v>
      </c>
      <c r="L2323" s="53">
        <f>Tabela6[[#This Row],[CUSTO TOTAL]]/Tabela6[[#This Row],[CONSUMO]]</f>
        <v>3.3298024865532141</v>
      </c>
      <c r="M2323" s="53"/>
      <c r="N2323" s="49"/>
    </row>
    <row r="2324" spans="1:14" x14ac:dyDescent="0.25">
      <c r="A2324" s="49">
        <v>7140</v>
      </c>
      <c r="B2324" s="78">
        <v>45182</v>
      </c>
      <c r="C2324" s="47" t="s">
        <v>39</v>
      </c>
      <c r="D2324" s="49" t="s">
        <v>253</v>
      </c>
      <c r="E2324" s="47">
        <v>101203</v>
      </c>
      <c r="F2324" s="50" t="s">
        <v>89</v>
      </c>
      <c r="G2324" s="50" t="s">
        <v>89</v>
      </c>
      <c r="H2324" s="50">
        <v>104.93</v>
      </c>
      <c r="I2324" s="51"/>
      <c r="J2324" s="51">
        <v>6.09</v>
      </c>
      <c r="K2324" s="52">
        <f>Tabela6[[#This Row],[CONSUMO]]*Tabela6[[#This Row],[VALOR UNIT]]-Tabela6[[#This Row],[DESCONTO]]</f>
        <v>639.02370000000008</v>
      </c>
      <c r="L2324" s="53">
        <f>Tabela6[[#This Row],[CUSTO TOTAL]]/Tabela6[[#This Row],[CONSUMO]]</f>
        <v>6.0900000000000007</v>
      </c>
      <c r="M2324" s="50">
        <f>Tabela6[[#This Row],[KM ATUAL]]-E2268</f>
        <v>-941101</v>
      </c>
      <c r="N2324" s="51">
        <f>Tabela6[[#This Row],[KM Rodados ]]/Tabela6[[#This Row],[CONSUMO]]</f>
        <v>-8968.8458972648423</v>
      </c>
    </row>
    <row r="2325" spans="1:14" x14ac:dyDescent="0.25">
      <c r="A2325" s="49">
        <v>7140</v>
      </c>
      <c r="B2325" s="78">
        <v>45182</v>
      </c>
      <c r="C2325" s="47" t="s">
        <v>39</v>
      </c>
      <c r="D2325" s="49" t="s">
        <v>253</v>
      </c>
      <c r="E2325" s="47">
        <v>101203</v>
      </c>
      <c r="F2325" s="50" t="s">
        <v>241</v>
      </c>
      <c r="G2325" s="50" t="s">
        <v>241</v>
      </c>
      <c r="H2325" s="50">
        <v>19.829999999999998</v>
      </c>
      <c r="I2325" s="51"/>
      <c r="J2325" s="51">
        <v>3.49</v>
      </c>
      <c r="K2325" s="52">
        <f>Tabela6[[#This Row],[CONSUMO]]*Tabela6[[#This Row],[VALOR UNIT]]-Tabela6[[#This Row],[DESCONTO]]</f>
        <v>69.206699999999998</v>
      </c>
      <c r="L2325" s="53">
        <f>Tabela6[[#This Row],[CUSTO TOTAL]]/Tabela6[[#This Row],[CONSUMO]]</f>
        <v>3.49</v>
      </c>
      <c r="M2325" s="53"/>
      <c r="N2325" s="49"/>
    </row>
    <row r="2326" spans="1:14" x14ac:dyDescent="0.25">
      <c r="A2326" s="49">
        <v>7140</v>
      </c>
      <c r="B2326" s="78">
        <v>45182</v>
      </c>
      <c r="C2326" s="47" t="s">
        <v>39</v>
      </c>
      <c r="D2326" s="49" t="s">
        <v>299</v>
      </c>
      <c r="E2326" s="47">
        <v>101359</v>
      </c>
      <c r="F2326" s="50"/>
      <c r="G2326" s="50" t="s">
        <v>89</v>
      </c>
      <c r="H2326" s="50">
        <v>30</v>
      </c>
      <c r="I2326" s="51"/>
      <c r="J2326" s="51">
        <v>5.85</v>
      </c>
      <c r="K2326" s="52">
        <f>Tabela6[[#This Row],[CONSUMO]]*Tabela6[[#This Row],[VALOR UNIT]]-Tabela6[[#This Row],[DESCONTO]]</f>
        <v>175.5</v>
      </c>
      <c r="L2326" s="53">
        <f>Tabela6[[#This Row],[CUSTO TOTAL]]/Tabela6[[#This Row],[CONSUMO]]</f>
        <v>5.85</v>
      </c>
      <c r="M2326" s="50">
        <f>Tabela6[[#This Row],[KM ATUAL]]-E2316</f>
        <v>-281459</v>
      </c>
      <c r="N2326" s="51">
        <f>Tabela6[[#This Row],[KM Rodados ]]/Tabela6[[#This Row],[CONSUMO]]</f>
        <v>-9381.9666666666672</v>
      </c>
    </row>
    <row r="2327" spans="1:14" x14ac:dyDescent="0.25">
      <c r="A2327" s="49">
        <v>7140</v>
      </c>
      <c r="B2327" s="78">
        <v>45182</v>
      </c>
      <c r="C2327" s="47" t="s">
        <v>70</v>
      </c>
      <c r="D2327" s="49" t="s">
        <v>263</v>
      </c>
      <c r="E2327" s="47">
        <v>227403</v>
      </c>
      <c r="F2327" s="50" t="s">
        <v>89</v>
      </c>
      <c r="G2327" s="50" t="s">
        <v>89</v>
      </c>
      <c r="H2327" s="50">
        <v>613.45100000000002</v>
      </c>
      <c r="I2327" s="51">
        <v>61.35</v>
      </c>
      <c r="J2327" s="51">
        <v>6.19</v>
      </c>
      <c r="K2327" s="52">
        <f>Tabela6[[#This Row],[CONSUMO]]*Tabela6[[#This Row],[VALOR UNIT]]-Tabela6[[#This Row],[DESCONTO]]</f>
        <v>3735.9116900000004</v>
      </c>
      <c r="L2327" s="53">
        <f>Tabela6[[#This Row],[CUSTO TOTAL]]/Tabela6[[#This Row],[CONSUMO]]</f>
        <v>6.0899920124019689</v>
      </c>
      <c r="M2327" s="50">
        <f>Tabela6[[#This Row],[KM ATUAL]]-E2271</f>
        <v>151809</v>
      </c>
      <c r="N2327" s="51">
        <f>Tabela6[[#This Row],[KM Rodados ]]/Tabela6[[#This Row],[CONSUMO]]</f>
        <v>247.46719786910444</v>
      </c>
    </row>
    <row r="2328" spans="1:14" x14ac:dyDescent="0.25">
      <c r="A2328" s="49">
        <v>7140</v>
      </c>
      <c r="B2328" s="78">
        <v>45182</v>
      </c>
      <c r="C2328" s="47" t="s">
        <v>72</v>
      </c>
      <c r="D2328" s="49" t="s">
        <v>299</v>
      </c>
      <c r="E2328" s="47">
        <v>413590</v>
      </c>
      <c r="F2328" s="50"/>
      <c r="G2328" s="50" t="s">
        <v>89</v>
      </c>
      <c r="H2328" s="50">
        <v>29</v>
      </c>
      <c r="I2328" s="51"/>
      <c r="J2328" s="51">
        <v>5.85</v>
      </c>
      <c r="K2328" s="52">
        <f>Tabela6[[#This Row],[CONSUMO]]*Tabela6[[#This Row],[VALOR UNIT]]-Tabela6[[#This Row],[DESCONTO]]</f>
        <v>169.64999999999998</v>
      </c>
      <c r="L2328" s="53">
        <f>Tabela6[[#This Row],[CUSTO TOTAL]]/Tabela6[[#This Row],[CONSUMO]]</f>
        <v>5.85</v>
      </c>
      <c r="M2328" s="50">
        <f>Tabela6[[#This Row],[KM ATUAL]]-E2291</f>
        <v>77831</v>
      </c>
      <c r="N2328" s="51">
        <f>Tabela6[[#This Row],[KM Rodados ]]/Tabela6[[#This Row],[CONSUMO]]</f>
        <v>2683.8275862068967</v>
      </c>
    </row>
    <row r="2329" spans="1:14" x14ac:dyDescent="0.25">
      <c r="A2329" s="49">
        <v>7140</v>
      </c>
      <c r="B2329" s="78">
        <v>45182</v>
      </c>
      <c r="C2329" s="47" t="s">
        <v>73</v>
      </c>
      <c r="D2329" s="49" t="s">
        <v>299</v>
      </c>
      <c r="E2329" s="47">
        <v>146913</v>
      </c>
      <c r="F2329" s="50"/>
      <c r="G2329" s="50" t="s">
        <v>89</v>
      </c>
      <c r="H2329" s="50">
        <v>174</v>
      </c>
      <c r="I2329" s="51"/>
      <c r="J2329" s="51">
        <v>5.85</v>
      </c>
      <c r="K2329" s="52">
        <f>Tabela6[[#This Row],[CONSUMO]]*Tabela6[[#This Row],[VALOR UNIT]]-Tabela6[[#This Row],[DESCONTO]]</f>
        <v>1017.9</v>
      </c>
      <c r="L2329" s="53">
        <f>Tabela6[[#This Row],[CUSTO TOTAL]]/Tabela6[[#This Row],[CONSUMO]]</f>
        <v>5.85</v>
      </c>
      <c r="M2329" s="50">
        <f>Tabela6[[#This Row],[KM ATUAL]]-E2309</f>
        <v>893</v>
      </c>
      <c r="N2329" s="51">
        <f>Tabela6[[#This Row],[KM Rodados ]]/Tabela6[[#This Row],[CONSUMO]]</f>
        <v>5.1321839080459766</v>
      </c>
    </row>
    <row r="2330" spans="1:14" x14ac:dyDescent="0.25">
      <c r="A2330" s="49">
        <v>7140</v>
      </c>
      <c r="B2330" s="78">
        <v>45182</v>
      </c>
      <c r="C2330" s="47" t="s">
        <v>10</v>
      </c>
      <c r="D2330" s="49" t="s">
        <v>299</v>
      </c>
      <c r="E2330" s="47">
        <v>725925</v>
      </c>
      <c r="F2330" s="50"/>
      <c r="G2330" s="50" t="s">
        <v>89</v>
      </c>
      <c r="H2330" s="50">
        <v>136</v>
      </c>
      <c r="I2330" s="51"/>
      <c r="J2330" s="51">
        <v>5.85</v>
      </c>
      <c r="K2330" s="52">
        <f>Tabela6[[#This Row],[CONSUMO]]*Tabela6[[#This Row],[VALOR UNIT]]-Tabela6[[#This Row],[DESCONTO]]</f>
        <v>795.59999999999991</v>
      </c>
      <c r="L2330" s="53">
        <f>Tabela6[[#This Row],[CUSTO TOTAL]]/Tabela6[[#This Row],[CONSUMO]]</f>
        <v>5.85</v>
      </c>
      <c r="M2330" s="50">
        <f>Tabela6[[#This Row],[KM ATUAL]]-E2308</f>
        <v>579905</v>
      </c>
      <c r="N2330" s="51">
        <f>Tabela6[[#This Row],[KM Rodados ]]/Tabela6[[#This Row],[CONSUMO]]</f>
        <v>4264.0073529411766</v>
      </c>
    </row>
    <row r="2331" spans="1:14" x14ac:dyDescent="0.25">
      <c r="A2331" s="49">
        <v>7140</v>
      </c>
      <c r="B2331" s="78">
        <v>45182</v>
      </c>
      <c r="C2331" s="47" t="s">
        <v>301</v>
      </c>
      <c r="D2331" s="49" t="s">
        <v>299</v>
      </c>
      <c r="E2331" s="47">
        <v>1044571</v>
      </c>
      <c r="F2331" s="50"/>
      <c r="G2331" s="50" t="s">
        <v>89</v>
      </c>
      <c r="H2331" s="50">
        <v>481</v>
      </c>
      <c r="I2331" s="51"/>
      <c r="J2331" s="51">
        <v>5.85</v>
      </c>
      <c r="K2331" s="52">
        <f>Tabela6[[#This Row],[CONSUMO]]*Tabela6[[#This Row],[VALOR UNIT]]-Tabela6[[#This Row],[DESCONTO]]</f>
        <v>2813.85</v>
      </c>
      <c r="L2331" s="53">
        <f>Tabela6[[#This Row],[CUSTO TOTAL]]/Tabela6[[#This Row],[CONSUMO]]</f>
        <v>5.85</v>
      </c>
      <c r="M2331" s="50">
        <f>Tabela6[[#This Row],[KM ATUAL]]-E2301</f>
        <v>774253</v>
      </c>
      <c r="N2331" s="84">
        <f>Tabela6[[#This Row],[KM Rodados ]]/Tabela6[[#This Row],[CONSUMO]]</f>
        <v>1609.6735966735966</v>
      </c>
    </row>
    <row r="2332" spans="1:14" x14ac:dyDescent="0.25">
      <c r="A2332" s="47">
        <v>581</v>
      </c>
      <c r="B2332" s="78">
        <v>45182</v>
      </c>
      <c r="C2332" s="47" t="s">
        <v>206</v>
      </c>
      <c r="D2332" s="49" t="s">
        <v>324</v>
      </c>
      <c r="E2332" s="47">
        <v>963449</v>
      </c>
      <c r="F2332" s="50"/>
      <c r="G2332" s="50" t="s">
        <v>89</v>
      </c>
      <c r="H2332" s="50">
        <v>286.23</v>
      </c>
      <c r="I2332" s="51"/>
      <c r="J2332" s="51">
        <v>5.14</v>
      </c>
      <c r="K2332" s="52">
        <f>Tabela6[[#This Row],[CONSUMO]]*Tabela6[[#This Row],[VALOR UNIT]]-Tabela6[[#This Row],[DESCONTO]]</f>
        <v>1471.2221999999999</v>
      </c>
      <c r="L2332" s="53">
        <f>Tabela6[[#This Row],[CUSTO TOTAL]]/Tabela6[[#This Row],[CONSUMO]]</f>
        <v>5.14</v>
      </c>
      <c r="M2332" s="50">
        <f>Tabela6[[#This Row],[KM ATUAL]]-E2302</f>
        <v>692703</v>
      </c>
      <c r="N2332" s="51">
        <f>Tabela6[[#This Row],[KM Rodados ]]/Tabela6[[#This Row],[CONSUMO]]</f>
        <v>2420.0922335184991</v>
      </c>
    </row>
    <row r="2333" spans="1:14" x14ac:dyDescent="0.25">
      <c r="A2333" s="49" t="s">
        <v>314</v>
      </c>
      <c r="B2333" s="78">
        <v>45182</v>
      </c>
      <c r="C2333" s="47" t="s">
        <v>19</v>
      </c>
      <c r="E2333" s="47">
        <v>326294</v>
      </c>
      <c r="F2333" s="50"/>
      <c r="G2333" s="50" t="s">
        <v>89</v>
      </c>
      <c r="H2333" s="50">
        <v>102</v>
      </c>
      <c r="I2333" s="51"/>
      <c r="K2333" s="52">
        <f>Tabela6[[#This Row],[CONSUMO]]*Tabela6[[#This Row],[VALOR UNIT]]-Tabela6[[#This Row],[DESCONTO]]</f>
        <v>0</v>
      </c>
      <c r="L2333" s="53">
        <f>Tabela6[[#This Row],[CUSTO TOTAL]]/Tabela6[[#This Row],[CONSUMO]]</f>
        <v>0</v>
      </c>
      <c r="M2333" s="50">
        <f>Tabela6[[#This Row],[KM ATUAL]]-E2277</f>
        <v>-321194</v>
      </c>
      <c r="N2333" s="51">
        <f>Tabela6[[#This Row],[KM Rodados ]]/Tabela6[[#This Row],[CONSUMO]]</f>
        <v>-3148.9607843137255</v>
      </c>
    </row>
    <row r="2334" spans="1:14" x14ac:dyDescent="0.25">
      <c r="A2334" s="49">
        <v>7140</v>
      </c>
      <c r="B2334" s="78">
        <v>45182</v>
      </c>
      <c r="C2334" s="47" t="s">
        <v>23</v>
      </c>
      <c r="D2334" s="49" t="s">
        <v>299</v>
      </c>
      <c r="E2334" s="47">
        <v>244967</v>
      </c>
      <c r="F2334" s="50"/>
      <c r="G2334" s="50" t="s">
        <v>89</v>
      </c>
      <c r="H2334" s="50">
        <v>94</v>
      </c>
      <c r="I2334" s="51"/>
      <c r="J2334" s="51">
        <v>5.85</v>
      </c>
      <c r="K2334" s="52">
        <f>Tabela6[[#This Row],[CONSUMO]]*Tabela6[[#This Row],[VALOR UNIT]]-Tabela6[[#This Row],[DESCONTO]]</f>
        <v>549.9</v>
      </c>
      <c r="L2334" s="53">
        <f>Tabela6[[#This Row],[CUSTO TOTAL]]/Tabela6[[#This Row],[CONSUMO]]</f>
        <v>5.85</v>
      </c>
      <c r="M2334" s="50">
        <f>Tabela6[[#This Row],[KM ATUAL]]-E2295</f>
        <v>-479981</v>
      </c>
      <c r="N2334" s="51">
        <f>Tabela6[[#This Row],[KM Rodados ]]/Tabela6[[#This Row],[CONSUMO]]</f>
        <v>-5106.1808510638302</v>
      </c>
    </row>
    <row r="2335" spans="1:14" x14ac:dyDescent="0.25">
      <c r="A2335" s="49">
        <v>7140</v>
      </c>
      <c r="B2335" s="78">
        <v>45182</v>
      </c>
      <c r="C2335" s="47" t="s">
        <v>40</v>
      </c>
      <c r="D2335" s="49" t="s">
        <v>262</v>
      </c>
      <c r="E2335" s="47">
        <v>157992</v>
      </c>
      <c r="F2335" s="50" t="s">
        <v>244</v>
      </c>
      <c r="G2335" s="50" t="s">
        <v>244</v>
      </c>
      <c r="H2335" s="50">
        <v>41.84</v>
      </c>
      <c r="I2335" s="51"/>
      <c r="J2335" s="51">
        <v>5.69</v>
      </c>
      <c r="K2335" s="74">
        <f>Tabela6[[#This Row],[CONSUMO]]*Tabela6[[#This Row],[VALOR UNIT]]-Tabela6[[#This Row],[DESCONTO]]</f>
        <v>238.06960000000004</v>
      </c>
      <c r="L2335" s="53">
        <f>Tabela6[[#This Row],[CUSTO TOTAL]]/Tabela6[[#This Row],[CONSUMO]]</f>
        <v>5.69</v>
      </c>
      <c r="M2335" s="50">
        <f>Tabela6[[#This Row],[KM ATUAL]]-E2276</f>
        <v>-885062</v>
      </c>
      <c r="N2335" s="51">
        <f>Tabela6[[#This Row],[KM Rodados ]]/Tabela6[[#This Row],[CONSUMO]]</f>
        <v>-21153.489483747609</v>
      </c>
    </row>
    <row r="2336" spans="1:14" x14ac:dyDescent="0.25">
      <c r="A2336" s="49">
        <v>7140</v>
      </c>
      <c r="B2336" s="78">
        <v>45183</v>
      </c>
      <c r="C2336" s="47" t="s">
        <v>43</v>
      </c>
      <c r="D2336" s="49" t="s">
        <v>299</v>
      </c>
      <c r="E2336" s="47">
        <v>146733</v>
      </c>
      <c r="F2336" s="50"/>
      <c r="G2336" s="50" t="s">
        <v>89</v>
      </c>
      <c r="H2336" s="50">
        <v>14</v>
      </c>
      <c r="I2336" s="51"/>
      <c r="J2336" s="51">
        <v>5.85</v>
      </c>
      <c r="K2336" s="52">
        <f>Tabela6[[#This Row],[CONSUMO]]*Tabela6[[#This Row],[VALOR UNIT]]-Tabela6[[#This Row],[DESCONTO]]</f>
        <v>81.899999999999991</v>
      </c>
      <c r="L2336" s="53">
        <f>Tabela6[[#This Row],[CUSTO TOTAL]]/Tabela6[[#This Row],[CONSUMO]]</f>
        <v>5.85</v>
      </c>
      <c r="M2336" s="50">
        <f>Tabela6[[#This Row],[KM ATUAL]]-E2322</f>
        <v>-353749</v>
      </c>
      <c r="N2336" s="51">
        <f>Tabela6[[#This Row],[KM Rodados ]]/Tabela6[[#This Row],[CONSUMO]]</f>
        <v>-25267.785714285714</v>
      </c>
    </row>
    <row r="2337" spans="1:14" x14ac:dyDescent="0.25">
      <c r="A2337" s="47">
        <v>306923</v>
      </c>
      <c r="B2337" s="78">
        <v>45183</v>
      </c>
      <c r="C2337" s="47" t="s">
        <v>9</v>
      </c>
      <c r="D2337" s="49" t="s">
        <v>270</v>
      </c>
      <c r="E2337" s="47">
        <v>623272</v>
      </c>
      <c r="F2337" s="50" t="s">
        <v>89</v>
      </c>
      <c r="G2337" s="50" t="s">
        <v>89</v>
      </c>
      <c r="H2337" s="50">
        <v>135</v>
      </c>
      <c r="I2337" s="51"/>
      <c r="J2337" s="51">
        <v>5.99</v>
      </c>
      <c r="K2337" s="52">
        <f>Tabela6[[#This Row],[CONSUMO]]*Tabela6[[#This Row],[VALOR UNIT]]-Tabela6[[#This Row],[DESCONTO]]</f>
        <v>808.65</v>
      </c>
      <c r="L2337" s="53">
        <f>Tabela6[[#This Row],[CUSTO TOTAL]]/Tabela6[[#This Row],[CONSUMO]]</f>
        <v>5.99</v>
      </c>
      <c r="M2337" s="50">
        <f>Tabela6[[#This Row],[KM ATUAL]]-E2290</f>
        <v>287513</v>
      </c>
      <c r="N2337" s="51">
        <f>Tabela6[[#This Row],[KM Rodados ]]/Tabela6[[#This Row],[CONSUMO]]</f>
        <v>2129.7259259259258</v>
      </c>
    </row>
    <row r="2338" spans="1:14" x14ac:dyDescent="0.25">
      <c r="A2338" s="49">
        <v>7140</v>
      </c>
      <c r="B2338" s="78">
        <v>45183</v>
      </c>
      <c r="C2338" s="47" t="s">
        <v>67</v>
      </c>
      <c r="D2338" s="49" t="s">
        <v>299</v>
      </c>
      <c r="E2338" s="47">
        <v>680102</v>
      </c>
      <c r="F2338" s="50"/>
      <c r="G2338" s="50" t="s">
        <v>89</v>
      </c>
      <c r="H2338" s="50">
        <v>108</v>
      </c>
      <c r="I2338" s="51"/>
      <c r="J2338" s="51">
        <v>5.85</v>
      </c>
      <c r="K2338" s="52">
        <f>Tabela6[[#This Row],[CONSUMO]]*Tabela6[[#This Row],[VALOR UNIT]]-Tabela6[[#This Row],[DESCONTO]]</f>
        <v>631.79999999999995</v>
      </c>
      <c r="L2338" s="53">
        <f>Tabela6[[#This Row],[CUSTO TOTAL]]/Tabela6[[#This Row],[CONSUMO]]</f>
        <v>5.85</v>
      </c>
      <c r="M2338" s="50">
        <f>Tabela6[[#This Row],[KM ATUAL]]-E2310</f>
        <v>556855</v>
      </c>
      <c r="N2338" s="51">
        <f>Tabela6[[#This Row],[KM Rodados ]]/Tabela6[[#This Row],[CONSUMO]]</f>
        <v>5156.0648148148148</v>
      </c>
    </row>
    <row r="2339" spans="1:14" x14ac:dyDescent="0.25">
      <c r="A2339" s="49">
        <v>7140</v>
      </c>
      <c r="B2339" s="78">
        <v>45183</v>
      </c>
      <c r="C2339" s="47" t="s">
        <v>22</v>
      </c>
      <c r="D2339" s="49" t="s">
        <v>299</v>
      </c>
      <c r="E2339" s="47">
        <v>336256</v>
      </c>
      <c r="F2339" s="50"/>
      <c r="G2339" s="50" t="s">
        <v>89</v>
      </c>
      <c r="H2339" s="50">
        <v>125</v>
      </c>
      <c r="I2339" s="51"/>
      <c r="J2339" s="51">
        <v>5.85</v>
      </c>
      <c r="K2339" s="52">
        <f>Tabela6[[#This Row],[CONSUMO]]*Tabela6[[#This Row],[VALOR UNIT]]-Tabela6[[#This Row],[DESCONTO]]</f>
        <v>731.25</v>
      </c>
      <c r="L2339" s="53">
        <f>Tabela6[[#This Row],[CUSTO TOTAL]]/Tabela6[[#This Row],[CONSUMO]]</f>
        <v>5.85</v>
      </c>
      <c r="M2339" s="50">
        <f>Tabela6[[#This Row],[KM ATUAL]]-E2296</f>
        <v>-626217</v>
      </c>
      <c r="N2339" s="51">
        <f>Tabela6[[#This Row],[KM Rodados ]]/Tabela6[[#This Row],[CONSUMO]]</f>
        <v>-5009.7359999999999</v>
      </c>
    </row>
    <row r="2340" spans="1:14" x14ac:dyDescent="0.25">
      <c r="A2340" s="49">
        <v>7140</v>
      </c>
      <c r="B2340" s="78">
        <v>45183</v>
      </c>
      <c r="C2340" s="47" t="s">
        <v>71</v>
      </c>
      <c r="D2340" s="49" t="s">
        <v>299</v>
      </c>
      <c r="E2340" s="47">
        <v>123937</v>
      </c>
      <c r="F2340" s="50"/>
      <c r="G2340" s="50" t="s">
        <v>89</v>
      </c>
      <c r="H2340" s="50">
        <v>212</v>
      </c>
      <c r="I2340" s="51"/>
      <c r="J2340" s="51">
        <v>5.85</v>
      </c>
      <c r="K2340" s="52">
        <f>Tabela6[[#This Row],[CONSUMO]]*Tabela6[[#This Row],[VALOR UNIT]]-Tabela6[[#This Row],[DESCONTO]]</f>
        <v>1240.1999999999998</v>
      </c>
      <c r="L2340" s="53">
        <f>Tabela6[[#This Row],[CUSTO TOTAL]]/Tabela6[[#This Row],[CONSUMO]]</f>
        <v>5.8499999999999988</v>
      </c>
      <c r="M2340" s="50">
        <f>Tabela6[[#This Row],[KM ATUAL]]-E2300</f>
        <v>-202023</v>
      </c>
      <c r="N2340" s="51">
        <f>Tabela6[[#This Row],[KM Rodados ]]/Tabela6[[#This Row],[CONSUMO]]</f>
        <v>-952.93867924528297</v>
      </c>
    </row>
    <row r="2341" spans="1:14" x14ac:dyDescent="0.25">
      <c r="A2341" s="47">
        <v>37689</v>
      </c>
      <c r="B2341" s="78">
        <v>45183</v>
      </c>
      <c r="C2341" s="47" t="s">
        <v>11</v>
      </c>
      <c r="D2341" s="49" t="s">
        <v>253</v>
      </c>
      <c r="E2341" s="47">
        <v>400640</v>
      </c>
      <c r="F2341" s="50"/>
      <c r="G2341" s="50" t="s">
        <v>89</v>
      </c>
      <c r="H2341" s="50">
        <v>107.06</v>
      </c>
      <c r="I2341" s="51"/>
      <c r="J2341" s="51">
        <v>6.09</v>
      </c>
      <c r="K2341" s="52">
        <f>Tabela6[[#This Row],[CONSUMO]]*Tabela6[[#This Row],[VALOR UNIT]]-Tabela6[[#This Row],[DESCONTO]]</f>
        <v>651.99540000000002</v>
      </c>
      <c r="L2341" s="53">
        <f>Tabela6[[#This Row],[CUSTO TOTAL]]/Tabela6[[#This Row],[CONSUMO]]</f>
        <v>6.09</v>
      </c>
      <c r="M2341" s="50">
        <f>Tabela6[[#This Row],[KM ATUAL]]-E2251</f>
        <v>-98571</v>
      </c>
      <c r="N2341" s="51">
        <f>Tabela6[[#This Row],[KM Rodados ]]/Tabela6[[#This Row],[CONSUMO]]</f>
        <v>-920.70801419764621</v>
      </c>
    </row>
    <row r="2342" spans="1:14" x14ac:dyDescent="0.25">
      <c r="A2342" s="49">
        <v>7140</v>
      </c>
      <c r="B2342" s="78">
        <v>45183</v>
      </c>
      <c r="C2342" s="47" t="s">
        <v>206</v>
      </c>
      <c r="D2342" s="49" t="s">
        <v>299</v>
      </c>
      <c r="E2342" s="47">
        <v>963961</v>
      </c>
      <c r="F2342" s="50"/>
      <c r="G2342" s="50" t="s">
        <v>89</v>
      </c>
      <c r="H2342" s="50">
        <v>150</v>
      </c>
      <c r="I2342" s="51"/>
      <c r="J2342" s="51">
        <v>5.85</v>
      </c>
      <c r="K2342" s="52">
        <f>Tabela6[[#This Row],[CONSUMO]]*Tabela6[[#This Row],[VALOR UNIT]]-Tabela6[[#This Row],[DESCONTO]]</f>
        <v>877.5</v>
      </c>
      <c r="L2342" s="53">
        <f>Tabela6[[#This Row],[CUSTO TOTAL]]/Tabela6[[#This Row],[CONSUMO]]</f>
        <v>5.85</v>
      </c>
      <c r="M2342" s="50">
        <f>Tabela6[[#This Row],[KM ATUAL]]-E2324</f>
        <v>862758</v>
      </c>
      <c r="N2342" s="51">
        <f>Tabela6[[#This Row],[KM Rodados ]]/Tabela6[[#This Row],[CONSUMO]]</f>
        <v>5751.72</v>
      </c>
    </row>
    <row r="2343" spans="1:14" x14ac:dyDescent="0.25">
      <c r="A2343" s="49">
        <v>7140</v>
      </c>
      <c r="B2343" s="78">
        <v>45183</v>
      </c>
      <c r="C2343" s="47" t="s">
        <v>13</v>
      </c>
      <c r="D2343" s="49" t="s">
        <v>299</v>
      </c>
      <c r="E2343" s="47">
        <v>649172</v>
      </c>
      <c r="F2343" s="50"/>
      <c r="G2343" s="50" t="s">
        <v>89</v>
      </c>
      <c r="H2343" s="50">
        <v>51</v>
      </c>
      <c r="I2343" s="51"/>
      <c r="J2343" s="51">
        <v>5.85</v>
      </c>
      <c r="K2343" s="52">
        <f>Tabela6[[#This Row],[CONSUMO]]*Tabela6[[#This Row],[VALOR UNIT]]-Tabela6[[#This Row],[DESCONTO]]</f>
        <v>298.34999999999997</v>
      </c>
      <c r="L2343" s="53">
        <f>Tabela6[[#This Row],[CUSTO TOTAL]]/Tabela6[[#This Row],[CONSUMO]]</f>
        <v>5.85</v>
      </c>
      <c r="M2343" s="50">
        <f>Tabela6[[#This Row],[KM ATUAL]]-E2298</f>
        <v>321773</v>
      </c>
      <c r="N2343" s="51">
        <f>Tabela6[[#This Row],[KM Rodados ]]/Tabela6[[#This Row],[CONSUMO]]</f>
        <v>6309.2745098039213</v>
      </c>
    </row>
    <row r="2344" spans="1:14" x14ac:dyDescent="0.25">
      <c r="A2344" s="47">
        <v>545580</v>
      </c>
      <c r="B2344" s="78">
        <v>45183</v>
      </c>
      <c r="C2344" s="47" t="s">
        <v>15</v>
      </c>
      <c r="D2344" s="49" t="s">
        <v>261</v>
      </c>
      <c r="E2344" s="47">
        <v>38361</v>
      </c>
      <c r="F2344" s="50" t="s">
        <v>241</v>
      </c>
      <c r="G2344" s="50" t="s">
        <v>241</v>
      </c>
      <c r="H2344" s="50">
        <v>16.55</v>
      </c>
      <c r="I2344" s="51"/>
      <c r="J2344" s="51">
        <v>3.79</v>
      </c>
      <c r="K2344" s="52">
        <f>Tabela6[[#This Row],[CONSUMO]]*Tabela6[[#This Row],[VALOR UNIT]]-Tabela6[[#This Row],[DESCONTO]]</f>
        <v>62.724500000000006</v>
      </c>
      <c r="L2344" s="53">
        <f>Tabela6[[#This Row],[CUSTO TOTAL]]/Tabela6[[#This Row],[CONSUMO]]</f>
        <v>3.79</v>
      </c>
      <c r="M2344" s="53"/>
      <c r="N2344" s="49"/>
    </row>
    <row r="2345" spans="1:14" x14ac:dyDescent="0.25">
      <c r="A2345" s="49">
        <v>7140</v>
      </c>
      <c r="B2345" s="78">
        <v>45183</v>
      </c>
      <c r="C2345" s="47" t="s">
        <v>15</v>
      </c>
      <c r="D2345" s="49" t="s">
        <v>261</v>
      </c>
      <c r="E2345" s="47">
        <v>383461</v>
      </c>
      <c r="F2345" s="50" t="s">
        <v>89</v>
      </c>
      <c r="G2345" s="50" t="s">
        <v>89</v>
      </c>
      <c r="H2345" s="50">
        <v>104.544</v>
      </c>
      <c r="I2345" s="51"/>
      <c r="J2345" s="51">
        <v>5.99</v>
      </c>
      <c r="K2345" s="52">
        <f>Tabela6[[#This Row],[CONSUMO]]*Tabela6[[#This Row],[VALOR UNIT]]-Tabela6[[#This Row],[DESCONTO]]</f>
        <v>626.21856000000002</v>
      </c>
      <c r="L2345" s="53">
        <f>Tabela6[[#This Row],[CUSTO TOTAL]]/Tabela6[[#This Row],[CONSUMO]]</f>
        <v>5.99</v>
      </c>
      <c r="M2345" s="50">
        <f>Tabela6[[#This Row],[KM ATUAL]]-E2321</f>
        <v>-117017</v>
      </c>
      <c r="N2345" s="51">
        <f>Tabela6[[#This Row],[KM Rodados ]]/Tabela6[[#This Row],[CONSUMO]]</f>
        <v>-1119.3086164677075</v>
      </c>
    </row>
    <row r="2346" spans="1:14" x14ac:dyDescent="0.25">
      <c r="A2346" s="119">
        <v>328050</v>
      </c>
      <c r="B2346" s="78">
        <v>45183</v>
      </c>
      <c r="C2346" s="47" t="s">
        <v>18</v>
      </c>
      <c r="D2346" s="49" t="s">
        <v>255</v>
      </c>
      <c r="E2346" s="47">
        <v>327889</v>
      </c>
      <c r="F2346" s="50"/>
      <c r="G2346" s="50" t="s">
        <v>89</v>
      </c>
      <c r="H2346" s="50">
        <v>92.671000000000006</v>
      </c>
      <c r="I2346" s="51"/>
      <c r="J2346" s="51">
        <v>6.89</v>
      </c>
      <c r="K2346" s="52">
        <f>Tabela6[[#This Row],[CONSUMO]]*Tabela6[[#This Row],[VALOR UNIT]]-Tabela6[[#This Row],[DESCONTO]]</f>
        <v>638.50319000000002</v>
      </c>
      <c r="L2346" s="53">
        <f>Tabela6[[#This Row],[CUSTO TOTAL]]/Tabela6[[#This Row],[CONSUMO]]</f>
        <v>6.89</v>
      </c>
      <c r="M2346" s="50">
        <f>Tabela6[[#This Row],[KM ATUAL]]-E2280</f>
        <v>217206</v>
      </c>
      <c r="N2346" s="84">
        <f>Tabela6[[#This Row],[KM Rodados ]]/Tabela6[[#This Row],[CONSUMO]]</f>
        <v>2343.840036257297</v>
      </c>
    </row>
    <row r="2347" spans="1:14" x14ac:dyDescent="0.25">
      <c r="A2347" s="49">
        <v>7140</v>
      </c>
      <c r="B2347" s="78">
        <v>45183</v>
      </c>
      <c r="C2347" s="47" t="s">
        <v>19</v>
      </c>
      <c r="D2347" s="49" t="s">
        <v>299</v>
      </c>
      <c r="E2347" s="47">
        <v>326785</v>
      </c>
      <c r="F2347" s="50"/>
      <c r="G2347" s="50" t="s">
        <v>89</v>
      </c>
      <c r="H2347" s="50">
        <v>93</v>
      </c>
      <c r="I2347" s="51"/>
      <c r="J2347" s="51">
        <v>5.85</v>
      </c>
      <c r="K2347" s="52">
        <f>Tabela6[[#This Row],[CONSUMO]]*Tabela6[[#This Row],[VALOR UNIT]]-Tabela6[[#This Row],[DESCONTO]]</f>
        <v>544.04999999999995</v>
      </c>
      <c r="L2347" s="53">
        <f>Tabela6[[#This Row],[CUSTO TOTAL]]/Tabela6[[#This Row],[CONSUMO]]</f>
        <v>5.85</v>
      </c>
      <c r="M2347" s="50">
        <f>Tabela6[[#This Row],[KM ATUAL]]-E2346</f>
        <v>-1104</v>
      </c>
      <c r="N2347" s="51">
        <f>Tabela6[[#This Row],[KM Rodados ]]/Tabela6[[#This Row],[CONSUMO]]</f>
        <v>-11.870967741935484</v>
      </c>
    </row>
    <row r="2348" spans="1:14" x14ac:dyDescent="0.25">
      <c r="A2348" s="49">
        <v>7140</v>
      </c>
      <c r="B2348" s="78">
        <v>45183</v>
      </c>
      <c r="C2348" s="47" t="s">
        <v>20</v>
      </c>
      <c r="D2348" s="49" t="s">
        <v>299</v>
      </c>
      <c r="E2348" s="47">
        <v>271557</v>
      </c>
      <c r="F2348" s="50"/>
      <c r="G2348" s="50" t="s">
        <v>89</v>
      </c>
      <c r="H2348" s="50">
        <v>55</v>
      </c>
      <c r="I2348" s="51"/>
      <c r="J2348" s="51">
        <v>5.85</v>
      </c>
      <c r="K2348" s="52">
        <f>Tabela6[[#This Row],[CONSUMO]]*Tabela6[[#This Row],[VALOR UNIT]]-Tabela6[[#This Row],[DESCONTO]]</f>
        <v>321.75</v>
      </c>
      <c r="L2348" s="53">
        <f>Tabela6[[#This Row],[CUSTO TOTAL]]/Tabela6[[#This Row],[CONSUMO]]</f>
        <v>5.85</v>
      </c>
      <c r="M2348" s="50">
        <f>Tabela6[[#This Row],[KM ATUAL]]-E2321</f>
        <v>-228921</v>
      </c>
      <c r="N2348" s="51">
        <f>Tabela6[[#This Row],[KM Rodados ]]/Tabela6[[#This Row],[CONSUMO]]</f>
        <v>-4162.2</v>
      </c>
    </row>
    <row r="2349" spans="1:14" x14ac:dyDescent="0.25">
      <c r="A2349" s="49">
        <v>7140</v>
      </c>
      <c r="B2349" s="78">
        <v>45183</v>
      </c>
      <c r="C2349" s="47" t="s">
        <v>40</v>
      </c>
      <c r="D2349" s="49" t="s">
        <v>262</v>
      </c>
      <c r="E2349" s="47">
        <v>158329</v>
      </c>
      <c r="F2349" s="50" t="s">
        <v>244</v>
      </c>
      <c r="G2349" s="50" t="s">
        <v>244</v>
      </c>
      <c r="H2349" s="50">
        <v>25.32</v>
      </c>
      <c r="I2349" s="51"/>
      <c r="J2349" s="51">
        <v>5.69</v>
      </c>
      <c r="K2349" s="74">
        <f>Tabela6[[#This Row],[CONSUMO]]*Tabela6[[#This Row],[VALOR UNIT]]-Tabela6[[#This Row],[DESCONTO]]</f>
        <v>144.07080000000002</v>
      </c>
      <c r="L2349" s="53">
        <f>Tabela6[[#This Row],[CUSTO TOTAL]]/Tabela6[[#This Row],[CONSUMO]]</f>
        <v>5.69</v>
      </c>
      <c r="M2349" s="50">
        <f>Tabela6[[#This Row],[KM ATUAL]]-E2331</f>
        <v>-886242</v>
      </c>
      <c r="N2349" s="51">
        <f>Tabela6[[#This Row],[KM Rodados ]]/Tabela6[[#This Row],[CONSUMO]]</f>
        <v>-35001.658767772511</v>
      </c>
    </row>
    <row r="2350" spans="1:14" x14ac:dyDescent="0.25">
      <c r="A2350" s="47">
        <v>207433</v>
      </c>
      <c r="B2350" s="78">
        <v>45183</v>
      </c>
      <c r="C2350" s="47" t="s">
        <v>74</v>
      </c>
      <c r="D2350" s="49" t="s">
        <v>262</v>
      </c>
      <c r="F2350" s="50" t="s">
        <v>241</v>
      </c>
      <c r="G2350" s="50" t="s">
        <v>241</v>
      </c>
      <c r="H2350" s="50">
        <v>7.5220000000000002</v>
      </c>
      <c r="I2350" s="51">
        <v>2.71</v>
      </c>
      <c r="J2350" s="51">
        <v>3.69</v>
      </c>
      <c r="K2350" s="52">
        <f>Tabela6[[#This Row],[CONSUMO]]*Tabela6[[#This Row],[VALOR UNIT]]-Tabela6[[#This Row],[DESCONTO]]</f>
        <v>25.04618</v>
      </c>
      <c r="L2350" s="53">
        <f>Tabela6[[#This Row],[CUSTO TOTAL]]/Tabela6[[#This Row],[CONSUMO]]</f>
        <v>3.3297234777984577</v>
      </c>
      <c r="M2350" s="53"/>
      <c r="N2350" s="49"/>
    </row>
    <row r="2351" spans="1:14" x14ac:dyDescent="0.25">
      <c r="A2351" s="49">
        <v>7140</v>
      </c>
      <c r="B2351" s="78">
        <v>45183</v>
      </c>
      <c r="C2351" s="47" t="s">
        <v>74</v>
      </c>
      <c r="D2351" s="49" t="s">
        <v>299</v>
      </c>
      <c r="E2351" s="47">
        <v>76543</v>
      </c>
      <c r="F2351" s="50"/>
      <c r="G2351" s="50" t="s">
        <v>89</v>
      </c>
      <c r="H2351" s="50">
        <v>20</v>
      </c>
      <c r="I2351" s="51"/>
      <c r="J2351" s="51">
        <v>5.85</v>
      </c>
      <c r="K2351" s="52">
        <f>Tabela6[[#This Row],[CONSUMO]]*Tabela6[[#This Row],[VALOR UNIT]]-Tabela6[[#This Row],[DESCONTO]]</f>
        <v>117</v>
      </c>
      <c r="L2351" s="53">
        <f>Tabela6[[#This Row],[CUSTO TOTAL]]/Tabela6[[#This Row],[CONSUMO]]</f>
        <v>5.85</v>
      </c>
      <c r="M2351" s="50">
        <f>Tabela6[[#This Row],[KM ATUAL]]-E2299</f>
        <v>-249417</v>
      </c>
      <c r="N2351" s="51">
        <f>Tabela6[[#This Row],[KM Rodados ]]/Tabela6[[#This Row],[CONSUMO]]</f>
        <v>-12470.85</v>
      </c>
    </row>
    <row r="2352" spans="1:14" x14ac:dyDescent="0.25">
      <c r="A2352" s="49">
        <v>7140</v>
      </c>
      <c r="B2352" s="78">
        <v>45183</v>
      </c>
      <c r="C2352" s="47" t="s">
        <v>315</v>
      </c>
      <c r="D2352" s="49" t="s">
        <v>299</v>
      </c>
      <c r="E2352" s="47">
        <v>1083</v>
      </c>
      <c r="F2352" s="50"/>
      <c r="G2352" s="50" t="s">
        <v>89</v>
      </c>
      <c r="H2352" s="50">
        <v>37</v>
      </c>
      <c r="I2352" s="51"/>
      <c r="J2352" s="51">
        <v>5.85</v>
      </c>
      <c r="K2352" s="52">
        <f>Tabela6[[#This Row],[CONSUMO]]*Tabela6[[#This Row],[VALOR UNIT]]-Tabela6[[#This Row],[DESCONTO]]</f>
        <v>216.45</v>
      </c>
      <c r="L2352" s="53">
        <f>Tabela6[[#This Row],[CUSTO TOTAL]]/Tabela6[[#This Row],[CONSUMO]]</f>
        <v>5.85</v>
      </c>
      <c r="M2352" s="53"/>
      <c r="N2352" s="49">
        <f>Tabela6[[#This Row],[KM Rodados ]]/Tabela6[[#This Row],[CONSUMO]]</f>
        <v>0</v>
      </c>
    </row>
    <row r="2353" spans="1:14" x14ac:dyDescent="0.25">
      <c r="A2353" s="49">
        <v>7211</v>
      </c>
      <c r="B2353" s="78">
        <v>45184</v>
      </c>
      <c r="C2353" s="47" t="s">
        <v>68</v>
      </c>
      <c r="D2353" s="49" t="s">
        <v>299</v>
      </c>
      <c r="E2353" s="47">
        <v>916029</v>
      </c>
      <c r="F2353" s="50"/>
      <c r="G2353" s="50" t="s">
        <v>89</v>
      </c>
      <c r="H2353" s="50">
        <v>310</v>
      </c>
      <c r="I2353" s="51"/>
      <c r="J2353" s="51">
        <v>5.85</v>
      </c>
      <c r="K2353" s="52">
        <f>Tabela6[[#This Row],[CONSUMO]]*Tabela6[[#This Row],[VALOR UNIT]]-Tabela6[[#This Row],[DESCONTO]]</f>
        <v>1813.5</v>
      </c>
      <c r="L2353" s="53">
        <f>Tabela6[[#This Row],[CUSTO TOTAL]]/Tabela6[[#This Row],[CONSUMO]]</f>
        <v>5.85</v>
      </c>
      <c r="M2353" s="50">
        <f>Tabela6[[#This Row],[KM ATUAL]]-E2325</f>
        <v>814826</v>
      </c>
      <c r="N2353" s="51">
        <f>Tabela6[[#This Row],[KM Rodados ]]/Tabela6[[#This Row],[CONSUMO]]</f>
        <v>2628.4709677419355</v>
      </c>
    </row>
    <row r="2354" spans="1:14" x14ac:dyDescent="0.25">
      <c r="A2354" s="49">
        <v>7211</v>
      </c>
      <c r="B2354" s="78">
        <v>45184</v>
      </c>
      <c r="C2354" s="47" t="s">
        <v>43</v>
      </c>
      <c r="D2354" s="49" t="s">
        <v>299</v>
      </c>
      <c r="E2354" s="47">
        <v>146966</v>
      </c>
      <c r="F2354" s="50"/>
      <c r="G2354" s="50" t="s">
        <v>89</v>
      </c>
      <c r="H2354" s="50">
        <v>26</v>
      </c>
      <c r="I2354" s="51"/>
      <c r="J2354" s="51">
        <v>5.85</v>
      </c>
      <c r="K2354" s="52">
        <f>Tabela6[[#This Row],[CONSUMO]]*Tabela6[[#This Row],[VALOR UNIT]]-Tabela6[[#This Row],[DESCONTO]]</f>
        <v>152.1</v>
      </c>
      <c r="L2354" s="53">
        <f>Tabela6[[#This Row],[CUSTO TOTAL]]/Tabela6[[#This Row],[CONSUMO]]</f>
        <v>5.85</v>
      </c>
      <c r="M2354" s="50">
        <f>Tabela6[[#This Row],[KM ATUAL]]-E2332</f>
        <v>-816483</v>
      </c>
      <c r="N2354" s="51">
        <f>Tabela6[[#This Row],[KM Rodados ]]/Tabela6[[#This Row],[CONSUMO]]</f>
        <v>-31403.192307692309</v>
      </c>
    </row>
    <row r="2355" spans="1:14" x14ac:dyDescent="0.25">
      <c r="A2355" s="49">
        <v>7211</v>
      </c>
      <c r="B2355" s="78">
        <v>45184</v>
      </c>
      <c r="C2355" s="47" t="s">
        <v>43</v>
      </c>
      <c r="D2355" s="49" t="s">
        <v>253</v>
      </c>
      <c r="E2355" s="47">
        <v>147282</v>
      </c>
      <c r="F2355" s="50" t="s">
        <v>89</v>
      </c>
      <c r="G2355" s="50" t="s">
        <v>89</v>
      </c>
      <c r="H2355" s="50">
        <v>37.229999999999997</v>
      </c>
      <c r="I2355" s="51"/>
      <c r="J2355" s="51">
        <v>6.09</v>
      </c>
      <c r="K2355" s="52">
        <f>Tabela6[[#This Row],[CONSUMO]]*Tabela6[[#This Row],[VALOR UNIT]]-Tabela6[[#This Row],[DESCONTO]]</f>
        <v>226.73069999999998</v>
      </c>
      <c r="L2355" s="53">
        <f>Tabela6[[#This Row],[CUSTO TOTAL]]/Tabela6[[#This Row],[CONSUMO]]</f>
        <v>6.09</v>
      </c>
      <c r="M2355" s="50">
        <f>Tabela6[[#This Row],[KM ATUAL]]-E2352</f>
        <v>146199</v>
      </c>
      <c r="N2355" s="51">
        <f>Tabela6[[#This Row],[KM Rodados ]]/Tabela6[[#This Row],[CONSUMO]]</f>
        <v>3926.9137792103147</v>
      </c>
    </row>
    <row r="2356" spans="1:14" x14ac:dyDescent="0.25">
      <c r="A2356" s="49">
        <v>7211</v>
      </c>
      <c r="B2356" s="78">
        <v>45184</v>
      </c>
      <c r="C2356" s="47" t="s">
        <v>67</v>
      </c>
      <c r="D2356" s="49" t="s">
        <v>299</v>
      </c>
      <c r="E2356" s="47">
        <v>680676</v>
      </c>
      <c r="F2356" s="50"/>
      <c r="G2356" s="50" t="s">
        <v>89</v>
      </c>
      <c r="H2356" s="50">
        <v>130</v>
      </c>
      <c r="I2356" s="51"/>
      <c r="J2356" s="51">
        <v>5.85</v>
      </c>
      <c r="K2356" s="52">
        <f>Tabela6[[#This Row],[CONSUMO]]*Tabela6[[#This Row],[VALOR UNIT]]-Tabela6[[#This Row],[DESCONTO]]</f>
        <v>760.5</v>
      </c>
      <c r="L2356" s="53">
        <f>Tabela6[[#This Row],[CUSTO TOTAL]]/Tabela6[[#This Row],[CONSUMO]]</f>
        <v>5.85</v>
      </c>
      <c r="M2356" s="50">
        <f>Tabela6[[#This Row],[KM ATUAL]]-E2333</f>
        <v>354382</v>
      </c>
      <c r="N2356" s="51">
        <f>Tabela6[[#This Row],[KM Rodados ]]/Tabela6[[#This Row],[CONSUMO]]</f>
        <v>2726.0153846153844</v>
      </c>
    </row>
    <row r="2357" spans="1:14" x14ac:dyDescent="0.25">
      <c r="A2357" s="47">
        <v>207636</v>
      </c>
      <c r="B2357" s="78">
        <v>45184</v>
      </c>
      <c r="C2357" s="47" t="s">
        <v>203</v>
      </c>
      <c r="D2357" s="49" t="s">
        <v>262</v>
      </c>
      <c r="E2357" s="47">
        <v>111316</v>
      </c>
      <c r="F2357" s="50" t="s">
        <v>244</v>
      </c>
      <c r="G2357" s="50" t="s">
        <v>244</v>
      </c>
      <c r="H2357" s="50">
        <v>48.68</v>
      </c>
      <c r="I2357" s="51"/>
      <c r="J2357" s="51">
        <v>5.69</v>
      </c>
      <c r="K2357" s="52">
        <f>Tabela6[[#This Row],[CONSUMO]]*Tabela6[[#This Row],[VALOR UNIT]]-Tabela6[[#This Row],[DESCONTO]]</f>
        <v>276.98920000000004</v>
      </c>
      <c r="L2357" s="53">
        <f>Tabela6[[#This Row],[CUSTO TOTAL]]/Tabela6[[#This Row],[CONSUMO]]</f>
        <v>5.6900000000000013</v>
      </c>
      <c r="M2357" s="50">
        <f>Tabela6[[#This Row],[KM ATUAL]]-E2279</f>
        <v>35279</v>
      </c>
      <c r="N2357" s="51">
        <f>Tabela6[[#This Row],[KM Rodados ]]/Tabela6[[#This Row],[CONSUMO]]</f>
        <v>724.71240755957274</v>
      </c>
    </row>
    <row r="2358" spans="1:14" x14ac:dyDescent="0.25">
      <c r="A2358" s="47">
        <v>207658</v>
      </c>
      <c r="B2358" s="78">
        <v>45184</v>
      </c>
      <c r="C2358" s="47" t="s">
        <v>73</v>
      </c>
      <c r="D2358" s="49" t="s">
        <v>262</v>
      </c>
      <c r="E2358" s="47">
        <v>147363</v>
      </c>
      <c r="F2358" s="50" t="s">
        <v>241</v>
      </c>
      <c r="G2358" s="50" t="s">
        <v>241</v>
      </c>
      <c r="H2358" s="50">
        <v>15.489000000000001</v>
      </c>
      <c r="I2358" s="51">
        <v>5.57</v>
      </c>
      <c r="J2358" s="51">
        <v>3.69</v>
      </c>
      <c r="K2358" s="52">
        <f>Tabela6[[#This Row],[CONSUMO]]*Tabela6[[#This Row],[VALOR UNIT]]-Tabela6[[#This Row],[DESCONTO]]</f>
        <v>51.584409999999998</v>
      </c>
      <c r="L2358" s="53">
        <f>Tabela6[[#This Row],[CUSTO TOTAL]]/Tabela6[[#This Row],[CONSUMO]]</f>
        <v>3.3303899541610171</v>
      </c>
      <c r="M2358" s="53"/>
      <c r="N2358" s="49"/>
    </row>
    <row r="2359" spans="1:14" x14ac:dyDescent="0.25">
      <c r="A2359" s="49">
        <v>7211</v>
      </c>
      <c r="B2359" s="78">
        <v>45184</v>
      </c>
      <c r="C2359" s="47" t="s">
        <v>73</v>
      </c>
      <c r="D2359" s="49" t="s">
        <v>299</v>
      </c>
      <c r="E2359" s="47">
        <v>147360</v>
      </c>
      <c r="F2359" s="50"/>
      <c r="G2359" s="50" t="s">
        <v>89</v>
      </c>
      <c r="H2359" s="50">
        <v>91</v>
      </c>
      <c r="I2359" s="51"/>
      <c r="J2359" s="51">
        <v>5.85</v>
      </c>
      <c r="K2359" s="52">
        <f>Tabela6[[#This Row],[CONSUMO]]*Tabela6[[#This Row],[VALOR UNIT]]-Tabela6[[#This Row],[DESCONTO]]</f>
        <v>532.35</v>
      </c>
      <c r="L2359" s="53">
        <f>Tabela6[[#This Row],[CUSTO TOTAL]]/Tabela6[[#This Row],[CONSUMO]]</f>
        <v>5.8500000000000005</v>
      </c>
      <c r="M2359" s="50">
        <f>Tabela6[[#This Row],[KM ATUAL]]-E2333</f>
        <v>-178934</v>
      </c>
      <c r="N2359" s="51">
        <f>Tabela6[[#This Row],[KM Rodados ]]/Tabela6[[#This Row],[CONSUMO]]</f>
        <v>-1966.3076923076924</v>
      </c>
    </row>
    <row r="2360" spans="1:14" x14ac:dyDescent="0.25">
      <c r="A2360" s="47" t="s">
        <v>314</v>
      </c>
      <c r="B2360" s="78">
        <v>45184</v>
      </c>
      <c r="C2360" s="47" t="s">
        <v>64</v>
      </c>
      <c r="E2360" s="47">
        <v>93128</v>
      </c>
      <c r="F2360" s="50"/>
      <c r="G2360" s="50" t="s">
        <v>89</v>
      </c>
      <c r="H2360" s="50">
        <v>185.3</v>
      </c>
      <c r="I2360" s="51"/>
      <c r="K2360" s="52">
        <f>Tabela6[[#This Row],[CONSUMO]]*Tabela6[[#This Row],[VALOR UNIT]]-Tabela6[[#This Row],[DESCONTO]]</f>
        <v>0</v>
      </c>
      <c r="L2360" s="53">
        <f>Tabela6[[#This Row],[CUSTO TOTAL]]/Tabela6[[#This Row],[CONSUMO]]</f>
        <v>0</v>
      </c>
      <c r="M2360" s="50">
        <f>Tabela6[[#This Row],[KM ATUAL]]-E2255</f>
        <v>-29182</v>
      </c>
      <c r="N2360" s="51">
        <f>Tabela6[[#This Row],[KM Rodados ]]/Tabela6[[#This Row],[CONSUMO]]</f>
        <v>-157.48515920129518</v>
      </c>
    </row>
    <row r="2361" spans="1:14" x14ac:dyDescent="0.25">
      <c r="A2361" s="49">
        <v>7211</v>
      </c>
      <c r="B2361" s="78">
        <v>45184</v>
      </c>
      <c r="C2361" s="47" t="s">
        <v>41</v>
      </c>
      <c r="D2361" s="49" t="s">
        <v>299</v>
      </c>
      <c r="E2361" s="47">
        <v>675559</v>
      </c>
      <c r="F2361" s="50"/>
      <c r="G2361" s="50" t="s">
        <v>89</v>
      </c>
      <c r="H2361" s="50">
        <v>108</v>
      </c>
      <c r="I2361" s="51"/>
      <c r="J2361" s="51">
        <v>5.85</v>
      </c>
      <c r="K2361" s="52">
        <f>Tabela6[[#This Row],[CONSUMO]]*Tabela6[[#This Row],[VALOR UNIT]]-Tabela6[[#This Row],[DESCONTO]]</f>
        <v>631.79999999999995</v>
      </c>
      <c r="L2361" s="53">
        <f>Tabela6[[#This Row],[CUSTO TOTAL]]/Tabela6[[#This Row],[CONSUMO]]</f>
        <v>5.85</v>
      </c>
      <c r="M2361" s="50">
        <f>Tabela6[[#This Row],[KM ATUAL]]-E2306</f>
        <v>-4093</v>
      </c>
      <c r="N2361" s="51">
        <f>Tabela6[[#This Row],[KM Rodados ]]/Tabela6[[#This Row],[CONSUMO]]</f>
        <v>-37.898148148148145</v>
      </c>
    </row>
    <row r="2362" spans="1:14" x14ac:dyDescent="0.25">
      <c r="A2362" s="49">
        <v>7211</v>
      </c>
      <c r="B2362" s="78">
        <v>45184</v>
      </c>
      <c r="C2362" s="47" t="s">
        <v>10</v>
      </c>
      <c r="D2362" s="49" t="s">
        <v>299</v>
      </c>
      <c r="E2362" s="47">
        <v>726255</v>
      </c>
      <c r="F2362" s="50"/>
      <c r="G2362" s="50" t="s">
        <v>89</v>
      </c>
      <c r="H2362" s="50">
        <v>92</v>
      </c>
      <c r="I2362" s="51"/>
      <c r="J2362" s="51">
        <v>5.85</v>
      </c>
      <c r="K2362" s="52">
        <f>Tabela6[[#This Row],[CONSUMO]]*Tabela6[[#This Row],[VALOR UNIT]]-Tabela6[[#This Row],[DESCONTO]]</f>
        <v>538.19999999999993</v>
      </c>
      <c r="L2362" s="53">
        <f>Tabela6[[#This Row],[CUSTO TOTAL]]/Tabela6[[#This Row],[CONSUMO]]</f>
        <v>5.85</v>
      </c>
      <c r="M2362" s="50">
        <f>Tabela6[[#This Row],[KM ATUAL]]-E2339</f>
        <v>389999</v>
      </c>
      <c r="N2362" s="51">
        <f>Tabela6[[#This Row],[KM Rodados ]]/Tabela6[[#This Row],[CONSUMO]]</f>
        <v>4239.119565217391</v>
      </c>
    </row>
    <row r="2363" spans="1:14" x14ac:dyDescent="0.25">
      <c r="A2363" s="49">
        <v>7211</v>
      </c>
      <c r="B2363" s="78">
        <v>45184</v>
      </c>
      <c r="C2363" s="47" t="s">
        <v>12</v>
      </c>
      <c r="D2363" s="49" t="s">
        <v>262</v>
      </c>
      <c r="E2363" s="47">
        <v>321628</v>
      </c>
      <c r="F2363" s="50"/>
      <c r="G2363" s="50" t="s">
        <v>241</v>
      </c>
      <c r="H2363" s="50">
        <v>14.577999999999999</v>
      </c>
      <c r="I2363" s="51">
        <v>5.25</v>
      </c>
      <c r="J2363" s="51">
        <v>3.69</v>
      </c>
      <c r="K2363" s="52">
        <f>Tabela6[[#This Row],[CONSUMO]]*Tabela6[[#This Row],[VALOR UNIT]]-Tabela6[[#This Row],[DESCONTO]]</f>
        <v>48.542819999999999</v>
      </c>
      <c r="L2363" s="53">
        <f>Tabela6[[#This Row],[CUSTO TOTAL]]/Tabela6[[#This Row],[CONSUMO]]</f>
        <v>3.3298682946906299</v>
      </c>
      <c r="M2363" s="53"/>
      <c r="N2363" s="85"/>
    </row>
    <row r="2364" spans="1:14" x14ac:dyDescent="0.25">
      <c r="A2364" s="49">
        <v>7211</v>
      </c>
      <c r="B2364" s="78">
        <v>45184</v>
      </c>
      <c r="C2364" s="47" t="s">
        <v>12</v>
      </c>
      <c r="D2364" s="49" t="s">
        <v>299</v>
      </c>
      <c r="E2364" s="47">
        <v>321390</v>
      </c>
      <c r="F2364" s="50"/>
      <c r="G2364" s="50" t="s">
        <v>89</v>
      </c>
      <c r="H2364" s="50">
        <v>58</v>
      </c>
      <c r="I2364" s="51"/>
      <c r="J2364" s="51">
        <v>5.85</v>
      </c>
      <c r="K2364" s="52">
        <f>Tabela6[[#This Row],[CONSUMO]]*Tabela6[[#This Row],[VALOR UNIT]]-Tabela6[[#This Row],[DESCONTO]]</f>
        <v>339.29999999999995</v>
      </c>
      <c r="L2364" s="53">
        <f>Tabela6[[#This Row],[CUSTO TOTAL]]/Tabela6[[#This Row],[CONSUMO]]</f>
        <v>5.85</v>
      </c>
      <c r="M2364" s="50">
        <f>Tabela6[[#This Row],[KM ATUAL]]-E2217</f>
        <v>176909</v>
      </c>
      <c r="N2364" s="51">
        <f>Tabela6[[#This Row],[KM Rodados ]]/Tabela6[[#This Row],[CONSUMO]]</f>
        <v>3050.155172413793</v>
      </c>
    </row>
    <row r="2365" spans="1:14" x14ac:dyDescent="0.25">
      <c r="A2365" s="49">
        <v>7211</v>
      </c>
      <c r="B2365" s="78">
        <v>45184</v>
      </c>
      <c r="C2365" s="47" t="s">
        <v>14</v>
      </c>
      <c r="D2365" s="49" t="s">
        <v>253</v>
      </c>
      <c r="E2365" s="47">
        <v>294643</v>
      </c>
      <c r="F2365" s="50"/>
      <c r="G2365" s="50" t="s">
        <v>244</v>
      </c>
      <c r="H2365" s="50">
        <v>42.79</v>
      </c>
      <c r="I2365" s="51"/>
      <c r="J2365" s="51">
        <v>5.67</v>
      </c>
      <c r="K2365" s="52">
        <f>Tabela6[[#This Row],[CONSUMO]]*Tabela6[[#This Row],[VALOR UNIT]]-Tabela6[[#This Row],[DESCONTO]]</f>
        <v>242.61929999999998</v>
      </c>
      <c r="L2365" s="53">
        <f>Tabela6[[#This Row],[CUSTO TOTAL]]/Tabela6[[#This Row],[CONSUMO]]</f>
        <v>5.67</v>
      </c>
      <c r="M2365" s="50">
        <f>Tabela6[[#This Row],[KM ATUAL]]-E2256</f>
        <v>-379582</v>
      </c>
      <c r="N2365" s="84">
        <f>Tabela6[[#This Row],[KM Rodados ]]/Tabela6[[#This Row],[CONSUMO]]</f>
        <v>-8870.8109371348455</v>
      </c>
    </row>
    <row r="2366" spans="1:14" x14ac:dyDescent="0.25">
      <c r="A2366" s="49">
        <v>7211</v>
      </c>
      <c r="B2366" s="78">
        <v>45184</v>
      </c>
      <c r="C2366" s="47" t="s">
        <v>15</v>
      </c>
      <c r="D2366" s="49" t="s">
        <v>299</v>
      </c>
      <c r="E2366" s="47">
        <v>383955</v>
      </c>
      <c r="F2366" s="50"/>
      <c r="G2366" s="50" t="s">
        <v>89</v>
      </c>
      <c r="H2366" s="50">
        <v>76</v>
      </c>
      <c r="I2366" s="51"/>
      <c r="J2366" s="51">
        <v>5.85</v>
      </c>
      <c r="K2366" s="52">
        <f>Tabela6[[#This Row],[CONSUMO]]*Tabela6[[#This Row],[VALOR UNIT]]-Tabela6[[#This Row],[DESCONTO]]</f>
        <v>444.59999999999997</v>
      </c>
      <c r="L2366" s="53">
        <f>Tabela6[[#This Row],[CUSTO TOTAL]]/Tabela6[[#This Row],[CONSUMO]]</f>
        <v>5.85</v>
      </c>
      <c r="M2366" s="50">
        <f>Tabela6[[#This Row],[KM ATUAL]]-E2340</f>
        <v>260018</v>
      </c>
      <c r="N2366" s="49">
        <f>Tabela6[[#This Row],[KM Rodados ]]/Tabela6[[#This Row],[CONSUMO]]</f>
        <v>3421.2894736842104</v>
      </c>
    </row>
    <row r="2367" spans="1:14" x14ac:dyDescent="0.25">
      <c r="A2367" s="49">
        <v>7211</v>
      </c>
      <c r="B2367" s="78">
        <v>45184</v>
      </c>
      <c r="C2367" s="47" t="s">
        <v>20</v>
      </c>
      <c r="D2367" s="49" t="s">
        <v>299</v>
      </c>
      <c r="E2367" s="47">
        <v>271986</v>
      </c>
      <c r="F2367" s="50"/>
      <c r="G2367" s="50" t="s">
        <v>89</v>
      </c>
      <c r="H2367" s="50">
        <v>477</v>
      </c>
      <c r="I2367" s="51"/>
      <c r="J2367" s="51">
        <v>5.85</v>
      </c>
      <c r="K2367" s="52">
        <f>Tabela6[[#This Row],[CONSUMO]]*Tabela6[[#This Row],[VALOR UNIT]]-Tabela6[[#This Row],[DESCONTO]]</f>
        <v>2790.45</v>
      </c>
      <c r="L2367" s="53">
        <f>Tabela6[[#This Row],[CUSTO TOTAL]]/Tabela6[[#This Row],[CONSUMO]]</f>
        <v>5.85</v>
      </c>
      <c r="M2367" s="50">
        <f>Tabela6[[#This Row],[KM ATUAL]]-E2350</f>
        <v>271986</v>
      </c>
      <c r="N2367" s="84">
        <f>Tabela6[[#This Row],[KM Rodados ]]/Tabela6[[#This Row],[CONSUMO]]</f>
        <v>570.20125786163521</v>
      </c>
    </row>
    <row r="2368" spans="1:14" x14ac:dyDescent="0.25">
      <c r="A2368" s="49" t="s">
        <v>314</v>
      </c>
      <c r="B2368" s="78">
        <v>45184</v>
      </c>
      <c r="C2368" s="47" t="s">
        <v>23</v>
      </c>
      <c r="E2368" s="47">
        <v>245495</v>
      </c>
      <c r="F2368" s="50"/>
      <c r="G2368" s="50" t="s">
        <v>89</v>
      </c>
      <c r="H2368" s="50">
        <v>88</v>
      </c>
      <c r="I2368" s="51"/>
      <c r="K2368" s="52">
        <f>Tabela6[[#This Row],[CONSUMO]]*Tabela6[[#This Row],[VALOR UNIT]]-Tabela6[[#This Row],[DESCONTO]]</f>
        <v>0</v>
      </c>
      <c r="L2368" s="53">
        <f>Tabela6[[#This Row],[CUSTO TOTAL]]/Tabela6[[#This Row],[CONSUMO]]</f>
        <v>0</v>
      </c>
      <c r="M2368" s="50">
        <f>Tabela6[[#This Row],[KM ATUAL]]-E2324</f>
        <v>144292</v>
      </c>
      <c r="N2368" s="49">
        <f>Tabela6[[#This Row],[KM Rodados ]]/Tabela6[[#This Row],[CONSUMO]]</f>
        <v>1639.6818181818182</v>
      </c>
    </row>
    <row r="2369" spans="1:14" x14ac:dyDescent="0.25">
      <c r="A2369" s="47">
        <v>207680</v>
      </c>
      <c r="B2369" s="78">
        <v>45184</v>
      </c>
      <c r="C2369" s="47" t="s">
        <v>40</v>
      </c>
      <c r="D2369" s="49" t="s">
        <v>262</v>
      </c>
      <c r="E2369" s="47">
        <v>158949</v>
      </c>
      <c r="F2369" s="50" t="s">
        <v>244</v>
      </c>
      <c r="G2369" s="50" t="s">
        <v>244</v>
      </c>
      <c r="H2369" s="50">
        <v>33.26</v>
      </c>
      <c r="I2369" s="51"/>
      <c r="J2369" s="51">
        <v>5.69</v>
      </c>
      <c r="K2369" s="74">
        <f>Tabela6[[#This Row],[CONSUMO]]*Tabela6[[#This Row],[VALOR UNIT]]-Tabela6[[#This Row],[DESCONTO]]</f>
        <v>189.24940000000001</v>
      </c>
      <c r="L2369" s="53">
        <f>Tabela6[[#This Row],[CUSTO TOTAL]]/Tabela6[[#This Row],[CONSUMO]]</f>
        <v>5.69</v>
      </c>
      <c r="M2369" s="50">
        <f>Tabela6[[#This Row],[KM ATUAL]]-E2352</f>
        <v>157866</v>
      </c>
      <c r="N2369" s="51">
        <f>Tabela6[[#This Row],[KM Rodados ]]/Tabela6[[#This Row],[CONSUMO]]</f>
        <v>4746.4221286831034</v>
      </c>
    </row>
    <row r="2370" spans="1:14" x14ac:dyDescent="0.25">
      <c r="A2370" s="49">
        <v>7211</v>
      </c>
      <c r="B2370" s="78">
        <v>45186</v>
      </c>
      <c r="C2370" s="47" t="s">
        <v>222</v>
      </c>
      <c r="D2370" s="49" t="s">
        <v>299</v>
      </c>
      <c r="E2370" s="47">
        <v>501645</v>
      </c>
      <c r="F2370" s="50"/>
      <c r="G2370" s="50" t="s">
        <v>89</v>
      </c>
      <c r="H2370" s="50">
        <v>383</v>
      </c>
      <c r="I2370" s="51"/>
      <c r="J2370" s="51">
        <v>5.85</v>
      </c>
      <c r="K2370" s="52">
        <f>Tabela6[[#This Row],[CONSUMO]]*Tabela6[[#This Row],[VALOR UNIT]]-Tabela6[[#This Row],[DESCONTO]]</f>
        <v>2240.5499999999997</v>
      </c>
      <c r="L2370" s="53">
        <f>Tabela6[[#This Row],[CUSTO TOTAL]]/Tabela6[[#This Row],[CONSUMO]]</f>
        <v>5.85</v>
      </c>
      <c r="M2370" s="50">
        <f>Tabela6[[#This Row],[KM ATUAL]]-E2333</f>
        <v>175351</v>
      </c>
      <c r="N2370" s="51">
        <f>Tabela6[[#This Row],[KM Rodados ]]/Tabela6[[#This Row],[CONSUMO]]</f>
        <v>457.83550913838121</v>
      </c>
    </row>
    <row r="2371" spans="1:14" x14ac:dyDescent="0.25">
      <c r="A2371" s="49">
        <v>7211</v>
      </c>
      <c r="B2371" s="78">
        <v>45186</v>
      </c>
      <c r="C2371" s="47" t="s">
        <v>73</v>
      </c>
      <c r="D2371" s="49" t="s">
        <v>311</v>
      </c>
      <c r="E2371" s="47">
        <v>148198</v>
      </c>
      <c r="F2371" s="50"/>
      <c r="G2371" s="50" t="s">
        <v>89</v>
      </c>
      <c r="H2371" s="50">
        <v>178.00899999999999</v>
      </c>
      <c r="I2371" s="51">
        <v>236.76</v>
      </c>
      <c r="J2371" s="51">
        <v>7.42</v>
      </c>
      <c r="K2371" s="52">
        <f>Tabela6[[#This Row],[CONSUMO]]*Tabela6[[#This Row],[VALOR UNIT]]-Tabela6[[#This Row],[DESCONTO]]</f>
        <v>1084.0667799999999</v>
      </c>
      <c r="L2371" s="53">
        <f>Tabela6[[#This Row],[CUSTO TOTAL]]/Tabela6[[#This Row],[CONSUMO]]</f>
        <v>6.0899548899212963</v>
      </c>
      <c r="M2371" s="53"/>
      <c r="N2371" s="49">
        <f>Tabela6[[#This Row],[KM Rodados ]]/Tabela6[[#This Row],[CONSUMO]]</f>
        <v>0</v>
      </c>
    </row>
    <row r="2372" spans="1:14" x14ac:dyDescent="0.25">
      <c r="A2372" s="47" t="s">
        <v>314</v>
      </c>
      <c r="B2372" s="78">
        <v>45186</v>
      </c>
      <c r="C2372" s="47" t="s">
        <v>15</v>
      </c>
      <c r="E2372" s="47">
        <v>384451</v>
      </c>
      <c r="F2372" s="50"/>
      <c r="G2372" s="50" t="s">
        <v>89</v>
      </c>
      <c r="H2372" s="50">
        <v>82</v>
      </c>
      <c r="I2372" s="51"/>
      <c r="K2372" s="52">
        <f>Tabela6[[#This Row],[CONSUMO]]*Tabela6[[#This Row],[VALOR UNIT]]-Tabela6[[#This Row],[DESCONTO]]</f>
        <v>0</v>
      </c>
      <c r="L2372" s="53">
        <f>Tabela6[[#This Row],[CUSTO TOTAL]]/Tabela6[[#This Row],[CONSUMO]]</f>
        <v>0</v>
      </c>
      <c r="M2372" s="50">
        <f>Tabela6[[#This Row],[KM ATUAL]]-E2340</f>
        <v>260514</v>
      </c>
      <c r="N2372" s="51">
        <f>Tabela6[[#This Row],[KM Rodados ]]/Tabela6[[#This Row],[CONSUMO]]</f>
        <v>3177</v>
      </c>
    </row>
    <row r="2373" spans="1:14" x14ac:dyDescent="0.25">
      <c r="A2373" s="49">
        <v>7211</v>
      </c>
      <c r="B2373" s="78">
        <v>45187</v>
      </c>
      <c r="C2373" s="47" t="s">
        <v>43</v>
      </c>
      <c r="D2373" s="49" t="s">
        <v>262</v>
      </c>
      <c r="E2373" s="47">
        <v>147552</v>
      </c>
      <c r="F2373" s="50" t="s">
        <v>89</v>
      </c>
      <c r="G2373" s="50" t="s">
        <v>89</v>
      </c>
      <c r="H2373" s="50">
        <v>38.621000000000002</v>
      </c>
      <c r="I2373" s="51"/>
      <c r="J2373" s="51">
        <v>6.09</v>
      </c>
      <c r="K2373" s="52">
        <f>Tabela6[[#This Row],[CONSUMO]]*Tabela6[[#This Row],[VALOR UNIT]]-Tabela6[[#This Row],[DESCONTO]]</f>
        <v>235.20189000000002</v>
      </c>
      <c r="L2373" s="53">
        <f>Tabela6[[#This Row],[CUSTO TOTAL]]/Tabela6[[#This Row],[CONSUMO]]</f>
        <v>6.09</v>
      </c>
      <c r="M2373" s="50">
        <f>Tabela6[[#This Row],[KM ATUAL]]-E2370</f>
        <v>-354093</v>
      </c>
      <c r="N2373" s="51">
        <f>Tabela6[[#This Row],[KM Rodados ]]/Tabela6[[#This Row],[CONSUMO]]</f>
        <v>-9168.4057895963324</v>
      </c>
    </row>
    <row r="2374" spans="1:14" x14ac:dyDescent="0.25">
      <c r="A2374" s="47">
        <v>666144</v>
      </c>
      <c r="B2374" s="78">
        <v>45187</v>
      </c>
      <c r="C2374" s="47" t="s">
        <v>9</v>
      </c>
      <c r="D2374" s="49" t="s">
        <v>271</v>
      </c>
      <c r="E2374" s="47">
        <v>623858</v>
      </c>
      <c r="F2374" s="50"/>
      <c r="G2374" s="50" t="s">
        <v>89</v>
      </c>
      <c r="H2374" s="50">
        <v>155.02000000000001</v>
      </c>
      <c r="I2374" s="51"/>
      <c r="J2374" s="51">
        <v>5.99</v>
      </c>
      <c r="K2374" s="52">
        <f>Tabela6[[#This Row],[CONSUMO]]*Tabela6[[#This Row],[VALOR UNIT]]-Tabela6[[#This Row],[DESCONTO]]</f>
        <v>928.5698000000001</v>
      </c>
      <c r="L2374" s="53">
        <f>Tabela6[[#This Row],[CUSTO TOTAL]]/Tabela6[[#This Row],[CONSUMO]]</f>
        <v>5.99</v>
      </c>
      <c r="M2374" s="50">
        <f>Tabela6[[#This Row],[KM ATUAL]]-E2346</f>
        <v>295969</v>
      </c>
      <c r="N2374" s="84">
        <f>Tabela6[[#This Row],[KM Rodados ]]/Tabela6[[#This Row],[CONSUMO]]</f>
        <v>1909.231066959102</v>
      </c>
    </row>
    <row r="2375" spans="1:14" x14ac:dyDescent="0.25">
      <c r="A2375" s="47" t="s">
        <v>314</v>
      </c>
      <c r="B2375" s="78">
        <v>45187</v>
      </c>
      <c r="C2375" s="47" t="s">
        <v>42</v>
      </c>
      <c r="E2375" s="47">
        <v>371675</v>
      </c>
      <c r="F2375" s="50"/>
      <c r="G2375" s="50" t="s">
        <v>89</v>
      </c>
      <c r="H2375" s="50">
        <v>46.52</v>
      </c>
      <c r="I2375" s="51"/>
      <c r="K2375" s="52">
        <f>Tabela6[[#This Row],[CONSUMO]]*Tabela6[[#This Row],[VALOR UNIT]]-Tabela6[[#This Row],[DESCONTO]]</f>
        <v>0</v>
      </c>
      <c r="L2375" s="53">
        <f>Tabela6[[#This Row],[CUSTO TOTAL]]/Tabela6[[#This Row],[CONSUMO]]</f>
        <v>0</v>
      </c>
      <c r="M2375" s="50">
        <f>Tabela6[[#This Row],[KM ATUAL]]-E2251</f>
        <v>-127536</v>
      </c>
      <c r="N2375" s="51">
        <f>Tabela6[[#This Row],[KM Rodados ]]/Tabela6[[#This Row],[CONSUMO]]</f>
        <v>-2741.5305245055888</v>
      </c>
    </row>
    <row r="2376" spans="1:14" x14ac:dyDescent="0.25">
      <c r="A2376" s="49">
        <v>7211</v>
      </c>
      <c r="B2376" s="78">
        <v>45187</v>
      </c>
      <c r="C2376" s="47" t="s">
        <v>39</v>
      </c>
      <c r="D2376" s="49" t="s">
        <v>299</v>
      </c>
      <c r="E2376" s="47">
        <v>101980</v>
      </c>
      <c r="F2376" s="50"/>
      <c r="G2376" s="50" t="s">
        <v>89</v>
      </c>
      <c r="H2376" s="50">
        <v>44</v>
      </c>
      <c r="I2376" s="51"/>
      <c r="J2376" s="51">
        <v>5.85</v>
      </c>
      <c r="K2376" s="52">
        <f>Tabela6[[#This Row],[CONSUMO]]*Tabela6[[#This Row],[VALOR UNIT]]-Tabela6[[#This Row],[DESCONTO]]</f>
        <v>257.39999999999998</v>
      </c>
      <c r="L2376" s="53">
        <f>Tabela6[[#This Row],[CUSTO TOTAL]]/Tabela6[[#This Row],[CONSUMO]]</f>
        <v>5.85</v>
      </c>
      <c r="M2376" s="50">
        <f>Tabela6[[#This Row],[KM ATUAL]]-E2328</f>
        <v>-311610</v>
      </c>
      <c r="N2376" s="84">
        <f>Tabela6[[#This Row],[KM Rodados ]]/Tabela6[[#This Row],[CONSUMO]]</f>
        <v>-7082.045454545455</v>
      </c>
    </row>
    <row r="2377" spans="1:14" x14ac:dyDescent="0.25">
      <c r="A2377" s="49">
        <v>7211</v>
      </c>
      <c r="B2377" s="78">
        <v>45187</v>
      </c>
      <c r="C2377" s="47" t="s">
        <v>71</v>
      </c>
      <c r="D2377" s="49" t="s">
        <v>262</v>
      </c>
      <c r="E2377" s="47">
        <v>124565</v>
      </c>
      <c r="F2377" s="50" t="s">
        <v>241</v>
      </c>
      <c r="G2377" s="50" t="s">
        <v>241</v>
      </c>
      <c r="H2377" s="50">
        <v>49.625</v>
      </c>
      <c r="I2377" s="51">
        <v>17.87</v>
      </c>
      <c r="J2377" s="51">
        <v>3.69</v>
      </c>
      <c r="K2377" s="52">
        <f>Tabela6[[#This Row],[CONSUMO]]*Tabela6[[#This Row],[VALOR UNIT]]-Tabela6[[#This Row],[DESCONTO]]</f>
        <v>165.24625</v>
      </c>
      <c r="L2377" s="53">
        <f>Tabela6[[#This Row],[CUSTO TOTAL]]/Tabela6[[#This Row],[CONSUMO]]</f>
        <v>3.329899244332494</v>
      </c>
      <c r="M2377" s="53"/>
      <c r="N2377" s="49"/>
    </row>
    <row r="2378" spans="1:14" x14ac:dyDescent="0.25">
      <c r="A2378" s="49">
        <v>7211</v>
      </c>
      <c r="B2378" s="78">
        <v>45187</v>
      </c>
      <c r="C2378" s="47" t="s">
        <v>64</v>
      </c>
      <c r="D2378" s="49" t="s">
        <v>253</v>
      </c>
      <c r="E2378" s="47">
        <v>93186</v>
      </c>
      <c r="F2378" s="50"/>
      <c r="G2378" s="50" t="s">
        <v>89</v>
      </c>
      <c r="H2378" s="50">
        <v>155.16999999999999</v>
      </c>
      <c r="I2378" s="51"/>
      <c r="J2378" s="51">
        <v>6.09</v>
      </c>
      <c r="K2378" s="52">
        <f>Tabela6[[#This Row],[CONSUMO]]*Tabela6[[#This Row],[VALOR UNIT]]-Tabela6[[#This Row],[DESCONTO]]</f>
        <v>944.98529999999994</v>
      </c>
      <c r="L2378" s="53">
        <f>Tabela6[[#This Row],[CUSTO TOTAL]]/Tabela6[[#This Row],[CONSUMO]]</f>
        <v>6.09</v>
      </c>
      <c r="M2378" s="53"/>
      <c r="N2378" s="85">
        <f>Tabela6[[#This Row],[KM Rodados ]]/Tabela6[[#This Row],[CONSUMO]]</f>
        <v>0</v>
      </c>
    </row>
    <row r="2379" spans="1:14" x14ac:dyDescent="0.25">
      <c r="A2379" s="49">
        <v>7211</v>
      </c>
      <c r="B2379" s="78">
        <v>45187</v>
      </c>
      <c r="C2379" s="47" t="s">
        <v>301</v>
      </c>
      <c r="D2379" s="49" t="s">
        <v>275</v>
      </c>
      <c r="E2379" s="47">
        <v>1045379</v>
      </c>
      <c r="F2379" s="50" t="s">
        <v>89</v>
      </c>
      <c r="G2379" s="50" t="s">
        <v>89</v>
      </c>
      <c r="H2379" s="50">
        <v>444.76</v>
      </c>
      <c r="I2379" s="51"/>
      <c r="J2379" s="51">
        <v>6.12</v>
      </c>
      <c r="K2379" s="52">
        <f>Tabela6[[#This Row],[CONSUMO]]*Tabela6[[#This Row],[VALOR UNIT]]-Tabela6[[#This Row],[DESCONTO]]</f>
        <v>2721.9312</v>
      </c>
      <c r="L2379" s="53">
        <f>Tabela6[[#This Row],[CUSTO TOTAL]]/Tabela6[[#This Row],[CONSUMO]]</f>
        <v>6.12</v>
      </c>
      <c r="M2379" s="50">
        <f>Tabela6[[#This Row],[KM ATUAL]]-E2331</f>
        <v>808</v>
      </c>
      <c r="N2379" s="51">
        <f>Tabela6[[#This Row],[KM Rodados ]]/Tabela6[[#This Row],[CONSUMO]]</f>
        <v>1.8167101358035795</v>
      </c>
    </row>
    <row r="2380" spans="1:14" x14ac:dyDescent="0.25">
      <c r="A2380" s="49">
        <v>7211</v>
      </c>
      <c r="B2380" s="78">
        <v>45187</v>
      </c>
      <c r="C2380" s="47" t="s">
        <v>19</v>
      </c>
      <c r="D2380" s="49" t="s">
        <v>299</v>
      </c>
      <c r="E2380" s="47">
        <v>327176</v>
      </c>
      <c r="F2380" s="50"/>
      <c r="G2380" s="50" t="s">
        <v>89</v>
      </c>
      <c r="H2380" s="50">
        <v>160</v>
      </c>
      <c r="I2380" s="51"/>
      <c r="J2380" s="51">
        <v>5.85</v>
      </c>
      <c r="K2380" s="52">
        <f>Tabela6[[#This Row],[CONSUMO]]*Tabela6[[#This Row],[VALOR UNIT]]-Tabela6[[#This Row],[DESCONTO]]</f>
        <v>936</v>
      </c>
      <c r="L2380" s="53">
        <f>Tabela6[[#This Row],[CUSTO TOTAL]]/Tabela6[[#This Row],[CONSUMO]]</f>
        <v>5.85</v>
      </c>
      <c r="M2380" s="50">
        <f>Tabela6[[#This Row],[KM ATUAL]]-E2354</f>
        <v>180210</v>
      </c>
      <c r="N2380" s="51">
        <f>Tabela6[[#This Row],[KM Rodados ]]/Tabela6[[#This Row],[CONSUMO]]</f>
        <v>1126.3125</v>
      </c>
    </row>
    <row r="2381" spans="1:14" x14ac:dyDescent="0.25">
      <c r="A2381" s="49">
        <v>7211</v>
      </c>
      <c r="B2381" s="78">
        <v>45187</v>
      </c>
      <c r="C2381" s="47" t="s">
        <v>20</v>
      </c>
      <c r="D2381" s="49" t="s">
        <v>299</v>
      </c>
      <c r="E2381" s="47">
        <v>272404</v>
      </c>
      <c r="F2381" s="50"/>
      <c r="G2381" s="50" t="s">
        <v>89</v>
      </c>
      <c r="H2381" s="50">
        <v>43</v>
      </c>
      <c r="I2381" s="51"/>
      <c r="J2381" s="51">
        <v>5.85</v>
      </c>
      <c r="K2381" s="52">
        <f>Tabela6[[#This Row],[CONSUMO]]*Tabela6[[#This Row],[VALOR UNIT]]-Tabela6[[#This Row],[DESCONTO]]</f>
        <v>251.54999999999998</v>
      </c>
      <c r="L2381" s="53">
        <f>Tabela6[[#This Row],[CUSTO TOTAL]]/Tabela6[[#This Row],[CONSUMO]]</f>
        <v>5.85</v>
      </c>
      <c r="M2381" s="50">
        <f>Tabela6[[#This Row],[KM ATUAL]]-E2361</f>
        <v>-403155</v>
      </c>
      <c r="N2381" s="51">
        <f>Tabela6[[#This Row],[KM Rodados ]]/Tabela6[[#This Row],[CONSUMO]]</f>
        <v>-9375.6976744186049</v>
      </c>
    </row>
    <row r="2382" spans="1:14" x14ac:dyDescent="0.25">
      <c r="A2382" s="49">
        <v>7211</v>
      </c>
      <c r="B2382" s="78">
        <v>45187</v>
      </c>
      <c r="C2382" s="47" t="s">
        <v>23</v>
      </c>
      <c r="D2382" s="49" t="s">
        <v>262</v>
      </c>
      <c r="E2382" s="47">
        <v>245999</v>
      </c>
      <c r="F2382" s="50" t="s">
        <v>241</v>
      </c>
      <c r="G2382" s="50" t="s">
        <v>241</v>
      </c>
      <c r="H2382" s="50">
        <v>25.03</v>
      </c>
      <c r="I2382" s="51">
        <v>9.01</v>
      </c>
      <c r="J2382" s="51">
        <v>3.69</v>
      </c>
      <c r="K2382" s="52">
        <f>Tabela6[[#This Row],[CONSUMO]]*Tabela6[[#This Row],[VALOR UNIT]]-Tabela6[[#This Row],[DESCONTO]]</f>
        <v>83.350700000000003</v>
      </c>
      <c r="L2382" s="53">
        <f>Tabela6[[#This Row],[CUSTO TOTAL]]/Tabela6[[#This Row],[CONSUMO]]</f>
        <v>3.3300319616460246</v>
      </c>
      <c r="M2382" s="53"/>
      <c r="N2382" s="49"/>
    </row>
    <row r="2383" spans="1:14" x14ac:dyDescent="0.25">
      <c r="A2383" s="49">
        <v>7211</v>
      </c>
      <c r="B2383" s="78">
        <v>45187</v>
      </c>
      <c r="C2383" s="47" t="s">
        <v>23</v>
      </c>
      <c r="D2383" s="49" t="s">
        <v>299</v>
      </c>
      <c r="E2383" s="47">
        <v>245991</v>
      </c>
      <c r="F2383" s="50"/>
      <c r="G2383" s="50" t="s">
        <v>89</v>
      </c>
      <c r="H2383" s="50">
        <v>94</v>
      </c>
      <c r="I2383" s="51"/>
      <c r="J2383" s="51">
        <v>5.85</v>
      </c>
      <c r="K2383" s="52">
        <f>Tabela6[[#This Row],[CONSUMO]]*Tabela6[[#This Row],[VALOR UNIT]]-Tabela6[[#This Row],[DESCONTO]]</f>
        <v>549.9</v>
      </c>
      <c r="L2383" s="53">
        <f>Tabela6[[#This Row],[CUSTO TOTAL]]/Tabela6[[#This Row],[CONSUMO]]</f>
        <v>5.85</v>
      </c>
      <c r="M2383" s="50">
        <f>Tabela6[[#This Row],[KM ATUAL]]-E2382</f>
        <v>-8</v>
      </c>
      <c r="N2383" s="51">
        <f>Tabela6[[#This Row],[KM Rodados ]]/Tabela6[[#This Row],[CONSUMO]]</f>
        <v>-8.5106382978723402E-2</v>
      </c>
    </row>
    <row r="2384" spans="1:14" x14ac:dyDescent="0.25">
      <c r="A2384" s="49">
        <v>7211</v>
      </c>
      <c r="B2384" s="78">
        <v>45187</v>
      </c>
      <c r="C2384" s="47" t="s">
        <v>40</v>
      </c>
      <c r="D2384" s="49" t="s">
        <v>262</v>
      </c>
      <c r="E2384" s="47">
        <v>159281</v>
      </c>
      <c r="F2384" s="50" t="s">
        <v>244</v>
      </c>
      <c r="G2384" s="50" t="s">
        <v>244</v>
      </c>
      <c r="H2384" s="50">
        <v>35.430999999999997</v>
      </c>
      <c r="I2384" s="51"/>
      <c r="J2384" s="51">
        <v>5.69</v>
      </c>
      <c r="K2384" s="74">
        <f>Tabela6[[#This Row],[CONSUMO]]*Tabela6[[#This Row],[VALOR UNIT]]-Tabela6[[#This Row],[DESCONTO]]</f>
        <v>201.60238999999999</v>
      </c>
      <c r="L2384" s="53">
        <f>Tabela6[[#This Row],[CUSTO TOTAL]]/Tabela6[[#This Row],[CONSUMO]]</f>
        <v>5.69</v>
      </c>
      <c r="M2384" s="50">
        <f>Tabela6[[#This Row],[KM ATUAL]]-E2368</f>
        <v>-86214</v>
      </c>
      <c r="N2384" s="51">
        <f>Tabela6[[#This Row],[KM Rodados ]]/Tabela6[[#This Row],[CONSUMO]]</f>
        <v>-2433.2928791171576</v>
      </c>
    </row>
    <row r="2385" spans="1:14" x14ac:dyDescent="0.25">
      <c r="A2385" s="49">
        <v>7211</v>
      </c>
      <c r="B2385" s="78">
        <v>45187</v>
      </c>
      <c r="C2385" s="47" t="s">
        <v>74</v>
      </c>
      <c r="D2385" s="49" t="s">
        <v>299</v>
      </c>
      <c r="E2385" s="47">
        <v>77154</v>
      </c>
      <c r="F2385" s="50"/>
      <c r="G2385" s="50" t="s">
        <v>89</v>
      </c>
      <c r="H2385" s="50">
        <v>75</v>
      </c>
      <c r="I2385" s="51"/>
      <c r="J2385" s="51">
        <v>5.85</v>
      </c>
      <c r="K2385" s="52">
        <f>Tabela6[[#This Row],[CONSUMO]]*Tabela6[[#This Row],[VALOR UNIT]]-Tabela6[[#This Row],[DESCONTO]]</f>
        <v>438.75</v>
      </c>
      <c r="L2385" s="53">
        <f>Tabela6[[#This Row],[CUSTO TOTAL]]/Tabela6[[#This Row],[CONSUMO]]</f>
        <v>5.85</v>
      </c>
      <c r="M2385" s="50">
        <f>Tabela6[[#This Row],[KM ATUAL]]-E2344</f>
        <v>38793</v>
      </c>
      <c r="N2385" s="51">
        <f>Tabela6[[#This Row],[KM Rodados ]]/Tabela6[[#This Row],[CONSUMO]]</f>
        <v>517.24</v>
      </c>
    </row>
    <row r="2386" spans="1:14" x14ac:dyDescent="0.25">
      <c r="A2386" s="49">
        <v>7211</v>
      </c>
      <c r="B2386" s="78">
        <v>45188</v>
      </c>
      <c r="C2386" s="47" t="s">
        <v>68</v>
      </c>
      <c r="D2386" s="49" t="s">
        <v>299</v>
      </c>
      <c r="E2386" s="47">
        <v>916922</v>
      </c>
      <c r="F2386" s="50"/>
      <c r="G2386" s="50" t="s">
        <v>89</v>
      </c>
      <c r="H2386" s="50">
        <v>320</v>
      </c>
      <c r="I2386" s="51"/>
      <c r="J2386" s="51">
        <v>5.85</v>
      </c>
      <c r="K2386" s="52">
        <f>Tabela6[[#This Row],[CONSUMO]]*Tabela6[[#This Row],[VALOR UNIT]]-Tabela6[[#This Row],[DESCONTO]]</f>
        <v>1872</v>
      </c>
      <c r="L2386" s="53">
        <f>Tabela6[[#This Row],[CUSTO TOTAL]]/Tabela6[[#This Row],[CONSUMO]]</f>
        <v>5.85</v>
      </c>
      <c r="M2386" s="50">
        <f>Tabela6[[#This Row],[KM ATUAL]]-E2355</f>
        <v>769640</v>
      </c>
      <c r="N2386" s="51">
        <f>Tabela6[[#This Row],[KM Rodados ]]/Tabela6[[#This Row],[CONSUMO]]</f>
        <v>2405.125</v>
      </c>
    </row>
    <row r="2387" spans="1:14" x14ac:dyDescent="0.25">
      <c r="A2387" s="49">
        <v>7211</v>
      </c>
      <c r="B2387" s="78">
        <v>45188</v>
      </c>
      <c r="C2387" s="47" t="s">
        <v>43</v>
      </c>
      <c r="D2387" s="49" t="s">
        <v>299</v>
      </c>
      <c r="E2387" s="47">
        <v>147876</v>
      </c>
      <c r="F2387" s="50"/>
      <c r="G2387" s="50" t="s">
        <v>89</v>
      </c>
      <c r="H2387" s="50">
        <v>35</v>
      </c>
      <c r="I2387" s="51"/>
      <c r="J2387" s="51">
        <v>5.85</v>
      </c>
      <c r="K2387" s="52">
        <f>Tabela6[[#This Row],[CONSUMO]]*Tabela6[[#This Row],[VALOR UNIT]]-Tabela6[[#This Row],[DESCONTO]]</f>
        <v>204.75</v>
      </c>
      <c r="L2387" s="53">
        <f>Tabela6[[#This Row],[CUSTO TOTAL]]/Tabela6[[#This Row],[CONSUMO]]</f>
        <v>5.85</v>
      </c>
      <c r="M2387" s="50">
        <f>Tabela6[[#This Row],[KM ATUAL]]-E2371</f>
        <v>-322</v>
      </c>
      <c r="N2387" s="51">
        <f>Tabela6[[#This Row],[KM Rodados ]]/Tabela6[[#This Row],[CONSUMO]]</f>
        <v>-9.1999999999999993</v>
      </c>
    </row>
    <row r="2388" spans="1:14" x14ac:dyDescent="0.25">
      <c r="A2388" s="47">
        <v>208600</v>
      </c>
      <c r="B2388" s="78">
        <v>45188</v>
      </c>
      <c r="C2388" s="47" t="s">
        <v>43</v>
      </c>
      <c r="D2388" s="49" t="s">
        <v>262</v>
      </c>
      <c r="E2388" s="47">
        <v>148033</v>
      </c>
      <c r="F2388" s="50"/>
      <c r="G2388" s="50" t="s">
        <v>89</v>
      </c>
      <c r="H2388" s="50">
        <v>19.719000000000001</v>
      </c>
      <c r="I2388" s="51"/>
      <c r="J2388" s="51">
        <v>6.09</v>
      </c>
      <c r="K2388" s="52">
        <f>Tabela6[[#This Row],[CONSUMO]]*Tabela6[[#This Row],[VALOR UNIT]]-Tabela6[[#This Row],[DESCONTO]]</f>
        <v>120.08871000000001</v>
      </c>
      <c r="L2388" s="53">
        <f>Tabela6[[#This Row],[CUSTO TOTAL]]/Tabela6[[#This Row],[CONSUMO]]</f>
        <v>6.09</v>
      </c>
      <c r="M2388" s="50">
        <f>Tabela6[[#This Row],[KM ATUAL]]-E2377</f>
        <v>23468</v>
      </c>
      <c r="N2388" s="51">
        <f>Tabela6[[#This Row],[KM Rodados ]]/Tabela6[[#This Row],[CONSUMO]]</f>
        <v>1190.1212029007556</v>
      </c>
    </row>
    <row r="2389" spans="1:14" x14ac:dyDescent="0.25">
      <c r="A2389" s="49">
        <v>7211</v>
      </c>
      <c r="B2389" s="78">
        <v>45188</v>
      </c>
      <c r="C2389" s="47" t="s">
        <v>222</v>
      </c>
      <c r="D2389" s="49" t="s">
        <v>299</v>
      </c>
      <c r="E2389" s="47">
        <v>502887</v>
      </c>
      <c r="F2389" s="50"/>
      <c r="G2389" s="50" t="s">
        <v>89</v>
      </c>
      <c r="H2389" s="50">
        <v>329</v>
      </c>
      <c r="I2389" s="51"/>
      <c r="J2389" s="51">
        <v>5.85</v>
      </c>
      <c r="K2389" s="52">
        <f>Tabela6[[#This Row],[CONSUMO]]*Tabela6[[#This Row],[VALOR UNIT]]-Tabela6[[#This Row],[DESCONTO]]</f>
        <v>1924.6499999999999</v>
      </c>
      <c r="L2389" s="53">
        <f>Tabela6[[#This Row],[CUSTO TOTAL]]/Tabela6[[#This Row],[CONSUMO]]</f>
        <v>5.85</v>
      </c>
      <c r="M2389" s="50">
        <f>Tabela6[[#This Row],[KM ATUAL]]-E2369</f>
        <v>343938</v>
      </c>
      <c r="N2389" s="51">
        <f>Tabela6[[#This Row],[KM Rodados ]]/Tabela6[[#This Row],[CONSUMO]]</f>
        <v>1045.4042553191489</v>
      </c>
    </row>
    <row r="2390" spans="1:14" x14ac:dyDescent="0.25">
      <c r="A2390" s="49">
        <v>7211</v>
      </c>
      <c r="B2390" s="78">
        <v>45188</v>
      </c>
      <c r="C2390" s="47" t="s">
        <v>67</v>
      </c>
      <c r="D2390" s="49" t="s">
        <v>299</v>
      </c>
      <c r="E2390" s="47">
        <v>681124</v>
      </c>
      <c r="F2390" s="50"/>
      <c r="G2390" s="50" t="s">
        <v>89</v>
      </c>
      <c r="H2390" s="50">
        <v>108</v>
      </c>
      <c r="I2390" s="51"/>
      <c r="J2390" s="51">
        <v>5.85</v>
      </c>
      <c r="K2390" s="52">
        <f>Tabela6[[#This Row],[CONSUMO]]*Tabela6[[#This Row],[VALOR UNIT]]-Tabela6[[#This Row],[DESCONTO]]</f>
        <v>631.79999999999995</v>
      </c>
      <c r="L2390" s="53">
        <f>Tabela6[[#This Row],[CUSTO TOTAL]]/Tabela6[[#This Row],[CONSUMO]]</f>
        <v>5.85</v>
      </c>
      <c r="M2390" s="50">
        <f>Tabela6[[#This Row],[KM ATUAL]]-E2369</f>
        <v>522175</v>
      </c>
      <c r="N2390" s="51">
        <f>Tabela6[[#This Row],[KM Rodados ]]/Tabela6[[#This Row],[CONSUMO]]</f>
        <v>4834.9537037037035</v>
      </c>
    </row>
    <row r="2391" spans="1:14" x14ac:dyDescent="0.25">
      <c r="A2391" s="49">
        <v>7211</v>
      </c>
      <c r="B2391" s="78">
        <v>45188</v>
      </c>
      <c r="C2391" s="47" t="s">
        <v>22</v>
      </c>
      <c r="D2391" s="49" t="s">
        <v>299</v>
      </c>
      <c r="E2391" s="47">
        <v>336668</v>
      </c>
      <c r="F2391" s="50"/>
      <c r="G2391" s="50" t="s">
        <v>89</v>
      </c>
      <c r="H2391" s="50">
        <v>101</v>
      </c>
      <c r="I2391" s="51"/>
      <c r="J2391" s="51">
        <v>5.85</v>
      </c>
      <c r="K2391" s="52">
        <f>Tabela6[[#This Row],[CONSUMO]]*Tabela6[[#This Row],[VALOR UNIT]]-Tabela6[[#This Row],[DESCONTO]]</f>
        <v>590.84999999999991</v>
      </c>
      <c r="L2391" s="53">
        <f>Tabela6[[#This Row],[CUSTO TOTAL]]/Tabela6[[#This Row],[CONSUMO]]</f>
        <v>5.8499999999999988</v>
      </c>
      <c r="M2391" s="50">
        <f>Tabela6[[#This Row],[KM ATUAL]]-E2346</f>
        <v>8779</v>
      </c>
      <c r="N2391" s="51">
        <f>Tabela6[[#This Row],[KM Rodados ]]/Tabela6[[#This Row],[CONSUMO]]</f>
        <v>86.920792079207928</v>
      </c>
    </row>
    <row r="2392" spans="1:14" x14ac:dyDescent="0.25">
      <c r="A2392" s="47">
        <v>42449</v>
      </c>
      <c r="B2392" s="78">
        <v>45188</v>
      </c>
      <c r="C2392" s="47" t="s">
        <v>39</v>
      </c>
      <c r="D2392" s="49" t="s">
        <v>253</v>
      </c>
      <c r="E2392" s="47">
        <v>102518</v>
      </c>
      <c r="F2392" s="50"/>
      <c r="G2392" s="50" t="s">
        <v>89</v>
      </c>
      <c r="H2392" s="50">
        <v>87.84</v>
      </c>
      <c r="I2392" s="51"/>
      <c r="J2392" s="51">
        <v>6.09</v>
      </c>
      <c r="K2392" s="52">
        <f>Tabela6[[#This Row],[CONSUMO]]*Tabela6[[#This Row],[VALOR UNIT]]-Tabela6[[#This Row],[DESCONTO]]</f>
        <v>534.94560000000001</v>
      </c>
      <c r="L2392" s="53">
        <f>Tabela6[[#This Row],[CUSTO TOTAL]]/Tabela6[[#This Row],[CONSUMO]]</f>
        <v>6.09</v>
      </c>
      <c r="M2392" s="50">
        <f>Tabela6[[#This Row],[KM ATUAL]]-E2378</f>
        <v>9332</v>
      </c>
      <c r="N2392" s="51">
        <f>Tabela6[[#This Row],[KM Rodados ]]/Tabela6[[#This Row],[CONSUMO]]</f>
        <v>106.23861566484517</v>
      </c>
    </row>
    <row r="2393" spans="1:14" x14ac:dyDescent="0.25">
      <c r="A2393" s="49">
        <v>7211</v>
      </c>
      <c r="B2393" s="78">
        <v>45188</v>
      </c>
      <c r="C2393" s="47" t="s">
        <v>70</v>
      </c>
      <c r="D2393" s="49" t="s">
        <v>299</v>
      </c>
      <c r="E2393" s="47">
        <v>228591</v>
      </c>
      <c r="F2393" s="50"/>
      <c r="G2393" s="50" t="s">
        <v>89</v>
      </c>
      <c r="H2393" s="50">
        <v>443</v>
      </c>
      <c r="I2393" s="51"/>
      <c r="J2393" s="51">
        <v>5.85</v>
      </c>
      <c r="K2393" s="52">
        <f>Tabela6[[#This Row],[CONSUMO]]*Tabela6[[#This Row],[VALOR UNIT]]-Tabela6[[#This Row],[DESCONTO]]</f>
        <v>2591.5499999999997</v>
      </c>
      <c r="L2393" s="53">
        <f>Tabela6[[#This Row],[CUSTO TOTAL]]/Tabela6[[#This Row],[CONSUMO]]</f>
        <v>5.85</v>
      </c>
      <c r="M2393" s="50">
        <f>Tabela6[[#This Row],[KM ATUAL]]-E2310</f>
        <v>105344</v>
      </c>
      <c r="N2393" s="51">
        <f>Tabela6[[#This Row],[KM Rodados ]]/Tabela6[[#This Row],[CONSUMO]]</f>
        <v>237.79683972911963</v>
      </c>
    </row>
    <row r="2394" spans="1:14" x14ac:dyDescent="0.25">
      <c r="A2394" s="47">
        <v>332576</v>
      </c>
      <c r="B2394" s="78">
        <v>45188</v>
      </c>
      <c r="C2394" s="47" t="s">
        <v>203</v>
      </c>
      <c r="D2394" s="49" t="s">
        <v>276</v>
      </c>
      <c r="E2394" s="47">
        <v>111819</v>
      </c>
      <c r="F2394" s="50"/>
      <c r="G2394" s="50" t="s">
        <v>244</v>
      </c>
      <c r="H2394" s="50">
        <v>38.200000000000003</v>
      </c>
      <c r="I2394" s="51"/>
      <c r="J2394" s="51">
        <v>5.89</v>
      </c>
      <c r="K2394" s="52">
        <f>Tabela6[[#This Row],[CONSUMO]]*Tabela6[[#This Row],[VALOR UNIT]]-Tabela6[[#This Row],[DESCONTO]]</f>
        <v>224.99799999999999</v>
      </c>
      <c r="L2394" s="53">
        <f>Tabela6[[#This Row],[CUSTO TOTAL]]/Tabela6[[#This Row],[CONSUMO]]</f>
        <v>5.89</v>
      </c>
      <c r="M2394" s="50">
        <f>Tabela6[[#This Row],[KM ATUAL]]-E2357</f>
        <v>503</v>
      </c>
      <c r="N2394" s="51">
        <f>Tabela6[[#This Row],[KM Rodados ]]/Tabela6[[#This Row],[CONSUMO]]</f>
        <v>13.167539267015705</v>
      </c>
    </row>
    <row r="2395" spans="1:14" x14ac:dyDescent="0.25">
      <c r="A2395" s="49">
        <v>7211</v>
      </c>
      <c r="B2395" s="78">
        <v>45188</v>
      </c>
      <c r="C2395" s="47" t="s">
        <v>72</v>
      </c>
      <c r="D2395" s="49" t="s">
        <v>299</v>
      </c>
      <c r="E2395" s="47">
        <v>413955</v>
      </c>
      <c r="F2395" s="50"/>
      <c r="G2395" s="50" t="s">
        <v>89</v>
      </c>
      <c r="H2395" s="50">
        <v>48</v>
      </c>
      <c r="I2395" s="51"/>
      <c r="J2395" s="51">
        <v>5.85</v>
      </c>
      <c r="K2395" s="52">
        <f>Tabela6[[#This Row],[CONSUMO]]*Tabela6[[#This Row],[VALOR UNIT]]-Tabela6[[#This Row],[DESCONTO]]</f>
        <v>280.79999999999995</v>
      </c>
      <c r="L2395" s="53">
        <f>Tabela6[[#This Row],[CUSTO TOTAL]]/Tabela6[[#This Row],[CONSUMO]]</f>
        <v>5.8499999999999988</v>
      </c>
      <c r="M2395" s="50">
        <f>Tabela6[[#This Row],[KM ATUAL]]-E2310</f>
        <v>290708</v>
      </c>
      <c r="N2395" s="84">
        <f>Tabela6[[#This Row],[KM Rodados ]]/Tabela6[[#This Row],[CONSUMO]]</f>
        <v>6056.416666666667</v>
      </c>
    </row>
    <row r="2396" spans="1:14" x14ac:dyDescent="0.25">
      <c r="A2396" s="47">
        <v>173662</v>
      </c>
      <c r="B2396" s="78">
        <v>45188</v>
      </c>
      <c r="C2396" s="47" t="s">
        <v>73</v>
      </c>
      <c r="D2396" s="49" t="s">
        <v>311</v>
      </c>
      <c r="E2396" s="47">
        <v>149208</v>
      </c>
      <c r="F2396" s="50"/>
      <c r="G2396" s="50" t="s">
        <v>241</v>
      </c>
      <c r="H2396" s="50">
        <v>24.004000000000001</v>
      </c>
      <c r="I2396" s="51"/>
      <c r="J2396" s="51">
        <v>3.19</v>
      </c>
      <c r="K2396" s="52">
        <f>Tabela6[[#This Row],[CONSUMO]]*Tabela6[[#This Row],[VALOR UNIT]]-Tabela6[[#This Row],[DESCONTO]]</f>
        <v>76.572760000000002</v>
      </c>
      <c r="L2396" s="53">
        <f>Tabela6[[#This Row],[CUSTO TOTAL]]/Tabela6[[#This Row],[CONSUMO]]</f>
        <v>3.19</v>
      </c>
      <c r="M2396" s="53"/>
      <c r="N2396" s="49"/>
    </row>
    <row r="2397" spans="1:14" x14ac:dyDescent="0.25">
      <c r="A2397" s="47">
        <v>173660</v>
      </c>
      <c r="B2397" s="78">
        <v>45188</v>
      </c>
      <c r="C2397" s="47" t="s">
        <v>73</v>
      </c>
      <c r="D2397" s="49" t="s">
        <v>311</v>
      </c>
      <c r="E2397" s="47">
        <v>149208</v>
      </c>
      <c r="F2397" s="50"/>
      <c r="G2397" s="50" t="s">
        <v>89</v>
      </c>
      <c r="H2397" s="50">
        <v>242</v>
      </c>
      <c r="I2397" s="51">
        <v>321.86</v>
      </c>
      <c r="J2397" s="51">
        <v>7.42</v>
      </c>
      <c r="K2397" s="52">
        <f>Tabela6[[#This Row],[CONSUMO]]*Tabela6[[#This Row],[VALOR UNIT]]-Tabela6[[#This Row],[DESCONTO]]</f>
        <v>1473.7799999999997</v>
      </c>
      <c r="L2397" s="53">
        <f>Tabela6[[#This Row],[CUSTO TOTAL]]/Tabela6[[#This Row],[CONSUMO]]</f>
        <v>6.089999999999999</v>
      </c>
      <c r="M2397" s="50">
        <f>Tabela6[[#This Row],[KM ATUAL]]-E2367</f>
        <v>-122778</v>
      </c>
      <c r="N2397" s="92">
        <f>Tabela6[[#This Row],[KM Rodados ]]/Tabela6[[#This Row],[CONSUMO]]</f>
        <v>-507.34710743801651</v>
      </c>
    </row>
    <row r="2398" spans="1:14" x14ac:dyDescent="0.25">
      <c r="A2398" s="49">
        <v>7211</v>
      </c>
      <c r="B2398" s="78">
        <v>45188</v>
      </c>
      <c r="C2398" s="47" t="s">
        <v>71</v>
      </c>
      <c r="D2398" s="49" t="s">
        <v>299</v>
      </c>
      <c r="E2398" s="47">
        <v>124949</v>
      </c>
      <c r="F2398" s="50"/>
      <c r="G2398" s="50" t="s">
        <v>89</v>
      </c>
      <c r="H2398" s="50">
        <v>334</v>
      </c>
      <c r="I2398" s="51"/>
      <c r="J2398" s="51">
        <v>5.85</v>
      </c>
      <c r="K2398" s="52">
        <f>Tabela6[[#This Row],[CONSUMO]]*Tabela6[[#This Row],[VALOR UNIT]]-Tabela6[[#This Row],[DESCONTO]]</f>
        <v>1953.8999999999999</v>
      </c>
      <c r="L2398" s="53">
        <f>Tabela6[[#This Row],[CUSTO TOTAL]]/Tabela6[[#This Row],[CONSUMO]]</f>
        <v>5.85</v>
      </c>
      <c r="M2398" s="50">
        <f>Tabela6[[#This Row],[KM ATUAL]]-E2347</f>
        <v>-201836</v>
      </c>
      <c r="N2398" s="51">
        <f>Tabela6[[#This Row],[KM Rodados ]]/Tabela6[[#This Row],[CONSUMO]]</f>
        <v>-604.29940119760477</v>
      </c>
    </row>
    <row r="2399" spans="1:14" x14ac:dyDescent="0.25">
      <c r="A2399" s="49">
        <v>7211</v>
      </c>
      <c r="B2399" s="78">
        <v>45188</v>
      </c>
      <c r="C2399" s="47" t="s">
        <v>206</v>
      </c>
      <c r="D2399" s="49" t="s">
        <v>299</v>
      </c>
      <c r="E2399" s="47">
        <v>964926</v>
      </c>
      <c r="F2399" s="50"/>
      <c r="G2399" s="50" t="s">
        <v>89</v>
      </c>
      <c r="H2399" s="50">
        <v>270</v>
      </c>
      <c r="I2399" s="51"/>
      <c r="J2399" s="51">
        <v>5.85</v>
      </c>
      <c r="K2399" s="52">
        <f>Tabela6[[#This Row],[CONSUMO]]*Tabela6[[#This Row],[VALOR UNIT]]-Tabela6[[#This Row],[DESCONTO]]</f>
        <v>1579.5</v>
      </c>
      <c r="L2399" s="53">
        <f>Tabela6[[#This Row],[CUSTO TOTAL]]/Tabela6[[#This Row],[CONSUMO]]</f>
        <v>5.85</v>
      </c>
      <c r="M2399" s="50">
        <f>Tabela6[[#This Row],[KM ATUAL]]-E2343</f>
        <v>315754</v>
      </c>
      <c r="N2399" s="51">
        <f>Tabela6[[#This Row],[KM Rodados ]]/Tabela6[[#This Row],[CONSUMO]]</f>
        <v>1169.4592592592592</v>
      </c>
    </row>
    <row r="2400" spans="1:14" x14ac:dyDescent="0.25">
      <c r="A2400" s="49">
        <v>7211</v>
      </c>
      <c r="B2400" s="78">
        <v>45188</v>
      </c>
      <c r="C2400" s="47" t="s">
        <v>13</v>
      </c>
      <c r="D2400" s="49" t="s">
        <v>299</v>
      </c>
      <c r="E2400" s="47">
        <v>649736</v>
      </c>
      <c r="F2400" s="50"/>
      <c r="G2400" s="50" t="s">
        <v>89</v>
      </c>
      <c r="H2400" s="50">
        <v>121</v>
      </c>
      <c r="I2400" s="51"/>
      <c r="J2400" s="51">
        <v>5.85</v>
      </c>
      <c r="K2400" s="52">
        <f>Tabela6[[#This Row],[CONSUMO]]*Tabela6[[#This Row],[VALOR UNIT]]-Tabela6[[#This Row],[DESCONTO]]</f>
        <v>707.84999999999991</v>
      </c>
      <c r="L2400" s="53">
        <f>Tabela6[[#This Row],[CUSTO TOTAL]]/Tabela6[[#This Row],[CONSUMO]]</f>
        <v>5.85</v>
      </c>
      <c r="M2400" s="50">
        <f>Tabela6[[#This Row],[KM ATUAL]]-E2359</f>
        <v>502376</v>
      </c>
      <c r="N2400" s="51">
        <f>Tabela6[[#This Row],[KM Rodados ]]/Tabela6[[#This Row],[CONSUMO]]</f>
        <v>4151.8677685950415</v>
      </c>
    </row>
    <row r="2401" spans="1:14" x14ac:dyDescent="0.25">
      <c r="A2401" s="47">
        <v>208441</v>
      </c>
      <c r="B2401" s="78">
        <v>45188</v>
      </c>
      <c r="C2401" s="47" t="s">
        <v>14</v>
      </c>
      <c r="D2401" s="49" t="s">
        <v>262</v>
      </c>
      <c r="E2401" s="47">
        <v>294914</v>
      </c>
      <c r="F2401" s="50"/>
      <c r="G2401" s="50" t="s">
        <v>244</v>
      </c>
      <c r="H2401" s="50">
        <v>25.49</v>
      </c>
      <c r="I2401" s="51"/>
      <c r="J2401" s="51">
        <v>5.69</v>
      </c>
      <c r="K2401" s="52">
        <f>Tabela6[[#This Row],[CONSUMO]]*Tabela6[[#This Row],[VALOR UNIT]]-Tabela6[[#This Row],[DESCONTO]]</f>
        <v>145.03810000000001</v>
      </c>
      <c r="L2401" s="53">
        <f>Tabela6[[#This Row],[CUSTO TOTAL]]/Tabela6[[#This Row],[CONSUMO]]</f>
        <v>5.6900000000000013</v>
      </c>
      <c r="M2401" s="50">
        <f>Tabela6[[#This Row],[KM ATUAL]]-E2366</f>
        <v>-89041</v>
      </c>
      <c r="N2401" s="51">
        <f>Tabela6[[#This Row],[KM Rodados ]]/Tabela6[[#This Row],[CONSUMO]]</f>
        <v>-3493.1737936445666</v>
      </c>
    </row>
    <row r="2402" spans="1:14" x14ac:dyDescent="0.25">
      <c r="A2402" s="47">
        <v>208604</v>
      </c>
      <c r="B2402" s="78">
        <v>45188</v>
      </c>
      <c r="C2402" s="47" t="s">
        <v>15</v>
      </c>
      <c r="D2402" s="49" t="s">
        <v>262</v>
      </c>
      <c r="E2402" s="47">
        <v>384923</v>
      </c>
      <c r="F2402" s="50"/>
      <c r="G2402" s="50" t="s">
        <v>89</v>
      </c>
      <c r="H2402" s="50">
        <v>77.31</v>
      </c>
      <c r="I2402" s="51"/>
      <c r="J2402" s="51">
        <v>6.09</v>
      </c>
      <c r="K2402" s="52">
        <f>Tabela6[[#This Row],[CONSUMO]]*Tabela6[[#This Row],[VALOR UNIT]]-Tabela6[[#This Row],[DESCONTO]]</f>
        <v>470.81790000000001</v>
      </c>
      <c r="L2402" s="53">
        <f>Tabela6[[#This Row],[CUSTO TOTAL]]/Tabela6[[#This Row],[CONSUMO]]</f>
        <v>6.09</v>
      </c>
      <c r="M2402" s="50">
        <f>Tabela6[[#This Row],[KM ATUAL]]-E2401</f>
        <v>90009</v>
      </c>
      <c r="N2402" s="51">
        <f>Tabela6[[#This Row],[KM Rodados ]]/Tabela6[[#This Row],[CONSUMO]]</f>
        <v>1164.2607683352735</v>
      </c>
    </row>
    <row r="2403" spans="1:14" x14ac:dyDescent="0.25">
      <c r="A2403" s="47">
        <v>566648</v>
      </c>
      <c r="B2403" s="78">
        <v>45188</v>
      </c>
      <c r="C2403" s="47" t="s">
        <v>18</v>
      </c>
      <c r="D2403" s="49" t="s">
        <v>255</v>
      </c>
      <c r="E2403" s="47">
        <v>328659</v>
      </c>
      <c r="F2403" s="50"/>
      <c r="G2403" s="50" t="s">
        <v>89</v>
      </c>
      <c r="H2403" s="50">
        <v>86.17</v>
      </c>
      <c r="I2403" s="51"/>
      <c r="J2403" s="51">
        <v>6.89</v>
      </c>
      <c r="K2403" s="52">
        <f>Tabela6[[#This Row],[CONSUMO]]*Tabela6[[#This Row],[VALOR UNIT]]-Tabela6[[#This Row],[DESCONTO]]</f>
        <v>593.71129999999994</v>
      </c>
      <c r="L2403" s="53">
        <f>Tabela6[[#This Row],[CUSTO TOTAL]]/Tabela6[[#This Row],[CONSUMO]]</f>
        <v>6.8899999999999988</v>
      </c>
      <c r="M2403" s="50">
        <f>Tabela6[[#This Row],[KM ATUAL]]-E2350</f>
        <v>328659</v>
      </c>
      <c r="N2403" s="51">
        <f>Tabela6[[#This Row],[KM Rodados ]]/Tabela6[[#This Row],[CONSUMO]]</f>
        <v>3814.0768248810491</v>
      </c>
    </row>
    <row r="2404" spans="1:14" x14ac:dyDescent="0.25">
      <c r="A2404" s="47">
        <v>566770</v>
      </c>
      <c r="B2404" s="78">
        <v>45188</v>
      </c>
      <c r="C2404" s="47" t="s">
        <v>38</v>
      </c>
      <c r="D2404" s="49" t="s">
        <v>255</v>
      </c>
      <c r="E2404" s="47">
        <v>136800</v>
      </c>
      <c r="F2404" s="50"/>
      <c r="G2404" s="50" t="s">
        <v>244</v>
      </c>
      <c r="H2404" s="50">
        <v>51.66</v>
      </c>
      <c r="I2404" s="51"/>
      <c r="J2404" s="51">
        <v>5.94</v>
      </c>
      <c r="K2404" s="52">
        <f>Tabela6[[#This Row],[CONSUMO]]*Tabela6[[#This Row],[VALOR UNIT]]-Tabela6[[#This Row],[DESCONTO]]</f>
        <v>306.86040000000003</v>
      </c>
      <c r="L2404" s="53">
        <f>Tabela6[[#This Row],[CUSTO TOTAL]]/Tabela6[[#This Row],[CONSUMO]]</f>
        <v>5.9400000000000013</v>
      </c>
      <c r="M2404" s="50">
        <f>Tabela6[[#This Row],[KM ATUAL]]-E2249</f>
        <v>-8357</v>
      </c>
      <c r="N2404" s="51">
        <f>Tabela6[[#This Row],[KM Rodados ]]/Tabela6[[#This Row],[CONSUMO]]</f>
        <v>-161.76926054974837</v>
      </c>
    </row>
    <row r="2405" spans="1:14" x14ac:dyDescent="0.25">
      <c r="A2405" s="47">
        <v>975861</v>
      </c>
      <c r="B2405" s="78">
        <v>45189</v>
      </c>
      <c r="C2405" s="47" t="s">
        <v>43</v>
      </c>
      <c r="D2405" s="49" t="s">
        <v>278</v>
      </c>
      <c r="E2405" s="47">
        <v>148395</v>
      </c>
      <c r="F2405" s="50"/>
      <c r="G2405" s="50" t="s">
        <v>89</v>
      </c>
      <c r="H2405" s="50">
        <v>46.81</v>
      </c>
      <c r="I2405" s="51"/>
      <c r="J2405" s="51">
        <v>6.09</v>
      </c>
      <c r="K2405" s="52">
        <f>Tabela6[[#This Row],[CONSUMO]]*Tabela6[[#This Row],[VALOR UNIT]]-Tabela6[[#This Row],[DESCONTO]]</f>
        <v>285.0729</v>
      </c>
      <c r="L2405" s="53">
        <f>Tabela6[[#This Row],[CUSTO TOTAL]]/Tabela6[[#This Row],[CONSUMO]]</f>
        <v>6.09</v>
      </c>
      <c r="M2405" s="50">
        <f>Tabela6[[#This Row],[KM ATUAL]]-E2393</f>
        <v>-80196</v>
      </c>
      <c r="N2405" s="51">
        <f>Tabela6[[#This Row],[KM Rodados ]]/Tabela6[[#This Row],[CONSUMO]]</f>
        <v>-1713.2236701559495</v>
      </c>
    </row>
    <row r="2406" spans="1:14" x14ac:dyDescent="0.25">
      <c r="A2406" s="47">
        <v>667160</v>
      </c>
      <c r="B2406" s="78">
        <v>45189</v>
      </c>
      <c r="C2406" s="47" t="s">
        <v>9</v>
      </c>
      <c r="D2406" s="49" t="s">
        <v>271</v>
      </c>
      <c r="E2406" s="47">
        <v>624350</v>
      </c>
      <c r="F2406" s="50"/>
      <c r="G2406" s="50" t="s">
        <v>89</v>
      </c>
      <c r="H2406" s="50">
        <v>120</v>
      </c>
      <c r="I2406" s="51"/>
      <c r="J2406" s="51">
        <v>5.99</v>
      </c>
      <c r="K2406" s="52">
        <f>Tabela6[[#This Row],[CONSUMO]]*Tabela6[[#This Row],[VALOR UNIT]]-Tabela6[[#This Row],[DESCONTO]]</f>
        <v>718.80000000000007</v>
      </c>
      <c r="L2406" s="53">
        <f>Tabela6[[#This Row],[CUSTO TOTAL]]/Tabela6[[#This Row],[CONSUMO]]</f>
        <v>5.99</v>
      </c>
      <c r="M2406" s="50">
        <f>Tabela6[[#This Row],[KM ATUAL]]-E2376</f>
        <v>522370</v>
      </c>
      <c r="N2406" s="51">
        <f>Tabela6[[#This Row],[KM Rodados ]]/Tabela6[[#This Row],[CONSUMO]]</f>
        <v>4353.083333333333</v>
      </c>
    </row>
    <row r="2407" spans="1:14" x14ac:dyDescent="0.25">
      <c r="A2407" s="47">
        <v>43430</v>
      </c>
      <c r="B2407" s="78">
        <v>45189</v>
      </c>
      <c r="C2407" s="47" t="s">
        <v>42</v>
      </c>
      <c r="D2407" s="49" t="s">
        <v>253</v>
      </c>
      <c r="E2407" s="47">
        <v>372424</v>
      </c>
      <c r="F2407" s="50"/>
      <c r="G2407" s="50" t="s">
        <v>89</v>
      </c>
      <c r="H2407" s="50">
        <v>100.96</v>
      </c>
      <c r="I2407" s="51"/>
      <c r="J2407" s="51">
        <v>6.09</v>
      </c>
      <c r="K2407" s="52">
        <f>Tabela6[[#This Row],[CONSUMO]]*Tabela6[[#This Row],[VALOR UNIT]]-Tabela6[[#This Row],[DESCONTO]]</f>
        <v>614.8463999999999</v>
      </c>
      <c r="L2407" s="53">
        <f>Tabela6[[#This Row],[CUSTO TOTAL]]/Tabela6[[#This Row],[CONSUMO]]</f>
        <v>6.09</v>
      </c>
      <c r="M2407" s="50">
        <f>Tabela6[[#This Row],[KM ATUAL]]-E2318</f>
        <v>-542820</v>
      </c>
      <c r="N2407" s="51">
        <f>Tabela6[[#This Row],[KM Rodados ]]/Tabela6[[#This Row],[CONSUMO]]</f>
        <v>-5376.5847860538834</v>
      </c>
    </row>
    <row r="2408" spans="1:14" x14ac:dyDescent="0.25">
      <c r="A2408" s="47">
        <v>208800</v>
      </c>
      <c r="B2408" s="78">
        <v>45189</v>
      </c>
      <c r="C2408" s="47" t="s">
        <v>222</v>
      </c>
      <c r="D2408" s="49" t="s">
        <v>262</v>
      </c>
      <c r="E2408" s="47">
        <v>503316</v>
      </c>
      <c r="F2408" s="50"/>
      <c r="G2408" s="50" t="s">
        <v>241</v>
      </c>
      <c r="H2408" s="50">
        <v>44.018999999999998</v>
      </c>
      <c r="I2408" s="51">
        <v>15.85</v>
      </c>
      <c r="J2408" s="51">
        <v>3.69</v>
      </c>
      <c r="K2408" s="52">
        <f>Tabela6[[#This Row],[CONSUMO]]*Tabela6[[#This Row],[VALOR UNIT]]-Tabela6[[#This Row],[DESCONTO]]</f>
        <v>146.58010999999999</v>
      </c>
      <c r="L2408" s="53">
        <f>Tabela6[[#This Row],[CUSTO TOTAL]]/Tabela6[[#This Row],[CONSUMO]]</f>
        <v>3.3299282128171925</v>
      </c>
      <c r="M2408" s="53"/>
      <c r="N2408" s="49"/>
    </row>
    <row r="2409" spans="1:14" x14ac:dyDescent="0.25">
      <c r="A2409" s="49">
        <v>7211</v>
      </c>
      <c r="B2409" s="78">
        <v>45189</v>
      </c>
      <c r="C2409" s="47" t="s">
        <v>67</v>
      </c>
      <c r="D2409" s="49" t="s">
        <v>299</v>
      </c>
      <c r="E2409" s="47">
        <v>681528</v>
      </c>
      <c r="F2409" s="50"/>
      <c r="G2409" s="50" t="s">
        <v>89</v>
      </c>
      <c r="H2409" s="50">
        <v>100</v>
      </c>
      <c r="I2409" s="51"/>
      <c r="J2409" s="51">
        <v>5.85</v>
      </c>
      <c r="K2409" s="52">
        <f>Tabela6[[#This Row],[CONSUMO]]*Tabela6[[#This Row],[VALOR UNIT]]-Tabela6[[#This Row],[DESCONTO]]</f>
        <v>585</v>
      </c>
      <c r="L2409" s="53">
        <f>Tabela6[[#This Row],[CUSTO TOTAL]]/Tabela6[[#This Row],[CONSUMO]]</f>
        <v>5.85</v>
      </c>
      <c r="M2409" s="50">
        <f>Tabela6[[#This Row],[KM ATUAL]]-E2378</f>
        <v>588342</v>
      </c>
      <c r="N2409" s="49">
        <f>Tabela6[[#This Row],[KM Rodados ]]/Tabela6[[#This Row],[CONSUMO]]</f>
        <v>5883.42</v>
      </c>
    </row>
    <row r="2410" spans="1:14" x14ac:dyDescent="0.25">
      <c r="A2410" s="47">
        <v>43368</v>
      </c>
      <c r="B2410" s="78">
        <v>45189</v>
      </c>
      <c r="C2410" s="47" t="s">
        <v>64</v>
      </c>
      <c r="D2410" s="49" t="s">
        <v>253</v>
      </c>
      <c r="E2410" s="47">
        <v>93657</v>
      </c>
      <c r="F2410" s="50"/>
      <c r="G2410" s="50" t="s">
        <v>89</v>
      </c>
      <c r="H2410" s="50">
        <v>154.41999999999999</v>
      </c>
      <c r="I2410" s="51"/>
      <c r="J2410" s="51">
        <v>6.09</v>
      </c>
      <c r="K2410" s="52">
        <f>Tabela6[[#This Row],[CONSUMO]]*Tabela6[[#This Row],[VALOR UNIT]]-Tabela6[[#This Row],[DESCONTO]]</f>
        <v>940.41779999999994</v>
      </c>
      <c r="L2410" s="53">
        <f>Tabela6[[#This Row],[CUSTO TOTAL]]/Tabela6[[#This Row],[CONSUMO]]</f>
        <v>6.09</v>
      </c>
      <c r="M2410" s="50">
        <f>Tabela6[[#This Row],[KM ATUAL]]-E2409</f>
        <v>-587871</v>
      </c>
      <c r="N2410" s="51">
        <f>Tabela6[[#This Row],[KM Rodados ]]/Tabela6[[#This Row],[CONSUMO]]</f>
        <v>-3806.9615334801197</v>
      </c>
    </row>
    <row r="2411" spans="1:14" x14ac:dyDescent="0.25">
      <c r="A2411" s="49">
        <v>7211</v>
      </c>
      <c r="B2411" s="78">
        <v>45189</v>
      </c>
      <c r="C2411" s="47" t="s">
        <v>41</v>
      </c>
      <c r="D2411" s="49" t="s">
        <v>299</v>
      </c>
      <c r="E2411" s="47">
        <v>676017</v>
      </c>
      <c r="F2411" s="50"/>
      <c r="G2411" s="50" t="s">
        <v>89</v>
      </c>
      <c r="H2411" s="50">
        <v>92</v>
      </c>
      <c r="I2411" s="51"/>
      <c r="J2411" s="51">
        <v>5.85</v>
      </c>
      <c r="K2411" s="52">
        <f>Tabela6[[#This Row],[CONSUMO]]*Tabela6[[#This Row],[VALOR UNIT]]-Tabela6[[#This Row],[DESCONTO]]</f>
        <v>538.19999999999993</v>
      </c>
      <c r="L2411" s="53">
        <f>Tabela6[[#This Row],[CUSTO TOTAL]]/Tabela6[[#This Row],[CONSUMO]]</f>
        <v>5.85</v>
      </c>
      <c r="M2411" s="50">
        <f>Tabela6[[#This Row],[KM ATUAL]]-E2372</f>
        <v>291566</v>
      </c>
      <c r="N2411" s="51">
        <f>Tabela6[[#This Row],[KM Rodados ]]/Tabela6[[#This Row],[CONSUMO]]</f>
        <v>3169.195652173913</v>
      </c>
    </row>
    <row r="2412" spans="1:14" x14ac:dyDescent="0.25">
      <c r="A2412" s="49">
        <v>7211</v>
      </c>
      <c r="B2412" s="78">
        <v>45189</v>
      </c>
      <c r="C2412" s="47" t="s">
        <v>10</v>
      </c>
      <c r="D2412" s="49" t="s">
        <v>299</v>
      </c>
      <c r="E2412" s="47">
        <v>726752</v>
      </c>
      <c r="F2412" s="50"/>
      <c r="G2412" s="50" t="s">
        <v>89</v>
      </c>
      <c r="H2412" s="50">
        <v>138</v>
      </c>
      <c r="I2412" s="51"/>
      <c r="J2412" s="51">
        <v>5.85</v>
      </c>
      <c r="K2412" s="52">
        <f>Tabela6[[#This Row],[CONSUMO]]*Tabela6[[#This Row],[VALOR UNIT]]-Tabela6[[#This Row],[DESCONTO]]</f>
        <v>807.3</v>
      </c>
      <c r="L2412" s="53">
        <f>Tabela6[[#This Row],[CUSTO TOTAL]]/Tabela6[[#This Row],[CONSUMO]]</f>
        <v>5.85</v>
      </c>
      <c r="M2412" s="50">
        <f>Tabela6[[#This Row],[KM ATUAL]]-E2353</f>
        <v>-189277</v>
      </c>
      <c r="N2412" s="51">
        <f>Tabela6[[#This Row],[KM Rodados ]]/Tabela6[[#This Row],[CONSUMO]]</f>
        <v>-1371.572463768116</v>
      </c>
    </row>
    <row r="2413" spans="1:14" x14ac:dyDescent="0.25">
      <c r="A2413" s="47">
        <v>603748</v>
      </c>
      <c r="B2413" s="78">
        <v>45189</v>
      </c>
      <c r="C2413" s="47" t="s">
        <v>301</v>
      </c>
      <c r="D2413" s="49" t="s">
        <v>275</v>
      </c>
      <c r="E2413" s="47">
        <v>1046280</v>
      </c>
      <c r="F2413" s="50"/>
      <c r="G2413" s="50" t="s">
        <v>89</v>
      </c>
      <c r="H2413" s="51">
        <v>457.86</v>
      </c>
      <c r="J2413" s="51">
        <v>6.12</v>
      </c>
      <c r="K2413" s="52">
        <f>Tabela6[[#This Row],[CONSUMO]]*Tabela6[[#This Row],[VALOR UNIT]]-Tabela6[[#This Row],[DESCONTO]]</f>
        <v>2802.1032</v>
      </c>
      <c r="L2413" s="53">
        <f>Tabela6[[#This Row],[CUSTO TOTAL]]/Tabela6[[#This Row],[CONSUMO]]</f>
        <v>6.12</v>
      </c>
      <c r="M2413" s="50">
        <f>Tabela6[[#This Row],[KM ATUAL]]-E2376</f>
        <v>944300</v>
      </c>
      <c r="N2413" s="51">
        <f>Tabela6[[#This Row],[KM Rodados ]]/Tabela6[[#This Row],[CONSUMO]]</f>
        <v>2062.4208273271306</v>
      </c>
    </row>
    <row r="2414" spans="1:14" x14ac:dyDescent="0.25">
      <c r="A2414" s="49">
        <v>7211</v>
      </c>
      <c r="B2414" s="78">
        <v>45189</v>
      </c>
      <c r="C2414" s="47" t="s">
        <v>13</v>
      </c>
      <c r="D2414" s="49" t="s">
        <v>299</v>
      </c>
      <c r="E2414" s="47">
        <v>649900</v>
      </c>
      <c r="F2414" s="50"/>
      <c r="G2414" s="50" t="s">
        <v>89</v>
      </c>
      <c r="H2414" s="50">
        <v>34</v>
      </c>
      <c r="I2414" s="51"/>
      <c r="J2414" s="51">
        <v>5.85</v>
      </c>
      <c r="K2414" s="52">
        <f>Tabela6[[#This Row],[CONSUMO]]*Tabela6[[#This Row],[VALOR UNIT]]-Tabela6[[#This Row],[DESCONTO]]</f>
        <v>198.89999999999998</v>
      </c>
      <c r="L2414" s="53">
        <f>Tabela6[[#This Row],[CUSTO TOTAL]]/Tabela6[[#This Row],[CONSUMO]]</f>
        <v>5.85</v>
      </c>
      <c r="M2414" s="50">
        <f>Tabela6[[#This Row],[KM ATUAL]]-E2396</f>
        <v>500692</v>
      </c>
      <c r="N2414" s="51">
        <f>Tabela6[[#This Row],[KM Rodados ]]/Tabela6[[#This Row],[CONSUMO]]</f>
        <v>14726.235294117647</v>
      </c>
    </row>
    <row r="2415" spans="1:14" x14ac:dyDescent="0.25">
      <c r="A2415" s="47">
        <v>900363</v>
      </c>
      <c r="B2415" s="78">
        <v>45189</v>
      </c>
      <c r="C2415" s="47" t="s">
        <v>13</v>
      </c>
      <c r="D2415" s="49" t="s">
        <v>335</v>
      </c>
      <c r="E2415" s="47">
        <v>650277</v>
      </c>
      <c r="F2415" s="50"/>
      <c r="G2415" s="50" t="s">
        <v>89</v>
      </c>
      <c r="H2415" s="50">
        <v>100.21</v>
      </c>
      <c r="I2415" s="51">
        <v>27.05</v>
      </c>
      <c r="J2415" s="51">
        <v>6.16</v>
      </c>
      <c r="K2415" s="52">
        <f>Tabela6[[#This Row],[CONSUMO]]*Tabela6[[#This Row],[VALOR UNIT]]-Tabela6[[#This Row],[DESCONTO]]</f>
        <v>590.24360000000001</v>
      </c>
      <c r="L2415" s="53">
        <f>Tabela6[[#This Row],[CUSTO TOTAL]]/Tabela6[[#This Row],[CONSUMO]]</f>
        <v>5.8900668595948513</v>
      </c>
      <c r="M2415" s="50">
        <f>Tabela6[[#This Row],[KM ATUAL]]-E2410</f>
        <v>556620</v>
      </c>
      <c r="N2415" s="51">
        <f>Tabela6[[#This Row],[KM Rodados ]]/Tabela6[[#This Row],[CONSUMO]]</f>
        <v>5554.5354755014469</v>
      </c>
    </row>
    <row r="2416" spans="1:14" x14ac:dyDescent="0.25">
      <c r="A2416" s="47">
        <v>208631</v>
      </c>
      <c r="B2416" s="78">
        <v>45189</v>
      </c>
      <c r="C2416" s="47" t="s">
        <v>14</v>
      </c>
      <c r="D2416" s="49" t="s">
        <v>262</v>
      </c>
      <c r="E2416" s="47">
        <v>295456</v>
      </c>
      <c r="F2416" s="50"/>
      <c r="G2416" s="50" t="s">
        <v>244</v>
      </c>
      <c r="H2416" s="50">
        <v>39.698999999999998</v>
      </c>
      <c r="I2416" s="51"/>
      <c r="J2416" s="51">
        <v>5.69</v>
      </c>
      <c r="K2416" s="52">
        <f>Tabela6[[#This Row],[CONSUMO]]*Tabela6[[#This Row],[VALOR UNIT]]-Tabela6[[#This Row],[DESCONTO]]</f>
        <v>225.88731000000001</v>
      </c>
      <c r="L2416" s="53">
        <f>Tabela6[[#This Row],[CUSTO TOTAL]]/Tabela6[[#This Row],[CONSUMO]]</f>
        <v>5.69</v>
      </c>
      <c r="M2416" s="50">
        <f>Tabela6[[#This Row],[KM ATUAL]]-E2403</f>
        <v>-33203</v>
      </c>
      <c r="N2416" s="51">
        <f>Tabela6[[#This Row],[KM Rodados ]]/Tabela6[[#This Row],[CONSUMO]]</f>
        <v>-836.36867427391121</v>
      </c>
    </row>
    <row r="2417" spans="1:14" x14ac:dyDescent="0.25">
      <c r="A2417" s="49">
        <v>7211</v>
      </c>
      <c r="B2417" s="78">
        <v>45189</v>
      </c>
      <c r="C2417" s="47" t="s">
        <v>19</v>
      </c>
      <c r="D2417" s="49" t="s">
        <v>299</v>
      </c>
      <c r="E2417" s="47">
        <v>327567</v>
      </c>
      <c r="F2417" s="50"/>
      <c r="G2417" s="50" t="s">
        <v>89</v>
      </c>
      <c r="H2417" s="50">
        <v>89</v>
      </c>
      <c r="I2417" s="51"/>
      <c r="J2417" s="51">
        <v>5.85</v>
      </c>
      <c r="K2417" s="52">
        <f>Tabela6[[#This Row],[CONSUMO]]*Tabela6[[#This Row],[VALOR UNIT]]-Tabela6[[#This Row],[DESCONTO]]</f>
        <v>520.65</v>
      </c>
      <c r="L2417" s="53">
        <f>Tabela6[[#This Row],[CUSTO TOTAL]]/Tabela6[[#This Row],[CONSUMO]]</f>
        <v>5.85</v>
      </c>
      <c r="M2417" s="50">
        <f>Tabela6[[#This Row],[KM ATUAL]]-E2378</f>
        <v>234381</v>
      </c>
      <c r="N2417" s="51">
        <f>Tabela6[[#This Row],[KM Rodados ]]/Tabela6[[#This Row],[CONSUMO]]</f>
        <v>2633.4943820224721</v>
      </c>
    </row>
    <row r="2418" spans="1:14" x14ac:dyDescent="0.25">
      <c r="A2418" s="47">
        <v>208780</v>
      </c>
      <c r="B2418" s="78">
        <v>45189</v>
      </c>
      <c r="C2418" s="47" t="s">
        <v>20</v>
      </c>
      <c r="D2418" s="49" t="s">
        <v>262</v>
      </c>
      <c r="E2418" s="47">
        <v>272918</v>
      </c>
      <c r="F2418" s="50"/>
      <c r="G2418" s="50" t="s">
        <v>89</v>
      </c>
      <c r="H2418" s="50">
        <v>60.94</v>
      </c>
      <c r="I2418" s="51"/>
      <c r="J2418" s="51">
        <v>6.19</v>
      </c>
      <c r="K2418" s="52">
        <f>Tabela6[[#This Row],[CONSUMO]]*Tabela6[[#This Row],[VALOR UNIT]]-Tabela6[[#This Row],[DESCONTO]]</f>
        <v>377.21860000000004</v>
      </c>
      <c r="L2418" s="53">
        <f>Tabela6[[#This Row],[CUSTO TOTAL]]/Tabela6[[#This Row],[CONSUMO]]</f>
        <v>6.1900000000000013</v>
      </c>
      <c r="M2418" s="50">
        <f>Tabela6[[#This Row],[KM ATUAL]]-E2385</f>
        <v>195764</v>
      </c>
      <c r="N2418" s="51">
        <f>Tabela6[[#This Row],[KM Rodados ]]/Tabela6[[#This Row],[CONSUMO]]</f>
        <v>3212.4056448966198</v>
      </c>
    </row>
    <row r="2419" spans="1:14" x14ac:dyDescent="0.25">
      <c r="A2419" s="47" t="s">
        <v>314</v>
      </c>
      <c r="B2419" s="78">
        <v>45189</v>
      </c>
      <c r="C2419" s="47" t="s">
        <v>20</v>
      </c>
      <c r="E2419" s="47">
        <v>273002</v>
      </c>
      <c r="F2419" s="50"/>
      <c r="G2419" s="50" t="s">
        <v>89</v>
      </c>
      <c r="H2419" s="50">
        <v>11</v>
      </c>
      <c r="I2419" s="51"/>
      <c r="K2419" s="52">
        <f>Tabela6[[#This Row],[CONSUMO]]*Tabela6[[#This Row],[VALOR UNIT]]-Tabela6[[#This Row],[DESCONTO]]</f>
        <v>0</v>
      </c>
      <c r="L2419" s="53">
        <f>Tabela6[[#This Row],[CUSTO TOTAL]]/Tabela6[[#This Row],[CONSUMO]]</f>
        <v>0</v>
      </c>
      <c r="M2419" s="50">
        <f>Tabela6[[#This Row],[KM ATUAL]]-E2406</f>
        <v>-351348</v>
      </c>
      <c r="N2419" s="51">
        <f>Tabela6[[#This Row],[KM Rodados ]]/Tabela6[[#This Row],[CONSUMO]]</f>
        <v>-31940.727272727272</v>
      </c>
    </row>
    <row r="2420" spans="1:14" x14ac:dyDescent="0.25">
      <c r="A2420" s="49">
        <v>7211</v>
      </c>
      <c r="B2420" s="78">
        <v>45189</v>
      </c>
      <c r="C2420" s="47" t="s">
        <v>23</v>
      </c>
      <c r="D2420" s="49" t="s">
        <v>299</v>
      </c>
      <c r="E2420" s="47">
        <v>246566</v>
      </c>
      <c r="F2420" s="50"/>
      <c r="G2420" s="50" t="s">
        <v>89</v>
      </c>
      <c r="H2420" s="50">
        <v>107</v>
      </c>
      <c r="I2420" s="51"/>
      <c r="J2420" s="51">
        <v>5.85</v>
      </c>
      <c r="K2420" s="52">
        <f>Tabela6[[#This Row],[CONSUMO]]*Tabela6[[#This Row],[VALOR UNIT]]-Tabela6[[#This Row],[DESCONTO]]</f>
        <v>625.94999999999993</v>
      </c>
      <c r="L2420" s="53">
        <f>Tabela6[[#This Row],[CUSTO TOTAL]]/Tabela6[[#This Row],[CONSUMO]]</f>
        <v>5.85</v>
      </c>
      <c r="M2420" s="50">
        <f>Tabela6[[#This Row],[KM ATUAL]]-E2378</f>
        <v>153380</v>
      </c>
      <c r="N2420" s="51">
        <f>Tabela6[[#This Row],[KM Rodados ]]/Tabela6[[#This Row],[CONSUMO]]</f>
        <v>1433.4579439252336</v>
      </c>
    </row>
    <row r="2421" spans="1:14" x14ac:dyDescent="0.25">
      <c r="A2421" s="47">
        <v>262777</v>
      </c>
      <c r="B2421" s="78">
        <v>45189</v>
      </c>
      <c r="C2421" s="47" t="s">
        <v>40</v>
      </c>
      <c r="D2421" s="49" t="s">
        <v>268</v>
      </c>
      <c r="E2421" s="47">
        <v>159963</v>
      </c>
      <c r="F2421" s="50"/>
      <c r="G2421" s="50" t="s">
        <v>244</v>
      </c>
      <c r="H2421" s="50">
        <v>42.51</v>
      </c>
      <c r="I2421" s="51"/>
      <c r="J2421" s="51">
        <v>5.39</v>
      </c>
      <c r="K2421" s="52">
        <f>Tabela6[[#This Row],[CONSUMO]]*Tabela6[[#This Row],[VALOR UNIT]]-Tabela6[[#This Row],[DESCONTO]]</f>
        <v>229.12889999999999</v>
      </c>
      <c r="L2421" s="53">
        <f>Tabela6[[#This Row],[CUSTO TOTAL]]/Tabela6[[#This Row],[CONSUMO]]</f>
        <v>5.39</v>
      </c>
      <c r="M2421" s="50">
        <f>Tabela6[[#This Row],[KM ATUAL]]-E2378</f>
        <v>66777</v>
      </c>
      <c r="N2421" s="51">
        <f>Tabela6[[#This Row],[KM Rodados ]]/Tabela6[[#This Row],[CONSUMO]]</f>
        <v>1570.8539167254764</v>
      </c>
    </row>
    <row r="2422" spans="1:14" x14ac:dyDescent="0.25">
      <c r="A2422" s="49">
        <v>7211</v>
      </c>
      <c r="B2422" s="78">
        <v>45190</v>
      </c>
      <c r="C2422" s="47" t="s">
        <v>39</v>
      </c>
      <c r="D2422" s="49" t="s">
        <v>299</v>
      </c>
      <c r="E2422" s="47">
        <v>102822</v>
      </c>
      <c r="F2422" s="50"/>
      <c r="G2422" s="50" t="s">
        <v>89</v>
      </c>
      <c r="H2422" s="50">
        <v>52</v>
      </c>
      <c r="I2422" s="51"/>
      <c r="J2422" s="51">
        <v>5.85</v>
      </c>
      <c r="K2422" s="52">
        <f>Tabela6[[#This Row],[CONSUMO]]*Tabela6[[#This Row],[VALOR UNIT]]-Tabela6[[#This Row],[DESCONTO]]</f>
        <v>304.2</v>
      </c>
      <c r="L2422" s="53">
        <f>Tabela6[[#This Row],[CUSTO TOTAL]]/Tabela6[[#This Row],[CONSUMO]]</f>
        <v>5.85</v>
      </c>
      <c r="M2422" s="50">
        <f>Tabela6[[#This Row],[KM ATUAL]]-E2394</f>
        <v>-8997</v>
      </c>
      <c r="N2422" s="51">
        <f>Tabela6[[#This Row],[KM Rodados ]]/Tabela6[[#This Row],[CONSUMO]]</f>
        <v>-173.01923076923077</v>
      </c>
    </row>
    <row r="2423" spans="1:14" x14ac:dyDescent="0.25">
      <c r="A2423" s="47">
        <v>7339</v>
      </c>
      <c r="B2423" s="78">
        <v>45190</v>
      </c>
      <c r="C2423" s="47" t="s">
        <v>72</v>
      </c>
      <c r="D2423" s="49" t="s">
        <v>299</v>
      </c>
      <c r="E2423" s="47">
        <v>414106</v>
      </c>
      <c r="F2423" s="50"/>
      <c r="G2423" s="50" t="s">
        <v>89</v>
      </c>
      <c r="H2423" s="50">
        <v>22</v>
      </c>
      <c r="I2423" s="51"/>
      <c r="J2423" s="51">
        <v>5.83</v>
      </c>
      <c r="K2423" s="52">
        <f>Tabela6[[#This Row],[CONSUMO]]*Tabela6[[#This Row],[VALOR UNIT]]-Tabela6[[#This Row],[DESCONTO]]</f>
        <v>128.26</v>
      </c>
      <c r="L2423" s="53">
        <f>Tabela6[[#This Row],[CUSTO TOTAL]]/Tabela6[[#This Row],[CONSUMO]]</f>
        <v>5.8299999999999992</v>
      </c>
      <c r="M2423" s="50">
        <f>Tabela6[[#This Row],[KM ATUAL]]-E2380</f>
        <v>86930</v>
      </c>
      <c r="N2423" s="51">
        <f>Tabela6[[#This Row],[KM Rodados ]]/Tabela6[[#This Row],[CONSUMO]]</f>
        <v>3951.3636363636365</v>
      </c>
    </row>
    <row r="2424" spans="1:14" x14ac:dyDescent="0.25">
      <c r="A2424" s="47">
        <v>7339</v>
      </c>
      <c r="B2424" s="78">
        <v>45190</v>
      </c>
      <c r="C2424" s="47" t="s">
        <v>73</v>
      </c>
      <c r="D2424" s="49" t="s">
        <v>299</v>
      </c>
      <c r="E2424" s="47">
        <v>150184</v>
      </c>
      <c r="F2424" s="50"/>
      <c r="G2424" s="50" t="s">
        <v>89</v>
      </c>
      <c r="H2424" s="50">
        <v>210</v>
      </c>
      <c r="I2424" s="51"/>
      <c r="J2424" s="51">
        <v>5.83</v>
      </c>
      <c r="K2424" s="52">
        <f>Tabela6[[#This Row],[CONSUMO]]*Tabela6[[#This Row],[VALOR UNIT]]-Tabela6[[#This Row],[DESCONTO]]</f>
        <v>1224.3</v>
      </c>
      <c r="L2424" s="53">
        <f>Tabela6[[#This Row],[CUSTO TOTAL]]/Tabela6[[#This Row],[CONSUMO]]</f>
        <v>5.83</v>
      </c>
      <c r="M2424" s="50">
        <f>Tabela6[[#This Row],[KM ATUAL]]-E2393</f>
        <v>-78407</v>
      </c>
      <c r="N2424" s="51">
        <f>Tabela6[[#This Row],[KM Rodados ]]/Tabela6[[#This Row],[CONSUMO]]</f>
        <v>-373.36666666666667</v>
      </c>
    </row>
    <row r="2425" spans="1:14" x14ac:dyDescent="0.25">
      <c r="A2425" s="47">
        <v>208863</v>
      </c>
      <c r="B2425" s="78">
        <v>45190</v>
      </c>
      <c r="C2425" s="47" t="s">
        <v>14</v>
      </c>
      <c r="D2425" s="49" t="s">
        <v>262</v>
      </c>
      <c r="E2425" s="47">
        <v>295796</v>
      </c>
      <c r="F2425" s="50"/>
      <c r="G2425" s="50" t="s">
        <v>244</v>
      </c>
      <c r="H2425" s="50">
        <v>23.919</v>
      </c>
      <c r="I2425" s="51"/>
      <c r="J2425" s="51">
        <v>5.69</v>
      </c>
      <c r="K2425" s="52">
        <f>Tabela6[[#This Row],[CONSUMO]]*Tabela6[[#This Row],[VALOR UNIT]]-Tabela6[[#This Row],[DESCONTO]]</f>
        <v>136.09911000000002</v>
      </c>
      <c r="L2425" s="53">
        <f>Tabela6[[#This Row],[CUSTO TOTAL]]/Tabela6[[#This Row],[CONSUMO]]</f>
        <v>5.6900000000000013</v>
      </c>
      <c r="M2425" s="50">
        <f>Tabela6[[#This Row],[KM ATUAL]]-E2412</f>
        <v>-430956</v>
      </c>
      <c r="N2425" s="51">
        <f>Tabela6[[#This Row],[KM Rodados ]]/Tabela6[[#This Row],[CONSUMO]]</f>
        <v>-18017.308415903673</v>
      </c>
    </row>
    <row r="2426" spans="1:14" x14ac:dyDescent="0.25">
      <c r="A2426" s="47">
        <v>567140</v>
      </c>
      <c r="B2426" s="78">
        <v>45190</v>
      </c>
      <c r="C2426" s="47" t="s">
        <v>18</v>
      </c>
      <c r="D2426" s="49" t="s">
        <v>255</v>
      </c>
      <c r="E2426" s="47">
        <v>328939</v>
      </c>
      <c r="F2426" s="50"/>
      <c r="G2426" s="50" t="s">
        <v>89</v>
      </c>
      <c r="H2426" s="50">
        <v>57.32</v>
      </c>
      <c r="I2426" s="51"/>
      <c r="J2426" s="51">
        <v>6.89</v>
      </c>
      <c r="K2426" s="52">
        <f>Tabela6[[#This Row],[CONSUMO]]*Tabela6[[#This Row],[VALOR UNIT]]-Tabela6[[#This Row],[DESCONTO]]</f>
        <v>394.9348</v>
      </c>
      <c r="L2426" s="53">
        <f>Tabela6[[#This Row],[CUSTO TOTAL]]/Tabela6[[#This Row],[CONSUMO]]</f>
        <v>6.89</v>
      </c>
      <c r="M2426" s="50">
        <f>Tabela6[[#This Row],[KM ATUAL]]-E2403</f>
        <v>280</v>
      </c>
      <c r="N2426" s="51">
        <f>Tabela6[[#This Row],[KM Rodados ]]/Tabela6[[#This Row],[CONSUMO]]</f>
        <v>4.8848569434752269</v>
      </c>
    </row>
    <row r="2427" spans="1:14" x14ac:dyDescent="0.25">
      <c r="A2427" s="47">
        <v>7339</v>
      </c>
      <c r="B2427" s="78">
        <v>45190</v>
      </c>
      <c r="C2427" s="47" t="s">
        <v>20</v>
      </c>
      <c r="D2427" s="49" t="s">
        <v>299</v>
      </c>
      <c r="E2427" s="47">
        <v>273346</v>
      </c>
      <c r="F2427" s="50"/>
      <c r="G2427" s="50" t="s">
        <v>89</v>
      </c>
      <c r="H2427" s="50">
        <v>41</v>
      </c>
      <c r="I2427" s="51"/>
      <c r="J2427" s="51">
        <v>5.83</v>
      </c>
      <c r="K2427" s="52">
        <f>Tabela6[[#This Row],[CONSUMO]]*Tabela6[[#This Row],[VALOR UNIT]]-Tabela6[[#This Row],[DESCONTO]]</f>
        <v>239.03</v>
      </c>
      <c r="L2427" s="53">
        <f>Tabela6[[#This Row],[CUSTO TOTAL]]/Tabela6[[#This Row],[CONSUMO]]</f>
        <v>5.83</v>
      </c>
      <c r="M2427" s="50">
        <f>Tabela6[[#This Row],[KM ATUAL]]-E2426</f>
        <v>-55593</v>
      </c>
      <c r="N2427" s="51">
        <f>Tabela6[[#This Row],[KM Rodados ]]/Tabela6[[#This Row],[CONSUMO]]</f>
        <v>-1355.9268292682927</v>
      </c>
    </row>
    <row r="2428" spans="1:14" x14ac:dyDescent="0.25">
      <c r="B2428" s="78">
        <v>45190</v>
      </c>
      <c r="C2428" s="47"/>
      <c r="E2428" s="47">
        <v>94196</v>
      </c>
      <c r="F2428" s="50"/>
      <c r="G2428" s="50" t="s">
        <v>89</v>
      </c>
      <c r="H2428" s="50">
        <v>151.30000000000001</v>
      </c>
      <c r="I2428" s="51"/>
      <c r="K2428" s="74">
        <f>Tabela6[[#This Row],[CONSUMO]]*Tabela6[[#This Row],[VALOR UNIT]]-Tabela6[[#This Row],[DESCONTO]]</f>
        <v>0</v>
      </c>
      <c r="L2428" s="53">
        <f>Tabela6[[#This Row],[CUSTO TOTAL]]/Tabela6[[#This Row],[CONSUMO]]</f>
        <v>0</v>
      </c>
      <c r="M2428" s="50">
        <f>Tabela6[[#This Row],[KM ATUAL]]-E2406</f>
        <v>-530154</v>
      </c>
      <c r="N2428" s="51">
        <f>Tabela6[[#This Row],[KM Rodados ]]/Tabela6[[#This Row],[CONSUMO]]</f>
        <v>-3503.992068737607</v>
      </c>
    </row>
    <row r="2429" spans="1:14" x14ac:dyDescent="0.25">
      <c r="A2429" s="47">
        <v>209096</v>
      </c>
      <c r="B2429" s="78">
        <v>45191</v>
      </c>
      <c r="C2429" s="47" t="s">
        <v>68</v>
      </c>
      <c r="D2429" s="49" t="s">
        <v>262</v>
      </c>
      <c r="E2429" s="47">
        <v>917706</v>
      </c>
      <c r="F2429" s="50"/>
      <c r="G2429" s="50" t="s">
        <v>89</v>
      </c>
      <c r="H2429" s="50">
        <v>342.82100000000003</v>
      </c>
      <c r="I2429" s="51"/>
      <c r="J2429" s="51">
        <v>6.19</v>
      </c>
      <c r="K2429" s="74">
        <f>Tabela6[[#This Row],[CONSUMO]]*Tabela6[[#This Row],[VALOR UNIT]]-Tabela6[[#This Row],[DESCONTO]]</f>
        <v>2122.0619900000002</v>
      </c>
      <c r="L2429" s="53">
        <f>Tabela6[[#This Row],[CUSTO TOTAL]]/Tabela6[[#This Row],[CONSUMO]]</f>
        <v>6.19</v>
      </c>
      <c r="M2429" s="50">
        <f>Tabela6[[#This Row],[KM ATUAL]]-E2390</f>
        <v>236582</v>
      </c>
      <c r="N2429" s="51">
        <f>Tabela6[[#This Row],[KM Rodados ]]/Tabela6[[#This Row],[CONSUMO]]</f>
        <v>690.10358175257636</v>
      </c>
    </row>
    <row r="2430" spans="1:14" x14ac:dyDescent="0.25">
      <c r="A2430" s="47">
        <v>7339</v>
      </c>
      <c r="B2430" s="78">
        <v>45191</v>
      </c>
      <c r="C2430" s="47" t="s">
        <v>43</v>
      </c>
      <c r="D2430" s="49" t="s">
        <v>299</v>
      </c>
      <c r="E2430" s="47">
        <v>148554</v>
      </c>
      <c r="F2430" s="50"/>
      <c r="G2430" s="50" t="s">
        <v>89</v>
      </c>
      <c r="H2430" s="50">
        <v>23</v>
      </c>
      <c r="I2430" s="51"/>
      <c r="J2430" s="51">
        <v>5.83</v>
      </c>
      <c r="K2430" s="74">
        <f>Tabela6[[#This Row],[CONSUMO]]*Tabela6[[#This Row],[VALOR UNIT]]-Tabela6[[#This Row],[DESCONTO]]</f>
        <v>134.09</v>
      </c>
      <c r="L2430" s="53">
        <f>Tabela6[[#This Row],[CUSTO TOTAL]]/Tabela6[[#This Row],[CONSUMO]]</f>
        <v>5.83</v>
      </c>
      <c r="M2430" s="50">
        <f>Tabela6[[#This Row],[KM ATUAL]]-E2407</f>
        <v>-223870</v>
      </c>
      <c r="N2430" s="51">
        <f>Tabela6[[#This Row],[KM Rodados ]]/Tabela6[[#This Row],[CONSUMO]]</f>
        <v>-9733.4782608695659</v>
      </c>
    </row>
    <row r="2431" spans="1:14" x14ac:dyDescent="0.25">
      <c r="A2431" s="47">
        <v>209271</v>
      </c>
      <c r="B2431" s="78">
        <v>45191</v>
      </c>
      <c r="C2431" s="47" t="s">
        <v>43</v>
      </c>
      <c r="D2431" s="49" t="s">
        <v>262</v>
      </c>
      <c r="E2431" s="47">
        <v>148769</v>
      </c>
      <c r="F2431" s="50"/>
      <c r="G2431" s="50" t="s">
        <v>89</v>
      </c>
      <c r="H2431" s="50">
        <v>30.709</v>
      </c>
      <c r="I2431" s="51"/>
      <c r="J2431" s="51">
        <v>6.19</v>
      </c>
      <c r="K2431" s="74">
        <f>Tabela6[[#This Row],[CONSUMO]]*Tabela6[[#This Row],[VALOR UNIT]]-Tabela6[[#This Row],[DESCONTO]]</f>
        <v>190.08871000000002</v>
      </c>
      <c r="L2431" s="53">
        <f>Tabela6[[#This Row],[CUSTO TOTAL]]/Tabela6[[#This Row],[CONSUMO]]</f>
        <v>6.19</v>
      </c>
      <c r="M2431" s="50">
        <f>Tabela6[[#This Row],[KM ATUAL]]-E2399</f>
        <v>-816157</v>
      </c>
      <c r="N2431" s="51">
        <f>Tabela6[[#This Row],[KM Rodados ]]/Tabela6[[#This Row],[CONSUMO]]</f>
        <v>-26577.127226545963</v>
      </c>
    </row>
    <row r="2432" spans="1:14" x14ac:dyDescent="0.25">
      <c r="A2432" s="47">
        <v>7339</v>
      </c>
      <c r="B2432" s="78">
        <v>45191</v>
      </c>
      <c r="C2432" s="47" t="s">
        <v>67</v>
      </c>
      <c r="D2432" s="49" t="s">
        <v>299</v>
      </c>
      <c r="E2432" s="47">
        <v>681990</v>
      </c>
      <c r="F2432" s="50"/>
      <c r="G2432" s="50" t="s">
        <v>89</v>
      </c>
      <c r="H2432" s="50">
        <v>116</v>
      </c>
      <c r="I2432" s="51"/>
      <c r="J2432" s="51">
        <v>5.83</v>
      </c>
      <c r="K2432" s="74">
        <f>Tabela6[[#This Row],[CONSUMO]]*Tabela6[[#This Row],[VALOR UNIT]]-Tabela6[[#This Row],[DESCONTO]]</f>
        <v>676.28</v>
      </c>
      <c r="L2432" s="53">
        <f>Tabela6[[#This Row],[CUSTO TOTAL]]/Tabela6[[#This Row],[CONSUMO]]</f>
        <v>5.83</v>
      </c>
      <c r="M2432" s="50">
        <f>Tabela6[[#This Row],[KM ATUAL]]-E2412</f>
        <v>-44762</v>
      </c>
      <c r="N2432" s="51">
        <f>Tabela6[[#This Row],[KM Rodados ]]/Tabela6[[#This Row],[CONSUMO]]</f>
        <v>-385.87931034482756</v>
      </c>
    </row>
    <row r="2433" spans="1:14" x14ac:dyDescent="0.25">
      <c r="A2433" s="47">
        <v>7339</v>
      </c>
      <c r="B2433" s="78">
        <v>45191</v>
      </c>
      <c r="C2433" s="47" t="s">
        <v>72</v>
      </c>
      <c r="D2433" s="49" t="s">
        <v>299</v>
      </c>
      <c r="E2433" s="47">
        <v>414547</v>
      </c>
      <c r="F2433" s="50"/>
      <c r="G2433" s="50" t="s">
        <v>89</v>
      </c>
      <c r="H2433" s="50">
        <v>49</v>
      </c>
      <c r="I2433" s="51"/>
      <c r="J2433" s="51">
        <v>5.83</v>
      </c>
      <c r="K2433" s="74">
        <f>Tabela6[[#This Row],[CONSUMO]]*Tabela6[[#This Row],[VALOR UNIT]]-Tabela6[[#This Row],[DESCONTO]]</f>
        <v>285.67</v>
      </c>
      <c r="L2433" s="53">
        <f>Tabela6[[#This Row],[CUSTO TOTAL]]/Tabela6[[#This Row],[CONSUMO]]</f>
        <v>5.83</v>
      </c>
      <c r="M2433" s="50">
        <f>Tabela6[[#This Row],[KM ATUAL]]-E2422</f>
        <v>311725</v>
      </c>
      <c r="N2433" s="51">
        <f>Tabela6[[#This Row],[KM Rodados ]]/Tabela6[[#This Row],[CONSUMO]]</f>
        <v>6361.7346938775509</v>
      </c>
    </row>
    <row r="2434" spans="1:14" x14ac:dyDescent="0.25">
      <c r="A2434" s="46">
        <v>45363</v>
      </c>
      <c r="B2434" s="78">
        <v>45191</v>
      </c>
      <c r="C2434" s="47" t="s">
        <v>64</v>
      </c>
      <c r="D2434" s="49" t="s">
        <v>253</v>
      </c>
      <c r="E2434" s="47">
        <v>94736</v>
      </c>
      <c r="F2434" s="50"/>
      <c r="G2434" s="50" t="s">
        <v>89</v>
      </c>
      <c r="H2434" s="50">
        <v>145.13</v>
      </c>
      <c r="I2434" s="51"/>
      <c r="J2434" s="51">
        <v>6.09</v>
      </c>
      <c r="K2434" s="74">
        <f>Tabela6[[#This Row],[CONSUMO]]*Tabela6[[#This Row],[VALOR UNIT]]-Tabela6[[#This Row],[DESCONTO]]</f>
        <v>883.84169999999995</v>
      </c>
      <c r="L2434" s="53">
        <f>Tabela6[[#This Row],[CUSTO TOTAL]]/Tabela6[[#This Row],[CONSUMO]]</f>
        <v>6.09</v>
      </c>
      <c r="M2434" s="50">
        <f>Tabela6[[#This Row],[KM ATUAL]]-E2433</f>
        <v>-319811</v>
      </c>
      <c r="N2434" s="51">
        <f>Tabela6[[#This Row],[KM Rodados ]]/Tabela6[[#This Row],[CONSUMO]]</f>
        <v>-2203.6174464273413</v>
      </c>
    </row>
    <row r="2435" spans="1:14" x14ac:dyDescent="0.25">
      <c r="A2435" s="47">
        <v>209254</v>
      </c>
      <c r="B2435" s="78">
        <v>45191</v>
      </c>
      <c r="C2435" s="47" t="s">
        <v>207</v>
      </c>
      <c r="D2435" s="49" t="s">
        <v>262</v>
      </c>
      <c r="E2435" s="47">
        <v>64334</v>
      </c>
      <c r="F2435" s="50"/>
      <c r="G2435" s="50" t="s">
        <v>244</v>
      </c>
      <c r="H2435" s="50">
        <v>11.691000000000001</v>
      </c>
      <c r="I2435" s="51"/>
      <c r="J2435" s="51">
        <v>5.69</v>
      </c>
      <c r="K2435" s="74">
        <f>Tabela6[[#This Row],[CONSUMO]]*Tabela6[[#This Row],[VALOR UNIT]]-Tabela6[[#This Row],[DESCONTO]]</f>
        <v>66.52179000000001</v>
      </c>
      <c r="L2435" s="53">
        <f>Tabela6[[#This Row],[CUSTO TOTAL]]/Tabela6[[#This Row],[CONSUMO]]</f>
        <v>5.69</v>
      </c>
      <c r="M2435" s="50">
        <f>Tabela6[[#This Row],[KM ATUAL]]-E1218</f>
        <v>10472</v>
      </c>
      <c r="N2435" s="51">
        <f>Tabela6[[#This Row],[KM Rodados ]]/Tabela6[[#This Row],[CONSUMO]]</f>
        <v>895.73175947309892</v>
      </c>
    </row>
    <row r="2436" spans="1:14" x14ac:dyDescent="0.25">
      <c r="A2436" s="47">
        <v>7339</v>
      </c>
      <c r="B2436" s="78">
        <v>45191</v>
      </c>
      <c r="C2436" s="47" t="s">
        <v>41</v>
      </c>
      <c r="D2436" s="49" t="s">
        <v>299</v>
      </c>
      <c r="E2436" s="47">
        <v>676356</v>
      </c>
      <c r="F2436" s="50"/>
      <c r="G2436" s="50" t="s">
        <v>89</v>
      </c>
      <c r="H2436" s="50">
        <v>74</v>
      </c>
      <c r="I2436" s="51"/>
      <c r="J2436" s="51">
        <v>5.83</v>
      </c>
      <c r="K2436" s="74">
        <f>Tabela6[[#This Row],[CONSUMO]]*Tabela6[[#This Row],[VALOR UNIT]]-Tabela6[[#This Row],[DESCONTO]]</f>
        <v>431.42</v>
      </c>
      <c r="L2436" s="53">
        <f>Tabela6[[#This Row],[CUSTO TOTAL]]/Tabela6[[#This Row],[CONSUMO]]</f>
        <v>5.83</v>
      </c>
      <c r="M2436" s="50">
        <f>Tabela6[[#This Row],[KM ATUAL]]-E2404</f>
        <v>539556</v>
      </c>
      <c r="N2436" s="51">
        <f>Tabela6[[#This Row],[KM Rodados ]]/Tabela6[[#This Row],[CONSUMO]]</f>
        <v>7291.2972972972975</v>
      </c>
    </row>
    <row r="2437" spans="1:14" x14ac:dyDescent="0.25">
      <c r="A2437" s="47">
        <v>7339</v>
      </c>
      <c r="B2437" s="78">
        <v>45191</v>
      </c>
      <c r="C2437" s="47" t="s">
        <v>10</v>
      </c>
      <c r="D2437" s="49" t="s">
        <v>299</v>
      </c>
      <c r="E2437" s="47">
        <v>727167</v>
      </c>
      <c r="F2437" s="50"/>
      <c r="G2437" s="50" t="s">
        <v>89</v>
      </c>
      <c r="H2437" s="50">
        <v>112</v>
      </c>
      <c r="I2437" s="51"/>
      <c r="J2437" s="51">
        <v>5.83</v>
      </c>
      <c r="K2437" s="74">
        <f>Tabela6[[#This Row],[CONSUMO]]*Tabela6[[#This Row],[VALOR UNIT]]-Tabela6[[#This Row],[DESCONTO]]</f>
        <v>652.96</v>
      </c>
      <c r="L2437" s="53">
        <f>Tabela6[[#This Row],[CUSTO TOTAL]]/Tabela6[[#This Row],[CONSUMO]]</f>
        <v>5.83</v>
      </c>
      <c r="M2437" s="50">
        <f>Tabela6[[#This Row],[KM ATUAL]]-E2413</f>
        <v>-319113</v>
      </c>
      <c r="N2437" s="51">
        <f>Tabela6[[#This Row],[KM Rodados ]]/Tabela6[[#This Row],[CONSUMO]]</f>
        <v>-2849.2232142857142</v>
      </c>
    </row>
    <row r="2438" spans="1:14" x14ac:dyDescent="0.25">
      <c r="A2438" s="47">
        <v>45009</v>
      </c>
      <c r="B2438" s="78">
        <v>45191</v>
      </c>
      <c r="C2438" s="47" t="s">
        <v>11</v>
      </c>
      <c r="D2438" s="49" t="s">
        <v>253</v>
      </c>
      <c r="E2438" s="47">
        <v>401176</v>
      </c>
      <c r="F2438" s="50"/>
      <c r="G2438" s="50" t="s">
        <v>89</v>
      </c>
      <c r="H2438" s="50">
        <v>106.05</v>
      </c>
      <c r="I2438" s="51"/>
      <c r="J2438" s="51">
        <v>6.09</v>
      </c>
      <c r="K2438" s="74">
        <f>Tabela6[[#This Row],[CONSUMO]]*Tabela6[[#This Row],[VALOR UNIT]]-Tabela6[[#This Row],[DESCONTO]]</f>
        <v>645.84449999999993</v>
      </c>
      <c r="L2438" s="53">
        <f>Tabela6[[#This Row],[CUSTO TOTAL]]/Tabela6[[#This Row],[CONSUMO]]</f>
        <v>6.09</v>
      </c>
      <c r="M2438" s="50">
        <f>Tabela6[[#This Row],[KM ATUAL]]-E2344</f>
        <v>362815</v>
      </c>
      <c r="N2438" s="51">
        <f>Tabela6[[#This Row],[KM Rodados ]]/Tabela6[[#This Row],[CONSUMO]]</f>
        <v>3421.1692597831211</v>
      </c>
    </row>
    <row r="2439" spans="1:14" x14ac:dyDescent="0.25">
      <c r="A2439" s="47">
        <v>45103</v>
      </c>
      <c r="B2439" s="78">
        <v>45191</v>
      </c>
      <c r="C2439" s="47" t="s">
        <v>12</v>
      </c>
      <c r="D2439" s="49" t="s">
        <v>253</v>
      </c>
      <c r="E2439" s="47">
        <v>322031</v>
      </c>
      <c r="F2439" s="50"/>
      <c r="G2439" s="50" t="s">
        <v>89</v>
      </c>
      <c r="H2439" s="50">
        <v>103.58</v>
      </c>
      <c r="I2439" s="51"/>
      <c r="J2439" s="51">
        <v>6.09</v>
      </c>
      <c r="K2439" s="74">
        <f>Tabela6[[#This Row],[CONSUMO]]*Tabela6[[#This Row],[VALOR UNIT]]-Tabela6[[#This Row],[DESCONTO]]</f>
        <v>630.80219999999997</v>
      </c>
      <c r="L2439" s="53">
        <f>Tabela6[[#This Row],[CUSTO TOTAL]]/Tabela6[[#This Row],[CONSUMO]]</f>
        <v>6.09</v>
      </c>
      <c r="M2439" s="50">
        <f>Tabela6[[#This Row],[KM ATUAL]]-E2356</f>
        <v>-358645</v>
      </c>
      <c r="N2439" s="51">
        <f>Tabela6[[#This Row],[KM Rodados ]]/Tabela6[[#This Row],[CONSUMO]]</f>
        <v>-3462.4927592199265</v>
      </c>
    </row>
    <row r="2440" spans="1:14" x14ac:dyDescent="0.25">
      <c r="A2440" s="47">
        <v>7339</v>
      </c>
      <c r="B2440" s="78">
        <v>45191</v>
      </c>
      <c r="C2440" s="47" t="s">
        <v>13</v>
      </c>
      <c r="D2440" s="49" t="s">
        <v>299</v>
      </c>
      <c r="E2440" s="47">
        <v>650877</v>
      </c>
      <c r="F2440" s="50"/>
      <c r="G2440" s="50" t="s">
        <v>89</v>
      </c>
      <c r="H2440" s="50">
        <v>115</v>
      </c>
      <c r="I2440" s="51"/>
      <c r="J2440" s="51">
        <v>5.83</v>
      </c>
      <c r="K2440" s="74">
        <f>Tabela6[[#This Row],[CONSUMO]]*Tabela6[[#This Row],[VALOR UNIT]]-Tabela6[[#This Row],[DESCONTO]]</f>
        <v>670.45</v>
      </c>
      <c r="L2440" s="53">
        <f>Tabela6[[#This Row],[CUSTO TOTAL]]/Tabela6[[#This Row],[CONSUMO]]</f>
        <v>5.83</v>
      </c>
      <c r="M2440" s="50">
        <f>Tabela6[[#This Row],[KM ATUAL]]-E2413</f>
        <v>-395403</v>
      </c>
      <c r="N2440" s="51">
        <f>Tabela6[[#This Row],[KM Rodados ]]/Tabela6[[#This Row],[CONSUMO]]</f>
        <v>-3438.2869565217393</v>
      </c>
    </row>
    <row r="2441" spans="1:14" x14ac:dyDescent="0.25">
      <c r="A2441" s="47">
        <v>209123</v>
      </c>
      <c r="B2441" s="78">
        <v>45191</v>
      </c>
      <c r="C2441" s="47" t="s">
        <v>14</v>
      </c>
      <c r="D2441" s="49" t="s">
        <v>262</v>
      </c>
      <c r="E2441" s="47">
        <v>296282</v>
      </c>
      <c r="F2441" s="50"/>
      <c r="G2441" s="50" t="s">
        <v>244</v>
      </c>
      <c r="H2441" s="50">
        <v>34.880000000000003</v>
      </c>
      <c r="I2441" s="51"/>
      <c r="J2441" s="51">
        <v>5.69</v>
      </c>
      <c r="K2441" s="74">
        <f>Tabela6[[#This Row],[CONSUMO]]*Tabela6[[#This Row],[VALOR UNIT]]-Tabela6[[#This Row],[DESCONTO]]</f>
        <v>198.46720000000002</v>
      </c>
      <c r="L2441" s="53">
        <f>Tabela6[[#This Row],[CUSTO TOTAL]]/Tabela6[[#This Row],[CONSUMO]]</f>
        <v>5.69</v>
      </c>
      <c r="M2441" s="50">
        <f>Tabela6[[#This Row],[KM ATUAL]]-E2418</f>
        <v>23364</v>
      </c>
      <c r="N2441" s="51">
        <f>Tabela6[[#This Row],[KM Rodados ]]/Tabela6[[#This Row],[CONSUMO]]</f>
        <v>669.83944954128435</v>
      </c>
    </row>
    <row r="2442" spans="1:14" x14ac:dyDescent="0.25">
      <c r="A2442" s="47">
        <v>209142</v>
      </c>
      <c r="B2442" s="78">
        <v>45191</v>
      </c>
      <c r="C2442" s="47" t="s">
        <v>19</v>
      </c>
      <c r="D2442" s="49" t="s">
        <v>262</v>
      </c>
      <c r="F2442" s="50"/>
      <c r="G2442" s="50" t="s">
        <v>241</v>
      </c>
      <c r="H2442" s="50">
        <v>21.472999999999999</v>
      </c>
      <c r="I2442" s="51">
        <v>7.73</v>
      </c>
      <c r="J2442" s="51">
        <v>3.69</v>
      </c>
      <c r="K2442" s="74">
        <f>Tabela6[[#This Row],[CONSUMO]]*Tabela6[[#This Row],[VALOR UNIT]]-Tabela6[[#This Row],[DESCONTO]]</f>
        <v>71.505369999999985</v>
      </c>
      <c r="L2442" s="53">
        <f>Tabela6[[#This Row],[CUSTO TOTAL]]/Tabela6[[#This Row],[CONSUMO]]</f>
        <v>3.3300130396311642</v>
      </c>
      <c r="M2442" s="50"/>
      <c r="N2442" s="49"/>
    </row>
    <row r="2443" spans="1:14" x14ac:dyDescent="0.25">
      <c r="A2443" s="47">
        <v>7339</v>
      </c>
      <c r="B2443" s="78">
        <v>45191</v>
      </c>
      <c r="C2443" s="47" t="s">
        <v>19</v>
      </c>
      <c r="D2443" s="49" t="s">
        <v>299</v>
      </c>
      <c r="E2443" s="47">
        <v>328117</v>
      </c>
      <c r="F2443" s="50"/>
      <c r="G2443" s="50" t="s">
        <v>89</v>
      </c>
      <c r="H2443" s="50">
        <v>106</v>
      </c>
      <c r="I2443" s="51"/>
      <c r="J2443" s="51">
        <v>5.83</v>
      </c>
      <c r="K2443" s="74">
        <f>Tabela6[[#This Row],[CONSUMO]]*Tabela6[[#This Row],[VALOR UNIT]]-Tabela6[[#This Row],[DESCONTO]]</f>
        <v>617.98</v>
      </c>
      <c r="L2443" s="53">
        <f>Tabela6[[#This Row],[CUSTO TOTAL]]/Tabela6[[#This Row],[CONSUMO]]</f>
        <v>5.83</v>
      </c>
      <c r="M2443" s="50">
        <f>Tabela6[[#This Row],[KM ATUAL]]-E2426</f>
        <v>-822</v>
      </c>
      <c r="N2443" s="51">
        <f>Tabela6[[#This Row],[KM Rodados ]]/Tabela6[[#This Row],[CONSUMO]]</f>
        <v>-7.7547169811320753</v>
      </c>
    </row>
    <row r="2444" spans="1:14" x14ac:dyDescent="0.25">
      <c r="A2444" s="47">
        <v>7339</v>
      </c>
      <c r="B2444" s="78">
        <v>45191</v>
      </c>
      <c r="C2444" s="47" t="s">
        <v>74</v>
      </c>
      <c r="D2444" s="49" t="s">
        <v>299</v>
      </c>
      <c r="E2444" s="47">
        <v>77917</v>
      </c>
      <c r="F2444" s="50"/>
      <c r="G2444" s="50" t="s">
        <v>89</v>
      </c>
      <c r="H2444" s="50">
        <v>96</v>
      </c>
      <c r="I2444" s="51"/>
      <c r="J2444" s="51">
        <v>5.83</v>
      </c>
      <c r="K2444" s="74">
        <f>Tabela6[[#This Row],[CONSUMO]]*Tabela6[[#This Row],[VALOR UNIT]]-Tabela6[[#This Row],[DESCONTO]]</f>
        <v>559.68000000000006</v>
      </c>
      <c r="L2444" s="53">
        <f>Tabela6[[#This Row],[CUSTO TOTAL]]/Tabela6[[#This Row],[CONSUMO]]</f>
        <v>5.830000000000001</v>
      </c>
      <c r="M2444" s="50">
        <f>Tabela6[[#This Row],[KM ATUAL]]-E2391</f>
        <v>-258751</v>
      </c>
      <c r="N2444" s="51">
        <f>Tabela6[[#This Row],[KM Rodados ]]/Tabela6[[#This Row],[CONSUMO]]</f>
        <v>-2695.3229166666665</v>
      </c>
    </row>
    <row r="2445" spans="1:14" x14ac:dyDescent="0.25">
      <c r="A2445" s="47">
        <v>209133</v>
      </c>
      <c r="B2445" s="78">
        <v>45191</v>
      </c>
      <c r="C2445" s="47" t="s">
        <v>74</v>
      </c>
      <c r="D2445" s="49" t="s">
        <v>262</v>
      </c>
      <c r="E2445" s="47">
        <v>77939</v>
      </c>
      <c r="F2445" s="50"/>
      <c r="G2445" s="50" t="s">
        <v>241</v>
      </c>
      <c r="H2445" s="50">
        <v>5.1630000000000003</v>
      </c>
      <c r="I2445" s="51">
        <v>1.86</v>
      </c>
      <c r="J2445" s="51">
        <v>3.69</v>
      </c>
      <c r="K2445" s="74">
        <f>Tabela6[[#This Row],[CONSUMO]]*Tabela6[[#This Row],[VALOR UNIT]]-Tabela6[[#This Row],[DESCONTO]]</f>
        <v>17.191470000000002</v>
      </c>
      <c r="L2445" s="53">
        <f>Tabela6[[#This Row],[CUSTO TOTAL]]/Tabela6[[#This Row],[CONSUMO]]</f>
        <v>3.3297443346891344</v>
      </c>
      <c r="M2445" s="50"/>
      <c r="N2445" s="49"/>
    </row>
    <row r="2446" spans="1:14" x14ac:dyDescent="0.25">
      <c r="A2446" s="47" t="s">
        <v>314</v>
      </c>
      <c r="B2446" s="78">
        <v>45193</v>
      </c>
      <c r="C2446" s="47" t="s">
        <v>19</v>
      </c>
      <c r="E2446" s="47">
        <v>329110</v>
      </c>
      <c r="F2446" s="50"/>
      <c r="G2446" s="50" t="s">
        <v>89</v>
      </c>
      <c r="H2446" s="51">
        <v>154</v>
      </c>
      <c r="K2446" s="74">
        <f>Tabela6[[#This Row],[CONSUMO]]*Tabela6[[#This Row],[VALOR UNIT]]-Tabela6[[#This Row],[DESCONTO]]</f>
        <v>0</v>
      </c>
      <c r="L2446" s="53">
        <f>Tabela6[[#This Row],[CUSTO TOTAL]]/Tabela6[[#This Row],[CONSUMO]]</f>
        <v>0</v>
      </c>
      <c r="M2446" s="50">
        <f>Tabela6[[#This Row],[KM ATUAL]]-E2411</f>
        <v>-346907</v>
      </c>
      <c r="N2446" s="51">
        <f>Tabela6[[#This Row],[KM Rodados ]]/Tabela6[[#This Row],[CONSUMO]]</f>
        <v>-2252.6428571428573</v>
      </c>
    </row>
    <row r="2447" spans="1:14" x14ac:dyDescent="0.25">
      <c r="A2447" s="47">
        <v>362119</v>
      </c>
      <c r="B2447" s="78">
        <v>45193</v>
      </c>
      <c r="C2447" s="47" t="s">
        <v>23</v>
      </c>
      <c r="D2447" s="49" t="s">
        <v>237</v>
      </c>
      <c r="E2447" s="47">
        <v>246900</v>
      </c>
      <c r="F2447" s="50"/>
      <c r="G2447" s="50" t="s">
        <v>89</v>
      </c>
      <c r="H2447" s="50">
        <v>48.002000000000002</v>
      </c>
      <c r="I2447" s="51"/>
      <c r="J2447" s="51">
        <v>5.99</v>
      </c>
      <c r="K2447" s="74">
        <f>Tabela6[[#This Row],[CONSUMO]]*Tabela6[[#This Row],[VALOR UNIT]]-Tabela6[[#This Row],[DESCONTO]]</f>
        <v>287.53198000000003</v>
      </c>
      <c r="L2447" s="53">
        <f>Tabela6[[#This Row],[CUSTO TOTAL]]/Tabela6[[#This Row],[CONSUMO]]</f>
        <v>5.99</v>
      </c>
      <c r="M2447" s="50">
        <f>Tabela6[[#This Row],[KM ATUAL]]-E2419</f>
        <v>-26102</v>
      </c>
      <c r="N2447" s="51">
        <f>Tabela6[[#This Row],[KM Rodados ]]/Tabela6[[#This Row],[CONSUMO]]</f>
        <v>-543.76900962459899</v>
      </c>
    </row>
    <row r="2448" spans="1:14" x14ac:dyDescent="0.25">
      <c r="A2448" s="47">
        <v>7339</v>
      </c>
      <c r="B2448" s="78">
        <v>45194</v>
      </c>
      <c r="C2448" s="47" t="s">
        <v>43</v>
      </c>
      <c r="D2448" s="49" t="s">
        <v>299</v>
      </c>
      <c r="E2448" s="47">
        <v>149143</v>
      </c>
      <c r="F2448" s="50"/>
      <c r="G2448" s="50" t="s">
        <v>89</v>
      </c>
      <c r="H2448" s="50">
        <v>46</v>
      </c>
      <c r="I2448" s="51"/>
      <c r="J2448" s="51">
        <v>5.83</v>
      </c>
      <c r="K2448" s="74">
        <f>Tabela6[[#This Row],[CONSUMO]]*Tabela6[[#This Row],[VALOR UNIT]]-Tabela6[[#This Row],[DESCONTO]]</f>
        <v>268.18</v>
      </c>
      <c r="L2448" s="53">
        <f>Tabela6[[#This Row],[CUSTO TOTAL]]/Tabela6[[#This Row],[CONSUMO]]</f>
        <v>5.83</v>
      </c>
      <c r="M2448" s="50">
        <f>Tabela6[[#This Row],[KM ATUAL]]-E2440</f>
        <v>-501734</v>
      </c>
      <c r="N2448" s="51">
        <f>Tabela6[[#This Row],[KM Rodados ]]/Tabela6[[#This Row],[CONSUMO]]</f>
        <v>-10907.260869565218</v>
      </c>
    </row>
    <row r="2449" spans="1:14" x14ac:dyDescent="0.25">
      <c r="A2449" s="47">
        <v>669580</v>
      </c>
      <c r="B2449" s="78">
        <v>45194</v>
      </c>
      <c r="C2449" s="47" t="s">
        <v>43</v>
      </c>
      <c r="D2449" s="49" t="s">
        <v>271</v>
      </c>
      <c r="E2449" s="47">
        <v>149292</v>
      </c>
      <c r="F2449" s="50"/>
      <c r="G2449" s="50" t="s">
        <v>89</v>
      </c>
      <c r="H2449" s="50">
        <v>20.13</v>
      </c>
      <c r="I2449" s="51"/>
      <c r="J2449" s="51">
        <v>5.99</v>
      </c>
      <c r="K2449" s="74">
        <f>Tabela6[[#This Row],[CONSUMO]]*Tabela6[[#This Row],[VALOR UNIT]]-Tabela6[[#This Row],[DESCONTO]]</f>
        <v>120.5787</v>
      </c>
      <c r="L2449" s="53">
        <f>Tabela6[[#This Row],[CUSTO TOTAL]]/Tabela6[[#This Row],[CONSUMO]]</f>
        <v>5.99</v>
      </c>
      <c r="M2449" s="50">
        <f>Tabela6[[#This Row],[KM ATUAL]]-E2448</f>
        <v>149</v>
      </c>
      <c r="N2449" s="51">
        <f>Tabela6[[#This Row],[KM Rodados ]]/Tabela6[[#This Row],[CONSUMO]]</f>
        <v>7.4018877297565826</v>
      </c>
    </row>
    <row r="2450" spans="1:14" x14ac:dyDescent="0.25">
      <c r="A2450" s="47">
        <v>7339</v>
      </c>
      <c r="B2450" s="78">
        <v>45194</v>
      </c>
      <c r="C2450" s="47" t="s">
        <v>222</v>
      </c>
      <c r="D2450" s="49" t="s">
        <v>299</v>
      </c>
      <c r="E2450" s="47">
        <v>504121</v>
      </c>
      <c r="F2450" s="50"/>
      <c r="G2450" s="50" t="s">
        <v>89</v>
      </c>
      <c r="H2450" s="50">
        <v>452</v>
      </c>
      <c r="I2450" s="51"/>
      <c r="J2450" s="51">
        <v>5.83</v>
      </c>
      <c r="K2450" s="74">
        <f>Tabela6[[#This Row],[CONSUMO]]*Tabela6[[#This Row],[VALOR UNIT]]-Tabela6[[#This Row],[DESCONTO]]</f>
        <v>2635.16</v>
      </c>
      <c r="L2450" s="53">
        <f>Tabela6[[#This Row],[CUSTO TOTAL]]/Tabela6[[#This Row],[CONSUMO]]</f>
        <v>5.83</v>
      </c>
      <c r="M2450" s="50">
        <f>Tabela6[[#This Row],[KM ATUAL]]-E2386</f>
        <v>-412801</v>
      </c>
      <c r="N2450" s="51">
        <f>Tabela6[[#This Row],[KM Rodados ]]/Tabela6[[#This Row],[CONSUMO]]</f>
        <v>-913.27654867256638</v>
      </c>
    </row>
    <row r="2451" spans="1:14" x14ac:dyDescent="0.25">
      <c r="A2451" s="47">
        <v>143595</v>
      </c>
      <c r="B2451" s="78">
        <v>45194</v>
      </c>
      <c r="C2451" s="47" t="s">
        <v>215</v>
      </c>
      <c r="D2451" s="49" t="s">
        <v>263</v>
      </c>
      <c r="E2451" s="47">
        <v>228596</v>
      </c>
      <c r="F2451" s="50"/>
      <c r="G2451" s="50" t="s">
        <v>244</v>
      </c>
      <c r="H2451" s="50">
        <v>38.970999999999997</v>
      </c>
      <c r="I2451" s="51"/>
      <c r="J2451" s="51">
        <v>5.74</v>
      </c>
      <c r="K2451" s="74">
        <f>Tabela6[[#This Row],[CONSUMO]]*Tabela6[[#This Row],[VALOR UNIT]]-Tabela6[[#This Row],[DESCONTO]]</f>
        <v>223.69353999999998</v>
      </c>
      <c r="L2451" s="53">
        <f>Tabela6[[#This Row],[CUSTO TOTAL]]/Tabela6[[#This Row],[CONSUMO]]</f>
        <v>5.74</v>
      </c>
      <c r="M2451" s="50">
        <f>Tabela6[[#This Row],[KM ATUAL]]-E2269</f>
        <v>71382</v>
      </c>
      <c r="N2451" s="51">
        <f>Tabela6[[#This Row],[KM Rodados ]]/Tabela6[[#This Row],[CONSUMO]]</f>
        <v>1831.6697031125711</v>
      </c>
    </row>
    <row r="2452" spans="1:14" x14ac:dyDescent="0.25">
      <c r="A2452" s="47">
        <v>7339</v>
      </c>
      <c r="B2452" s="78">
        <v>45194</v>
      </c>
      <c r="C2452" s="47" t="s">
        <v>22</v>
      </c>
      <c r="D2452" s="49" t="s">
        <v>299</v>
      </c>
      <c r="E2452" s="47">
        <v>337221</v>
      </c>
      <c r="F2452" s="50"/>
      <c r="G2452" s="50" t="s">
        <v>89</v>
      </c>
      <c r="H2452" s="50">
        <v>135</v>
      </c>
      <c r="I2452" s="51"/>
      <c r="J2452" s="51">
        <v>5.83</v>
      </c>
      <c r="K2452" s="74">
        <f>Tabela6[[#This Row],[CONSUMO]]*Tabela6[[#This Row],[VALOR UNIT]]-Tabela6[[#This Row],[DESCONTO]]</f>
        <v>787.05</v>
      </c>
      <c r="L2452" s="53">
        <f>Tabela6[[#This Row],[CUSTO TOTAL]]/Tabela6[[#This Row],[CONSUMO]]</f>
        <v>5.83</v>
      </c>
      <c r="M2452" s="50">
        <f>Tabela6[[#This Row],[KM ATUAL]]-E2385</f>
        <v>260067</v>
      </c>
      <c r="N2452" s="51">
        <f>Tabela6[[#This Row],[KM Rodados ]]/Tabela6[[#This Row],[CONSUMO]]</f>
        <v>1926.4222222222222</v>
      </c>
    </row>
    <row r="2453" spans="1:14" x14ac:dyDescent="0.25">
      <c r="A2453" s="47">
        <v>180769</v>
      </c>
      <c r="B2453" s="78">
        <v>45194</v>
      </c>
      <c r="C2453" s="47" t="s">
        <v>39</v>
      </c>
      <c r="D2453" s="49" t="s">
        <v>261</v>
      </c>
      <c r="E2453" s="47">
        <v>103400</v>
      </c>
      <c r="F2453" s="50"/>
      <c r="G2453" s="50" t="s">
        <v>89</v>
      </c>
      <c r="H2453" s="50">
        <v>99.734999999999999</v>
      </c>
      <c r="I2453" s="51"/>
      <c r="J2453" s="51">
        <v>5.99</v>
      </c>
      <c r="K2453" s="74">
        <f>Tabela6[[#This Row],[CONSUMO]]*Tabela6[[#This Row],[VALOR UNIT]]-Tabela6[[#This Row],[DESCONTO]]</f>
        <v>597.41264999999999</v>
      </c>
      <c r="L2453" s="53">
        <f>Tabela6[[#This Row],[CUSTO TOTAL]]/Tabela6[[#This Row],[CONSUMO]]</f>
        <v>5.99</v>
      </c>
      <c r="M2453" s="50">
        <f>Tabela6[[#This Row],[KM ATUAL]]-E2416</f>
        <v>-192056</v>
      </c>
      <c r="N2453" s="51">
        <f>Tabela6[[#This Row],[KM Rodados ]]/Tabela6[[#This Row],[CONSUMO]]</f>
        <v>-1925.6630069684663</v>
      </c>
    </row>
    <row r="2454" spans="1:14" x14ac:dyDescent="0.25">
      <c r="A2454" s="47">
        <v>7339</v>
      </c>
      <c r="B2454" s="78">
        <v>45194</v>
      </c>
      <c r="C2454" s="47" t="s">
        <v>39</v>
      </c>
      <c r="D2454" s="49" t="s">
        <v>299</v>
      </c>
      <c r="E2454" s="47">
        <v>103805</v>
      </c>
      <c r="F2454" s="50"/>
      <c r="G2454" s="50" t="s">
        <v>89</v>
      </c>
      <c r="H2454" s="50">
        <v>56</v>
      </c>
      <c r="I2454" s="51"/>
      <c r="J2454" s="51">
        <v>5.83</v>
      </c>
      <c r="K2454" s="74">
        <f>Tabela6[[#This Row],[CONSUMO]]*Tabela6[[#This Row],[VALOR UNIT]]-Tabela6[[#This Row],[DESCONTO]]</f>
        <v>326.48</v>
      </c>
      <c r="L2454" s="53">
        <f>Tabela6[[#This Row],[CUSTO TOTAL]]/Tabela6[[#This Row],[CONSUMO]]</f>
        <v>5.83</v>
      </c>
      <c r="M2454" s="50">
        <f>Tabela6[[#This Row],[KM ATUAL]]-E2453</f>
        <v>405</v>
      </c>
      <c r="N2454" s="51">
        <f>Tabela6[[#This Row],[KM Rodados ]]/Tabela6[[#This Row],[CONSUMO]]</f>
        <v>7.2321428571428568</v>
      </c>
    </row>
    <row r="2455" spans="1:14" x14ac:dyDescent="0.25">
      <c r="A2455" s="47">
        <v>209826</v>
      </c>
      <c r="B2455" s="78">
        <v>45194</v>
      </c>
      <c r="C2455" s="47" t="s">
        <v>203</v>
      </c>
      <c r="D2455" s="49" t="s">
        <v>262</v>
      </c>
      <c r="E2455" s="47">
        <v>112517</v>
      </c>
      <c r="F2455" s="50"/>
      <c r="G2455" s="50" t="s">
        <v>244</v>
      </c>
      <c r="H2455" s="50">
        <v>53.56</v>
      </c>
      <c r="I2455" s="51"/>
      <c r="J2455" s="51">
        <v>5.69</v>
      </c>
      <c r="K2455" s="74">
        <f>Tabela6[[#This Row],[CONSUMO]]*Tabela6[[#This Row],[VALOR UNIT]]-Tabela6[[#This Row],[DESCONTO]]</f>
        <v>304.75640000000004</v>
      </c>
      <c r="L2455" s="53">
        <f>Tabela6[[#This Row],[CUSTO TOTAL]]/Tabela6[[#This Row],[CONSUMO]]</f>
        <v>5.69</v>
      </c>
      <c r="M2455" s="50">
        <f>Tabela6[[#This Row],[KM ATUAL]]-E2397</f>
        <v>-36691</v>
      </c>
      <c r="N2455" s="51">
        <f>Tabela6[[#This Row],[KM Rodados ]]/Tabela6[[#This Row],[CONSUMO]]</f>
        <v>-685.04480955937265</v>
      </c>
    </row>
    <row r="2456" spans="1:14" x14ac:dyDescent="0.25">
      <c r="A2456" s="47">
        <v>209925</v>
      </c>
      <c r="B2456" s="78">
        <v>45194</v>
      </c>
      <c r="C2456" s="47" t="s">
        <v>72</v>
      </c>
      <c r="D2456" s="49" t="s">
        <v>262</v>
      </c>
      <c r="E2456" s="47">
        <v>414674</v>
      </c>
      <c r="F2456" s="50"/>
      <c r="G2456" s="50" t="s">
        <v>89</v>
      </c>
      <c r="H2456" s="50">
        <v>16.510999999999999</v>
      </c>
      <c r="I2456" s="51"/>
      <c r="J2456" s="51">
        <v>6.19</v>
      </c>
      <c r="K2456" s="74">
        <f>Tabela6[[#This Row],[CONSUMO]]*Tabela6[[#This Row],[VALOR UNIT]]-Tabela6[[#This Row],[DESCONTO]]</f>
        <v>102.20309</v>
      </c>
      <c r="L2456" s="53">
        <f>Tabela6[[#This Row],[CUSTO TOTAL]]/Tabela6[[#This Row],[CONSUMO]]</f>
        <v>6.19</v>
      </c>
      <c r="M2456" s="50">
        <f>Tabela6[[#This Row],[KM ATUAL]]-E2430</f>
        <v>266120</v>
      </c>
      <c r="N2456" s="51">
        <f>Tabela6[[#This Row],[KM Rodados ]]/Tabela6[[#This Row],[CONSUMO]]</f>
        <v>16117.739688692387</v>
      </c>
    </row>
    <row r="2457" spans="1:14" x14ac:dyDescent="0.25">
      <c r="A2457" s="47" t="s">
        <v>314</v>
      </c>
      <c r="B2457" s="78">
        <v>45194</v>
      </c>
      <c r="C2457" s="47" t="s">
        <v>72</v>
      </c>
      <c r="E2457" s="47">
        <v>414985</v>
      </c>
      <c r="G2457" s="50" t="s">
        <v>89</v>
      </c>
      <c r="H2457" s="51">
        <v>36.5</v>
      </c>
      <c r="K2457" s="74">
        <f>Tabela6[[#This Row],[CONSUMO]]*Tabela6[[#This Row],[VALOR UNIT]]-Tabela6[[#This Row],[DESCONTO]]</f>
        <v>0</v>
      </c>
      <c r="L2457" s="53">
        <f>Tabela6[[#This Row],[CUSTO TOTAL]]/Tabela6[[#This Row],[CONSUMO]]</f>
        <v>0</v>
      </c>
      <c r="M2457" s="50">
        <f>Tabela6[[#This Row],[KM ATUAL]]-E2446</f>
        <v>85875</v>
      </c>
      <c r="N2457" s="51">
        <f>Tabela6[[#This Row],[KM Rodados ]]/Tabela6[[#This Row],[CONSUMO]]</f>
        <v>2352.7397260273974</v>
      </c>
    </row>
    <row r="2458" spans="1:14" x14ac:dyDescent="0.25">
      <c r="A2458" s="47" t="s">
        <v>314</v>
      </c>
      <c r="B2458" s="78">
        <v>45194</v>
      </c>
      <c r="C2458" s="47" t="s">
        <v>73</v>
      </c>
      <c r="E2458" s="47">
        <v>150992</v>
      </c>
      <c r="G2458" s="50" t="s">
        <v>89</v>
      </c>
      <c r="H2458" s="51">
        <v>156</v>
      </c>
      <c r="K2458" s="74">
        <f>Tabela6[[#This Row],[CONSUMO]]*Tabela6[[#This Row],[VALOR UNIT]]-Tabela6[[#This Row],[DESCONTO]]</f>
        <v>0</v>
      </c>
      <c r="L2458" s="53">
        <f>Tabela6[[#This Row],[CUSTO TOTAL]]/Tabela6[[#This Row],[CONSUMO]]</f>
        <v>0</v>
      </c>
      <c r="M2458" s="50">
        <f>Tabela6[[#This Row],[KM ATUAL]]-E2369</f>
        <v>-7957</v>
      </c>
      <c r="N2458" s="51">
        <f>Tabela6[[#This Row],[KM Rodados ]]/Tabela6[[#This Row],[CONSUMO]]</f>
        <v>-51.006410256410255</v>
      </c>
    </row>
    <row r="2459" spans="1:14" x14ac:dyDescent="0.25">
      <c r="A2459" s="47">
        <v>7339</v>
      </c>
      <c r="B2459" s="78">
        <v>45194</v>
      </c>
      <c r="C2459" s="47" t="s">
        <v>64</v>
      </c>
      <c r="D2459" s="49" t="s">
        <v>299</v>
      </c>
      <c r="E2459" s="47">
        <v>94927</v>
      </c>
      <c r="F2459" s="50"/>
      <c r="G2459" s="50" t="s">
        <v>89</v>
      </c>
      <c r="H2459" s="50">
        <v>73</v>
      </c>
      <c r="I2459" s="51"/>
      <c r="J2459" s="51">
        <v>5.83</v>
      </c>
      <c r="K2459" s="74">
        <f>Tabela6[[#This Row],[CONSUMO]]*Tabela6[[#This Row],[VALOR UNIT]]-Tabela6[[#This Row],[DESCONTO]]</f>
        <v>425.59000000000003</v>
      </c>
      <c r="L2459" s="53">
        <f>Tabela6[[#This Row],[CUSTO TOTAL]]/Tabela6[[#This Row],[CONSUMO]]</f>
        <v>5.83</v>
      </c>
      <c r="M2459" s="50">
        <f>Tabela6[[#This Row],[KM ATUAL]]-E2434</f>
        <v>191</v>
      </c>
      <c r="N2459" s="51">
        <f>Tabela6[[#This Row],[KM Rodados ]]/Tabela6[[#This Row],[CONSUMO]]</f>
        <v>2.6164383561643834</v>
      </c>
    </row>
    <row r="2460" spans="1:14" x14ac:dyDescent="0.25">
      <c r="A2460" s="47">
        <v>266349</v>
      </c>
      <c r="B2460" s="78">
        <v>45194</v>
      </c>
      <c r="C2460" s="47" t="s">
        <v>21</v>
      </c>
      <c r="D2460" s="49" t="s">
        <v>268</v>
      </c>
      <c r="E2460" s="47">
        <v>155436</v>
      </c>
      <c r="F2460" s="50"/>
      <c r="G2460" s="50" t="s">
        <v>89</v>
      </c>
      <c r="H2460" s="50">
        <v>153</v>
      </c>
      <c r="I2460" s="51"/>
      <c r="J2460" s="51">
        <v>5.99</v>
      </c>
      <c r="K2460" s="74">
        <f>Tabela6[[#This Row],[CONSUMO]]*Tabela6[[#This Row],[VALOR UNIT]]-Tabela6[[#This Row],[DESCONTO]]</f>
        <v>916.47</v>
      </c>
      <c r="L2460" s="53">
        <f>Tabela6[[#This Row],[CUSTO TOTAL]]/Tabela6[[#This Row],[CONSUMO]]</f>
        <v>5.99</v>
      </c>
      <c r="M2460" s="50">
        <f>Tabela6[[#This Row],[KM ATUAL]]-E2299</f>
        <v>-170524</v>
      </c>
      <c r="N2460" s="51">
        <f>Tabela6[[#This Row],[KM Rodados ]]/Tabela6[[#This Row],[CONSUMO]]</f>
        <v>-1114.5359477124182</v>
      </c>
    </row>
    <row r="2461" spans="1:14" x14ac:dyDescent="0.25">
      <c r="A2461" s="47">
        <v>7339</v>
      </c>
      <c r="B2461" s="78">
        <v>45194</v>
      </c>
      <c r="C2461" s="47" t="s">
        <v>13</v>
      </c>
      <c r="D2461" s="49" t="s">
        <v>299</v>
      </c>
      <c r="E2461" s="47">
        <v>651196</v>
      </c>
      <c r="F2461" s="50"/>
      <c r="G2461" s="50" t="s">
        <v>89</v>
      </c>
      <c r="H2461" s="50">
        <v>82</v>
      </c>
      <c r="I2461" s="51"/>
      <c r="J2461" s="51">
        <v>5.83</v>
      </c>
      <c r="K2461" s="74">
        <f>Tabela6[[#This Row],[CONSUMO]]*Tabela6[[#This Row],[VALOR UNIT]]-Tabela6[[#This Row],[DESCONTO]]</f>
        <v>478.06</v>
      </c>
      <c r="L2461" s="53">
        <f>Tabela6[[#This Row],[CUSTO TOTAL]]/Tabela6[[#This Row],[CONSUMO]]</f>
        <v>5.83</v>
      </c>
      <c r="M2461" s="50">
        <f>Tabela6[[#This Row],[KM ATUAL]]-E2444</f>
        <v>573279</v>
      </c>
      <c r="N2461" s="51">
        <f>Tabela6[[#This Row],[KM Rodados ]]/Tabela6[[#This Row],[CONSUMO]]</f>
        <v>6991.207317073171</v>
      </c>
    </row>
    <row r="2462" spans="1:14" x14ac:dyDescent="0.25">
      <c r="A2462" s="47">
        <v>242666</v>
      </c>
      <c r="B2462" s="78">
        <v>45194</v>
      </c>
      <c r="C2462" s="47" t="s">
        <v>13</v>
      </c>
      <c r="D2462" s="49" t="s">
        <v>335</v>
      </c>
      <c r="E2462" s="47">
        <v>651650</v>
      </c>
      <c r="F2462" s="50"/>
      <c r="G2462" s="50" t="s">
        <v>89</v>
      </c>
      <c r="H2462" s="50">
        <v>84.8</v>
      </c>
      <c r="I2462" s="51">
        <v>27.13</v>
      </c>
      <c r="J2462" s="51">
        <v>6.16</v>
      </c>
      <c r="K2462" s="74">
        <f>Tabela6[[#This Row],[CONSUMO]]*Tabela6[[#This Row],[VALOR UNIT]]-Tabela6[[#This Row],[DESCONTO]]</f>
        <v>495.23799999999994</v>
      </c>
      <c r="L2462" s="53">
        <f>Tabela6[[#This Row],[CUSTO TOTAL]]/Tabela6[[#This Row],[CONSUMO]]</f>
        <v>5.8400707547169803</v>
      </c>
      <c r="M2462" s="50">
        <f>Tabela6[[#This Row],[KM ATUAL]]-E2459</f>
        <v>556723</v>
      </c>
      <c r="N2462" s="51">
        <f>Tabela6[[#This Row],[KM Rodados ]]/Tabela6[[#This Row],[CONSUMO]]</f>
        <v>6565.1297169811323</v>
      </c>
    </row>
    <row r="2463" spans="1:14" x14ac:dyDescent="0.25">
      <c r="A2463" s="47">
        <v>24267</v>
      </c>
      <c r="B2463" s="78">
        <v>45194</v>
      </c>
      <c r="C2463" s="47" t="s">
        <v>13</v>
      </c>
      <c r="D2463" s="49" t="s">
        <v>335</v>
      </c>
      <c r="E2463" s="47">
        <v>651650</v>
      </c>
      <c r="F2463" s="50"/>
      <c r="G2463" s="50" t="s">
        <v>241</v>
      </c>
      <c r="H2463" s="50">
        <v>20.41</v>
      </c>
      <c r="I2463" s="51"/>
      <c r="J2463" s="51">
        <v>3.45</v>
      </c>
      <c r="K2463" s="74">
        <f>Tabela6[[#This Row],[CONSUMO]]*Tabela6[[#This Row],[VALOR UNIT]]-Tabela6[[#This Row],[DESCONTO]]</f>
        <v>70.414500000000004</v>
      </c>
      <c r="L2463" s="53">
        <f>Tabela6[[#This Row],[CUSTO TOTAL]]/Tabela6[[#This Row],[CONSUMO]]</f>
        <v>3.45</v>
      </c>
      <c r="M2463" s="53"/>
      <c r="N2463" s="49"/>
    </row>
    <row r="2464" spans="1:14" x14ac:dyDescent="0.25">
      <c r="A2464" s="47">
        <v>669577</v>
      </c>
      <c r="B2464" s="78">
        <v>45194</v>
      </c>
      <c r="C2464" s="47" t="s">
        <v>15</v>
      </c>
      <c r="D2464" s="49" t="s">
        <v>271</v>
      </c>
      <c r="E2464" s="47">
        <v>385564</v>
      </c>
      <c r="F2464" s="50"/>
      <c r="G2464" s="50" t="s">
        <v>89</v>
      </c>
      <c r="H2464" s="50">
        <v>107.17</v>
      </c>
      <c r="I2464" s="51"/>
      <c r="J2464" s="51">
        <v>5.99</v>
      </c>
      <c r="K2464" s="74">
        <f>Tabela6[[#This Row],[CONSUMO]]*Tabela6[[#This Row],[VALOR UNIT]]-Tabela6[[#This Row],[DESCONTO]]</f>
        <v>641.94830000000002</v>
      </c>
      <c r="L2464" s="53">
        <f>Tabela6[[#This Row],[CUSTO TOTAL]]/Tabela6[[#This Row],[CONSUMO]]</f>
        <v>5.99</v>
      </c>
      <c r="M2464" s="50">
        <f>Tabela6[[#This Row],[KM ATUAL]]-E2413</f>
        <v>-660716</v>
      </c>
      <c r="N2464" s="51">
        <f>Tabela6[[#This Row],[KM Rodados ]]/Tabela6[[#This Row],[CONSUMO]]</f>
        <v>-6165.1208360548662</v>
      </c>
    </row>
    <row r="2465" spans="1:14" x14ac:dyDescent="0.25">
      <c r="A2465" s="47">
        <v>568305</v>
      </c>
      <c r="B2465" s="78">
        <v>45194</v>
      </c>
      <c r="C2465" s="47" t="s">
        <v>18</v>
      </c>
      <c r="D2465" s="49" t="s">
        <v>255</v>
      </c>
      <c r="E2465" s="47">
        <v>329652</v>
      </c>
      <c r="F2465" s="50"/>
      <c r="G2465" s="50" t="s">
        <v>89</v>
      </c>
      <c r="H2465" s="50">
        <v>84.021000000000001</v>
      </c>
      <c r="I2465" s="51"/>
      <c r="J2465" s="51">
        <v>6.89</v>
      </c>
      <c r="K2465" s="74">
        <f>Tabela6[[#This Row],[CONSUMO]]*Tabela6[[#This Row],[VALOR UNIT]]-Tabela6[[#This Row],[DESCONTO]]</f>
        <v>578.90468999999996</v>
      </c>
      <c r="L2465" s="53">
        <f>Tabela6[[#This Row],[CUSTO TOTAL]]/Tabela6[[#This Row],[CONSUMO]]</f>
        <v>6.89</v>
      </c>
      <c r="M2465" s="50">
        <f>Tabela6[[#This Row],[KM ATUAL]]-E2425</f>
        <v>33856</v>
      </c>
      <c r="N2465" s="51">
        <f>Tabela6[[#This Row],[KM Rodados ]]/Tabela6[[#This Row],[CONSUMO]]</f>
        <v>402.94688232703726</v>
      </c>
    </row>
    <row r="2466" spans="1:14" x14ac:dyDescent="0.25">
      <c r="A2466" s="47">
        <v>7339</v>
      </c>
      <c r="B2466" s="78">
        <v>45194</v>
      </c>
      <c r="C2466" s="47" t="s">
        <v>20</v>
      </c>
      <c r="D2466" s="49" t="s">
        <v>299</v>
      </c>
      <c r="E2466" s="47">
        <v>273685</v>
      </c>
      <c r="F2466" s="50"/>
      <c r="G2466" s="50" t="s">
        <v>89</v>
      </c>
      <c r="H2466" s="50">
        <v>43</v>
      </c>
      <c r="I2466" s="51"/>
      <c r="J2466" s="51">
        <v>5.83</v>
      </c>
      <c r="K2466" s="74">
        <f>Tabela6[[#This Row],[CONSUMO]]*Tabela6[[#This Row],[VALOR UNIT]]-Tabela6[[#This Row],[DESCONTO]]</f>
        <v>250.69</v>
      </c>
      <c r="L2466" s="53">
        <f>Tabela6[[#This Row],[CUSTO TOTAL]]/Tabela6[[#This Row],[CONSUMO]]</f>
        <v>5.83</v>
      </c>
      <c r="M2466" s="50">
        <f>Tabela6[[#This Row],[KM ATUAL]]-E2435</f>
        <v>209351</v>
      </c>
      <c r="N2466" s="51">
        <f>Tabela6[[#This Row],[KM Rodados ]]/Tabela6[[#This Row],[CONSUMO]]</f>
        <v>4868.6279069767443</v>
      </c>
    </row>
    <row r="2467" spans="1:14" x14ac:dyDescent="0.25">
      <c r="A2467" s="47">
        <v>7339</v>
      </c>
      <c r="B2467" s="78">
        <v>45194</v>
      </c>
      <c r="C2467" s="47" t="s">
        <v>74</v>
      </c>
      <c r="D2467" s="49" t="s">
        <v>299</v>
      </c>
      <c r="E2467" s="47">
        <v>78473</v>
      </c>
      <c r="F2467" s="50"/>
      <c r="G2467" s="50" t="s">
        <v>89</v>
      </c>
      <c r="H2467" s="50">
        <v>67</v>
      </c>
      <c r="I2467" s="51"/>
      <c r="J2467" s="51">
        <v>5.83</v>
      </c>
      <c r="K2467" s="74">
        <f>Tabela6[[#This Row],[CONSUMO]]*Tabela6[[#This Row],[VALOR UNIT]]-Tabela6[[#This Row],[DESCONTO]]</f>
        <v>390.61</v>
      </c>
      <c r="L2467" s="53">
        <f>Tabela6[[#This Row],[CUSTO TOTAL]]/Tabela6[[#This Row],[CONSUMO]]</f>
        <v>5.83</v>
      </c>
      <c r="M2467" s="50">
        <f>Tabela6[[#This Row],[KM ATUAL]]-E2444</f>
        <v>556</v>
      </c>
      <c r="N2467" s="51">
        <f>Tabela6[[#This Row],[KM Rodados ]]/Tabela6[[#This Row],[CONSUMO]]</f>
        <v>8.2985074626865671</v>
      </c>
    </row>
    <row r="2468" spans="1:14" x14ac:dyDescent="0.25">
      <c r="A2468" s="47">
        <v>48941</v>
      </c>
      <c r="B2468" s="78">
        <v>45195</v>
      </c>
      <c r="C2468" s="47" t="s">
        <v>43</v>
      </c>
      <c r="D2468" s="49" t="s">
        <v>253</v>
      </c>
      <c r="E2468" s="47">
        <v>149731</v>
      </c>
      <c r="F2468" s="50"/>
      <c r="G2468" s="50" t="s">
        <v>89</v>
      </c>
      <c r="H2468" s="50">
        <v>44.38</v>
      </c>
      <c r="I2468" s="51"/>
      <c r="J2468" s="51">
        <v>6.09</v>
      </c>
      <c r="K2468" s="74">
        <f>Tabela6[[#This Row],[CONSUMO]]*Tabela6[[#This Row],[VALOR UNIT]]-Tabela6[[#This Row],[DESCONTO]]</f>
        <v>270.27420000000001</v>
      </c>
      <c r="L2468" s="53">
        <f>Tabela6[[#This Row],[CUSTO TOTAL]]/Tabela6[[#This Row],[CONSUMO]]</f>
        <v>6.09</v>
      </c>
      <c r="M2468" s="50">
        <f>Tabela6[[#This Row],[KM ATUAL]]-E2447</f>
        <v>-97169</v>
      </c>
      <c r="N2468" s="51">
        <f>Tabela6[[#This Row],[KM Rodados ]]/Tabela6[[#This Row],[CONSUMO]]</f>
        <v>-2189.4772420009012</v>
      </c>
    </row>
    <row r="2469" spans="1:14" x14ac:dyDescent="0.25">
      <c r="A2469" s="47">
        <v>670121</v>
      </c>
      <c r="B2469" s="78">
        <v>45195</v>
      </c>
      <c r="C2469" s="47" t="s">
        <v>9</v>
      </c>
      <c r="D2469" s="49" t="s">
        <v>271</v>
      </c>
      <c r="E2469" s="47">
        <v>625374</v>
      </c>
      <c r="F2469" s="50"/>
      <c r="G2469" s="50" t="s">
        <v>89</v>
      </c>
      <c r="H2469" s="50">
        <v>131.02000000000001</v>
      </c>
      <c r="I2469" s="51"/>
      <c r="J2469" s="51">
        <v>5.99</v>
      </c>
      <c r="K2469" s="74">
        <f>Tabela6[[#This Row],[CONSUMO]]*Tabela6[[#This Row],[VALOR UNIT]]-Tabela6[[#This Row],[DESCONTO]]</f>
        <v>784.80980000000011</v>
      </c>
      <c r="L2469" s="53">
        <f>Tabela6[[#This Row],[CUSTO TOTAL]]/Tabela6[[#This Row],[CONSUMO]]</f>
        <v>5.99</v>
      </c>
      <c r="M2469" s="50">
        <f>Tabela6[[#This Row],[KM ATUAL]]-E2413</f>
        <v>-420906</v>
      </c>
      <c r="N2469" s="51">
        <f>Tabela6[[#This Row],[KM Rodados ]]/Tabela6[[#This Row],[CONSUMO]]</f>
        <v>-3212.5324377957563</v>
      </c>
    </row>
    <row r="2470" spans="1:14" x14ac:dyDescent="0.25">
      <c r="A2470" s="47">
        <v>7433</v>
      </c>
      <c r="B2470" s="78">
        <v>45195</v>
      </c>
      <c r="C2470" s="47" t="s">
        <v>67</v>
      </c>
      <c r="D2470" s="49" t="s">
        <v>299</v>
      </c>
      <c r="E2470" s="47">
        <v>682454</v>
      </c>
      <c r="G2470" s="50" t="s">
        <v>89</v>
      </c>
      <c r="H2470" s="51">
        <v>107</v>
      </c>
      <c r="J2470" s="51">
        <v>5.8</v>
      </c>
      <c r="K2470" s="74">
        <f>Tabela6[[#This Row],[CONSUMO]]*Tabela6[[#This Row],[VALOR UNIT]]-Tabela6[[#This Row],[DESCONTO]]</f>
        <v>620.6</v>
      </c>
      <c r="L2470" s="53">
        <f>Tabela6[[#This Row],[CUSTO TOTAL]]/Tabela6[[#This Row],[CONSUMO]]</f>
        <v>5.8</v>
      </c>
      <c r="M2470" s="50">
        <f>Tabela6[[#This Row],[KM ATUAL]]-E2435</f>
        <v>618120</v>
      </c>
      <c r="N2470" s="51">
        <f>Tabela6[[#This Row],[KM Rodados ]]/Tabela6[[#This Row],[CONSUMO]]</f>
        <v>5776.8224299065423</v>
      </c>
    </row>
    <row r="2471" spans="1:14" x14ac:dyDescent="0.25">
      <c r="A2471" s="47">
        <v>7433</v>
      </c>
      <c r="B2471" s="78">
        <v>45195</v>
      </c>
      <c r="C2471" s="47" t="s">
        <v>70</v>
      </c>
      <c r="D2471" s="49" t="s">
        <v>299</v>
      </c>
      <c r="E2471" s="47">
        <v>229933</v>
      </c>
      <c r="G2471" s="50" t="s">
        <v>89</v>
      </c>
      <c r="H2471" s="51">
        <v>395</v>
      </c>
      <c r="J2471" s="51">
        <v>5.8</v>
      </c>
      <c r="K2471" s="74">
        <f>Tabela6[[#This Row],[CONSUMO]]*Tabela6[[#This Row],[VALOR UNIT]]-Tabela6[[#This Row],[DESCONTO]]</f>
        <v>2291</v>
      </c>
      <c r="L2471" s="53">
        <f>Tabela6[[#This Row],[CUSTO TOTAL]]/Tabela6[[#This Row],[CONSUMO]]</f>
        <v>5.8</v>
      </c>
      <c r="M2471" s="50">
        <f>Tabela6[[#This Row],[KM ATUAL]]-E2396</f>
        <v>80725</v>
      </c>
      <c r="N2471" s="51">
        <f>Tabela6[[#This Row],[KM Rodados ]]/Tabela6[[#This Row],[CONSUMO]]</f>
        <v>204.36708860759492</v>
      </c>
    </row>
    <row r="2472" spans="1:14" x14ac:dyDescent="0.25">
      <c r="A2472" s="47">
        <v>1119021</v>
      </c>
      <c r="B2472" s="78">
        <v>45195</v>
      </c>
      <c r="C2472" s="47" t="s">
        <v>203</v>
      </c>
      <c r="D2472" s="49" t="s">
        <v>256</v>
      </c>
      <c r="E2472" s="47">
        <v>113083</v>
      </c>
      <c r="F2472" s="50"/>
      <c r="G2472" s="50" t="s">
        <v>244</v>
      </c>
      <c r="H2472" s="50">
        <v>43.23</v>
      </c>
      <c r="I2472" s="51"/>
      <c r="J2472" s="51">
        <v>5.69</v>
      </c>
      <c r="K2472" s="74">
        <f>Tabela6[[#This Row],[CONSUMO]]*Tabela6[[#This Row],[VALOR UNIT]]-Tabela6[[#This Row],[DESCONTO]]</f>
        <v>245.9787</v>
      </c>
      <c r="L2472" s="53">
        <f>Tabela6[[#This Row],[CUSTO TOTAL]]/Tabela6[[#This Row],[CONSUMO]]</f>
        <v>5.69</v>
      </c>
      <c r="M2472" s="50">
        <f>Tabela6[[#This Row],[KM ATUAL]]-E2450</f>
        <v>-391038</v>
      </c>
      <c r="N2472" s="51">
        <f>Tabela6[[#This Row],[KM Rodados ]]/Tabela6[[#This Row],[CONSUMO]]</f>
        <v>-9045.523941707148</v>
      </c>
    </row>
    <row r="2473" spans="1:14" x14ac:dyDescent="0.25">
      <c r="A2473" s="47">
        <v>7433</v>
      </c>
      <c r="B2473" s="78">
        <v>45195</v>
      </c>
      <c r="C2473" s="47" t="s">
        <v>72</v>
      </c>
      <c r="D2473" s="49" t="s">
        <v>299</v>
      </c>
      <c r="E2473" s="47">
        <v>415430</v>
      </c>
      <c r="G2473" s="50" t="s">
        <v>89</v>
      </c>
      <c r="H2473" s="51">
        <v>48</v>
      </c>
      <c r="J2473" s="51">
        <v>5.8</v>
      </c>
      <c r="K2473" s="74">
        <f>Tabela6[[#This Row],[CONSUMO]]*Tabela6[[#This Row],[VALOR UNIT]]-Tabela6[[#This Row],[DESCONTO]]</f>
        <v>278.39999999999998</v>
      </c>
      <c r="L2473" s="53">
        <f>Tabela6[[#This Row],[CUSTO TOTAL]]/Tabela6[[#This Row],[CONSUMO]]</f>
        <v>5.8</v>
      </c>
      <c r="M2473" s="50">
        <f>Tabela6[[#This Row],[KM ATUAL]]-E2472</f>
        <v>302347</v>
      </c>
      <c r="N2473" s="51">
        <f>Tabela6[[#This Row],[KM Rodados ]]/Tabela6[[#This Row],[CONSUMO]]</f>
        <v>6298.895833333333</v>
      </c>
    </row>
    <row r="2474" spans="1:14" x14ac:dyDescent="0.25">
      <c r="A2474" s="47">
        <v>7339</v>
      </c>
      <c r="B2474" s="78">
        <v>45195</v>
      </c>
      <c r="C2474" s="47" t="s">
        <v>71</v>
      </c>
      <c r="D2474" s="49" t="s">
        <v>299</v>
      </c>
      <c r="E2474" s="47">
        <v>126355</v>
      </c>
      <c r="F2474" s="50"/>
      <c r="G2474" s="50" t="s">
        <v>89</v>
      </c>
      <c r="H2474" s="50">
        <v>437</v>
      </c>
      <c r="I2474" s="51"/>
      <c r="J2474" s="51">
        <v>5.83</v>
      </c>
      <c r="K2474" s="74">
        <f>Tabela6[[#This Row],[CONSUMO]]*Tabela6[[#This Row],[VALOR UNIT]]-Tabela6[[#This Row],[DESCONTO]]</f>
        <v>2547.71</v>
      </c>
      <c r="L2474" s="53">
        <f>Tabela6[[#This Row],[CUSTO TOTAL]]/Tabela6[[#This Row],[CONSUMO]]</f>
        <v>5.83</v>
      </c>
      <c r="M2474" s="50">
        <f>Tabela6[[#This Row],[KM ATUAL]]-E2400</f>
        <v>-523381</v>
      </c>
      <c r="N2474" s="51">
        <f>Tabela6[[#This Row],[KM Rodados ]]/Tabela6[[#This Row],[CONSUMO]]</f>
        <v>-1197.6681922196797</v>
      </c>
    </row>
    <row r="2475" spans="1:14" x14ac:dyDescent="0.25">
      <c r="A2475" s="47">
        <v>7433</v>
      </c>
      <c r="B2475" s="78">
        <v>45195</v>
      </c>
      <c r="C2475" s="47" t="s">
        <v>206</v>
      </c>
      <c r="D2475" s="49" t="s">
        <v>299</v>
      </c>
      <c r="E2475" s="47">
        <v>966208</v>
      </c>
      <c r="G2475" s="50" t="s">
        <v>89</v>
      </c>
      <c r="H2475" s="51">
        <v>385</v>
      </c>
      <c r="J2475" s="51">
        <v>5.8</v>
      </c>
      <c r="K2475" s="74">
        <f>Tabela6[[#This Row],[CONSUMO]]*Tabela6[[#This Row],[VALOR UNIT]]-Tabela6[[#This Row],[DESCONTO]]</f>
        <v>2233</v>
      </c>
      <c r="L2475" s="53">
        <f>Tabela6[[#This Row],[CUSTO TOTAL]]/Tabela6[[#This Row],[CONSUMO]]</f>
        <v>5.8</v>
      </c>
      <c r="M2475" s="50">
        <f>Tabela6[[#This Row],[KM ATUAL]]-E2398</f>
        <v>841259</v>
      </c>
      <c r="N2475" s="51">
        <f>Tabela6[[#This Row],[KM Rodados ]]/Tabela6[[#This Row],[CONSUMO]]</f>
        <v>2185.0883116883115</v>
      </c>
    </row>
    <row r="2476" spans="1:14" x14ac:dyDescent="0.25">
      <c r="A2476" s="47">
        <v>209949</v>
      </c>
      <c r="B2476" s="78">
        <v>45195</v>
      </c>
      <c r="C2476" s="47" t="s">
        <v>14</v>
      </c>
      <c r="D2476" s="49" t="s">
        <v>262</v>
      </c>
      <c r="E2476" s="47">
        <v>296798</v>
      </c>
      <c r="F2476" s="50"/>
      <c r="G2476" s="50" t="s">
        <v>244</v>
      </c>
      <c r="H2476" s="50">
        <v>39.850999999999999</v>
      </c>
      <c r="I2476" s="51"/>
      <c r="J2476" s="51">
        <v>5.69</v>
      </c>
      <c r="K2476" s="74">
        <f>Tabela6[[#This Row],[CONSUMO]]*Tabela6[[#This Row],[VALOR UNIT]]-Tabela6[[#This Row],[DESCONTO]]</f>
        <v>226.75219000000001</v>
      </c>
      <c r="L2476" s="53">
        <f>Tabela6[[#This Row],[CUSTO TOTAL]]/Tabela6[[#This Row],[CONSUMO]]</f>
        <v>5.69</v>
      </c>
      <c r="M2476" s="50">
        <f>Tabela6[[#This Row],[KM ATUAL]]-E2455</f>
        <v>184281</v>
      </c>
      <c r="N2476" s="51">
        <f>Tabela6[[#This Row],[KM Rodados ]]/Tabela6[[#This Row],[CONSUMO]]</f>
        <v>4624.2503324885201</v>
      </c>
    </row>
    <row r="2477" spans="1:14" x14ac:dyDescent="0.25">
      <c r="A2477" s="47">
        <v>7339</v>
      </c>
      <c r="B2477" s="78">
        <v>45195</v>
      </c>
      <c r="C2477" s="47" t="s">
        <v>19</v>
      </c>
      <c r="D2477" s="49" t="s">
        <v>299</v>
      </c>
      <c r="E2477" s="47">
        <v>328398</v>
      </c>
      <c r="F2477" s="50"/>
      <c r="G2477" s="50" t="s">
        <v>89</v>
      </c>
      <c r="H2477" s="51">
        <v>124</v>
      </c>
      <c r="J2477" s="51">
        <v>5.83</v>
      </c>
      <c r="K2477" s="74">
        <f>Tabela6[[#This Row],[CONSUMO]]*Tabela6[[#This Row],[VALOR UNIT]]-Tabela6[[#This Row],[DESCONTO]]</f>
        <v>722.92</v>
      </c>
      <c r="L2477" s="53">
        <f>Tabela6[[#This Row],[CUSTO TOTAL]]/Tabela6[[#This Row],[CONSUMO]]</f>
        <v>5.83</v>
      </c>
      <c r="M2477" s="50">
        <f>Tabela6[[#This Row],[KM ATUAL]]-E2443</f>
        <v>281</v>
      </c>
      <c r="N2477" s="51">
        <f>Tabela6[[#This Row],[KM Rodados ]]/Tabela6[[#This Row],[CONSUMO]]</f>
        <v>2.2661290322580645</v>
      </c>
    </row>
    <row r="2478" spans="1:14" x14ac:dyDescent="0.25">
      <c r="A2478" s="47">
        <v>742932</v>
      </c>
      <c r="B2478" s="78">
        <v>45195</v>
      </c>
      <c r="C2478" s="47" t="s">
        <v>19</v>
      </c>
      <c r="D2478" s="49" t="s">
        <v>264</v>
      </c>
      <c r="E2478" s="47">
        <v>329414</v>
      </c>
      <c r="F2478" s="50"/>
      <c r="G2478" s="50" t="s">
        <v>89</v>
      </c>
      <c r="H2478" s="50">
        <v>81.975999999999999</v>
      </c>
      <c r="I2478" s="51"/>
      <c r="J2478" s="51">
        <v>6.22</v>
      </c>
      <c r="K2478" s="74">
        <f>Tabela6[[#This Row],[CONSUMO]]*Tabela6[[#This Row],[VALOR UNIT]]-Tabela6[[#This Row],[DESCONTO]]</f>
        <v>509.89071999999999</v>
      </c>
      <c r="L2478" s="53">
        <f>Tabela6[[#This Row],[CUSTO TOTAL]]/Tabela6[[#This Row],[CONSUMO]]</f>
        <v>6.22</v>
      </c>
      <c r="M2478" s="50">
        <f>Tabela6[[#This Row],[KM ATUAL]]-E2477</f>
        <v>1016</v>
      </c>
      <c r="N2478" s="51">
        <f>Tabela6[[#This Row],[KM Rodados ]]/Tabela6[[#This Row],[CONSUMO]]</f>
        <v>12.393871376988386</v>
      </c>
    </row>
    <row r="2479" spans="1:14" x14ac:dyDescent="0.25">
      <c r="A2479" s="47">
        <v>210104</v>
      </c>
      <c r="B2479" s="78">
        <v>45195</v>
      </c>
      <c r="C2479" s="47" t="s">
        <v>74</v>
      </c>
      <c r="D2479" s="49" t="s">
        <v>262</v>
      </c>
      <c r="F2479" s="50"/>
      <c r="G2479" s="50" t="s">
        <v>241</v>
      </c>
      <c r="H2479" s="50">
        <v>7.7210000000000001</v>
      </c>
      <c r="I2479" s="51">
        <v>2.78</v>
      </c>
      <c r="J2479" s="51">
        <v>3.69</v>
      </c>
      <c r="K2479" s="74">
        <f>Tabela6[[#This Row],[CONSUMO]]*Tabela6[[#This Row],[VALOR UNIT]]-Tabela6[[#This Row],[DESCONTO]]</f>
        <v>25.71049</v>
      </c>
      <c r="L2479" s="53">
        <f>Tabela6[[#This Row],[CUSTO TOTAL]]/Tabela6[[#This Row],[CONSUMO]]</f>
        <v>3.3299430125631395</v>
      </c>
      <c r="M2479" s="50"/>
      <c r="N2479" s="49"/>
    </row>
    <row r="2480" spans="1:14" x14ac:dyDescent="0.25">
      <c r="A2480" s="47">
        <v>7433</v>
      </c>
      <c r="B2480" s="78">
        <v>45195</v>
      </c>
      <c r="C2480" s="47" t="s">
        <v>74</v>
      </c>
      <c r="D2480" s="49" t="s">
        <v>299</v>
      </c>
      <c r="E2480" s="47">
        <v>79118</v>
      </c>
      <c r="G2480" s="50" t="s">
        <v>89</v>
      </c>
      <c r="H2480" s="51">
        <v>80</v>
      </c>
      <c r="J2480" s="51">
        <v>5.8</v>
      </c>
      <c r="K2480" s="74">
        <f>Tabela6[[#This Row],[CONSUMO]]*Tabela6[[#This Row],[VALOR UNIT]]-Tabela6[[#This Row],[DESCONTO]]</f>
        <v>464</v>
      </c>
      <c r="L2480" s="53">
        <f>Tabela6[[#This Row],[CUSTO TOTAL]]/Tabela6[[#This Row],[CONSUMO]]</f>
        <v>5.8</v>
      </c>
      <c r="M2480" s="50">
        <f>Tabela6[[#This Row],[KM ATUAL]]-E2461</f>
        <v>-572078</v>
      </c>
      <c r="N2480" s="51">
        <f>Tabela6[[#This Row],[KM Rodados ]]/Tabela6[[#This Row],[CONSUMO]]</f>
        <v>-7150.9750000000004</v>
      </c>
    </row>
    <row r="2481" spans="1:14" x14ac:dyDescent="0.25">
      <c r="A2481" s="47">
        <v>7433</v>
      </c>
      <c r="B2481" s="78">
        <v>45196</v>
      </c>
      <c r="C2481" s="47" t="s">
        <v>68</v>
      </c>
      <c r="D2481" s="49" t="s">
        <v>299</v>
      </c>
      <c r="E2481" s="47">
        <v>918544</v>
      </c>
      <c r="G2481" s="50" t="s">
        <v>89</v>
      </c>
      <c r="H2481" s="51">
        <v>317</v>
      </c>
      <c r="J2481" s="51">
        <v>5.8</v>
      </c>
      <c r="K2481" s="74">
        <f>Tabela6[[#This Row],[CONSUMO]]*Tabela6[[#This Row],[VALOR UNIT]]-Tabela6[[#This Row],[DESCONTO]]</f>
        <v>1838.6</v>
      </c>
      <c r="L2481" s="53">
        <f>Tabela6[[#This Row],[CUSTO TOTAL]]/Tabela6[[#This Row],[CONSUMO]]</f>
        <v>5.8</v>
      </c>
      <c r="M2481" s="50">
        <f>Tabela6[[#This Row],[KM ATUAL]]-E2429</f>
        <v>838</v>
      </c>
      <c r="N2481" s="51">
        <f>Tabela6[[#This Row],[KM Rodados ]]/Tabela6[[#This Row],[CONSUMO]]</f>
        <v>2.6435331230283912</v>
      </c>
    </row>
    <row r="2482" spans="1:14" x14ac:dyDescent="0.25">
      <c r="A2482" s="47">
        <v>210182</v>
      </c>
      <c r="B2482" s="78">
        <v>45196</v>
      </c>
      <c r="C2482" s="47" t="s">
        <v>67</v>
      </c>
      <c r="D2482" s="49" t="s">
        <v>262</v>
      </c>
      <c r="E2482" s="47">
        <v>682455</v>
      </c>
      <c r="G2482" s="50" t="s">
        <v>241</v>
      </c>
      <c r="H2482" s="51">
        <v>22.31</v>
      </c>
      <c r="I2482" s="49">
        <v>8.0299999999999994</v>
      </c>
      <c r="J2482" s="51">
        <v>3.69</v>
      </c>
      <c r="K2482" s="74">
        <f>Tabela6[[#This Row],[CONSUMO]]*Tabela6[[#This Row],[VALOR UNIT]]-Tabela6[[#This Row],[DESCONTO]]</f>
        <v>74.293899999999994</v>
      </c>
      <c r="L2482" s="53">
        <f>Tabela6[[#This Row],[CUSTO TOTAL]]/Tabela6[[#This Row],[CONSUMO]]</f>
        <v>3.33007171671896</v>
      </c>
      <c r="M2482" s="53"/>
      <c r="N2482" s="49"/>
    </row>
    <row r="2483" spans="1:14" x14ac:dyDescent="0.25">
      <c r="A2483" s="47">
        <v>334733</v>
      </c>
      <c r="B2483" s="78">
        <v>45196</v>
      </c>
      <c r="C2483" s="47" t="s">
        <v>39</v>
      </c>
      <c r="D2483" s="49" t="s">
        <v>276</v>
      </c>
      <c r="E2483" s="47">
        <v>104448</v>
      </c>
      <c r="G2483" s="50" t="s">
        <v>241</v>
      </c>
      <c r="H2483" s="51">
        <v>17.212</v>
      </c>
      <c r="J2483" s="51">
        <v>3.69</v>
      </c>
      <c r="K2483" s="74">
        <f>Tabela6[[#This Row],[CONSUMO]]*Tabela6[[#This Row],[VALOR UNIT]]-Tabela6[[#This Row],[DESCONTO]]</f>
        <v>63.512279999999997</v>
      </c>
      <c r="L2483" s="53">
        <f>Tabela6[[#This Row],[CUSTO TOTAL]]/Tabela6[[#This Row],[CONSUMO]]</f>
        <v>3.69</v>
      </c>
      <c r="M2483" s="50"/>
    </row>
    <row r="2484" spans="1:14" x14ac:dyDescent="0.25">
      <c r="A2484" s="47">
        <v>334733</v>
      </c>
      <c r="B2484" s="78">
        <v>45196</v>
      </c>
      <c r="C2484" s="47" t="s">
        <v>39</v>
      </c>
      <c r="D2484" s="49" t="s">
        <v>276</v>
      </c>
      <c r="E2484" s="47">
        <v>104448</v>
      </c>
      <c r="G2484" s="50" t="s">
        <v>241</v>
      </c>
      <c r="H2484" s="51">
        <v>17.212</v>
      </c>
      <c r="J2484" s="51">
        <v>3.69</v>
      </c>
      <c r="K2484" s="74">
        <f>Tabela6[[#This Row],[CONSUMO]]*Tabela6[[#This Row],[VALOR UNIT]]-Tabela6[[#This Row],[DESCONTO]]</f>
        <v>63.512279999999997</v>
      </c>
      <c r="L2484" s="53">
        <f>Tabela6[[#This Row],[CUSTO TOTAL]]/Tabela6[[#This Row],[CONSUMO]]</f>
        <v>3.69</v>
      </c>
      <c r="M2484" s="53"/>
      <c r="N2484" s="49"/>
    </row>
    <row r="2485" spans="1:14" x14ac:dyDescent="0.25">
      <c r="A2485" s="47">
        <v>210244</v>
      </c>
      <c r="B2485" s="78">
        <v>45196</v>
      </c>
      <c r="C2485" s="47" t="s">
        <v>72</v>
      </c>
      <c r="D2485" s="49" t="s">
        <v>262</v>
      </c>
      <c r="E2485" s="47">
        <v>151162</v>
      </c>
      <c r="G2485" s="50" t="s">
        <v>241</v>
      </c>
      <c r="H2485" s="51">
        <v>23.4</v>
      </c>
      <c r="I2485" s="49">
        <v>8.43</v>
      </c>
      <c r="J2485" s="51">
        <v>3.69</v>
      </c>
      <c r="K2485" s="74">
        <f>Tabela6[[#This Row],[CONSUMO]]*Tabela6[[#This Row],[VALOR UNIT]]-Tabela6[[#This Row],[DESCONTO]]</f>
        <v>77.915999999999997</v>
      </c>
      <c r="L2485" s="53">
        <f>Tabela6[[#This Row],[CUSTO TOTAL]]/Tabela6[[#This Row],[CONSUMO]]</f>
        <v>3.3297435897435896</v>
      </c>
      <c r="M2485" s="53"/>
      <c r="N2485" s="49"/>
    </row>
    <row r="2486" spans="1:14" x14ac:dyDescent="0.25">
      <c r="A2486" s="47" t="s">
        <v>314</v>
      </c>
      <c r="B2486" s="78">
        <v>45196</v>
      </c>
      <c r="C2486" s="47" t="s">
        <v>72</v>
      </c>
      <c r="E2486" s="47">
        <v>415710</v>
      </c>
      <c r="G2486" s="50" t="s">
        <v>89</v>
      </c>
      <c r="H2486" s="51">
        <v>37</v>
      </c>
      <c r="K2486" s="74">
        <f>Tabela6[[#This Row],[CONSUMO]]*Tabela6[[#This Row],[VALOR UNIT]]-Tabela6[[#This Row],[DESCONTO]]</f>
        <v>0</v>
      </c>
      <c r="L2486" s="53">
        <f>Tabela6[[#This Row],[CUSTO TOTAL]]/Tabela6[[#This Row],[CONSUMO]]</f>
        <v>0</v>
      </c>
      <c r="M2486" s="50">
        <f>Tabela6[[#This Row],[KM ATUAL]]-E2454</f>
        <v>311905</v>
      </c>
      <c r="N2486" s="51">
        <f>Tabela6[[#This Row],[KM Rodados ]]/Tabela6[[#This Row],[CONSUMO]]</f>
        <v>8429.864864864865</v>
      </c>
    </row>
    <row r="2487" spans="1:14" x14ac:dyDescent="0.25">
      <c r="A2487" s="47">
        <v>976899</v>
      </c>
      <c r="B2487" s="78">
        <v>45196</v>
      </c>
      <c r="C2487" s="47" t="s">
        <v>21</v>
      </c>
      <c r="D2487" s="49" t="s">
        <v>336</v>
      </c>
      <c r="E2487" s="47">
        <v>155951</v>
      </c>
      <c r="G2487" s="50" t="s">
        <v>89</v>
      </c>
      <c r="H2487" s="51">
        <v>124.67</v>
      </c>
      <c r="J2487" s="51">
        <v>6.09</v>
      </c>
      <c r="K2487" s="74">
        <f>Tabela6[[#This Row],[CONSUMO]]*Tabela6[[#This Row],[VALOR UNIT]]-Tabela6[[#This Row],[DESCONTO]]</f>
        <v>759.24030000000005</v>
      </c>
      <c r="L2487" s="53">
        <f>Tabela6[[#This Row],[CUSTO TOTAL]]/Tabela6[[#This Row],[CONSUMO]]</f>
        <v>6.09</v>
      </c>
      <c r="M2487" s="50">
        <f>Tabela6[[#This Row],[KM ATUAL]]-E2448</f>
        <v>6808</v>
      </c>
      <c r="N2487" s="51">
        <f>Tabela6[[#This Row],[KM Rodados ]]/Tabela6[[#This Row],[CONSUMO]]</f>
        <v>54.608165557070663</v>
      </c>
    </row>
    <row r="2488" spans="1:14" x14ac:dyDescent="0.25">
      <c r="A2488" s="47">
        <v>7433</v>
      </c>
      <c r="B2488" s="78">
        <v>45196</v>
      </c>
      <c r="C2488" s="47" t="s">
        <v>10</v>
      </c>
      <c r="D2488" s="49" t="s">
        <v>299</v>
      </c>
      <c r="E2488" s="47">
        <v>727663</v>
      </c>
      <c r="G2488" s="50" t="s">
        <v>89</v>
      </c>
      <c r="H2488" s="51">
        <v>140</v>
      </c>
      <c r="J2488" s="51">
        <v>5.8</v>
      </c>
      <c r="K2488" s="74">
        <f>Tabela6[[#This Row],[CONSUMO]]*Tabela6[[#This Row],[VALOR UNIT]]-Tabela6[[#This Row],[DESCONTO]]</f>
        <v>812</v>
      </c>
      <c r="L2488" s="53">
        <f>Tabela6[[#This Row],[CUSTO TOTAL]]/Tabela6[[#This Row],[CONSUMO]]</f>
        <v>5.8</v>
      </c>
      <c r="M2488" s="50">
        <f>Tabela6[[#This Row],[KM ATUAL]]-E2446</f>
        <v>398553</v>
      </c>
      <c r="N2488" s="51">
        <f>Tabela6[[#This Row],[KM Rodados ]]/Tabela6[[#This Row],[CONSUMO]]</f>
        <v>2846.8071428571429</v>
      </c>
    </row>
    <row r="2489" spans="1:14" x14ac:dyDescent="0.25">
      <c r="A2489" s="47">
        <v>670573</v>
      </c>
      <c r="B2489" s="78">
        <v>45196</v>
      </c>
      <c r="C2489" s="47" t="s">
        <v>15</v>
      </c>
      <c r="D2489" s="49" t="s">
        <v>271</v>
      </c>
      <c r="E2489" s="47">
        <v>386158</v>
      </c>
      <c r="G2489" s="50" t="s">
        <v>89</v>
      </c>
      <c r="H2489" s="51">
        <v>100.73</v>
      </c>
      <c r="J2489" s="51">
        <v>5.99</v>
      </c>
      <c r="K2489" s="74">
        <f>Tabela6[[#This Row],[CONSUMO]]*Tabela6[[#This Row],[VALOR UNIT]]-Tabela6[[#This Row],[DESCONTO]]</f>
        <v>603.37270000000001</v>
      </c>
      <c r="L2489" s="53">
        <f>Tabela6[[#This Row],[CUSTO TOTAL]]/Tabela6[[#This Row],[CONSUMO]]</f>
        <v>5.99</v>
      </c>
      <c r="M2489" s="50">
        <f>Tabela6[[#This Row],[KM ATUAL]]-E2453</f>
        <v>282758</v>
      </c>
      <c r="N2489" s="51">
        <f>Tabela6[[#This Row],[KM Rodados ]]/Tabela6[[#This Row],[CONSUMO]]</f>
        <v>2807.0882557331479</v>
      </c>
    </row>
    <row r="2490" spans="1:14" x14ac:dyDescent="0.25">
      <c r="A2490" s="47">
        <v>7433</v>
      </c>
      <c r="B2490" s="78">
        <v>45196</v>
      </c>
      <c r="C2490" s="47" t="s">
        <v>23</v>
      </c>
      <c r="D2490" s="49" t="s">
        <v>299</v>
      </c>
      <c r="E2490" s="47">
        <v>247295</v>
      </c>
      <c r="G2490" s="50" t="s">
        <v>89</v>
      </c>
      <c r="H2490" s="51">
        <v>86</v>
      </c>
      <c r="J2490" s="51">
        <v>5.8</v>
      </c>
      <c r="K2490" s="74">
        <f>Tabela6[[#This Row],[CONSUMO]]*Tabela6[[#This Row],[VALOR UNIT]]-Tabela6[[#This Row],[DESCONTO]]</f>
        <v>498.8</v>
      </c>
      <c r="L2490" s="53">
        <f>Tabela6[[#This Row],[CUSTO TOTAL]]/Tabela6[[#This Row],[CONSUMO]]</f>
        <v>5.8</v>
      </c>
      <c r="M2490" s="50">
        <f>Tabela6[[#This Row],[KM ATUAL]]-E2455</f>
        <v>134778</v>
      </c>
      <c r="N2490" s="51">
        <f>Tabela6[[#This Row],[KM Rodados ]]/Tabela6[[#This Row],[CONSUMO]]</f>
        <v>1567.1860465116279</v>
      </c>
    </row>
    <row r="2491" spans="1:14" x14ac:dyDescent="0.25">
      <c r="A2491" s="47">
        <v>7433</v>
      </c>
      <c r="B2491" s="78">
        <v>45196</v>
      </c>
      <c r="C2491" s="47" t="s">
        <v>74</v>
      </c>
      <c r="D2491" s="49" t="s">
        <v>299</v>
      </c>
      <c r="E2491" s="47">
        <v>79606</v>
      </c>
      <c r="G2491" s="50" t="s">
        <v>89</v>
      </c>
      <c r="H2491" s="51">
        <v>56</v>
      </c>
      <c r="J2491" s="51">
        <v>5.8</v>
      </c>
      <c r="K2491" s="74">
        <f>Tabela6[[#This Row],[CONSUMO]]*Tabela6[[#This Row],[VALOR UNIT]]-Tabela6[[#This Row],[DESCONTO]]</f>
        <v>324.8</v>
      </c>
      <c r="L2491" s="53">
        <f>Tabela6[[#This Row],[CUSTO TOTAL]]/Tabela6[[#This Row],[CONSUMO]]</f>
        <v>5.8</v>
      </c>
      <c r="M2491" s="50">
        <f>Tabela6[[#This Row],[KM ATUAL]]-E2479</f>
        <v>79606</v>
      </c>
      <c r="N2491" s="51">
        <f>Tabela6[[#This Row],[KM Rodados ]]/Tabela6[[#This Row],[CONSUMO]]</f>
        <v>1421.5357142857142</v>
      </c>
    </row>
    <row r="2492" spans="1:14" x14ac:dyDescent="0.25">
      <c r="A2492" s="47">
        <v>7433</v>
      </c>
      <c r="B2492" s="78">
        <v>45197</v>
      </c>
      <c r="C2492" s="47" t="s">
        <v>43</v>
      </c>
      <c r="D2492" s="49" t="s">
        <v>299</v>
      </c>
      <c r="E2492" s="47">
        <v>150020</v>
      </c>
      <c r="G2492" s="50" t="s">
        <v>89</v>
      </c>
      <c r="H2492" s="51">
        <v>39</v>
      </c>
      <c r="J2492" s="51">
        <v>5.8</v>
      </c>
      <c r="K2492" s="74">
        <f>Tabela6[[#This Row],[CONSUMO]]*Tabela6[[#This Row],[VALOR UNIT]]-Tabela6[[#This Row],[DESCONTO]]</f>
        <v>226.2</v>
      </c>
      <c r="L2492" s="53">
        <f>Tabela6[[#This Row],[CUSTO TOTAL]]/Tabela6[[#This Row],[CONSUMO]]</f>
        <v>5.8</v>
      </c>
      <c r="M2492" s="50">
        <f>Tabela6[[#This Row],[KM ATUAL]]-E2467</f>
        <v>71547</v>
      </c>
      <c r="N2492" s="51">
        <f>Tabela6[[#This Row],[KM Rodados ]]/Tabela6[[#This Row],[CONSUMO]]</f>
        <v>1834.5384615384614</v>
      </c>
    </row>
    <row r="2493" spans="1:14" x14ac:dyDescent="0.25">
      <c r="A2493" s="47">
        <v>671092</v>
      </c>
      <c r="B2493" s="78">
        <v>45197</v>
      </c>
      <c r="C2493" s="47" t="s">
        <v>9</v>
      </c>
      <c r="D2493" s="49" t="s">
        <v>271</v>
      </c>
      <c r="E2493" s="47">
        <v>625882</v>
      </c>
      <c r="G2493" s="50" t="s">
        <v>89</v>
      </c>
      <c r="H2493" s="51">
        <v>145</v>
      </c>
      <c r="J2493" s="51">
        <v>5.99</v>
      </c>
      <c r="K2493" s="74">
        <f>Tabela6[[#This Row],[CONSUMO]]*Tabela6[[#This Row],[VALOR UNIT]]-Tabela6[[#This Row],[DESCONTO]]</f>
        <v>868.55000000000007</v>
      </c>
      <c r="L2493" s="53">
        <f>Tabela6[[#This Row],[CUSTO TOTAL]]/Tabela6[[#This Row],[CONSUMO]]</f>
        <v>5.99</v>
      </c>
      <c r="M2493" s="50">
        <f>Tabela6[[#This Row],[KM ATUAL]]-E2466</f>
        <v>352197</v>
      </c>
      <c r="N2493" s="51">
        <f>Tabela6[[#This Row],[KM Rodados ]]/Tabela6[[#This Row],[CONSUMO]]</f>
        <v>2428.9448275862069</v>
      </c>
    </row>
    <row r="2494" spans="1:14" x14ac:dyDescent="0.25">
      <c r="A2494" s="47">
        <v>7433</v>
      </c>
      <c r="B2494" s="78">
        <v>45197</v>
      </c>
      <c r="C2494" s="47" t="s">
        <v>67</v>
      </c>
      <c r="D2494" s="49" t="s">
        <v>299</v>
      </c>
      <c r="E2494" s="47">
        <v>682853</v>
      </c>
      <c r="G2494" s="50" t="s">
        <v>89</v>
      </c>
      <c r="H2494" s="51">
        <v>100</v>
      </c>
      <c r="J2494" s="51">
        <v>5.8</v>
      </c>
      <c r="K2494" s="74">
        <f>Tabela6[[#This Row],[CONSUMO]]*Tabela6[[#This Row],[VALOR UNIT]]-Tabela6[[#This Row],[DESCONTO]]</f>
        <v>580</v>
      </c>
      <c r="L2494" s="53">
        <f>Tabela6[[#This Row],[CUSTO TOTAL]]/Tabela6[[#This Row],[CONSUMO]]</f>
        <v>5.8</v>
      </c>
      <c r="M2494" s="50">
        <f>Tabela6[[#This Row],[KM ATUAL]]-E2477</f>
        <v>354455</v>
      </c>
      <c r="N2494" s="51">
        <f>Tabela6[[#This Row],[KM Rodados ]]/Tabela6[[#This Row],[CONSUMO]]</f>
        <v>3544.55</v>
      </c>
    </row>
    <row r="2495" spans="1:14" x14ac:dyDescent="0.25">
      <c r="A2495" s="47">
        <v>7433</v>
      </c>
      <c r="B2495" s="78">
        <v>45197</v>
      </c>
      <c r="C2495" s="47" t="s">
        <v>39</v>
      </c>
      <c r="D2495" s="49" t="s">
        <v>299</v>
      </c>
      <c r="E2495" s="47">
        <v>104493</v>
      </c>
      <c r="G2495" s="50" t="s">
        <v>89</v>
      </c>
      <c r="H2495" s="51">
        <v>110</v>
      </c>
      <c r="J2495" s="51">
        <v>5.8</v>
      </c>
      <c r="K2495" s="74">
        <f>Tabela6[[#This Row],[CONSUMO]]*Tabela6[[#This Row],[VALOR UNIT]]-Tabela6[[#This Row],[DESCONTO]]</f>
        <v>638</v>
      </c>
      <c r="L2495" s="53">
        <f>Tabela6[[#This Row],[CUSTO TOTAL]]/Tabela6[[#This Row],[CONSUMO]]</f>
        <v>5.8</v>
      </c>
      <c r="M2495" s="50">
        <f>Tabela6[[#This Row],[KM ATUAL]]-E2457</f>
        <v>-310492</v>
      </c>
      <c r="N2495" s="51">
        <f>Tabela6[[#This Row],[KM Rodados ]]/Tabela6[[#This Row],[CONSUMO]]</f>
        <v>-2822.6545454545453</v>
      </c>
    </row>
    <row r="2496" spans="1:14" x14ac:dyDescent="0.25">
      <c r="A2496" s="47">
        <v>50532</v>
      </c>
      <c r="B2496" s="78">
        <v>45197</v>
      </c>
      <c r="C2496" s="47" t="s">
        <v>64</v>
      </c>
      <c r="D2496" s="49" t="s">
        <v>253</v>
      </c>
      <c r="E2496" s="47">
        <v>95095</v>
      </c>
      <c r="G2496" s="50" t="s">
        <v>89</v>
      </c>
      <c r="H2496" s="51">
        <v>199.15</v>
      </c>
      <c r="J2496" s="51">
        <v>6.09</v>
      </c>
      <c r="K2496" s="74">
        <f>Tabela6[[#This Row],[CONSUMO]]*Tabela6[[#This Row],[VALOR UNIT]]-Tabela6[[#This Row],[DESCONTO]]</f>
        <v>1212.8235</v>
      </c>
      <c r="L2496" s="53">
        <f>Tabela6[[#This Row],[CUSTO TOTAL]]/Tabela6[[#This Row],[CONSUMO]]</f>
        <v>6.09</v>
      </c>
      <c r="M2496" s="50">
        <f>Tabela6[[#This Row],[KM ATUAL]]-E2458</f>
        <v>-55897</v>
      </c>
      <c r="N2496" s="51">
        <f>Tabela6[[#This Row],[KM Rodados ]]/Tabela6[[#This Row],[CONSUMO]]</f>
        <v>-280.67788099422546</v>
      </c>
    </row>
    <row r="2497" spans="1:14" x14ac:dyDescent="0.25">
      <c r="A2497" s="47">
        <v>7433</v>
      </c>
      <c r="B2497" s="78">
        <v>45197</v>
      </c>
      <c r="C2497" s="47" t="s">
        <v>41</v>
      </c>
      <c r="D2497" s="49" t="s">
        <v>299</v>
      </c>
      <c r="E2497" s="47">
        <v>677099</v>
      </c>
      <c r="G2497" s="50" t="s">
        <v>89</v>
      </c>
      <c r="H2497" s="51">
        <v>160</v>
      </c>
      <c r="J2497" s="51">
        <v>5.8</v>
      </c>
      <c r="K2497" s="74">
        <f>Tabela6[[#This Row],[CONSUMO]]*Tabela6[[#This Row],[VALOR UNIT]]-Tabela6[[#This Row],[DESCONTO]]</f>
        <v>928</v>
      </c>
      <c r="L2497" s="53">
        <f>Tabela6[[#This Row],[CUSTO TOTAL]]/Tabela6[[#This Row],[CONSUMO]]</f>
        <v>5.8</v>
      </c>
      <c r="M2497" s="50">
        <f>Tabela6[[#This Row],[KM ATUAL]]-E2439</f>
        <v>355068</v>
      </c>
      <c r="N2497" s="51">
        <f>Tabela6[[#This Row],[KM Rodados ]]/Tabela6[[#This Row],[CONSUMO]]</f>
        <v>2219.1750000000002</v>
      </c>
    </row>
    <row r="2498" spans="1:14" x14ac:dyDescent="0.25">
      <c r="A2498" s="47">
        <v>50542</v>
      </c>
      <c r="B2498" s="78">
        <v>45197</v>
      </c>
      <c r="C2498" s="47" t="s">
        <v>11</v>
      </c>
      <c r="D2498" s="49" t="s">
        <v>253</v>
      </c>
      <c r="E2498" s="47">
        <v>401792</v>
      </c>
      <c r="G2498" s="50" t="s">
        <v>89</v>
      </c>
      <c r="H2498" s="51">
        <v>107.15</v>
      </c>
      <c r="J2498" s="51">
        <v>6.09</v>
      </c>
      <c r="K2498" s="74">
        <f>Tabela6[[#This Row],[CONSUMO]]*Tabela6[[#This Row],[VALOR UNIT]]-Tabela6[[#This Row],[DESCONTO]]</f>
        <v>652.54349999999999</v>
      </c>
      <c r="L2498" s="53">
        <f>Tabela6[[#This Row],[CUSTO TOTAL]]/Tabela6[[#This Row],[CONSUMO]]</f>
        <v>6.09</v>
      </c>
      <c r="M2498" s="50">
        <f>Tabela6[[#This Row],[KM ATUAL]]-E2441</f>
        <v>105510</v>
      </c>
      <c r="N2498" s="51">
        <f>Tabela6[[#This Row],[KM Rodados ]]/Tabela6[[#This Row],[CONSUMO]]</f>
        <v>984.69435370975259</v>
      </c>
    </row>
    <row r="2499" spans="1:14" x14ac:dyDescent="0.25">
      <c r="A2499" s="47">
        <v>7433</v>
      </c>
      <c r="B2499" s="78">
        <v>45197</v>
      </c>
      <c r="C2499" s="47" t="s">
        <v>301</v>
      </c>
      <c r="D2499" s="49" t="s">
        <v>299</v>
      </c>
      <c r="E2499" s="47">
        <v>1047814</v>
      </c>
      <c r="G2499" s="50" t="s">
        <v>89</v>
      </c>
      <c r="H2499" s="51">
        <v>350</v>
      </c>
      <c r="J2499" s="51">
        <v>5.8</v>
      </c>
      <c r="K2499" s="74">
        <f>Tabela6[[#This Row],[CONSUMO]]*Tabela6[[#This Row],[VALOR UNIT]]-Tabela6[[#This Row],[DESCONTO]]</f>
        <v>2030</v>
      </c>
      <c r="L2499" s="53">
        <f>Tabela6[[#This Row],[CUSTO TOTAL]]/Tabela6[[#This Row],[CONSUMO]]</f>
        <v>5.8</v>
      </c>
      <c r="M2499" s="50">
        <f>Tabela6[[#This Row],[KM ATUAL]]-E2414</f>
        <v>397914</v>
      </c>
      <c r="N2499" s="51">
        <f>Tabela6[[#This Row],[KM Rodados ]]/Tabela6[[#This Row],[CONSUMO]]</f>
        <v>1136.8971428571429</v>
      </c>
    </row>
    <row r="2500" spans="1:14" x14ac:dyDescent="0.25">
      <c r="A2500" s="47">
        <v>144745</v>
      </c>
      <c r="B2500" s="78">
        <v>45197</v>
      </c>
      <c r="C2500" s="47" t="s">
        <v>206</v>
      </c>
      <c r="D2500" s="49" t="s">
        <v>263</v>
      </c>
      <c r="G2500" s="50" t="s">
        <v>241</v>
      </c>
      <c r="H2500" s="51">
        <v>34</v>
      </c>
      <c r="J2500" s="51">
        <v>3.49</v>
      </c>
      <c r="K2500" s="74">
        <f>Tabela6[[#This Row],[CONSUMO]]*Tabela6[[#This Row],[VALOR UNIT]]-Tabela6[[#This Row],[DESCONTO]]</f>
        <v>118.66000000000001</v>
      </c>
      <c r="L2500" s="53">
        <f>Tabela6[[#This Row],[CUSTO TOTAL]]/Tabela6[[#This Row],[CONSUMO]]</f>
        <v>3.49</v>
      </c>
      <c r="M2500" s="53"/>
      <c r="N2500" s="49"/>
    </row>
    <row r="2501" spans="1:14" x14ac:dyDescent="0.25">
      <c r="A2501" s="47">
        <v>7433</v>
      </c>
      <c r="B2501" s="78">
        <v>45197</v>
      </c>
      <c r="C2501" s="47" t="s">
        <v>13</v>
      </c>
      <c r="D2501" s="49" t="s">
        <v>299</v>
      </c>
      <c r="E2501" s="47">
        <v>652137</v>
      </c>
      <c r="G2501" s="50" t="s">
        <v>89</v>
      </c>
      <c r="H2501" s="51">
        <v>120</v>
      </c>
      <c r="J2501" s="51">
        <v>5.8</v>
      </c>
      <c r="K2501" s="74">
        <f>Tabela6[[#This Row],[CONSUMO]]*Tabela6[[#This Row],[VALOR UNIT]]-Tabela6[[#This Row],[DESCONTO]]</f>
        <v>696</v>
      </c>
      <c r="L2501" s="53">
        <f>Tabela6[[#This Row],[CUSTO TOTAL]]/Tabela6[[#This Row],[CONSUMO]]</f>
        <v>5.8</v>
      </c>
      <c r="M2501" s="50">
        <f>Tabela6[[#This Row],[KM ATUAL]]-E2467</f>
        <v>573664</v>
      </c>
      <c r="N2501" s="51">
        <f>Tabela6[[#This Row],[KM Rodados ]]/Tabela6[[#This Row],[CONSUMO]]</f>
        <v>4780.5333333333338</v>
      </c>
    </row>
    <row r="2502" spans="1:14" x14ac:dyDescent="0.25">
      <c r="A2502" s="47" t="s">
        <v>314</v>
      </c>
      <c r="B2502" s="78">
        <v>45197</v>
      </c>
      <c r="C2502" s="47" t="s">
        <v>13</v>
      </c>
      <c r="E2502" s="47">
        <v>652448</v>
      </c>
      <c r="G2502" s="50" t="s">
        <v>89</v>
      </c>
      <c r="H2502" s="51">
        <v>59</v>
      </c>
      <c r="K2502" s="74">
        <f>Tabela6[[#This Row],[CONSUMO]]*Tabela6[[#This Row],[VALOR UNIT]]-Tabela6[[#This Row],[DESCONTO]]</f>
        <v>0</v>
      </c>
      <c r="L2502" s="53">
        <f>Tabela6[[#This Row],[CUSTO TOTAL]]/Tabela6[[#This Row],[CONSUMO]]</f>
        <v>0</v>
      </c>
      <c r="M2502" s="50">
        <f>Tabela6[[#This Row],[KM ATUAL]]-E2476</f>
        <v>355650</v>
      </c>
      <c r="N2502" s="51">
        <f>Tabela6[[#This Row],[KM Rodados ]]/Tabela6[[#This Row],[CONSUMO]]</f>
        <v>6027.9661016949149</v>
      </c>
    </row>
    <row r="2503" spans="1:14" x14ac:dyDescent="0.25">
      <c r="A2503" s="47">
        <v>7433</v>
      </c>
      <c r="B2503" s="78">
        <v>45197</v>
      </c>
      <c r="C2503" s="47" t="s">
        <v>17</v>
      </c>
      <c r="D2503" s="49" t="s">
        <v>299</v>
      </c>
      <c r="E2503" s="47">
        <v>370867</v>
      </c>
      <c r="G2503" s="50" t="s">
        <v>89</v>
      </c>
      <c r="H2503" s="51">
        <v>184</v>
      </c>
      <c r="J2503" s="51">
        <v>5.8</v>
      </c>
      <c r="K2503" s="74">
        <f>Tabela6[[#This Row],[CONSUMO]]*Tabela6[[#This Row],[VALOR UNIT]]-Tabela6[[#This Row],[DESCONTO]]</f>
        <v>1067.2</v>
      </c>
      <c r="L2503" s="53">
        <f>Tabela6[[#This Row],[CUSTO TOTAL]]/Tabela6[[#This Row],[CONSUMO]]</f>
        <v>5.8</v>
      </c>
      <c r="M2503" s="50">
        <f>Tabela6[[#This Row],[KM ATUAL]]-E2241</f>
        <v>43944</v>
      </c>
      <c r="N2503" s="51">
        <f>Tabela6[[#This Row],[KM Rodados ]]/Tabela6[[#This Row],[CONSUMO]]</f>
        <v>238.82608695652175</v>
      </c>
    </row>
    <row r="2504" spans="1:14" x14ac:dyDescent="0.25">
      <c r="A2504" s="47">
        <v>568969</v>
      </c>
      <c r="B2504" s="78">
        <v>45197</v>
      </c>
      <c r="C2504" s="47" t="s">
        <v>18</v>
      </c>
      <c r="D2504" s="49" t="s">
        <v>255</v>
      </c>
      <c r="E2504" s="47">
        <v>330048</v>
      </c>
      <c r="G2504" s="50" t="s">
        <v>89</v>
      </c>
      <c r="H2504" s="51">
        <v>51.951000000000001</v>
      </c>
      <c r="J2504" s="51">
        <v>6.89</v>
      </c>
      <c r="K2504" s="74">
        <f>Tabela6[[#This Row],[CONSUMO]]*Tabela6[[#This Row],[VALOR UNIT]]-Tabela6[[#This Row],[DESCONTO]]</f>
        <v>357.94238999999999</v>
      </c>
      <c r="L2504" s="53">
        <f>Tabela6[[#This Row],[CUSTO TOTAL]]/Tabela6[[#This Row],[CONSUMO]]</f>
        <v>6.89</v>
      </c>
      <c r="M2504" s="50">
        <f>Tabela6[[#This Row],[KM ATUAL]]-E2465</f>
        <v>396</v>
      </c>
      <c r="N2504" s="51">
        <f>Tabela6[[#This Row],[KM Rodados ]]/Tabela6[[#This Row],[CONSUMO]]</f>
        <v>7.6225674192989548</v>
      </c>
    </row>
    <row r="2505" spans="1:14" x14ac:dyDescent="0.25">
      <c r="A2505" s="47">
        <v>7433</v>
      </c>
      <c r="B2505" s="78">
        <v>45197</v>
      </c>
      <c r="C2505" s="47" t="s">
        <v>19</v>
      </c>
      <c r="D2505" s="49" t="s">
        <v>299</v>
      </c>
      <c r="E2505" s="47">
        <v>329800</v>
      </c>
      <c r="G2505" s="50" t="s">
        <v>89</v>
      </c>
      <c r="H2505" s="51">
        <v>82</v>
      </c>
      <c r="J2505" s="51">
        <v>5.8</v>
      </c>
      <c r="K2505" s="74">
        <f>Tabela6[[#This Row],[CONSUMO]]*Tabela6[[#This Row],[VALOR UNIT]]-Tabela6[[#This Row],[DESCONTO]]</f>
        <v>475.59999999999997</v>
      </c>
      <c r="L2505" s="53">
        <f>Tabela6[[#This Row],[CUSTO TOTAL]]/Tabela6[[#This Row],[CONSUMO]]</f>
        <v>5.8</v>
      </c>
      <c r="M2505" s="50">
        <f>Tabela6[[#This Row],[KM ATUAL]]-E2483</f>
        <v>225352</v>
      </c>
      <c r="N2505" s="51">
        <f>Tabela6[[#This Row],[KM Rodados ]]/Tabela6[[#This Row],[CONSUMO]]</f>
        <v>2748.1951219512193</v>
      </c>
    </row>
    <row r="2506" spans="1:14" x14ac:dyDescent="0.25">
      <c r="A2506" s="47">
        <v>126891</v>
      </c>
      <c r="B2506" s="78">
        <v>45197</v>
      </c>
      <c r="C2506" s="47" t="s">
        <v>19</v>
      </c>
      <c r="D2506" s="49" t="s">
        <v>281</v>
      </c>
      <c r="E2506" s="47">
        <v>330026</v>
      </c>
      <c r="G2506" s="50" t="s">
        <v>89</v>
      </c>
      <c r="H2506" s="51">
        <v>47.73</v>
      </c>
      <c r="I2506" s="49">
        <v>59.66</v>
      </c>
      <c r="J2506" s="51">
        <v>7.14</v>
      </c>
      <c r="K2506" s="74">
        <f>Tabela6[[#This Row],[CONSUMO]]*Tabela6[[#This Row],[VALOR UNIT]]-Tabela6[[#This Row],[DESCONTO]]</f>
        <v>281.13220000000001</v>
      </c>
      <c r="L2506" s="53">
        <f>Tabela6[[#This Row],[CUSTO TOTAL]]/Tabela6[[#This Row],[CONSUMO]]</f>
        <v>5.8900523779593552</v>
      </c>
      <c r="M2506" s="50">
        <f>Tabela6[[#This Row],[KM ATUAL]]-E2502</f>
        <v>-322422</v>
      </c>
      <c r="N2506" s="51">
        <f>Tabela6[[#This Row],[KM Rodados ]]/Tabela6[[#This Row],[CONSUMO]]</f>
        <v>-6755.1225644248907</v>
      </c>
    </row>
    <row r="2507" spans="1:14" x14ac:dyDescent="0.25">
      <c r="A2507" s="47" t="s">
        <v>314</v>
      </c>
      <c r="B2507" s="78">
        <v>45197</v>
      </c>
      <c r="C2507" s="47" t="s">
        <v>20</v>
      </c>
      <c r="E2507" s="47">
        <v>274095</v>
      </c>
      <c r="G2507" s="50" t="s">
        <v>89</v>
      </c>
      <c r="H2507" s="51">
        <v>48</v>
      </c>
      <c r="K2507" s="74">
        <f>Tabela6[[#This Row],[CONSUMO]]*Tabela6[[#This Row],[VALOR UNIT]]-Tabela6[[#This Row],[DESCONTO]]</f>
        <v>0</v>
      </c>
      <c r="L2507" s="53">
        <f>Tabela6[[#This Row],[CUSTO TOTAL]]/Tabela6[[#This Row],[CONSUMO]]</f>
        <v>0</v>
      </c>
      <c r="M2507" s="50">
        <f>Tabela6[[#This Row],[KM ATUAL]]-E2345</f>
        <v>-109366</v>
      </c>
      <c r="N2507" s="51">
        <f>Tabela6[[#This Row],[KM Rodados ]]/Tabela6[[#This Row],[CONSUMO]]</f>
        <v>-2278.4583333333335</v>
      </c>
    </row>
    <row r="2508" spans="1:14" x14ac:dyDescent="0.25">
      <c r="A2508" s="47">
        <v>210533</v>
      </c>
      <c r="B2508" s="78">
        <v>45197</v>
      </c>
      <c r="C2508" s="47" t="s">
        <v>23</v>
      </c>
      <c r="D2508" s="49" t="s">
        <v>262</v>
      </c>
      <c r="E2508" s="47">
        <v>247638</v>
      </c>
      <c r="G2508" s="50" t="s">
        <v>89</v>
      </c>
      <c r="H2508" s="51">
        <v>67.031000000000006</v>
      </c>
      <c r="J2508" s="51">
        <v>6.19</v>
      </c>
      <c r="K2508" s="74">
        <f>Tabela6[[#This Row],[CONSUMO]]*Tabela6[[#This Row],[VALOR UNIT]]-Tabela6[[#This Row],[DESCONTO]]</f>
        <v>414.92189000000008</v>
      </c>
      <c r="L2508" s="53">
        <f>Tabela6[[#This Row],[CUSTO TOTAL]]/Tabela6[[#This Row],[CONSUMO]]</f>
        <v>6.19</v>
      </c>
      <c r="M2508" s="50">
        <f>Tabela6[[#This Row],[KM ATUAL]]-E2490</f>
        <v>343</v>
      </c>
      <c r="N2508" s="51">
        <f>Tabela6[[#This Row],[KM Rodados ]]/Tabela6[[#This Row],[CONSUMO]]</f>
        <v>5.117035401530635</v>
      </c>
    </row>
    <row r="2509" spans="1:14" x14ac:dyDescent="0.25">
      <c r="A2509" s="47">
        <v>210533</v>
      </c>
      <c r="B2509" s="78">
        <v>45197</v>
      </c>
      <c r="C2509" s="47" t="s">
        <v>23</v>
      </c>
      <c r="D2509" s="49" t="s">
        <v>262</v>
      </c>
      <c r="E2509" s="47">
        <v>247638</v>
      </c>
      <c r="G2509" s="50" t="s">
        <v>241</v>
      </c>
      <c r="H2509" s="51">
        <v>7.9779999999999998</v>
      </c>
      <c r="I2509" s="49">
        <v>2.87</v>
      </c>
      <c r="J2509" s="51">
        <v>3.69</v>
      </c>
      <c r="K2509" s="74">
        <f>Tabela6[[#This Row],[CONSUMO]]*Tabela6[[#This Row],[VALOR UNIT]]-Tabela6[[#This Row],[DESCONTO]]</f>
        <v>26.568819999999999</v>
      </c>
      <c r="L2509" s="53">
        <f>Tabela6[[#This Row],[CUSTO TOTAL]]/Tabela6[[#This Row],[CONSUMO]]</f>
        <v>3.3302607169716723</v>
      </c>
      <c r="M2509" s="53"/>
      <c r="N2509" s="49"/>
    </row>
    <row r="2510" spans="1:14" x14ac:dyDescent="0.25">
      <c r="A2510" s="47">
        <v>7433</v>
      </c>
      <c r="B2510" s="78">
        <v>45198</v>
      </c>
      <c r="C2510" s="47" t="s">
        <v>68</v>
      </c>
      <c r="D2510" s="49" t="s">
        <v>299</v>
      </c>
      <c r="E2510" s="47">
        <v>919335</v>
      </c>
      <c r="G2510" s="50" t="s">
        <v>89</v>
      </c>
      <c r="H2510" s="51">
        <v>320</v>
      </c>
      <c r="J2510" s="51">
        <v>5.8</v>
      </c>
      <c r="K2510" s="74">
        <f>Tabela6[[#This Row],[CONSUMO]]*Tabela6[[#This Row],[VALOR UNIT]]-Tabela6[[#This Row],[DESCONTO]]</f>
        <v>1856</v>
      </c>
      <c r="L2510" s="53">
        <f>Tabela6[[#This Row],[CUSTO TOTAL]]/Tabela6[[#This Row],[CONSUMO]]</f>
        <v>5.8</v>
      </c>
      <c r="M2510" s="50">
        <f>Tabela6[[#This Row],[KM ATUAL]]-E2475</f>
        <v>-46873</v>
      </c>
      <c r="N2510" s="51">
        <f>Tabela6[[#This Row],[KM Rodados ]]/Tabela6[[#This Row],[CONSUMO]]</f>
        <v>-146.47812500000001</v>
      </c>
    </row>
    <row r="2511" spans="1:14" x14ac:dyDescent="0.25">
      <c r="A2511" s="47">
        <v>7433</v>
      </c>
      <c r="B2511" s="78">
        <v>45198</v>
      </c>
      <c r="C2511" s="47" t="s">
        <v>222</v>
      </c>
      <c r="D2511" s="49" t="s">
        <v>299</v>
      </c>
      <c r="E2511" s="47">
        <v>505361</v>
      </c>
      <c r="G2511" s="50" t="s">
        <v>89</v>
      </c>
      <c r="H2511" s="51">
        <v>455</v>
      </c>
      <c r="J2511" s="51">
        <v>5.8</v>
      </c>
      <c r="K2511" s="74">
        <f>Tabela6[[#This Row],[CONSUMO]]*Tabela6[[#This Row],[VALOR UNIT]]-Tabela6[[#This Row],[DESCONTO]]</f>
        <v>2639</v>
      </c>
      <c r="L2511" s="53">
        <f>Tabela6[[#This Row],[CUSTO TOTAL]]/Tabela6[[#This Row],[CONSUMO]]</f>
        <v>5.8</v>
      </c>
      <c r="M2511" s="50">
        <f>Tabela6[[#This Row],[KM ATUAL]]-E2453</f>
        <v>401961</v>
      </c>
      <c r="N2511" s="51">
        <f>Tabela6[[#This Row],[KM Rodados ]]/Tabela6[[#This Row],[CONSUMO]]</f>
        <v>883.43076923076922</v>
      </c>
    </row>
    <row r="2512" spans="1:14" x14ac:dyDescent="0.25">
      <c r="A2512" s="47">
        <v>210649</v>
      </c>
      <c r="B2512" s="78">
        <v>45198</v>
      </c>
      <c r="C2512" s="47" t="s">
        <v>222</v>
      </c>
      <c r="D2512" s="49" t="s">
        <v>262</v>
      </c>
      <c r="E2512" s="47">
        <v>505364</v>
      </c>
      <c r="G2512" s="50" t="s">
        <v>241</v>
      </c>
      <c r="H2512" s="51">
        <v>39.426000000000002</v>
      </c>
      <c r="I2512" s="49">
        <v>14.19</v>
      </c>
      <c r="J2512" s="51">
        <v>3.69</v>
      </c>
      <c r="K2512" s="74">
        <f>Tabela6[[#This Row],[CONSUMO]]*Tabela6[[#This Row],[VALOR UNIT]]-Tabela6[[#This Row],[DESCONTO]]</f>
        <v>131.29194000000001</v>
      </c>
      <c r="L2512" s="53">
        <f>Tabela6[[#This Row],[CUSTO TOTAL]]/Tabela6[[#This Row],[CONSUMO]]</f>
        <v>3.330085222949323</v>
      </c>
      <c r="M2512" s="53"/>
      <c r="N2512" s="49"/>
    </row>
    <row r="2513" spans="1:14" x14ac:dyDescent="0.25">
      <c r="A2513" s="47">
        <v>7433</v>
      </c>
      <c r="B2513" s="78">
        <v>45198</v>
      </c>
      <c r="C2513" s="47" t="s">
        <v>22</v>
      </c>
      <c r="D2513" s="49" t="s">
        <v>299</v>
      </c>
      <c r="E2513" s="47">
        <v>337700</v>
      </c>
      <c r="G2513" s="50" t="s">
        <v>89</v>
      </c>
      <c r="H2513" s="51">
        <v>116</v>
      </c>
      <c r="J2513" s="51">
        <v>5.8</v>
      </c>
      <c r="K2513" s="74">
        <f>Tabela6[[#This Row],[CONSUMO]]*Tabela6[[#This Row],[VALOR UNIT]]-Tabela6[[#This Row],[DESCONTO]]</f>
        <v>672.8</v>
      </c>
      <c r="L2513" s="53">
        <f>Tabela6[[#This Row],[CUSTO TOTAL]]/Tabela6[[#This Row],[CONSUMO]]</f>
        <v>5.8</v>
      </c>
      <c r="M2513" s="50">
        <f>Tabela6[[#This Row],[KM ATUAL]]-E2459</f>
        <v>242773</v>
      </c>
      <c r="N2513" s="51">
        <f>Tabela6[[#This Row],[KM Rodados ]]/Tabela6[[#This Row],[CONSUMO]]</f>
        <v>2092.8706896551726</v>
      </c>
    </row>
    <row r="2514" spans="1:14" x14ac:dyDescent="0.25">
      <c r="A2514" s="47">
        <v>210593</v>
      </c>
      <c r="B2514" s="78">
        <v>45198</v>
      </c>
      <c r="C2514" s="47" t="s">
        <v>39</v>
      </c>
      <c r="D2514" s="49" t="s">
        <v>262</v>
      </c>
      <c r="E2514" s="47">
        <v>104616</v>
      </c>
      <c r="G2514" s="50" t="s">
        <v>89</v>
      </c>
      <c r="H2514" s="51">
        <v>21.228999999999999</v>
      </c>
      <c r="J2514" s="51">
        <v>6.19</v>
      </c>
      <c r="K2514" s="74">
        <f>Tabela6[[#This Row],[CONSUMO]]*Tabela6[[#This Row],[VALOR UNIT]]-Tabela6[[#This Row],[DESCONTO]]</f>
        <v>131.40751</v>
      </c>
      <c r="L2514" s="53">
        <f>Tabela6[[#This Row],[CUSTO TOTAL]]/Tabela6[[#This Row],[CONSUMO]]</f>
        <v>6.19</v>
      </c>
      <c r="M2514" s="50">
        <f>Tabela6[[#This Row],[KM ATUAL]]-E2493</f>
        <v>-521266</v>
      </c>
      <c r="N2514" s="51">
        <f>Tabela6[[#This Row],[KM Rodados ]]/Tabela6[[#This Row],[CONSUMO]]</f>
        <v>-24554.430260492722</v>
      </c>
    </row>
    <row r="2515" spans="1:14" x14ac:dyDescent="0.25">
      <c r="A2515" s="47">
        <v>139745</v>
      </c>
      <c r="B2515" s="78">
        <v>45198</v>
      </c>
      <c r="C2515" s="47" t="s">
        <v>203</v>
      </c>
      <c r="D2515" s="49" t="s">
        <v>260</v>
      </c>
      <c r="E2515" s="47">
        <v>113680</v>
      </c>
      <c r="G2515" s="50" t="s">
        <v>244</v>
      </c>
      <c r="H2515" s="51">
        <v>48.359000000000002</v>
      </c>
      <c r="J2515" s="51">
        <v>5.79</v>
      </c>
      <c r="K2515" s="74">
        <f>Tabela6[[#This Row],[CONSUMO]]*Tabela6[[#This Row],[VALOR UNIT]]-Tabela6[[#This Row],[DESCONTO]]</f>
        <v>279.99860999999999</v>
      </c>
      <c r="L2515" s="53">
        <f>Tabela6[[#This Row],[CUSTO TOTAL]]/Tabela6[[#This Row],[CONSUMO]]</f>
        <v>5.7899999999999991</v>
      </c>
      <c r="M2515" s="50">
        <f>Tabela6[[#This Row],[KM ATUAL]]-E2464</f>
        <v>-271884</v>
      </c>
      <c r="N2515" s="51">
        <f>Tabela6[[#This Row],[KM Rodados ]]/Tabela6[[#This Row],[CONSUMO]]</f>
        <v>-5622.2006244959575</v>
      </c>
    </row>
    <row r="2516" spans="1:14" x14ac:dyDescent="0.25">
      <c r="A2516" s="47">
        <v>7433</v>
      </c>
      <c r="B2516" s="78">
        <v>45198</v>
      </c>
      <c r="C2516" s="47" t="s">
        <v>72</v>
      </c>
      <c r="D2516" s="49" t="s">
        <v>299</v>
      </c>
      <c r="E2516" s="47">
        <v>415965</v>
      </c>
      <c r="G2516" s="50" t="s">
        <v>89</v>
      </c>
      <c r="H2516" s="51">
        <v>29</v>
      </c>
      <c r="J2516" s="51">
        <v>5.8</v>
      </c>
      <c r="K2516" s="74">
        <f>Tabela6[[#This Row],[CONSUMO]]*Tabela6[[#This Row],[VALOR UNIT]]-Tabela6[[#This Row],[DESCONTO]]</f>
        <v>168.2</v>
      </c>
      <c r="L2516" s="53">
        <f>Tabela6[[#This Row],[CUSTO TOTAL]]/Tabela6[[#This Row],[CONSUMO]]</f>
        <v>5.8</v>
      </c>
      <c r="M2516" s="50">
        <f>Tabela6[[#This Row],[KM ATUAL]]-E2515</f>
        <v>302285</v>
      </c>
      <c r="N2516" s="51">
        <f>Tabela6[[#This Row],[KM Rodados ]]/Tabela6[[#This Row],[CONSUMO]]</f>
        <v>10423.620689655172</v>
      </c>
    </row>
    <row r="2517" spans="1:14" x14ac:dyDescent="0.25">
      <c r="A2517" s="47">
        <v>698124</v>
      </c>
      <c r="B2517" s="78">
        <v>45198</v>
      </c>
      <c r="C2517" s="47" t="s">
        <v>73</v>
      </c>
      <c r="D2517" s="49" t="s">
        <v>233</v>
      </c>
      <c r="E2517" s="47">
        <v>151167</v>
      </c>
      <c r="G2517" s="50" t="s">
        <v>89</v>
      </c>
      <c r="H2517" s="51">
        <v>28.64</v>
      </c>
      <c r="J2517" s="51">
        <v>6.19</v>
      </c>
      <c r="K2517" s="74">
        <f>Tabela6[[#This Row],[CONSUMO]]*Tabela6[[#This Row],[VALOR UNIT]]-Tabela6[[#This Row],[DESCONTO]]</f>
        <v>177.28160000000003</v>
      </c>
      <c r="L2517" s="53">
        <f>Tabela6[[#This Row],[CUSTO TOTAL]]/Tabela6[[#This Row],[CONSUMO]]</f>
        <v>6.19</v>
      </c>
      <c r="M2517" s="50">
        <f>Tabela6[[#This Row],[KM ATUAL]]-E2516</f>
        <v>-264798</v>
      </c>
      <c r="N2517" s="51">
        <f>Tabela6[[#This Row],[KM Rodados ]]/Tabela6[[#This Row],[CONSUMO]]</f>
        <v>-9245.7402234636866</v>
      </c>
    </row>
    <row r="2518" spans="1:14" x14ac:dyDescent="0.25">
      <c r="A2518" s="47">
        <v>7433</v>
      </c>
      <c r="B2518" s="78">
        <v>45198</v>
      </c>
      <c r="C2518" s="47" t="s">
        <v>73</v>
      </c>
      <c r="D2518" s="49" t="s">
        <v>299</v>
      </c>
      <c r="E2518" s="47">
        <v>151616</v>
      </c>
      <c r="G2518" s="50" t="s">
        <v>89</v>
      </c>
      <c r="H2518" s="51">
        <v>95</v>
      </c>
      <c r="J2518" s="51">
        <v>5.8</v>
      </c>
      <c r="K2518" s="74">
        <f>Tabela6[[#This Row],[CONSUMO]]*Tabela6[[#This Row],[VALOR UNIT]]-Tabela6[[#This Row],[DESCONTO]]</f>
        <v>551</v>
      </c>
      <c r="L2518" s="53">
        <f>Tabela6[[#This Row],[CUSTO TOTAL]]/Tabela6[[#This Row],[CONSUMO]]</f>
        <v>5.8</v>
      </c>
      <c r="M2518" s="50">
        <f>Tabela6[[#This Row],[KM ATUAL]]-E2512</f>
        <v>-353748</v>
      </c>
      <c r="N2518" s="51">
        <f>Tabela6[[#This Row],[KM Rodados ]]/Tabela6[[#This Row],[CONSUMO]]</f>
        <v>-3723.6631578947367</v>
      </c>
    </row>
    <row r="2519" spans="1:14" x14ac:dyDescent="0.25">
      <c r="A2519" s="47">
        <v>7433</v>
      </c>
      <c r="B2519" s="78">
        <v>45198</v>
      </c>
      <c r="C2519" s="47" t="s">
        <v>21</v>
      </c>
      <c r="D2519" s="49" t="s">
        <v>299</v>
      </c>
      <c r="E2519" s="47">
        <v>156405</v>
      </c>
      <c r="G2519" s="50" t="s">
        <v>89</v>
      </c>
      <c r="H2519" s="51">
        <v>112</v>
      </c>
      <c r="J2519" s="51">
        <v>5.8</v>
      </c>
      <c r="K2519" s="74">
        <f>Tabela6[[#This Row],[CONSUMO]]*Tabela6[[#This Row],[VALOR UNIT]]-Tabela6[[#This Row],[DESCONTO]]</f>
        <v>649.6</v>
      </c>
      <c r="L2519" s="53">
        <f>Tabela6[[#This Row],[CUSTO TOTAL]]/Tabela6[[#This Row],[CONSUMO]]</f>
        <v>5.8</v>
      </c>
      <c r="M2519" s="50">
        <f>Tabela6[[#This Row],[KM ATUAL]]-E2495</f>
        <v>51912</v>
      </c>
      <c r="N2519" s="51">
        <f>Tabela6[[#This Row],[KM Rodados ]]/Tabela6[[#This Row],[CONSUMO]]</f>
        <v>463.5</v>
      </c>
    </row>
    <row r="2520" spans="1:14" x14ac:dyDescent="0.25">
      <c r="A2520" s="47">
        <v>853657</v>
      </c>
      <c r="B2520" s="78">
        <v>45198</v>
      </c>
      <c r="C2520" s="47" t="s">
        <v>13</v>
      </c>
      <c r="D2520" s="49" t="s">
        <v>277</v>
      </c>
      <c r="E2520" s="47">
        <v>652721</v>
      </c>
      <c r="G2520" s="50" t="s">
        <v>89</v>
      </c>
      <c r="H2520" s="51">
        <v>46.948399999999999</v>
      </c>
      <c r="J2520" s="51">
        <v>6.39</v>
      </c>
      <c r="K2520" s="74">
        <f>Tabela6[[#This Row],[CONSUMO]]*Tabela6[[#This Row],[VALOR UNIT]]-Tabela6[[#This Row],[DESCONTO]]</f>
        <v>300.00027599999999</v>
      </c>
      <c r="L2520" s="53">
        <f>Tabela6[[#This Row],[CUSTO TOTAL]]/Tabela6[[#This Row],[CONSUMO]]</f>
        <v>6.39</v>
      </c>
      <c r="M2520" s="50">
        <f>Tabela6[[#This Row],[KM ATUAL]]-E2519</f>
        <v>496316</v>
      </c>
      <c r="N2520" s="51">
        <f>Tabela6[[#This Row],[KM Rodados ]]/Tabela6[[#This Row],[CONSUMO]]</f>
        <v>10571.521074200611</v>
      </c>
    </row>
    <row r="2521" spans="1:14" x14ac:dyDescent="0.25">
      <c r="A2521" s="47">
        <v>7433</v>
      </c>
      <c r="B2521" s="78">
        <v>45198</v>
      </c>
      <c r="C2521" s="47" t="s">
        <v>13</v>
      </c>
      <c r="D2521" s="49" t="s">
        <v>299</v>
      </c>
      <c r="E2521" s="47">
        <v>652931</v>
      </c>
      <c r="G2521" s="50" t="s">
        <v>89</v>
      </c>
      <c r="H2521" s="51">
        <v>125</v>
      </c>
      <c r="J2521" s="51">
        <v>5.8</v>
      </c>
      <c r="K2521" s="74">
        <f>Tabela6[[#This Row],[CONSUMO]]*Tabela6[[#This Row],[VALOR UNIT]]-Tabela6[[#This Row],[DESCONTO]]</f>
        <v>725</v>
      </c>
      <c r="L2521" s="53">
        <f>Tabela6[[#This Row],[CUSTO TOTAL]]/Tabela6[[#This Row],[CONSUMO]]</f>
        <v>5.8</v>
      </c>
      <c r="M2521" s="50">
        <f>Tabela6[[#This Row],[KM ATUAL]]-E2493</f>
        <v>27049</v>
      </c>
      <c r="N2521" s="51">
        <f>Tabela6[[#This Row],[KM Rodados ]]/Tabela6[[#This Row],[CONSUMO]]</f>
        <v>216.392</v>
      </c>
    </row>
    <row r="2522" spans="1:14" x14ac:dyDescent="0.25">
      <c r="A2522" s="47">
        <v>51675</v>
      </c>
      <c r="B2522" s="78">
        <v>45198</v>
      </c>
      <c r="C2522" s="47" t="s">
        <v>14</v>
      </c>
      <c r="D2522" s="49" t="s">
        <v>253</v>
      </c>
      <c r="E2522" s="47">
        <v>297782</v>
      </c>
      <c r="G2522" s="50" t="s">
        <v>244</v>
      </c>
      <c r="H2522" s="51">
        <v>32.96</v>
      </c>
      <c r="J2522" s="51">
        <v>5.67</v>
      </c>
      <c r="K2522" s="74">
        <f>Tabela6[[#This Row],[CONSUMO]]*Tabela6[[#This Row],[VALOR UNIT]]-Tabela6[[#This Row],[DESCONTO]]</f>
        <v>186.88320000000002</v>
      </c>
      <c r="L2522" s="53">
        <f>Tabela6[[#This Row],[CUSTO TOTAL]]/Tabela6[[#This Row],[CONSUMO]]</f>
        <v>5.67</v>
      </c>
      <c r="M2522" s="50">
        <f>Tabela6[[#This Row],[KM ATUAL]]-E2466</f>
        <v>24097</v>
      </c>
      <c r="N2522" s="51">
        <f>Tabela6[[#This Row],[KM Rodados ]]/Tabela6[[#This Row],[CONSUMO]]</f>
        <v>731.09830097087377</v>
      </c>
    </row>
    <row r="2523" spans="1:14" x14ac:dyDescent="0.25">
      <c r="A2523" s="47">
        <v>569464</v>
      </c>
      <c r="B2523" s="78">
        <v>45198</v>
      </c>
      <c r="C2523" s="47" t="s">
        <v>18</v>
      </c>
      <c r="D2523" s="49" t="s">
        <v>255</v>
      </c>
      <c r="E2523" s="47">
        <v>330579</v>
      </c>
      <c r="G2523" s="50" t="s">
        <v>89</v>
      </c>
      <c r="H2523" s="51">
        <v>74.290999999999997</v>
      </c>
      <c r="J2523" s="51">
        <v>6.89</v>
      </c>
      <c r="K2523" s="74">
        <f>Tabela6[[#This Row],[CONSUMO]]*Tabela6[[#This Row],[VALOR UNIT]]-Tabela6[[#This Row],[DESCONTO]]</f>
        <v>511.86498999999998</v>
      </c>
      <c r="L2523" s="53">
        <f>Tabela6[[#This Row],[CUSTO TOTAL]]/Tabela6[[#This Row],[CONSUMO]]</f>
        <v>6.89</v>
      </c>
      <c r="M2523" s="50">
        <f>Tabela6[[#This Row],[KM ATUAL]]-E2514</f>
        <v>225963</v>
      </c>
      <c r="N2523" s="51">
        <f>Tabela6[[#This Row],[KM Rodados ]]/Tabela6[[#This Row],[CONSUMO]]</f>
        <v>3041.5931943304035</v>
      </c>
    </row>
    <row r="2524" spans="1:14" x14ac:dyDescent="0.25">
      <c r="A2524" s="47">
        <v>569268</v>
      </c>
      <c r="B2524" s="78">
        <v>45198</v>
      </c>
      <c r="C2524" s="47" t="s">
        <v>38</v>
      </c>
      <c r="D2524" s="49" t="s">
        <v>255</v>
      </c>
      <c r="E2524" s="47">
        <v>137241</v>
      </c>
      <c r="G2524" s="50" t="s">
        <v>244</v>
      </c>
      <c r="H2524" s="51">
        <v>52.26</v>
      </c>
      <c r="J2524" s="51">
        <v>6.94</v>
      </c>
      <c r="K2524" s="74">
        <f>Tabela6[[#This Row],[CONSUMO]]*Tabela6[[#This Row],[VALOR UNIT]]-Tabela6[[#This Row],[DESCONTO]]</f>
        <v>362.68439999999998</v>
      </c>
      <c r="L2524" s="53">
        <f>Tabela6[[#This Row],[CUSTO TOTAL]]/Tabela6[[#This Row],[CONSUMO]]</f>
        <v>6.9399999999999995</v>
      </c>
      <c r="M2524" s="50">
        <f>Tabela6[[#This Row],[KM ATUAL]]-E2418</f>
        <v>-135677</v>
      </c>
      <c r="N2524" s="51">
        <f>Tabela6[[#This Row],[KM Rodados ]]/Tabela6[[#This Row],[CONSUMO]]</f>
        <v>-2596.1921163413704</v>
      </c>
    </row>
    <row r="2525" spans="1:14" x14ac:dyDescent="0.25">
      <c r="A2525" s="47">
        <v>7433</v>
      </c>
      <c r="B2525" s="78">
        <v>45198</v>
      </c>
      <c r="C2525" s="47" t="s">
        <v>315</v>
      </c>
      <c r="D2525" s="49" t="s">
        <v>299</v>
      </c>
      <c r="E2525" s="47">
        <v>1213</v>
      </c>
      <c r="G2525" s="50" t="s">
        <v>89</v>
      </c>
      <c r="H2525" s="51">
        <v>14</v>
      </c>
      <c r="J2525" s="51">
        <v>5.8</v>
      </c>
      <c r="K2525" s="74">
        <f>Tabela6[[#This Row],[CONSUMO]]*Tabela6[[#This Row],[VALOR UNIT]]-Tabela6[[#This Row],[DESCONTO]]</f>
        <v>81.2</v>
      </c>
      <c r="L2525" s="53">
        <f>Tabela6[[#This Row],[CUSTO TOTAL]]/Tabela6[[#This Row],[CONSUMO]]</f>
        <v>5.8</v>
      </c>
      <c r="M2525" s="50">
        <f>Tabela6[[#This Row],[KM ATUAL]]-E2352</f>
        <v>130</v>
      </c>
      <c r="N2525" s="51">
        <f>Tabela6[[#This Row],[KM Rodados ]]/Tabela6[[#This Row],[CONSUMO]]</f>
        <v>9.2857142857142865</v>
      </c>
    </row>
    <row r="2526" spans="1:14" x14ac:dyDescent="0.25">
      <c r="A2526" s="47" t="s">
        <v>314</v>
      </c>
      <c r="B2526" s="78">
        <v>45199</v>
      </c>
      <c r="C2526" s="47" t="s">
        <v>15</v>
      </c>
      <c r="E2526" s="47">
        <v>386842</v>
      </c>
      <c r="G2526" s="50" t="s">
        <v>89</v>
      </c>
      <c r="H2526" s="51">
        <v>98.5</v>
      </c>
      <c r="K2526" s="74">
        <f>Tabela6[[#This Row],[CONSUMO]]*Tabela6[[#This Row],[VALOR UNIT]]-Tabela6[[#This Row],[DESCONTO]]</f>
        <v>0</v>
      </c>
      <c r="L2526" s="53">
        <f>Tabela6[[#This Row],[CUSTO TOTAL]]/Tabela6[[#This Row],[CONSUMO]]</f>
        <v>0</v>
      </c>
      <c r="M2526" s="50">
        <f>Tabela6[[#This Row],[KM ATUAL]]-E2469</f>
        <v>-238532</v>
      </c>
      <c r="N2526" s="51">
        <f>Tabela6[[#This Row],[KM Rodados ]]/Tabela6[[#This Row],[CONSUMO]]</f>
        <v>-2421.6446700507613</v>
      </c>
    </row>
    <row r="2527" spans="1:14" x14ac:dyDescent="0.25">
      <c r="A2527" s="47">
        <v>4311431</v>
      </c>
      <c r="B2527" s="78">
        <v>45200</v>
      </c>
      <c r="C2527" s="47" t="s">
        <v>73</v>
      </c>
      <c r="D2527" s="49" t="s">
        <v>311</v>
      </c>
      <c r="E2527" s="47">
        <v>152455</v>
      </c>
      <c r="G2527" s="50" t="s">
        <v>89</v>
      </c>
      <c r="H2527" s="51">
        <v>194.03899999999999</v>
      </c>
      <c r="I2527" s="49">
        <v>258.07</v>
      </c>
      <c r="J2527" s="51">
        <v>7.42</v>
      </c>
      <c r="K2527" s="74">
        <f>Tabela6[[#This Row],[CONSUMO]]*Tabela6[[#This Row],[VALOR UNIT]]-Tabela6[[#This Row],[DESCONTO]]</f>
        <v>1181.69938</v>
      </c>
      <c r="L2527" s="53">
        <f>Tabela6[[#This Row],[CUSTO TOTAL]]/Tabela6[[#This Row],[CONSUMO]]</f>
        <v>6.0900096372378751</v>
      </c>
      <c r="M2527" s="50">
        <f>Tabela6[[#This Row],[KM ATUAL]]-E2491</f>
        <v>72849</v>
      </c>
      <c r="N2527" s="51">
        <f>Tabela6[[#This Row],[KM Rodados ]]/Tabela6[[#This Row],[CONSUMO]]</f>
        <v>375.43483526507561</v>
      </c>
    </row>
    <row r="2528" spans="1:14" x14ac:dyDescent="0.25">
      <c r="A2528" s="47">
        <v>139</v>
      </c>
      <c r="B2528" s="78">
        <v>45200</v>
      </c>
      <c r="C2528" s="47" t="s">
        <v>71</v>
      </c>
      <c r="D2528" s="49" t="s">
        <v>324</v>
      </c>
      <c r="E2528" s="47">
        <v>127225</v>
      </c>
      <c r="G2528" s="50" t="s">
        <v>89</v>
      </c>
      <c r="H2528" s="51">
        <v>259.33999999999997</v>
      </c>
      <c r="J2528" s="51">
        <v>5.99</v>
      </c>
      <c r="K2528" s="74">
        <f>Tabela6[[#This Row],[CONSUMO]]*Tabela6[[#This Row],[VALOR UNIT]]-Tabela6[[#This Row],[DESCONTO]]</f>
        <v>1553.4466</v>
      </c>
      <c r="L2528" s="53">
        <f>Tabela6[[#This Row],[CUSTO TOTAL]]/Tabela6[[#This Row],[CONSUMO]]</f>
        <v>5.99</v>
      </c>
      <c r="M2528" s="50">
        <f>Tabela6[[#This Row],[KM ATUAL]]-E2476</f>
        <v>-169573</v>
      </c>
      <c r="N2528" s="51">
        <f>Tabela6[[#This Row],[KM Rodados ]]/Tabela6[[#This Row],[CONSUMO]]</f>
        <v>-653.86365389064554</v>
      </c>
    </row>
    <row r="2529" spans="1:14" x14ac:dyDescent="0.25">
      <c r="A2529" s="47" t="s">
        <v>314</v>
      </c>
      <c r="B2529" s="78">
        <v>45200</v>
      </c>
      <c r="C2529" s="47" t="s">
        <v>206</v>
      </c>
      <c r="E2529" s="47">
        <v>967524</v>
      </c>
      <c r="G2529" s="50" t="s">
        <v>89</v>
      </c>
      <c r="H2529" s="51">
        <v>398</v>
      </c>
      <c r="K2529" s="74">
        <f>Tabela6[[#This Row],[CONSUMO]]*Tabela6[[#This Row],[VALOR UNIT]]-Tabela6[[#This Row],[DESCONTO]]</f>
        <v>0</v>
      </c>
      <c r="L2529" s="53">
        <f>Tabela6[[#This Row],[CUSTO TOTAL]]/Tabela6[[#This Row],[CONSUMO]]</f>
        <v>0</v>
      </c>
      <c r="M2529" s="50">
        <f>Tabela6[[#This Row],[KM ATUAL]]-E2369</f>
        <v>808575</v>
      </c>
      <c r="N2529" s="51">
        <f>Tabela6[[#This Row],[KM Rodados ]]/Tabela6[[#This Row],[CONSUMO]]</f>
        <v>2031.5954773869346</v>
      </c>
    </row>
    <row r="2530" spans="1:14" x14ac:dyDescent="0.25">
      <c r="A2530" s="47">
        <v>379801</v>
      </c>
      <c r="B2530" s="78">
        <v>45201</v>
      </c>
      <c r="C2530" s="47" t="s">
        <v>43</v>
      </c>
      <c r="D2530" s="49" t="s">
        <v>309</v>
      </c>
      <c r="E2530" s="47">
        <v>150636</v>
      </c>
      <c r="G2530" s="50" t="s">
        <v>89</v>
      </c>
      <c r="H2530" s="51">
        <v>43.26</v>
      </c>
      <c r="J2530" s="51">
        <v>6.02</v>
      </c>
      <c r="K2530" s="74">
        <f>Tabela6[[#This Row],[CONSUMO]]*Tabela6[[#This Row],[VALOR UNIT]]-Tabela6[[#This Row],[DESCONTO]]</f>
        <v>260.42519999999996</v>
      </c>
      <c r="L2530" s="53">
        <f>Tabela6[[#This Row],[CUSTO TOTAL]]/Tabela6[[#This Row],[CONSUMO]]</f>
        <v>6.02</v>
      </c>
      <c r="M2530" s="50">
        <f>Tabela6[[#This Row],[KM ATUAL]]-E2498</f>
        <v>-251156</v>
      </c>
      <c r="N2530" s="51">
        <f>Tabela6[[#This Row],[KM Rodados ]]/Tabela6[[#This Row],[CONSUMO]]</f>
        <v>-5805.732778548313</v>
      </c>
    </row>
    <row r="2531" spans="1:14" x14ac:dyDescent="0.25">
      <c r="A2531" s="47">
        <v>697320</v>
      </c>
      <c r="B2531" s="78">
        <v>45201</v>
      </c>
      <c r="C2531" s="47" t="s">
        <v>43</v>
      </c>
      <c r="D2531" s="49" t="s">
        <v>264</v>
      </c>
      <c r="E2531" s="47">
        <v>150978</v>
      </c>
      <c r="G2531" s="50" t="s">
        <v>89</v>
      </c>
      <c r="H2531" s="51">
        <v>43.12</v>
      </c>
      <c r="J2531" s="51">
        <v>6.22</v>
      </c>
      <c r="K2531" s="74">
        <f>Tabela6[[#This Row],[CONSUMO]]*Tabela6[[#This Row],[VALOR UNIT]]-Tabela6[[#This Row],[DESCONTO]]</f>
        <v>268.20639999999997</v>
      </c>
      <c r="L2531" s="53">
        <f>Tabela6[[#This Row],[CUSTO TOTAL]]/Tabela6[[#This Row],[CONSUMO]]</f>
        <v>6.22</v>
      </c>
      <c r="M2531" s="50">
        <f>Tabela6[[#This Row],[KM ATUAL]]-E2530</f>
        <v>342</v>
      </c>
      <c r="N2531" s="51">
        <f>Tabela6[[#This Row],[KM Rodados ]]/Tabela6[[#This Row],[CONSUMO]]</f>
        <v>7.9313543599257894</v>
      </c>
    </row>
    <row r="2532" spans="1:14" x14ac:dyDescent="0.25">
      <c r="A2532" s="47">
        <v>672963</v>
      </c>
      <c r="B2532" s="78">
        <v>45201</v>
      </c>
      <c r="C2532" s="47" t="s">
        <v>9</v>
      </c>
      <c r="D2532" s="49" t="s">
        <v>271</v>
      </c>
      <c r="E2532" s="47">
        <v>626486</v>
      </c>
      <c r="G2532" s="50" t="s">
        <v>89</v>
      </c>
      <c r="H2532" s="51">
        <v>153</v>
      </c>
      <c r="J2532" s="51">
        <v>5.99</v>
      </c>
      <c r="K2532" s="74">
        <f>Tabela6[[#This Row],[CONSUMO]]*Tabela6[[#This Row],[VALOR UNIT]]-Tabela6[[#This Row],[DESCONTO]]</f>
        <v>916.47</v>
      </c>
      <c r="L2532" s="53">
        <f>Tabela6[[#This Row],[CUSTO TOTAL]]/Tabela6[[#This Row],[CONSUMO]]</f>
        <v>5.99</v>
      </c>
      <c r="M2532" s="50">
        <f>Tabela6[[#This Row],[KM ATUAL]]-E2486</f>
        <v>210776</v>
      </c>
      <c r="N2532" s="51">
        <f>Tabela6[[#This Row],[KM Rodados ]]/Tabela6[[#This Row],[CONSUMO]]</f>
        <v>1377.6209150326797</v>
      </c>
    </row>
    <row r="2533" spans="1:14" x14ac:dyDescent="0.25">
      <c r="A2533" s="47">
        <v>54045</v>
      </c>
      <c r="B2533" s="78">
        <v>45201</v>
      </c>
      <c r="C2533" s="47" t="s">
        <v>42</v>
      </c>
      <c r="D2533" s="49" t="s">
        <v>253</v>
      </c>
      <c r="E2533" s="47">
        <v>373252</v>
      </c>
      <c r="G2533" s="50" t="s">
        <v>89</v>
      </c>
      <c r="H2533" s="51">
        <v>116.41</v>
      </c>
      <c r="J2533" s="51">
        <v>6.09</v>
      </c>
      <c r="K2533" s="74">
        <f>Tabela6[[#This Row],[CONSUMO]]*Tabela6[[#This Row],[VALOR UNIT]]-Tabela6[[#This Row],[DESCONTO]]</f>
        <v>708.93689999999992</v>
      </c>
      <c r="L2533" s="53">
        <f>Tabela6[[#This Row],[CUSTO TOTAL]]/Tabela6[[#This Row],[CONSUMO]]</f>
        <v>6.09</v>
      </c>
      <c r="M2533" s="50">
        <f>Tabela6[[#This Row],[KM ATUAL]]-E2402</f>
        <v>-11671</v>
      </c>
      <c r="N2533" s="51">
        <f>Tabela6[[#This Row],[KM Rodados ]]/Tabela6[[#This Row],[CONSUMO]]</f>
        <v>-100.2577098187441</v>
      </c>
    </row>
    <row r="2534" spans="1:14" x14ac:dyDescent="0.25">
      <c r="A2534" s="47">
        <v>929249</v>
      </c>
      <c r="B2534" s="78">
        <v>45201</v>
      </c>
      <c r="C2534" s="47" t="s">
        <v>39</v>
      </c>
      <c r="D2534" s="49" t="s">
        <v>307</v>
      </c>
      <c r="E2534" s="47">
        <v>105337</v>
      </c>
      <c r="G2534" s="50" t="s">
        <v>89</v>
      </c>
      <c r="H2534" s="51">
        <v>100</v>
      </c>
      <c r="I2534" s="49">
        <v>95</v>
      </c>
      <c r="J2534" s="51">
        <v>7</v>
      </c>
      <c r="K2534" s="74">
        <f>Tabela6[[#This Row],[CONSUMO]]*Tabela6[[#This Row],[VALOR UNIT]]-Tabela6[[#This Row],[DESCONTO]]</f>
        <v>605</v>
      </c>
      <c r="L2534" s="53">
        <f>Tabela6[[#This Row],[CUSTO TOTAL]]/Tabela6[[#This Row],[CONSUMO]]</f>
        <v>6.05</v>
      </c>
      <c r="M2534" s="50">
        <f>Tabela6[[#This Row],[KM ATUAL]]-E2520</f>
        <v>-547384</v>
      </c>
      <c r="N2534" s="51">
        <f>Tabela6[[#This Row],[KM Rodados ]]/Tabela6[[#This Row],[CONSUMO]]</f>
        <v>-5473.84</v>
      </c>
    </row>
    <row r="2535" spans="1:14" x14ac:dyDescent="0.25">
      <c r="A2535" s="47">
        <v>211218</v>
      </c>
      <c r="B2535" s="78">
        <v>45201</v>
      </c>
      <c r="C2535" s="47" t="s">
        <v>72</v>
      </c>
      <c r="D2535" s="49" t="s">
        <v>262</v>
      </c>
      <c r="E2535" s="47">
        <v>416198</v>
      </c>
      <c r="G2535" s="50" t="s">
        <v>89</v>
      </c>
      <c r="H2535" s="51">
        <v>35.6</v>
      </c>
      <c r="J2535" s="51">
        <v>6.19</v>
      </c>
      <c r="K2535" s="74">
        <f>Tabela6[[#This Row],[CONSUMO]]*Tabela6[[#This Row],[VALOR UNIT]]-Tabela6[[#This Row],[DESCONTO]]</f>
        <v>220.36400000000003</v>
      </c>
      <c r="L2535" s="53">
        <f>Tabela6[[#This Row],[CUSTO TOTAL]]/Tabela6[[#This Row],[CONSUMO]]</f>
        <v>6.19</v>
      </c>
      <c r="M2535" s="50">
        <f>Tabela6[[#This Row],[KM ATUAL]]-E2517</f>
        <v>265031</v>
      </c>
      <c r="N2535" s="51">
        <f>Tabela6[[#This Row],[KM Rodados ]]/Tabela6[[#This Row],[CONSUMO]]</f>
        <v>7444.6910112359546</v>
      </c>
    </row>
    <row r="2536" spans="1:14" x14ac:dyDescent="0.25">
      <c r="A2536" s="47">
        <v>855467</v>
      </c>
      <c r="B2536" s="78">
        <v>45201</v>
      </c>
      <c r="C2536" s="47" t="s">
        <v>72</v>
      </c>
      <c r="D2536" s="49" t="s">
        <v>337</v>
      </c>
      <c r="E2536" s="47">
        <v>416493</v>
      </c>
      <c r="G2536" s="50" t="s">
        <v>89</v>
      </c>
      <c r="H2536" s="51">
        <v>42.35</v>
      </c>
      <c r="J2536" s="51">
        <v>6.59</v>
      </c>
      <c r="K2536" s="74">
        <f>Tabela6[[#This Row],[CONSUMO]]*Tabela6[[#This Row],[VALOR UNIT]]-Tabela6[[#This Row],[DESCONTO]]</f>
        <v>279.0865</v>
      </c>
      <c r="L2536" s="53">
        <f>Tabela6[[#This Row],[CUSTO TOTAL]]/Tabela6[[#This Row],[CONSUMO]]</f>
        <v>6.59</v>
      </c>
      <c r="M2536" s="50">
        <f>Tabela6[[#This Row],[KM ATUAL]]-E2535</f>
        <v>295</v>
      </c>
      <c r="N2536" s="51">
        <f>Tabela6[[#This Row],[KM Rodados ]]/Tabela6[[#This Row],[CONSUMO]]</f>
        <v>6.9657615112160567</v>
      </c>
    </row>
    <row r="2537" spans="1:14" x14ac:dyDescent="0.25">
      <c r="A2537" s="47">
        <v>53825</v>
      </c>
      <c r="B2537" s="78">
        <v>45201</v>
      </c>
      <c r="C2537" s="47" t="s">
        <v>64</v>
      </c>
      <c r="D2537" s="49" t="s">
        <v>253</v>
      </c>
      <c r="E2537" s="47">
        <v>95660</v>
      </c>
      <c r="G2537" s="50" t="s">
        <v>89</v>
      </c>
      <c r="H2537" s="51">
        <v>190.65</v>
      </c>
      <c r="J2537" s="51">
        <v>6.09</v>
      </c>
      <c r="K2537" s="74">
        <f>Tabela6[[#This Row],[CONSUMO]]*Tabela6[[#This Row],[VALOR UNIT]]-Tabela6[[#This Row],[DESCONTO]]</f>
        <v>1161.0585000000001</v>
      </c>
      <c r="L2537" s="53">
        <f>Tabela6[[#This Row],[CUSTO TOTAL]]/Tabela6[[#This Row],[CONSUMO]]</f>
        <v>6.0900000000000007</v>
      </c>
      <c r="M2537" s="50">
        <f>Tabela6[[#This Row],[KM ATUAL]]-E2504</f>
        <v>-234388</v>
      </c>
      <c r="N2537" s="51">
        <f>Tabela6[[#This Row],[KM Rodados ]]/Tabela6[[#This Row],[CONSUMO]]</f>
        <v>-1229.4151586677156</v>
      </c>
    </row>
    <row r="2538" spans="1:14" x14ac:dyDescent="0.25">
      <c r="A2538" s="47">
        <v>7515</v>
      </c>
      <c r="B2538" s="78">
        <v>45201</v>
      </c>
      <c r="C2538" s="47" t="s">
        <v>21</v>
      </c>
      <c r="D2538" s="49" t="s">
        <v>299</v>
      </c>
      <c r="E2538" s="47">
        <v>156721</v>
      </c>
      <c r="G2538" s="50" t="s">
        <v>89</v>
      </c>
      <c r="H2538" s="51">
        <v>88</v>
      </c>
      <c r="J2538" s="51">
        <v>5.83</v>
      </c>
      <c r="K2538" s="74">
        <f>Tabela6[[#This Row],[CONSUMO]]*Tabela6[[#This Row],[VALOR UNIT]]-Tabela6[[#This Row],[DESCONTO]]</f>
        <v>513.04</v>
      </c>
      <c r="L2538" s="53">
        <f>Tabela6[[#This Row],[CUSTO TOTAL]]/Tabela6[[#This Row],[CONSUMO]]</f>
        <v>5.8299999999999992</v>
      </c>
      <c r="M2538" s="50">
        <f>Tabela6[[#This Row],[KM ATUAL]]-E2511</f>
        <v>-348640</v>
      </c>
      <c r="N2538" s="51">
        <f>Tabela6[[#This Row],[KM Rodados ]]/Tabela6[[#This Row],[CONSUMO]]</f>
        <v>-3961.818181818182</v>
      </c>
    </row>
    <row r="2539" spans="1:14" x14ac:dyDescent="0.25">
      <c r="A2539" s="47">
        <v>7515</v>
      </c>
      <c r="B2539" s="78">
        <v>45201</v>
      </c>
      <c r="C2539" s="47" t="s">
        <v>41</v>
      </c>
      <c r="D2539" s="49" t="s">
        <v>299</v>
      </c>
      <c r="E2539" s="47">
        <v>677507</v>
      </c>
      <c r="G2539" s="50" t="s">
        <v>89</v>
      </c>
      <c r="H2539" s="51">
        <v>88</v>
      </c>
      <c r="J2539" s="51">
        <v>5.83</v>
      </c>
      <c r="K2539" s="74">
        <f>Tabela6[[#This Row],[CONSUMO]]*Tabela6[[#This Row],[VALOR UNIT]]-Tabela6[[#This Row],[DESCONTO]]</f>
        <v>513.04</v>
      </c>
      <c r="L2539" s="53">
        <f>Tabela6[[#This Row],[CUSTO TOTAL]]/Tabela6[[#This Row],[CONSUMO]]</f>
        <v>5.8299999999999992</v>
      </c>
      <c r="M2539" s="50">
        <f>Tabela6[[#This Row],[KM ATUAL]]-E2488</f>
        <v>-50156</v>
      </c>
      <c r="N2539" s="51">
        <f>Tabela6[[#This Row],[KM Rodados ]]/Tabela6[[#This Row],[CONSUMO]]</f>
        <v>-569.9545454545455</v>
      </c>
    </row>
    <row r="2540" spans="1:14" x14ac:dyDescent="0.25">
      <c r="A2540" s="47">
        <v>608663</v>
      </c>
      <c r="B2540" s="78">
        <v>45201</v>
      </c>
      <c r="C2540" s="47" t="s">
        <v>301</v>
      </c>
      <c r="D2540" s="49" t="s">
        <v>270</v>
      </c>
      <c r="E2540" s="47">
        <v>1048571</v>
      </c>
      <c r="G2540" s="50" t="s">
        <v>89</v>
      </c>
      <c r="H2540" s="51">
        <v>360.64</v>
      </c>
      <c r="J2540" s="51">
        <v>6.19</v>
      </c>
      <c r="K2540" s="74">
        <f>Tabela6[[#This Row],[CONSUMO]]*Tabela6[[#This Row],[VALOR UNIT]]-Tabela6[[#This Row],[DESCONTO]]</f>
        <v>2232.3616000000002</v>
      </c>
      <c r="L2540" s="53">
        <f>Tabela6[[#This Row],[CUSTO TOTAL]]/Tabela6[[#This Row],[CONSUMO]]</f>
        <v>6.19</v>
      </c>
      <c r="M2540" s="50">
        <f>Tabela6[[#This Row],[KM ATUAL]]-E2514</f>
        <v>943955</v>
      </c>
      <c r="N2540" s="51">
        <f>Tabela6[[#This Row],[KM Rodados ]]/Tabela6[[#This Row],[CONSUMO]]</f>
        <v>2617.4439884649514</v>
      </c>
    </row>
    <row r="2541" spans="1:14" x14ac:dyDescent="0.25">
      <c r="A2541" s="47">
        <v>53761</v>
      </c>
      <c r="B2541" s="78">
        <v>45201</v>
      </c>
      <c r="C2541" s="47" t="s">
        <v>12</v>
      </c>
      <c r="D2541" s="49" t="s">
        <v>253</v>
      </c>
      <c r="E2541" s="119">
        <v>322506</v>
      </c>
      <c r="G2541" s="50" t="s">
        <v>89</v>
      </c>
      <c r="H2541" s="51">
        <v>95.8</v>
      </c>
      <c r="J2541" s="51">
        <v>6.09</v>
      </c>
      <c r="K2541" s="74">
        <f>Tabela6[[#This Row],[CONSUMO]]*Tabela6[[#This Row],[VALOR UNIT]]-Tabela6[[#This Row],[DESCONTO]]</f>
        <v>583.42200000000003</v>
      </c>
      <c r="L2541" s="53">
        <f>Tabela6[[#This Row],[CUSTO TOTAL]]/Tabela6[[#This Row],[CONSUMO]]</f>
        <v>6.0900000000000007</v>
      </c>
      <c r="M2541" s="50">
        <f>Tabela6[[#This Row],[KM ATUAL]]-E2442</f>
        <v>322506</v>
      </c>
      <c r="N2541" s="51">
        <f>Tabela6[[#This Row],[KM Rodados ]]/Tabela6[[#This Row],[CONSUMO]]</f>
        <v>3366.4509394572028</v>
      </c>
    </row>
    <row r="2542" spans="1:14" x14ac:dyDescent="0.25">
      <c r="A2542" s="47">
        <v>745441</v>
      </c>
      <c r="B2542" s="78">
        <v>45201</v>
      </c>
      <c r="C2542" s="47" t="s">
        <v>13</v>
      </c>
      <c r="D2542" s="49" t="s">
        <v>264</v>
      </c>
      <c r="E2542" s="47">
        <v>653573</v>
      </c>
      <c r="G2542" s="50" t="s">
        <v>89</v>
      </c>
      <c r="H2542" s="51">
        <v>106.843</v>
      </c>
      <c r="J2542" s="51">
        <v>6.22</v>
      </c>
      <c r="K2542" s="74">
        <f>Tabela6[[#This Row],[CONSUMO]]*Tabela6[[#This Row],[VALOR UNIT]]-Tabela6[[#This Row],[DESCONTO]]</f>
        <v>664.56345999999996</v>
      </c>
      <c r="L2542" s="53">
        <f>Tabela6[[#This Row],[CUSTO TOTAL]]/Tabela6[[#This Row],[CONSUMO]]</f>
        <v>6.22</v>
      </c>
      <c r="M2542" s="50">
        <f>Tabela6[[#This Row],[KM ATUAL]]-E2522</f>
        <v>355791</v>
      </c>
      <c r="N2542" s="51">
        <f>Tabela6[[#This Row],[KM Rodados ]]/Tabela6[[#This Row],[CONSUMO]]</f>
        <v>3330.035659799893</v>
      </c>
    </row>
    <row r="2543" spans="1:14" x14ac:dyDescent="0.25">
      <c r="A2543" s="47">
        <v>180769</v>
      </c>
      <c r="B2543" s="78">
        <v>45201</v>
      </c>
      <c r="C2543" s="47" t="s">
        <v>15</v>
      </c>
      <c r="D2543" s="49" t="s">
        <v>261</v>
      </c>
      <c r="E2543" s="47">
        <v>386811</v>
      </c>
      <c r="G2543" s="50" t="s">
        <v>241</v>
      </c>
      <c r="H2543" s="51">
        <v>16.029</v>
      </c>
      <c r="J2543" s="51">
        <v>3.79</v>
      </c>
      <c r="K2543" s="74">
        <f>Tabela6[[#This Row],[CONSUMO]]*Tabela6[[#This Row],[VALOR UNIT]]-Tabela6[[#This Row],[DESCONTO]]</f>
        <v>60.74991</v>
      </c>
      <c r="L2543" s="53">
        <f>Tabela6[[#This Row],[CUSTO TOTAL]]/Tabela6[[#This Row],[CONSUMO]]</f>
        <v>3.79</v>
      </c>
      <c r="M2543" s="53"/>
      <c r="N2543" s="49"/>
    </row>
    <row r="2544" spans="1:14" x14ac:dyDescent="0.25">
      <c r="A2544" s="47">
        <v>7515</v>
      </c>
      <c r="B2544" s="78">
        <v>45201</v>
      </c>
      <c r="C2544" s="47" t="s">
        <v>15</v>
      </c>
      <c r="D2544" s="49" t="s">
        <v>299</v>
      </c>
      <c r="E2544" s="47">
        <v>387152</v>
      </c>
      <c r="G2544" s="50" t="s">
        <v>89</v>
      </c>
      <c r="H2544" s="51">
        <v>48</v>
      </c>
      <c r="J2544" s="51">
        <v>5.83</v>
      </c>
      <c r="K2544" s="74">
        <f>Tabela6[[#This Row],[CONSUMO]]*Tabela6[[#This Row],[VALOR UNIT]]-Tabela6[[#This Row],[DESCONTO]]</f>
        <v>279.84000000000003</v>
      </c>
      <c r="L2544" s="53">
        <f>Tabela6[[#This Row],[CUSTO TOTAL]]/Tabela6[[#This Row],[CONSUMO]]</f>
        <v>5.830000000000001</v>
      </c>
      <c r="M2544" s="50">
        <f>Tabela6[[#This Row],[KM ATUAL]]-E2543</f>
        <v>341</v>
      </c>
      <c r="N2544" s="51">
        <f>Tabela6[[#This Row],[KM Rodados ]]/Tabela6[[#This Row],[CONSUMO]]</f>
        <v>7.104166666666667</v>
      </c>
    </row>
    <row r="2545" spans="1:14" x14ac:dyDescent="0.25">
      <c r="A2545" s="47">
        <v>7515</v>
      </c>
      <c r="B2545" s="78">
        <v>45201</v>
      </c>
      <c r="C2545" s="47" t="s">
        <v>17</v>
      </c>
      <c r="D2545" s="49" t="s">
        <v>299</v>
      </c>
      <c r="E2545" s="47">
        <v>371323</v>
      </c>
      <c r="G2545" s="50" t="s">
        <v>89</v>
      </c>
      <c r="H2545" s="51">
        <v>106</v>
      </c>
      <c r="J2545" s="51">
        <v>5.83</v>
      </c>
      <c r="K2545" s="74">
        <f>Tabela6[[#This Row],[CONSUMO]]*Tabela6[[#This Row],[VALOR UNIT]]-Tabela6[[#This Row],[DESCONTO]]</f>
        <v>617.98</v>
      </c>
      <c r="L2545" s="53">
        <f>Tabela6[[#This Row],[CUSTO TOTAL]]/Tabela6[[#This Row],[CONSUMO]]</f>
        <v>5.83</v>
      </c>
      <c r="M2545" s="50">
        <f>Tabela6[[#This Row],[KM ATUAL]]-E2510</f>
        <v>-548012</v>
      </c>
      <c r="N2545" s="51">
        <f>Tabela6[[#This Row],[KM Rodados ]]/Tabela6[[#This Row],[CONSUMO]]</f>
        <v>-5169.9245283018872</v>
      </c>
    </row>
    <row r="2546" spans="1:14" x14ac:dyDescent="0.25">
      <c r="A2546" s="47">
        <v>7515</v>
      </c>
      <c r="B2546" s="78">
        <v>45201</v>
      </c>
      <c r="C2546" s="47" t="s">
        <v>19</v>
      </c>
      <c r="D2546" s="49" t="s">
        <v>299</v>
      </c>
      <c r="E2546" s="47">
        <v>330815</v>
      </c>
      <c r="G2546" s="50" t="s">
        <v>89</v>
      </c>
      <c r="H2546" s="51">
        <v>155</v>
      </c>
      <c r="J2546" s="51">
        <v>5.83</v>
      </c>
      <c r="K2546" s="74">
        <f>Tabela6[[#This Row],[CONSUMO]]*Tabela6[[#This Row],[VALOR UNIT]]-Tabela6[[#This Row],[DESCONTO]]</f>
        <v>903.65</v>
      </c>
      <c r="L2546" s="53">
        <f>Tabela6[[#This Row],[CUSTO TOTAL]]/Tabela6[[#This Row],[CONSUMO]]</f>
        <v>5.83</v>
      </c>
      <c r="M2546" s="50">
        <f>Tabela6[[#This Row],[KM ATUAL]]-E2510</f>
        <v>-588520</v>
      </c>
      <c r="N2546" s="51">
        <f>Tabela6[[#This Row],[KM Rodados ]]/Tabela6[[#This Row],[CONSUMO]]</f>
        <v>-3796.9032258064517</v>
      </c>
    </row>
    <row r="2547" spans="1:14" x14ac:dyDescent="0.25">
      <c r="A2547" s="47">
        <v>211212</v>
      </c>
      <c r="B2547" s="78">
        <v>45201</v>
      </c>
      <c r="C2547" s="47" t="s">
        <v>74</v>
      </c>
      <c r="D2547" s="49" t="s">
        <v>262</v>
      </c>
      <c r="E2547" s="47">
        <v>80126</v>
      </c>
      <c r="G2547" s="50" t="s">
        <v>89</v>
      </c>
      <c r="H2547" s="51">
        <v>59.79</v>
      </c>
      <c r="J2547" s="51">
        <v>6.19</v>
      </c>
      <c r="K2547" s="74">
        <f>Tabela6[[#This Row],[CONSUMO]]*Tabela6[[#This Row],[VALOR UNIT]]-Tabela6[[#This Row],[DESCONTO]]</f>
        <v>370.1001</v>
      </c>
      <c r="L2547" s="53">
        <f>Tabela6[[#This Row],[CUSTO TOTAL]]/Tabela6[[#This Row],[CONSUMO]]</f>
        <v>6.19</v>
      </c>
      <c r="M2547" s="50">
        <f>Tabela6[[#This Row],[KM ATUAL]]-E2502</f>
        <v>-572322</v>
      </c>
      <c r="N2547" s="51">
        <f>Tabela6[[#This Row],[KM Rodados ]]/Tabela6[[#This Row],[CONSUMO]]</f>
        <v>-9572.2027094831919</v>
      </c>
    </row>
    <row r="2548" spans="1:14" x14ac:dyDescent="0.25">
      <c r="A2548" s="47">
        <v>211212</v>
      </c>
      <c r="B2548" s="78">
        <v>45201</v>
      </c>
      <c r="C2548" s="47" t="s">
        <v>74</v>
      </c>
      <c r="D2548" s="49" t="s">
        <v>262</v>
      </c>
      <c r="E2548" s="47">
        <v>80126</v>
      </c>
      <c r="G2548" s="50" t="s">
        <v>241</v>
      </c>
      <c r="H2548" s="51">
        <v>1825</v>
      </c>
      <c r="I2548" s="49">
        <v>0.65</v>
      </c>
      <c r="J2548" s="51">
        <v>3.69</v>
      </c>
      <c r="K2548" s="74">
        <f>Tabela6[[#This Row],[CONSUMO]]*Tabela6[[#This Row],[VALOR UNIT]]-Tabela6[[#This Row],[DESCONTO]]</f>
        <v>6733.6</v>
      </c>
      <c r="L2548" s="53">
        <f>Tabela6[[#This Row],[CUSTO TOTAL]]/Tabela6[[#This Row],[CONSUMO]]</f>
        <v>3.6896438356164385</v>
      </c>
      <c r="M2548" s="53"/>
      <c r="N2548" s="49"/>
    </row>
    <row r="2549" spans="1:14" x14ac:dyDescent="0.25">
      <c r="A2549" s="47">
        <v>7515</v>
      </c>
      <c r="B2549" s="78">
        <v>45201</v>
      </c>
      <c r="C2549" s="47" t="s">
        <v>74</v>
      </c>
      <c r="D2549" s="49" t="s">
        <v>299</v>
      </c>
      <c r="E2549" s="47">
        <v>80464</v>
      </c>
      <c r="G2549" s="50" t="s">
        <v>89</v>
      </c>
      <c r="H2549" s="51">
        <v>37</v>
      </c>
      <c r="J2549" s="51">
        <v>5.83</v>
      </c>
      <c r="K2549" s="74">
        <f>Tabela6[[#This Row],[CONSUMO]]*Tabela6[[#This Row],[VALOR UNIT]]-Tabela6[[#This Row],[DESCONTO]]</f>
        <v>215.71</v>
      </c>
      <c r="L2549" s="53">
        <f>Tabela6[[#This Row],[CUSTO TOTAL]]/Tabela6[[#This Row],[CONSUMO]]</f>
        <v>5.83</v>
      </c>
      <c r="M2549" s="50">
        <f>Tabela6[[#This Row],[KM ATUAL]]-E2540</f>
        <v>-968107</v>
      </c>
      <c r="N2549" s="51">
        <f>Tabela6[[#This Row],[KM Rodados ]]/Tabela6[[#This Row],[CONSUMO]]</f>
        <v>-26165.054054054053</v>
      </c>
    </row>
    <row r="2550" spans="1:14" x14ac:dyDescent="0.25">
      <c r="A2550" s="47">
        <v>7515</v>
      </c>
      <c r="B2550" s="78">
        <v>45202</v>
      </c>
      <c r="C2550" s="47" t="s">
        <v>68</v>
      </c>
      <c r="D2550" s="49" t="s">
        <v>299</v>
      </c>
      <c r="E2550" s="47">
        <v>920119</v>
      </c>
      <c r="G2550" s="50" t="s">
        <v>89</v>
      </c>
      <c r="H2550" s="51">
        <v>302</v>
      </c>
      <c r="J2550" s="51">
        <v>5.83</v>
      </c>
      <c r="K2550" s="74">
        <f>Tabela6[[#This Row],[CONSUMO]]*Tabela6[[#This Row],[VALOR UNIT]]-Tabela6[[#This Row],[DESCONTO]]</f>
        <v>1760.66</v>
      </c>
      <c r="L2550" s="53">
        <f>Tabela6[[#This Row],[CUSTO TOTAL]]/Tabela6[[#This Row],[CONSUMO]]</f>
        <v>5.83</v>
      </c>
      <c r="M2550" s="50">
        <f>Tabela6[[#This Row],[KM ATUAL]]-E2514</f>
        <v>815503</v>
      </c>
      <c r="N2550" s="51">
        <f>Tabela6[[#This Row],[KM Rodados ]]/Tabela6[[#This Row],[CONSUMO]]</f>
        <v>2700.3410596026488</v>
      </c>
    </row>
    <row r="2551" spans="1:14" x14ac:dyDescent="0.25">
      <c r="A2551" s="47">
        <v>7515</v>
      </c>
      <c r="B2551" s="78">
        <v>45202</v>
      </c>
      <c r="C2551" s="47" t="s">
        <v>43</v>
      </c>
      <c r="D2551" s="49" t="s">
        <v>299</v>
      </c>
      <c r="E2551" s="47">
        <v>151478</v>
      </c>
      <c r="G2551" s="50" t="s">
        <v>89</v>
      </c>
      <c r="H2551" s="51">
        <v>23</v>
      </c>
      <c r="J2551" s="51">
        <v>5.83</v>
      </c>
      <c r="K2551" s="74">
        <f>Tabela6[[#This Row],[CONSUMO]]*Tabela6[[#This Row],[VALOR UNIT]]-Tabela6[[#This Row],[DESCONTO]]</f>
        <v>134.09</v>
      </c>
      <c r="L2551" s="53">
        <f>Tabela6[[#This Row],[CUSTO TOTAL]]/Tabela6[[#This Row],[CONSUMO]]</f>
        <v>5.83</v>
      </c>
      <c r="M2551" s="50">
        <f>Tabela6[[#This Row],[KM ATUAL]]-E2529</f>
        <v>-816046</v>
      </c>
      <c r="N2551" s="51">
        <f>Tabela6[[#This Row],[KM Rodados ]]/Tabela6[[#This Row],[CONSUMO]]</f>
        <v>-35480.260869565216</v>
      </c>
    </row>
    <row r="2552" spans="1:14" x14ac:dyDescent="0.25">
      <c r="A2552" s="47">
        <v>7515</v>
      </c>
      <c r="B2552" s="78">
        <v>45202</v>
      </c>
      <c r="C2552" s="47" t="s">
        <v>67</v>
      </c>
      <c r="D2552" s="49" t="s">
        <v>299</v>
      </c>
      <c r="E2552" s="47">
        <v>683343</v>
      </c>
      <c r="G2552" s="50" t="s">
        <v>89</v>
      </c>
      <c r="H2552" s="51">
        <v>120</v>
      </c>
      <c r="J2552" s="51">
        <v>5.83</v>
      </c>
      <c r="K2552" s="74">
        <f>Tabela6[[#This Row],[CONSUMO]]*Tabela6[[#This Row],[VALOR UNIT]]-Tabela6[[#This Row],[DESCONTO]]</f>
        <v>699.6</v>
      </c>
      <c r="L2552" s="53">
        <f>Tabela6[[#This Row],[CUSTO TOTAL]]/Tabela6[[#This Row],[CONSUMO]]</f>
        <v>5.83</v>
      </c>
      <c r="M2552" s="50">
        <f>Tabela6[[#This Row],[KM ATUAL]]-E2493</f>
        <v>57461</v>
      </c>
      <c r="N2552" s="51">
        <f>Tabela6[[#This Row],[KM Rodados ]]/Tabela6[[#This Row],[CONSUMO]]</f>
        <v>478.84166666666664</v>
      </c>
    </row>
    <row r="2553" spans="1:14" x14ac:dyDescent="0.25">
      <c r="A2553" s="47">
        <v>7515</v>
      </c>
      <c r="B2553" s="78">
        <v>45202</v>
      </c>
      <c r="C2553" s="47" t="s">
        <v>39</v>
      </c>
      <c r="D2553" s="49" t="s">
        <v>299</v>
      </c>
      <c r="E2553" s="47">
        <v>105485</v>
      </c>
      <c r="G2553" s="50" t="s">
        <v>89</v>
      </c>
      <c r="H2553" s="51">
        <v>53</v>
      </c>
      <c r="J2553" s="51">
        <v>5.83</v>
      </c>
      <c r="K2553" s="74">
        <f>Tabela6[[#This Row],[CONSUMO]]*Tabela6[[#This Row],[VALOR UNIT]]-Tabela6[[#This Row],[DESCONTO]]</f>
        <v>308.99</v>
      </c>
      <c r="L2553" s="53">
        <f>Tabela6[[#This Row],[CUSTO TOTAL]]/Tabela6[[#This Row],[CONSUMO]]</f>
        <v>5.83</v>
      </c>
      <c r="M2553" s="50">
        <f>Tabela6[[#This Row],[KM ATUAL]]-E2532</f>
        <v>-521001</v>
      </c>
      <c r="N2553" s="51">
        <f>Tabela6[[#This Row],[KM Rodados ]]/Tabela6[[#This Row],[CONSUMO]]</f>
        <v>-9830.2075471698117</v>
      </c>
    </row>
    <row r="2554" spans="1:14" x14ac:dyDescent="0.25">
      <c r="A2554" s="47">
        <v>211458</v>
      </c>
      <c r="B2554" s="78">
        <v>45202</v>
      </c>
      <c r="C2554" s="47" t="s">
        <v>39</v>
      </c>
      <c r="D2554" s="49" t="s">
        <v>262</v>
      </c>
      <c r="E2554" s="47">
        <v>105396</v>
      </c>
      <c r="G2554" s="50" t="s">
        <v>241</v>
      </c>
      <c r="H2554" s="51">
        <v>12.15</v>
      </c>
      <c r="I2554" s="49">
        <v>4.37</v>
      </c>
      <c r="J2554" s="51">
        <v>3.69</v>
      </c>
      <c r="K2554" s="74">
        <f>Tabela6[[#This Row],[CONSUMO]]*Tabela6[[#This Row],[VALOR UNIT]]-Tabela6[[#This Row],[DESCONTO]]</f>
        <v>40.463500000000003</v>
      </c>
      <c r="L2554" s="53">
        <f>Tabela6[[#This Row],[CUSTO TOTAL]]/Tabela6[[#This Row],[CONSUMO]]</f>
        <v>3.3303292181069959</v>
      </c>
      <c r="M2554" s="53"/>
      <c r="N2554" s="49"/>
    </row>
    <row r="2555" spans="1:14" x14ac:dyDescent="0.25">
      <c r="A2555" s="47">
        <v>146340</v>
      </c>
      <c r="B2555" s="78">
        <v>45202</v>
      </c>
      <c r="C2555" s="47" t="s">
        <v>203</v>
      </c>
      <c r="D2555" s="49" t="s">
        <v>263</v>
      </c>
      <c r="E2555" s="47">
        <v>114196</v>
      </c>
      <c r="G2555" s="50" t="s">
        <v>244</v>
      </c>
      <c r="H2555" s="51">
        <v>39.320999999999998</v>
      </c>
      <c r="J2555" s="51">
        <v>5.74</v>
      </c>
      <c r="K2555" s="74">
        <f>Tabela6[[#This Row],[CONSUMO]]*Tabela6[[#This Row],[VALOR UNIT]]-Tabela6[[#This Row],[DESCONTO]]</f>
        <v>225.70254</v>
      </c>
      <c r="L2555" s="53">
        <f>Tabela6[[#This Row],[CUSTO TOTAL]]/Tabela6[[#This Row],[CONSUMO]]</f>
        <v>5.74</v>
      </c>
      <c r="M2555" s="50">
        <f>Tabela6[[#This Row],[KM ATUAL]]-E2519</f>
        <v>-42209</v>
      </c>
      <c r="N2555" s="51">
        <f>Tabela6[[#This Row],[KM Rodados ]]/Tabela6[[#This Row],[CONSUMO]]</f>
        <v>-1073.4467587294321</v>
      </c>
    </row>
    <row r="2556" spans="1:14" x14ac:dyDescent="0.25">
      <c r="A2556" s="47" t="s">
        <v>314</v>
      </c>
      <c r="B2556" s="78">
        <v>45202</v>
      </c>
      <c r="C2556" s="47" t="s">
        <v>72</v>
      </c>
      <c r="E2556" s="47">
        <v>417195</v>
      </c>
      <c r="G2556" s="50" t="s">
        <v>89</v>
      </c>
      <c r="H2556" s="51">
        <v>55</v>
      </c>
      <c r="K2556" s="74">
        <f>Tabela6[[#This Row],[CONSUMO]]*Tabela6[[#This Row],[VALOR UNIT]]-Tabela6[[#This Row],[DESCONTO]]</f>
        <v>0</v>
      </c>
      <c r="L2556" s="53">
        <f>Tabela6[[#This Row],[CUSTO TOTAL]]/Tabela6[[#This Row],[CONSUMO]]</f>
        <v>0</v>
      </c>
      <c r="M2556" s="50">
        <f>Tabela6[[#This Row],[KM ATUAL]]-E2505</f>
        <v>87395</v>
      </c>
      <c r="N2556" s="51">
        <f>Tabela6[[#This Row],[KM Rodados ]]/Tabela6[[#This Row],[CONSUMO]]</f>
        <v>1589</v>
      </c>
    </row>
    <row r="2557" spans="1:14" x14ac:dyDescent="0.25">
      <c r="A2557" s="47">
        <v>1821553</v>
      </c>
      <c r="B2557" s="78">
        <v>45202</v>
      </c>
      <c r="C2557" s="47" t="s">
        <v>73</v>
      </c>
      <c r="D2557" s="49" t="s">
        <v>252</v>
      </c>
      <c r="E2557" s="47">
        <v>173156</v>
      </c>
      <c r="G2557" s="50" t="s">
        <v>241</v>
      </c>
      <c r="H2557" s="51">
        <v>26.614000000000001</v>
      </c>
      <c r="J2557" s="51">
        <v>3.09</v>
      </c>
      <c r="K2557" s="74">
        <f>Tabela6[[#This Row],[CONSUMO]]*Tabela6[[#This Row],[VALOR UNIT]]-Tabela6[[#This Row],[DESCONTO]]</f>
        <v>82.237259999999992</v>
      </c>
      <c r="L2557" s="53">
        <f>Tabela6[[#This Row],[CUSTO TOTAL]]/Tabela6[[#This Row],[CONSUMO]]</f>
        <v>3.0899999999999994</v>
      </c>
      <c r="M2557" s="53"/>
      <c r="N2557" s="49"/>
    </row>
    <row r="2558" spans="1:14" x14ac:dyDescent="0.25">
      <c r="A2558" s="47">
        <v>177618</v>
      </c>
      <c r="B2558" s="78">
        <v>45202</v>
      </c>
      <c r="C2558" s="47" t="s">
        <v>73</v>
      </c>
      <c r="D2558" s="49" t="s">
        <v>311</v>
      </c>
      <c r="E2558" s="47">
        <v>153359</v>
      </c>
      <c r="G2558" s="50" t="s">
        <v>89</v>
      </c>
      <c r="H2558" s="51">
        <v>208.845</v>
      </c>
      <c r="I2558" s="49">
        <v>277.76</v>
      </c>
      <c r="J2558" s="51">
        <v>7.59</v>
      </c>
      <c r="K2558" s="74">
        <f>Tabela6[[#This Row],[CONSUMO]]*Tabela6[[#This Row],[VALOR UNIT]]-Tabela6[[#This Row],[DESCONTO]]</f>
        <v>1307.37355</v>
      </c>
      <c r="L2558" s="53">
        <f>Tabela6[[#This Row],[CUSTO TOTAL]]/Tabela6[[#This Row],[CONSUMO]]</f>
        <v>6.2600184347243175</v>
      </c>
      <c r="M2558" s="50">
        <f>Tabela6[[#This Row],[KM ATUAL]]-E2557</f>
        <v>-19797</v>
      </c>
      <c r="N2558" s="51">
        <f>Tabela6[[#This Row],[KM Rodados ]]/Tabela6[[#This Row],[CONSUMO]]</f>
        <v>-94.792788910435974</v>
      </c>
    </row>
    <row r="2559" spans="1:14" x14ac:dyDescent="0.25">
      <c r="A2559" s="47">
        <v>7515</v>
      </c>
      <c r="B2559" s="78">
        <v>45202</v>
      </c>
      <c r="C2559" s="47" t="s">
        <v>10</v>
      </c>
      <c r="D2559" s="49" t="s">
        <v>299</v>
      </c>
      <c r="E2559" s="47">
        <v>728300</v>
      </c>
      <c r="G2559" s="50" t="s">
        <v>89</v>
      </c>
      <c r="H2559" s="51">
        <v>175</v>
      </c>
      <c r="J2559" s="51">
        <v>5.83</v>
      </c>
      <c r="K2559" s="74">
        <f>Tabela6[[#This Row],[CONSUMO]]*Tabela6[[#This Row],[VALOR UNIT]]-Tabela6[[#This Row],[DESCONTO]]</f>
        <v>1020.25</v>
      </c>
      <c r="L2559" s="53">
        <f>Tabela6[[#This Row],[CUSTO TOTAL]]/Tabela6[[#This Row],[CONSUMO]]</f>
        <v>5.83</v>
      </c>
      <c r="M2559" s="50">
        <f>Tabela6[[#This Row],[KM ATUAL]]-E2493</f>
        <v>102418</v>
      </c>
      <c r="N2559" s="49">
        <f>Tabela6[[#This Row],[KM Rodados ]]/Tabela6[[#This Row],[CONSUMO]]</f>
        <v>585.24571428571426</v>
      </c>
    </row>
    <row r="2560" spans="1:14" x14ac:dyDescent="0.25">
      <c r="A2560" s="47">
        <v>7515</v>
      </c>
      <c r="B2560" s="78">
        <v>45202</v>
      </c>
      <c r="C2560" s="47" t="s">
        <v>13</v>
      </c>
      <c r="D2560" s="49" t="s">
        <v>299</v>
      </c>
      <c r="E2560" s="47">
        <v>653770</v>
      </c>
      <c r="G2560" s="50" t="s">
        <v>89</v>
      </c>
      <c r="H2560" s="51">
        <v>69</v>
      </c>
      <c r="J2560" s="51">
        <v>5.83</v>
      </c>
      <c r="K2560" s="74">
        <f>Tabela6[[#This Row],[CONSUMO]]*Tabela6[[#This Row],[VALOR UNIT]]-Tabela6[[#This Row],[DESCONTO]]</f>
        <v>402.27</v>
      </c>
      <c r="L2560" s="53">
        <f>Tabela6[[#This Row],[CUSTO TOTAL]]/Tabela6[[#This Row],[CONSUMO]]</f>
        <v>5.83</v>
      </c>
      <c r="M2560" s="50">
        <f>Tabela6[[#This Row],[KM ATUAL]]-E2545</f>
        <v>282447</v>
      </c>
      <c r="N2560" s="51">
        <f>Tabela6[[#This Row],[KM Rodados ]]/Tabela6[[#This Row],[CONSUMO]]</f>
        <v>4093.4347826086955</v>
      </c>
    </row>
    <row r="2561" spans="1:14" x14ac:dyDescent="0.25">
      <c r="A2561" s="47">
        <v>211431</v>
      </c>
      <c r="B2561" s="78">
        <v>45202</v>
      </c>
      <c r="C2561" s="47" t="s">
        <v>14</v>
      </c>
      <c r="D2561" s="49" t="s">
        <v>262</v>
      </c>
      <c r="E2561" s="47">
        <v>297985</v>
      </c>
      <c r="G2561" s="50" t="s">
        <v>244</v>
      </c>
      <c r="H2561" s="51">
        <v>27.431000000000001</v>
      </c>
      <c r="J2561" s="51">
        <v>5.69</v>
      </c>
      <c r="K2561" s="74">
        <f>Tabela6[[#This Row],[CONSUMO]]*Tabela6[[#This Row],[VALOR UNIT]]-Tabela6[[#This Row],[DESCONTO]]</f>
        <v>156.08239</v>
      </c>
      <c r="L2561" s="53">
        <f>Tabela6[[#This Row],[CUSTO TOTAL]]/Tabela6[[#This Row],[CONSUMO]]</f>
        <v>5.6899999999999995</v>
      </c>
      <c r="M2561" s="50">
        <f>Tabela6[[#This Row],[KM ATUAL]]-E2518</f>
        <v>146369</v>
      </c>
      <c r="N2561" s="51">
        <f>Tabela6[[#This Row],[KM Rodados ]]/Tabela6[[#This Row],[CONSUMO]]</f>
        <v>5335.8973424228061</v>
      </c>
    </row>
    <row r="2562" spans="1:14" x14ac:dyDescent="0.25">
      <c r="A2562" s="47">
        <v>54540</v>
      </c>
      <c r="B2562" s="78">
        <v>45202</v>
      </c>
      <c r="C2562" s="47" t="s">
        <v>23</v>
      </c>
      <c r="D2562" s="49" t="s">
        <v>253</v>
      </c>
      <c r="E2562" s="47">
        <v>248299</v>
      </c>
      <c r="G2562" s="50" t="s">
        <v>89</v>
      </c>
      <c r="H2562" s="51">
        <v>124.48</v>
      </c>
      <c r="J2562" s="51">
        <v>6.09</v>
      </c>
      <c r="K2562" s="74">
        <f>Tabela6[[#This Row],[CONSUMO]]*Tabela6[[#This Row],[VALOR UNIT]]-Tabela6[[#This Row],[DESCONTO]]</f>
        <v>758.08320000000003</v>
      </c>
      <c r="L2562" s="53">
        <f>Tabela6[[#This Row],[CUSTO TOTAL]]/Tabela6[[#This Row],[CONSUMO]]</f>
        <v>6.09</v>
      </c>
      <c r="M2562" s="50">
        <f>Tabela6[[#This Row],[KM ATUAL]]-E2506</f>
        <v>-81727</v>
      </c>
      <c r="N2562" s="51">
        <f>Tabela6[[#This Row],[KM Rodados ]]/Tabela6[[#This Row],[CONSUMO]]</f>
        <v>-656.54723650385597</v>
      </c>
    </row>
    <row r="2563" spans="1:14" x14ac:dyDescent="0.25">
      <c r="A2563" s="47">
        <v>211473</v>
      </c>
      <c r="B2563" s="78">
        <v>45202</v>
      </c>
      <c r="C2563" s="47" t="s">
        <v>40</v>
      </c>
      <c r="D2563" s="49" t="s">
        <v>262</v>
      </c>
      <c r="E2563" s="47">
        <v>160868</v>
      </c>
      <c r="G2563" s="50" t="s">
        <v>244</v>
      </c>
      <c r="H2563" s="51">
        <v>39.32</v>
      </c>
      <c r="J2563" s="51">
        <v>5.69</v>
      </c>
      <c r="K2563" s="74">
        <f>Tabela6[[#This Row],[CONSUMO]]*Tabela6[[#This Row],[VALOR UNIT]]-Tabela6[[#This Row],[DESCONTO]]</f>
        <v>223.73080000000002</v>
      </c>
      <c r="L2563" s="53">
        <f>Tabela6[[#This Row],[CUSTO TOTAL]]/Tabela6[[#This Row],[CONSUMO]]</f>
        <v>5.69</v>
      </c>
      <c r="M2563" s="50">
        <f>Tabela6[[#This Row],[KM ATUAL]]-E2417</f>
        <v>-166699</v>
      </c>
      <c r="N2563" s="51">
        <f>Tabela6[[#This Row],[KM Rodados ]]/Tabela6[[#This Row],[CONSUMO]]</f>
        <v>-4239.5473041709056</v>
      </c>
    </row>
    <row r="2564" spans="1:14" x14ac:dyDescent="0.25">
      <c r="A2564" s="47">
        <v>673391</v>
      </c>
      <c r="B2564" s="78">
        <v>45202</v>
      </c>
      <c r="C2564" s="47" t="s">
        <v>74</v>
      </c>
      <c r="D2564" s="49" t="s">
        <v>271</v>
      </c>
      <c r="E2564" s="47">
        <v>81193</v>
      </c>
      <c r="G2564" s="50" t="s">
        <v>89</v>
      </c>
      <c r="H2564" s="51">
        <v>88.32</v>
      </c>
      <c r="J2564" s="51">
        <v>5.99</v>
      </c>
      <c r="K2564" s="74">
        <f>Tabela6[[#This Row],[CONSUMO]]*Tabela6[[#This Row],[VALOR UNIT]]-Tabela6[[#This Row],[DESCONTO]]</f>
        <v>529.03679999999997</v>
      </c>
      <c r="L2564" s="53">
        <f>Tabela6[[#This Row],[CUSTO TOTAL]]/Tabela6[[#This Row],[CONSUMO]]</f>
        <v>5.99</v>
      </c>
      <c r="M2564" s="50">
        <f>Tabela6[[#This Row],[KM ATUAL]]-E2547</f>
        <v>1067</v>
      </c>
      <c r="N2564" s="51">
        <f>Tabela6[[#This Row],[KM Rodados ]]/Tabela6[[#This Row],[CONSUMO]]</f>
        <v>12.081068840579711</v>
      </c>
    </row>
    <row r="2565" spans="1:14" x14ac:dyDescent="0.25">
      <c r="A2565" s="47">
        <v>7515</v>
      </c>
      <c r="B2565" s="78">
        <v>45202</v>
      </c>
      <c r="C2565" s="47" t="s">
        <v>315</v>
      </c>
      <c r="D2565" s="49" t="s">
        <v>299</v>
      </c>
      <c r="E2565" s="47">
        <v>1585</v>
      </c>
      <c r="G2565" s="50" t="s">
        <v>89</v>
      </c>
      <c r="H2565" s="51">
        <v>21</v>
      </c>
      <c r="J2565" s="51">
        <v>5.83</v>
      </c>
      <c r="K2565" s="74">
        <f>Tabela6[[#This Row],[CONSUMO]]*Tabela6[[#This Row],[VALOR UNIT]]-Tabela6[[#This Row],[DESCONTO]]</f>
        <v>122.43</v>
      </c>
      <c r="L2565" s="53">
        <f>Tabela6[[#This Row],[CUSTO TOTAL]]/Tabela6[[#This Row],[CONSUMO]]</f>
        <v>5.83</v>
      </c>
      <c r="M2565" s="50">
        <f>Tabela6[[#This Row],[KM ATUAL]]-E2539</f>
        <v>-675922</v>
      </c>
      <c r="N2565" s="51">
        <f>Tabela6[[#This Row],[KM Rodados ]]/Tabela6[[#This Row],[CONSUMO]]</f>
        <v>-32186.761904761905</v>
      </c>
    </row>
    <row r="2566" spans="1:14" x14ac:dyDescent="0.25">
      <c r="A2566" s="47">
        <v>211607</v>
      </c>
      <c r="B2566" s="78">
        <v>45202</v>
      </c>
      <c r="C2566" s="47" t="s">
        <v>315</v>
      </c>
      <c r="D2566" s="49" t="s">
        <v>262</v>
      </c>
      <c r="E2566" s="47">
        <v>2135</v>
      </c>
      <c r="G2566" s="50" t="s">
        <v>89</v>
      </c>
      <c r="H2566" s="51">
        <v>39.090000000000003</v>
      </c>
      <c r="J2566" s="51">
        <v>6.19</v>
      </c>
      <c r="K2566" s="74">
        <f>Tabela6[[#This Row],[CONSUMO]]*Tabela6[[#This Row],[VALOR UNIT]]-Tabela6[[#This Row],[DESCONTO]]</f>
        <v>241.96710000000004</v>
      </c>
      <c r="L2566" s="53">
        <f>Tabela6[[#This Row],[CUSTO TOTAL]]/Tabela6[[#This Row],[CONSUMO]]</f>
        <v>6.19</v>
      </c>
      <c r="M2566" s="50">
        <f>Tabela6[[#This Row],[KM ATUAL]]-E2553</f>
        <v>-103350</v>
      </c>
      <c r="N2566" s="51">
        <f>Tabela6[[#This Row],[KM Rodados ]]/Tabela6[[#This Row],[CONSUMO]]</f>
        <v>-2643.8986953184954</v>
      </c>
    </row>
    <row r="2567" spans="1:14" x14ac:dyDescent="0.25">
      <c r="A2567" s="47">
        <v>211451</v>
      </c>
      <c r="B2567" s="78">
        <v>45202</v>
      </c>
      <c r="C2567" s="47" t="s">
        <v>315</v>
      </c>
      <c r="D2567" s="49" t="s">
        <v>262</v>
      </c>
      <c r="E2567" s="47">
        <v>2135</v>
      </c>
      <c r="G2567" s="50" t="s">
        <v>241</v>
      </c>
      <c r="H2567" s="51">
        <v>3.2589999999999999</v>
      </c>
      <c r="I2567" s="49">
        <v>1.18</v>
      </c>
      <c r="J2567" s="51">
        <v>3.69</v>
      </c>
      <c r="K2567" s="74">
        <f>Tabela6[[#This Row],[CONSUMO]]*Tabela6[[#This Row],[VALOR UNIT]]-Tabela6[[#This Row],[DESCONTO]]</f>
        <v>10.84571</v>
      </c>
      <c r="L2567" s="53">
        <f>Tabela6[[#This Row],[CUSTO TOTAL]]/Tabela6[[#This Row],[CONSUMO]]</f>
        <v>3.3279257440932803</v>
      </c>
      <c r="M2567" s="53"/>
      <c r="N2567" s="49"/>
    </row>
    <row r="2568" spans="1:14" x14ac:dyDescent="0.25">
      <c r="A2568" s="47">
        <v>673473</v>
      </c>
      <c r="B2568" s="78">
        <v>45203</v>
      </c>
      <c r="C2568" s="47" t="s">
        <v>9</v>
      </c>
      <c r="D2568" s="49" t="s">
        <v>271</v>
      </c>
      <c r="E2568" s="47">
        <v>626982</v>
      </c>
      <c r="G2568" s="50" t="s">
        <v>89</v>
      </c>
      <c r="H2568" s="51">
        <v>118</v>
      </c>
      <c r="J2568" s="51">
        <v>5.99</v>
      </c>
      <c r="K2568" s="74">
        <f>Tabela6[[#This Row],[CONSUMO]]*Tabela6[[#This Row],[VALOR UNIT]]-Tabela6[[#This Row],[DESCONTO]]</f>
        <v>706.82</v>
      </c>
      <c r="L2568" s="53">
        <f>Tabela6[[#This Row],[CUSTO TOTAL]]/Tabela6[[#This Row],[CONSUMO]]</f>
        <v>5.99</v>
      </c>
      <c r="M2568" s="50">
        <f>Tabela6[[#This Row],[KM ATUAL]]-E2536</f>
        <v>210489</v>
      </c>
      <c r="N2568" s="51">
        <f>Tabela6[[#This Row],[KM Rodados ]]/Tabela6[[#This Row],[CONSUMO]]</f>
        <v>1783.8050847457628</v>
      </c>
    </row>
    <row r="2569" spans="1:14" x14ac:dyDescent="0.25">
      <c r="A2569" s="47">
        <v>7515</v>
      </c>
      <c r="B2569" s="78">
        <v>45203</v>
      </c>
      <c r="C2569" s="47" t="s">
        <v>22</v>
      </c>
      <c r="D2569" s="49" t="s">
        <v>299</v>
      </c>
      <c r="E2569" s="47">
        <v>338122</v>
      </c>
      <c r="G2569" s="50" t="s">
        <v>89</v>
      </c>
      <c r="H2569" s="51">
        <v>109</v>
      </c>
      <c r="J2569" s="51">
        <v>5.83</v>
      </c>
      <c r="K2569" s="74">
        <f>Tabela6[[#This Row],[CONSUMO]]*Tabela6[[#This Row],[VALOR UNIT]]-Tabela6[[#This Row],[DESCONTO]]</f>
        <v>635.47</v>
      </c>
      <c r="L2569" s="53">
        <f>Tabela6[[#This Row],[CUSTO TOTAL]]/Tabela6[[#This Row],[CONSUMO]]</f>
        <v>5.83</v>
      </c>
      <c r="M2569" s="50">
        <f>Tabela6[[#This Row],[KM ATUAL]]-E2509</f>
        <v>90484</v>
      </c>
      <c r="N2569" s="51">
        <f>Tabela6[[#This Row],[KM Rodados ]]/Tabela6[[#This Row],[CONSUMO]]</f>
        <v>830.12844036697243</v>
      </c>
    </row>
    <row r="2570" spans="1:14" x14ac:dyDescent="0.25">
      <c r="A2570" s="47">
        <v>336687</v>
      </c>
      <c r="B2570" s="78">
        <v>45203</v>
      </c>
      <c r="C2570" s="47" t="s">
        <v>203</v>
      </c>
      <c r="D2570" s="49" t="s">
        <v>276</v>
      </c>
      <c r="E2570" s="47">
        <v>114601</v>
      </c>
      <c r="G2570" s="50" t="s">
        <v>244</v>
      </c>
      <c r="H2570" s="51">
        <v>32.01</v>
      </c>
      <c r="J2570" s="51">
        <v>5.89</v>
      </c>
      <c r="K2570" s="74">
        <f>Tabela6[[#This Row],[CONSUMO]]*Tabela6[[#This Row],[VALOR UNIT]]-Tabela6[[#This Row],[DESCONTO]]</f>
        <v>188.53889999999998</v>
      </c>
      <c r="L2570" s="53">
        <f>Tabela6[[#This Row],[CUSTO TOTAL]]/Tabela6[[#This Row],[CONSUMO]]</f>
        <v>5.89</v>
      </c>
      <c r="M2570" s="50">
        <f>Tabela6[[#This Row],[KM ATUAL]]-E2550</f>
        <v>-805518</v>
      </c>
      <c r="N2570" s="51">
        <f>Tabela6[[#This Row],[KM Rodados ]]/Tabela6[[#This Row],[CONSUMO]]</f>
        <v>-25164.573570759141</v>
      </c>
    </row>
    <row r="2571" spans="1:14" x14ac:dyDescent="0.25">
      <c r="A2571" s="47">
        <v>336687</v>
      </c>
      <c r="B2571" s="78">
        <v>45203</v>
      </c>
      <c r="C2571" s="47" t="s">
        <v>203</v>
      </c>
      <c r="D2571" s="49" t="s">
        <v>276</v>
      </c>
      <c r="E2571" s="47">
        <v>114601</v>
      </c>
      <c r="G2571" s="50" t="s">
        <v>244</v>
      </c>
      <c r="H2571" s="51">
        <v>32.01</v>
      </c>
      <c r="J2571" s="51">
        <v>5.89</v>
      </c>
      <c r="K2571" s="74">
        <f>Tabela6[[#This Row],[CONSUMO]]*Tabela6[[#This Row],[VALOR UNIT]]-Tabela6[[#This Row],[DESCONTO]]</f>
        <v>188.53889999999998</v>
      </c>
      <c r="L2571" s="53">
        <f>Tabela6[[#This Row],[CUSTO TOTAL]]/Tabela6[[#This Row],[CONSUMO]]</f>
        <v>5.89</v>
      </c>
      <c r="M2571" s="50">
        <f>Tabela6[[#This Row],[KM ATUAL]]-E2547</f>
        <v>34475</v>
      </c>
      <c r="N2571" s="51">
        <f>Tabela6[[#This Row],[KM Rodados ]]/Tabela6[[#This Row],[CONSUMO]]</f>
        <v>1077.007185254608</v>
      </c>
    </row>
    <row r="2572" spans="1:14" x14ac:dyDescent="0.25">
      <c r="A2572" s="47">
        <v>55107</v>
      </c>
      <c r="B2572" s="78">
        <v>45203</v>
      </c>
      <c r="C2572" s="47" t="s">
        <v>72</v>
      </c>
      <c r="D2572" s="49" t="s">
        <v>264</v>
      </c>
      <c r="E2572" s="47">
        <v>417594</v>
      </c>
      <c r="G2572" s="50" t="s">
        <v>89</v>
      </c>
      <c r="H2572" s="51">
        <v>48.4</v>
      </c>
      <c r="J2572" s="51">
        <v>6.09</v>
      </c>
      <c r="K2572" s="74">
        <f>Tabela6[[#This Row],[CONSUMO]]*Tabela6[[#This Row],[VALOR UNIT]]-Tabela6[[#This Row],[DESCONTO]]</f>
        <v>294.75599999999997</v>
      </c>
      <c r="L2572" s="53">
        <f>Tabela6[[#This Row],[CUSTO TOTAL]]/Tabela6[[#This Row],[CONSUMO]]</f>
        <v>6.09</v>
      </c>
      <c r="M2572" s="50">
        <f>Tabela6[[#This Row],[KM ATUAL]]-E2571</f>
        <v>302993</v>
      </c>
      <c r="N2572" s="51">
        <f>Tabela6[[#This Row],[KM Rodados ]]/Tabela6[[#This Row],[CONSUMO]]</f>
        <v>6260.1859504132235</v>
      </c>
    </row>
    <row r="2573" spans="1:14" x14ac:dyDescent="0.25">
      <c r="A2573" s="47">
        <v>211640</v>
      </c>
      <c r="B2573" s="78">
        <v>45203</v>
      </c>
      <c r="C2573" s="47" t="s">
        <v>71</v>
      </c>
      <c r="D2573" s="49" t="s">
        <v>262</v>
      </c>
      <c r="E2573" s="47">
        <v>127761</v>
      </c>
      <c r="G2573" s="50" t="s">
        <v>241</v>
      </c>
      <c r="H2573" s="51">
        <v>40.018000000000001</v>
      </c>
      <c r="I2573" s="49">
        <v>14.41</v>
      </c>
      <c r="J2573" s="51">
        <v>3.69</v>
      </c>
      <c r="K2573" s="74">
        <f>Tabela6[[#This Row],[CONSUMO]]*Tabela6[[#This Row],[VALOR UNIT]]-Tabela6[[#This Row],[DESCONTO]]</f>
        <v>133.25641999999999</v>
      </c>
      <c r="L2573" s="53">
        <f>Tabela6[[#This Row],[CUSTO TOTAL]]/Tabela6[[#This Row],[CONSUMO]]</f>
        <v>3.329912039582188</v>
      </c>
      <c r="M2573" s="53"/>
      <c r="N2573" s="49"/>
    </row>
    <row r="2574" spans="1:14" x14ac:dyDescent="0.25">
      <c r="A2574" s="47">
        <v>570885</v>
      </c>
      <c r="B2574" s="78">
        <v>45203</v>
      </c>
      <c r="C2574" s="47" t="s">
        <v>64</v>
      </c>
      <c r="D2574" s="49" t="s">
        <v>255</v>
      </c>
      <c r="E2574" s="47">
        <v>96213</v>
      </c>
      <c r="G2574" s="50" t="s">
        <v>89</v>
      </c>
      <c r="H2574" s="51">
        <v>178</v>
      </c>
      <c r="J2574" s="51">
        <v>6.89</v>
      </c>
      <c r="K2574" s="74">
        <f>Tabela6[[#This Row],[CONSUMO]]*Tabela6[[#This Row],[VALOR UNIT]]-Tabela6[[#This Row],[DESCONTO]]</f>
        <v>1226.4199999999998</v>
      </c>
      <c r="L2574" s="53">
        <f>Tabela6[[#This Row],[CUSTO TOTAL]]/Tabela6[[#This Row],[CONSUMO]]</f>
        <v>6.8899999999999988</v>
      </c>
      <c r="M2574" s="50">
        <f>Tabela6[[#This Row],[KM ATUAL]]-E2523</f>
        <v>-234366</v>
      </c>
      <c r="N2574" s="51">
        <f>Tabela6[[#This Row],[KM Rodados ]]/Tabela6[[#This Row],[CONSUMO]]</f>
        <v>-1316.6629213483145</v>
      </c>
    </row>
    <row r="2575" spans="1:14" x14ac:dyDescent="0.25">
      <c r="A2575" s="47" t="s">
        <v>314</v>
      </c>
      <c r="B2575" s="78">
        <v>45203</v>
      </c>
      <c r="C2575" s="47" t="s">
        <v>64</v>
      </c>
      <c r="E2575" s="47">
        <v>96001</v>
      </c>
      <c r="G2575" s="50" t="s">
        <v>89</v>
      </c>
      <c r="H2575" s="51">
        <v>107.3</v>
      </c>
      <c r="K2575" s="74">
        <f>Tabela6[[#This Row],[CONSUMO]]*Tabela6[[#This Row],[VALOR UNIT]]-Tabela6[[#This Row],[DESCONTO]]</f>
        <v>0</v>
      </c>
      <c r="L2575" s="53">
        <f>Tabela6[[#This Row],[CUSTO TOTAL]]/Tabela6[[#This Row],[CONSUMO]]</f>
        <v>0</v>
      </c>
      <c r="M2575" s="50">
        <f>Tabela6[[#This Row],[KM ATUAL]]-E2539</f>
        <v>-581506</v>
      </c>
      <c r="N2575" s="51">
        <f>Tabela6[[#This Row],[KM Rodados ]]/Tabela6[[#This Row],[CONSUMO]]</f>
        <v>-5419.440820130475</v>
      </c>
    </row>
    <row r="2576" spans="1:14" x14ac:dyDescent="0.25">
      <c r="A2576" s="47">
        <v>7515</v>
      </c>
      <c r="B2576" s="78">
        <v>45203</v>
      </c>
      <c r="C2576" s="47" t="s">
        <v>21</v>
      </c>
      <c r="D2576" s="49" t="s">
        <v>299</v>
      </c>
      <c r="E2576" s="47">
        <v>157100</v>
      </c>
      <c r="G2576" s="50" t="s">
        <v>89</v>
      </c>
      <c r="H2576" s="51">
        <v>88</v>
      </c>
      <c r="J2576" s="51">
        <v>5.83</v>
      </c>
      <c r="K2576" s="74">
        <f>Tabela6[[#This Row],[CONSUMO]]*Tabela6[[#This Row],[VALOR UNIT]]-Tabela6[[#This Row],[DESCONTO]]</f>
        <v>513.04</v>
      </c>
      <c r="L2576" s="53">
        <f>Tabela6[[#This Row],[CUSTO TOTAL]]/Tabela6[[#This Row],[CONSUMO]]</f>
        <v>5.8299999999999992</v>
      </c>
      <c r="M2576" s="50">
        <f>Tabela6[[#This Row],[KM ATUAL]]-E2543</f>
        <v>-229711</v>
      </c>
      <c r="N2576" s="51">
        <f>Tabela6[[#This Row],[KM Rodados ]]/Tabela6[[#This Row],[CONSUMO]]</f>
        <v>-2610.3522727272725</v>
      </c>
    </row>
    <row r="2577" spans="1:14" x14ac:dyDescent="0.25">
      <c r="A2577" s="47">
        <v>7515</v>
      </c>
      <c r="B2577" s="78">
        <v>45203</v>
      </c>
      <c r="C2577" s="47" t="s">
        <v>41</v>
      </c>
      <c r="D2577" s="49" t="s">
        <v>299</v>
      </c>
      <c r="E2577" s="47">
        <v>678302</v>
      </c>
      <c r="G2577" s="50" t="s">
        <v>89</v>
      </c>
      <c r="H2577" s="51">
        <v>155</v>
      </c>
      <c r="J2577" s="51">
        <v>5.83</v>
      </c>
      <c r="K2577" s="74">
        <f>Tabela6[[#This Row],[CONSUMO]]*Tabela6[[#This Row],[VALOR UNIT]]-Tabela6[[#This Row],[DESCONTO]]</f>
        <v>903.65</v>
      </c>
      <c r="L2577" s="53">
        <f>Tabela6[[#This Row],[CUSTO TOTAL]]/Tabela6[[#This Row],[CONSUMO]]</f>
        <v>5.83</v>
      </c>
      <c r="M2577" s="50">
        <f>Tabela6[[#This Row],[KM ATUAL]]-E2554</f>
        <v>572906</v>
      </c>
      <c r="N2577" s="51">
        <f>Tabela6[[#This Row],[KM Rodados ]]/Tabela6[[#This Row],[CONSUMO]]</f>
        <v>3696.1677419354837</v>
      </c>
    </row>
    <row r="2578" spans="1:14" x14ac:dyDescent="0.25">
      <c r="A2578" s="47">
        <v>242506</v>
      </c>
      <c r="B2578" s="78">
        <v>45203</v>
      </c>
      <c r="C2578" s="47" t="s">
        <v>13</v>
      </c>
      <c r="D2578" s="49" t="s">
        <v>264</v>
      </c>
      <c r="E2578" s="47">
        <v>654243</v>
      </c>
      <c r="G2578" s="50" t="s">
        <v>241</v>
      </c>
      <c r="H2578" s="51">
        <v>20.97</v>
      </c>
      <c r="J2578" s="51">
        <v>2.4500000000000002</v>
      </c>
      <c r="K2578" s="74">
        <f>Tabela6[[#This Row],[CONSUMO]]*Tabela6[[#This Row],[VALOR UNIT]]-Tabela6[[#This Row],[DESCONTO]]</f>
        <v>51.3765</v>
      </c>
      <c r="L2578" s="53">
        <f>Tabela6[[#This Row],[CUSTO TOTAL]]/Tabela6[[#This Row],[CONSUMO]]</f>
        <v>2.4500000000000002</v>
      </c>
      <c r="M2578" s="53"/>
      <c r="N2578" s="49"/>
    </row>
    <row r="2579" spans="1:14" x14ac:dyDescent="0.25">
      <c r="A2579" s="47">
        <v>242506</v>
      </c>
      <c r="B2579" s="78">
        <v>45203</v>
      </c>
      <c r="C2579" s="47" t="s">
        <v>13</v>
      </c>
      <c r="D2579" s="49" t="s">
        <v>335</v>
      </c>
      <c r="E2579" s="47">
        <v>654243</v>
      </c>
      <c r="G2579" s="50" t="s">
        <v>89</v>
      </c>
      <c r="H2579" s="51">
        <v>108.49</v>
      </c>
      <c r="I2579" s="49">
        <v>34.71</v>
      </c>
      <c r="J2579" s="51">
        <v>6.23</v>
      </c>
      <c r="K2579" s="74">
        <f>Tabela6[[#This Row],[CONSUMO]]*Tabela6[[#This Row],[VALOR UNIT]]-Tabela6[[#This Row],[DESCONTO]]</f>
        <v>641.18269999999995</v>
      </c>
      <c r="L2579" s="53">
        <f>Tabela6[[#This Row],[CUSTO TOTAL]]/Tabela6[[#This Row],[CONSUMO]]</f>
        <v>5.910062678587888</v>
      </c>
      <c r="M2579" s="50">
        <f>Tabela6[[#This Row],[KM ATUAL]]-E2561</f>
        <v>356258</v>
      </c>
      <c r="N2579" s="51">
        <f>Tabela6[[#This Row],[KM Rodados ]]/Tabela6[[#This Row],[CONSUMO]]</f>
        <v>3283.7865241036043</v>
      </c>
    </row>
    <row r="2580" spans="1:14" x14ac:dyDescent="0.25">
      <c r="A2580" s="47">
        <v>673809</v>
      </c>
      <c r="B2580" s="78">
        <v>45203</v>
      </c>
      <c r="C2580" s="47" t="s">
        <v>14</v>
      </c>
      <c r="D2580" s="49" t="s">
        <v>271</v>
      </c>
      <c r="E2580" s="47">
        <v>298949</v>
      </c>
      <c r="G2580" s="50" t="s">
        <v>244</v>
      </c>
      <c r="H2580" s="51">
        <v>30.26</v>
      </c>
      <c r="J2580" s="51">
        <v>5.59</v>
      </c>
      <c r="K2580" s="74">
        <f>Tabela6[[#This Row],[CONSUMO]]*Tabela6[[#This Row],[VALOR UNIT]]-Tabela6[[#This Row],[DESCONTO]]</f>
        <v>169.1534</v>
      </c>
      <c r="L2580" s="53">
        <f>Tabela6[[#This Row],[CUSTO TOTAL]]/Tabela6[[#This Row],[CONSUMO]]</f>
        <v>5.59</v>
      </c>
      <c r="M2580" s="50">
        <f>Tabela6[[#This Row],[KM ATUAL]]-E2571</f>
        <v>184348</v>
      </c>
      <c r="N2580" s="51">
        <f>Tabela6[[#This Row],[KM Rodados ]]/Tabela6[[#This Row],[CONSUMO]]</f>
        <v>6092.1348314606739</v>
      </c>
    </row>
    <row r="2581" spans="1:14" x14ac:dyDescent="0.25">
      <c r="A2581" s="47">
        <v>7515</v>
      </c>
      <c r="B2581" s="78">
        <v>45203</v>
      </c>
      <c r="C2581" s="47" t="s">
        <v>15</v>
      </c>
      <c r="D2581" s="49" t="s">
        <v>299</v>
      </c>
      <c r="E2581" s="47">
        <v>387784</v>
      </c>
      <c r="G2581" s="50" t="s">
        <v>89</v>
      </c>
      <c r="H2581" s="51">
        <v>100</v>
      </c>
      <c r="J2581" s="51">
        <v>5.83</v>
      </c>
      <c r="K2581" s="74">
        <f>Tabela6[[#This Row],[CONSUMO]]*Tabela6[[#This Row],[VALOR UNIT]]-Tabela6[[#This Row],[DESCONTO]]</f>
        <v>583</v>
      </c>
      <c r="L2581" s="53">
        <f>Tabela6[[#This Row],[CUSTO TOTAL]]/Tabela6[[#This Row],[CONSUMO]]</f>
        <v>5.83</v>
      </c>
      <c r="M2581" s="50">
        <f>Tabela6[[#This Row],[KM ATUAL]]-E2556</f>
        <v>-29411</v>
      </c>
      <c r="N2581" s="49">
        <f>Tabela6[[#This Row],[KM Rodados ]]/Tabela6[[#This Row],[CONSUMO]]</f>
        <v>-294.11</v>
      </c>
    </row>
    <row r="2582" spans="1:14" x14ac:dyDescent="0.25">
      <c r="A2582" s="47">
        <v>211710</v>
      </c>
      <c r="B2582" s="78">
        <v>45203</v>
      </c>
      <c r="C2582" s="47" t="s">
        <v>74</v>
      </c>
      <c r="D2582" s="49" t="s">
        <v>262</v>
      </c>
      <c r="E2582" s="47">
        <v>81572</v>
      </c>
      <c r="G2582" s="50" t="s">
        <v>241</v>
      </c>
      <c r="H2582" s="51">
        <v>6.5529999999999999</v>
      </c>
      <c r="I2582" s="49">
        <v>2.36</v>
      </c>
      <c r="J2582" s="51">
        <v>3.69</v>
      </c>
      <c r="K2582" s="74">
        <f>Tabela6[[#This Row],[CONSUMO]]*Tabela6[[#This Row],[VALOR UNIT]]-Tabela6[[#This Row],[DESCONTO]]</f>
        <v>21.82057</v>
      </c>
      <c r="L2582" s="53">
        <f>Tabela6[[#This Row],[CUSTO TOTAL]]/Tabela6[[#This Row],[CONSUMO]]</f>
        <v>3.3298596062871968</v>
      </c>
      <c r="M2582" s="53"/>
      <c r="N2582" s="49"/>
    </row>
    <row r="2583" spans="1:14" x14ac:dyDescent="0.25">
      <c r="A2583" s="47">
        <v>673803</v>
      </c>
      <c r="B2583" s="78">
        <v>45203</v>
      </c>
      <c r="C2583" s="47" t="s">
        <v>74</v>
      </c>
      <c r="D2583" s="49" t="s">
        <v>271</v>
      </c>
      <c r="E2583" s="47">
        <v>81659</v>
      </c>
      <c r="G2583" s="50" t="s">
        <v>89</v>
      </c>
      <c r="H2583" s="51">
        <v>53.9</v>
      </c>
      <c r="J2583" s="51">
        <v>5.99</v>
      </c>
      <c r="K2583" s="74">
        <f>Tabela6[[#This Row],[CONSUMO]]*Tabela6[[#This Row],[VALOR UNIT]]-Tabela6[[#This Row],[DESCONTO]]</f>
        <v>322.86099999999999</v>
      </c>
      <c r="L2583" s="53">
        <f>Tabela6[[#This Row],[CUSTO TOTAL]]/Tabela6[[#This Row],[CONSUMO]]</f>
        <v>5.99</v>
      </c>
      <c r="M2583" s="50">
        <f>Tabela6[[#This Row],[KM ATUAL]]-E2569</f>
        <v>-256463</v>
      </c>
      <c r="N2583" s="51">
        <f>Tabela6[[#This Row],[KM Rodados ]]/Tabela6[[#This Row],[CONSUMO]]</f>
        <v>-4758.1261595547312</v>
      </c>
    </row>
    <row r="2584" spans="1:14" x14ac:dyDescent="0.25">
      <c r="A2584" s="47">
        <v>211798</v>
      </c>
      <c r="B2584" s="78">
        <v>45203</v>
      </c>
      <c r="C2584" s="47" t="s">
        <v>315</v>
      </c>
      <c r="D2584" s="49" t="s">
        <v>262</v>
      </c>
      <c r="E2584" s="47">
        <v>2436</v>
      </c>
      <c r="G2584" s="50" t="s">
        <v>89</v>
      </c>
      <c r="H2584" s="51">
        <v>22.63</v>
      </c>
      <c r="J2584" s="51">
        <v>6.19</v>
      </c>
      <c r="K2584" s="74">
        <f>Tabela6[[#This Row],[CONSUMO]]*Tabela6[[#This Row],[VALOR UNIT]]-Tabela6[[#This Row],[DESCONTO]]</f>
        <v>140.0797</v>
      </c>
      <c r="L2584" s="53">
        <f>Tabela6[[#This Row],[CUSTO TOTAL]]/Tabela6[[#This Row],[CONSUMO]]</f>
        <v>6.19</v>
      </c>
      <c r="M2584" s="50">
        <f>Tabela6[[#This Row],[KM ATUAL]]-E2570</f>
        <v>-112165</v>
      </c>
      <c r="N2584" s="51">
        <f>Tabela6[[#This Row],[KM Rodados ]]/Tabela6[[#This Row],[CONSUMO]]</f>
        <v>-4956.4737074679633</v>
      </c>
    </row>
    <row r="2585" spans="1:14" x14ac:dyDescent="0.25">
      <c r="A2585" s="47">
        <v>7515</v>
      </c>
      <c r="B2585" s="78">
        <v>45203</v>
      </c>
      <c r="C2585" s="47"/>
      <c r="D2585" s="49" t="s">
        <v>299</v>
      </c>
      <c r="G2585" s="50" t="s">
        <v>89</v>
      </c>
      <c r="H2585" s="51">
        <v>20</v>
      </c>
      <c r="J2585" s="51">
        <v>5.83</v>
      </c>
      <c r="K2585" s="74">
        <f>Tabela6[[#This Row],[CONSUMO]]*Tabela6[[#This Row],[VALOR UNIT]]-Tabela6[[#This Row],[DESCONTO]]</f>
        <v>116.6</v>
      </c>
      <c r="L2585" s="53">
        <f>Tabela6[[#This Row],[CUSTO TOTAL]]/Tabela6[[#This Row],[CONSUMO]]</f>
        <v>5.83</v>
      </c>
      <c r="M2585" s="53" t="e" cm="1">
        <f t="array" ref="M2585">SE</f>
        <v>#NAME?</v>
      </c>
      <c r="N2585" s="49" t="e">
        <f>Tabela6[[#This Row],[KM Rodados ]]/Tabela6[[#This Row],[CONSUMO]]</f>
        <v>#NAME?</v>
      </c>
    </row>
    <row r="2586" spans="1:14" x14ac:dyDescent="0.25">
      <c r="A2586" s="47">
        <v>7515</v>
      </c>
      <c r="B2586" s="78">
        <v>45204</v>
      </c>
      <c r="C2586" s="47" t="s">
        <v>43</v>
      </c>
      <c r="D2586" s="49" t="s">
        <v>299</v>
      </c>
      <c r="E2586" s="47">
        <v>154219</v>
      </c>
      <c r="G2586" s="50" t="s">
        <v>89</v>
      </c>
      <c r="H2586" s="51">
        <v>188</v>
      </c>
      <c r="J2586" s="51">
        <v>5.83</v>
      </c>
      <c r="K2586" s="74">
        <f>Tabela6[[#This Row],[CONSUMO]]*Tabela6[[#This Row],[VALOR UNIT]]-Tabela6[[#This Row],[DESCONTO]]</f>
        <v>1096.04</v>
      </c>
      <c r="L2586" s="53">
        <f>Tabela6[[#This Row],[CUSTO TOTAL]]/Tabela6[[#This Row],[CONSUMO]]</f>
        <v>5.83</v>
      </c>
      <c r="M2586" s="50">
        <f>Tabela6[[#This Row],[KM ATUAL]]-E2579</f>
        <v>-500024</v>
      </c>
      <c r="N2586" s="51">
        <f>Tabela6[[#This Row],[KM Rodados ]]/Tabela6[[#This Row],[CONSUMO]]</f>
        <v>-2659.7021276595747</v>
      </c>
    </row>
    <row r="2587" spans="1:14" x14ac:dyDescent="0.25">
      <c r="A2587" s="47">
        <v>380510</v>
      </c>
      <c r="B2587" s="78">
        <v>45204</v>
      </c>
      <c r="C2587" s="47" t="s">
        <v>43</v>
      </c>
      <c r="D2587" s="49" t="s">
        <v>271</v>
      </c>
      <c r="E2587" s="47">
        <v>151947</v>
      </c>
      <c r="G2587" s="50" t="s">
        <v>89</v>
      </c>
      <c r="H2587" s="51">
        <v>35.520000000000003</v>
      </c>
      <c r="J2587" s="51">
        <v>5.99</v>
      </c>
      <c r="K2587" s="74">
        <f>Tabela6[[#This Row],[CONSUMO]]*Tabela6[[#This Row],[VALOR UNIT]]-Tabela6[[#This Row],[DESCONTO]]</f>
        <v>212.76480000000004</v>
      </c>
      <c r="L2587" s="53">
        <f>Tabela6[[#This Row],[CUSTO TOTAL]]/Tabela6[[#This Row],[CONSUMO]]</f>
        <v>5.99</v>
      </c>
      <c r="M2587" s="50">
        <f>Tabela6[[#This Row],[KM ATUAL]]-E2533</f>
        <v>-221305</v>
      </c>
      <c r="N2587" s="51">
        <f>Tabela6[[#This Row],[KM Rodados ]]/Tabela6[[#This Row],[CONSUMO]]</f>
        <v>-6230.4335585585577</v>
      </c>
    </row>
    <row r="2588" spans="1:14" x14ac:dyDescent="0.25">
      <c r="A2588" s="47">
        <v>258512</v>
      </c>
      <c r="B2588" s="78">
        <v>45204</v>
      </c>
      <c r="C2588" s="47" t="s">
        <v>9</v>
      </c>
      <c r="D2588" s="49" t="s">
        <v>273</v>
      </c>
      <c r="E2588" s="47">
        <v>627494</v>
      </c>
      <c r="G2588" s="50" t="s">
        <v>89</v>
      </c>
      <c r="H2588" s="51">
        <v>130.01</v>
      </c>
      <c r="J2588" s="51">
        <v>5.99</v>
      </c>
      <c r="K2588" s="74">
        <f>Tabela6[[#This Row],[CONSUMO]]*Tabela6[[#This Row],[VALOR UNIT]]-Tabela6[[#This Row],[DESCONTO]]</f>
        <v>778.75990000000002</v>
      </c>
      <c r="L2588" s="53">
        <f>Tabela6[[#This Row],[CUSTO TOTAL]]/Tabela6[[#This Row],[CONSUMO]]</f>
        <v>5.99</v>
      </c>
      <c r="M2588" s="50">
        <f>Tabela6[[#This Row],[KM ATUAL]]-E2577</f>
        <v>-50808</v>
      </c>
      <c r="N2588" s="51">
        <f>Tabela6[[#This Row],[KM Rodados ]]/Tabela6[[#This Row],[CONSUMO]]</f>
        <v>-390.80070763787404</v>
      </c>
    </row>
    <row r="2589" spans="1:14" x14ac:dyDescent="0.25">
      <c r="A2589" s="47">
        <v>272929</v>
      </c>
      <c r="B2589" s="78">
        <v>45204</v>
      </c>
      <c r="C2589" s="47" t="s">
        <v>222</v>
      </c>
      <c r="D2589" s="49" t="s">
        <v>268</v>
      </c>
      <c r="E2589" s="47">
        <v>506528</v>
      </c>
      <c r="G2589" s="50" t="s">
        <v>89</v>
      </c>
      <c r="H2589" s="51">
        <v>100</v>
      </c>
      <c r="J2589" s="51">
        <v>5.99</v>
      </c>
      <c r="K2589" s="74">
        <f>Tabela6[[#This Row],[CONSUMO]]*Tabela6[[#This Row],[VALOR UNIT]]-Tabela6[[#This Row],[DESCONTO]]</f>
        <v>599</v>
      </c>
      <c r="L2589" s="53">
        <f>Tabela6[[#This Row],[CUSTO TOTAL]]/Tabela6[[#This Row],[CONSUMO]]</f>
        <v>5.99</v>
      </c>
      <c r="M2589" s="50">
        <f>Tabela6[[#This Row],[KM ATUAL]]-E2506</f>
        <v>176502</v>
      </c>
      <c r="N2589" s="51">
        <f>Tabela6[[#This Row],[KM Rodados ]]/Tabela6[[#This Row],[CONSUMO]]</f>
        <v>1765.02</v>
      </c>
    </row>
    <row r="2590" spans="1:14" x14ac:dyDescent="0.25">
      <c r="A2590" s="47">
        <v>212011</v>
      </c>
      <c r="B2590" s="78">
        <v>45204</v>
      </c>
      <c r="C2590" s="47" t="s">
        <v>67</v>
      </c>
      <c r="D2590" s="49" t="s">
        <v>262</v>
      </c>
      <c r="E2590" s="47">
        <v>683904</v>
      </c>
      <c r="G2590" s="50" t="s">
        <v>89</v>
      </c>
      <c r="H2590" s="51">
        <v>125.69</v>
      </c>
      <c r="J2590" s="51">
        <v>6.19</v>
      </c>
      <c r="K2590" s="74">
        <f>Tabela6[[#This Row],[CONSUMO]]*Tabela6[[#This Row],[VALOR UNIT]]-Tabela6[[#This Row],[DESCONTO]]</f>
        <v>778.02110000000005</v>
      </c>
      <c r="L2590" s="53">
        <f>Tabela6[[#This Row],[CUSTO TOTAL]]/Tabela6[[#This Row],[CONSUMO]]</f>
        <v>6.19</v>
      </c>
      <c r="M2590" s="50">
        <f>Tabela6[[#This Row],[KM ATUAL]]-E2541</f>
        <v>361398</v>
      </c>
      <c r="N2590" s="51">
        <f>Tabela6[[#This Row],[KM Rodados ]]/Tabela6[[#This Row],[CONSUMO]]</f>
        <v>2875.3122762351818</v>
      </c>
    </row>
    <row r="2591" spans="1:14" x14ac:dyDescent="0.25">
      <c r="A2591" s="47">
        <v>7515</v>
      </c>
      <c r="B2591" s="78">
        <v>45204</v>
      </c>
      <c r="C2591" s="47" t="s">
        <v>39</v>
      </c>
      <c r="D2591" s="49" t="s">
        <v>299</v>
      </c>
      <c r="E2591" s="47">
        <v>105998</v>
      </c>
      <c r="G2591" s="50" t="s">
        <v>89</v>
      </c>
      <c r="H2591" s="51">
        <v>84</v>
      </c>
      <c r="J2591" s="51">
        <v>5.83</v>
      </c>
      <c r="K2591" s="74">
        <f>Tabela6[[#This Row],[CONSUMO]]*Tabela6[[#This Row],[VALOR UNIT]]-Tabela6[[#This Row],[DESCONTO]]</f>
        <v>489.72</v>
      </c>
      <c r="L2591" s="53">
        <f>Tabela6[[#This Row],[CUSTO TOTAL]]/Tabela6[[#This Row],[CONSUMO]]</f>
        <v>5.83</v>
      </c>
      <c r="M2591" s="50">
        <f>Tabela6[[#This Row],[KM ATUAL]]-E2558</f>
        <v>-47361</v>
      </c>
      <c r="N2591" s="51">
        <f>Tabela6[[#This Row],[KM Rodados ]]/Tabela6[[#This Row],[CONSUMO]]</f>
        <v>-563.82142857142856</v>
      </c>
    </row>
    <row r="2592" spans="1:14" x14ac:dyDescent="0.25">
      <c r="A2592" s="47" t="s">
        <v>314</v>
      </c>
      <c r="B2592" s="78">
        <v>45204</v>
      </c>
      <c r="C2592" s="47" t="s">
        <v>73</v>
      </c>
      <c r="E2592" s="47">
        <v>154106</v>
      </c>
      <c r="G2592" s="50" t="s">
        <v>89</v>
      </c>
      <c r="H2592" s="51">
        <v>136</v>
      </c>
      <c r="K2592" s="74">
        <f>Tabela6[[#This Row],[CONSUMO]]*Tabela6[[#This Row],[VALOR UNIT]]-Tabela6[[#This Row],[DESCONTO]]</f>
        <v>0</v>
      </c>
      <c r="L2592" s="53">
        <f>Tabela6[[#This Row],[CUSTO TOTAL]]/Tabela6[[#This Row],[CONSUMO]]</f>
        <v>0</v>
      </c>
      <c r="M2592" s="50">
        <f>Tabela6[[#This Row],[KM ATUAL]]-E2524</f>
        <v>16865</v>
      </c>
      <c r="N2592" s="51">
        <f>Tabela6[[#This Row],[KM Rodados ]]/Tabela6[[#This Row],[CONSUMO]]</f>
        <v>124.00735294117646</v>
      </c>
    </row>
    <row r="2593" spans="1:14" x14ac:dyDescent="0.25">
      <c r="A2593" s="47">
        <v>56750</v>
      </c>
      <c r="B2593" s="78">
        <v>45204</v>
      </c>
      <c r="C2593" s="47" t="s">
        <v>64</v>
      </c>
      <c r="D2593" s="49" t="s">
        <v>253</v>
      </c>
      <c r="E2593" s="47">
        <v>96518</v>
      </c>
      <c r="G2593" s="50" t="s">
        <v>89</v>
      </c>
      <c r="H2593" s="51">
        <v>95.22</v>
      </c>
      <c r="J2593" s="51">
        <v>6.09</v>
      </c>
      <c r="K2593" s="74">
        <f>Tabela6[[#This Row],[CONSUMO]]*Tabela6[[#This Row],[VALOR UNIT]]-Tabela6[[#This Row],[DESCONTO]]</f>
        <v>579.88979999999992</v>
      </c>
      <c r="L2593" s="53">
        <f>Tabela6[[#This Row],[CUSTO TOTAL]]/Tabela6[[#This Row],[CONSUMO]]</f>
        <v>6.089999999999999</v>
      </c>
      <c r="M2593" s="50">
        <f>Tabela6[[#This Row],[KM ATUAL]]-E2581</f>
        <v>-291266</v>
      </c>
      <c r="N2593" s="51">
        <f>Tabela6[[#This Row],[KM Rodados ]]/Tabela6[[#This Row],[CONSUMO]]</f>
        <v>-3058.8741860953583</v>
      </c>
    </row>
    <row r="2594" spans="1:14" x14ac:dyDescent="0.25">
      <c r="A2594" s="47">
        <v>56305</v>
      </c>
      <c r="B2594" s="78">
        <v>45204</v>
      </c>
      <c r="C2594" s="47" t="s">
        <v>11</v>
      </c>
      <c r="D2594" s="49" t="s">
        <v>253</v>
      </c>
      <c r="E2594" s="47">
        <v>402315</v>
      </c>
      <c r="G2594" s="50" t="s">
        <v>89</v>
      </c>
      <c r="H2594" s="51">
        <v>106.04</v>
      </c>
      <c r="J2594" s="51">
        <v>6.09</v>
      </c>
      <c r="K2594" s="74">
        <f>Tabela6[[#This Row],[CONSUMO]]*Tabela6[[#This Row],[VALOR UNIT]]-Tabela6[[#This Row],[DESCONTO]]</f>
        <v>645.78359999999998</v>
      </c>
      <c r="L2594" s="53">
        <f>Tabela6[[#This Row],[CUSTO TOTAL]]/Tabela6[[#This Row],[CONSUMO]]</f>
        <v>6.09</v>
      </c>
      <c r="M2594" s="50">
        <f>Tabela6[[#This Row],[KM ATUAL]]-E2506</f>
        <v>72289</v>
      </c>
      <c r="N2594" s="51">
        <f>Tabela6[[#This Row],[KM Rodados ]]/Tabela6[[#This Row],[CONSUMO]]</f>
        <v>681.7144473783477</v>
      </c>
    </row>
    <row r="2595" spans="1:14" x14ac:dyDescent="0.25">
      <c r="A2595" s="47">
        <v>7515</v>
      </c>
      <c r="B2595" s="78">
        <v>45204</v>
      </c>
      <c r="C2595" s="47" t="s">
        <v>13</v>
      </c>
      <c r="D2595" s="49" t="s">
        <v>299</v>
      </c>
      <c r="E2595" s="47">
        <v>654782</v>
      </c>
      <c r="G2595" s="50" t="s">
        <v>89</v>
      </c>
      <c r="H2595" s="51">
        <v>101</v>
      </c>
      <c r="J2595" s="51">
        <v>5.83</v>
      </c>
      <c r="K2595" s="74">
        <f>Tabela6[[#This Row],[CONSUMO]]*Tabela6[[#This Row],[VALOR UNIT]]-Tabela6[[#This Row],[DESCONTO]]</f>
        <v>588.83000000000004</v>
      </c>
      <c r="L2595" s="53">
        <f>Tabela6[[#This Row],[CUSTO TOTAL]]/Tabela6[[#This Row],[CONSUMO]]</f>
        <v>5.83</v>
      </c>
      <c r="M2595" s="50">
        <f>Tabela6[[#This Row],[KM ATUAL]]-E2580</f>
        <v>355833</v>
      </c>
      <c r="N2595" s="51">
        <f>Tabela6[[#This Row],[KM Rodados ]]/Tabela6[[#This Row],[CONSUMO]]</f>
        <v>3523.09900990099</v>
      </c>
    </row>
    <row r="2596" spans="1:14" x14ac:dyDescent="0.25">
      <c r="A2596" s="47">
        <v>211876</v>
      </c>
      <c r="B2596" s="78">
        <v>45204</v>
      </c>
      <c r="C2596" s="47" t="s">
        <v>14</v>
      </c>
      <c r="D2596" s="49" t="s">
        <v>262</v>
      </c>
      <c r="E2596" s="47">
        <v>295344</v>
      </c>
      <c r="G2596" s="50" t="s">
        <v>244</v>
      </c>
      <c r="H2596" s="51">
        <v>35.880000000000003</v>
      </c>
      <c r="J2596" s="51">
        <v>5.69</v>
      </c>
      <c r="K2596" s="74">
        <f>Tabela6[[#This Row],[CONSUMO]]*Tabela6[[#This Row],[VALOR UNIT]]-Tabela6[[#This Row],[DESCONTO]]</f>
        <v>204.15720000000002</v>
      </c>
      <c r="L2596" s="53">
        <f>Tabela6[[#This Row],[CUSTO TOTAL]]/Tabela6[[#This Row],[CONSUMO]]</f>
        <v>5.69</v>
      </c>
      <c r="M2596" s="50">
        <f>Tabela6[[#This Row],[KM ATUAL]]-E2595</f>
        <v>-359438</v>
      </c>
      <c r="N2596" s="51">
        <f>Tabela6[[#This Row],[KM Rodados ]]/Tabela6[[#This Row],[CONSUMO]]</f>
        <v>-10017.78149386845</v>
      </c>
    </row>
    <row r="2597" spans="1:14" x14ac:dyDescent="0.25">
      <c r="A2597" s="47">
        <v>748271</v>
      </c>
      <c r="B2597" s="78">
        <v>45204</v>
      </c>
      <c r="C2597" s="47" t="s">
        <v>15</v>
      </c>
      <c r="D2597" s="49" t="s">
        <v>264</v>
      </c>
      <c r="E2597" s="47">
        <v>388505</v>
      </c>
      <c r="G2597" s="50" t="s">
        <v>89</v>
      </c>
      <c r="H2597" s="51">
        <v>124.95399999999999</v>
      </c>
      <c r="J2597" s="51">
        <v>6.13</v>
      </c>
      <c r="K2597" s="74">
        <f>Tabela6[[#This Row],[CONSUMO]]*Tabela6[[#This Row],[VALOR UNIT]]-Tabela6[[#This Row],[DESCONTO]]</f>
        <v>765.96801999999991</v>
      </c>
      <c r="L2597" s="53">
        <f>Tabela6[[#This Row],[CUSTO TOTAL]]/Tabela6[[#This Row],[CONSUMO]]</f>
        <v>6.13</v>
      </c>
      <c r="M2597" s="50">
        <f>Tabela6[[#This Row],[KM ATUAL]]-E2570</f>
        <v>273904</v>
      </c>
      <c r="N2597" s="51">
        <f>Tabela6[[#This Row],[KM Rodados ]]/Tabela6[[#This Row],[CONSUMO]]</f>
        <v>2192.038670230645</v>
      </c>
    </row>
    <row r="2598" spans="1:14" x14ac:dyDescent="0.25">
      <c r="A2598" s="47">
        <v>7515</v>
      </c>
      <c r="B2598" s="78">
        <v>45204</v>
      </c>
      <c r="C2598" s="47" t="s">
        <v>23</v>
      </c>
      <c r="D2598" s="49" t="s">
        <v>299</v>
      </c>
      <c r="E2598" s="47">
        <v>248787</v>
      </c>
      <c r="G2598" s="50" t="s">
        <v>89</v>
      </c>
      <c r="H2598" s="51">
        <v>100</v>
      </c>
      <c r="J2598" s="51">
        <v>5.83</v>
      </c>
      <c r="K2598" s="74">
        <f>Tabela6[[#This Row],[CONSUMO]]*Tabela6[[#This Row],[VALOR UNIT]]-Tabela6[[#This Row],[DESCONTO]]</f>
        <v>583</v>
      </c>
      <c r="L2598" s="53">
        <f>Tabela6[[#This Row],[CUSTO TOTAL]]/Tabela6[[#This Row],[CONSUMO]]</f>
        <v>5.83</v>
      </c>
      <c r="M2598" s="50">
        <f>Tabela6[[#This Row],[KM ATUAL]]-E2568</f>
        <v>-378195</v>
      </c>
      <c r="N2598" s="51">
        <f>Tabela6[[#This Row],[KM Rodados ]]/Tabela6[[#This Row],[CONSUMO]]</f>
        <v>-3781.95</v>
      </c>
    </row>
    <row r="2599" spans="1:14" x14ac:dyDescent="0.25">
      <c r="A2599" s="47">
        <v>336867</v>
      </c>
      <c r="B2599" s="78">
        <v>45204</v>
      </c>
      <c r="C2599" s="47" t="s">
        <v>40</v>
      </c>
      <c r="D2599" s="49" t="s">
        <v>276</v>
      </c>
      <c r="E2599" s="47">
        <v>161139</v>
      </c>
      <c r="G2599" s="50" t="s">
        <v>244</v>
      </c>
      <c r="H2599" s="51">
        <v>25.54</v>
      </c>
      <c r="J2599" s="51">
        <v>5.89</v>
      </c>
      <c r="K2599" s="74">
        <f>Tabela6[[#This Row],[CONSUMO]]*Tabela6[[#This Row],[VALOR UNIT]]-Tabela6[[#This Row],[DESCONTO]]</f>
        <v>150.4306</v>
      </c>
      <c r="L2599" s="53">
        <f>Tabela6[[#This Row],[CUSTO TOTAL]]/Tabela6[[#This Row],[CONSUMO]]</f>
        <v>5.8900000000000006</v>
      </c>
      <c r="M2599" s="50">
        <f>Tabela6[[#This Row],[KM ATUAL]]-E2570</f>
        <v>46538</v>
      </c>
      <c r="N2599" s="51">
        <f>Tabela6[[#This Row],[KM Rodados ]]/Tabela6[[#This Row],[CONSUMO]]</f>
        <v>1822.1613155833986</v>
      </c>
    </row>
    <row r="2600" spans="1:14" x14ac:dyDescent="0.25">
      <c r="A2600" s="47">
        <v>211947</v>
      </c>
      <c r="B2600" s="78">
        <v>45204</v>
      </c>
      <c r="C2600" s="47" t="s">
        <v>40</v>
      </c>
      <c r="D2600" s="49" t="s">
        <v>262</v>
      </c>
      <c r="E2600" s="47">
        <v>161558</v>
      </c>
      <c r="G2600" s="50" t="s">
        <v>244</v>
      </c>
      <c r="H2600" s="51">
        <v>32.64</v>
      </c>
      <c r="J2600" s="51">
        <v>5.69</v>
      </c>
      <c r="K2600" s="74">
        <f>Tabela6[[#This Row],[CONSUMO]]*Tabela6[[#This Row],[VALOR UNIT]]-Tabela6[[#This Row],[DESCONTO]]</f>
        <v>185.72160000000002</v>
      </c>
      <c r="L2600" s="53">
        <f>Tabela6[[#This Row],[CUSTO TOTAL]]/Tabela6[[#This Row],[CONSUMO]]</f>
        <v>5.69</v>
      </c>
      <c r="M2600" s="50">
        <f>Tabela6[[#This Row],[KM ATUAL]]-E2568</f>
        <v>-465424</v>
      </c>
      <c r="N2600" s="51">
        <f>Tabela6[[#This Row],[KM Rodados ]]/Tabela6[[#This Row],[CONSUMO]]</f>
        <v>-14259.313725490196</v>
      </c>
    </row>
    <row r="2601" spans="1:14" x14ac:dyDescent="0.25">
      <c r="A2601" s="47">
        <v>336867</v>
      </c>
      <c r="B2601" s="78">
        <v>45204</v>
      </c>
      <c r="C2601" s="47" t="s">
        <v>40</v>
      </c>
      <c r="D2601" s="49" t="s">
        <v>276</v>
      </c>
      <c r="E2601" s="47">
        <v>161139</v>
      </c>
      <c r="G2601" s="50" t="s">
        <v>244</v>
      </c>
      <c r="H2601" s="51">
        <v>25.54</v>
      </c>
      <c r="J2601" s="51">
        <v>5.89</v>
      </c>
      <c r="K2601" s="74">
        <f>Tabela6[[#This Row],[CONSUMO]]*Tabela6[[#This Row],[VALOR UNIT]]-Tabela6[[#This Row],[DESCONTO]]</f>
        <v>150.4306</v>
      </c>
      <c r="L2601" s="53">
        <f>Tabela6[[#This Row],[CUSTO TOTAL]]/Tabela6[[#This Row],[CONSUMO]]</f>
        <v>5.8900000000000006</v>
      </c>
      <c r="M2601" s="50">
        <f>Tabela6[[#This Row],[KM ATUAL]]-E2598</f>
        <v>-87648</v>
      </c>
      <c r="N2601" s="51">
        <f>Tabela6[[#This Row],[KM Rodados ]]/Tabela6[[#This Row],[CONSUMO]]</f>
        <v>-3431.7932654659357</v>
      </c>
    </row>
    <row r="2602" spans="1:14" x14ac:dyDescent="0.25">
      <c r="A2602" s="47">
        <v>7515</v>
      </c>
      <c r="B2602" s="78">
        <v>45204</v>
      </c>
      <c r="C2602" s="47" t="s">
        <v>315</v>
      </c>
      <c r="D2602" s="49" t="s">
        <v>299</v>
      </c>
      <c r="E2602" s="47">
        <v>2782</v>
      </c>
      <c r="G2602" s="50" t="s">
        <v>89</v>
      </c>
      <c r="H2602" s="51">
        <v>15</v>
      </c>
      <c r="J2602" s="51">
        <v>5.83</v>
      </c>
      <c r="K2602" s="74">
        <f>Tabela6[[#This Row],[CONSUMO]]*Tabela6[[#This Row],[VALOR UNIT]]-Tabela6[[#This Row],[DESCONTO]]</f>
        <v>87.45</v>
      </c>
      <c r="L2602" s="53">
        <f>Tabela6[[#This Row],[CUSTO TOTAL]]/Tabela6[[#This Row],[CONSUMO]]</f>
        <v>5.83</v>
      </c>
      <c r="M2602" s="50">
        <f>Tabela6[[#This Row],[KM ATUAL]]-E2586</f>
        <v>-151437</v>
      </c>
      <c r="N2602" s="51">
        <f>Tabela6[[#This Row],[KM Rodados ]]/Tabela6[[#This Row],[CONSUMO]]</f>
        <v>-10095.799999999999</v>
      </c>
    </row>
    <row r="2603" spans="1:14" x14ac:dyDescent="0.25">
      <c r="A2603" s="47">
        <v>7515</v>
      </c>
      <c r="B2603" s="78">
        <v>45205</v>
      </c>
      <c r="C2603" s="47" t="s">
        <v>68</v>
      </c>
      <c r="D2603" s="49" t="s">
        <v>299</v>
      </c>
      <c r="E2603" s="47">
        <v>920898</v>
      </c>
      <c r="G2603" s="50" t="s">
        <v>89</v>
      </c>
      <c r="H2603" s="51">
        <v>285</v>
      </c>
      <c r="J2603" s="51">
        <v>5.83</v>
      </c>
      <c r="K2603" s="74">
        <f>Tabela6[[#This Row],[CONSUMO]]*Tabela6[[#This Row],[VALOR UNIT]]-Tabela6[[#This Row],[DESCONTO]]</f>
        <v>1661.55</v>
      </c>
      <c r="L2603" s="53">
        <f>Tabela6[[#This Row],[CUSTO TOTAL]]/Tabela6[[#This Row],[CONSUMO]]</f>
        <v>5.83</v>
      </c>
      <c r="M2603" s="50">
        <f>Tabela6[[#This Row],[KM ATUAL]]-E2548</f>
        <v>840772</v>
      </c>
      <c r="N2603" s="51">
        <f>Tabela6[[#This Row],[KM Rodados ]]/Tabela6[[#This Row],[CONSUMO]]</f>
        <v>2950.0771929824559</v>
      </c>
    </row>
    <row r="2604" spans="1:14" x14ac:dyDescent="0.25">
      <c r="A2604" s="47">
        <v>212021</v>
      </c>
      <c r="B2604" s="78">
        <v>45205</v>
      </c>
      <c r="C2604" s="47" t="s">
        <v>43</v>
      </c>
      <c r="D2604" s="49" t="s">
        <v>262</v>
      </c>
      <c r="E2604" s="47">
        <v>152036</v>
      </c>
      <c r="G2604" s="50" t="s">
        <v>89</v>
      </c>
      <c r="H2604" s="51">
        <v>10.74</v>
      </c>
      <c r="J2604" s="51">
        <v>6.19</v>
      </c>
      <c r="K2604" s="74">
        <f>Tabela6[[#This Row],[CONSUMO]]*Tabela6[[#This Row],[VALOR UNIT]]-Tabela6[[#This Row],[DESCONTO]]</f>
        <v>66.48060000000001</v>
      </c>
      <c r="L2604" s="53">
        <f>Tabela6[[#This Row],[CUSTO TOTAL]]/Tabela6[[#This Row],[CONSUMO]]</f>
        <v>6.19</v>
      </c>
      <c r="M2604" s="50">
        <f>Tabela6[[#This Row],[KM ATUAL]]-E2588</f>
        <v>-475458</v>
      </c>
      <c r="N2604" s="51">
        <f>Tabela6[[#This Row],[KM Rodados ]]/Tabela6[[#This Row],[CONSUMO]]</f>
        <v>-44269.832402234635</v>
      </c>
    </row>
    <row r="2605" spans="1:14" x14ac:dyDescent="0.25">
      <c r="A2605" s="47">
        <v>7618</v>
      </c>
      <c r="B2605" s="78">
        <v>45205</v>
      </c>
      <c r="C2605" s="47" t="s">
        <v>43</v>
      </c>
      <c r="D2605" s="49" t="s">
        <v>299</v>
      </c>
      <c r="E2605" s="47">
        <v>152398</v>
      </c>
      <c r="G2605" s="50" t="s">
        <v>89</v>
      </c>
      <c r="H2605" s="51">
        <v>42</v>
      </c>
      <c r="J2605" s="51">
        <v>5.83</v>
      </c>
      <c r="K2605" s="74">
        <f>Tabela6[[#This Row],[CONSUMO]]*Tabela6[[#This Row],[VALOR UNIT]]-Tabela6[[#This Row],[DESCONTO]]</f>
        <v>244.86</v>
      </c>
      <c r="L2605" s="53">
        <f>Tabela6[[#This Row],[CUSTO TOTAL]]/Tabela6[[#This Row],[CONSUMO]]</f>
        <v>5.83</v>
      </c>
      <c r="M2605" s="50">
        <f>Tabela6[[#This Row],[KM ATUAL]]-E2598</f>
        <v>-96389</v>
      </c>
      <c r="N2605" s="51">
        <f>Tabela6[[#This Row],[KM Rodados ]]/Tabela6[[#This Row],[CONSUMO]]</f>
        <v>-2294.9761904761904</v>
      </c>
    </row>
    <row r="2606" spans="1:14" x14ac:dyDescent="0.25">
      <c r="A2606" s="47">
        <v>7515</v>
      </c>
      <c r="B2606" s="78">
        <v>45205</v>
      </c>
      <c r="C2606" s="47" t="s">
        <v>222</v>
      </c>
      <c r="D2606" s="49" t="s">
        <v>299</v>
      </c>
      <c r="E2606" s="47">
        <v>506615</v>
      </c>
      <c r="G2606" s="50" t="s">
        <v>89</v>
      </c>
      <c r="H2606" s="51">
        <v>415</v>
      </c>
      <c r="J2606" s="51">
        <v>5.83</v>
      </c>
      <c r="K2606" s="74">
        <f>Tabela6[[#This Row],[CONSUMO]]*Tabela6[[#This Row],[VALOR UNIT]]-Tabela6[[#This Row],[DESCONTO]]</f>
        <v>2419.4499999999998</v>
      </c>
      <c r="L2606" s="53">
        <f>Tabela6[[#This Row],[CUSTO TOTAL]]/Tabela6[[#This Row],[CONSUMO]]</f>
        <v>5.8299999999999992</v>
      </c>
      <c r="M2606" s="50">
        <f>Tabela6[[#This Row],[KM ATUAL]]-E2525</f>
        <v>505402</v>
      </c>
      <c r="N2606" s="51">
        <f>Tabela6[[#This Row],[KM Rodados ]]/Tabela6[[#This Row],[CONSUMO]]</f>
        <v>1217.8361445783132</v>
      </c>
    </row>
    <row r="2607" spans="1:14" x14ac:dyDescent="0.25">
      <c r="A2607" s="47">
        <v>212059</v>
      </c>
      <c r="B2607" s="78">
        <v>45205</v>
      </c>
      <c r="C2607" s="47" t="s">
        <v>215</v>
      </c>
      <c r="D2607" s="49" t="s">
        <v>262</v>
      </c>
      <c r="E2607" s="47">
        <v>229111</v>
      </c>
      <c r="G2607" s="50" t="s">
        <v>244</v>
      </c>
      <c r="H2607" s="51">
        <v>38.090000000000003</v>
      </c>
      <c r="J2607" s="51">
        <v>5.69</v>
      </c>
      <c r="K2607" s="74">
        <f>Tabela6[[#This Row],[CONSUMO]]*Tabela6[[#This Row],[VALOR UNIT]]-Tabela6[[#This Row],[DESCONTO]]</f>
        <v>216.73210000000003</v>
      </c>
      <c r="L2607" s="53">
        <f>Tabela6[[#This Row],[CUSTO TOTAL]]/Tabela6[[#This Row],[CONSUMO]]</f>
        <v>5.69</v>
      </c>
      <c r="M2607" s="50">
        <f>Tabela6[[#This Row],[KM ATUAL]]-E2467</f>
        <v>150638</v>
      </c>
      <c r="N2607" s="51">
        <f>Tabela6[[#This Row],[KM Rodados ]]/Tabela6[[#This Row],[CONSUMO]]</f>
        <v>3954.7912838015222</v>
      </c>
    </row>
    <row r="2608" spans="1:14" x14ac:dyDescent="0.25">
      <c r="A2608" s="47">
        <v>674842</v>
      </c>
      <c r="B2608" s="78">
        <v>45205</v>
      </c>
      <c r="C2608" s="47" t="s">
        <v>72</v>
      </c>
      <c r="D2608" s="49" t="s">
        <v>271</v>
      </c>
      <c r="E2608" s="47">
        <v>417963</v>
      </c>
      <c r="G2608" s="50" t="s">
        <v>89</v>
      </c>
      <c r="H2608" s="51">
        <v>36.229999999999997</v>
      </c>
      <c r="J2608" s="51">
        <v>5.99</v>
      </c>
      <c r="K2608" s="74">
        <f>Tabela6[[#This Row],[CONSUMO]]*Tabela6[[#This Row],[VALOR UNIT]]-Tabela6[[#This Row],[DESCONTO]]</f>
        <v>217.01769999999999</v>
      </c>
      <c r="L2608" s="53">
        <f>Tabela6[[#This Row],[CUSTO TOTAL]]/Tabela6[[#This Row],[CONSUMO]]</f>
        <v>5.99</v>
      </c>
      <c r="M2608" s="50">
        <f>Tabela6[[#This Row],[KM ATUAL]]-E2584</f>
        <v>415527</v>
      </c>
      <c r="N2608" s="51">
        <f>Tabela6[[#This Row],[KM Rodados ]]/Tabela6[[#This Row],[CONSUMO]]</f>
        <v>11469.14159536296</v>
      </c>
    </row>
    <row r="2609" spans="1:14" x14ac:dyDescent="0.25">
      <c r="A2609" s="47">
        <v>7618</v>
      </c>
      <c r="B2609" s="78">
        <v>45205</v>
      </c>
      <c r="C2609" s="47" t="s">
        <v>21</v>
      </c>
      <c r="D2609" s="49" t="s">
        <v>299</v>
      </c>
      <c r="E2609" s="47">
        <v>157499</v>
      </c>
      <c r="G2609" s="50" t="s">
        <v>89</v>
      </c>
      <c r="H2609" s="51">
        <v>90</v>
      </c>
      <c r="J2609" s="51">
        <v>5.83</v>
      </c>
      <c r="K2609" s="74">
        <f>Tabela6[[#This Row],[CONSUMO]]*Tabela6[[#This Row],[VALOR UNIT]]-Tabela6[[#This Row],[DESCONTO]]</f>
        <v>524.70000000000005</v>
      </c>
      <c r="L2609" s="53">
        <f>Tabela6[[#This Row],[CUSTO TOTAL]]/Tabela6[[#This Row],[CONSUMO]]</f>
        <v>5.83</v>
      </c>
      <c r="M2609" s="50">
        <f>Tabela6[[#This Row],[KM ATUAL]]-E2570</f>
        <v>42898</v>
      </c>
      <c r="N2609" s="51">
        <f>Tabela6[[#This Row],[KM Rodados ]]/Tabela6[[#This Row],[CONSUMO]]</f>
        <v>476.64444444444445</v>
      </c>
    </row>
    <row r="2610" spans="1:14" x14ac:dyDescent="0.25">
      <c r="A2610" s="47">
        <v>212049</v>
      </c>
      <c r="B2610" s="78">
        <v>45205</v>
      </c>
      <c r="C2610" s="47" t="s">
        <v>14</v>
      </c>
      <c r="D2610" s="49" t="s">
        <v>262</v>
      </c>
      <c r="E2610" s="47">
        <v>299660</v>
      </c>
      <c r="G2610" s="50" t="s">
        <v>244</v>
      </c>
      <c r="H2610" s="51">
        <v>19.18</v>
      </c>
      <c r="J2610" s="51">
        <v>5.69</v>
      </c>
      <c r="K2610" s="74">
        <f>Tabela6[[#This Row],[CONSUMO]]*Tabela6[[#This Row],[VALOR UNIT]]-Tabela6[[#This Row],[DESCONTO]]</f>
        <v>109.13420000000001</v>
      </c>
      <c r="L2610" s="53">
        <f>Tabela6[[#This Row],[CUSTO TOTAL]]/Tabela6[[#This Row],[CONSUMO]]</f>
        <v>5.69</v>
      </c>
      <c r="M2610" s="50">
        <f>Tabela6[[#This Row],[KM ATUAL]]-E2586</f>
        <v>145441</v>
      </c>
      <c r="N2610" s="49">
        <f>Tabela6[[#This Row],[KM Rodados ]]/Tabela6[[#This Row],[CONSUMO]]</f>
        <v>7582.9509906152243</v>
      </c>
    </row>
    <row r="2611" spans="1:14" x14ac:dyDescent="0.25">
      <c r="A2611" s="47">
        <v>7618</v>
      </c>
      <c r="B2611" s="78">
        <v>45205</v>
      </c>
      <c r="C2611" s="47" t="s">
        <v>17</v>
      </c>
      <c r="D2611" s="49" t="s">
        <v>299</v>
      </c>
      <c r="E2611" s="47">
        <v>372175</v>
      </c>
      <c r="G2611" s="50" t="s">
        <v>89</v>
      </c>
      <c r="H2611" s="51">
        <v>196</v>
      </c>
      <c r="J2611" s="51">
        <v>5.83</v>
      </c>
      <c r="K2611" s="74">
        <f>Tabela6[[#This Row],[CONSUMO]]*Tabela6[[#This Row],[VALOR UNIT]]-Tabela6[[#This Row],[DESCONTO]]</f>
        <v>1142.68</v>
      </c>
      <c r="L2611" s="53">
        <f>Tabela6[[#This Row],[CUSTO TOTAL]]/Tabela6[[#This Row],[CONSUMO]]</f>
        <v>5.83</v>
      </c>
      <c r="M2611" s="50">
        <f>Tabela6[[#This Row],[KM ATUAL]]-E2542</f>
        <v>-281398</v>
      </c>
      <c r="N2611" s="51">
        <f>Tabela6[[#This Row],[KM Rodados ]]/Tabela6[[#This Row],[CONSUMO]]</f>
        <v>-1435.704081632653</v>
      </c>
    </row>
    <row r="2612" spans="1:14" x14ac:dyDescent="0.25">
      <c r="A2612" s="47">
        <v>571274</v>
      </c>
      <c r="B2612" s="78">
        <v>45205</v>
      </c>
      <c r="C2612" s="47" t="s">
        <v>38</v>
      </c>
      <c r="D2612" s="49" t="s">
        <v>255</v>
      </c>
      <c r="E2612" s="47">
        <v>137732</v>
      </c>
      <c r="G2612" s="50" t="s">
        <v>244</v>
      </c>
      <c r="H2612" s="51">
        <v>53.28</v>
      </c>
      <c r="J2612" s="51">
        <v>5.94</v>
      </c>
      <c r="K2612" s="74">
        <f>Tabela6[[#This Row],[CONSUMO]]*Tabela6[[#This Row],[VALOR UNIT]]-Tabela6[[#This Row],[DESCONTO]]</f>
        <v>316.48320000000001</v>
      </c>
      <c r="L2612" s="53">
        <f>Tabela6[[#This Row],[CUSTO TOTAL]]/Tabela6[[#This Row],[CONSUMO]]</f>
        <v>5.94</v>
      </c>
      <c r="M2612" s="50">
        <f>Tabela6[[#This Row],[KM ATUAL]]-E2518</f>
        <v>-13884</v>
      </c>
      <c r="N2612" s="51">
        <f>Tabela6[[#This Row],[KM Rodados ]]/Tabela6[[#This Row],[CONSUMO]]</f>
        <v>-260.58558558558559</v>
      </c>
    </row>
    <row r="2613" spans="1:14" x14ac:dyDescent="0.25">
      <c r="A2613" s="47">
        <v>674583</v>
      </c>
      <c r="B2613" s="78">
        <v>45205</v>
      </c>
      <c r="C2613" s="47" t="s">
        <v>40</v>
      </c>
      <c r="D2613" s="49" t="s">
        <v>271</v>
      </c>
      <c r="E2613" s="47">
        <v>161957</v>
      </c>
      <c r="G2613" s="50" t="s">
        <v>244</v>
      </c>
      <c r="H2613" s="51">
        <v>25.61</v>
      </c>
      <c r="J2613" s="51">
        <v>5.59</v>
      </c>
      <c r="K2613" s="74">
        <f>Tabela6[[#This Row],[CONSUMO]]*Tabela6[[#This Row],[VALOR UNIT]]-Tabela6[[#This Row],[DESCONTO]]</f>
        <v>143.15989999999999</v>
      </c>
      <c r="L2613" s="53">
        <f>Tabela6[[#This Row],[CUSTO TOTAL]]/Tabela6[[#This Row],[CONSUMO]]</f>
        <v>5.59</v>
      </c>
      <c r="M2613" s="50">
        <f>Tabela6[[#This Row],[KM ATUAL]]-E2599</f>
        <v>818</v>
      </c>
      <c r="N2613" s="51">
        <f>Tabela6[[#This Row],[KM Rodados ]]/Tabela6[[#This Row],[CONSUMO]]</f>
        <v>31.940648184303008</v>
      </c>
    </row>
    <row r="2614" spans="1:14" x14ac:dyDescent="0.25">
      <c r="A2614" s="47">
        <v>212020</v>
      </c>
      <c r="B2614" s="78">
        <v>45205</v>
      </c>
      <c r="C2614" s="47" t="s">
        <v>74</v>
      </c>
      <c r="D2614" s="49" t="s">
        <v>262</v>
      </c>
      <c r="E2614" s="47">
        <v>82187</v>
      </c>
      <c r="G2614" s="50" t="s">
        <v>89</v>
      </c>
      <c r="H2614" s="51">
        <v>57.179000000000002</v>
      </c>
      <c r="J2614" s="51">
        <v>6.19</v>
      </c>
      <c r="K2614" s="74">
        <f>Tabela6[[#This Row],[CONSUMO]]*Tabela6[[#This Row],[VALOR UNIT]]-Tabela6[[#This Row],[DESCONTO]]</f>
        <v>353.93801000000002</v>
      </c>
      <c r="L2614" s="53">
        <f>Tabela6[[#This Row],[CUSTO TOTAL]]/Tabela6[[#This Row],[CONSUMO]]</f>
        <v>6.19</v>
      </c>
      <c r="M2614" s="50">
        <f>Tabela6[[#This Row],[KM ATUAL]]-E2585</f>
        <v>82187</v>
      </c>
      <c r="N2614" s="51">
        <f>Tabela6[[#This Row],[KM Rodados ]]/Tabela6[[#This Row],[CONSUMO]]</f>
        <v>1437.3633676699487</v>
      </c>
    </row>
    <row r="2615" spans="1:14" x14ac:dyDescent="0.25">
      <c r="A2615" s="47" t="s">
        <v>314</v>
      </c>
      <c r="B2615" s="78">
        <v>45206</v>
      </c>
      <c r="C2615" s="47" t="s">
        <v>10</v>
      </c>
      <c r="E2615" s="47">
        <v>729012</v>
      </c>
      <c r="G2615" s="50" t="s">
        <v>89</v>
      </c>
      <c r="H2615" s="51">
        <v>219</v>
      </c>
      <c r="K2615" s="74">
        <f>Tabela6[[#This Row],[CONSUMO]]*Tabela6[[#This Row],[VALOR UNIT]]-Tabela6[[#This Row],[DESCONTO]]</f>
        <v>0</v>
      </c>
      <c r="L2615" s="53">
        <f>Tabela6[[#This Row],[CUSTO TOTAL]]/Tabela6[[#This Row],[CONSUMO]]</f>
        <v>0</v>
      </c>
      <c r="M2615" s="50">
        <f>Tabela6[[#This Row],[KM ATUAL]]-E2492</f>
        <v>578992</v>
      </c>
      <c r="N2615" s="51">
        <f>Tabela6[[#This Row],[KM Rodados ]]/Tabela6[[#This Row],[CONSUMO]]</f>
        <v>2643.7990867579911</v>
      </c>
    </row>
    <row r="2616" spans="1:14" x14ac:dyDescent="0.25">
      <c r="A2616" s="47">
        <v>230074</v>
      </c>
      <c r="B2616" s="78">
        <v>45207</v>
      </c>
      <c r="C2616" s="47" t="s">
        <v>68</v>
      </c>
      <c r="D2616" s="49" t="s">
        <v>329</v>
      </c>
      <c r="E2616" s="47">
        <v>921195</v>
      </c>
      <c r="G2616" s="50" t="s">
        <v>89</v>
      </c>
      <c r="H2616" s="51">
        <v>145.80000000000001</v>
      </c>
      <c r="J2616" s="51">
        <v>5.95</v>
      </c>
      <c r="K2616" s="74">
        <f>Tabela6[[#This Row],[CONSUMO]]*Tabela6[[#This Row],[VALOR UNIT]]-Tabela6[[#This Row],[DESCONTO]]</f>
        <v>867.5100000000001</v>
      </c>
      <c r="L2616" s="53">
        <f>Tabela6[[#This Row],[CUSTO TOTAL]]/Tabela6[[#This Row],[CONSUMO]]</f>
        <v>5.95</v>
      </c>
      <c r="M2616" s="50">
        <f>Tabela6[[#This Row],[KM ATUAL]]-E2610</f>
        <v>621535</v>
      </c>
      <c r="N2616" s="51">
        <f>Tabela6[[#This Row],[KM Rodados ]]/Tabela6[[#This Row],[CONSUMO]]</f>
        <v>4262.9286694101502</v>
      </c>
    </row>
    <row r="2617" spans="1:14" x14ac:dyDescent="0.25">
      <c r="A2617" s="47" t="s">
        <v>314</v>
      </c>
      <c r="B2617" s="78">
        <v>45207</v>
      </c>
      <c r="C2617" s="47" t="s">
        <v>64</v>
      </c>
      <c r="E2617" s="47">
        <v>96812</v>
      </c>
      <c r="G2617" s="50" t="s">
        <v>89</v>
      </c>
      <c r="H2617" s="51">
        <v>209</v>
      </c>
      <c r="K2617" s="74">
        <f>Tabela6[[#This Row],[CONSUMO]]*Tabela6[[#This Row],[VALOR UNIT]]-Tabela6[[#This Row],[DESCONTO]]</f>
        <v>0</v>
      </c>
      <c r="L2617" s="53">
        <f>Tabela6[[#This Row],[CUSTO TOTAL]]/Tabela6[[#This Row],[CONSUMO]]</f>
        <v>0</v>
      </c>
      <c r="M2617" s="50">
        <f>Tabela6[[#This Row],[KM ATUAL]]-E2616</f>
        <v>-824383</v>
      </c>
      <c r="N2617" s="51">
        <f>Tabela6[[#This Row],[KM Rodados ]]/Tabela6[[#This Row],[CONSUMO]]</f>
        <v>-3944.4162679425835</v>
      </c>
    </row>
    <row r="2618" spans="1:14" x14ac:dyDescent="0.25">
      <c r="A2618" s="47">
        <v>7618</v>
      </c>
      <c r="B2618" s="78">
        <v>45207</v>
      </c>
      <c r="C2618" s="47" t="s">
        <v>23</v>
      </c>
      <c r="D2618" s="49" t="s">
        <v>299</v>
      </c>
      <c r="E2618" s="47">
        <v>249292</v>
      </c>
      <c r="G2618" s="50" t="s">
        <v>89</v>
      </c>
      <c r="H2618" s="51">
        <v>90</v>
      </c>
      <c r="J2618" s="51">
        <v>5.83</v>
      </c>
      <c r="K2618" s="74">
        <f>Tabela6[[#This Row],[CONSUMO]]*Tabela6[[#This Row],[VALOR UNIT]]-Tabela6[[#This Row],[DESCONTO]]</f>
        <v>524.70000000000005</v>
      </c>
      <c r="L2618" s="53">
        <f>Tabela6[[#This Row],[CUSTO TOTAL]]/Tabela6[[#This Row],[CONSUMO]]</f>
        <v>5.83</v>
      </c>
      <c r="M2618" s="50">
        <f>Tabela6[[#This Row],[KM ATUAL]]-E2592</f>
        <v>95186</v>
      </c>
      <c r="N2618" s="51">
        <f>Tabela6[[#This Row],[KM Rodados ]]/Tabela6[[#This Row],[CONSUMO]]</f>
        <v>1057.6222222222223</v>
      </c>
    </row>
    <row r="2619" spans="1:14" x14ac:dyDescent="0.25">
      <c r="A2619" s="47">
        <v>357972</v>
      </c>
      <c r="B2619" s="78">
        <v>45208</v>
      </c>
      <c r="C2619" s="47" t="s">
        <v>68</v>
      </c>
      <c r="D2619" s="49" t="s">
        <v>330</v>
      </c>
      <c r="E2619" s="47">
        <v>921752</v>
      </c>
      <c r="G2619" s="50" t="s">
        <v>89</v>
      </c>
      <c r="H2619" s="51">
        <v>280.08</v>
      </c>
      <c r="J2619" s="51">
        <v>6.49</v>
      </c>
      <c r="K2619" s="74">
        <f>Tabela6[[#This Row],[CONSUMO]]*Tabela6[[#This Row],[VALOR UNIT]]-Tabela6[[#This Row],[DESCONTO]]</f>
        <v>1817.7192</v>
      </c>
      <c r="L2619" s="53">
        <f>Tabela6[[#This Row],[CUSTO TOTAL]]/Tabela6[[#This Row],[CONSUMO]]</f>
        <v>6.49</v>
      </c>
      <c r="M2619" s="50">
        <f>Tabela6[[#This Row],[KM ATUAL]]-E2603</f>
        <v>854</v>
      </c>
      <c r="N2619" s="51">
        <f>Tabela6[[#This Row],[KM Rodados ]]/Tabela6[[#This Row],[CONSUMO]]</f>
        <v>3.0491288203370468</v>
      </c>
    </row>
    <row r="2620" spans="1:14" x14ac:dyDescent="0.25">
      <c r="A2620" s="47">
        <v>170863</v>
      </c>
      <c r="B2620" s="78">
        <v>45208</v>
      </c>
      <c r="C2620" s="47" t="s">
        <v>68</v>
      </c>
      <c r="D2620" s="49" t="s">
        <v>331</v>
      </c>
      <c r="E2620" s="47">
        <v>922152</v>
      </c>
      <c r="G2620" s="50" t="s">
        <v>89</v>
      </c>
      <c r="H2620" s="51">
        <v>241</v>
      </c>
      <c r="J2620" s="51">
        <v>6.09</v>
      </c>
      <c r="K2620" s="74">
        <f>Tabela6[[#This Row],[CONSUMO]]*Tabela6[[#This Row],[VALOR UNIT]]-Tabela6[[#This Row],[DESCONTO]]</f>
        <v>1467.69</v>
      </c>
      <c r="L2620" s="53">
        <f>Tabela6[[#This Row],[CUSTO TOTAL]]/Tabela6[[#This Row],[CONSUMO]]</f>
        <v>6.09</v>
      </c>
      <c r="M2620" s="50">
        <f>Tabela6[[#This Row],[KM ATUAL]]-E2618</f>
        <v>672860</v>
      </c>
      <c r="N2620" s="51">
        <f>Tabela6[[#This Row],[KM Rodados ]]/Tabela6[[#This Row],[CONSUMO]]</f>
        <v>2791.9502074688799</v>
      </c>
    </row>
    <row r="2621" spans="1:14" x14ac:dyDescent="0.25">
      <c r="A2621" s="47">
        <v>211835</v>
      </c>
      <c r="B2621" s="78">
        <v>45208</v>
      </c>
      <c r="C2621" s="47" t="s">
        <v>43</v>
      </c>
      <c r="D2621" s="49" t="s">
        <v>262</v>
      </c>
      <c r="E2621" s="47">
        <v>152637</v>
      </c>
      <c r="G2621" s="50" t="s">
        <v>89</v>
      </c>
      <c r="H2621" s="51">
        <v>32.030999999999999</v>
      </c>
      <c r="J2621" s="51">
        <v>6.19</v>
      </c>
      <c r="K2621" s="74">
        <f>Tabela6[[#This Row],[CONSUMO]]*Tabela6[[#This Row],[VALOR UNIT]]-Tabela6[[#This Row],[DESCONTO]]</f>
        <v>198.27189000000001</v>
      </c>
      <c r="L2621" s="53">
        <f>Tabela6[[#This Row],[CUSTO TOTAL]]/Tabela6[[#This Row],[CONSUMO]]</f>
        <v>6.19</v>
      </c>
      <c r="M2621" s="50">
        <f>Tabela6[[#This Row],[KM ATUAL]]-E2606</f>
        <v>-353978</v>
      </c>
      <c r="N2621" s="51">
        <f>Tabela6[[#This Row],[KM Rodados ]]/Tabela6[[#This Row],[CONSUMO]]</f>
        <v>-11051.106740345291</v>
      </c>
    </row>
    <row r="2622" spans="1:14" x14ac:dyDescent="0.25">
      <c r="A2622" s="47">
        <v>259232</v>
      </c>
      <c r="B2622" s="78">
        <v>45208</v>
      </c>
      <c r="C2622" s="47" t="s">
        <v>9</v>
      </c>
      <c r="D2622" s="49" t="s">
        <v>273</v>
      </c>
      <c r="E2622" s="47">
        <v>627977</v>
      </c>
      <c r="G2622" s="50" t="s">
        <v>89</v>
      </c>
      <c r="H2622" s="51">
        <v>126.79</v>
      </c>
      <c r="J2622" s="51">
        <v>5.99</v>
      </c>
      <c r="K2622" s="74">
        <f>Tabela6[[#This Row],[CONSUMO]]*Tabela6[[#This Row],[VALOR UNIT]]-Tabela6[[#This Row],[DESCONTO]]</f>
        <v>759.47210000000007</v>
      </c>
      <c r="L2622" s="53">
        <f>Tabela6[[#This Row],[CUSTO TOTAL]]/Tabela6[[#This Row],[CONSUMO]]</f>
        <v>5.99</v>
      </c>
      <c r="M2622" s="50">
        <f>Tabela6[[#This Row],[KM ATUAL]]-E2591</f>
        <v>521979</v>
      </c>
      <c r="N2622" s="51">
        <f>Tabela6[[#This Row],[KM Rodados ]]/Tabela6[[#This Row],[CONSUMO]]</f>
        <v>4116.8783027052605</v>
      </c>
    </row>
    <row r="2623" spans="1:14" x14ac:dyDescent="0.25">
      <c r="A2623" s="47">
        <v>7618</v>
      </c>
      <c r="B2623" s="78">
        <v>45208</v>
      </c>
      <c r="C2623" s="47" t="s">
        <v>67</v>
      </c>
      <c r="D2623" s="49" t="s">
        <v>299</v>
      </c>
      <c r="E2623" s="47">
        <v>684212</v>
      </c>
      <c r="G2623" s="50" t="s">
        <v>89</v>
      </c>
      <c r="H2623" s="51">
        <v>69</v>
      </c>
      <c r="J2623" s="51">
        <v>5.83</v>
      </c>
      <c r="K2623" s="74">
        <f>Tabela6[[#This Row],[CONSUMO]]*Tabela6[[#This Row],[VALOR UNIT]]-Tabela6[[#This Row],[DESCONTO]]</f>
        <v>402.27</v>
      </c>
      <c r="L2623" s="53">
        <f>Tabela6[[#This Row],[CUSTO TOTAL]]/Tabela6[[#This Row],[CONSUMO]]</f>
        <v>5.83</v>
      </c>
      <c r="M2623" s="50">
        <f>Tabela6[[#This Row],[KM ATUAL]]-E2601</f>
        <v>523073</v>
      </c>
      <c r="N2623" s="51">
        <f>Tabela6[[#This Row],[KM Rodados ]]/Tabela6[[#This Row],[CONSUMO]]</f>
        <v>7580.768115942029</v>
      </c>
    </row>
    <row r="2624" spans="1:14" x14ac:dyDescent="0.25">
      <c r="A2624" s="47">
        <v>7618</v>
      </c>
      <c r="B2624" s="78">
        <v>45208</v>
      </c>
      <c r="C2624" s="47" t="s">
        <v>22</v>
      </c>
      <c r="D2624" s="49" t="s">
        <v>299</v>
      </c>
      <c r="E2624" s="47">
        <v>338486</v>
      </c>
      <c r="G2624" s="50" t="s">
        <v>89</v>
      </c>
      <c r="H2624" s="51">
        <v>90</v>
      </c>
      <c r="J2624" s="51">
        <v>5.83</v>
      </c>
      <c r="K2624" s="74">
        <f>Tabela6[[#This Row],[CONSUMO]]*Tabela6[[#This Row],[VALOR UNIT]]-Tabela6[[#This Row],[DESCONTO]]</f>
        <v>524.70000000000005</v>
      </c>
      <c r="L2624" s="53">
        <f>Tabela6[[#This Row],[CUSTO TOTAL]]/Tabela6[[#This Row],[CONSUMO]]</f>
        <v>5.83</v>
      </c>
      <c r="M2624" s="50">
        <f>Tabela6[[#This Row],[KM ATUAL]]-E2572</f>
        <v>-79108</v>
      </c>
      <c r="N2624" s="51">
        <f>Tabela6[[#This Row],[KM Rodados ]]/Tabela6[[#This Row],[CONSUMO]]</f>
        <v>-878.97777777777776</v>
      </c>
    </row>
    <row r="2625" spans="1:14" x14ac:dyDescent="0.25">
      <c r="A2625" s="47">
        <v>7618</v>
      </c>
      <c r="B2625" s="78">
        <v>45208</v>
      </c>
      <c r="C2625" s="47" t="s">
        <v>39</v>
      </c>
      <c r="D2625" s="49" t="s">
        <v>299</v>
      </c>
      <c r="E2625" s="47">
        <v>106736</v>
      </c>
      <c r="G2625" s="50" t="s">
        <v>89</v>
      </c>
      <c r="H2625" s="51">
        <v>109</v>
      </c>
      <c r="J2625" s="51">
        <v>5.83</v>
      </c>
      <c r="K2625" s="74">
        <f>Tabela6[[#This Row],[CONSUMO]]*Tabela6[[#This Row],[VALOR UNIT]]-Tabela6[[#This Row],[DESCONTO]]</f>
        <v>635.47</v>
      </c>
      <c r="L2625" s="53">
        <f>Tabela6[[#This Row],[CUSTO TOTAL]]/Tabela6[[#This Row],[CONSUMO]]</f>
        <v>5.83</v>
      </c>
      <c r="M2625" s="50">
        <f>Tabela6[[#This Row],[KM ATUAL]]-E2588</f>
        <v>-520758</v>
      </c>
      <c r="N2625" s="51">
        <f>Tabela6[[#This Row],[KM Rodados ]]/Tabela6[[#This Row],[CONSUMO]]</f>
        <v>-4777.5963302752298</v>
      </c>
    </row>
    <row r="2626" spans="1:14" x14ac:dyDescent="0.25">
      <c r="A2626" s="47">
        <v>7618</v>
      </c>
      <c r="B2626" s="78">
        <v>45208</v>
      </c>
      <c r="C2626" s="47" t="s">
        <v>72</v>
      </c>
      <c r="D2626" s="49" t="s">
        <v>299</v>
      </c>
      <c r="E2626" s="47">
        <v>418306</v>
      </c>
      <c r="G2626" s="50" t="s">
        <v>89</v>
      </c>
      <c r="H2626" s="51">
        <v>39</v>
      </c>
      <c r="J2626" s="51">
        <v>5.83</v>
      </c>
      <c r="K2626" s="74">
        <f>Tabela6[[#This Row],[CONSUMO]]*Tabela6[[#This Row],[VALOR UNIT]]-Tabela6[[#This Row],[DESCONTO]]</f>
        <v>227.37</v>
      </c>
      <c r="L2626" s="53">
        <f>Tabela6[[#This Row],[CUSTO TOTAL]]/Tabela6[[#This Row],[CONSUMO]]</f>
        <v>5.83</v>
      </c>
      <c r="M2626" s="50">
        <f>Tabela6[[#This Row],[KM ATUAL]]-E2613</f>
        <v>256349</v>
      </c>
      <c r="N2626" s="51">
        <f>Tabela6[[#This Row],[KM Rodados ]]/Tabela6[[#This Row],[CONSUMO]]</f>
        <v>6573.0512820512822</v>
      </c>
    </row>
    <row r="2627" spans="1:14" x14ac:dyDescent="0.25">
      <c r="A2627" s="47" t="s">
        <v>314</v>
      </c>
      <c r="B2627" s="78">
        <v>45208</v>
      </c>
      <c r="C2627" s="47" t="s">
        <v>72</v>
      </c>
      <c r="E2627" s="47">
        <v>418623</v>
      </c>
      <c r="G2627" s="50" t="s">
        <v>89</v>
      </c>
      <c r="H2627" s="51">
        <v>35</v>
      </c>
      <c r="K2627" s="74">
        <f>Tabela6[[#This Row],[CONSUMO]]*Tabela6[[#This Row],[VALOR UNIT]]-Tabela6[[#This Row],[DESCONTO]]</f>
        <v>0</v>
      </c>
      <c r="L2627" s="53">
        <f>Tabela6[[#This Row],[CUSTO TOTAL]]/Tabela6[[#This Row],[CONSUMO]]</f>
        <v>0</v>
      </c>
      <c r="M2627" s="50">
        <f>Tabela6[[#This Row],[KM ATUAL]]-E2608</f>
        <v>660</v>
      </c>
      <c r="N2627" s="51">
        <f>Tabela6[[#This Row],[KM Rodados ]]/Tabela6[[#This Row],[CONSUMO]]</f>
        <v>18.857142857142858</v>
      </c>
    </row>
    <row r="2628" spans="1:14" x14ac:dyDescent="0.25">
      <c r="A2628" s="47">
        <v>7618</v>
      </c>
      <c r="B2628" s="78">
        <v>45208</v>
      </c>
      <c r="C2628" s="47" t="s">
        <v>73</v>
      </c>
      <c r="D2628" s="49" t="s">
        <v>299</v>
      </c>
      <c r="E2628" s="47">
        <v>154734</v>
      </c>
      <c r="G2628" s="50" t="s">
        <v>89</v>
      </c>
      <c r="H2628" s="51">
        <v>110</v>
      </c>
      <c r="J2628" s="51">
        <v>5.83</v>
      </c>
      <c r="K2628" s="74">
        <f>Tabela6[[#This Row],[CONSUMO]]*Tabela6[[#This Row],[VALOR UNIT]]-Tabela6[[#This Row],[DESCONTO]]</f>
        <v>641.29999999999995</v>
      </c>
      <c r="L2628" s="53">
        <f>Tabela6[[#This Row],[CUSTO TOTAL]]/Tabela6[[#This Row],[CONSUMO]]</f>
        <v>5.8299999999999992</v>
      </c>
      <c r="M2628" s="50">
        <f>Tabela6[[#This Row],[KM ATUAL]]-E2627</f>
        <v>-263889</v>
      </c>
      <c r="N2628" s="51">
        <f>Tabela6[[#This Row],[KM Rodados ]]/Tabela6[[#This Row],[CONSUMO]]</f>
        <v>-2398.9909090909091</v>
      </c>
    </row>
    <row r="2629" spans="1:14" x14ac:dyDescent="0.25">
      <c r="A2629" s="47">
        <v>7618</v>
      </c>
      <c r="B2629" s="78">
        <v>45208</v>
      </c>
      <c r="C2629" s="47" t="s">
        <v>71</v>
      </c>
      <c r="D2629" s="49" t="s">
        <v>299</v>
      </c>
      <c r="E2629" s="47">
        <v>128863</v>
      </c>
      <c r="G2629" s="50" t="s">
        <v>89</v>
      </c>
      <c r="H2629" s="51">
        <v>484</v>
      </c>
      <c r="J2629" s="51">
        <v>5.83</v>
      </c>
      <c r="K2629" s="74">
        <f>Tabela6[[#This Row],[CONSUMO]]*Tabela6[[#This Row],[VALOR UNIT]]-Tabela6[[#This Row],[DESCONTO]]</f>
        <v>2821.7200000000003</v>
      </c>
      <c r="L2629" s="53">
        <f>Tabela6[[#This Row],[CUSTO TOTAL]]/Tabela6[[#This Row],[CONSUMO]]</f>
        <v>5.830000000000001</v>
      </c>
      <c r="M2629" s="50">
        <f>Tabela6[[#This Row],[KM ATUAL]]-E2538</f>
        <v>-27858</v>
      </c>
      <c r="N2629" s="51">
        <f>Tabela6[[#This Row],[KM Rodados ]]/Tabela6[[#This Row],[CONSUMO]]</f>
        <v>-57.557851239669418</v>
      </c>
    </row>
    <row r="2630" spans="1:14" x14ac:dyDescent="0.25">
      <c r="A2630" s="47">
        <v>60379</v>
      </c>
      <c r="B2630" s="78">
        <v>45208</v>
      </c>
      <c r="C2630" s="47" t="s">
        <v>64</v>
      </c>
      <c r="D2630" s="49" t="s">
        <v>253</v>
      </c>
      <c r="E2630" s="47">
        <v>96968</v>
      </c>
      <c r="G2630" s="50" t="s">
        <v>89</v>
      </c>
      <c r="H2630" s="51">
        <v>139.91</v>
      </c>
      <c r="J2630" s="51">
        <v>6.09</v>
      </c>
      <c r="K2630" s="74">
        <f>Tabela6[[#This Row],[CONSUMO]]*Tabela6[[#This Row],[VALOR UNIT]]-Tabela6[[#This Row],[DESCONTO]]</f>
        <v>852.05189999999993</v>
      </c>
      <c r="L2630" s="53">
        <f>Tabela6[[#This Row],[CUSTO TOTAL]]/Tabela6[[#This Row],[CONSUMO]]</f>
        <v>6.09</v>
      </c>
      <c r="M2630" s="50">
        <f>Tabela6[[#This Row],[KM ATUAL]]-E2597</f>
        <v>-291537</v>
      </c>
      <c r="N2630" s="51">
        <f>Tabela6[[#This Row],[KM Rodados ]]/Tabela6[[#This Row],[CONSUMO]]</f>
        <v>-2083.746694303481</v>
      </c>
    </row>
    <row r="2631" spans="1:14" x14ac:dyDescent="0.25">
      <c r="A2631" s="47">
        <v>7618</v>
      </c>
      <c r="B2631" s="78">
        <v>45208</v>
      </c>
      <c r="C2631" s="47" t="s">
        <v>13</v>
      </c>
      <c r="D2631" s="49" t="s">
        <v>299</v>
      </c>
      <c r="E2631" s="47">
        <v>655167</v>
      </c>
      <c r="G2631" s="50" t="s">
        <v>89</v>
      </c>
      <c r="H2631" s="51">
        <v>90</v>
      </c>
      <c r="J2631" s="51">
        <v>5.83</v>
      </c>
      <c r="K2631" s="74">
        <f>Tabela6[[#This Row],[CONSUMO]]*Tabela6[[#This Row],[VALOR UNIT]]-Tabela6[[#This Row],[DESCONTO]]</f>
        <v>524.70000000000005</v>
      </c>
      <c r="L2631" s="53">
        <f>Tabela6[[#This Row],[CUSTO TOTAL]]/Tabela6[[#This Row],[CONSUMO]]</f>
        <v>5.83</v>
      </c>
      <c r="M2631" s="50">
        <f>Tabela6[[#This Row],[KM ATUAL]]-E2594</f>
        <v>252852</v>
      </c>
      <c r="N2631" s="51">
        <f>Tabela6[[#This Row],[KM Rodados ]]/Tabela6[[#This Row],[CONSUMO]]</f>
        <v>2809.4666666666667</v>
      </c>
    </row>
    <row r="2632" spans="1:14" x14ac:dyDescent="0.25">
      <c r="A2632" s="47">
        <v>147986</v>
      </c>
      <c r="B2632" s="78">
        <v>45208</v>
      </c>
      <c r="C2632" s="47" t="s">
        <v>15</v>
      </c>
      <c r="D2632" s="49" t="s">
        <v>263</v>
      </c>
      <c r="E2632" s="47">
        <v>389375</v>
      </c>
      <c r="G2632" s="50" t="s">
        <v>89</v>
      </c>
      <c r="H2632" s="51">
        <v>141.37</v>
      </c>
      <c r="J2632" s="51">
        <v>6.19</v>
      </c>
      <c r="K2632" s="74">
        <f>Tabela6[[#This Row],[CONSUMO]]*Tabela6[[#This Row],[VALOR UNIT]]-Tabela6[[#This Row],[DESCONTO]]</f>
        <v>875.08030000000008</v>
      </c>
      <c r="L2632" s="53">
        <f>Tabela6[[#This Row],[CUSTO TOTAL]]/Tabela6[[#This Row],[CONSUMO]]</f>
        <v>6.19</v>
      </c>
      <c r="M2632" s="50">
        <f>Tabela6[[#This Row],[KM ATUAL]]-E2613</f>
        <v>227418</v>
      </c>
      <c r="N2632" s="51">
        <f>Tabela6[[#This Row],[KM Rodados ]]/Tabela6[[#This Row],[CONSUMO]]</f>
        <v>1608.6722784183348</v>
      </c>
    </row>
    <row r="2633" spans="1:14" x14ac:dyDescent="0.25">
      <c r="A2633" s="47">
        <v>212651</v>
      </c>
      <c r="B2633" s="78">
        <v>45208</v>
      </c>
      <c r="C2633" s="47" t="s">
        <v>19</v>
      </c>
      <c r="D2633" s="49" t="s">
        <v>262</v>
      </c>
      <c r="E2633" s="47">
        <v>331690</v>
      </c>
      <c r="G2633" s="50" t="s">
        <v>89</v>
      </c>
      <c r="H2633" s="51">
        <v>193.87100000000001</v>
      </c>
      <c r="J2633" s="51">
        <v>6.19</v>
      </c>
      <c r="K2633" s="74">
        <f>Tabela6[[#This Row],[CONSUMO]]*Tabela6[[#This Row],[VALOR UNIT]]-Tabela6[[#This Row],[DESCONTO]]</f>
        <v>1200.06149</v>
      </c>
      <c r="L2633" s="53">
        <f>Tabela6[[#This Row],[CUSTO TOTAL]]/Tabela6[[#This Row],[CONSUMO]]</f>
        <v>6.19</v>
      </c>
      <c r="M2633" s="50">
        <f>Tabela6[[#This Row],[KM ATUAL]]-E2538</f>
        <v>174969</v>
      </c>
      <c r="N2633" s="51">
        <f>Tabela6[[#This Row],[KM Rodados ]]/Tabela6[[#This Row],[CONSUMO]]</f>
        <v>902.50217928416316</v>
      </c>
    </row>
    <row r="2634" spans="1:14" x14ac:dyDescent="0.25">
      <c r="A2634" s="47">
        <v>7618</v>
      </c>
      <c r="B2634" s="78">
        <v>45208</v>
      </c>
      <c r="C2634" s="47" t="s">
        <v>20</v>
      </c>
      <c r="D2634" s="49" t="s">
        <v>299</v>
      </c>
      <c r="E2634" s="47">
        <v>274534</v>
      </c>
      <c r="G2634" s="50" t="s">
        <v>89</v>
      </c>
      <c r="H2634" s="51">
        <v>56</v>
      </c>
      <c r="J2634" s="51">
        <v>5.83</v>
      </c>
      <c r="K2634" s="74">
        <f>Tabela6[[#This Row],[CONSUMO]]*Tabela6[[#This Row],[VALOR UNIT]]-Tabela6[[#This Row],[DESCONTO]]</f>
        <v>326.48</v>
      </c>
      <c r="L2634" s="53">
        <f>Tabela6[[#This Row],[CUSTO TOTAL]]/Tabela6[[#This Row],[CONSUMO]]</f>
        <v>5.83</v>
      </c>
      <c r="M2634" s="50">
        <f>Tabela6[[#This Row],[KM ATUAL]]-E2633</f>
        <v>-57156</v>
      </c>
      <c r="N2634" s="51">
        <f>Tabela6[[#This Row],[KM Rodados ]]/Tabela6[[#This Row],[CONSUMO]]</f>
        <v>-1020.6428571428571</v>
      </c>
    </row>
    <row r="2635" spans="1:14" x14ac:dyDescent="0.25">
      <c r="A2635" s="47">
        <v>212739</v>
      </c>
      <c r="B2635" s="78">
        <v>45208</v>
      </c>
      <c r="C2635" s="47" t="s">
        <v>74</v>
      </c>
      <c r="D2635" s="49" t="s">
        <v>262</v>
      </c>
      <c r="E2635" s="47">
        <v>82756</v>
      </c>
      <c r="G2635" s="50" t="s">
        <v>89</v>
      </c>
      <c r="H2635" s="51">
        <v>72.338999999999999</v>
      </c>
      <c r="J2635" s="51">
        <v>6.19</v>
      </c>
      <c r="K2635" s="74">
        <f>Tabela6[[#This Row],[CONSUMO]]*Tabela6[[#This Row],[VALOR UNIT]]-Tabela6[[#This Row],[DESCONTO]]</f>
        <v>447.77841000000001</v>
      </c>
      <c r="L2635" s="53">
        <f>Tabela6[[#This Row],[CUSTO TOTAL]]/Tabela6[[#This Row],[CONSUMO]]</f>
        <v>6.19</v>
      </c>
      <c r="M2635" s="50">
        <f>Tabela6[[#This Row],[KM ATUAL]]-E2609</f>
        <v>-74743</v>
      </c>
      <c r="N2635" s="51">
        <f>Tabela6[[#This Row],[KM Rodados ]]/Tabela6[[#This Row],[CONSUMO]]</f>
        <v>-1033.2324195800329</v>
      </c>
    </row>
    <row r="2636" spans="1:14" x14ac:dyDescent="0.25">
      <c r="A2636" s="47">
        <v>23554</v>
      </c>
      <c r="B2636" s="78">
        <v>45209</v>
      </c>
      <c r="C2636" s="47" t="s">
        <v>68</v>
      </c>
      <c r="D2636" s="49" t="s">
        <v>332</v>
      </c>
      <c r="E2636" s="47">
        <v>922639</v>
      </c>
      <c r="G2636" s="50" t="s">
        <v>89</v>
      </c>
      <c r="H2636" s="51">
        <v>258.01</v>
      </c>
      <c r="J2636" s="51">
        <v>6.09</v>
      </c>
      <c r="K2636" s="74">
        <f>Tabela6[[#This Row],[CONSUMO]]*Tabela6[[#This Row],[VALOR UNIT]]-Tabela6[[#This Row],[DESCONTO]]</f>
        <v>1571.2809</v>
      </c>
      <c r="L2636" s="53">
        <f>Tabela6[[#This Row],[CUSTO TOTAL]]/Tabela6[[#This Row],[CONSUMO]]</f>
        <v>6.09</v>
      </c>
      <c r="M2636" s="50">
        <f>Tabela6[[#This Row],[KM ATUAL]]-E2619</f>
        <v>887</v>
      </c>
      <c r="N2636" s="51">
        <f>Tabela6[[#This Row],[KM Rodados ]]/Tabela6[[#This Row],[CONSUMO]]</f>
        <v>3.4378512460757338</v>
      </c>
    </row>
    <row r="2637" spans="1:14" x14ac:dyDescent="0.25">
      <c r="A2637" s="47">
        <v>7618</v>
      </c>
      <c r="B2637" s="78">
        <v>45209</v>
      </c>
      <c r="C2637" s="47" t="s">
        <v>43</v>
      </c>
      <c r="D2637" s="49" t="s">
        <v>299</v>
      </c>
      <c r="E2637" s="47">
        <v>153026</v>
      </c>
      <c r="G2637" s="50" t="s">
        <v>89</v>
      </c>
      <c r="H2637" s="51">
        <v>39</v>
      </c>
      <c r="J2637" s="51">
        <v>5.83</v>
      </c>
      <c r="K2637" s="74">
        <f>Tabela6[[#This Row],[CONSUMO]]*Tabela6[[#This Row],[VALOR UNIT]]-Tabela6[[#This Row],[DESCONTO]]</f>
        <v>227.37</v>
      </c>
      <c r="L2637" s="53">
        <f>Tabela6[[#This Row],[CUSTO TOTAL]]/Tabela6[[#This Row],[CONSUMO]]</f>
        <v>5.83</v>
      </c>
      <c r="M2637" s="50">
        <f>Tabela6[[#This Row],[KM ATUAL]]-E2617</f>
        <v>56214</v>
      </c>
      <c r="N2637" s="51">
        <f>Tabela6[[#This Row],[KM Rodados ]]/Tabela6[[#This Row],[CONSUMO]]</f>
        <v>1441.3846153846155</v>
      </c>
    </row>
    <row r="2638" spans="1:14" x14ac:dyDescent="0.25">
      <c r="A2638" s="47">
        <v>60582</v>
      </c>
      <c r="B2638" s="78">
        <v>45209</v>
      </c>
      <c r="C2638" s="47" t="s">
        <v>42</v>
      </c>
      <c r="D2638" s="49" t="s">
        <v>253</v>
      </c>
      <c r="E2638" s="47">
        <v>373886</v>
      </c>
      <c r="G2638" s="50" t="s">
        <v>89</v>
      </c>
      <c r="H2638" s="51">
        <v>110.95</v>
      </c>
      <c r="J2638" s="51">
        <v>6.09</v>
      </c>
      <c r="K2638" s="74">
        <f>Tabela6[[#This Row],[CONSUMO]]*Tabela6[[#This Row],[VALOR UNIT]]-Tabela6[[#This Row],[DESCONTO]]</f>
        <v>675.68550000000005</v>
      </c>
      <c r="L2638" s="53">
        <f>Tabela6[[#This Row],[CUSTO TOTAL]]/Tabela6[[#This Row],[CONSUMO]]</f>
        <v>6.09</v>
      </c>
      <c r="M2638" s="50">
        <f>Tabela6[[#This Row],[KM ATUAL]]-E2541</f>
        <v>51380</v>
      </c>
      <c r="N2638" s="51">
        <f>Tabela6[[#This Row],[KM Rodados ]]/Tabela6[[#This Row],[CONSUMO]]</f>
        <v>463.09148264984225</v>
      </c>
    </row>
    <row r="2639" spans="1:14" x14ac:dyDescent="0.25">
      <c r="A2639" s="47">
        <v>313652</v>
      </c>
      <c r="B2639" s="78">
        <v>45209</v>
      </c>
      <c r="C2639" s="47" t="s">
        <v>39</v>
      </c>
      <c r="D2639" s="49" t="s">
        <v>270</v>
      </c>
      <c r="E2639" s="47">
        <v>107373</v>
      </c>
      <c r="G2639" s="50" t="s">
        <v>89</v>
      </c>
      <c r="H2639" s="51">
        <v>106.4</v>
      </c>
      <c r="J2639" s="51">
        <v>5.95</v>
      </c>
      <c r="K2639" s="74">
        <f>Tabela6[[#This Row],[CONSUMO]]*Tabela6[[#This Row],[VALOR UNIT]]-Tabela6[[#This Row],[DESCONTO]]</f>
        <v>633.08000000000004</v>
      </c>
      <c r="L2639" s="53">
        <f>Tabela6[[#This Row],[CUSTO TOTAL]]/Tabela6[[#This Row],[CONSUMO]]</f>
        <v>5.95</v>
      </c>
      <c r="M2639" s="50">
        <f>Tabela6[[#This Row],[KM ATUAL]]-E2622</f>
        <v>-520604</v>
      </c>
      <c r="N2639" s="51">
        <f>Tabela6[[#This Row],[KM Rodados ]]/Tabela6[[#This Row],[CONSUMO]]</f>
        <v>-4892.894736842105</v>
      </c>
    </row>
    <row r="2640" spans="1:14" x14ac:dyDescent="0.25">
      <c r="A2640" s="47">
        <v>7618</v>
      </c>
      <c r="B2640" s="78">
        <v>45209</v>
      </c>
      <c r="C2640" s="47" t="s">
        <v>72</v>
      </c>
      <c r="D2640" s="49" t="s">
        <v>299</v>
      </c>
      <c r="E2640" s="47">
        <v>418858</v>
      </c>
      <c r="G2640" s="50" t="s">
        <v>89</v>
      </c>
      <c r="H2640" s="51">
        <v>32</v>
      </c>
      <c r="J2640" s="51">
        <v>5.83</v>
      </c>
      <c r="K2640" s="74">
        <f>Tabela6[[#This Row],[CONSUMO]]*Tabela6[[#This Row],[VALOR UNIT]]-Tabela6[[#This Row],[DESCONTO]]</f>
        <v>186.56</v>
      </c>
      <c r="L2640" s="53">
        <f>Tabela6[[#This Row],[CUSTO TOTAL]]/Tabela6[[#This Row],[CONSUMO]]</f>
        <v>5.83</v>
      </c>
      <c r="M2640" s="50">
        <f>Tabela6[[#This Row],[KM ATUAL]]-E2639</f>
        <v>311485</v>
      </c>
      <c r="N2640" s="51">
        <f>Tabela6[[#This Row],[KM Rodados ]]/Tabela6[[#This Row],[CONSUMO]]</f>
        <v>9733.90625</v>
      </c>
    </row>
    <row r="2641" spans="1:16" x14ac:dyDescent="0.25">
      <c r="A2641" s="47">
        <v>122646</v>
      </c>
      <c r="B2641" s="78">
        <v>45209</v>
      </c>
      <c r="C2641" s="47" t="s">
        <v>72</v>
      </c>
      <c r="D2641" s="49" t="s">
        <v>248</v>
      </c>
      <c r="E2641" s="47">
        <v>419088</v>
      </c>
      <c r="G2641" s="50" t="s">
        <v>89</v>
      </c>
      <c r="H2641" s="51">
        <v>27.1</v>
      </c>
      <c r="J2641" s="51">
        <v>6.15</v>
      </c>
      <c r="K2641" s="74">
        <f>Tabela6[[#This Row],[CONSUMO]]*Tabela6[[#This Row],[VALOR UNIT]]-Tabela6[[#This Row],[DESCONTO]]</f>
        <v>166.66500000000002</v>
      </c>
      <c r="L2641" s="53">
        <f>Tabela6[[#This Row],[CUSTO TOTAL]]/Tabela6[[#This Row],[CONSUMO]]</f>
        <v>6.15</v>
      </c>
      <c r="M2641" s="50">
        <f>Tabela6[[#This Row],[KM ATUAL]]-E2634</f>
        <v>144554</v>
      </c>
      <c r="N2641" s="51">
        <f>Tabela6[[#This Row],[KM Rodados ]]/Tabela6[[#This Row],[CONSUMO]]</f>
        <v>5334.0959409594097</v>
      </c>
    </row>
    <row r="2642" spans="1:16" x14ac:dyDescent="0.25">
      <c r="A2642" s="47">
        <v>7618</v>
      </c>
      <c r="B2642" s="78">
        <v>45209</v>
      </c>
      <c r="C2642" s="47" t="s">
        <v>21</v>
      </c>
      <c r="D2642" s="49" t="s">
        <v>299</v>
      </c>
      <c r="E2642" s="47">
        <v>157862</v>
      </c>
      <c r="G2642" s="50" t="s">
        <v>89</v>
      </c>
      <c r="H2642" s="51">
        <v>100</v>
      </c>
      <c r="J2642" s="51">
        <v>5.83</v>
      </c>
      <c r="K2642" s="74">
        <f>Tabela6[[#This Row],[CONSUMO]]*Tabela6[[#This Row],[VALOR UNIT]]-Tabela6[[#This Row],[DESCONTO]]</f>
        <v>583</v>
      </c>
      <c r="L2642" s="53">
        <f>Tabela6[[#This Row],[CUSTO TOTAL]]/Tabela6[[#This Row],[CONSUMO]]</f>
        <v>5.83</v>
      </c>
      <c r="M2642" s="50">
        <f>Tabela6[[#This Row],[KM ATUAL]]-E2617</f>
        <v>61050</v>
      </c>
      <c r="N2642" s="51">
        <f>Tabela6[[#This Row],[KM Rodados ]]/Tabela6[[#This Row],[CONSUMO]]</f>
        <v>610.5</v>
      </c>
    </row>
    <row r="2643" spans="1:16" x14ac:dyDescent="0.25">
      <c r="A2643" s="47">
        <v>7618</v>
      </c>
      <c r="B2643" s="78">
        <v>45209</v>
      </c>
      <c r="C2643" s="47" t="s">
        <v>41</v>
      </c>
      <c r="D2643" s="49" t="s">
        <v>299</v>
      </c>
      <c r="E2643" s="47">
        <v>679088</v>
      </c>
      <c r="G2643" s="50" t="s">
        <v>89</v>
      </c>
      <c r="H2643" s="51">
        <v>177</v>
      </c>
      <c r="J2643" s="51">
        <v>5.83</v>
      </c>
      <c r="K2643" s="74">
        <f>Tabela6[[#This Row],[CONSUMO]]*Tabela6[[#This Row],[VALOR UNIT]]-Tabela6[[#This Row],[DESCONTO]]</f>
        <v>1031.9100000000001</v>
      </c>
      <c r="L2643" s="53">
        <f>Tabela6[[#This Row],[CUSTO TOTAL]]/Tabela6[[#This Row],[CONSUMO]]</f>
        <v>5.83</v>
      </c>
      <c r="M2643" s="50">
        <f>Tabela6[[#This Row],[KM ATUAL]]-E2580</f>
        <v>380139</v>
      </c>
      <c r="N2643" s="51">
        <f>Tabela6[[#This Row],[KM Rodados ]]/Tabela6[[#This Row],[CONSUMO]]</f>
        <v>2147.6779661016949</v>
      </c>
    </row>
    <row r="2644" spans="1:16" x14ac:dyDescent="0.25">
      <c r="A2644" s="47">
        <v>391214</v>
      </c>
      <c r="B2644" s="78">
        <v>45209</v>
      </c>
      <c r="C2644" s="47" t="s">
        <v>301</v>
      </c>
      <c r="D2644" s="49" t="s">
        <v>344</v>
      </c>
      <c r="E2644" s="47">
        <v>1049363</v>
      </c>
      <c r="G2644" s="50" t="s">
        <v>89</v>
      </c>
      <c r="H2644" s="51">
        <v>370.06</v>
      </c>
      <c r="J2644" s="51">
        <v>5.99</v>
      </c>
      <c r="K2644" s="74">
        <f>Tabela6[[#This Row],[CONSUMO]]*Tabela6[[#This Row],[VALOR UNIT]]-Tabela6[[#This Row],[DESCONTO]]</f>
        <v>2216.6594</v>
      </c>
      <c r="L2644" s="53">
        <f>Tabela6[[#This Row],[CUSTO TOTAL]]/Tabela6[[#This Row],[CONSUMO]]</f>
        <v>5.99</v>
      </c>
      <c r="M2644" s="50">
        <f>Tabela6[[#This Row],[KM ATUAL]]-E2537</f>
        <v>953703</v>
      </c>
      <c r="N2644" s="51">
        <f>Tabela6[[#This Row],[KM Rodados ]]/Tabela6[[#This Row],[CONSUMO]]</f>
        <v>2577.1577582013729</v>
      </c>
    </row>
    <row r="2645" spans="1:16" x14ac:dyDescent="0.25">
      <c r="A2645" s="47">
        <v>60255</v>
      </c>
      <c r="B2645" s="78">
        <v>45209</v>
      </c>
      <c r="C2645" s="47" t="s">
        <v>206</v>
      </c>
      <c r="D2645" s="49" t="s">
        <v>300</v>
      </c>
      <c r="E2645" s="47">
        <v>968937</v>
      </c>
      <c r="G2645" s="50" t="s">
        <v>89</v>
      </c>
      <c r="H2645" s="51">
        <v>485.13</v>
      </c>
      <c r="J2645" s="51">
        <v>5.79</v>
      </c>
      <c r="K2645" s="74">
        <f>Tabela6[[#This Row],[CONSUMO]]*Tabela6[[#This Row],[VALOR UNIT]]-Tabela6[[#This Row],[DESCONTO]]</f>
        <v>2808.9027000000001</v>
      </c>
      <c r="L2645" s="53">
        <f>Tabela6[[#This Row],[CUSTO TOTAL]]/Tabela6[[#This Row],[CONSUMO]]</f>
        <v>5.79</v>
      </c>
      <c r="M2645" s="50">
        <f>Tabela6[[#This Row],[KM ATUAL]]-E2644</f>
        <v>-80426</v>
      </c>
      <c r="N2645" s="51">
        <f>Tabela6[[#This Row],[KM Rodados ]]/Tabela6[[#This Row],[CONSUMO]]</f>
        <v>-165.78236761280482</v>
      </c>
    </row>
    <row r="2646" spans="1:16" x14ac:dyDescent="0.25">
      <c r="A2646" s="47">
        <v>60811</v>
      </c>
      <c r="B2646" s="78">
        <v>45209</v>
      </c>
      <c r="C2646" s="47" t="s">
        <v>12</v>
      </c>
      <c r="D2646" s="49" t="s">
        <v>253</v>
      </c>
      <c r="E2646" s="119">
        <v>323015</v>
      </c>
      <c r="G2646" s="50" t="s">
        <v>89</v>
      </c>
      <c r="H2646" s="51">
        <v>95.45</v>
      </c>
      <c r="J2646" s="51">
        <v>6.09</v>
      </c>
      <c r="K2646" s="74">
        <f>Tabela6[[#This Row],[CONSUMO]]*Tabela6[[#This Row],[VALOR UNIT]]-Tabela6[[#This Row],[DESCONTO]]</f>
        <v>581.29049999999995</v>
      </c>
      <c r="L2646" s="53">
        <f>Tabela6[[#This Row],[CUSTO TOTAL]]/Tabela6[[#This Row],[CONSUMO]]</f>
        <v>6.089999999999999</v>
      </c>
      <c r="M2646" s="50">
        <f>Tabela6[[#This Row],[KM ATUAL]]-E2559</f>
        <v>-405285</v>
      </c>
      <c r="N2646" s="51">
        <f>Tabela6[[#This Row],[KM Rodados ]]/Tabela6[[#This Row],[CONSUMO]]</f>
        <v>-4246.0450497642742</v>
      </c>
    </row>
    <row r="2647" spans="1:16" x14ac:dyDescent="0.25">
      <c r="A2647" s="47">
        <v>900363</v>
      </c>
      <c r="B2647" s="78">
        <v>45209</v>
      </c>
      <c r="C2647" s="47" t="s">
        <v>13</v>
      </c>
      <c r="D2647" s="49" t="s">
        <v>335</v>
      </c>
      <c r="E2647" s="47">
        <v>655432</v>
      </c>
      <c r="G2647" s="50" t="s">
        <v>89</v>
      </c>
      <c r="H2647" s="51">
        <v>70.03</v>
      </c>
      <c r="I2647" s="49">
        <v>22.4</v>
      </c>
      <c r="J2647" s="51">
        <v>6.16</v>
      </c>
      <c r="K2647" s="74">
        <f>Tabela6[[#This Row],[CONSUMO]]*Tabela6[[#This Row],[VALOR UNIT]]-Tabela6[[#This Row],[DESCONTO]]</f>
        <v>408.98480000000006</v>
      </c>
      <c r="L2647" s="53">
        <f>Tabela6[[#This Row],[CUSTO TOTAL]]/Tabela6[[#This Row],[CONSUMO]]</f>
        <v>5.8401370841068125</v>
      </c>
      <c r="M2647" s="50">
        <f>Tabela6[[#This Row],[KM ATUAL]]-E2627</f>
        <v>236809</v>
      </c>
      <c r="N2647" s="51">
        <f>Tabela6[[#This Row],[KM Rodados ]]/Tabela6[[#This Row],[CONSUMO]]</f>
        <v>3381.536484363844</v>
      </c>
    </row>
    <row r="2648" spans="1:16" x14ac:dyDescent="0.25">
      <c r="A2648" s="47">
        <v>676599</v>
      </c>
      <c r="B2648" s="78">
        <v>45209</v>
      </c>
      <c r="C2648" s="47" t="s">
        <v>14</v>
      </c>
      <c r="D2648" s="49" t="s">
        <v>271</v>
      </c>
      <c r="E2648" s="47">
        <v>300558</v>
      </c>
      <c r="G2648" s="50" t="s">
        <v>244</v>
      </c>
      <c r="H2648" s="51">
        <v>41.76</v>
      </c>
      <c r="J2648" s="51">
        <v>5.59</v>
      </c>
      <c r="K2648" s="74">
        <f>Tabela6[[#This Row],[CONSUMO]]*Tabela6[[#This Row],[VALOR UNIT]]-Tabela6[[#This Row],[DESCONTO]]</f>
        <v>233.43839999999997</v>
      </c>
      <c r="L2648" s="53">
        <f>Tabela6[[#This Row],[CUSTO TOTAL]]/Tabela6[[#This Row],[CONSUMO]]</f>
        <v>5.59</v>
      </c>
      <c r="M2648" s="50">
        <f>Tabela6[[#This Row],[KM ATUAL]]-E2601</f>
        <v>139419</v>
      </c>
      <c r="N2648" s="51">
        <f>Tabela6[[#This Row],[KM Rodados ]]/Tabela6[[#This Row],[CONSUMO]]</f>
        <v>3338.5775862068967</v>
      </c>
    </row>
    <row r="2649" spans="1:16" x14ac:dyDescent="0.25">
      <c r="A2649" s="47" t="s">
        <v>314</v>
      </c>
      <c r="B2649" s="78">
        <v>45209</v>
      </c>
      <c r="C2649" s="47" t="s">
        <v>15</v>
      </c>
      <c r="E2649" s="47">
        <v>389842</v>
      </c>
      <c r="G2649" s="50" t="s">
        <v>89</v>
      </c>
      <c r="H2649" s="51">
        <v>80</v>
      </c>
      <c r="K2649" s="74">
        <f>Tabela6[[#This Row],[CONSUMO]]*Tabela6[[#This Row],[VALOR UNIT]]-Tabela6[[#This Row],[DESCONTO]]</f>
        <v>0</v>
      </c>
      <c r="L2649" s="53">
        <f>Tabela6[[#This Row],[CUSTO TOTAL]]/Tabela6[[#This Row],[CONSUMO]]</f>
        <v>0</v>
      </c>
      <c r="M2649" s="50">
        <f>Tabela6[[#This Row],[KM ATUAL]]-E2599</f>
        <v>228703</v>
      </c>
      <c r="N2649" s="51">
        <f>Tabela6[[#This Row],[KM Rodados ]]/Tabela6[[#This Row],[CONSUMO]]</f>
        <v>2858.7874999999999</v>
      </c>
    </row>
    <row r="2650" spans="1:16" x14ac:dyDescent="0.25">
      <c r="A2650" s="47">
        <v>7618</v>
      </c>
      <c r="B2650" s="78">
        <v>45209</v>
      </c>
      <c r="C2650" s="47" t="s">
        <v>17</v>
      </c>
      <c r="D2650" s="49" t="s">
        <v>299</v>
      </c>
      <c r="E2650" s="47">
        <v>372601</v>
      </c>
      <c r="G2650" s="50" t="s">
        <v>89</v>
      </c>
      <c r="H2650" s="51">
        <v>98</v>
      </c>
      <c r="J2650" s="51">
        <v>5.83</v>
      </c>
      <c r="K2650" s="74">
        <f>Tabela6[[#This Row],[CONSUMO]]*Tabela6[[#This Row],[VALOR UNIT]]-Tabela6[[#This Row],[DESCONTO]]</f>
        <v>571.34</v>
      </c>
      <c r="L2650" s="53">
        <f>Tabela6[[#This Row],[CUSTO TOTAL]]/Tabela6[[#This Row],[CONSUMO]]</f>
        <v>5.83</v>
      </c>
      <c r="M2650" s="50">
        <f>Tabela6[[#This Row],[KM ATUAL]]-E2625</f>
        <v>265865</v>
      </c>
      <c r="N2650" s="51">
        <f>Tabela6[[#This Row],[KM Rodados ]]/Tabela6[[#This Row],[CONSUMO]]</f>
        <v>2712.908163265306</v>
      </c>
      <c r="P2650" t="s">
        <v>375</v>
      </c>
    </row>
    <row r="2651" spans="1:16" x14ac:dyDescent="0.25">
      <c r="A2651" s="47">
        <v>59909</v>
      </c>
      <c r="B2651" s="78">
        <v>45209</v>
      </c>
      <c r="C2651" s="47" t="s">
        <v>20</v>
      </c>
      <c r="D2651" s="49" t="s">
        <v>300</v>
      </c>
      <c r="E2651" s="47">
        <v>275051</v>
      </c>
      <c r="G2651" s="50" t="s">
        <v>89</v>
      </c>
      <c r="H2651" s="51">
        <v>62.44</v>
      </c>
      <c r="J2651" s="51">
        <v>5.79</v>
      </c>
      <c r="K2651" s="74">
        <f>Tabela6[[#This Row],[CONSUMO]]*Tabela6[[#This Row],[VALOR UNIT]]-Tabela6[[#This Row],[DESCONTO]]</f>
        <v>361.52760000000001</v>
      </c>
      <c r="L2651" s="53">
        <f>Tabela6[[#This Row],[CUSTO TOTAL]]/Tabela6[[#This Row],[CONSUMO]]</f>
        <v>5.79</v>
      </c>
      <c r="M2651" s="50">
        <f>Tabela6[[#This Row],[KM ATUAL]]-E2625</f>
        <v>168315</v>
      </c>
      <c r="N2651" s="51">
        <f>Tabela6[[#This Row],[KM Rodados ]]/Tabela6[[#This Row],[CONSUMO]]</f>
        <v>2695.6278026905829</v>
      </c>
    </row>
    <row r="2652" spans="1:16" x14ac:dyDescent="0.25">
      <c r="A2652" s="47">
        <v>420089</v>
      </c>
      <c r="B2652" s="78">
        <v>45210</v>
      </c>
      <c r="C2652" s="47" t="s">
        <v>68</v>
      </c>
      <c r="D2652" s="49" t="s">
        <v>333</v>
      </c>
      <c r="E2652" s="47">
        <v>923436</v>
      </c>
      <c r="G2652" s="50" t="s">
        <v>89</v>
      </c>
      <c r="H2652" s="51">
        <v>268</v>
      </c>
      <c r="J2652" s="51">
        <v>6.09</v>
      </c>
      <c r="K2652" s="74">
        <f>Tabela6[[#This Row],[CONSUMO]]*Tabela6[[#This Row],[VALOR UNIT]]-Tabela6[[#This Row],[DESCONTO]]</f>
        <v>1632.12</v>
      </c>
      <c r="L2652" s="53">
        <f>Tabela6[[#This Row],[CUSTO TOTAL]]/Tabela6[[#This Row],[CONSUMO]]</f>
        <v>6.09</v>
      </c>
      <c r="M2652" s="50">
        <f>Tabela6[[#This Row],[KM ATUAL]]-E2649</f>
        <v>533594</v>
      </c>
      <c r="N2652" s="51">
        <f>Tabela6[[#This Row],[KM Rodados ]]/Tabela6[[#This Row],[CONSUMO]]</f>
        <v>1991.0223880597016</v>
      </c>
    </row>
    <row r="2653" spans="1:16" x14ac:dyDescent="0.25">
      <c r="A2653" s="47">
        <v>7691</v>
      </c>
      <c r="B2653" s="78">
        <v>45210</v>
      </c>
      <c r="C2653" s="47" t="s">
        <v>43</v>
      </c>
      <c r="D2653" s="49" t="s">
        <v>299</v>
      </c>
      <c r="E2653" s="47">
        <v>153483</v>
      </c>
      <c r="G2653" s="50" t="s">
        <v>89</v>
      </c>
      <c r="H2653" s="51">
        <v>50</v>
      </c>
      <c r="J2653" s="51">
        <v>5.7</v>
      </c>
      <c r="K2653" s="74">
        <f>Tabela6[[#This Row],[CONSUMO]]*Tabela6[[#This Row],[VALOR UNIT]]-Tabela6[[#This Row],[DESCONTO]]</f>
        <v>285</v>
      </c>
      <c r="L2653" s="53">
        <f>Tabela6[[#This Row],[CUSTO TOTAL]]/Tabela6[[#This Row],[CONSUMO]]</f>
        <v>5.7</v>
      </c>
      <c r="M2653" s="50">
        <f>Tabela6[[#This Row],[KM ATUAL]]-E2632</f>
        <v>-235892</v>
      </c>
      <c r="N2653" s="51">
        <f>Tabela6[[#This Row],[KM Rodados ]]/Tabela6[[#This Row],[CONSUMO]]</f>
        <v>-4717.84</v>
      </c>
    </row>
    <row r="2654" spans="1:16" x14ac:dyDescent="0.25">
      <c r="A2654" s="47">
        <v>276779</v>
      </c>
      <c r="B2654" s="78">
        <v>45210</v>
      </c>
      <c r="C2654" s="47" t="s">
        <v>222</v>
      </c>
      <c r="D2654" s="49" t="s">
        <v>268</v>
      </c>
      <c r="E2654" s="47">
        <v>507707</v>
      </c>
      <c r="G2654" s="50" t="s">
        <v>89</v>
      </c>
      <c r="H2654" s="51">
        <v>452</v>
      </c>
      <c r="J2654" s="51">
        <v>5.99</v>
      </c>
      <c r="K2654" s="74">
        <f>Tabela6[[#This Row],[CONSUMO]]*Tabela6[[#This Row],[VALOR UNIT]]-Tabela6[[#This Row],[DESCONTO]]</f>
        <v>2707.48</v>
      </c>
      <c r="L2654" s="53">
        <f>Tabela6[[#This Row],[CUSTO TOTAL]]/Tabela6[[#This Row],[CONSUMO]]</f>
        <v>5.99</v>
      </c>
      <c r="M2654" s="50">
        <f>Tabela6[[#This Row],[KM ATUAL]]-E2610</f>
        <v>208047</v>
      </c>
      <c r="N2654" s="51">
        <f>Tabela6[[#This Row],[KM Rodados ]]/Tabela6[[#This Row],[CONSUMO]]</f>
        <v>460.28097345132744</v>
      </c>
    </row>
    <row r="2655" spans="1:16" x14ac:dyDescent="0.25">
      <c r="A2655" s="47">
        <v>213183</v>
      </c>
      <c r="B2655" s="78">
        <v>45210</v>
      </c>
      <c r="C2655" s="47" t="s">
        <v>222</v>
      </c>
      <c r="D2655" s="49" t="s">
        <v>262</v>
      </c>
      <c r="E2655" s="47">
        <v>507404</v>
      </c>
      <c r="G2655" s="50" t="s">
        <v>241</v>
      </c>
      <c r="H2655" s="51">
        <v>41.521999999999998</v>
      </c>
      <c r="I2655" s="49">
        <v>14.95</v>
      </c>
      <c r="J2655" s="51">
        <v>3.69</v>
      </c>
      <c r="K2655" s="74">
        <f>Tabela6[[#This Row],[CONSUMO]]*Tabela6[[#This Row],[VALOR UNIT]]-Tabela6[[#This Row],[DESCONTO]]</f>
        <v>138.26617999999999</v>
      </c>
      <c r="L2655" s="53">
        <f>Tabela6[[#This Row],[CUSTO TOTAL]]/Tabela6[[#This Row],[CONSUMO]]</f>
        <v>3.3299499060738884</v>
      </c>
      <c r="M2655" s="50"/>
      <c r="N2655" s="49"/>
    </row>
    <row r="2656" spans="1:16" x14ac:dyDescent="0.25">
      <c r="A2656" s="47">
        <v>7618</v>
      </c>
      <c r="B2656" s="78">
        <v>45210</v>
      </c>
      <c r="C2656" s="47" t="s">
        <v>70</v>
      </c>
      <c r="D2656" s="49" t="s">
        <v>299</v>
      </c>
      <c r="E2656" s="47">
        <v>231344</v>
      </c>
      <c r="G2656" s="50" t="s">
        <v>89</v>
      </c>
      <c r="H2656" s="51">
        <v>533</v>
      </c>
      <c r="J2656" s="51">
        <v>5.83</v>
      </c>
      <c r="K2656" s="74">
        <f>Tabela6[[#This Row],[CONSUMO]]*Tabela6[[#This Row],[VALOR UNIT]]-Tabela6[[#This Row],[DESCONTO]]</f>
        <v>3107.39</v>
      </c>
      <c r="L2656" s="53">
        <f>Tabela6[[#This Row],[CUSTO TOTAL]]/Tabela6[[#This Row],[CONSUMO]]</f>
        <v>5.83</v>
      </c>
      <c r="M2656" s="50">
        <f>Tabela6[[#This Row],[KM ATUAL]]-E2482</f>
        <v>-451111</v>
      </c>
      <c r="N2656" s="51">
        <f>Tabela6[[#This Row],[KM Rodados ]]/Tabela6[[#This Row],[CONSUMO]]</f>
        <v>-846.36210131332086</v>
      </c>
    </row>
    <row r="2657" spans="1:14" x14ac:dyDescent="0.25">
      <c r="A2657" s="47">
        <v>7691</v>
      </c>
      <c r="B2657" s="78">
        <v>45210</v>
      </c>
      <c r="C2657" s="47" t="s">
        <v>72</v>
      </c>
      <c r="D2657" s="49" t="s">
        <v>299</v>
      </c>
      <c r="E2657" s="47">
        <v>419282</v>
      </c>
      <c r="G2657" s="50" t="s">
        <v>89</v>
      </c>
      <c r="H2657" s="51">
        <v>27</v>
      </c>
      <c r="J2657" s="51">
        <v>5.7</v>
      </c>
      <c r="K2657" s="74">
        <f>Tabela6[[#This Row],[CONSUMO]]*Tabela6[[#This Row],[VALOR UNIT]]-Tabela6[[#This Row],[DESCONTO]]</f>
        <v>153.9</v>
      </c>
      <c r="L2657" s="53">
        <f>Tabela6[[#This Row],[CUSTO TOTAL]]/Tabela6[[#This Row],[CONSUMO]]</f>
        <v>5.7</v>
      </c>
      <c r="M2657" s="50">
        <f>Tabela6[[#This Row],[KM ATUAL]]-E2647</f>
        <v>-236150</v>
      </c>
      <c r="N2657" s="51">
        <f>Tabela6[[#This Row],[KM Rodados ]]/Tabela6[[#This Row],[CONSUMO]]</f>
        <v>-8746.2962962962956</v>
      </c>
    </row>
    <row r="2658" spans="1:14" x14ac:dyDescent="0.25">
      <c r="A2658" s="47">
        <v>62317</v>
      </c>
      <c r="B2658" s="78">
        <v>45210</v>
      </c>
      <c r="C2658" s="47" t="s">
        <v>64</v>
      </c>
      <c r="D2658" s="49" t="s">
        <v>253</v>
      </c>
      <c r="E2658" s="47">
        <v>97411</v>
      </c>
      <c r="G2658" s="50" t="s">
        <v>89</v>
      </c>
      <c r="H2658" s="51">
        <v>150.13</v>
      </c>
      <c r="J2658" s="51">
        <v>6.09</v>
      </c>
      <c r="K2658" s="74">
        <f>Tabela6[[#This Row],[CONSUMO]]*Tabela6[[#This Row],[VALOR UNIT]]-Tabela6[[#This Row],[DESCONTO]]</f>
        <v>914.29169999999999</v>
      </c>
      <c r="L2658" s="53">
        <f>Tabela6[[#This Row],[CUSTO TOTAL]]/Tabela6[[#This Row],[CONSUMO]]</f>
        <v>6.09</v>
      </c>
      <c r="M2658" s="50">
        <f>Tabela6[[#This Row],[KM ATUAL]]-E2657</f>
        <v>-321871</v>
      </c>
      <c r="N2658" s="51">
        <f>Tabela6[[#This Row],[KM Rodados ]]/Tabela6[[#This Row],[CONSUMO]]</f>
        <v>-2143.9485778991543</v>
      </c>
    </row>
    <row r="2659" spans="1:14" x14ac:dyDescent="0.25">
      <c r="A2659" s="47">
        <v>7691</v>
      </c>
      <c r="B2659" s="78">
        <v>45210</v>
      </c>
      <c r="C2659" s="47" t="s">
        <v>13</v>
      </c>
      <c r="D2659" s="49" t="s">
        <v>299</v>
      </c>
      <c r="E2659" s="47">
        <v>655994</v>
      </c>
      <c r="G2659" s="50" t="s">
        <v>89</v>
      </c>
      <c r="H2659" s="51">
        <v>107</v>
      </c>
      <c r="J2659" s="51">
        <v>5.7</v>
      </c>
      <c r="K2659" s="74">
        <f>Tabela6[[#This Row],[CONSUMO]]*Tabela6[[#This Row],[VALOR UNIT]]-Tabela6[[#This Row],[DESCONTO]]</f>
        <v>609.9</v>
      </c>
      <c r="L2659" s="53">
        <f>Tabela6[[#This Row],[CUSTO TOTAL]]/Tabela6[[#This Row],[CONSUMO]]</f>
        <v>5.7</v>
      </c>
      <c r="M2659" s="50">
        <f>Tabela6[[#This Row],[KM ATUAL]]-E2647</f>
        <v>562</v>
      </c>
      <c r="N2659" s="51">
        <f>Tabela6[[#This Row],[KM Rodados ]]/Tabela6[[#This Row],[CONSUMO]]</f>
        <v>5.2523364485981308</v>
      </c>
    </row>
    <row r="2660" spans="1:14" x14ac:dyDescent="0.25">
      <c r="A2660" s="47">
        <v>213102</v>
      </c>
      <c r="B2660" s="78">
        <v>45210</v>
      </c>
      <c r="C2660" s="47" t="s">
        <v>15</v>
      </c>
      <c r="D2660" s="49" t="s">
        <v>262</v>
      </c>
      <c r="E2660" s="47">
        <v>390256</v>
      </c>
      <c r="G2660" s="50" t="s">
        <v>241</v>
      </c>
      <c r="H2660" s="51">
        <v>16.651</v>
      </c>
      <c r="I2660" s="49">
        <v>5.96</v>
      </c>
      <c r="J2660" s="51">
        <v>3.69</v>
      </c>
      <c r="K2660" s="74">
        <f>Tabela6[[#This Row],[CONSUMO]]*Tabela6[[#This Row],[VALOR UNIT]]-Tabela6[[#This Row],[DESCONTO]]</f>
        <v>55.482189999999996</v>
      </c>
      <c r="L2660" s="53">
        <f>Tabela6[[#This Row],[CUSTO TOTAL]]/Tabela6[[#This Row],[CONSUMO]]</f>
        <v>3.3320635397273435</v>
      </c>
      <c r="M2660" s="53"/>
      <c r="N2660" s="49"/>
    </row>
    <row r="2661" spans="1:14" x14ac:dyDescent="0.25">
      <c r="A2661" s="47">
        <v>213102</v>
      </c>
      <c r="B2661" s="78">
        <v>45210</v>
      </c>
      <c r="C2661" s="47" t="s">
        <v>15</v>
      </c>
      <c r="D2661" s="49" t="s">
        <v>262</v>
      </c>
      <c r="E2661" s="47">
        <v>390256</v>
      </c>
      <c r="G2661" s="50" t="s">
        <v>89</v>
      </c>
      <c r="H2661" s="51">
        <v>67.459999999999994</v>
      </c>
      <c r="J2661" s="51">
        <v>6.19</v>
      </c>
      <c r="K2661" s="74">
        <f>Tabela6[[#This Row],[CONSUMO]]*Tabela6[[#This Row],[VALOR UNIT]]-Tabela6[[#This Row],[DESCONTO]]</f>
        <v>417.57740000000001</v>
      </c>
      <c r="L2661" s="53">
        <f>Tabela6[[#This Row],[CUSTO TOTAL]]/Tabela6[[#This Row],[CONSUMO]]</f>
        <v>6.19</v>
      </c>
      <c r="M2661" s="50">
        <f>Tabela6[[#This Row],[KM ATUAL]]-E2660</f>
        <v>0</v>
      </c>
      <c r="N2661" s="51">
        <f>Tabela6[[#This Row],[KM Rodados ]]/Tabela6[[#This Row],[CONSUMO]]</f>
        <v>0</v>
      </c>
    </row>
    <row r="2662" spans="1:14" x14ac:dyDescent="0.25">
      <c r="A2662" s="47">
        <v>7618</v>
      </c>
      <c r="B2662" s="78">
        <v>45210</v>
      </c>
      <c r="C2662" s="47" t="s">
        <v>20</v>
      </c>
      <c r="D2662" s="49" t="s">
        <v>299</v>
      </c>
      <c r="E2662" s="47">
        <v>275507</v>
      </c>
      <c r="G2662" s="50" t="s">
        <v>89</v>
      </c>
      <c r="H2662" s="51">
        <v>50</v>
      </c>
      <c r="J2662" s="51">
        <v>5.83</v>
      </c>
      <c r="K2662" s="74">
        <f>Tabela6[[#This Row],[CONSUMO]]*Tabela6[[#This Row],[VALOR UNIT]]-Tabela6[[#This Row],[DESCONTO]]</f>
        <v>291.5</v>
      </c>
      <c r="L2662" s="53">
        <f>Tabela6[[#This Row],[CUSTO TOTAL]]/Tabela6[[#This Row],[CONSUMO]]</f>
        <v>5.83</v>
      </c>
      <c r="M2662" s="50">
        <f>Tabela6[[#This Row],[KM ATUAL]]-E2655</f>
        <v>-231897</v>
      </c>
      <c r="N2662" s="51">
        <f>Tabela6[[#This Row],[KM Rodados ]]/Tabela6[[#This Row],[CONSUMO]]</f>
        <v>-4637.9399999999996</v>
      </c>
    </row>
    <row r="2663" spans="1:14" x14ac:dyDescent="0.25">
      <c r="A2663" s="47">
        <v>7618</v>
      </c>
      <c r="B2663" s="78">
        <v>45210</v>
      </c>
      <c r="C2663" s="47" t="s">
        <v>23</v>
      </c>
      <c r="D2663" s="49" t="s">
        <v>299</v>
      </c>
      <c r="E2663" s="47">
        <v>249745</v>
      </c>
      <c r="G2663" s="50" t="s">
        <v>89</v>
      </c>
      <c r="H2663" s="51">
        <v>110</v>
      </c>
      <c r="J2663" s="51">
        <v>5.83</v>
      </c>
      <c r="K2663" s="74">
        <f>Tabela6[[#This Row],[CONSUMO]]*Tabela6[[#This Row],[VALOR UNIT]]-Tabela6[[#This Row],[DESCONTO]]</f>
        <v>641.29999999999995</v>
      </c>
      <c r="L2663" s="53">
        <f>Tabela6[[#This Row],[CUSTO TOTAL]]/Tabela6[[#This Row],[CONSUMO]]</f>
        <v>5.8299999999999992</v>
      </c>
      <c r="M2663" s="50">
        <f>Tabela6[[#This Row],[KM ATUAL]]-E2623</f>
        <v>-434467</v>
      </c>
      <c r="N2663" s="51">
        <f>Tabela6[[#This Row],[KM Rodados ]]/Tabela6[[#This Row],[CONSUMO]]</f>
        <v>-3949.7</v>
      </c>
    </row>
    <row r="2664" spans="1:14" x14ac:dyDescent="0.25">
      <c r="A2664" s="47">
        <v>213093</v>
      </c>
      <c r="B2664" s="78">
        <v>45210</v>
      </c>
      <c r="C2664" s="47" t="s">
        <v>40</v>
      </c>
      <c r="D2664" s="49" t="s">
        <v>262</v>
      </c>
      <c r="E2664" s="47">
        <v>162379</v>
      </c>
      <c r="G2664" s="50" t="s">
        <v>244</v>
      </c>
      <c r="H2664" s="51">
        <v>36.03</v>
      </c>
      <c r="J2664" s="51">
        <v>5.69</v>
      </c>
      <c r="K2664" s="74">
        <f>Tabela6[[#This Row],[CONSUMO]]*Tabela6[[#This Row],[VALOR UNIT]]-Tabela6[[#This Row],[DESCONTO]]</f>
        <v>205.01070000000001</v>
      </c>
      <c r="L2664" s="53">
        <f>Tabela6[[#This Row],[CUSTO TOTAL]]/Tabela6[[#This Row],[CONSUMO]]</f>
        <v>5.69</v>
      </c>
      <c r="M2664" s="50">
        <f>Tabela6[[#This Row],[KM ATUAL]]-E2609</f>
        <v>4880</v>
      </c>
      <c r="N2664" s="51">
        <f>Tabela6[[#This Row],[KM Rodados ]]/Tabela6[[#This Row],[CONSUMO]]</f>
        <v>135.44268665001388</v>
      </c>
    </row>
    <row r="2665" spans="1:14" x14ac:dyDescent="0.25">
      <c r="A2665" s="47">
        <v>213282</v>
      </c>
      <c r="B2665" s="78">
        <v>45210</v>
      </c>
      <c r="C2665" s="47" t="s">
        <v>74</v>
      </c>
      <c r="D2665" s="49" t="s">
        <v>256</v>
      </c>
      <c r="E2665" s="47">
        <v>83580</v>
      </c>
      <c r="G2665" s="50" t="s">
        <v>89</v>
      </c>
      <c r="H2665" s="51">
        <v>106.45</v>
      </c>
      <c r="J2665" s="51">
        <v>5.89</v>
      </c>
      <c r="K2665" s="74">
        <f>Tabela6[[#This Row],[CONSUMO]]*Tabela6[[#This Row],[VALOR UNIT]]-Tabela6[[#This Row],[DESCONTO]]</f>
        <v>626.9905</v>
      </c>
      <c r="L2665" s="53">
        <f>Tabela6[[#This Row],[CUSTO TOTAL]]/Tabela6[[#This Row],[CONSUMO]]</f>
        <v>5.89</v>
      </c>
      <c r="M2665" s="50">
        <f>Tabela6[[#This Row],[KM ATUAL]]-E2646</f>
        <v>-239435</v>
      </c>
      <c r="N2665" s="51">
        <f>Tabela6[[#This Row],[KM Rodados ]]/Tabela6[[#This Row],[CONSUMO]]</f>
        <v>-2249.2719586660405</v>
      </c>
    </row>
    <row r="2666" spans="1:14" x14ac:dyDescent="0.25">
      <c r="A2666" s="47">
        <v>7691</v>
      </c>
      <c r="B2666" s="78">
        <v>45210</v>
      </c>
      <c r="C2666" s="47" t="s">
        <v>315</v>
      </c>
      <c r="D2666" s="49" t="s">
        <v>299</v>
      </c>
      <c r="E2666" s="47">
        <v>2898</v>
      </c>
      <c r="G2666" s="50" t="s">
        <v>89</v>
      </c>
      <c r="H2666" s="51">
        <v>11</v>
      </c>
      <c r="J2666" s="51">
        <v>5.7</v>
      </c>
      <c r="K2666" s="74">
        <f>Tabela6[[#This Row],[CONSUMO]]*Tabela6[[#This Row],[VALOR UNIT]]-Tabela6[[#This Row],[DESCONTO]]</f>
        <v>62.7</v>
      </c>
      <c r="L2666" s="53">
        <f>Tabela6[[#This Row],[CUSTO TOTAL]]/Tabela6[[#This Row],[CONSUMO]]</f>
        <v>5.7</v>
      </c>
      <c r="M2666" s="50">
        <f>Tabela6[[#This Row],[KM ATUAL]]-E2601</f>
        <v>-158241</v>
      </c>
      <c r="N2666" s="51">
        <f>Tabela6[[#This Row],[KM Rodados ]]/Tabela6[[#This Row],[CONSUMO]]</f>
        <v>-14385.545454545454</v>
      </c>
    </row>
    <row r="2667" spans="1:14" x14ac:dyDescent="0.25">
      <c r="A2667" s="47">
        <v>516101</v>
      </c>
      <c r="B2667" s="78">
        <v>45211</v>
      </c>
      <c r="C2667" s="47" t="s">
        <v>68</v>
      </c>
      <c r="D2667" s="49" t="s">
        <v>259</v>
      </c>
      <c r="E2667" s="47">
        <v>924298</v>
      </c>
      <c r="G2667" s="50" t="s">
        <v>89</v>
      </c>
      <c r="H2667" s="51">
        <v>246.91</v>
      </c>
      <c r="J2667" s="51">
        <v>5.99</v>
      </c>
      <c r="K2667" s="74">
        <f>Tabela6[[#This Row],[CONSUMO]]*Tabela6[[#This Row],[VALOR UNIT]]-Tabela6[[#This Row],[DESCONTO]]</f>
        <v>1478.9909</v>
      </c>
      <c r="L2667" s="53">
        <f>Tabela6[[#This Row],[CUSTO TOTAL]]/Tabela6[[#This Row],[CONSUMO]]</f>
        <v>5.99</v>
      </c>
      <c r="M2667" s="50">
        <f>Tabela6[[#This Row],[KM ATUAL]]-E2651</f>
        <v>649247</v>
      </c>
      <c r="N2667" s="51">
        <f>Tabela6[[#This Row],[KM Rodados ]]/Tabela6[[#This Row],[CONSUMO]]</f>
        <v>2629.488477582925</v>
      </c>
    </row>
    <row r="2668" spans="1:14" x14ac:dyDescent="0.25">
      <c r="A2668" s="47">
        <v>877818</v>
      </c>
      <c r="B2668" s="78">
        <v>45211</v>
      </c>
      <c r="C2668" s="47" t="s">
        <v>9</v>
      </c>
      <c r="D2668" s="49" t="s">
        <v>271</v>
      </c>
      <c r="E2668" s="47">
        <v>628467</v>
      </c>
      <c r="G2668" s="50" t="s">
        <v>89</v>
      </c>
      <c r="H2668" s="51">
        <v>130</v>
      </c>
      <c r="J2668" s="51">
        <v>5.99</v>
      </c>
      <c r="K2668" s="74">
        <f>Tabela6[[#This Row],[CONSUMO]]*Tabela6[[#This Row],[VALOR UNIT]]-Tabela6[[#This Row],[DESCONTO]]</f>
        <v>778.7</v>
      </c>
      <c r="L2668" s="53">
        <f>Tabela6[[#This Row],[CUSTO TOTAL]]/Tabela6[[#This Row],[CONSUMO]]</f>
        <v>5.99</v>
      </c>
      <c r="M2668" s="50">
        <f>Tabela6[[#This Row],[KM ATUAL]]-E2615</f>
        <v>-100545</v>
      </c>
      <c r="N2668" s="51">
        <f>Tabela6[[#This Row],[KM Rodados ]]/Tabela6[[#This Row],[CONSUMO]]</f>
        <v>-773.42307692307691</v>
      </c>
    </row>
    <row r="2669" spans="1:14" x14ac:dyDescent="0.25">
      <c r="A2669" s="47">
        <v>23836</v>
      </c>
      <c r="B2669" s="78">
        <v>45211</v>
      </c>
      <c r="C2669" s="47" t="s">
        <v>301</v>
      </c>
      <c r="D2669" s="49" t="s">
        <v>332</v>
      </c>
      <c r="E2669" s="47">
        <v>1050924</v>
      </c>
      <c r="G2669" s="50" t="s">
        <v>89</v>
      </c>
      <c r="H2669" s="51">
        <v>469.47899999999998</v>
      </c>
      <c r="J2669" s="51">
        <v>6.09</v>
      </c>
      <c r="K2669" s="74">
        <f>Tabela6[[#This Row],[CONSUMO]]*Tabela6[[#This Row],[VALOR UNIT]]-Tabela6[[#This Row],[DESCONTO]]</f>
        <v>2859.1271099999999</v>
      </c>
      <c r="L2669" s="53">
        <f>Tabela6[[#This Row],[CUSTO TOTAL]]/Tabela6[[#This Row],[CONSUMO]]</f>
        <v>6.09</v>
      </c>
      <c r="M2669" s="50">
        <f>Tabela6[[#This Row],[KM ATUAL]]-E2639</f>
        <v>943551</v>
      </c>
      <c r="N2669" s="51">
        <f>Tabela6[[#This Row],[KM Rodados ]]/Tabela6[[#This Row],[CONSUMO]]</f>
        <v>2009.783185190392</v>
      </c>
    </row>
    <row r="2670" spans="1:14" x14ac:dyDescent="0.25">
      <c r="A2670" s="47">
        <v>122901</v>
      </c>
      <c r="B2670" s="78">
        <v>45211</v>
      </c>
      <c r="C2670" s="47" t="s">
        <v>20</v>
      </c>
      <c r="D2670" s="49" t="s">
        <v>248</v>
      </c>
      <c r="E2670" s="47">
        <v>275986</v>
      </c>
      <c r="G2670" s="50" t="s">
        <v>89</v>
      </c>
      <c r="H2670" s="51">
        <v>54.22</v>
      </c>
      <c r="J2670" s="51">
        <v>6.15</v>
      </c>
      <c r="K2670" s="74">
        <f>Tabela6[[#This Row],[CONSUMO]]*Tabela6[[#This Row],[VALOR UNIT]]-Tabela6[[#This Row],[DESCONTO]]</f>
        <v>333.45300000000003</v>
      </c>
      <c r="L2670" s="53">
        <f>Tabela6[[#This Row],[CUSTO TOTAL]]/Tabela6[[#This Row],[CONSUMO]]</f>
        <v>6.15</v>
      </c>
      <c r="M2670" s="50">
        <f>Tabela6[[#This Row],[KM ATUAL]]-E2654</f>
        <v>-231721</v>
      </c>
      <c r="N2670" s="51">
        <f>Tabela6[[#This Row],[KM Rodados ]]/Tabela6[[#This Row],[CONSUMO]]</f>
        <v>-4273.7181851715231</v>
      </c>
    </row>
    <row r="2671" spans="1:14" x14ac:dyDescent="0.25">
      <c r="A2671" s="47">
        <v>7691</v>
      </c>
      <c r="B2671" s="78">
        <v>45212</v>
      </c>
      <c r="C2671" s="47" t="s">
        <v>43</v>
      </c>
      <c r="D2671" s="49" t="s">
        <v>299</v>
      </c>
      <c r="E2671" s="47">
        <v>153607</v>
      </c>
      <c r="G2671" s="50" t="s">
        <v>89</v>
      </c>
      <c r="H2671" s="51">
        <v>16</v>
      </c>
      <c r="J2671" s="51">
        <v>5.7</v>
      </c>
      <c r="K2671" s="74">
        <f>Tabela6[[#This Row],[CONSUMO]]*Tabela6[[#This Row],[VALOR UNIT]]-Tabela6[[#This Row],[DESCONTO]]</f>
        <v>91.2</v>
      </c>
      <c r="L2671" s="53">
        <f>Tabela6[[#This Row],[CUSTO TOTAL]]/Tabela6[[#This Row],[CONSUMO]]</f>
        <v>5.7</v>
      </c>
      <c r="M2671" s="50">
        <f>Tabela6[[#This Row],[KM ATUAL]]-E2650</f>
        <v>-218994</v>
      </c>
      <c r="N2671" s="51">
        <f>Tabela6[[#This Row],[KM Rodados ]]/Tabela6[[#This Row],[CONSUMO]]</f>
        <v>-13687.125</v>
      </c>
    </row>
    <row r="2672" spans="1:14" x14ac:dyDescent="0.25">
      <c r="A2672" s="47" t="s">
        <v>314</v>
      </c>
      <c r="B2672" s="78">
        <v>45212</v>
      </c>
      <c r="C2672" s="47" t="s">
        <v>42</v>
      </c>
      <c r="D2672" s="49" t="s">
        <v>299</v>
      </c>
      <c r="E2672" s="47">
        <v>374484</v>
      </c>
      <c r="G2672" s="50" t="s">
        <v>89</v>
      </c>
      <c r="H2672" s="51">
        <v>108.5</v>
      </c>
      <c r="J2672" s="51">
        <v>5.68</v>
      </c>
      <c r="K2672" s="74">
        <f>Tabela6[[#This Row],[CONSUMO]]*Tabela6[[#This Row],[VALOR UNIT]]-Tabela6[[#This Row],[DESCONTO]]</f>
        <v>616.28</v>
      </c>
      <c r="L2672" s="53">
        <f>Tabela6[[#This Row],[CUSTO TOTAL]]/Tabela6[[#This Row],[CONSUMO]]</f>
        <v>5.68</v>
      </c>
      <c r="M2672" s="50">
        <f>Tabela6[[#This Row],[KM ATUAL]]-E2582</f>
        <v>292912</v>
      </c>
      <c r="N2672" s="51">
        <f>Tabela6[[#This Row],[KM Rodados ]]/Tabela6[[#This Row],[CONSUMO]]</f>
        <v>2699.6497695852536</v>
      </c>
    </row>
    <row r="2673" spans="1:14" x14ac:dyDescent="0.25">
      <c r="A2673" s="47">
        <v>213494</v>
      </c>
      <c r="B2673" s="78">
        <v>45212</v>
      </c>
      <c r="C2673" s="47" t="s">
        <v>67</v>
      </c>
      <c r="D2673" s="49" t="s">
        <v>262</v>
      </c>
      <c r="E2673" s="47">
        <v>684561</v>
      </c>
      <c r="G2673" s="50" t="s">
        <v>241</v>
      </c>
      <c r="H2673" s="51">
        <v>16</v>
      </c>
      <c r="I2673" s="49">
        <v>5.76</v>
      </c>
      <c r="J2673" s="51">
        <v>3.69</v>
      </c>
      <c r="K2673" s="74">
        <f>Tabela6[[#This Row],[CONSUMO]]*Tabela6[[#This Row],[VALOR UNIT]]-Tabela6[[#This Row],[DESCONTO]]</f>
        <v>53.28</v>
      </c>
      <c r="L2673" s="53">
        <f>Tabela6[[#This Row],[CUSTO TOTAL]]/Tabela6[[#This Row],[CONSUMO]]</f>
        <v>3.33</v>
      </c>
      <c r="M2673" s="53"/>
      <c r="N2673" s="49"/>
    </row>
    <row r="2674" spans="1:14" x14ac:dyDescent="0.25">
      <c r="A2674" s="47">
        <v>213493</v>
      </c>
      <c r="B2674" s="78">
        <v>45212</v>
      </c>
      <c r="C2674" s="47" t="s">
        <v>67</v>
      </c>
      <c r="D2674" s="49" t="s">
        <v>262</v>
      </c>
      <c r="E2674" s="47">
        <v>684561</v>
      </c>
      <c r="G2674" s="50" t="s">
        <v>89</v>
      </c>
      <c r="H2674" s="51">
        <v>105.339</v>
      </c>
      <c r="J2674" s="51">
        <v>6.19</v>
      </c>
      <c r="K2674" s="74">
        <f>Tabela6[[#This Row],[CONSUMO]]*Tabela6[[#This Row],[VALOR UNIT]]-Tabela6[[#This Row],[DESCONTO]]</f>
        <v>652.04840999999999</v>
      </c>
      <c r="L2674" s="53">
        <f>Tabela6[[#This Row],[CUSTO TOTAL]]/Tabela6[[#This Row],[CONSUMO]]</f>
        <v>6.19</v>
      </c>
      <c r="M2674" s="50">
        <f>Tabela6[[#This Row],[KM ATUAL]]-E2613</f>
        <v>522604</v>
      </c>
      <c r="N2674" s="51">
        <f>Tabela6[[#This Row],[KM Rodados ]]/Tabela6[[#This Row],[CONSUMO]]</f>
        <v>4961.1634817114273</v>
      </c>
    </row>
    <row r="2675" spans="1:14" x14ac:dyDescent="0.25">
      <c r="A2675" s="47">
        <v>7691</v>
      </c>
      <c r="B2675" s="78">
        <v>45212</v>
      </c>
      <c r="C2675" s="47" t="s">
        <v>22</v>
      </c>
      <c r="D2675" s="49" t="s">
        <v>299</v>
      </c>
      <c r="E2675" s="47">
        <v>338911</v>
      </c>
      <c r="G2675" s="50" t="s">
        <v>89</v>
      </c>
      <c r="H2675" s="51">
        <v>107</v>
      </c>
      <c r="J2675" s="51">
        <v>5.7</v>
      </c>
      <c r="K2675" s="74">
        <f>Tabela6[[#This Row],[CONSUMO]]*Tabela6[[#This Row],[VALOR UNIT]]-Tabela6[[#This Row],[DESCONTO]]</f>
        <v>609.9</v>
      </c>
      <c r="L2675" s="53">
        <f>Tabela6[[#This Row],[CUSTO TOTAL]]/Tabela6[[#This Row],[CONSUMO]]</f>
        <v>5.7</v>
      </c>
      <c r="M2675" s="50">
        <f>Tabela6[[#This Row],[KM ATUAL]]-E2617</f>
        <v>242099</v>
      </c>
      <c r="N2675" s="51">
        <f>Tabela6[[#This Row],[KM Rodados ]]/Tabela6[[#This Row],[CONSUMO]]</f>
        <v>2262.6074766355141</v>
      </c>
    </row>
    <row r="2676" spans="1:14" x14ac:dyDescent="0.25">
      <c r="A2676" s="47">
        <v>213629</v>
      </c>
      <c r="B2676" s="78">
        <v>45212</v>
      </c>
      <c r="C2676" s="47" t="s">
        <v>203</v>
      </c>
      <c r="D2676" s="49" t="s">
        <v>262</v>
      </c>
      <c r="E2676" s="47">
        <v>116322</v>
      </c>
      <c r="G2676" s="50" t="s">
        <v>244</v>
      </c>
      <c r="H2676" s="51">
        <v>52.15</v>
      </c>
      <c r="J2676" s="51">
        <v>5.59</v>
      </c>
      <c r="K2676" s="74">
        <f>Tabela6[[#This Row],[CONSUMO]]*Tabela6[[#This Row],[VALOR UNIT]]-Tabela6[[#This Row],[DESCONTO]]</f>
        <v>291.51849999999996</v>
      </c>
      <c r="L2676" s="53">
        <f>Tabela6[[#This Row],[CUSTO TOTAL]]/Tabela6[[#This Row],[CONSUMO]]</f>
        <v>5.589999999999999</v>
      </c>
      <c r="M2676" s="50">
        <f>Tabela6[[#This Row],[KM ATUAL]]-E2585</f>
        <v>116322</v>
      </c>
      <c r="N2676" s="51">
        <f>Tabela6[[#This Row],[KM Rodados ]]/Tabela6[[#This Row],[CONSUMO]]</f>
        <v>2230.5273250239693</v>
      </c>
    </row>
    <row r="2677" spans="1:14" x14ac:dyDescent="0.25">
      <c r="A2677" s="47">
        <v>7691</v>
      </c>
      <c r="B2677" s="78">
        <v>45212</v>
      </c>
      <c r="C2677" s="47" t="s">
        <v>21</v>
      </c>
      <c r="D2677" s="49" t="s">
        <v>299</v>
      </c>
      <c r="E2677" s="47">
        <v>158294</v>
      </c>
      <c r="G2677" s="50" t="s">
        <v>89</v>
      </c>
      <c r="H2677" s="51">
        <v>106</v>
      </c>
      <c r="J2677" s="51">
        <v>5.7</v>
      </c>
      <c r="K2677" s="74">
        <f>Tabela6[[#This Row],[CONSUMO]]*Tabela6[[#This Row],[VALOR UNIT]]-Tabela6[[#This Row],[DESCONTO]]</f>
        <v>604.20000000000005</v>
      </c>
      <c r="L2677" s="53">
        <f>Tabela6[[#This Row],[CUSTO TOTAL]]/Tabela6[[#This Row],[CONSUMO]]</f>
        <v>5.7</v>
      </c>
      <c r="M2677" s="50">
        <f>Tabela6[[#This Row],[KM ATUAL]]-E2633</f>
        <v>-173396</v>
      </c>
      <c r="N2677" s="51">
        <f>Tabela6[[#This Row],[KM Rodados ]]/Tabela6[[#This Row],[CONSUMO]]</f>
        <v>-1635.8113207547169</v>
      </c>
    </row>
    <row r="2678" spans="1:14" x14ac:dyDescent="0.25">
      <c r="A2678" s="47">
        <v>62137</v>
      </c>
      <c r="B2678" s="78">
        <v>45212</v>
      </c>
      <c r="C2678" s="47" t="s">
        <v>10</v>
      </c>
      <c r="D2678" s="49" t="s">
        <v>300</v>
      </c>
      <c r="E2678" s="47">
        <v>729647</v>
      </c>
      <c r="G2678" s="50" t="s">
        <v>89</v>
      </c>
      <c r="H2678" s="51">
        <v>209</v>
      </c>
      <c r="J2678" s="51">
        <v>5.79</v>
      </c>
      <c r="K2678" s="74">
        <f>Tabela6[[#This Row],[CONSUMO]]*Tabela6[[#This Row],[VALOR UNIT]]-Tabela6[[#This Row],[DESCONTO]]</f>
        <v>1210.1099999999999</v>
      </c>
      <c r="L2678" s="53">
        <f>Tabela6[[#This Row],[CUSTO TOTAL]]/Tabela6[[#This Row],[CONSUMO]]</f>
        <v>5.7899999999999991</v>
      </c>
      <c r="M2678" s="50">
        <f>Tabela6[[#This Row],[KM ATUAL]]-E2677</f>
        <v>571353</v>
      </c>
      <c r="N2678" s="51">
        <f>Tabela6[[#This Row],[KM Rodados ]]/Tabela6[[#This Row],[CONSUMO]]</f>
        <v>2733.7464114832537</v>
      </c>
    </row>
    <row r="2679" spans="1:14" x14ac:dyDescent="0.25">
      <c r="A2679" s="47" t="s">
        <v>314</v>
      </c>
      <c r="B2679" s="78">
        <v>45212</v>
      </c>
      <c r="C2679" s="47" t="s">
        <v>15</v>
      </c>
      <c r="E2679" s="47">
        <v>390675</v>
      </c>
      <c r="G2679" s="50" t="s">
        <v>89</v>
      </c>
      <c r="H2679" s="51">
        <v>79</v>
      </c>
      <c r="K2679" s="74">
        <f>Tabela6[[#This Row],[CONSUMO]]*Tabela6[[#This Row],[VALOR UNIT]]-Tabela6[[#This Row],[DESCONTO]]</f>
        <v>0</v>
      </c>
      <c r="L2679" s="53">
        <f>Tabela6[[#This Row],[CUSTO TOTAL]]/Tabela6[[#This Row],[CONSUMO]]</f>
        <v>0</v>
      </c>
      <c r="M2679" s="50">
        <f>Tabela6[[#This Row],[KM ATUAL]]-E2664</f>
        <v>228296</v>
      </c>
      <c r="N2679" s="51">
        <f>Tabela6[[#This Row],[KM Rodados ]]/Tabela6[[#This Row],[CONSUMO]]</f>
        <v>2889.8227848101264</v>
      </c>
    </row>
    <row r="2680" spans="1:14" x14ac:dyDescent="0.25">
      <c r="A2680" s="47">
        <v>7691</v>
      </c>
      <c r="B2680" s="78">
        <v>45212</v>
      </c>
      <c r="C2680" s="47" t="s">
        <v>15</v>
      </c>
      <c r="D2680" s="49" t="s">
        <v>299</v>
      </c>
      <c r="E2680" s="47">
        <v>390882</v>
      </c>
      <c r="G2680" s="50" t="s">
        <v>89</v>
      </c>
      <c r="H2680" s="51">
        <v>101</v>
      </c>
      <c r="J2680" s="51">
        <v>5.7</v>
      </c>
      <c r="K2680" s="74">
        <f>Tabela6[[#This Row],[CONSUMO]]*Tabela6[[#This Row],[VALOR UNIT]]-Tabela6[[#This Row],[DESCONTO]]</f>
        <v>575.70000000000005</v>
      </c>
      <c r="L2680" s="53">
        <f>Tabela6[[#This Row],[CUSTO TOTAL]]/Tabela6[[#This Row],[CONSUMO]]</f>
        <v>5.7</v>
      </c>
      <c r="M2680" s="50">
        <f>Tabela6[[#This Row],[KM ATUAL]]-E2679</f>
        <v>207</v>
      </c>
      <c r="N2680" s="51">
        <f>Tabela6[[#This Row],[KM Rodados ]]/Tabela6[[#This Row],[CONSUMO]]</f>
        <v>2.0495049504950495</v>
      </c>
    </row>
    <row r="2681" spans="1:14" x14ac:dyDescent="0.25">
      <c r="A2681" s="47">
        <v>213599</v>
      </c>
      <c r="B2681" s="78">
        <v>45212</v>
      </c>
      <c r="C2681" s="47" t="s">
        <v>40</v>
      </c>
      <c r="D2681" s="49" t="s">
        <v>262</v>
      </c>
      <c r="E2681" s="47">
        <v>163216</v>
      </c>
      <c r="G2681" s="50" t="s">
        <v>244</v>
      </c>
      <c r="H2681" s="51">
        <v>27.768999999999998</v>
      </c>
      <c r="J2681" s="51">
        <v>5.59</v>
      </c>
      <c r="K2681" s="74">
        <f>Tabela6[[#This Row],[CONSUMO]]*Tabela6[[#This Row],[VALOR UNIT]]-Tabela6[[#This Row],[DESCONTO]]</f>
        <v>155.22870999999998</v>
      </c>
      <c r="L2681" s="53">
        <f>Tabela6[[#This Row],[CUSTO TOTAL]]/Tabela6[[#This Row],[CONSUMO]]</f>
        <v>5.59</v>
      </c>
      <c r="M2681" s="50">
        <f>Tabela6[[#This Row],[KM ATUAL]]-E2672</f>
        <v>-211268</v>
      </c>
      <c r="N2681" s="51">
        <f>Tabela6[[#This Row],[KM Rodados ]]/Tabela6[[#This Row],[CONSUMO]]</f>
        <v>-7608.052144477655</v>
      </c>
    </row>
    <row r="2682" spans="1:14" x14ac:dyDescent="0.25">
      <c r="A2682" s="47">
        <v>213487</v>
      </c>
      <c r="B2682" s="78">
        <v>45212</v>
      </c>
      <c r="C2682" s="47" t="s">
        <v>40</v>
      </c>
      <c r="D2682" s="49" t="s">
        <v>262</v>
      </c>
      <c r="E2682" s="47">
        <v>162730</v>
      </c>
      <c r="G2682" s="50" t="s">
        <v>244</v>
      </c>
      <c r="H2682" s="51">
        <v>25.81</v>
      </c>
      <c r="J2682" s="51">
        <v>5.59</v>
      </c>
      <c r="K2682" s="74">
        <f>Tabela6[[#This Row],[CONSUMO]]*Tabela6[[#This Row],[VALOR UNIT]]-Tabela6[[#This Row],[DESCONTO]]</f>
        <v>144.27789999999999</v>
      </c>
      <c r="L2682" s="53">
        <f>Tabela6[[#This Row],[CUSTO TOTAL]]/Tabela6[[#This Row],[CONSUMO]]</f>
        <v>5.59</v>
      </c>
      <c r="M2682" s="50">
        <f>Tabela6[[#This Row],[KM ATUAL]]-E2681</f>
        <v>-486</v>
      </c>
      <c r="N2682" s="51">
        <f>Tabela6[[#This Row],[KM Rodados ]]/Tabela6[[#This Row],[CONSUMO]]</f>
        <v>-18.829910887253003</v>
      </c>
    </row>
    <row r="2683" spans="1:14" x14ac:dyDescent="0.25">
      <c r="A2683" s="47" t="s">
        <v>314</v>
      </c>
      <c r="B2683" s="78">
        <v>45212</v>
      </c>
      <c r="C2683" s="47" t="s">
        <v>74</v>
      </c>
      <c r="E2683" s="47">
        <v>84154</v>
      </c>
      <c r="G2683" s="50" t="s">
        <v>89</v>
      </c>
      <c r="H2683" s="51">
        <v>99</v>
      </c>
      <c r="K2683" s="74">
        <f>Tabela6[[#This Row],[CONSUMO]]*Tabela6[[#This Row],[VALOR UNIT]]-Tabela6[[#This Row],[DESCONTO]]</f>
        <v>0</v>
      </c>
      <c r="L2683" s="53">
        <f>Tabela6[[#This Row],[CUSTO TOTAL]]/Tabela6[[#This Row],[CONSUMO]]</f>
        <v>0</v>
      </c>
      <c r="M2683" s="50">
        <f>Tabela6[[#This Row],[KM ATUAL]]-E2616</f>
        <v>-837041</v>
      </c>
      <c r="N2683" s="51">
        <f>Tabela6[[#This Row],[KM Rodados ]]/Tabela6[[#This Row],[CONSUMO]]</f>
        <v>-8454.9595959595954</v>
      </c>
    </row>
    <row r="2684" spans="1:14" x14ac:dyDescent="0.25">
      <c r="A2684" s="47">
        <v>84604</v>
      </c>
      <c r="B2684" s="78">
        <v>45212</v>
      </c>
      <c r="C2684" s="47" t="s">
        <v>315</v>
      </c>
      <c r="D2684" s="49" t="s">
        <v>334</v>
      </c>
      <c r="E2684" s="47">
        <v>3410</v>
      </c>
      <c r="G2684" s="50" t="s">
        <v>89</v>
      </c>
      <c r="H2684" s="51">
        <v>45.83</v>
      </c>
      <c r="J2684" s="51">
        <v>6.29</v>
      </c>
      <c r="K2684" s="74">
        <f>Tabela6[[#This Row],[CONSUMO]]*Tabela6[[#This Row],[VALOR UNIT]]-Tabela6[[#This Row],[DESCONTO]]</f>
        <v>288.27069999999998</v>
      </c>
      <c r="L2684" s="53">
        <f>Tabela6[[#This Row],[CUSTO TOTAL]]/Tabela6[[#This Row],[CONSUMO]]</f>
        <v>6.29</v>
      </c>
      <c r="M2684" s="50">
        <f>Tabela6[[#This Row],[KM ATUAL]]-E2671</f>
        <v>-150197</v>
      </c>
      <c r="N2684" s="51">
        <f>Tabela6[[#This Row],[KM Rodados ]]/Tabela6[[#This Row],[CONSUMO]]</f>
        <v>-3277.2638010037094</v>
      </c>
    </row>
    <row r="2685" spans="1:14" x14ac:dyDescent="0.25">
      <c r="A2685" s="47">
        <v>348190</v>
      </c>
      <c r="B2685" s="78">
        <v>45214</v>
      </c>
      <c r="C2685" s="47" t="s">
        <v>301</v>
      </c>
      <c r="D2685" s="49" t="s">
        <v>345</v>
      </c>
      <c r="E2685" s="47">
        <v>1051141</v>
      </c>
      <c r="G2685" s="50" t="s">
        <v>89</v>
      </c>
      <c r="H2685" s="51">
        <v>100.03</v>
      </c>
      <c r="J2685" s="51">
        <v>6.04</v>
      </c>
      <c r="K2685" s="74">
        <f>Tabela6[[#This Row],[CONSUMO]]*Tabela6[[#This Row],[VALOR UNIT]]-Tabela6[[#This Row],[DESCONTO]]</f>
        <v>604.18119999999999</v>
      </c>
      <c r="L2685" s="53">
        <f>Tabela6[[#This Row],[CUSTO TOTAL]]/Tabela6[[#This Row],[CONSUMO]]</f>
        <v>6.04</v>
      </c>
      <c r="M2685" s="50">
        <f>Tabela6[[#This Row],[KM ATUAL]]-E2670</f>
        <v>775155</v>
      </c>
      <c r="N2685" s="51">
        <f>Tabela6[[#This Row],[KM Rodados ]]/Tabela6[[#This Row],[CONSUMO]]</f>
        <v>7749.2252324302708</v>
      </c>
    </row>
    <row r="2686" spans="1:14" x14ac:dyDescent="0.25">
      <c r="A2686" s="47">
        <v>238848</v>
      </c>
      <c r="B2686" s="78">
        <v>45214</v>
      </c>
      <c r="C2686" s="47" t="s">
        <v>206</v>
      </c>
      <c r="D2686" s="49" t="s">
        <v>280</v>
      </c>
      <c r="E2686" s="47">
        <v>969894</v>
      </c>
      <c r="G2686" s="50" t="s">
        <v>89</v>
      </c>
      <c r="H2686" s="51">
        <v>356.51900000000001</v>
      </c>
      <c r="J2686" s="51">
        <v>5.99</v>
      </c>
      <c r="K2686" s="74">
        <f>Tabela6[[#This Row],[CONSUMO]]*Tabela6[[#This Row],[VALOR UNIT]]-Tabela6[[#This Row],[DESCONTO]]</f>
        <v>2135.5488100000002</v>
      </c>
      <c r="L2686" s="53">
        <f>Tabela6[[#This Row],[CUSTO TOTAL]]/Tabela6[[#This Row],[CONSUMO]]</f>
        <v>5.99</v>
      </c>
      <c r="M2686" s="50">
        <f>Tabela6[[#This Row],[KM ATUAL]]-E2642</f>
        <v>812032</v>
      </c>
      <c r="N2686" s="51">
        <f>Tabela6[[#This Row],[KM Rodados ]]/Tabela6[[#This Row],[CONSUMO]]</f>
        <v>2277.6682308656759</v>
      </c>
    </row>
    <row r="2687" spans="1:14" x14ac:dyDescent="0.25">
      <c r="A2687" s="47">
        <v>7745</v>
      </c>
      <c r="B2687" s="78">
        <v>45215</v>
      </c>
      <c r="C2687" s="47" t="s">
        <v>43</v>
      </c>
      <c r="D2687" s="49" t="s">
        <v>299</v>
      </c>
      <c r="E2687" s="47">
        <v>153928</v>
      </c>
      <c r="G2687" s="50" t="s">
        <v>89</v>
      </c>
      <c r="H2687" s="51">
        <v>36</v>
      </c>
      <c r="J2687" s="51">
        <v>5.68</v>
      </c>
      <c r="K2687" s="74">
        <f>Tabela6[[#This Row],[CONSUMO]]*Tabela6[[#This Row],[VALOR UNIT]]-Tabela6[[#This Row],[DESCONTO]]</f>
        <v>204.48</v>
      </c>
      <c r="L2687" s="53">
        <f>Tabela6[[#This Row],[CUSTO TOTAL]]/Tabela6[[#This Row],[CONSUMO]]</f>
        <v>5.68</v>
      </c>
      <c r="M2687" s="50">
        <f>Tabela6[[#This Row],[KM ATUAL]]-E2673</f>
        <v>-530633</v>
      </c>
      <c r="N2687" s="51">
        <f>Tabela6[[#This Row],[KM Rodados ]]/Tabela6[[#This Row],[CONSUMO]]</f>
        <v>-14739.805555555555</v>
      </c>
    </row>
    <row r="2688" spans="1:14" x14ac:dyDescent="0.25">
      <c r="A2688" s="47">
        <v>7855</v>
      </c>
      <c r="B2688" s="78">
        <v>45215</v>
      </c>
      <c r="C2688" s="47" t="s">
        <v>9</v>
      </c>
      <c r="D2688" s="49" t="s">
        <v>262</v>
      </c>
      <c r="E2688" s="47">
        <v>628894</v>
      </c>
      <c r="G2688" s="50" t="s">
        <v>89</v>
      </c>
      <c r="H2688" s="51">
        <v>84.179000000000002</v>
      </c>
      <c r="J2688" s="51">
        <v>6.19</v>
      </c>
      <c r="K2688" s="74">
        <f>Tabela6[[#This Row],[CONSUMO]]*Tabela6[[#This Row],[VALOR UNIT]]-Tabela6[[#This Row],[DESCONTO]]</f>
        <v>521.06801000000007</v>
      </c>
      <c r="L2688" s="53">
        <f>Tabela6[[#This Row],[CUSTO TOTAL]]/Tabela6[[#This Row],[CONSUMO]]</f>
        <v>6.19</v>
      </c>
      <c r="M2688" s="50">
        <f>Tabela6[[#This Row],[KM ATUAL]]-E2654</f>
        <v>121187</v>
      </c>
      <c r="N2688" s="51">
        <f>Tabela6[[#This Row],[KM Rodados ]]/Tabela6[[#This Row],[CONSUMO]]</f>
        <v>1439.6345881989569</v>
      </c>
    </row>
    <row r="2689" spans="1:14" x14ac:dyDescent="0.25">
      <c r="A2689" s="47">
        <v>7691</v>
      </c>
      <c r="B2689" s="78">
        <v>45215</v>
      </c>
      <c r="C2689" s="47" t="s">
        <v>42</v>
      </c>
      <c r="D2689" s="49" t="s">
        <v>299</v>
      </c>
      <c r="E2689" s="47">
        <v>374354</v>
      </c>
      <c r="G2689" s="50" t="s">
        <v>89</v>
      </c>
      <c r="H2689" s="51">
        <v>91</v>
      </c>
      <c r="J2689" s="51">
        <v>5.7</v>
      </c>
      <c r="K2689" s="74">
        <f>Tabela6[[#This Row],[CONSUMO]]*Tabela6[[#This Row],[VALOR UNIT]]-Tabela6[[#This Row],[DESCONTO]]</f>
        <v>518.70000000000005</v>
      </c>
      <c r="L2689" s="53">
        <f>Tabela6[[#This Row],[CUSTO TOTAL]]/Tabela6[[#This Row],[CONSUMO]]</f>
        <v>5.7</v>
      </c>
      <c r="M2689" s="50">
        <f>Tabela6[[#This Row],[KM ATUAL]]-E2641</f>
        <v>-44734</v>
      </c>
      <c r="N2689" s="51">
        <f>Tabela6[[#This Row],[KM Rodados ]]/Tabela6[[#This Row],[CONSUMO]]</f>
        <v>-491.58241758241758</v>
      </c>
    </row>
    <row r="2690" spans="1:14" x14ac:dyDescent="0.25">
      <c r="A2690" s="47">
        <v>7691</v>
      </c>
      <c r="B2690" s="78">
        <v>45215</v>
      </c>
      <c r="C2690" s="47" t="s">
        <v>222</v>
      </c>
      <c r="D2690" s="49" t="s">
        <v>299</v>
      </c>
      <c r="E2690" s="47">
        <v>508577</v>
      </c>
      <c r="G2690" s="50" t="s">
        <v>89</v>
      </c>
      <c r="H2690" s="51">
        <v>322</v>
      </c>
      <c r="J2690" s="51">
        <v>5.7</v>
      </c>
      <c r="K2690" s="74">
        <f>Tabela6[[#This Row],[CONSUMO]]*Tabela6[[#This Row],[VALOR UNIT]]-Tabela6[[#This Row],[DESCONTO]]</f>
        <v>1835.4</v>
      </c>
      <c r="L2690" s="53">
        <f>Tabela6[[#This Row],[CUSTO TOTAL]]/Tabela6[[#This Row],[CONSUMO]]</f>
        <v>5.7</v>
      </c>
      <c r="M2690" s="50">
        <f>Tabela6[[#This Row],[KM ATUAL]]-E2640</f>
        <v>89719</v>
      </c>
      <c r="N2690" s="51">
        <f>Tabela6[[#This Row],[KM Rodados ]]/Tabela6[[#This Row],[CONSUMO]]</f>
        <v>278.63043478260869</v>
      </c>
    </row>
    <row r="2691" spans="1:14" x14ac:dyDescent="0.25">
      <c r="A2691" s="47">
        <v>7745</v>
      </c>
      <c r="B2691" s="78">
        <v>45215</v>
      </c>
      <c r="C2691" s="47" t="s">
        <v>72</v>
      </c>
      <c r="D2691" s="49" t="s">
        <v>299</v>
      </c>
      <c r="E2691" s="47">
        <v>419886</v>
      </c>
      <c r="G2691" s="50" t="s">
        <v>89</v>
      </c>
      <c r="H2691" s="51">
        <v>28</v>
      </c>
      <c r="J2691" s="51">
        <v>5.68</v>
      </c>
      <c r="K2691" s="74">
        <f>Tabela6[[#This Row],[CONSUMO]]*Tabela6[[#This Row],[VALOR UNIT]]-Tabela6[[#This Row],[DESCONTO]]</f>
        <v>159.04</v>
      </c>
      <c r="L2691" s="53">
        <f>Tabela6[[#This Row],[CUSTO TOTAL]]/Tabela6[[#This Row],[CONSUMO]]</f>
        <v>5.68</v>
      </c>
      <c r="M2691" s="50">
        <f>Tabela6[[#This Row],[KM ATUAL]]-E2652</f>
        <v>-503550</v>
      </c>
      <c r="N2691" s="51">
        <f>Tabela6[[#This Row],[KM Rodados ]]/Tabela6[[#This Row],[CONSUMO]]</f>
        <v>-17983.928571428572</v>
      </c>
    </row>
    <row r="2692" spans="1:14" x14ac:dyDescent="0.25">
      <c r="A2692" s="47">
        <v>432415</v>
      </c>
      <c r="B2692" s="78">
        <v>45215</v>
      </c>
      <c r="C2692" s="47" t="s">
        <v>73</v>
      </c>
      <c r="D2692" s="49" t="s">
        <v>273</v>
      </c>
      <c r="E2692" s="47">
        <v>155616</v>
      </c>
      <c r="G2692" s="50" t="s">
        <v>89</v>
      </c>
      <c r="H2692" s="51">
        <v>202.011</v>
      </c>
      <c r="J2692" s="51">
        <v>5.99</v>
      </c>
      <c r="K2692" s="74">
        <f>Tabela6[[#This Row],[CONSUMO]]*Tabela6[[#This Row],[VALOR UNIT]]-Tabela6[[#This Row],[DESCONTO]]</f>
        <v>1210.0458900000001</v>
      </c>
      <c r="L2692" s="53">
        <f>Tabela6[[#This Row],[CUSTO TOTAL]]/Tabela6[[#This Row],[CONSUMO]]</f>
        <v>5.99</v>
      </c>
      <c r="M2692" s="50">
        <f>Tabela6[[#This Row],[KM ATUAL]]-E2622</f>
        <v>-472361</v>
      </c>
      <c r="N2692" s="51">
        <f>Tabela6[[#This Row],[KM Rodados ]]/Tabela6[[#This Row],[CONSUMO]]</f>
        <v>-2338.2934592670695</v>
      </c>
    </row>
    <row r="2693" spans="1:14" x14ac:dyDescent="0.25">
      <c r="A2693" s="47">
        <v>65808</v>
      </c>
      <c r="B2693" s="78">
        <v>45215</v>
      </c>
      <c r="C2693" s="47" t="s">
        <v>64</v>
      </c>
      <c r="D2693" s="49" t="s">
        <v>253</v>
      </c>
      <c r="E2693" s="47">
        <v>97904</v>
      </c>
      <c r="G2693" s="50" t="s">
        <v>89</v>
      </c>
      <c r="H2693" s="51">
        <v>156.94</v>
      </c>
      <c r="J2693" s="51">
        <v>6.09</v>
      </c>
      <c r="K2693" s="74">
        <f>Tabela6[[#This Row],[CONSUMO]]*Tabela6[[#This Row],[VALOR UNIT]]-Tabela6[[#This Row],[DESCONTO]]</f>
        <v>955.76459999999997</v>
      </c>
      <c r="L2693" s="53">
        <f>Tabela6[[#This Row],[CUSTO TOTAL]]/Tabela6[[#This Row],[CONSUMO]]</f>
        <v>6.09</v>
      </c>
      <c r="M2693" s="50">
        <f>Tabela6[[#This Row],[KM ATUAL]]-E2667</f>
        <v>-826394</v>
      </c>
      <c r="N2693" s="51">
        <f>Tabela6[[#This Row],[KM Rodados ]]/Tabela6[[#This Row],[CONSUMO]]</f>
        <v>-5265.6684083089076</v>
      </c>
    </row>
    <row r="2694" spans="1:14" x14ac:dyDescent="0.25">
      <c r="A2694" s="47">
        <v>7745</v>
      </c>
      <c r="B2694" s="78">
        <v>45215</v>
      </c>
      <c r="C2694" s="47" t="s">
        <v>21</v>
      </c>
      <c r="D2694" s="49" t="s">
        <v>299</v>
      </c>
      <c r="E2694" s="47">
        <v>158776</v>
      </c>
      <c r="G2694" s="50" t="s">
        <v>89</v>
      </c>
      <c r="H2694" s="51">
        <v>111</v>
      </c>
      <c r="J2694" s="51">
        <v>5.68</v>
      </c>
      <c r="K2694" s="74">
        <f>Tabela6[[#This Row],[CONSUMO]]*Tabela6[[#This Row],[VALOR UNIT]]-Tabela6[[#This Row],[DESCONTO]]</f>
        <v>630.48</v>
      </c>
      <c r="L2694" s="53">
        <f>Tabela6[[#This Row],[CUSTO TOTAL]]/Tabela6[[#This Row],[CONSUMO]]</f>
        <v>5.6800000000000006</v>
      </c>
      <c r="M2694" s="50">
        <f>Tabela6[[#This Row],[KM ATUAL]]-E2677</f>
        <v>482</v>
      </c>
      <c r="N2694" s="51">
        <f>Tabela6[[#This Row],[KM Rodados ]]/Tabela6[[#This Row],[CONSUMO]]</f>
        <v>4.3423423423423424</v>
      </c>
    </row>
    <row r="2695" spans="1:14" x14ac:dyDescent="0.25">
      <c r="A2695" s="47">
        <v>65595</v>
      </c>
      <c r="B2695" s="78">
        <v>45215</v>
      </c>
      <c r="C2695" s="47" t="s">
        <v>11</v>
      </c>
      <c r="D2695" s="49" t="s">
        <v>253</v>
      </c>
      <c r="E2695" s="47">
        <v>402877</v>
      </c>
      <c r="G2695" s="50" t="s">
        <v>89</v>
      </c>
      <c r="H2695" s="51">
        <v>111.63</v>
      </c>
      <c r="J2695" s="51">
        <v>6.09</v>
      </c>
      <c r="K2695" s="74">
        <f>Tabela6[[#This Row],[CONSUMO]]*Tabela6[[#This Row],[VALOR UNIT]]-Tabela6[[#This Row],[DESCONTO]]</f>
        <v>679.82669999999996</v>
      </c>
      <c r="L2695" s="53">
        <f>Tabela6[[#This Row],[CUSTO TOTAL]]/Tabela6[[#This Row],[CONSUMO]]</f>
        <v>6.09</v>
      </c>
      <c r="M2695" s="50">
        <f>Tabela6[[#This Row],[KM ATUAL]]-E2585</f>
        <v>402877</v>
      </c>
      <c r="N2695" s="51">
        <f>Tabela6[[#This Row],[KM Rodados ]]/Tabela6[[#This Row],[CONSUMO]]</f>
        <v>3609.0387888560426</v>
      </c>
    </row>
    <row r="2696" spans="1:14" x14ac:dyDescent="0.25">
      <c r="A2696" s="47">
        <v>7745</v>
      </c>
      <c r="B2696" s="78">
        <v>45215</v>
      </c>
      <c r="C2696" s="47" t="s">
        <v>206</v>
      </c>
      <c r="D2696" s="49" t="s">
        <v>280</v>
      </c>
      <c r="E2696" s="47">
        <v>696894</v>
      </c>
      <c r="G2696" s="50" t="s">
        <v>241</v>
      </c>
      <c r="H2696" s="51">
        <v>33.799999999999997</v>
      </c>
      <c r="J2696" s="51">
        <v>2.99</v>
      </c>
      <c r="K2696" s="74">
        <f>Tabela6[[#This Row],[CONSUMO]]*Tabela6[[#This Row],[VALOR UNIT]]-Tabela6[[#This Row],[DESCONTO]]</f>
        <v>101.062</v>
      </c>
      <c r="L2696" s="53">
        <f>Tabela6[[#This Row],[CUSTO TOTAL]]/Tabela6[[#This Row],[CONSUMO]]</f>
        <v>2.99</v>
      </c>
      <c r="M2696" s="53"/>
      <c r="N2696" s="49"/>
    </row>
    <row r="2697" spans="1:14" x14ac:dyDescent="0.25">
      <c r="A2697" s="47">
        <v>233747</v>
      </c>
      <c r="B2697" s="78">
        <v>45215</v>
      </c>
      <c r="C2697" s="47" t="s">
        <v>15</v>
      </c>
      <c r="D2697" s="49" t="s">
        <v>346</v>
      </c>
      <c r="E2697" s="47">
        <v>391337</v>
      </c>
      <c r="G2697" s="50" t="s">
        <v>89</v>
      </c>
      <c r="H2697" s="51">
        <v>80.003</v>
      </c>
      <c r="I2697" s="49">
        <v>59.21</v>
      </c>
      <c r="J2697" s="51">
        <v>7.21</v>
      </c>
      <c r="K2697" s="74">
        <f>Tabela6[[#This Row],[CONSUMO]]*Tabela6[[#This Row],[VALOR UNIT]]-Tabela6[[#This Row],[DESCONTO]]</f>
        <v>517.61162999999999</v>
      </c>
      <c r="L2697" s="53">
        <f>Tabela6[[#This Row],[CUSTO TOTAL]]/Tabela6[[#This Row],[CONSUMO]]</f>
        <v>6.4699027536467382</v>
      </c>
      <c r="M2697" s="50">
        <f>Tabela6[[#This Row],[KM ATUAL]]-E2692</f>
        <v>235721</v>
      </c>
      <c r="N2697" s="51">
        <f>Tabela6[[#This Row],[KM Rodados ]]/Tabela6[[#This Row],[CONSUMO]]</f>
        <v>2946.4020099246277</v>
      </c>
    </row>
    <row r="2698" spans="1:14" x14ac:dyDescent="0.25">
      <c r="A2698" s="47">
        <v>7691</v>
      </c>
      <c r="B2698" s="78">
        <v>45215</v>
      </c>
      <c r="C2698" s="47" t="s">
        <v>17</v>
      </c>
      <c r="D2698" s="49" t="s">
        <v>299</v>
      </c>
      <c r="E2698" s="47">
        <v>373488</v>
      </c>
      <c r="G2698" s="50" t="s">
        <v>89</v>
      </c>
      <c r="H2698" s="51">
        <v>203</v>
      </c>
      <c r="J2698" s="51">
        <v>5.7</v>
      </c>
      <c r="K2698" s="74">
        <f>Tabela6[[#This Row],[CONSUMO]]*Tabela6[[#This Row],[VALOR UNIT]]-Tabela6[[#This Row],[DESCONTO]]</f>
        <v>1157.1000000000001</v>
      </c>
      <c r="L2698" s="53">
        <f>Tabela6[[#This Row],[CUSTO TOTAL]]/Tabela6[[#This Row],[CONSUMO]]</f>
        <v>5.7000000000000011</v>
      </c>
      <c r="M2698" s="50">
        <f>Tabela6[[#This Row],[KM ATUAL]]-E2644</f>
        <v>-675875</v>
      </c>
      <c r="N2698" s="51">
        <f>Tabela6[[#This Row],[KM Rodados ]]/Tabela6[[#This Row],[CONSUMO]]</f>
        <v>-3329.4334975369457</v>
      </c>
    </row>
    <row r="2699" spans="1:14" x14ac:dyDescent="0.25">
      <c r="A2699" s="47">
        <v>7691</v>
      </c>
      <c r="B2699" s="78">
        <v>45215</v>
      </c>
      <c r="C2699" s="47" t="s">
        <v>19</v>
      </c>
      <c r="D2699" s="49" t="s">
        <v>299</v>
      </c>
      <c r="E2699" s="47">
        <v>332511</v>
      </c>
      <c r="G2699" s="50" t="s">
        <v>89</v>
      </c>
      <c r="H2699" s="51">
        <v>177</v>
      </c>
      <c r="J2699" s="51">
        <v>5.7</v>
      </c>
      <c r="K2699" s="74">
        <f>Tabela6[[#This Row],[CONSUMO]]*Tabela6[[#This Row],[VALOR UNIT]]-Tabela6[[#This Row],[DESCONTO]]</f>
        <v>1008.9</v>
      </c>
      <c r="L2699" s="53">
        <f>Tabela6[[#This Row],[CUSTO TOTAL]]/Tabela6[[#This Row],[CONSUMO]]</f>
        <v>5.7</v>
      </c>
      <c r="M2699" s="50">
        <f>Tabela6[[#This Row],[KM ATUAL]]-E2698</f>
        <v>-40977</v>
      </c>
      <c r="N2699" s="51">
        <f>Tabela6[[#This Row],[KM Rodados ]]/Tabela6[[#This Row],[CONSUMO]]</f>
        <v>-231.5084745762712</v>
      </c>
    </row>
    <row r="2700" spans="1:14" x14ac:dyDescent="0.25">
      <c r="A2700" s="47">
        <v>214430</v>
      </c>
      <c r="B2700" s="78">
        <v>45215</v>
      </c>
      <c r="C2700" s="47" t="s">
        <v>23</v>
      </c>
      <c r="D2700" s="49" t="s">
        <v>262</v>
      </c>
      <c r="E2700" s="47">
        <v>250234</v>
      </c>
      <c r="G2700" s="50" t="s">
        <v>89</v>
      </c>
      <c r="H2700" s="51">
        <v>125.21</v>
      </c>
      <c r="J2700" s="51">
        <v>6.19</v>
      </c>
      <c r="K2700" s="74">
        <f>Tabela6[[#This Row],[CONSUMO]]*Tabela6[[#This Row],[VALOR UNIT]]-Tabela6[[#This Row],[DESCONTO]]</f>
        <v>775.04989999999998</v>
      </c>
      <c r="L2700" s="53">
        <f>Tabela6[[#This Row],[CUSTO TOTAL]]/Tabela6[[#This Row],[CONSUMO]]</f>
        <v>6.19</v>
      </c>
      <c r="M2700" s="50">
        <f>Tabela6[[#This Row],[KM ATUAL]]-E2654</f>
        <v>-257473</v>
      </c>
      <c r="N2700" s="51">
        <f>Tabela6[[#This Row],[KM Rodados ]]/Tabela6[[#This Row],[CONSUMO]]</f>
        <v>-2056.3293666640047</v>
      </c>
    </row>
    <row r="2701" spans="1:14" x14ac:dyDescent="0.25">
      <c r="A2701" s="47">
        <v>7745</v>
      </c>
      <c r="B2701" s="78">
        <v>45215</v>
      </c>
      <c r="C2701" s="47" t="s">
        <v>74</v>
      </c>
      <c r="D2701" s="49" t="s">
        <v>299</v>
      </c>
      <c r="E2701" s="47">
        <v>84157</v>
      </c>
      <c r="G2701" s="50" t="s">
        <v>89</v>
      </c>
      <c r="H2701" s="51">
        <v>70</v>
      </c>
      <c r="J2701" s="51">
        <v>5.68</v>
      </c>
      <c r="K2701" s="74">
        <f>Tabela6[[#This Row],[CONSUMO]]*Tabela6[[#This Row],[VALOR UNIT]]-Tabela6[[#This Row],[DESCONTO]]</f>
        <v>397.59999999999997</v>
      </c>
      <c r="L2701" s="53">
        <f>Tabela6[[#This Row],[CUSTO TOTAL]]/Tabela6[[#This Row],[CONSUMO]]</f>
        <v>5.68</v>
      </c>
      <c r="M2701" s="50">
        <f>Tabela6[[#This Row],[KM ATUAL]]-E2657</f>
        <v>-335125</v>
      </c>
      <c r="N2701" s="51">
        <f>Tabela6[[#This Row],[KM Rodados ]]/Tabela6[[#This Row],[CONSUMO]]</f>
        <v>-4787.5</v>
      </c>
    </row>
    <row r="2702" spans="1:14" x14ac:dyDescent="0.25">
      <c r="A2702" s="49">
        <v>7745</v>
      </c>
      <c r="B2702" s="78">
        <v>45216</v>
      </c>
      <c r="C2702" s="47" t="s">
        <v>68</v>
      </c>
      <c r="D2702" s="49" t="s">
        <v>299</v>
      </c>
      <c r="E2702" s="47">
        <v>925067</v>
      </c>
      <c r="G2702" s="50" t="s">
        <v>89</v>
      </c>
      <c r="H2702" s="51">
        <v>274</v>
      </c>
      <c r="J2702" s="51">
        <v>5.7</v>
      </c>
      <c r="K2702" s="74">
        <f>Tabela6[[#This Row],[CONSUMO]]*Tabela6[[#This Row],[VALOR UNIT]]-Tabela6[[#This Row],[DESCONTO]]</f>
        <v>1561.8</v>
      </c>
      <c r="L2702" s="53">
        <f>Tabela6[[#This Row],[CUSTO TOTAL]]/Tabela6[[#This Row],[CONSUMO]]</f>
        <v>5.7</v>
      </c>
      <c r="M2702" s="50">
        <f>Tabela6[[#This Row],[KM ATUAL]]-E2664</f>
        <v>762688</v>
      </c>
      <c r="N2702" s="51">
        <f>Tabela6[[#This Row],[KM Rodados ]]/Tabela6[[#This Row],[CONSUMO]]</f>
        <v>2783.5328467153286</v>
      </c>
    </row>
    <row r="2703" spans="1:14" x14ac:dyDescent="0.25">
      <c r="A2703" s="47">
        <v>214441</v>
      </c>
      <c r="B2703" s="78">
        <v>45216</v>
      </c>
      <c r="C2703" s="47" t="s">
        <v>43</v>
      </c>
      <c r="D2703" s="49" t="s">
        <v>262</v>
      </c>
      <c r="E2703" s="47">
        <v>154048</v>
      </c>
      <c r="G2703" s="50" t="s">
        <v>89</v>
      </c>
      <c r="H2703" s="51">
        <v>13.74</v>
      </c>
      <c r="J2703" s="51">
        <v>6.19</v>
      </c>
      <c r="K2703" s="74">
        <f>Tabela6[[#This Row],[CONSUMO]]*Tabela6[[#This Row],[VALOR UNIT]]-Tabela6[[#This Row],[DESCONTO]]</f>
        <v>85.050600000000003</v>
      </c>
      <c r="L2703" s="53">
        <f>Tabela6[[#This Row],[CUSTO TOTAL]]/Tabela6[[#This Row],[CONSUMO]]</f>
        <v>6.19</v>
      </c>
      <c r="M2703" s="50">
        <f>Tabela6[[#This Row],[KM ATUAL]]-E2688</f>
        <v>-474846</v>
      </c>
      <c r="N2703" s="51">
        <f>Tabela6[[#This Row],[KM Rodados ]]/Tabela6[[#This Row],[CONSUMO]]</f>
        <v>-34559.388646288207</v>
      </c>
    </row>
    <row r="2704" spans="1:14" x14ac:dyDescent="0.25">
      <c r="A2704" s="49">
        <v>7745</v>
      </c>
      <c r="B2704" s="78">
        <v>45216</v>
      </c>
      <c r="C2704" s="47" t="s">
        <v>43</v>
      </c>
      <c r="D2704" s="49" t="s">
        <v>299</v>
      </c>
      <c r="E2704" s="47">
        <v>154447</v>
      </c>
      <c r="G2704" s="50" t="s">
        <v>89</v>
      </c>
      <c r="H2704" s="51">
        <v>18</v>
      </c>
      <c r="J2704" s="51">
        <v>5.68</v>
      </c>
      <c r="K2704" s="74">
        <f>Tabela6[[#This Row],[CONSUMO]]*Tabela6[[#This Row],[VALOR UNIT]]-Tabela6[[#This Row],[DESCONTO]]</f>
        <v>102.24</v>
      </c>
      <c r="L2704" s="53">
        <f>Tabela6[[#This Row],[CUSTO TOTAL]]/Tabela6[[#This Row],[CONSUMO]]</f>
        <v>5.68</v>
      </c>
      <c r="M2704" s="50">
        <f>Tabela6[[#This Row],[KM ATUAL]]-E2703</f>
        <v>399</v>
      </c>
      <c r="N2704" s="51">
        <f>Tabela6[[#This Row],[KM Rodados ]]/Tabela6[[#This Row],[CONSUMO]]</f>
        <v>22.166666666666668</v>
      </c>
    </row>
    <row r="2705" spans="1:14" x14ac:dyDescent="0.25">
      <c r="A2705" s="49">
        <v>7745</v>
      </c>
      <c r="B2705" s="78">
        <v>45216</v>
      </c>
      <c r="C2705" s="47" t="s">
        <v>67</v>
      </c>
      <c r="D2705" s="49" t="s">
        <v>299</v>
      </c>
      <c r="E2705" s="47">
        <v>685021</v>
      </c>
      <c r="G2705" s="50" t="s">
        <v>89</v>
      </c>
      <c r="H2705" s="51">
        <v>106</v>
      </c>
      <c r="J2705" s="51">
        <v>5.68</v>
      </c>
      <c r="K2705" s="74">
        <f>Tabela6[[#This Row],[CONSUMO]]*Tabela6[[#This Row],[VALOR UNIT]]-Tabela6[[#This Row],[DESCONTO]]</f>
        <v>602.07999999999993</v>
      </c>
      <c r="L2705" s="53">
        <f>Tabela6[[#This Row],[CUSTO TOTAL]]/Tabela6[[#This Row],[CONSUMO]]</f>
        <v>5.68</v>
      </c>
      <c r="M2705" s="50">
        <f>Tabela6[[#This Row],[KM ATUAL]]-E2684</f>
        <v>681611</v>
      </c>
      <c r="N2705" s="51">
        <f>Tabela6[[#This Row],[KM Rodados ]]/Tabela6[[#This Row],[CONSUMO]]</f>
        <v>6430.2924528301883</v>
      </c>
    </row>
    <row r="2706" spans="1:14" x14ac:dyDescent="0.25">
      <c r="A2706" s="47">
        <v>214453</v>
      </c>
      <c r="B2706" s="78">
        <v>45216</v>
      </c>
      <c r="C2706" s="47" t="s">
        <v>72</v>
      </c>
      <c r="D2706" s="49" t="s">
        <v>262</v>
      </c>
      <c r="E2706" s="47">
        <v>420320</v>
      </c>
      <c r="G2706" s="50" t="s">
        <v>89</v>
      </c>
      <c r="H2706" s="51">
        <v>49.44</v>
      </c>
      <c r="K2706" s="74">
        <f>Tabela6[[#This Row],[CONSUMO]]*Tabela6[[#This Row],[VALOR UNIT]]-Tabela6[[#This Row],[DESCONTO]]</f>
        <v>0</v>
      </c>
      <c r="L2706" s="53">
        <f>Tabela6[[#This Row],[CUSTO TOTAL]]/Tabela6[[#This Row],[CONSUMO]]</f>
        <v>0</v>
      </c>
      <c r="M2706" s="50">
        <f>Tabela6[[#This Row],[KM ATUAL]]-E2705</f>
        <v>-264701</v>
      </c>
      <c r="N2706" s="51">
        <f>Tabela6[[#This Row],[KM Rodados ]]/Tabela6[[#This Row],[CONSUMO]]</f>
        <v>-5353.9846278317154</v>
      </c>
    </row>
    <row r="2707" spans="1:14" x14ac:dyDescent="0.25">
      <c r="A2707" s="49">
        <v>7745</v>
      </c>
      <c r="B2707" s="78">
        <v>45216</v>
      </c>
      <c r="C2707" s="47" t="s">
        <v>41</v>
      </c>
      <c r="D2707" s="49" t="s">
        <v>299</v>
      </c>
      <c r="E2707" s="47">
        <v>679502</v>
      </c>
      <c r="G2707" s="50" t="s">
        <v>89</v>
      </c>
      <c r="H2707" s="51">
        <v>90</v>
      </c>
      <c r="J2707" s="51">
        <v>5.68</v>
      </c>
      <c r="K2707" s="74">
        <f>Tabela6[[#This Row],[CONSUMO]]*Tabela6[[#This Row],[VALOR UNIT]]-Tabela6[[#This Row],[DESCONTO]]</f>
        <v>511.2</v>
      </c>
      <c r="L2707" s="53">
        <f>Tabela6[[#This Row],[CUSTO TOTAL]]/Tabela6[[#This Row],[CONSUMO]]</f>
        <v>5.68</v>
      </c>
      <c r="M2707" s="50">
        <f>Tabela6[[#This Row],[KM ATUAL]]-E2631</f>
        <v>24335</v>
      </c>
      <c r="N2707" s="51">
        <f>Tabela6[[#This Row],[KM Rodados ]]/Tabela6[[#This Row],[CONSUMO]]</f>
        <v>270.38888888888891</v>
      </c>
    </row>
    <row r="2708" spans="1:14" x14ac:dyDescent="0.25">
      <c r="A2708" s="49">
        <v>7745</v>
      </c>
      <c r="B2708" s="78">
        <v>45216</v>
      </c>
      <c r="C2708" s="47" t="s">
        <v>10</v>
      </c>
      <c r="D2708" s="49" t="s">
        <v>299</v>
      </c>
      <c r="E2708" s="47">
        <v>730234</v>
      </c>
      <c r="G2708" s="50" t="s">
        <v>89</v>
      </c>
      <c r="H2708" s="51">
        <v>145</v>
      </c>
      <c r="J2708" s="51">
        <v>5.68</v>
      </c>
      <c r="K2708" s="74">
        <f>Tabela6[[#This Row],[CONSUMO]]*Tabela6[[#This Row],[VALOR UNIT]]-Tabela6[[#This Row],[DESCONTO]]</f>
        <v>823.59999999999991</v>
      </c>
      <c r="L2708" s="53">
        <f>Tabela6[[#This Row],[CUSTO TOTAL]]/Tabela6[[#This Row],[CONSUMO]]</f>
        <v>5.68</v>
      </c>
      <c r="M2708" s="50">
        <f>Tabela6[[#This Row],[KM ATUAL]]-E2670</f>
        <v>454248</v>
      </c>
      <c r="N2708" s="51">
        <f>Tabela6[[#This Row],[KM Rodados ]]/Tabela6[[#This Row],[CONSUMO]]</f>
        <v>3132.7448275862071</v>
      </c>
    </row>
    <row r="2709" spans="1:14" x14ac:dyDescent="0.25">
      <c r="A2709" s="47">
        <v>457662</v>
      </c>
      <c r="B2709" s="78">
        <v>45216</v>
      </c>
      <c r="C2709" s="47" t="s">
        <v>301</v>
      </c>
      <c r="D2709" s="49" t="s">
        <v>347</v>
      </c>
      <c r="E2709" s="47">
        <v>1051938</v>
      </c>
      <c r="G2709" s="50" t="s">
        <v>89</v>
      </c>
      <c r="H2709" s="51">
        <v>330.02100000000002</v>
      </c>
      <c r="J2709" s="51">
        <v>5.99</v>
      </c>
      <c r="K2709" s="74">
        <f>Tabela6[[#This Row],[CONSUMO]]*Tabela6[[#This Row],[VALOR UNIT]]-Tabela6[[#This Row],[DESCONTO]]</f>
        <v>1976.8257900000001</v>
      </c>
      <c r="L2709" s="53">
        <f>Tabela6[[#This Row],[CUSTO TOTAL]]/Tabela6[[#This Row],[CONSUMO]]</f>
        <v>5.99</v>
      </c>
      <c r="M2709" s="50">
        <f>Tabela6[[#This Row],[KM ATUAL]]-E2681</f>
        <v>888722</v>
      </c>
      <c r="N2709" s="51">
        <f>Tabela6[[#This Row],[KM Rodados ]]/Tabela6[[#This Row],[CONSUMO]]</f>
        <v>2692.9256017041339</v>
      </c>
    </row>
    <row r="2710" spans="1:14" x14ac:dyDescent="0.25">
      <c r="A2710" s="47">
        <v>1331018</v>
      </c>
      <c r="B2710" s="78">
        <v>45216</v>
      </c>
      <c r="C2710" s="47" t="s">
        <v>13</v>
      </c>
      <c r="D2710" s="49" t="s">
        <v>247</v>
      </c>
      <c r="E2710" s="47">
        <v>656642</v>
      </c>
      <c r="G2710" s="50" t="s">
        <v>89</v>
      </c>
      <c r="H2710" s="51">
        <v>146.91999999999999</v>
      </c>
      <c r="J2710" s="51">
        <v>6.19</v>
      </c>
      <c r="K2710" s="74">
        <f>Tabela6[[#This Row],[CONSUMO]]*Tabela6[[#This Row],[VALOR UNIT]]-Tabela6[[#This Row],[DESCONTO]]</f>
        <v>909.4348</v>
      </c>
      <c r="L2710" s="53">
        <f>Tabela6[[#This Row],[CUSTO TOTAL]]/Tabela6[[#This Row],[CONSUMO]]</f>
        <v>6.19</v>
      </c>
      <c r="M2710" s="50">
        <f>Tabela6[[#This Row],[KM ATUAL]]-E2653</f>
        <v>503159</v>
      </c>
      <c r="N2710" s="51">
        <f>Tabela6[[#This Row],[KM Rodados ]]/Tabela6[[#This Row],[CONSUMO]]</f>
        <v>3424.7141301388515</v>
      </c>
    </row>
    <row r="2711" spans="1:14" x14ac:dyDescent="0.25">
      <c r="A2711" s="47">
        <v>1331016</v>
      </c>
      <c r="B2711" s="78">
        <v>45216</v>
      </c>
      <c r="C2711" s="47" t="s">
        <v>13</v>
      </c>
      <c r="D2711" s="49" t="s">
        <v>247</v>
      </c>
      <c r="E2711" s="47">
        <v>656642</v>
      </c>
      <c r="G2711" s="50" t="s">
        <v>241</v>
      </c>
      <c r="H2711" s="51">
        <v>16</v>
      </c>
      <c r="J2711" s="51">
        <v>3.19</v>
      </c>
      <c r="K2711" s="74">
        <f>Tabela6[[#This Row],[CONSUMO]]*Tabela6[[#This Row],[VALOR UNIT]]-Tabela6[[#This Row],[DESCONTO]]</f>
        <v>51.04</v>
      </c>
      <c r="L2711" s="53">
        <f>Tabela6[[#This Row],[CUSTO TOTAL]]/Tabela6[[#This Row],[CONSUMO]]</f>
        <v>3.19</v>
      </c>
      <c r="M2711" s="53"/>
      <c r="N2711" s="49"/>
    </row>
    <row r="2712" spans="1:14" x14ac:dyDescent="0.25">
      <c r="A2712" s="49">
        <v>7745</v>
      </c>
      <c r="B2712" s="78">
        <v>45216</v>
      </c>
      <c r="C2712" s="47" t="s">
        <v>20</v>
      </c>
      <c r="D2712" s="49" t="s">
        <v>299</v>
      </c>
      <c r="E2712" s="47">
        <v>276444</v>
      </c>
      <c r="G2712" s="50" t="s">
        <v>89</v>
      </c>
      <c r="H2712" s="51">
        <v>47</v>
      </c>
      <c r="J2712" s="51">
        <v>5.68</v>
      </c>
      <c r="K2712" s="74">
        <f>Tabela6[[#This Row],[CONSUMO]]*Tabela6[[#This Row],[VALOR UNIT]]-Tabela6[[#This Row],[DESCONTO]]</f>
        <v>266.95999999999998</v>
      </c>
      <c r="L2712" s="53">
        <f>Tabela6[[#This Row],[CUSTO TOTAL]]/Tabela6[[#This Row],[CONSUMO]]</f>
        <v>5.68</v>
      </c>
      <c r="M2712" s="50">
        <f>Tabela6[[#This Row],[KM ATUAL]]-E2672</f>
        <v>-98040</v>
      </c>
      <c r="N2712" s="51">
        <f>Tabela6[[#This Row],[KM Rodados ]]/Tabela6[[#This Row],[CONSUMO]]</f>
        <v>-2085.9574468085107</v>
      </c>
    </row>
    <row r="2713" spans="1:14" x14ac:dyDescent="0.25">
      <c r="A2713" s="47">
        <v>214555</v>
      </c>
      <c r="B2713" s="78">
        <v>45216</v>
      </c>
      <c r="C2713" s="47" t="s">
        <v>40</v>
      </c>
      <c r="D2713" s="49" t="s">
        <v>262</v>
      </c>
      <c r="E2713" s="47">
        <v>163606</v>
      </c>
      <c r="G2713" s="50" t="s">
        <v>244</v>
      </c>
      <c r="H2713" s="51">
        <v>32.988999999999997</v>
      </c>
      <c r="J2713" s="51">
        <v>5.59</v>
      </c>
      <c r="K2713" s="74">
        <f>Tabela6[[#This Row],[CONSUMO]]*Tabela6[[#This Row],[VALOR UNIT]]-Tabela6[[#This Row],[DESCONTO]]</f>
        <v>184.40850999999998</v>
      </c>
      <c r="L2713" s="53">
        <f>Tabela6[[#This Row],[CUSTO TOTAL]]/Tabela6[[#This Row],[CONSUMO]]</f>
        <v>5.59</v>
      </c>
      <c r="M2713" s="50">
        <f>Tabela6[[#This Row],[KM ATUAL]]-E2686</f>
        <v>-806288</v>
      </c>
      <c r="N2713" s="51">
        <f>Tabela6[[#This Row],[KM Rodados ]]/Tabela6[[#This Row],[CONSUMO]]</f>
        <v>-24441.11673588166</v>
      </c>
    </row>
    <row r="2714" spans="1:14" x14ac:dyDescent="0.25">
      <c r="A2714" s="49">
        <v>7745</v>
      </c>
      <c r="B2714" s="78">
        <v>45216</v>
      </c>
      <c r="C2714" s="47" t="s">
        <v>74</v>
      </c>
      <c r="D2714" s="49" t="s">
        <v>299</v>
      </c>
      <c r="E2714" s="47">
        <v>84630</v>
      </c>
      <c r="G2714" s="50" t="s">
        <v>89</v>
      </c>
      <c r="H2714" s="51">
        <v>46</v>
      </c>
      <c r="J2714" s="51">
        <v>5.68</v>
      </c>
      <c r="K2714" s="74">
        <f>Tabela6[[#This Row],[CONSUMO]]*Tabela6[[#This Row],[VALOR UNIT]]-Tabela6[[#This Row],[DESCONTO]]</f>
        <v>261.27999999999997</v>
      </c>
      <c r="L2714" s="53">
        <f>Tabela6[[#This Row],[CUSTO TOTAL]]/Tabela6[[#This Row],[CONSUMO]]</f>
        <v>5.68</v>
      </c>
      <c r="M2714" s="50">
        <f>Tabela6[[#This Row],[KM ATUAL]]-E2701</f>
        <v>473</v>
      </c>
      <c r="N2714" s="51">
        <f>Tabela6[[#This Row],[KM Rodados ]]/Tabela6[[#This Row],[CONSUMO]]</f>
        <v>10.282608695652174</v>
      </c>
    </row>
    <row r="2715" spans="1:14" x14ac:dyDescent="0.25">
      <c r="A2715" s="47">
        <v>291</v>
      </c>
      <c r="B2715" s="78">
        <v>45217</v>
      </c>
      <c r="C2715" s="47" t="s">
        <v>68</v>
      </c>
      <c r="D2715" s="49" t="s">
        <v>324</v>
      </c>
      <c r="E2715" s="47">
        <v>925460</v>
      </c>
      <c r="G2715" s="50" t="s">
        <v>89</v>
      </c>
      <c r="H2715" s="51">
        <v>149.56</v>
      </c>
      <c r="J2715" s="51">
        <v>5.69</v>
      </c>
      <c r="K2715" s="74">
        <f>Tabela6[[#This Row],[CONSUMO]]*Tabela6[[#This Row],[VALOR UNIT]]-Tabela6[[#This Row],[DESCONTO]]</f>
        <v>850.99640000000011</v>
      </c>
      <c r="L2715" s="53">
        <f>Tabela6[[#This Row],[CUSTO TOTAL]]/Tabela6[[#This Row],[CONSUMO]]</f>
        <v>5.69</v>
      </c>
      <c r="M2715" s="50">
        <f>Tabela6[[#This Row],[KM ATUAL]]-E2703</f>
        <v>771412</v>
      </c>
      <c r="N2715" s="51">
        <f>Tabela6[[#This Row],[KM Rodados ]]/Tabela6[[#This Row],[CONSUMO]]</f>
        <v>5157.8764375501469</v>
      </c>
    </row>
    <row r="2716" spans="1:14" x14ac:dyDescent="0.25">
      <c r="A2716" s="47">
        <v>214971</v>
      </c>
      <c r="B2716" s="78">
        <v>45217</v>
      </c>
      <c r="C2716" s="47" t="s">
        <v>43</v>
      </c>
      <c r="D2716" s="49" t="s">
        <v>262</v>
      </c>
      <c r="E2716" s="47">
        <v>154567</v>
      </c>
      <c r="G2716" s="50" t="s">
        <v>89</v>
      </c>
      <c r="H2716" s="51">
        <v>13.95</v>
      </c>
      <c r="J2716" s="51">
        <v>6.19</v>
      </c>
      <c r="K2716" s="74">
        <f>Tabela6[[#This Row],[CONSUMO]]*Tabela6[[#This Row],[VALOR UNIT]]-Tabela6[[#This Row],[DESCONTO]]</f>
        <v>86.350499999999997</v>
      </c>
      <c r="L2716" s="53">
        <f>Tabela6[[#This Row],[CUSTO TOTAL]]/Tabela6[[#This Row],[CONSUMO]]</f>
        <v>6.19</v>
      </c>
      <c r="M2716" s="50">
        <f>Tabela6[[#This Row],[KM ATUAL]]-E2704</f>
        <v>120</v>
      </c>
      <c r="N2716" s="51">
        <f>Tabela6[[#This Row],[KM Rodados ]]/Tabela6[[#This Row],[CONSUMO]]</f>
        <v>8.6021505376344098</v>
      </c>
    </row>
    <row r="2717" spans="1:14" x14ac:dyDescent="0.25">
      <c r="A2717" s="47">
        <v>280927</v>
      </c>
      <c r="B2717" s="78">
        <v>45217</v>
      </c>
      <c r="C2717" s="47" t="s">
        <v>43</v>
      </c>
      <c r="D2717" s="49" t="s">
        <v>268</v>
      </c>
      <c r="E2717" s="47">
        <v>155009</v>
      </c>
      <c r="G2717" s="50" t="s">
        <v>89</v>
      </c>
      <c r="H2717" s="51">
        <v>16.690000000000001</v>
      </c>
      <c r="J2717" s="51">
        <v>5.99</v>
      </c>
      <c r="K2717" s="74">
        <f>Tabela6[[#This Row],[CONSUMO]]*Tabela6[[#This Row],[VALOR UNIT]]-Tabela6[[#This Row],[DESCONTO]]</f>
        <v>99.973100000000017</v>
      </c>
      <c r="L2717" s="53">
        <f>Tabela6[[#This Row],[CUSTO TOTAL]]/Tabela6[[#This Row],[CONSUMO]]</f>
        <v>5.99</v>
      </c>
      <c r="M2717" s="50">
        <f>Tabela6[[#This Row],[KM ATUAL]]-E2708</f>
        <v>-575225</v>
      </c>
      <c r="N2717" s="51">
        <f>Tabela6[[#This Row],[KM Rodados ]]/Tabela6[[#This Row],[CONSUMO]]</f>
        <v>-34465.248651887356</v>
      </c>
    </row>
    <row r="2718" spans="1:14" x14ac:dyDescent="0.25">
      <c r="A2718" s="47">
        <v>680754</v>
      </c>
      <c r="B2718" s="78">
        <v>45217</v>
      </c>
      <c r="C2718" s="47" t="s">
        <v>9</v>
      </c>
      <c r="D2718" s="49" t="s">
        <v>271</v>
      </c>
      <c r="E2718" s="47">
        <v>629295</v>
      </c>
      <c r="G2718" s="50" t="s">
        <v>89</v>
      </c>
      <c r="H2718" s="51">
        <v>114.51</v>
      </c>
      <c r="J2718" s="51">
        <v>5.99</v>
      </c>
      <c r="K2718" s="74">
        <f>Tabela6[[#This Row],[CONSUMO]]*Tabela6[[#This Row],[VALOR UNIT]]-Tabela6[[#This Row],[DESCONTO]]</f>
        <v>685.9149000000001</v>
      </c>
      <c r="L2718" s="53">
        <f>Tabela6[[#This Row],[CUSTO TOTAL]]/Tabela6[[#This Row],[CONSUMO]]</f>
        <v>5.99</v>
      </c>
      <c r="M2718" s="50">
        <f>Tabela6[[#This Row],[KM ATUAL]]-E2702</f>
        <v>-295772</v>
      </c>
      <c r="N2718" s="51">
        <f>Tabela6[[#This Row],[KM Rodados ]]/Tabela6[[#This Row],[CONSUMO]]</f>
        <v>-2582.9359881233081</v>
      </c>
    </row>
    <row r="2719" spans="1:14" x14ac:dyDescent="0.25">
      <c r="A2719" s="47">
        <v>7745</v>
      </c>
      <c r="B2719" s="78">
        <v>45217</v>
      </c>
      <c r="C2719" s="47" t="s">
        <v>22</v>
      </c>
      <c r="D2719" s="49" t="s">
        <v>299</v>
      </c>
      <c r="E2719" s="47">
        <v>339328</v>
      </c>
      <c r="G2719" s="50" t="s">
        <v>89</v>
      </c>
      <c r="H2719" s="51">
        <v>100</v>
      </c>
      <c r="J2719" s="51">
        <v>5.68</v>
      </c>
      <c r="K2719" s="74">
        <f>Tabela6[[#This Row],[CONSUMO]]*Tabela6[[#This Row],[VALOR UNIT]]-Tabela6[[#This Row],[DESCONTO]]</f>
        <v>568</v>
      </c>
      <c r="L2719" s="53">
        <f>Tabela6[[#This Row],[CUSTO TOTAL]]/Tabela6[[#This Row],[CONSUMO]]</f>
        <v>5.68</v>
      </c>
      <c r="M2719" s="50">
        <f>Tabela6[[#This Row],[KM ATUAL]]-E2669</f>
        <v>-711596</v>
      </c>
      <c r="N2719" s="51">
        <f>Tabela6[[#This Row],[KM Rodados ]]/Tabela6[[#This Row],[CONSUMO]]</f>
        <v>-7115.96</v>
      </c>
    </row>
    <row r="2720" spans="1:14" x14ac:dyDescent="0.25">
      <c r="A2720" s="47">
        <v>7745</v>
      </c>
      <c r="B2720" s="78">
        <v>45217</v>
      </c>
      <c r="C2720" s="47" t="s">
        <v>39</v>
      </c>
      <c r="D2720" s="49" t="s">
        <v>299</v>
      </c>
      <c r="E2720" s="47">
        <v>108089</v>
      </c>
      <c r="G2720" s="50" t="s">
        <v>89</v>
      </c>
      <c r="H2720" s="51">
        <v>90</v>
      </c>
      <c r="J2720" s="51">
        <v>5.68</v>
      </c>
      <c r="K2720" s="74">
        <f>Tabela6[[#This Row],[CONSUMO]]*Tabela6[[#This Row],[VALOR UNIT]]-Tabela6[[#This Row],[DESCONTO]]</f>
        <v>511.2</v>
      </c>
      <c r="L2720" s="53">
        <f>Tabela6[[#This Row],[CUSTO TOTAL]]/Tabela6[[#This Row],[CONSUMO]]</f>
        <v>5.68</v>
      </c>
      <c r="M2720" s="50">
        <f>Tabela6[[#This Row],[KM ATUAL]]-E2640</f>
        <v>-310769</v>
      </c>
      <c r="N2720" s="51">
        <f>Tabela6[[#This Row],[KM Rodados ]]/Tabela6[[#This Row],[CONSUMO]]</f>
        <v>-3452.9888888888891</v>
      </c>
    </row>
    <row r="2721" spans="1:14" x14ac:dyDescent="0.25">
      <c r="A2721" s="47">
        <v>67607</v>
      </c>
      <c r="B2721" s="78">
        <v>45217</v>
      </c>
      <c r="C2721" s="47" t="s">
        <v>64</v>
      </c>
      <c r="D2721" s="49" t="s">
        <v>253</v>
      </c>
      <c r="E2721" s="47">
        <v>98459</v>
      </c>
      <c r="G2721" s="50" t="s">
        <v>89</v>
      </c>
      <c r="H2721" s="51">
        <v>179.29</v>
      </c>
      <c r="J2721" s="51">
        <v>6.09</v>
      </c>
      <c r="K2721" s="74">
        <f>Tabela6[[#This Row],[CONSUMO]]*Tabela6[[#This Row],[VALOR UNIT]]-Tabela6[[#This Row],[DESCONTO]]</f>
        <v>1091.8761</v>
      </c>
      <c r="L2721" s="53">
        <f>Tabela6[[#This Row],[CUSTO TOTAL]]/Tabela6[[#This Row],[CONSUMO]]</f>
        <v>6.09</v>
      </c>
      <c r="M2721" s="50">
        <f>Tabela6[[#This Row],[KM ATUAL]]-E2688</f>
        <v>-530435</v>
      </c>
      <c r="N2721" s="51">
        <f>Tabela6[[#This Row],[KM Rodados ]]/Tabela6[[#This Row],[CONSUMO]]</f>
        <v>-2958.5308717719895</v>
      </c>
    </row>
    <row r="2722" spans="1:14" x14ac:dyDescent="0.25">
      <c r="A2722" s="47">
        <v>7745</v>
      </c>
      <c r="B2722" s="78">
        <v>45217</v>
      </c>
      <c r="C2722" s="47" t="s">
        <v>21</v>
      </c>
      <c r="D2722" s="49" t="s">
        <v>299</v>
      </c>
      <c r="E2722" s="47">
        <v>159149</v>
      </c>
      <c r="G2722" s="50" t="s">
        <v>89</v>
      </c>
      <c r="H2722" s="51">
        <v>100</v>
      </c>
      <c r="J2722" s="51">
        <v>5.68</v>
      </c>
      <c r="K2722" s="74">
        <f>Tabela6[[#This Row],[CONSUMO]]*Tabela6[[#This Row],[VALOR UNIT]]-Tabela6[[#This Row],[DESCONTO]]</f>
        <v>568</v>
      </c>
      <c r="L2722" s="53">
        <f>Tabela6[[#This Row],[CUSTO TOTAL]]/Tabela6[[#This Row],[CONSUMO]]</f>
        <v>5.68</v>
      </c>
      <c r="M2722" s="50">
        <f>Tabela6[[#This Row],[KM ATUAL]]-E2694</f>
        <v>373</v>
      </c>
      <c r="N2722" s="51">
        <f>Tabela6[[#This Row],[KM Rodados ]]/Tabela6[[#This Row],[CONSUMO]]</f>
        <v>3.73</v>
      </c>
    </row>
    <row r="2723" spans="1:14" x14ac:dyDescent="0.25">
      <c r="A2723" s="47">
        <v>518088</v>
      </c>
      <c r="B2723" s="78">
        <v>45217</v>
      </c>
      <c r="C2723" s="47" t="s">
        <v>301</v>
      </c>
      <c r="D2723" s="49" t="s">
        <v>259</v>
      </c>
      <c r="E2723" s="47">
        <v>1052639</v>
      </c>
      <c r="G2723" s="50" t="s">
        <v>89</v>
      </c>
      <c r="H2723" s="51">
        <v>400</v>
      </c>
      <c r="J2723" s="51">
        <v>5.89</v>
      </c>
      <c r="K2723" s="74">
        <f>Tabela6[[#This Row],[CONSUMO]]*Tabela6[[#This Row],[VALOR UNIT]]-Tabela6[[#This Row],[DESCONTO]]</f>
        <v>2356</v>
      </c>
      <c r="L2723" s="53">
        <f>Tabela6[[#This Row],[CUSTO TOTAL]]/Tabela6[[#This Row],[CONSUMO]]</f>
        <v>5.89</v>
      </c>
      <c r="M2723" s="50">
        <f>Tabela6[[#This Row],[KM ATUAL]]-E2714</f>
        <v>968009</v>
      </c>
      <c r="N2723" s="51">
        <f>Tabela6[[#This Row],[KM Rodados ]]/Tabela6[[#This Row],[CONSUMO]]</f>
        <v>2420.0225</v>
      </c>
    </row>
    <row r="2724" spans="1:14" x14ac:dyDescent="0.25">
      <c r="A2724" s="47">
        <v>984549</v>
      </c>
      <c r="B2724" s="78">
        <v>45217</v>
      </c>
      <c r="C2724" s="47" t="s">
        <v>13</v>
      </c>
      <c r="D2724" s="49" t="s">
        <v>335</v>
      </c>
      <c r="E2724" s="47">
        <v>657228</v>
      </c>
      <c r="G2724" s="50" t="s">
        <v>89</v>
      </c>
      <c r="H2724" s="51">
        <v>129.01</v>
      </c>
      <c r="I2724" s="49">
        <v>41.29</v>
      </c>
      <c r="J2724" s="51">
        <v>6.16</v>
      </c>
      <c r="K2724" s="74">
        <f>Tabela6[[#This Row],[CONSUMO]]*Tabela6[[#This Row],[VALOR UNIT]]-Tabela6[[#This Row],[DESCONTO]]</f>
        <v>753.41160000000002</v>
      </c>
      <c r="L2724" s="53">
        <f>Tabela6[[#This Row],[CUSTO TOTAL]]/Tabela6[[#This Row],[CONSUMO]]</f>
        <v>5.8399472909076824</v>
      </c>
      <c r="M2724" s="50">
        <f>Tabela6[[#This Row],[KM ATUAL]]-E2721</f>
        <v>558769</v>
      </c>
      <c r="N2724" s="51">
        <f>Tabela6[[#This Row],[KM Rodados ]]/Tabela6[[#This Row],[CONSUMO]]</f>
        <v>4331.2068831873503</v>
      </c>
    </row>
    <row r="2725" spans="1:14" x14ac:dyDescent="0.25">
      <c r="A2725" s="47" t="s">
        <v>314</v>
      </c>
      <c r="B2725" s="78">
        <v>45217</v>
      </c>
      <c r="C2725" s="47" t="s">
        <v>15</v>
      </c>
      <c r="E2725" s="47">
        <v>392055</v>
      </c>
      <c r="G2725" s="50" t="s">
        <v>89</v>
      </c>
      <c r="H2725" s="51">
        <v>120</v>
      </c>
      <c r="K2725" s="74">
        <f>Tabela6[[#This Row],[CONSUMO]]*Tabela6[[#This Row],[VALOR UNIT]]-Tabela6[[#This Row],[DESCONTO]]</f>
        <v>0</v>
      </c>
      <c r="L2725" s="53">
        <f>Tabela6[[#This Row],[CUSTO TOTAL]]/Tabela6[[#This Row],[CONSUMO]]</f>
        <v>0</v>
      </c>
      <c r="M2725" s="50">
        <f>Tabela6[[#This Row],[KM ATUAL]]-E2636</f>
        <v>-530584</v>
      </c>
      <c r="N2725" s="51">
        <f>Tabela6[[#This Row],[KM Rodados ]]/Tabela6[[#This Row],[CONSUMO]]</f>
        <v>-4421.5333333333338</v>
      </c>
    </row>
    <row r="2726" spans="1:14" x14ac:dyDescent="0.25">
      <c r="A2726" s="47">
        <v>7745</v>
      </c>
      <c r="B2726" s="78">
        <v>45217</v>
      </c>
      <c r="C2726" s="47" t="s">
        <v>19</v>
      </c>
      <c r="D2726" s="49" t="s">
        <v>299</v>
      </c>
      <c r="E2726" s="47">
        <v>332289</v>
      </c>
      <c r="G2726" s="50" t="s">
        <v>89</v>
      </c>
      <c r="H2726" s="51">
        <v>77</v>
      </c>
      <c r="J2726" s="51">
        <v>5.68</v>
      </c>
      <c r="K2726" s="74">
        <f>Tabela6[[#This Row],[CONSUMO]]*Tabela6[[#This Row],[VALOR UNIT]]-Tabela6[[#This Row],[DESCONTO]]</f>
        <v>437.35999999999996</v>
      </c>
      <c r="L2726" s="53">
        <f>Tabela6[[#This Row],[CUSTO TOTAL]]/Tabela6[[#This Row],[CONSUMO]]</f>
        <v>5.68</v>
      </c>
      <c r="M2726" s="50">
        <f>Tabela6[[#This Row],[KM ATUAL]]-E2665</f>
        <v>248709</v>
      </c>
      <c r="N2726" s="51">
        <f>Tabela6[[#This Row],[KM Rodados ]]/Tabela6[[#This Row],[CONSUMO]]</f>
        <v>3229.9870129870128</v>
      </c>
    </row>
    <row r="2727" spans="1:14" x14ac:dyDescent="0.25">
      <c r="A2727" s="47">
        <v>7745</v>
      </c>
      <c r="B2727" s="78">
        <v>45217</v>
      </c>
      <c r="C2727" s="47" t="s">
        <v>20</v>
      </c>
      <c r="D2727" s="49" t="s">
        <v>299</v>
      </c>
      <c r="E2727" s="47">
        <v>276925</v>
      </c>
      <c r="G2727" s="50" t="s">
        <v>89</v>
      </c>
      <c r="H2727" s="51">
        <v>53</v>
      </c>
      <c r="J2727" s="51">
        <v>5.68</v>
      </c>
      <c r="K2727" s="74">
        <f>Tabela6[[#This Row],[CONSUMO]]*Tabela6[[#This Row],[VALOR UNIT]]-Tabela6[[#This Row],[DESCONTO]]</f>
        <v>301.03999999999996</v>
      </c>
      <c r="L2727" s="53">
        <f>Tabela6[[#This Row],[CUSTO TOTAL]]/Tabela6[[#This Row],[CONSUMO]]</f>
        <v>5.68</v>
      </c>
      <c r="M2727" s="50">
        <f>Tabela6[[#This Row],[KM ATUAL]]-E2711</f>
        <v>-379717</v>
      </c>
      <c r="N2727" s="51">
        <f>Tabela6[[#This Row],[KM Rodados ]]/Tabela6[[#This Row],[CONSUMO]]</f>
        <v>-7164.4716981132078</v>
      </c>
    </row>
    <row r="2728" spans="1:14" x14ac:dyDescent="0.25">
      <c r="A2728" s="47">
        <v>7745</v>
      </c>
      <c r="B2728" s="78">
        <v>45217</v>
      </c>
      <c r="C2728" s="47" t="s">
        <v>23</v>
      </c>
      <c r="D2728" s="49" t="s">
        <v>299</v>
      </c>
      <c r="E2728" s="47">
        <v>250616</v>
      </c>
      <c r="G2728" s="50" t="s">
        <v>89</v>
      </c>
      <c r="H2728" s="51">
        <v>80</v>
      </c>
      <c r="J2728" s="51">
        <v>5.68</v>
      </c>
      <c r="K2728" s="74">
        <f>Tabela6[[#This Row],[CONSUMO]]*Tabela6[[#This Row],[VALOR UNIT]]-Tabela6[[#This Row],[DESCONTO]]</f>
        <v>454.4</v>
      </c>
      <c r="L2728" s="53">
        <f>Tabela6[[#This Row],[CUSTO TOTAL]]/Tabela6[[#This Row],[CONSUMO]]</f>
        <v>5.68</v>
      </c>
      <c r="M2728" s="50">
        <f>Tabela6[[#This Row],[KM ATUAL]]-E2701</f>
        <v>166459</v>
      </c>
      <c r="N2728" s="51">
        <f>Tabela6[[#This Row],[KM Rodados ]]/Tabela6[[#This Row],[CONSUMO]]</f>
        <v>2080.7375000000002</v>
      </c>
    </row>
    <row r="2729" spans="1:14" x14ac:dyDescent="0.25">
      <c r="A2729" s="47">
        <v>214795</v>
      </c>
      <c r="B2729" s="78">
        <v>45217</v>
      </c>
      <c r="C2729" s="47" t="s">
        <v>40</v>
      </c>
      <c r="D2729" s="49" t="s">
        <v>262</v>
      </c>
      <c r="E2729" s="47">
        <v>164205</v>
      </c>
      <c r="G2729" s="50" t="s">
        <v>244</v>
      </c>
      <c r="H2729" s="51">
        <v>39.960999999999999</v>
      </c>
      <c r="J2729" s="51">
        <v>5.59</v>
      </c>
      <c r="K2729" s="74">
        <f>Tabela6[[#This Row],[CONSUMO]]*Tabela6[[#This Row],[VALOR UNIT]]-Tabela6[[#This Row],[DESCONTO]]</f>
        <v>223.38198999999997</v>
      </c>
      <c r="L2729" s="53">
        <f>Tabela6[[#This Row],[CUSTO TOTAL]]/Tabela6[[#This Row],[CONSUMO]]</f>
        <v>5.59</v>
      </c>
      <c r="M2729" s="50">
        <f>Tabela6[[#This Row],[KM ATUAL]]-E2717</f>
        <v>9196</v>
      </c>
      <c r="N2729" s="51">
        <f>Tabela6[[#This Row],[KM Rodados ]]/Tabela6[[#This Row],[CONSUMO]]</f>
        <v>230.12437126198043</v>
      </c>
    </row>
    <row r="2730" spans="1:14" x14ac:dyDescent="0.25">
      <c r="A2730" s="47">
        <v>7745</v>
      </c>
      <c r="B2730" s="78">
        <v>45217</v>
      </c>
      <c r="C2730" s="47" t="s">
        <v>354</v>
      </c>
      <c r="D2730" s="49" t="s">
        <v>299</v>
      </c>
      <c r="E2730" s="47">
        <v>942</v>
      </c>
      <c r="G2730" s="50" t="s">
        <v>89</v>
      </c>
      <c r="H2730" s="51">
        <v>212</v>
      </c>
      <c r="J2730" s="51">
        <v>5.68</v>
      </c>
      <c r="K2730" s="74">
        <f>Tabela6[[#This Row],[CONSUMO]]*Tabela6[[#This Row],[VALOR UNIT]]-Tabela6[[#This Row],[DESCONTO]]</f>
        <v>1204.1599999999999</v>
      </c>
      <c r="L2730" s="53">
        <f>Tabela6[[#This Row],[CUSTO TOTAL]]/Tabela6[[#This Row],[CONSUMO]]</f>
        <v>5.68</v>
      </c>
      <c r="M2730" s="50"/>
    </row>
    <row r="2731" spans="1:14" x14ac:dyDescent="0.25">
      <c r="A2731" s="47">
        <v>68088</v>
      </c>
      <c r="B2731" s="78">
        <v>45218</v>
      </c>
      <c r="C2731" s="47" t="s">
        <v>42</v>
      </c>
      <c r="D2731" s="49" t="s">
        <v>253</v>
      </c>
      <c r="E2731" s="47">
        <v>374700</v>
      </c>
      <c r="G2731" s="50" t="s">
        <v>89</v>
      </c>
      <c r="H2731" s="51">
        <v>31.9</v>
      </c>
      <c r="J2731" s="51">
        <v>6.09</v>
      </c>
      <c r="K2731" s="74">
        <f>Tabela6[[#This Row],[CONSUMO]]*Tabela6[[#This Row],[VALOR UNIT]]-Tabela6[[#This Row],[DESCONTO]]</f>
        <v>194.27099999999999</v>
      </c>
      <c r="L2731" s="53">
        <f>Tabela6[[#This Row],[CUSTO TOTAL]]/Tabela6[[#This Row],[CONSUMO]]</f>
        <v>6.09</v>
      </c>
      <c r="M2731" s="50">
        <f>Tabela6[[#This Row],[KM ATUAL]]-E2722</f>
        <v>215551</v>
      </c>
      <c r="N2731" s="51">
        <f>Tabela6[[#This Row],[KM Rodados ]]/Tabela6[[#This Row],[CONSUMO]]</f>
        <v>6757.0846394984328</v>
      </c>
    </row>
    <row r="2732" spans="1:14" x14ac:dyDescent="0.25">
      <c r="A2732" s="49">
        <v>7745</v>
      </c>
      <c r="B2732" s="78">
        <v>45218</v>
      </c>
      <c r="C2732" s="47" t="s">
        <v>222</v>
      </c>
      <c r="D2732" s="49" t="s">
        <v>299</v>
      </c>
      <c r="E2732" s="47">
        <v>509754</v>
      </c>
      <c r="G2732" s="50" t="s">
        <v>89</v>
      </c>
      <c r="H2732" s="51">
        <v>420</v>
      </c>
      <c r="J2732" s="51">
        <v>5.68</v>
      </c>
      <c r="K2732" s="74">
        <f>Tabela6[[#This Row],[CONSUMO]]*Tabela6[[#This Row],[VALOR UNIT]]-Tabela6[[#This Row],[DESCONTO]]</f>
        <v>2385.6</v>
      </c>
      <c r="L2732" s="53">
        <f>Tabela6[[#This Row],[CUSTO TOTAL]]/Tabela6[[#This Row],[CONSUMO]]</f>
        <v>5.68</v>
      </c>
      <c r="M2732" s="50">
        <f>Tabela6[[#This Row],[KM ATUAL]]-E2688</f>
        <v>-119140</v>
      </c>
      <c r="N2732" s="51">
        <f>Tabela6[[#This Row],[KM Rodados ]]/Tabela6[[#This Row],[CONSUMO]]</f>
        <v>-283.66666666666669</v>
      </c>
    </row>
    <row r="2733" spans="1:14" x14ac:dyDescent="0.25">
      <c r="A2733" s="47">
        <v>7745</v>
      </c>
      <c r="B2733" s="78">
        <v>45218</v>
      </c>
      <c r="C2733" s="47" t="s">
        <v>67</v>
      </c>
      <c r="D2733" s="49" t="s">
        <v>299</v>
      </c>
      <c r="E2733" s="47">
        <v>685529</v>
      </c>
      <c r="G2733" s="50" t="s">
        <v>89</v>
      </c>
      <c r="H2733" s="49">
        <v>116</v>
      </c>
      <c r="J2733" s="51">
        <v>5.68</v>
      </c>
      <c r="K2733" s="74">
        <f>Tabela6[[#This Row],[CONSUMO]]*Tabela6[[#This Row],[VALOR UNIT]]-Tabela6[[#This Row],[DESCONTO]]</f>
        <v>658.88</v>
      </c>
      <c r="L2733" s="53">
        <f>Tabela6[[#This Row],[CUSTO TOTAL]]/Tabela6[[#This Row],[CONSUMO]]</f>
        <v>5.68</v>
      </c>
      <c r="M2733" s="50">
        <f>Tabela6[[#This Row],[KM ATUAL]]-E2702</f>
        <v>-239538</v>
      </c>
      <c r="N2733" s="51">
        <f>Tabela6[[#This Row],[KM Rodados ]]/Tabela6[[#This Row],[CONSUMO]]</f>
        <v>-2064.9827586206898</v>
      </c>
    </row>
    <row r="2734" spans="1:14" x14ac:dyDescent="0.25">
      <c r="A2734" s="47">
        <v>7745</v>
      </c>
      <c r="B2734" s="78">
        <v>45218</v>
      </c>
      <c r="C2734" s="47" t="s">
        <v>73</v>
      </c>
      <c r="D2734" s="49" t="s">
        <v>299</v>
      </c>
      <c r="E2734" s="47">
        <v>156451</v>
      </c>
      <c r="G2734" s="50" t="s">
        <v>89</v>
      </c>
      <c r="H2734" s="49">
        <v>180</v>
      </c>
      <c r="J2734" s="51">
        <v>5.68</v>
      </c>
      <c r="K2734" s="74">
        <f>Tabela6[[#This Row],[CONSUMO]]*Tabela6[[#This Row],[VALOR UNIT]]-Tabela6[[#This Row],[DESCONTO]]</f>
        <v>1022.4</v>
      </c>
      <c r="L2734" s="53">
        <f>Tabela6[[#This Row],[CUSTO TOTAL]]/Tabela6[[#This Row],[CONSUMO]]</f>
        <v>5.68</v>
      </c>
      <c r="M2734" s="50">
        <f>Tabela6[[#This Row],[KM ATUAL]]-E2697</f>
        <v>-234886</v>
      </c>
      <c r="N2734" s="51">
        <f>Tabela6[[#This Row],[KM Rodados ]]/Tabela6[[#This Row],[CONSUMO]]</f>
        <v>-1304.9222222222222</v>
      </c>
    </row>
    <row r="2735" spans="1:14" x14ac:dyDescent="0.25">
      <c r="A2735" s="47">
        <v>215009</v>
      </c>
      <c r="B2735" s="78">
        <v>45218</v>
      </c>
      <c r="C2735" s="47" t="s">
        <v>207</v>
      </c>
      <c r="D2735" s="49" t="s">
        <v>262</v>
      </c>
      <c r="E2735" s="47">
        <v>64586</v>
      </c>
      <c r="G2735" s="50" t="s">
        <v>244</v>
      </c>
      <c r="H2735" s="51">
        <v>8.59</v>
      </c>
      <c r="J2735" s="51">
        <v>5.59</v>
      </c>
      <c r="K2735" s="74">
        <f>Tabela6[[#This Row],[CONSUMO]]*Tabela6[[#This Row],[VALOR UNIT]]-Tabela6[[#This Row],[DESCONTO]]</f>
        <v>48.018099999999997</v>
      </c>
      <c r="L2735" s="53">
        <f>Tabela6[[#This Row],[CUSTO TOTAL]]/Tabela6[[#This Row],[CONSUMO]]</f>
        <v>5.59</v>
      </c>
      <c r="M2735" s="50">
        <f>Tabela6[[#This Row],[KM ATUAL]]-E2439</f>
        <v>-257445</v>
      </c>
      <c r="N2735" s="51">
        <f>Tabela6[[#This Row],[KM Rodados ]]/Tabela6[[#This Row],[CONSUMO]]</f>
        <v>-29970.314318975554</v>
      </c>
    </row>
    <row r="2736" spans="1:14" x14ac:dyDescent="0.25">
      <c r="A2736" s="47">
        <v>7745</v>
      </c>
      <c r="B2736" s="78">
        <v>45218</v>
      </c>
      <c r="C2736" s="47" t="s">
        <v>41</v>
      </c>
      <c r="D2736" s="49" t="s">
        <v>299</v>
      </c>
      <c r="E2736" s="47">
        <v>679901</v>
      </c>
      <c r="G2736" s="50" t="s">
        <v>89</v>
      </c>
      <c r="H2736" s="49">
        <v>95</v>
      </c>
      <c r="J2736" s="51">
        <v>5.68</v>
      </c>
      <c r="K2736" s="74">
        <f>Tabela6[[#This Row],[CONSUMO]]*Tabela6[[#This Row],[VALOR UNIT]]-Tabela6[[#This Row],[DESCONTO]]</f>
        <v>539.6</v>
      </c>
      <c r="L2736" s="53">
        <f>Tabela6[[#This Row],[CUSTO TOTAL]]/Tabela6[[#This Row],[CONSUMO]]</f>
        <v>5.6800000000000006</v>
      </c>
      <c r="M2736" s="50">
        <f>Tabela6[[#This Row],[KM ATUAL]]-E2708</f>
        <v>-50333</v>
      </c>
      <c r="N2736" s="51">
        <f>Tabela6[[#This Row],[KM Rodados ]]/Tabela6[[#This Row],[CONSUMO]]</f>
        <v>-529.82105263157894</v>
      </c>
    </row>
    <row r="2737" spans="1:14" x14ac:dyDescent="0.25">
      <c r="A2737" s="47">
        <v>7745</v>
      </c>
      <c r="B2737" s="78">
        <v>45218</v>
      </c>
      <c r="C2737" s="47" t="s">
        <v>10</v>
      </c>
      <c r="D2737" s="49" t="s">
        <v>299</v>
      </c>
      <c r="E2737" s="47">
        <v>730621</v>
      </c>
      <c r="G2737" s="50" t="s">
        <v>89</v>
      </c>
      <c r="H2737" s="49">
        <v>110</v>
      </c>
      <c r="J2737" s="51">
        <v>5.68</v>
      </c>
      <c r="K2737" s="74">
        <f>Tabela6[[#This Row],[CONSUMO]]*Tabela6[[#This Row],[VALOR UNIT]]-Tabela6[[#This Row],[DESCONTO]]</f>
        <v>624.79999999999995</v>
      </c>
      <c r="L2737" s="53">
        <f>Tabela6[[#This Row],[CUSTO TOTAL]]/Tabela6[[#This Row],[CONSUMO]]</f>
        <v>5.68</v>
      </c>
      <c r="M2737" s="50">
        <f>Tabela6[[#This Row],[KM ATUAL]]-E2709</f>
        <v>-321317</v>
      </c>
      <c r="N2737" s="51">
        <f>Tabela6[[#This Row],[KM Rodados ]]/Tabela6[[#This Row],[CONSUMO]]</f>
        <v>-2921.0636363636363</v>
      </c>
    </row>
    <row r="2738" spans="1:14" x14ac:dyDescent="0.25">
      <c r="A2738" s="47" t="s">
        <v>314</v>
      </c>
      <c r="B2738" s="78">
        <v>45218</v>
      </c>
      <c r="C2738" s="47" t="s">
        <v>301</v>
      </c>
      <c r="E2738" s="47">
        <v>1053811</v>
      </c>
      <c r="G2738" s="50" t="s">
        <v>89</v>
      </c>
      <c r="H2738" s="51">
        <v>462</v>
      </c>
      <c r="K2738" s="74">
        <f>Tabela6[[#This Row],[CONSUMO]]*Tabela6[[#This Row],[VALOR UNIT]]-Tabela6[[#This Row],[DESCONTO]]</f>
        <v>0</v>
      </c>
      <c r="L2738" s="53">
        <f>Tabela6[[#This Row],[CUSTO TOTAL]]/Tabela6[[#This Row],[CONSUMO]]</f>
        <v>0</v>
      </c>
      <c r="M2738" s="50">
        <f>Tabela6[[#This Row],[KM ATUAL]]-E2679</f>
        <v>663136</v>
      </c>
      <c r="N2738" s="51">
        <f>Tabela6[[#This Row],[KM Rodados ]]/Tabela6[[#This Row],[CONSUMO]]</f>
        <v>1435.3593073593074</v>
      </c>
    </row>
    <row r="2739" spans="1:14" x14ac:dyDescent="0.25">
      <c r="A2739" s="47">
        <v>68264</v>
      </c>
      <c r="B2739" s="78">
        <v>45218</v>
      </c>
      <c r="C2739" s="47" t="s">
        <v>12</v>
      </c>
      <c r="D2739" s="49" t="s">
        <v>253</v>
      </c>
      <c r="E2739" s="119">
        <v>323702</v>
      </c>
      <c r="G2739" s="50" t="s">
        <v>89</v>
      </c>
      <c r="H2739" s="51">
        <v>120.69</v>
      </c>
      <c r="J2739" s="51">
        <v>6.09</v>
      </c>
      <c r="K2739" s="74">
        <f>Tabela6[[#This Row],[CONSUMO]]*Tabela6[[#This Row],[VALOR UNIT]]-Tabela6[[#This Row],[DESCONTO]]</f>
        <v>735.00209999999993</v>
      </c>
      <c r="L2739" s="53">
        <f>Tabela6[[#This Row],[CUSTO TOTAL]]/Tabela6[[#This Row],[CONSUMO]]</f>
        <v>6.09</v>
      </c>
      <c r="M2739" s="50">
        <f>Tabela6[[#This Row],[KM ATUAL]]-E2639</f>
        <v>216329</v>
      </c>
      <c r="N2739" s="51">
        <f>Tabela6[[#This Row],[KM Rodados ]]/Tabela6[[#This Row],[CONSUMO]]</f>
        <v>1792.4351644709586</v>
      </c>
    </row>
    <row r="2740" spans="1:14" x14ac:dyDescent="0.25">
      <c r="A2740" s="47">
        <v>215101</v>
      </c>
      <c r="B2740" s="78">
        <v>45218</v>
      </c>
      <c r="C2740" s="47" t="s">
        <v>17</v>
      </c>
      <c r="D2740" s="49" t="s">
        <v>262</v>
      </c>
      <c r="E2740" s="47">
        <v>374074</v>
      </c>
      <c r="G2740" s="50" t="s">
        <v>241</v>
      </c>
      <c r="H2740" s="51">
        <v>24.036000000000001</v>
      </c>
      <c r="I2740" s="49">
        <v>8.65</v>
      </c>
      <c r="J2740" s="51">
        <v>3.69</v>
      </c>
      <c r="K2740" s="74">
        <f>Tabela6[[#This Row],[CONSUMO]]*Tabela6[[#This Row],[VALOR UNIT]]-Tabela6[[#This Row],[DESCONTO]]</f>
        <v>80.042839999999998</v>
      </c>
      <c r="L2740" s="53">
        <f>Tabela6[[#This Row],[CUSTO TOTAL]]/Tabela6[[#This Row],[CONSUMO]]</f>
        <v>3.3301231486104172</v>
      </c>
      <c r="M2740" s="53"/>
      <c r="N2740" s="49"/>
    </row>
    <row r="2741" spans="1:14" x14ac:dyDescent="0.25">
      <c r="A2741" s="47">
        <v>7745</v>
      </c>
      <c r="B2741" s="78">
        <v>45218</v>
      </c>
      <c r="C2741" s="47" t="s">
        <v>17</v>
      </c>
      <c r="D2741" s="49" t="s">
        <v>299</v>
      </c>
      <c r="E2741" s="47">
        <v>374071</v>
      </c>
      <c r="G2741" s="50" t="s">
        <v>89</v>
      </c>
      <c r="H2741" s="49">
        <v>133</v>
      </c>
      <c r="J2741" s="51">
        <v>5.68</v>
      </c>
      <c r="K2741" s="74">
        <f>Tabela6[[#This Row],[CONSUMO]]*Tabela6[[#This Row],[VALOR UNIT]]-Tabela6[[#This Row],[DESCONTO]]</f>
        <v>755.43999999999994</v>
      </c>
      <c r="L2741" s="53">
        <f>Tabela6[[#This Row],[CUSTO TOTAL]]/Tabela6[[#This Row],[CONSUMO]]</f>
        <v>5.68</v>
      </c>
      <c r="M2741" s="50">
        <f>Tabela6[[#This Row],[KM ATUAL]]-E2688</f>
        <v>-254823</v>
      </c>
      <c r="N2741" s="51">
        <f>Tabela6[[#This Row],[KM Rodados ]]/Tabela6[[#This Row],[CONSUMO]]</f>
        <v>-1915.9624060150377</v>
      </c>
    </row>
    <row r="2742" spans="1:14" x14ac:dyDescent="0.25">
      <c r="A2742" s="47">
        <v>214924</v>
      </c>
      <c r="B2742" s="78">
        <v>45218</v>
      </c>
      <c r="C2742" s="47" t="s">
        <v>19</v>
      </c>
      <c r="D2742" s="49" t="s">
        <v>262</v>
      </c>
      <c r="E2742" s="47">
        <v>332898</v>
      </c>
      <c r="G2742" s="50" t="s">
        <v>241</v>
      </c>
      <c r="H2742" s="51">
        <v>18.609000000000002</v>
      </c>
      <c r="I2742" s="49">
        <v>6.7</v>
      </c>
      <c r="J2742" s="51">
        <v>3.69</v>
      </c>
      <c r="K2742" s="74">
        <f>Tabela6[[#This Row],[CONSUMO]]*Tabela6[[#This Row],[VALOR UNIT]]-Tabela6[[#This Row],[DESCONTO]]</f>
        <v>61.967210000000009</v>
      </c>
      <c r="L2742" s="53">
        <f>Tabela6[[#This Row],[CUSTO TOTAL]]/Tabela6[[#This Row],[CONSUMO]]</f>
        <v>3.3299591595464562</v>
      </c>
      <c r="M2742" s="53"/>
      <c r="N2742" s="49"/>
    </row>
    <row r="2743" spans="1:14" x14ac:dyDescent="0.25">
      <c r="A2743" s="47">
        <v>7745</v>
      </c>
      <c r="B2743" s="78">
        <v>45218</v>
      </c>
      <c r="C2743" s="47" t="s">
        <v>20</v>
      </c>
      <c r="D2743" s="49" t="s">
        <v>299</v>
      </c>
      <c r="E2743" s="47">
        <v>277543</v>
      </c>
      <c r="G2743" s="50" t="s">
        <v>89</v>
      </c>
      <c r="H2743" s="49">
        <v>68</v>
      </c>
      <c r="J2743" s="51">
        <v>5.68</v>
      </c>
      <c r="K2743" s="74">
        <f>Tabela6[[#This Row],[CONSUMO]]*Tabela6[[#This Row],[VALOR UNIT]]-Tabela6[[#This Row],[DESCONTO]]</f>
        <v>386.24</v>
      </c>
      <c r="L2743" s="53">
        <f>Tabela6[[#This Row],[CUSTO TOTAL]]/Tabela6[[#This Row],[CONSUMO]]</f>
        <v>5.68</v>
      </c>
      <c r="M2743" s="50">
        <f>Tabela6[[#This Row],[KM ATUAL]]-E2729</f>
        <v>113338</v>
      </c>
      <c r="N2743" s="51">
        <f>Tabela6[[#This Row],[KM Rodados ]]/Tabela6[[#This Row],[CONSUMO]]</f>
        <v>1666.7352941176471</v>
      </c>
    </row>
    <row r="2744" spans="1:14" x14ac:dyDescent="0.25">
      <c r="A2744" s="47">
        <v>7745</v>
      </c>
      <c r="B2744" s="78">
        <v>45218</v>
      </c>
      <c r="C2744" s="47" t="s">
        <v>74</v>
      </c>
      <c r="D2744" s="49" t="s">
        <v>299</v>
      </c>
      <c r="E2744" s="47">
        <v>85220</v>
      </c>
      <c r="G2744" s="50" t="s">
        <v>89</v>
      </c>
      <c r="H2744" s="49">
        <v>79</v>
      </c>
      <c r="J2744" s="51">
        <v>5.68</v>
      </c>
      <c r="K2744" s="74">
        <f>Tabela6[[#This Row],[CONSUMO]]*Tabela6[[#This Row],[VALOR UNIT]]-Tabela6[[#This Row],[DESCONTO]]</f>
        <v>448.71999999999997</v>
      </c>
      <c r="L2744" s="53">
        <f>Tabela6[[#This Row],[CUSTO TOTAL]]/Tabela6[[#This Row],[CONSUMO]]</f>
        <v>5.68</v>
      </c>
      <c r="M2744" s="50">
        <f>Tabela6[[#This Row],[KM ATUAL]]-E2714</f>
        <v>590</v>
      </c>
      <c r="N2744" s="51">
        <f>Tabela6[[#This Row],[KM Rodados ]]/Tabela6[[#This Row],[CONSUMO]]</f>
        <v>7.4683544303797467</v>
      </c>
    </row>
    <row r="2745" spans="1:14" x14ac:dyDescent="0.25">
      <c r="A2745" s="47" t="s">
        <v>314</v>
      </c>
      <c r="B2745" s="78">
        <v>45218</v>
      </c>
      <c r="C2745" s="47" t="s">
        <v>74</v>
      </c>
      <c r="E2745" s="47">
        <v>85365</v>
      </c>
      <c r="G2745" s="50" t="s">
        <v>89</v>
      </c>
      <c r="H2745" s="51">
        <v>107</v>
      </c>
      <c r="K2745" s="74">
        <f>Tabela6[[#This Row],[CONSUMO]]*Tabela6[[#This Row],[VALOR UNIT]]-Tabela6[[#This Row],[DESCONTO]]</f>
        <v>0</v>
      </c>
      <c r="L2745" s="53">
        <f>Tabela6[[#This Row],[CUSTO TOTAL]]/Tabela6[[#This Row],[CONSUMO]]</f>
        <v>0</v>
      </c>
      <c r="M2745" s="50">
        <f>Tabela6[[#This Row],[KM ATUAL]]-E2744</f>
        <v>145</v>
      </c>
      <c r="N2745" s="51">
        <f>Tabela6[[#This Row],[KM Rodados ]]/Tabela6[[#This Row],[CONSUMO]]</f>
        <v>1.3551401869158879</v>
      </c>
    </row>
    <row r="2746" spans="1:14" x14ac:dyDescent="0.25">
      <c r="A2746" s="47">
        <v>215053</v>
      </c>
      <c r="B2746" s="78">
        <v>45218</v>
      </c>
      <c r="C2746" s="47" t="s">
        <v>315</v>
      </c>
      <c r="D2746" s="49" t="s">
        <v>262</v>
      </c>
      <c r="E2746" s="47">
        <v>3829</v>
      </c>
      <c r="G2746" s="50" t="s">
        <v>241</v>
      </c>
      <c r="H2746" s="51">
        <v>3.6970000000000001</v>
      </c>
      <c r="I2746" s="49">
        <v>1.33</v>
      </c>
      <c r="J2746" s="51">
        <v>3.69</v>
      </c>
      <c r="K2746" s="74">
        <f>Tabela6[[#This Row],[CONSUMO]]*Tabela6[[#This Row],[VALOR UNIT]]-Tabela6[[#This Row],[DESCONTO]]</f>
        <v>12.31193</v>
      </c>
      <c r="L2746" s="53">
        <f>Tabela6[[#This Row],[CUSTO TOTAL]]/Tabela6[[#This Row],[CONSUMO]]</f>
        <v>3.3302488504192587</v>
      </c>
      <c r="M2746" s="53"/>
      <c r="N2746" s="49"/>
    </row>
    <row r="2747" spans="1:14" x14ac:dyDescent="0.25">
      <c r="A2747" s="47">
        <v>7745</v>
      </c>
      <c r="B2747" s="78">
        <v>45218</v>
      </c>
      <c r="C2747" s="47" t="s">
        <v>315</v>
      </c>
      <c r="D2747" s="49" t="s">
        <v>299</v>
      </c>
      <c r="E2747" s="47">
        <v>3853</v>
      </c>
      <c r="G2747" s="50" t="s">
        <v>89</v>
      </c>
      <c r="H2747" s="49">
        <v>35</v>
      </c>
      <c r="J2747" s="51">
        <v>5.68</v>
      </c>
      <c r="K2747" s="74">
        <f>Tabela6[[#This Row],[CONSUMO]]*Tabela6[[#This Row],[VALOR UNIT]]-Tabela6[[#This Row],[DESCONTO]]</f>
        <v>198.79999999999998</v>
      </c>
      <c r="L2747" s="53">
        <f>Tabela6[[#This Row],[CUSTO TOTAL]]/Tabela6[[#This Row],[CONSUMO]]</f>
        <v>5.68</v>
      </c>
      <c r="M2747" s="50">
        <f>Tabela6[[#This Row],[KM ATUAL]]-E2680</f>
        <v>-387029</v>
      </c>
      <c r="N2747" s="51">
        <f>Tabela6[[#This Row],[KM Rodados ]]/Tabela6[[#This Row],[CONSUMO]]</f>
        <v>-11057.971428571429</v>
      </c>
    </row>
    <row r="2748" spans="1:14" x14ac:dyDescent="0.25">
      <c r="A2748" s="47">
        <v>7855</v>
      </c>
      <c r="B2748" s="78">
        <v>45219</v>
      </c>
      <c r="C2748" s="47" t="s">
        <v>68</v>
      </c>
      <c r="D2748" s="49" t="s">
        <v>299</v>
      </c>
      <c r="E2748" s="47">
        <v>926527</v>
      </c>
      <c r="G2748" s="50" t="s">
        <v>89</v>
      </c>
      <c r="H2748" s="51">
        <v>386</v>
      </c>
      <c r="J2748" s="51">
        <v>5.88</v>
      </c>
      <c r="K2748" s="93">
        <f>Tabela6[[#This Row],[CONSUMO]]*Tabela6[[#This Row],[VALOR UNIT]]-Tabela6[[#This Row],[DESCONTO]]</f>
        <v>2269.6799999999998</v>
      </c>
      <c r="L2748" s="53">
        <f>Tabela6[[#This Row],[CUSTO TOTAL]]/Tabela6[[#This Row],[CONSUMO]]</f>
        <v>5.88</v>
      </c>
      <c r="M2748" s="50">
        <f>Tabela6[[#This Row],[KM ATUAL]]-E2710</f>
        <v>269885</v>
      </c>
      <c r="N2748" s="51">
        <f>Tabela6[[#This Row],[KM Rodados ]]/Tabela6[[#This Row],[CONSUMO]]</f>
        <v>699.18393782383419</v>
      </c>
    </row>
    <row r="2749" spans="1:14" x14ac:dyDescent="0.25">
      <c r="A2749" s="47">
        <v>7855</v>
      </c>
      <c r="B2749" s="78">
        <v>45219</v>
      </c>
      <c r="C2749" s="47" t="s">
        <v>43</v>
      </c>
      <c r="D2749" s="49" t="s">
        <v>299</v>
      </c>
      <c r="E2749" s="47">
        <v>155099</v>
      </c>
      <c r="G2749" s="50" t="s">
        <v>89</v>
      </c>
      <c r="H2749" s="51">
        <v>41</v>
      </c>
      <c r="J2749" s="51">
        <v>5.88</v>
      </c>
      <c r="K2749" s="93">
        <f>Tabela6[[#This Row],[CONSUMO]]*Tabela6[[#This Row],[VALOR UNIT]]-Tabela6[[#This Row],[DESCONTO]]</f>
        <v>241.07999999999998</v>
      </c>
      <c r="L2749" s="53">
        <f>Tabela6[[#This Row],[CUSTO TOTAL]]/Tabela6[[#This Row],[CONSUMO]]</f>
        <v>5.88</v>
      </c>
      <c r="M2749" s="50">
        <f>Tabela6[[#This Row],[KM ATUAL]]-E2721</f>
        <v>56640</v>
      </c>
      <c r="N2749" s="51">
        <f>Tabela6[[#This Row],[KM Rodados ]]/Tabela6[[#This Row],[CONSUMO]]</f>
        <v>1381.4634146341464</v>
      </c>
    </row>
    <row r="2750" spans="1:14" x14ac:dyDescent="0.25">
      <c r="A2750" s="47">
        <v>7855</v>
      </c>
      <c r="B2750" s="78">
        <v>45219</v>
      </c>
      <c r="C2750" s="47" t="s">
        <v>222</v>
      </c>
      <c r="D2750" s="49" t="s">
        <v>299</v>
      </c>
      <c r="E2750" s="47">
        <v>510158</v>
      </c>
      <c r="G2750" s="50" t="s">
        <v>89</v>
      </c>
      <c r="H2750" s="51">
        <v>155</v>
      </c>
      <c r="J2750" s="51">
        <v>5.88</v>
      </c>
      <c r="K2750" s="93">
        <f>Tabela6[[#This Row],[CONSUMO]]*Tabela6[[#This Row],[VALOR UNIT]]-Tabela6[[#This Row],[DESCONTO]]</f>
        <v>911.4</v>
      </c>
      <c r="L2750" s="53">
        <f>Tabela6[[#This Row],[CUSTO TOTAL]]/Tabela6[[#This Row],[CONSUMO]]</f>
        <v>5.88</v>
      </c>
      <c r="M2750" s="50">
        <f>Tabela6[[#This Row],[KM ATUAL]]-E2741</f>
        <v>136087</v>
      </c>
      <c r="N2750" s="51">
        <f>Tabela6[[#This Row],[KM Rodados ]]/Tabela6[[#This Row],[CONSUMO]]</f>
        <v>877.98064516129034</v>
      </c>
    </row>
    <row r="2751" spans="1:14" x14ac:dyDescent="0.25">
      <c r="A2751" s="47">
        <v>7855</v>
      </c>
      <c r="B2751" s="78">
        <v>45219</v>
      </c>
      <c r="C2751" s="47" t="s">
        <v>39</v>
      </c>
      <c r="D2751" s="49" t="s">
        <v>299</v>
      </c>
      <c r="E2751" s="47">
        <v>108709</v>
      </c>
      <c r="G2751" s="50" t="s">
        <v>89</v>
      </c>
      <c r="H2751" s="51">
        <v>110</v>
      </c>
      <c r="J2751" s="51">
        <v>5.88</v>
      </c>
      <c r="K2751" s="93">
        <f>Tabela6[[#This Row],[CONSUMO]]*Tabela6[[#This Row],[VALOR UNIT]]-Tabela6[[#This Row],[DESCONTO]]</f>
        <v>646.79999999999995</v>
      </c>
      <c r="L2751" s="53">
        <f>Tabela6[[#This Row],[CUSTO TOTAL]]/Tabela6[[#This Row],[CONSUMO]]</f>
        <v>5.88</v>
      </c>
      <c r="M2751" s="50">
        <f>Tabela6[[#This Row],[KM ATUAL]]-E2719</f>
        <v>-230619</v>
      </c>
      <c r="N2751" s="51">
        <f>Tabela6[[#This Row],[KM Rodados ]]/Tabela6[[#This Row],[CONSUMO]]</f>
        <v>-2096.5363636363636</v>
      </c>
    </row>
    <row r="2752" spans="1:14" x14ac:dyDescent="0.25">
      <c r="A2752" s="49">
        <v>356541</v>
      </c>
      <c r="B2752" s="78">
        <v>45219</v>
      </c>
      <c r="C2752" s="47" t="s">
        <v>70</v>
      </c>
      <c r="D2752" s="49" t="s">
        <v>343</v>
      </c>
      <c r="E2752" s="47">
        <v>233423</v>
      </c>
      <c r="G2752" s="50" t="s">
        <v>89</v>
      </c>
      <c r="H2752" s="51">
        <v>488.01100000000002</v>
      </c>
      <c r="J2752" s="51">
        <v>5.84</v>
      </c>
      <c r="K2752" s="74">
        <f>Tabela6[[#This Row],[CONSUMO]]*Tabela6[[#This Row],[VALOR UNIT]]-Tabela6[[#This Row],[DESCONTO]]</f>
        <v>2849.9842400000002</v>
      </c>
      <c r="L2752" s="53">
        <f>Tabela6[[#This Row],[CUSTO TOTAL]]/Tabela6[[#This Row],[CONSUMO]]</f>
        <v>5.84</v>
      </c>
      <c r="M2752" s="50">
        <f>Tabela6[[#This Row],[KM ATUAL]]-E2659</f>
        <v>-422571</v>
      </c>
      <c r="N2752" s="51">
        <f>Tabela6[[#This Row],[KM Rodados ]]/Tabela6[[#This Row],[CONSUMO]]</f>
        <v>-865.90466198507818</v>
      </c>
    </row>
    <row r="2753" spans="1:14" x14ac:dyDescent="0.25">
      <c r="A2753" s="47">
        <v>215273</v>
      </c>
      <c r="B2753" s="78">
        <v>45219</v>
      </c>
      <c r="C2753" s="47" t="s">
        <v>73</v>
      </c>
      <c r="D2753" s="49" t="s">
        <v>262</v>
      </c>
      <c r="E2753" s="47">
        <v>156893</v>
      </c>
      <c r="G2753" s="50" t="s">
        <v>241</v>
      </c>
      <c r="H2753" s="51">
        <v>19.457999999999998</v>
      </c>
      <c r="I2753" s="49">
        <v>7</v>
      </c>
      <c r="J2753" s="51">
        <v>3.69</v>
      </c>
      <c r="K2753" s="74">
        <f>Tabela6[[#This Row],[CONSUMO]]*Tabela6[[#This Row],[VALOR UNIT]]-Tabela6[[#This Row],[DESCONTO]]</f>
        <v>64.800019999999989</v>
      </c>
      <c r="L2753" s="53">
        <f>Tabela6[[#This Row],[CUSTO TOTAL]]/Tabela6[[#This Row],[CONSUMO]]</f>
        <v>3.3302507965875217</v>
      </c>
      <c r="M2753" s="53"/>
      <c r="N2753" s="49"/>
    </row>
    <row r="2754" spans="1:14" x14ac:dyDescent="0.25">
      <c r="A2754" s="47">
        <v>7855</v>
      </c>
      <c r="B2754" s="78">
        <v>45219</v>
      </c>
      <c r="C2754" s="47" t="s">
        <v>73</v>
      </c>
      <c r="D2754" s="49" t="s">
        <v>299</v>
      </c>
      <c r="E2754" s="47">
        <v>156890</v>
      </c>
      <c r="G2754" s="50" t="s">
        <v>89</v>
      </c>
      <c r="H2754" s="51">
        <v>86</v>
      </c>
      <c r="J2754" s="51">
        <v>5.88</v>
      </c>
      <c r="K2754" s="93">
        <f>Tabela6[[#This Row],[CONSUMO]]*Tabela6[[#This Row],[VALOR UNIT]]-Tabela6[[#This Row],[DESCONTO]]</f>
        <v>505.68</v>
      </c>
      <c r="L2754" s="53">
        <f>Tabela6[[#This Row],[CUSTO TOTAL]]/Tabela6[[#This Row],[CONSUMO]]</f>
        <v>5.88</v>
      </c>
      <c r="M2754" s="50">
        <f>Tabela6[[#This Row],[KM ATUAL]]-E2727</f>
        <v>-120035</v>
      </c>
      <c r="N2754" s="51">
        <f>Tabela6[[#This Row],[KM Rodados ]]/Tabela6[[#This Row],[CONSUMO]]</f>
        <v>-1395.7558139534883</v>
      </c>
    </row>
    <row r="2755" spans="1:14" x14ac:dyDescent="0.25">
      <c r="A2755" s="47">
        <v>316126</v>
      </c>
      <c r="B2755" s="78">
        <v>45219</v>
      </c>
      <c r="C2755" s="47" t="s">
        <v>71</v>
      </c>
      <c r="D2755" s="49" t="s">
        <v>270</v>
      </c>
      <c r="E2755" s="47">
        <v>130029</v>
      </c>
      <c r="G2755" s="50" t="s">
        <v>89</v>
      </c>
      <c r="H2755" s="51">
        <v>357</v>
      </c>
      <c r="J2755" s="51">
        <v>5.95</v>
      </c>
      <c r="K2755" s="93">
        <f>Tabela6[[#This Row],[CONSUMO]]*Tabela6[[#This Row],[VALOR UNIT]]-Tabela6[[#This Row],[DESCONTO]]</f>
        <v>2124.15</v>
      </c>
      <c r="L2755" s="53">
        <f>Tabela6[[#This Row],[CUSTO TOTAL]]/Tabela6[[#This Row],[CONSUMO]]</f>
        <v>5.95</v>
      </c>
      <c r="M2755" s="50">
        <f>Tabela6[[#This Row],[KM ATUAL]]-E2608</f>
        <v>-287934</v>
      </c>
      <c r="N2755" s="51">
        <f>Tabela6[[#This Row],[KM Rodados ]]/Tabela6[[#This Row],[CONSUMO]]</f>
        <v>-806.53781512605042</v>
      </c>
    </row>
    <row r="2756" spans="1:14" x14ac:dyDescent="0.25">
      <c r="A2756" s="47">
        <v>69484</v>
      </c>
      <c r="B2756" s="78">
        <v>45219</v>
      </c>
      <c r="C2756" s="47" t="s">
        <v>64</v>
      </c>
      <c r="D2756" s="49" t="s">
        <v>253</v>
      </c>
      <c r="E2756" s="47">
        <v>98984</v>
      </c>
      <c r="G2756" s="50" t="s">
        <v>89</v>
      </c>
      <c r="H2756" s="51">
        <v>165.28</v>
      </c>
      <c r="J2756" s="51">
        <v>6.09</v>
      </c>
      <c r="K2756" s="74">
        <f>Tabela6[[#This Row],[CONSUMO]]*Tabela6[[#This Row],[VALOR UNIT]]-Tabela6[[#This Row],[DESCONTO]]</f>
        <v>1006.5552</v>
      </c>
      <c r="L2756" s="53">
        <f>Tabela6[[#This Row],[CUSTO TOTAL]]/Tabela6[[#This Row],[CONSUMO]]</f>
        <v>6.09</v>
      </c>
      <c r="M2756" s="50">
        <f>Tabela6[[#This Row],[KM ATUAL]]-E2724</f>
        <v>-558244</v>
      </c>
      <c r="N2756" s="51">
        <f>Tabela6[[#This Row],[KM Rodados ]]/Tabela6[[#This Row],[CONSUMO]]</f>
        <v>-3377.5653436592447</v>
      </c>
    </row>
    <row r="2757" spans="1:14" x14ac:dyDescent="0.25">
      <c r="A2757" s="47">
        <v>7855</v>
      </c>
      <c r="B2757" s="78">
        <v>45219</v>
      </c>
      <c r="C2757" s="47" t="s">
        <v>21</v>
      </c>
      <c r="D2757" s="49" t="s">
        <v>299</v>
      </c>
      <c r="E2757" s="47">
        <v>159482</v>
      </c>
      <c r="G2757" s="50" t="s">
        <v>89</v>
      </c>
      <c r="H2757" s="51">
        <v>82</v>
      </c>
      <c r="J2757" s="51">
        <v>5.88</v>
      </c>
      <c r="K2757" s="93">
        <f>Tabela6[[#This Row],[CONSUMO]]*Tabela6[[#This Row],[VALOR UNIT]]-Tabela6[[#This Row],[DESCONTO]]</f>
        <v>482.15999999999997</v>
      </c>
      <c r="L2757" s="53">
        <f>Tabela6[[#This Row],[CUSTO TOTAL]]/Tabela6[[#This Row],[CONSUMO]]</f>
        <v>5.88</v>
      </c>
      <c r="M2757" s="50">
        <f>Tabela6[[#This Row],[KM ATUAL]]-E2723</f>
        <v>-893157</v>
      </c>
      <c r="N2757" s="51">
        <f>Tabela6[[#This Row],[KM Rodados ]]/Tabela6[[#This Row],[CONSUMO]]</f>
        <v>-10892.158536585366</v>
      </c>
    </row>
    <row r="2758" spans="1:14" x14ac:dyDescent="0.25">
      <c r="A2758" s="47">
        <v>7855</v>
      </c>
      <c r="B2758" s="78">
        <v>45219</v>
      </c>
      <c r="C2758" s="47" t="s">
        <v>41</v>
      </c>
      <c r="D2758" s="49" t="s">
        <v>299</v>
      </c>
      <c r="E2758" s="47">
        <v>680299</v>
      </c>
      <c r="G2758" s="50" t="s">
        <v>89</v>
      </c>
      <c r="H2758" s="51">
        <v>90</v>
      </c>
      <c r="J2758" s="51">
        <v>5.88</v>
      </c>
      <c r="K2758" s="93">
        <f>Tabela6[[#This Row],[CONSUMO]]*Tabela6[[#This Row],[VALOR UNIT]]-Tabela6[[#This Row],[DESCONTO]]</f>
        <v>529.20000000000005</v>
      </c>
      <c r="L2758" s="53">
        <f>Tabela6[[#This Row],[CUSTO TOTAL]]/Tabela6[[#This Row],[CONSUMO]]</f>
        <v>5.8800000000000008</v>
      </c>
      <c r="M2758" s="50">
        <f>Tabela6[[#This Row],[KM ATUAL]]-E2733</f>
        <v>-5230</v>
      </c>
      <c r="N2758" s="51">
        <f>Tabela6[[#This Row],[KM Rodados ]]/Tabela6[[#This Row],[CONSUMO]]</f>
        <v>-58.111111111111114</v>
      </c>
    </row>
    <row r="2759" spans="1:14" x14ac:dyDescent="0.25">
      <c r="A2759" s="47">
        <v>68910</v>
      </c>
      <c r="B2759" s="78">
        <v>45219</v>
      </c>
      <c r="C2759" s="47" t="s">
        <v>11</v>
      </c>
      <c r="D2759" s="49" t="s">
        <v>253</v>
      </c>
      <c r="E2759" s="47">
        <v>403477</v>
      </c>
      <c r="G2759" s="50" t="s">
        <v>89</v>
      </c>
      <c r="H2759" s="51">
        <v>107.51</v>
      </c>
      <c r="J2759" s="51">
        <v>6.09</v>
      </c>
      <c r="K2759" s="74">
        <f>Tabela6[[#This Row],[CONSUMO]]*Tabela6[[#This Row],[VALOR UNIT]]-Tabela6[[#This Row],[DESCONTO]]</f>
        <v>654.73590000000002</v>
      </c>
      <c r="L2759" s="53">
        <f>Tabela6[[#This Row],[CUSTO TOTAL]]/Tabela6[[#This Row],[CONSUMO]]</f>
        <v>6.09</v>
      </c>
      <c r="M2759" s="50">
        <f>Tabela6[[#This Row],[KM ATUAL]]-E2707</f>
        <v>-276025</v>
      </c>
      <c r="N2759" s="51">
        <f>Tabela6[[#This Row],[KM Rodados ]]/Tabela6[[#This Row],[CONSUMO]]</f>
        <v>-2567.4355873872196</v>
      </c>
    </row>
    <row r="2760" spans="1:14" x14ac:dyDescent="0.25">
      <c r="A2760" s="47">
        <v>7855</v>
      </c>
      <c r="B2760" s="78">
        <v>45219</v>
      </c>
      <c r="C2760" s="47" t="s">
        <v>301</v>
      </c>
      <c r="D2760" s="49" t="s">
        <v>299</v>
      </c>
      <c r="E2760" s="47">
        <v>1054257</v>
      </c>
      <c r="G2760" s="50" t="s">
        <v>89</v>
      </c>
      <c r="H2760" s="51">
        <v>112</v>
      </c>
      <c r="J2760" s="51">
        <v>5.88</v>
      </c>
      <c r="K2760" s="74">
        <f>Tabela6[[#This Row],[CONSUMO]]*Tabela6[[#This Row],[VALOR UNIT]]-Tabela6[[#This Row],[DESCONTO]]</f>
        <v>658.56</v>
      </c>
      <c r="L2760" s="53">
        <f>Tabela6[[#This Row],[CUSTO TOTAL]]/Tabela6[[#This Row],[CONSUMO]]</f>
        <v>5.88</v>
      </c>
      <c r="M2760" s="50">
        <f>Tabela6[[#This Row],[KM ATUAL]]-E2759</f>
        <v>650780</v>
      </c>
      <c r="N2760" s="51">
        <f>Tabela6[[#This Row],[KM Rodados ]]/Tabela6[[#This Row],[CONSUMO]]</f>
        <v>5810.5357142857147</v>
      </c>
    </row>
    <row r="2761" spans="1:14" x14ac:dyDescent="0.25">
      <c r="A2761" s="47" t="s">
        <v>314</v>
      </c>
      <c r="B2761" s="78">
        <v>45219</v>
      </c>
      <c r="C2761" s="47" t="s">
        <v>206</v>
      </c>
      <c r="E2761" s="47">
        <v>971526</v>
      </c>
      <c r="G2761" s="50" t="s">
        <v>89</v>
      </c>
      <c r="H2761" s="51">
        <v>412</v>
      </c>
      <c r="K2761" s="74">
        <f>Tabela6[[#This Row],[CONSUMO]]*Tabela6[[#This Row],[VALOR UNIT]]-Tabela6[[#This Row],[DESCONTO]]</f>
        <v>0</v>
      </c>
      <c r="L2761" s="53">
        <f>Tabela6[[#This Row],[CUSTO TOTAL]]/Tabela6[[#This Row],[CONSUMO]]</f>
        <v>0</v>
      </c>
      <c r="M2761" s="50">
        <f>Tabela6[[#This Row],[KM ATUAL]]-E2660</f>
        <v>581270</v>
      </c>
      <c r="N2761" s="51">
        <f>Tabela6[[#This Row],[KM Rodados ]]/Tabela6[[#This Row],[CONSUMO]]</f>
        <v>1410.8495145631068</v>
      </c>
    </row>
    <row r="2762" spans="1:14" x14ac:dyDescent="0.25">
      <c r="A2762" s="47">
        <v>7855</v>
      </c>
      <c r="B2762" s="78">
        <v>45219</v>
      </c>
      <c r="C2762" s="47" t="s">
        <v>13</v>
      </c>
      <c r="D2762" s="49" t="s">
        <v>299</v>
      </c>
      <c r="E2762" s="47">
        <v>657782</v>
      </c>
      <c r="G2762" s="50" t="s">
        <v>89</v>
      </c>
      <c r="H2762" s="51">
        <v>107</v>
      </c>
      <c r="J2762" s="51">
        <v>5.88</v>
      </c>
      <c r="K2762" s="93">
        <f>Tabela6[[#This Row],[CONSUMO]]*Tabela6[[#This Row],[VALOR UNIT]]-Tabela6[[#This Row],[DESCONTO]]</f>
        <v>629.16</v>
      </c>
      <c r="L2762" s="53">
        <f>Tabela6[[#This Row],[CUSTO TOTAL]]/Tabela6[[#This Row],[CONSUMO]]</f>
        <v>5.88</v>
      </c>
      <c r="M2762" s="50">
        <f>Tabela6[[#This Row],[KM ATUAL]]-E2721</f>
        <v>559323</v>
      </c>
      <c r="N2762" s="51">
        <f>Tabela6[[#This Row],[KM Rodados ]]/Tabela6[[#This Row],[CONSUMO]]</f>
        <v>5227.3177570093458</v>
      </c>
    </row>
    <row r="2763" spans="1:14" x14ac:dyDescent="0.25">
      <c r="A2763" s="47" t="s">
        <v>314</v>
      </c>
      <c r="B2763" s="78">
        <v>45219</v>
      </c>
      <c r="C2763" s="47" t="s">
        <v>15</v>
      </c>
      <c r="E2763" s="47">
        <v>392805</v>
      </c>
      <c r="G2763" s="50" t="s">
        <v>89</v>
      </c>
      <c r="H2763" s="51">
        <v>115</v>
      </c>
      <c r="K2763" s="74">
        <f>Tabela6[[#This Row],[CONSUMO]]*Tabela6[[#This Row],[VALOR UNIT]]-Tabela6[[#This Row],[DESCONTO]]</f>
        <v>0</v>
      </c>
      <c r="L2763" s="53">
        <f>Tabela6[[#This Row],[CUSTO TOTAL]]/Tabela6[[#This Row],[CONSUMO]]</f>
        <v>0</v>
      </c>
      <c r="M2763" s="50">
        <f>Tabela6[[#This Row],[KM ATUAL]]-E2762</f>
        <v>-264977</v>
      </c>
      <c r="N2763" s="51">
        <f>Tabela6[[#This Row],[KM Rodados ]]/Tabela6[[#This Row],[CONSUMO]]</f>
        <v>-2304.1478260869567</v>
      </c>
    </row>
    <row r="2764" spans="1:14" x14ac:dyDescent="0.25">
      <c r="A2764" s="47">
        <v>7855</v>
      </c>
      <c r="B2764" s="78">
        <v>45219</v>
      </c>
      <c r="C2764" s="47" t="s">
        <v>19</v>
      </c>
      <c r="D2764" s="49" t="s">
        <v>299</v>
      </c>
      <c r="E2764" s="47">
        <v>333371</v>
      </c>
      <c r="G2764" s="50" t="s">
        <v>89</v>
      </c>
      <c r="H2764" s="51">
        <v>108</v>
      </c>
      <c r="J2764" s="51">
        <v>5.88</v>
      </c>
      <c r="K2764" s="93">
        <f>Tabela6[[#This Row],[CONSUMO]]*Tabela6[[#This Row],[VALOR UNIT]]-Tabela6[[#This Row],[DESCONTO]]</f>
        <v>635.04</v>
      </c>
      <c r="L2764" s="53">
        <f>Tabela6[[#This Row],[CUSTO TOTAL]]/Tabela6[[#This Row],[CONSUMO]]</f>
        <v>5.88</v>
      </c>
      <c r="M2764" s="50">
        <f>Tabela6[[#This Row],[KM ATUAL]]-E2694</f>
        <v>174595</v>
      </c>
      <c r="N2764" s="51">
        <f>Tabela6[[#This Row],[KM Rodados ]]/Tabela6[[#This Row],[CONSUMO]]</f>
        <v>1616.6203703703704</v>
      </c>
    </row>
    <row r="2765" spans="1:14" x14ac:dyDescent="0.25">
      <c r="A2765" s="47">
        <v>574816</v>
      </c>
      <c r="B2765" s="78">
        <v>45219</v>
      </c>
      <c r="C2765" s="47" t="s">
        <v>38</v>
      </c>
      <c r="D2765" s="49" t="s">
        <v>255</v>
      </c>
      <c r="E2765" s="47">
        <v>138130</v>
      </c>
      <c r="G2765" s="50" t="s">
        <v>244</v>
      </c>
      <c r="H2765" s="51">
        <v>50.521000000000001</v>
      </c>
      <c r="J2765" s="51">
        <v>5.94</v>
      </c>
      <c r="K2765" s="93">
        <f>Tabela6[[#This Row],[CONSUMO]]*Tabela6[[#This Row],[VALOR UNIT]]-Tabela6[[#This Row],[DESCONTO]]</f>
        <v>300.09474</v>
      </c>
      <c r="L2765" s="53">
        <f>Tabela6[[#This Row],[CUSTO TOTAL]]/Tabela6[[#This Row],[CONSUMO]]</f>
        <v>5.9399999999999995</v>
      </c>
      <c r="M2765" s="50">
        <f>Tabela6[[#This Row],[KM ATUAL]]-E2604</f>
        <v>-13906</v>
      </c>
      <c r="N2765" s="51">
        <f>Tabela6[[#This Row],[KM Rodados ]]/Tabela6[[#This Row],[CONSUMO]]</f>
        <v>-275.25187545773042</v>
      </c>
    </row>
    <row r="2766" spans="1:14" x14ac:dyDescent="0.25">
      <c r="A2766" s="47">
        <v>7855</v>
      </c>
      <c r="B2766" s="78">
        <v>45219</v>
      </c>
      <c r="C2766" s="47" t="s">
        <v>23</v>
      </c>
      <c r="D2766" s="49" t="s">
        <v>299</v>
      </c>
      <c r="E2766" s="47">
        <v>251514</v>
      </c>
      <c r="G2766" s="50" t="s">
        <v>89</v>
      </c>
      <c r="H2766" s="51">
        <v>98</v>
      </c>
      <c r="J2766" s="51">
        <v>5.88</v>
      </c>
      <c r="K2766" s="93">
        <f>Tabela6[[#This Row],[CONSUMO]]*Tabela6[[#This Row],[VALOR UNIT]]-Tabela6[[#This Row],[DESCONTO]]</f>
        <v>576.24</v>
      </c>
      <c r="L2766" s="53">
        <f>Tabela6[[#This Row],[CUSTO TOTAL]]/Tabela6[[#This Row],[CONSUMO]]</f>
        <v>5.88</v>
      </c>
      <c r="M2766" s="50">
        <f>Tabela6[[#This Row],[KM ATUAL]]-E2731</f>
        <v>-123186</v>
      </c>
      <c r="N2766" s="51">
        <f>Tabela6[[#This Row],[KM Rodados ]]/Tabela6[[#This Row],[CONSUMO]]</f>
        <v>-1257</v>
      </c>
    </row>
    <row r="2767" spans="1:14" x14ac:dyDescent="0.25">
      <c r="A2767" s="47">
        <v>215129</v>
      </c>
      <c r="B2767" s="78">
        <v>45219</v>
      </c>
      <c r="C2767" s="47" t="s">
        <v>40</v>
      </c>
      <c r="D2767" s="49" t="s">
        <v>262</v>
      </c>
      <c r="E2767" s="47">
        <v>164454</v>
      </c>
      <c r="G2767" s="50" t="s">
        <v>244</v>
      </c>
      <c r="H2767" s="51">
        <v>20.86</v>
      </c>
      <c r="J2767" s="51">
        <v>5.59</v>
      </c>
      <c r="K2767" s="74">
        <f>Tabela6[[#This Row],[CONSUMO]]*Tabela6[[#This Row],[VALOR UNIT]]-Tabela6[[#This Row],[DESCONTO]]</f>
        <v>116.6074</v>
      </c>
      <c r="L2767" s="53">
        <f>Tabela6[[#This Row],[CUSTO TOTAL]]/Tabela6[[#This Row],[CONSUMO]]</f>
        <v>5.59</v>
      </c>
      <c r="M2767" s="50">
        <f>Tabela6[[#This Row],[KM ATUAL]]-E2733</f>
        <v>-521075</v>
      </c>
      <c r="N2767" s="51">
        <f>Tabela6[[#This Row],[KM Rodados ]]/Tabela6[[#This Row],[CONSUMO]]</f>
        <v>-24979.626078619367</v>
      </c>
    </row>
    <row r="2768" spans="1:14" x14ac:dyDescent="0.25">
      <c r="A2768" s="47">
        <v>215305</v>
      </c>
      <c r="B2768" s="78">
        <v>45219</v>
      </c>
      <c r="C2768" s="47" t="s">
        <v>40</v>
      </c>
      <c r="D2768" s="49" t="s">
        <v>262</v>
      </c>
      <c r="E2768" s="47">
        <v>164874</v>
      </c>
      <c r="G2768" s="50" t="s">
        <v>244</v>
      </c>
      <c r="H2768" s="51">
        <v>38.570999999999998</v>
      </c>
      <c r="J2768" s="51">
        <v>5.59</v>
      </c>
      <c r="K2768" s="74">
        <f>Tabela6[[#This Row],[CONSUMO]]*Tabela6[[#This Row],[VALOR UNIT]]-Tabela6[[#This Row],[DESCONTO]]</f>
        <v>215.61188999999999</v>
      </c>
      <c r="L2768" s="53">
        <f>Tabela6[[#This Row],[CUSTO TOTAL]]/Tabela6[[#This Row],[CONSUMO]]</f>
        <v>5.59</v>
      </c>
      <c r="M2768" s="50">
        <f>Tabela6[[#This Row],[KM ATUAL]]-E2767</f>
        <v>420</v>
      </c>
      <c r="N2768" s="51">
        <f>Tabela6[[#This Row],[KM Rodados ]]/Tabela6[[#This Row],[CONSUMO]]</f>
        <v>10.889009877887533</v>
      </c>
    </row>
    <row r="2769" spans="1:14" x14ac:dyDescent="0.25">
      <c r="A2769" s="49">
        <v>7855</v>
      </c>
      <c r="B2769" s="78">
        <v>45219</v>
      </c>
      <c r="C2769" s="47" t="s">
        <v>74</v>
      </c>
      <c r="D2769" s="49" t="s">
        <v>269</v>
      </c>
      <c r="E2769" s="47">
        <v>85243</v>
      </c>
      <c r="G2769" s="50" t="s">
        <v>241</v>
      </c>
      <c r="H2769" s="51">
        <v>3.11</v>
      </c>
      <c r="J2769" s="51">
        <v>2.99</v>
      </c>
      <c r="K2769" s="74">
        <f>Tabela6[[#This Row],[CONSUMO]]*Tabela6[[#This Row],[VALOR UNIT]]-Tabela6[[#This Row],[DESCONTO]]</f>
        <v>9.2988999999999997</v>
      </c>
      <c r="L2769" s="53">
        <f>Tabela6[[#This Row],[CUSTO TOTAL]]/Tabela6[[#This Row],[CONSUMO]]</f>
        <v>2.99</v>
      </c>
      <c r="M2769" s="53"/>
      <c r="N2769" s="49"/>
    </row>
    <row r="2770" spans="1:14" x14ac:dyDescent="0.25">
      <c r="A2770" s="47">
        <v>681700</v>
      </c>
      <c r="B2770" s="78">
        <v>45219</v>
      </c>
      <c r="C2770" s="47" t="s">
        <v>315</v>
      </c>
      <c r="D2770" s="49" t="s">
        <v>271</v>
      </c>
      <c r="E2770" s="47">
        <v>4418</v>
      </c>
      <c r="G2770" s="50" t="s">
        <v>89</v>
      </c>
      <c r="H2770" s="51">
        <v>32.36</v>
      </c>
      <c r="J2770" s="51">
        <v>5.99</v>
      </c>
      <c r="K2770" s="74">
        <f>Tabela6[[#This Row],[CONSUMO]]*Tabela6[[#This Row],[VALOR UNIT]]-Tabela6[[#This Row],[DESCONTO]]</f>
        <v>193.8364</v>
      </c>
      <c r="L2770" s="53">
        <f>Tabela6[[#This Row],[CUSTO TOTAL]]/Tabela6[[#This Row],[CONSUMO]]</f>
        <v>5.99</v>
      </c>
      <c r="M2770" s="50">
        <f>Tabela6[[#This Row],[KM ATUAL]]-E2760</f>
        <v>-1049839</v>
      </c>
      <c r="N2770" s="51">
        <f>Tabela6[[#This Row],[KM Rodados ]]/Tabela6[[#This Row],[CONSUMO]]</f>
        <v>-32442.490729295427</v>
      </c>
    </row>
    <row r="2771" spans="1:14" x14ac:dyDescent="0.25">
      <c r="A2771" s="47">
        <v>230674</v>
      </c>
      <c r="B2771" s="78">
        <v>45220</v>
      </c>
      <c r="C2771" s="47" t="s">
        <v>39</v>
      </c>
      <c r="D2771" s="49" t="s">
        <v>269</v>
      </c>
      <c r="E2771" s="47">
        <v>109245</v>
      </c>
      <c r="G2771" s="50" t="s">
        <v>89</v>
      </c>
      <c r="H2771" s="51">
        <v>93.75</v>
      </c>
      <c r="J2771" s="51">
        <v>6.19</v>
      </c>
      <c r="K2771" s="93">
        <f>Tabela6[[#This Row],[CONSUMO]]*Tabela6[[#This Row],[VALOR UNIT]]-Tabela6[[#This Row],[DESCONTO]]</f>
        <v>580.3125</v>
      </c>
      <c r="L2771" s="53">
        <f>Tabela6[[#This Row],[CUSTO TOTAL]]/Tabela6[[#This Row],[CONSUMO]]</f>
        <v>6.19</v>
      </c>
      <c r="M2771" s="50">
        <f>Tabela6[[#This Row],[KM ATUAL]]-E2760</f>
        <v>-945012</v>
      </c>
      <c r="N2771" s="51">
        <f>Tabela6[[#This Row],[KM Rodados ]]/Tabela6[[#This Row],[CONSUMO]]</f>
        <v>-10080.128000000001</v>
      </c>
    </row>
    <row r="2772" spans="1:14" x14ac:dyDescent="0.25">
      <c r="A2772" s="119">
        <v>230674</v>
      </c>
      <c r="B2772" s="78">
        <v>45220</v>
      </c>
      <c r="C2772" s="47" t="s">
        <v>39</v>
      </c>
      <c r="D2772" s="49" t="s">
        <v>269</v>
      </c>
      <c r="E2772" s="47">
        <v>109245</v>
      </c>
      <c r="G2772" s="50" t="s">
        <v>241</v>
      </c>
      <c r="H2772" s="51">
        <v>19.05</v>
      </c>
      <c r="J2772" s="51">
        <v>2.99</v>
      </c>
      <c r="K2772" s="93">
        <f>Tabela6[[#This Row],[CONSUMO]]*Tabela6[[#This Row],[VALOR UNIT]]-Tabela6[[#This Row],[DESCONTO]]</f>
        <v>56.959500000000006</v>
      </c>
      <c r="L2772" s="53">
        <f>Tabela6[[#This Row],[CUSTO TOTAL]]/Tabela6[[#This Row],[CONSUMO]]</f>
        <v>2.99</v>
      </c>
      <c r="M2772" s="53"/>
      <c r="N2772" s="49"/>
    </row>
    <row r="2773" spans="1:14" x14ac:dyDescent="0.25">
      <c r="A2773" s="47" t="s">
        <v>314</v>
      </c>
      <c r="B2773" s="78">
        <v>45220</v>
      </c>
      <c r="C2773" s="47" t="s">
        <v>301</v>
      </c>
      <c r="E2773" s="47">
        <v>1054999</v>
      </c>
      <c r="G2773" s="50" t="s">
        <v>89</v>
      </c>
      <c r="H2773" s="51">
        <v>415</v>
      </c>
      <c r="K2773" s="74">
        <f>Tabela6[[#This Row],[CONSUMO]]*Tabela6[[#This Row],[VALOR UNIT]]-Tabela6[[#This Row],[DESCONTO]]</f>
        <v>0</v>
      </c>
      <c r="L2773" s="53">
        <f>Tabela6[[#This Row],[CUSTO TOTAL]]/Tabela6[[#This Row],[CONSUMO]]</f>
        <v>0</v>
      </c>
      <c r="M2773" s="50">
        <f>Tabela6[[#This Row],[KM ATUAL]]-E2771</f>
        <v>945754</v>
      </c>
      <c r="N2773" s="51">
        <f>Tabela6[[#This Row],[KM Rodados ]]/Tabela6[[#This Row],[CONSUMO]]</f>
        <v>2278.9253012048193</v>
      </c>
    </row>
    <row r="2774" spans="1:14" x14ac:dyDescent="0.25">
      <c r="A2774" s="47" t="s">
        <v>314</v>
      </c>
      <c r="B2774" s="78">
        <v>45220</v>
      </c>
      <c r="C2774" s="47" t="s">
        <v>74</v>
      </c>
      <c r="E2774" s="47">
        <v>85935</v>
      </c>
      <c r="G2774" s="50" t="s">
        <v>89</v>
      </c>
      <c r="H2774" s="51">
        <v>56</v>
      </c>
      <c r="K2774" s="74">
        <f>Tabela6[[#This Row],[CONSUMO]]*Tabela6[[#This Row],[VALOR UNIT]]-Tabela6[[#This Row],[DESCONTO]]</f>
        <v>0</v>
      </c>
      <c r="L2774" s="53">
        <f>Tabela6[[#This Row],[CUSTO TOTAL]]/Tabela6[[#This Row],[CONSUMO]]</f>
        <v>0</v>
      </c>
      <c r="M2774" s="50">
        <f>Tabela6[[#This Row],[KM ATUAL]]-E2773</f>
        <v>-969064</v>
      </c>
      <c r="N2774" s="51">
        <f>Tabela6[[#This Row],[KM Rodados ]]/Tabela6[[#This Row],[CONSUMO]]</f>
        <v>-17304.714285714286</v>
      </c>
    </row>
    <row r="2775" spans="1:14" x14ac:dyDescent="0.25">
      <c r="A2775" s="47">
        <v>341800</v>
      </c>
      <c r="B2775" s="78">
        <v>45220</v>
      </c>
      <c r="C2775" s="47" t="s">
        <v>315</v>
      </c>
      <c r="D2775" s="49" t="s">
        <v>276</v>
      </c>
      <c r="E2775" s="47">
        <v>4773</v>
      </c>
      <c r="G2775" s="50" t="s">
        <v>89</v>
      </c>
      <c r="H2775" s="51">
        <v>27.9</v>
      </c>
      <c r="J2775" s="51">
        <v>6.49</v>
      </c>
      <c r="K2775" s="93">
        <f>Tabela6[[#This Row],[CONSUMO]]*Tabela6[[#This Row],[VALOR UNIT]]-Tabela6[[#This Row],[DESCONTO]]</f>
        <v>181.071</v>
      </c>
      <c r="L2775" s="53">
        <f>Tabela6[[#This Row],[CUSTO TOTAL]]/Tabela6[[#This Row],[CONSUMO]]</f>
        <v>6.49</v>
      </c>
      <c r="M2775" s="50">
        <f>Tabela6[[#This Row],[KM ATUAL]]-E2757</f>
        <v>-154709</v>
      </c>
      <c r="N2775" s="51">
        <f>Tabela6[[#This Row],[KM Rodados ]]/Tabela6[[#This Row],[CONSUMO]]</f>
        <v>-5545.1254480286743</v>
      </c>
    </row>
    <row r="2776" spans="1:14" x14ac:dyDescent="0.25">
      <c r="A2776" s="47">
        <v>355575</v>
      </c>
      <c r="B2776" s="78">
        <v>45221</v>
      </c>
      <c r="C2776" s="47" t="s">
        <v>222</v>
      </c>
      <c r="D2776" s="49" t="s">
        <v>361</v>
      </c>
      <c r="E2776" s="47">
        <v>510705</v>
      </c>
      <c r="G2776" s="50" t="s">
        <v>89</v>
      </c>
      <c r="H2776" s="51">
        <v>242</v>
      </c>
      <c r="J2776" s="51">
        <v>6.29</v>
      </c>
      <c r="K2776" s="93">
        <f>Tabela6[[#This Row],[CONSUMO]]*Tabela6[[#This Row],[VALOR UNIT]]-Tabela6[[#This Row],[DESCONTO]]</f>
        <v>1522.18</v>
      </c>
      <c r="L2776" s="53">
        <v>6.29</v>
      </c>
      <c r="M2776" s="50">
        <f>Tabela6[[#This Row],[KM ATUAL]]-E2761</f>
        <v>-460821</v>
      </c>
      <c r="N2776" s="51">
        <f>Tabela6[[#This Row],[KM Rodados ]]/Tabela6[[#This Row],[CONSUMO]]</f>
        <v>-1904.2190082644629</v>
      </c>
    </row>
    <row r="2777" spans="1:14" x14ac:dyDescent="0.25">
      <c r="A2777" s="47">
        <v>355574</v>
      </c>
      <c r="B2777" s="78">
        <v>45221</v>
      </c>
      <c r="C2777" s="47" t="s">
        <v>222</v>
      </c>
      <c r="D2777" s="49" t="s">
        <v>361</v>
      </c>
      <c r="E2777" s="47">
        <v>510705</v>
      </c>
      <c r="G2777" s="50" t="s">
        <v>241</v>
      </c>
      <c r="H2777" s="51">
        <v>25.85</v>
      </c>
      <c r="J2777" s="51">
        <v>2.99</v>
      </c>
      <c r="K2777" s="74">
        <f>Tabela6[[#This Row],[CONSUMO]]*Tabela6[[#This Row],[VALOR UNIT]]-Tabela6[[#This Row],[DESCONTO]]</f>
        <v>77.291500000000013</v>
      </c>
      <c r="L2777" s="53">
        <v>2.99</v>
      </c>
      <c r="M2777" s="50"/>
      <c r="N2777" s="49"/>
    </row>
    <row r="2778" spans="1:14" x14ac:dyDescent="0.25">
      <c r="A2778" s="47">
        <v>682638</v>
      </c>
      <c r="B2778" s="78">
        <v>45221</v>
      </c>
      <c r="C2778" s="47" t="s">
        <v>17</v>
      </c>
      <c r="D2778" s="49" t="s">
        <v>271</v>
      </c>
      <c r="E2778" s="47">
        <v>374803</v>
      </c>
      <c r="G2778" s="50" t="s">
        <v>89</v>
      </c>
      <c r="H2778" s="51">
        <v>164.34</v>
      </c>
      <c r="J2778" s="51">
        <v>6.19</v>
      </c>
      <c r="K2778" s="74">
        <f>Tabela6[[#This Row],[CONSUMO]]*Tabela6[[#This Row],[VALOR UNIT]]-Tabela6[[#This Row],[DESCONTO]]</f>
        <v>1017.2646000000001</v>
      </c>
      <c r="L2778" s="53">
        <f>Tabela6[[#This Row],[CUSTO TOTAL]]/Tabela6[[#This Row],[CONSUMO]]</f>
        <v>6.19</v>
      </c>
      <c r="M2778" s="50">
        <f>Tabela6[[#This Row],[KM ATUAL]]-E2750</f>
        <v>-135355</v>
      </c>
      <c r="N2778" s="51">
        <f>Tabela6[[#This Row],[KM Rodados ]]/Tabela6[[#This Row],[CONSUMO]]</f>
        <v>-823.62784471218208</v>
      </c>
    </row>
    <row r="2779" spans="1:14" x14ac:dyDescent="0.25">
      <c r="A2779" s="47">
        <v>7855</v>
      </c>
      <c r="B2779" s="78">
        <v>45222</v>
      </c>
      <c r="C2779" s="47" t="s">
        <v>42</v>
      </c>
      <c r="D2779" s="49" t="s">
        <v>299</v>
      </c>
      <c r="E2779" s="47">
        <v>374900</v>
      </c>
      <c r="G2779" s="50" t="s">
        <v>89</v>
      </c>
      <c r="H2779" s="51">
        <v>52</v>
      </c>
      <c r="J2779" s="51">
        <v>5.88</v>
      </c>
      <c r="K2779" s="74">
        <f>Tabela6[[#This Row],[CONSUMO]]*Tabela6[[#This Row],[VALOR UNIT]]-Tabela6[[#This Row],[DESCONTO]]</f>
        <v>305.76</v>
      </c>
      <c r="L2779" s="53">
        <f>Tabela6[[#This Row],[CUSTO TOTAL]]/Tabela6[[#This Row],[CONSUMO]]</f>
        <v>5.88</v>
      </c>
      <c r="M2779" s="50">
        <f>Tabela6[[#This Row],[KM ATUAL]]-E2742</f>
        <v>42002</v>
      </c>
      <c r="N2779" s="51">
        <f>Tabela6[[#This Row],[KM Rodados ]]/Tabela6[[#This Row],[CONSUMO]]</f>
        <v>807.73076923076928</v>
      </c>
    </row>
    <row r="2780" spans="1:14" x14ac:dyDescent="0.25">
      <c r="A2780" s="47">
        <v>423222</v>
      </c>
      <c r="B2780" s="78">
        <v>45222</v>
      </c>
      <c r="C2780" s="47" t="s">
        <v>222</v>
      </c>
      <c r="D2780" s="49" t="s">
        <v>333</v>
      </c>
      <c r="E2780" s="47">
        <v>511409</v>
      </c>
      <c r="G2780" s="50" t="s">
        <v>89</v>
      </c>
      <c r="H2780" s="51">
        <v>336.02199999999999</v>
      </c>
      <c r="J2780" s="51">
        <v>6.09</v>
      </c>
      <c r="K2780" s="74">
        <v>2046.3739799999998</v>
      </c>
      <c r="L2780" s="53">
        <v>6.09</v>
      </c>
      <c r="M2780" s="50">
        <f>Tabela6[[#This Row],[KM ATUAL]]-E2756</f>
        <v>412425</v>
      </c>
      <c r="N2780" s="51">
        <f>Tabela6[[#This Row],[KM Rodados ]]/Tabela6[[#This Row],[CONSUMO]]</f>
        <v>1227.3749933040099</v>
      </c>
    </row>
    <row r="2781" spans="1:14" x14ac:dyDescent="0.25">
      <c r="A2781" s="47">
        <v>7855</v>
      </c>
      <c r="B2781" s="78">
        <v>45222</v>
      </c>
      <c r="C2781" s="47" t="s">
        <v>67</v>
      </c>
      <c r="D2781" s="49" t="s">
        <v>299</v>
      </c>
      <c r="E2781" s="47">
        <v>685949</v>
      </c>
      <c r="G2781" s="50" t="s">
        <v>89</v>
      </c>
      <c r="H2781" s="51">
        <v>106</v>
      </c>
      <c r="J2781" s="51">
        <v>5.88</v>
      </c>
      <c r="K2781" s="74">
        <f>Tabela6[[#This Row],[CONSUMO]]*Tabela6[[#This Row],[VALOR UNIT]]-Tabela6[[#This Row],[DESCONTO]]</f>
        <v>623.28</v>
      </c>
      <c r="L2781" s="53">
        <f>Tabela6[[#This Row],[CUSTO TOTAL]]/Tabela6[[#This Row],[CONSUMO]]</f>
        <v>5.88</v>
      </c>
      <c r="M2781" s="50">
        <f>Tabela6[[#This Row],[KM ATUAL]]-E2738</f>
        <v>-367862</v>
      </c>
      <c r="N2781" s="51">
        <f>Tabela6[[#This Row],[KM Rodados ]]/Tabela6[[#This Row],[CONSUMO]]</f>
        <v>-3470.3962264150941</v>
      </c>
    </row>
    <row r="2782" spans="1:14" x14ac:dyDescent="0.25">
      <c r="A2782" s="47">
        <v>215979</v>
      </c>
      <c r="B2782" s="78">
        <v>45222</v>
      </c>
      <c r="C2782" s="47" t="s">
        <v>215</v>
      </c>
      <c r="D2782" s="49" t="s">
        <v>262</v>
      </c>
      <c r="E2782" s="47">
        <v>229606</v>
      </c>
      <c r="G2782" s="50" t="s">
        <v>244</v>
      </c>
      <c r="H2782" s="51">
        <v>36.409999999999997</v>
      </c>
      <c r="J2782" s="51">
        <v>5.59</v>
      </c>
      <c r="K2782" s="74">
        <f>Tabela6[[#This Row],[CONSUMO]]*Tabela6[[#This Row],[VALOR UNIT]]-Tabela6[[#This Row],[DESCONTO]]</f>
        <v>203.53189999999998</v>
      </c>
      <c r="L2782" s="53">
        <f>Tabela6[[#This Row],[CUSTO TOTAL]]/Tabela6[[#This Row],[CONSUMO]]</f>
        <v>5.59</v>
      </c>
      <c r="M2782" s="50">
        <f>Tabela6[[#This Row],[KM ATUAL]]-E2595</f>
        <v>-425176</v>
      </c>
      <c r="N2782" s="51">
        <f>Tabela6[[#This Row],[KM Rodados ]]/Tabela6[[#This Row],[CONSUMO]]</f>
        <v>-11677.451249656689</v>
      </c>
    </row>
    <row r="2783" spans="1:14" x14ac:dyDescent="0.25">
      <c r="A2783" s="47">
        <v>79351</v>
      </c>
      <c r="B2783" s="78">
        <v>45222</v>
      </c>
      <c r="C2783" s="47" t="s">
        <v>70</v>
      </c>
      <c r="D2783" s="49" t="s">
        <v>379</v>
      </c>
      <c r="E2783" s="47">
        <v>233979</v>
      </c>
      <c r="G2783" s="50" t="s">
        <v>89</v>
      </c>
      <c r="H2783" s="51">
        <v>207.88300000000001</v>
      </c>
      <c r="J2783" s="51">
        <v>5.87</v>
      </c>
      <c r="K2783" s="74">
        <f>Tabela6[[#This Row],[CONSUMO]]*Tabela6[[#This Row],[VALOR UNIT]]-Tabela6[[#This Row],[DESCONTO]]</f>
        <v>1220.2732100000001</v>
      </c>
      <c r="L2783" s="53">
        <f>Tabela6[[#This Row],[CUSTO TOTAL]]/Tabela6[[#This Row],[CONSUMO]]</f>
        <v>5.87</v>
      </c>
      <c r="M2783" s="50">
        <f>Tabela6[[#This Row],[KM ATUAL]]-E2741</f>
        <v>-140092</v>
      </c>
      <c r="N2783" s="51">
        <f>Tabela6[[#This Row],[KM Rodados ]]/Tabela6[[#This Row],[CONSUMO]]</f>
        <v>-673.89829856217193</v>
      </c>
    </row>
    <row r="2784" spans="1:14" x14ac:dyDescent="0.25">
      <c r="A2784" s="47">
        <v>7855</v>
      </c>
      <c r="B2784" s="78">
        <v>45222</v>
      </c>
      <c r="C2784" s="47" t="s">
        <v>72</v>
      </c>
      <c r="D2784" s="49" t="s">
        <v>299</v>
      </c>
      <c r="E2784" s="47">
        <v>420523</v>
      </c>
      <c r="G2784" s="50" t="s">
        <v>89</v>
      </c>
      <c r="H2784" s="51">
        <v>27</v>
      </c>
      <c r="J2784" s="51">
        <v>5.88</v>
      </c>
      <c r="K2784" s="74">
        <f>Tabela6[[#This Row],[CONSUMO]]*Tabela6[[#This Row],[VALOR UNIT]]-Tabela6[[#This Row],[DESCONTO]]</f>
        <v>158.76</v>
      </c>
      <c r="L2784" s="53">
        <f>Tabela6[[#This Row],[CUSTO TOTAL]]/Tabela6[[#This Row],[CONSUMO]]</f>
        <v>5.88</v>
      </c>
      <c r="M2784" s="50">
        <f>Tabela6[[#This Row],[KM ATUAL]]-E2705</f>
        <v>-264498</v>
      </c>
      <c r="N2784" s="51">
        <f>Tabela6[[#This Row],[KM Rodados ]]/Tabela6[[#This Row],[CONSUMO]]</f>
        <v>-9796.2222222222226</v>
      </c>
    </row>
    <row r="2785" spans="1:14" x14ac:dyDescent="0.25">
      <c r="A2785" s="47">
        <v>7855</v>
      </c>
      <c r="B2785" s="78">
        <v>45222</v>
      </c>
      <c r="C2785" s="47" t="s">
        <v>41</v>
      </c>
      <c r="D2785" s="49" t="s">
        <v>299</v>
      </c>
      <c r="E2785" s="47">
        <v>680732</v>
      </c>
      <c r="G2785" s="50" t="s">
        <v>89</v>
      </c>
      <c r="H2785" s="51">
        <v>93</v>
      </c>
      <c r="J2785" s="51">
        <v>5.88</v>
      </c>
      <c r="K2785" s="74">
        <f>Tabela6[[#This Row],[CONSUMO]]*Tabela6[[#This Row],[VALOR UNIT]]-Tabela6[[#This Row],[DESCONTO]]</f>
        <v>546.84</v>
      </c>
      <c r="L2785" s="53">
        <f>Tabela6[[#This Row],[CUSTO TOTAL]]/Tabela6[[#This Row],[CONSUMO]]</f>
        <v>5.8800000000000008</v>
      </c>
      <c r="M2785" s="50">
        <f>Tabela6[[#This Row],[KM ATUAL]]-E2774</f>
        <v>594797</v>
      </c>
      <c r="N2785" s="51">
        <f>Tabela6[[#This Row],[KM Rodados ]]/Tabela6[[#This Row],[CONSUMO]]</f>
        <v>6395.666666666667</v>
      </c>
    </row>
    <row r="2786" spans="1:14" x14ac:dyDescent="0.25">
      <c r="A2786" s="47">
        <v>44841</v>
      </c>
      <c r="B2786" s="78">
        <v>45222</v>
      </c>
      <c r="C2786" s="47" t="s">
        <v>301</v>
      </c>
      <c r="D2786" s="49" t="s">
        <v>348</v>
      </c>
      <c r="E2786" s="47">
        <v>1055070</v>
      </c>
      <c r="G2786" s="50" t="s">
        <v>89</v>
      </c>
      <c r="H2786" s="51">
        <v>23.77</v>
      </c>
      <c r="J2786" s="51">
        <v>6.69</v>
      </c>
      <c r="K2786" s="74">
        <f>Tabela6[[#This Row],[CONSUMO]]*Tabela6[[#This Row],[VALOR UNIT]]-Tabela6[[#This Row],[DESCONTO]]</f>
        <v>159.0213</v>
      </c>
      <c r="L2786" s="53">
        <f>Tabela6[[#This Row],[CUSTO TOTAL]]/Tabela6[[#This Row],[CONSUMO]]</f>
        <v>6.69</v>
      </c>
      <c r="M2786" s="50">
        <f>Tabela6[[#This Row],[KM ATUAL]]-E2785</f>
        <v>374338</v>
      </c>
      <c r="N2786" s="51">
        <f>Tabela6[[#This Row],[KM Rodados ]]/Tabela6[[#This Row],[CONSUMO]]</f>
        <v>15748.338241480858</v>
      </c>
    </row>
    <row r="2787" spans="1:14" x14ac:dyDescent="0.25">
      <c r="A2787" s="47">
        <v>23367</v>
      </c>
      <c r="B2787" s="78">
        <v>45222</v>
      </c>
      <c r="C2787" s="47" t="s">
        <v>301</v>
      </c>
      <c r="D2787" s="49" t="s">
        <v>349</v>
      </c>
      <c r="E2787" s="47">
        <v>1055460</v>
      </c>
      <c r="G2787" s="50" t="s">
        <v>89</v>
      </c>
      <c r="H2787" s="51">
        <v>235.02</v>
      </c>
      <c r="J2787" s="51">
        <v>6.19</v>
      </c>
      <c r="K2787" s="74">
        <f>Tabela6[[#This Row],[CONSUMO]]*Tabela6[[#This Row],[VALOR UNIT]]-Tabela6[[#This Row],[DESCONTO]]</f>
        <v>1454.7738000000002</v>
      </c>
      <c r="L2787" s="53">
        <f>Tabela6[[#This Row],[CUSTO TOTAL]]/Tabela6[[#This Row],[CONSUMO]]</f>
        <v>6.19</v>
      </c>
      <c r="M2787" s="50">
        <f>Tabela6[[#This Row],[KM ATUAL]]-E2786</f>
        <v>390</v>
      </c>
      <c r="N2787" s="51">
        <f>Tabela6[[#This Row],[KM Rodados ]]/Tabela6[[#This Row],[CONSUMO]]</f>
        <v>1.6594332397242788</v>
      </c>
    </row>
    <row r="2788" spans="1:14" x14ac:dyDescent="0.25">
      <c r="A2788" s="47">
        <v>15135</v>
      </c>
      <c r="B2788" s="78">
        <v>45222</v>
      </c>
      <c r="C2788" s="47" t="s">
        <v>206</v>
      </c>
      <c r="D2788" s="49" t="s">
        <v>263</v>
      </c>
      <c r="E2788" s="47">
        <v>972416</v>
      </c>
      <c r="G2788" s="50" t="s">
        <v>89</v>
      </c>
      <c r="H2788" s="51">
        <v>272.93</v>
      </c>
      <c r="J2788" s="51">
        <v>6.09</v>
      </c>
      <c r="K2788" s="74">
        <f>Tabela6[[#This Row],[CONSUMO]]*Tabela6[[#This Row],[VALOR UNIT]]-Tabela6[[#This Row],[DESCONTO]]</f>
        <v>1662.1437000000001</v>
      </c>
      <c r="L2788" s="53">
        <f>Tabela6[[#This Row],[CUSTO TOTAL]]/Tabela6[[#This Row],[CONSUMO]]</f>
        <v>6.09</v>
      </c>
      <c r="M2788" s="50">
        <f>Tabela6[[#This Row],[KM ATUAL]]-E2787</f>
        <v>-83044</v>
      </c>
      <c r="N2788" s="51">
        <f>Tabela6[[#This Row],[KM Rodados ]]/Tabela6[[#This Row],[CONSUMO]]</f>
        <v>-304.26849375297695</v>
      </c>
    </row>
    <row r="2789" spans="1:14" x14ac:dyDescent="0.25">
      <c r="A2789" s="47">
        <v>15135</v>
      </c>
      <c r="B2789" s="78">
        <v>45222</v>
      </c>
      <c r="C2789" s="47" t="s">
        <v>206</v>
      </c>
      <c r="D2789" s="49" t="s">
        <v>263</v>
      </c>
      <c r="E2789" s="47">
        <v>972416</v>
      </c>
      <c r="G2789" s="50" t="s">
        <v>241</v>
      </c>
      <c r="H2789" s="51">
        <v>32</v>
      </c>
      <c r="J2789" s="51">
        <v>3.49</v>
      </c>
      <c r="K2789" s="74">
        <f>Tabela6[[#This Row],[CONSUMO]]*Tabela6[[#This Row],[VALOR UNIT]]-Tabela6[[#This Row],[DESCONTO]]</f>
        <v>111.68</v>
      </c>
      <c r="L2789" s="53">
        <f>Tabela6[[#This Row],[CUSTO TOTAL]]/Tabela6[[#This Row],[CONSUMO]]</f>
        <v>3.49</v>
      </c>
      <c r="M2789" s="53"/>
      <c r="N2789" s="49"/>
    </row>
    <row r="2790" spans="1:14" x14ac:dyDescent="0.25">
      <c r="A2790" s="47">
        <v>215946</v>
      </c>
      <c r="B2790" s="78">
        <v>45222</v>
      </c>
      <c r="C2790" s="47" t="s">
        <v>14</v>
      </c>
      <c r="D2790" s="49" t="s">
        <v>262</v>
      </c>
      <c r="E2790" s="47">
        <v>301232</v>
      </c>
      <c r="G2790" s="50" t="s">
        <v>244</v>
      </c>
      <c r="H2790" s="51">
        <v>29.34</v>
      </c>
      <c r="J2790" s="51">
        <v>5.59</v>
      </c>
      <c r="K2790" s="74">
        <f>Tabela6[[#This Row],[CONSUMO]]*Tabela6[[#This Row],[VALOR UNIT]]-Tabela6[[#This Row],[DESCONTO]]</f>
        <v>164.01059999999998</v>
      </c>
      <c r="L2790" s="53">
        <f>Tabela6[[#This Row],[CUSTO TOTAL]]/Tabela6[[#This Row],[CONSUMO]]</f>
        <v>5.59</v>
      </c>
      <c r="M2790" s="50">
        <f>Tabela6[[#This Row],[KM ATUAL]]-E2651</f>
        <v>26181</v>
      </c>
      <c r="N2790" s="51">
        <f>Tabela6[[#This Row],[KM Rodados ]]/Tabela6[[#This Row],[CONSUMO]]</f>
        <v>892.3312883435583</v>
      </c>
    </row>
    <row r="2791" spans="1:14" x14ac:dyDescent="0.25">
      <c r="A2791" s="47">
        <v>7855</v>
      </c>
      <c r="B2791" s="78">
        <v>45222</v>
      </c>
      <c r="C2791" s="47" t="s">
        <v>15</v>
      </c>
      <c r="D2791" s="49" t="s">
        <v>299</v>
      </c>
      <c r="E2791" s="47">
        <v>393273</v>
      </c>
      <c r="G2791" s="50" t="s">
        <v>89</v>
      </c>
      <c r="H2791" s="51">
        <v>85</v>
      </c>
      <c r="J2791" s="51">
        <v>5.88</v>
      </c>
      <c r="K2791" s="74">
        <f>Tabela6[[#This Row],[CONSUMO]]*Tabela6[[#This Row],[VALOR UNIT]]-Tabela6[[#This Row],[DESCONTO]]</f>
        <v>499.8</v>
      </c>
      <c r="L2791" s="53">
        <f>Tabela6[[#This Row],[CUSTO TOTAL]]/Tabela6[[#This Row],[CONSUMO]]</f>
        <v>5.88</v>
      </c>
      <c r="M2791" s="50">
        <f>Tabela6[[#This Row],[KM ATUAL]]-E2790</f>
        <v>92041</v>
      </c>
      <c r="N2791" s="51">
        <f>Tabela6[[#This Row],[KM Rodados ]]/Tabela6[[#This Row],[CONSUMO]]</f>
        <v>1082.835294117647</v>
      </c>
    </row>
    <row r="2792" spans="1:14" x14ac:dyDescent="0.25">
      <c r="A2792" s="47">
        <v>215916</v>
      </c>
      <c r="B2792" s="78">
        <v>45222</v>
      </c>
      <c r="C2792" s="47" t="s">
        <v>23</v>
      </c>
      <c r="D2792" s="49" t="s">
        <v>262</v>
      </c>
      <c r="E2792" s="47">
        <v>251523</v>
      </c>
      <c r="G2792" s="50" t="s">
        <v>241</v>
      </c>
      <c r="H2792" s="51">
        <v>23.713000000000001</v>
      </c>
      <c r="I2792" s="49">
        <v>8.5399999999999991</v>
      </c>
      <c r="J2792" s="51">
        <v>3.69</v>
      </c>
      <c r="K2792" s="74">
        <f>Tabela6[[#This Row],[CONSUMO]]*Tabela6[[#This Row],[VALOR UNIT]]-Tabela6[[#This Row],[DESCONTO]]</f>
        <v>78.960970000000003</v>
      </c>
      <c r="L2792" s="53">
        <f>Tabela6[[#This Row],[CUSTO TOTAL]]/Tabela6[[#This Row],[CONSUMO]]</f>
        <v>3.3298599924092271</v>
      </c>
      <c r="M2792" s="53"/>
      <c r="N2792" s="49"/>
    </row>
    <row r="2793" spans="1:14" x14ac:dyDescent="0.25">
      <c r="A2793" s="47">
        <v>215869</v>
      </c>
      <c r="B2793" s="78">
        <v>45222</v>
      </c>
      <c r="C2793" s="47" t="s">
        <v>40</v>
      </c>
      <c r="D2793" s="49" t="s">
        <v>262</v>
      </c>
      <c r="E2793" s="47">
        <v>165425</v>
      </c>
      <c r="G2793" s="50" t="s">
        <v>244</v>
      </c>
      <c r="H2793" s="51">
        <v>35.71</v>
      </c>
      <c r="J2793" s="51">
        <v>5.59</v>
      </c>
      <c r="K2793" s="74">
        <f>Tabela6[[#This Row],[CONSUMO]]*Tabela6[[#This Row],[VALOR UNIT]]-Tabela6[[#This Row],[DESCONTO]]</f>
        <v>199.6189</v>
      </c>
      <c r="L2793" s="53">
        <f>Tabela6[[#This Row],[CUSTO TOTAL]]/Tabela6[[#This Row],[CONSUMO]]</f>
        <v>5.59</v>
      </c>
      <c r="M2793" s="50">
        <f>Tabela6[[#This Row],[KM ATUAL]]-E2772</f>
        <v>56180</v>
      </c>
      <c r="N2793" s="51">
        <f>Tabela6[[#This Row],[KM Rodados ]]/Tabela6[[#This Row],[CONSUMO]]</f>
        <v>1573.2287874544945</v>
      </c>
    </row>
    <row r="2794" spans="1:14" x14ac:dyDescent="0.25">
      <c r="A2794" s="47">
        <v>342588</v>
      </c>
      <c r="B2794" s="78">
        <v>45222</v>
      </c>
      <c r="C2794" s="47" t="s">
        <v>40</v>
      </c>
      <c r="D2794" s="49" t="s">
        <v>276</v>
      </c>
      <c r="E2794" s="47">
        <v>165723</v>
      </c>
      <c r="G2794" s="50" t="s">
        <v>244</v>
      </c>
      <c r="H2794" s="51">
        <v>22.19</v>
      </c>
      <c r="J2794" s="51">
        <v>5.89</v>
      </c>
      <c r="K2794" s="74">
        <f>Tabela6[[#This Row],[CONSUMO]]*Tabela6[[#This Row],[VALOR UNIT]]-Tabela6[[#This Row],[DESCONTO]]</f>
        <v>130.69909999999999</v>
      </c>
      <c r="L2794" s="53">
        <f>Tabela6[[#This Row],[CUSTO TOTAL]]/Tabela6[[#This Row],[CONSUMO]]</f>
        <v>5.8899999999999988</v>
      </c>
      <c r="M2794" s="50">
        <f>Tabela6[[#This Row],[KM ATUAL]]-E2793</f>
        <v>298</v>
      </c>
      <c r="N2794" s="51">
        <f>Tabela6[[#This Row],[KM Rodados ]]/Tabela6[[#This Row],[CONSUMO]]</f>
        <v>13.429472735466426</v>
      </c>
    </row>
    <row r="2795" spans="1:14" x14ac:dyDescent="0.25">
      <c r="A2795" s="47">
        <v>7855</v>
      </c>
      <c r="B2795" s="78">
        <v>45223</v>
      </c>
      <c r="C2795" s="47" t="s">
        <v>22</v>
      </c>
      <c r="D2795" s="49" t="s">
        <v>299</v>
      </c>
      <c r="E2795" s="47">
        <v>339872</v>
      </c>
      <c r="G2795" s="50" t="s">
        <v>89</v>
      </c>
      <c r="H2795" s="51">
        <v>130</v>
      </c>
      <c r="J2795" s="51">
        <v>5.88</v>
      </c>
      <c r="K2795" s="74">
        <f>Tabela6[[#This Row],[CONSUMO]]*Tabela6[[#This Row],[VALOR UNIT]]-Tabela6[[#This Row],[DESCONTO]]</f>
        <v>764.4</v>
      </c>
      <c r="L2795" s="53">
        <f>Tabela6[[#This Row],[CUSTO TOTAL]]/Tabela6[[#This Row],[CONSUMO]]</f>
        <v>5.88</v>
      </c>
      <c r="M2795" s="50">
        <f>Tabela6[[#This Row],[KM ATUAL]]-E2728</f>
        <v>89256</v>
      </c>
      <c r="N2795" s="51">
        <f>Tabela6[[#This Row],[KM Rodados ]]/Tabela6[[#This Row],[CONSUMO]]</f>
        <v>686.5846153846154</v>
      </c>
    </row>
    <row r="2796" spans="1:14" x14ac:dyDescent="0.25">
      <c r="A2796" s="47">
        <v>117829</v>
      </c>
      <c r="B2796" s="78">
        <v>45223</v>
      </c>
      <c r="C2796" s="47" t="s">
        <v>203</v>
      </c>
      <c r="D2796" s="49" t="s">
        <v>276</v>
      </c>
      <c r="E2796" s="47">
        <v>117829</v>
      </c>
      <c r="G2796" s="50" t="s">
        <v>244</v>
      </c>
      <c r="H2796" s="51">
        <v>48.581000000000003</v>
      </c>
      <c r="J2796" s="51">
        <v>5.89</v>
      </c>
      <c r="K2796" s="74">
        <f>Tabela6[[#This Row],[CONSUMO]]*Tabela6[[#This Row],[VALOR UNIT]]-Tabela6[[#This Row],[DESCONTO]]</f>
        <v>286.14209</v>
      </c>
      <c r="L2796" s="53">
        <f>Tabela6[[#This Row],[CUSTO TOTAL]]/Tabela6[[#This Row],[CONSUMO]]</f>
        <v>5.89</v>
      </c>
      <c r="M2796" s="50">
        <f>Tabela6[[#This Row],[KM ATUAL]]-E2668</f>
        <v>-510638</v>
      </c>
      <c r="N2796" s="51">
        <f>Tabela6[[#This Row],[KM Rodados ]]/Tabela6[[#This Row],[CONSUMO]]</f>
        <v>-10511.06399621251</v>
      </c>
    </row>
    <row r="2797" spans="1:14" x14ac:dyDescent="0.25">
      <c r="A2797" s="47">
        <v>152181</v>
      </c>
      <c r="B2797" s="78">
        <v>45223</v>
      </c>
      <c r="C2797" s="47" t="s">
        <v>72</v>
      </c>
      <c r="D2797" s="49" t="s">
        <v>263</v>
      </c>
      <c r="E2797" s="47">
        <v>420738</v>
      </c>
      <c r="G2797" s="50" t="s">
        <v>89</v>
      </c>
      <c r="H2797" s="51">
        <v>27.751000000000001</v>
      </c>
      <c r="J2797" s="51">
        <v>6.09</v>
      </c>
      <c r="K2797" s="74">
        <f>Tabela6[[#This Row],[CONSUMO]]*Tabela6[[#This Row],[VALOR UNIT]]-Tabela6[[#This Row],[DESCONTO]]</f>
        <v>169.00359</v>
      </c>
      <c r="L2797" s="53">
        <f>Tabela6[[#This Row],[CUSTO TOTAL]]/Tabela6[[#This Row],[CONSUMO]]</f>
        <v>6.09</v>
      </c>
      <c r="M2797" s="50">
        <f>Tabela6[[#This Row],[KM ATUAL]]-E2762</f>
        <v>-237044</v>
      </c>
      <c r="N2797" s="51">
        <f>Tabela6[[#This Row],[KM Rodados ]]/Tabela6[[#This Row],[CONSUMO]]</f>
        <v>-8541.8183128535911</v>
      </c>
    </row>
    <row r="2798" spans="1:14" x14ac:dyDescent="0.25">
      <c r="A2798" s="47">
        <v>7855</v>
      </c>
      <c r="B2798" s="78">
        <v>45223</v>
      </c>
      <c r="C2798" s="47" t="s">
        <v>73</v>
      </c>
      <c r="D2798" s="49" t="s">
        <v>299</v>
      </c>
      <c r="E2798" s="47">
        <v>157869</v>
      </c>
      <c r="G2798" s="50" t="s">
        <v>89</v>
      </c>
      <c r="H2798" s="51">
        <v>225</v>
      </c>
      <c r="J2798" s="51">
        <v>5.88</v>
      </c>
      <c r="K2798" s="74">
        <f>Tabela6[[#This Row],[CONSUMO]]*Tabela6[[#This Row],[VALOR UNIT]]-Tabela6[[#This Row],[DESCONTO]]</f>
        <v>1323</v>
      </c>
      <c r="L2798" s="53">
        <f>Tabela6[[#This Row],[CUSTO TOTAL]]/Tabela6[[#This Row],[CONSUMO]]</f>
        <v>5.88</v>
      </c>
      <c r="M2798" s="50">
        <f>Tabela6[[#This Row],[KM ATUAL]]-E2764</f>
        <v>-175502</v>
      </c>
      <c r="N2798" s="51">
        <f>Tabela6[[#This Row],[KM Rodados ]]/Tabela6[[#This Row],[CONSUMO]]</f>
        <v>-780.00888888888892</v>
      </c>
    </row>
    <row r="2799" spans="1:14" x14ac:dyDescent="0.25">
      <c r="A2799" s="47">
        <v>216105</v>
      </c>
      <c r="B2799" s="78">
        <v>45223</v>
      </c>
      <c r="C2799" s="47" t="s">
        <v>71</v>
      </c>
      <c r="D2799" s="49" t="s">
        <v>262</v>
      </c>
      <c r="E2799" s="47">
        <v>130666</v>
      </c>
      <c r="G2799" s="50" t="s">
        <v>241</v>
      </c>
      <c r="H2799" s="51">
        <v>37.24</v>
      </c>
      <c r="I2799" s="49">
        <v>13.41</v>
      </c>
      <c r="J2799" s="51">
        <v>3.69</v>
      </c>
      <c r="K2799" s="74">
        <f>Tabela6[[#This Row],[CONSUMO]]*Tabela6[[#This Row],[VALOR UNIT]]-Tabela6[[#This Row],[DESCONTO]]</f>
        <v>124.00560000000002</v>
      </c>
      <c r="L2799" s="53">
        <f>Tabela6[[#This Row],[CUSTO TOTAL]]/Tabela6[[#This Row],[CONSUMO]]</f>
        <v>3.3299033297529541</v>
      </c>
      <c r="M2799" s="53"/>
      <c r="N2799" s="49"/>
    </row>
    <row r="2800" spans="1:14" x14ac:dyDescent="0.25">
      <c r="A2800" s="47">
        <v>72430</v>
      </c>
      <c r="B2800" s="78">
        <v>45223</v>
      </c>
      <c r="C2800" s="47" t="s">
        <v>64</v>
      </c>
      <c r="D2800" s="49" t="s">
        <v>253</v>
      </c>
      <c r="E2800" s="47">
        <v>99443</v>
      </c>
      <c r="G2800" s="50" t="s">
        <v>89</v>
      </c>
      <c r="H2800" s="51">
        <v>154.97</v>
      </c>
      <c r="J2800" s="51">
        <v>6.29</v>
      </c>
      <c r="K2800" s="74">
        <f>Tabela6[[#This Row],[CONSUMO]]*Tabela6[[#This Row],[VALOR UNIT]]-Tabela6[[#This Row],[DESCONTO]]</f>
        <v>974.76130000000001</v>
      </c>
      <c r="L2800" s="53">
        <f>Tabela6[[#This Row],[CUSTO TOTAL]]/Tabela6[[#This Row],[CONSUMO]]</f>
        <v>6.29</v>
      </c>
      <c r="M2800" s="50">
        <f>Tabela6[[#This Row],[KM ATUAL]]-E2754</f>
        <v>-57447</v>
      </c>
      <c r="N2800" s="51">
        <f>Tabela6[[#This Row],[KM Rodados ]]/Tabela6[[#This Row],[CONSUMO]]</f>
        <v>-370.69755436536104</v>
      </c>
    </row>
    <row r="2801" spans="1:14" x14ac:dyDescent="0.25">
      <c r="A2801" s="47">
        <v>7855</v>
      </c>
      <c r="B2801" s="78">
        <v>45223</v>
      </c>
      <c r="C2801" s="47" t="s">
        <v>21</v>
      </c>
      <c r="D2801" s="49" t="s">
        <v>299</v>
      </c>
      <c r="E2801" s="47">
        <v>159797</v>
      </c>
      <c r="G2801" s="50" t="s">
        <v>89</v>
      </c>
      <c r="H2801" s="51">
        <v>76</v>
      </c>
      <c r="J2801" s="51">
        <v>5.88</v>
      </c>
      <c r="K2801" s="74">
        <f>Tabela6[[#This Row],[CONSUMO]]*Tabela6[[#This Row],[VALOR UNIT]]-Tabela6[[#This Row],[DESCONTO]]</f>
        <v>446.88</v>
      </c>
      <c r="L2801" s="53">
        <f>Tabela6[[#This Row],[CUSTO TOTAL]]/Tabela6[[#This Row],[CONSUMO]]</f>
        <v>5.88</v>
      </c>
      <c r="M2801" s="50">
        <f>Tabela6[[#This Row],[KM ATUAL]]-E2762</f>
        <v>-497985</v>
      </c>
      <c r="N2801" s="51">
        <f>Tabela6[[#This Row],[KM Rodados ]]/Tabela6[[#This Row],[CONSUMO]]</f>
        <v>-6552.4342105263158</v>
      </c>
    </row>
    <row r="2802" spans="1:14" x14ac:dyDescent="0.25">
      <c r="A2802" s="47">
        <v>358180</v>
      </c>
      <c r="B2802" s="78">
        <v>45223</v>
      </c>
      <c r="C2802" s="47" t="s">
        <v>301</v>
      </c>
      <c r="D2802" s="49" t="s">
        <v>343</v>
      </c>
      <c r="E2802" s="47">
        <v>1055880</v>
      </c>
      <c r="G2802" s="50" t="s">
        <v>89</v>
      </c>
      <c r="H2802" s="51">
        <v>217.172</v>
      </c>
      <c r="J2802" s="51">
        <v>5.89</v>
      </c>
      <c r="K2802" s="74">
        <f>Tabela6[[#This Row],[CONSUMO]]*Tabela6[[#This Row],[VALOR UNIT]]-Tabela6[[#This Row],[DESCONTO]]</f>
        <v>1279.1430799999998</v>
      </c>
      <c r="L2802" s="53">
        <f>Tabela6[[#This Row],[CUSTO TOTAL]]/Tabela6[[#This Row],[CONSUMO]]</f>
        <v>5.89</v>
      </c>
      <c r="M2802" s="50">
        <f>Tabela6[[#This Row],[KM ATUAL]]-E2778</f>
        <v>681077</v>
      </c>
      <c r="N2802" s="51">
        <f>Tabela6[[#This Row],[KM Rodados ]]/Tabela6[[#This Row],[CONSUMO]]</f>
        <v>3136.117915753412</v>
      </c>
    </row>
    <row r="2803" spans="1:14" x14ac:dyDescent="0.25">
      <c r="A2803" s="47">
        <v>1082266</v>
      </c>
      <c r="B2803" s="78">
        <v>45223</v>
      </c>
      <c r="C2803" s="47" t="s">
        <v>206</v>
      </c>
      <c r="D2803" s="49" t="s">
        <v>281</v>
      </c>
      <c r="E2803" s="47">
        <v>972777</v>
      </c>
      <c r="G2803" s="50" t="s">
        <v>89</v>
      </c>
      <c r="H2803" s="51">
        <v>420.01499999999999</v>
      </c>
      <c r="J2803" s="51">
        <v>6.09</v>
      </c>
      <c r="K2803" s="74">
        <f>Tabela6[[#This Row],[CONSUMO]]*Tabela6[[#This Row],[VALOR UNIT]]-Tabela6[[#This Row],[DESCONTO]]</f>
        <v>2557.8913499999999</v>
      </c>
      <c r="L2803" s="53">
        <f>Tabela6[[#This Row],[CUSTO TOTAL]]/Tabela6[[#This Row],[CONSUMO]]</f>
        <v>6.09</v>
      </c>
      <c r="M2803" s="50">
        <f>Tabela6[[#This Row],[KM ATUAL]]-E2797</f>
        <v>552039</v>
      </c>
      <c r="N2803" s="51">
        <f>Tabela6[[#This Row],[KM Rodados ]]/Tabela6[[#This Row],[CONSUMO]]</f>
        <v>1314.3316310131781</v>
      </c>
    </row>
    <row r="2804" spans="1:14" x14ac:dyDescent="0.25">
      <c r="A2804" s="47">
        <v>7855</v>
      </c>
      <c r="B2804" s="78">
        <v>45223</v>
      </c>
      <c r="C2804" s="47" t="s">
        <v>13</v>
      </c>
      <c r="D2804" s="49" t="s">
        <v>299</v>
      </c>
      <c r="E2804" s="47">
        <v>658726</v>
      </c>
      <c r="G2804" s="50" t="s">
        <v>89</v>
      </c>
      <c r="H2804" s="51">
        <v>110</v>
      </c>
      <c r="J2804" s="51">
        <v>5.88</v>
      </c>
      <c r="K2804" s="74">
        <f>Tabela6[[#This Row],[CONSUMO]]*Tabela6[[#This Row],[VALOR UNIT]]-Tabela6[[#This Row],[DESCONTO]]</f>
        <v>646.79999999999995</v>
      </c>
      <c r="L2804" s="53">
        <f>Tabela6[[#This Row],[CUSTO TOTAL]]/Tabela6[[#This Row],[CONSUMO]]</f>
        <v>5.88</v>
      </c>
      <c r="M2804" s="50">
        <f>Tabela6[[#This Row],[KM ATUAL]]-E2761</f>
        <v>-312800</v>
      </c>
      <c r="N2804" s="51">
        <f>Tabela6[[#This Row],[KM Rodados ]]/Tabela6[[#This Row],[CONSUMO]]</f>
        <v>-2843.6363636363635</v>
      </c>
    </row>
    <row r="2805" spans="1:14" x14ac:dyDescent="0.25">
      <c r="A2805" s="47">
        <v>7855</v>
      </c>
      <c r="B2805" s="78">
        <v>45223</v>
      </c>
      <c r="C2805" s="47" t="s">
        <v>19</v>
      </c>
      <c r="D2805" s="49" t="s">
        <v>299</v>
      </c>
      <c r="E2805" s="47">
        <v>333809</v>
      </c>
      <c r="G2805" s="50" t="s">
        <v>89</v>
      </c>
      <c r="H2805" s="51">
        <v>90</v>
      </c>
      <c r="J2805" s="51">
        <v>5.88</v>
      </c>
      <c r="K2805" s="74">
        <f>Tabela6[[#This Row],[CONSUMO]]*Tabela6[[#This Row],[VALOR UNIT]]-Tabela6[[#This Row],[DESCONTO]]</f>
        <v>529.20000000000005</v>
      </c>
      <c r="L2805" s="53">
        <f>Tabela6[[#This Row],[CUSTO TOTAL]]/Tabela6[[#This Row],[CONSUMO]]</f>
        <v>5.8800000000000008</v>
      </c>
      <c r="M2805" s="50">
        <f>Tabela6[[#This Row],[KM ATUAL]]-E2765</f>
        <v>195679</v>
      </c>
      <c r="N2805" s="51">
        <f>Tabela6[[#This Row],[KM Rodados ]]/Tabela6[[#This Row],[CONSUMO]]</f>
        <v>2174.2111111111112</v>
      </c>
    </row>
    <row r="2806" spans="1:14" x14ac:dyDescent="0.25">
      <c r="A2806" s="47">
        <v>284773</v>
      </c>
      <c r="B2806" s="78">
        <v>45223</v>
      </c>
      <c r="C2806" s="47" t="s">
        <v>74</v>
      </c>
      <c r="D2806" s="49" t="s">
        <v>268</v>
      </c>
      <c r="E2806" s="47">
        <v>86106</v>
      </c>
      <c r="G2806" s="50" t="s">
        <v>89</v>
      </c>
      <c r="H2806" s="51">
        <v>20.66</v>
      </c>
      <c r="J2806" s="51">
        <v>5.99</v>
      </c>
      <c r="K2806" s="74">
        <f>Tabela6[[#This Row],[CONSUMO]]*Tabela6[[#This Row],[VALOR UNIT]]-Tabela6[[#This Row],[DESCONTO]]</f>
        <v>123.7534</v>
      </c>
      <c r="L2806" s="53">
        <f>Tabela6[[#This Row],[CUSTO TOTAL]]/Tabela6[[#This Row],[CONSUMO]]</f>
        <v>5.99</v>
      </c>
      <c r="M2806" s="50">
        <f>Tabela6[[#This Row],[KM ATUAL]]-E2805</f>
        <v>-247703</v>
      </c>
      <c r="N2806" s="51">
        <f>Tabela6[[#This Row],[KM Rodados ]]/Tabela6[[#This Row],[CONSUMO]]</f>
        <v>-11989.496611810262</v>
      </c>
    </row>
    <row r="2807" spans="1:14" x14ac:dyDescent="0.25">
      <c r="A2807" s="47">
        <v>7855</v>
      </c>
      <c r="B2807" s="78">
        <v>45223</v>
      </c>
      <c r="C2807" s="47" t="s">
        <v>315</v>
      </c>
      <c r="D2807" s="49" t="s">
        <v>299</v>
      </c>
      <c r="E2807" s="47">
        <v>5171</v>
      </c>
      <c r="G2807" s="50" t="s">
        <v>89</v>
      </c>
      <c r="H2807" s="51">
        <v>25</v>
      </c>
      <c r="J2807" s="51">
        <v>5.88</v>
      </c>
      <c r="K2807" s="74">
        <f>Tabela6[[#This Row],[CONSUMO]]*Tabela6[[#This Row],[VALOR UNIT]]-Tabela6[[#This Row],[DESCONTO]]</f>
        <v>147</v>
      </c>
      <c r="L2807" s="53">
        <f>Tabela6[[#This Row],[CUSTO TOTAL]]/Tabela6[[#This Row],[CONSUMO]]</f>
        <v>5.88</v>
      </c>
      <c r="M2807" s="50">
        <f>Tabela6[[#This Row],[KM ATUAL]]-E2777</f>
        <v>-505534</v>
      </c>
      <c r="N2807" s="51">
        <f>Tabela6[[#This Row],[KM Rodados ]]/Tabela6[[#This Row],[CONSUMO]]</f>
        <v>-20221.36</v>
      </c>
    </row>
    <row r="2808" spans="1:14" x14ac:dyDescent="0.25">
      <c r="A2808" s="47">
        <v>7855</v>
      </c>
      <c r="B2808" s="78">
        <v>45224</v>
      </c>
      <c r="C2808" s="47" t="s">
        <v>358</v>
      </c>
      <c r="D2808" s="49" t="s">
        <v>299</v>
      </c>
      <c r="E2808" s="47">
        <v>822776</v>
      </c>
      <c r="G2808" s="50" t="s">
        <v>89</v>
      </c>
      <c r="H2808" s="51">
        <v>223</v>
      </c>
      <c r="J2808" s="51">
        <v>5.88</v>
      </c>
      <c r="K2808" s="74">
        <f>Tabela6[[#This Row],[CONSUMO]]*Tabela6[[#This Row],[VALOR UNIT]]-Tabela6[[#This Row],[DESCONTO]]</f>
        <v>1311.24</v>
      </c>
      <c r="L2808" s="53">
        <f>Tabela6[[#This Row],[CUSTO TOTAL]]/Tabela6[[#This Row],[CONSUMO]]</f>
        <v>5.88</v>
      </c>
      <c r="M2808" s="53"/>
      <c r="N2808" s="49"/>
    </row>
    <row r="2809" spans="1:14" x14ac:dyDescent="0.25">
      <c r="A2809" s="47">
        <v>73622</v>
      </c>
      <c r="B2809" s="78">
        <v>45224</v>
      </c>
      <c r="C2809" s="47" t="s">
        <v>358</v>
      </c>
      <c r="D2809" s="49" t="s">
        <v>253</v>
      </c>
      <c r="E2809" s="47">
        <v>822931</v>
      </c>
      <c r="G2809" s="50" t="s">
        <v>241</v>
      </c>
      <c r="H2809" s="51">
        <v>22.132999999999999</v>
      </c>
      <c r="J2809" s="51">
        <v>3.49</v>
      </c>
      <c r="K2809" s="74">
        <f>Tabela6[[#This Row],[CONSUMO]]*Tabela6[[#This Row],[VALOR UNIT]]-Tabela6[[#This Row],[DESCONTO]]</f>
        <v>77.244169999999997</v>
      </c>
      <c r="L2809" s="53">
        <f>Tabela6[[#This Row],[CUSTO TOTAL]]/Tabela6[[#This Row],[CONSUMO]]</f>
        <v>3.49</v>
      </c>
      <c r="M2809" s="53"/>
      <c r="N2809" s="49"/>
    </row>
    <row r="2810" spans="1:14" x14ac:dyDescent="0.25">
      <c r="A2810" s="47">
        <v>349833</v>
      </c>
      <c r="B2810" s="78">
        <v>45224</v>
      </c>
      <c r="C2810" s="47" t="s">
        <v>222</v>
      </c>
      <c r="D2810" s="49" t="s">
        <v>345</v>
      </c>
      <c r="E2810" s="47">
        <v>512091</v>
      </c>
      <c r="G2810" s="50" t="s">
        <v>89</v>
      </c>
      <c r="H2810" s="51">
        <v>100.003</v>
      </c>
      <c r="J2810" s="51">
        <v>5.93</v>
      </c>
      <c r="K2810" s="74">
        <v>593.01778999999999</v>
      </c>
      <c r="L2810" s="53">
        <v>5.93</v>
      </c>
      <c r="M2810" s="50">
        <f>Tabela6[[#This Row],[KM ATUAL]]-E2775</f>
        <v>507318</v>
      </c>
      <c r="N2810" s="51">
        <f>Tabela6[[#This Row],[KM Rodados ]]/Tabela6[[#This Row],[CONSUMO]]</f>
        <v>5073.0278091657246</v>
      </c>
    </row>
    <row r="2811" spans="1:14" x14ac:dyDescent="0.25">
      <c r="A2811" s="47">
        <v>392788</v>
      </c>
      <c r="B2811" s="78">
        <v>45224</v>
      </c>
      <c r="C2811" s="47" t="s">
        <v>222</v>
      </c>
      <c r="D2811" s="49" t="s">
        <v>342</v>
      </c>
      <c r="E2811" s="47">
        <v>512329</v>
      </c>
      <c r="G2811" s="50" t="s">
        <v>89</v>
      </c>
      <c r="H2811" s="51">
        <v>315</v>
      </c>
      <c r="J2811" s="51">
        <v>5.86</v>
      </c>
      <c r="K2811" s="74">
        <v>1845.9</v>
      </c>
      <c r="L2811" s="53">
        <v>5.86</v>
      </c>
      <c r="M2811" s="50">
        <f>Tabela6[[#This Row],[KM ATUAL]]-E2810</f>
        <v>238</v>
      </c>
      <c r="N2811" s="51">
        <f>Tabela6[[#This Row],[KM Rodados ]]/Tabela6[[#This Row],[CONSUMO]]</f>
        <v>0.75555555555555554</v>
      </c>
    </row>
    <row r="2812" spans="1:14" x14ac:dyDescent="0.25">
      <c r="A2812" s="47">
        <v>7855</v>
      </c>
      <c r="B2812" s="78">
        <v>45224</v>
      </c>
      <c r="C2812" s="47" t="s">
        <v>67</v>
      </c>
      <c r="D2812" s="49" t="s">
        <v>299</v>
      </c>
      <c r="E2812" s="47">
        <v>686375</v>
      </c>
      <c r="G2812" s="50" t="s">
        <v>89</v>
      </c>
      <c r="H2812" s="51">
        <v>105</v>
      </c>
      <c r="J2812" s="51">
        <v>5.88</v>
      </c>
      <c r="K2812" s="74">
        <f>Tabela6[[#This Row],[CONSUMO]]*Tabela6[[#This Row],[VALOR UNIT]]-Tabela6[[#This Row],[DESCONTO]]</f>
        <v>617.4</v>
      </c>
      <c r="L2812" s="53">
        <f>Tabela6[[#This Row],[CUSTO TOTAL]]/Tabela6[[#This Row],[CONSUMO]]</f>
        <v>5.88</v>
      </c>
      <c r="M2812" s="50">
        <f>Tabela6[[#This Row],[KM ATUAL]]-E2776</f>
        <v>175670</v>
      </c>
      <c r="N2812" s="51">
        <f>Tabela6[[#This Row],[KM Rodados ]]/Tabela6[[#This Row],[CONSUMO]]</f>
        <v>1673.047619047619</v>
      </c>
    </row>
    <row r="2813" spans="1:14" x14ac:dyDescent="0.25">
      <c r="A2813" s="47">
        <v>423634</v>
      </c>
      <c r="B2813" s="78">
        <v>45224</v>
      </c>
      <c r="C2813" s="47" t="s">
        <v>70</v>
      </c>
      <c r="D2813" s="49" t="s">
        <v>333</v>
      </c>
      <c r="E2813" s="47">
        <v>234638</v>
      </c>
      <c r="G2813" s="50" t="s">
        <v>241</v>
      </c>
      <c r="H2813" s="51">
        <v>66.790000000000006</v>
      </c>
      <c r="J2813" s="51">
        <v>2.99</v>
      </c>
      <c r="K2813" s="74">
        <f>Tabela6[[#This Row],[CONSUMO]]*Tabela6[[#This Row],[VALOR UNIT]]-Tabela6[[#This Row],[DESCONTO]]</f>
        <v>199.70210000000003</v>
      </c>
      <c r="L2813" s="53">
        <f>Tabela6[[#This Row],[CUSTO TOTAL]]/Tabela6[[#This Row],[CONSUMO]]</f>
        <v>2.99</v>
      </c>
      <c r="M2813" s="50"/>
    </row>
    <row r="2814" spans="1:14" x14ac:dyDescent="0.25">
      <c r="A2814" s="47">
        <v>423633</v>
      </c>
      <c r="B2814" s="78">
        <v>45224</v>
      </c>
      <c r="C2814" s="47" t="s">
        <v>70</v>
      </c>
      <c r="D2814" s="49" t="s">
        <v>333</v>
      </c>
      <c r="E2814" s="47">
        <v>234638</v>
      </c>
      <c r="G2814" s="50" t="s">
        <v>89</v>
      </c>
      <c r="H2814" s="51">
        <v>450.01499999999999</v>
      </c>
      <c r="J2814" s="51">
        <v>6.09</v>
      </c>
      <c r="K2814" s="74">
        <f>Tabela6[[#This Row],[CONSUMO]]*Tabela6[[#This Row],[VALOR UNIT]]-Tabela6[[#This Row],[DESCONTO]]</f>
        <v>2740.5913499999997</v>
      </c>
      <c r="L2814" s="53">
        <f>Tabela6[[#This Row],[CUSTO TOTAL]]/Tabela6[[#This Row],[CONSUMO]]</f>
        <v>6.09</v>
      </c>
      <c r="M2814" s="50">
        <f>Tabela6[[#This Row],[KM ATUAL]]-E2778</f>
        <v>-140165</v>
      </c>
      <c r="N2814" s="51">
        <f>Tabela6[[#This Row],[KM Rodados ]]/Tabela6[[#This Row],[CONSUMO]]</f>
        <v>-311.46739553126008</v>
      </c>
    </row>
    <row r="2815" spans="1:14" x14ac:dyDescent="0.25">
      <c r="A2815" s="47">
        <v>216325</v>
      </c>
      <c r="B2815" s="78">
        <v>45224</v>
      </c>
      <c r="C2815" s="47" t="s">
        <v>203</v>
      </c>
      <c r="D2815" s="49" t="s">
        <v>262</v>
      </c>
      <c r="E2815" s="47">
        <v>118274</v>
      </c>
      <c r="G2815" s="50" t="s">
        <v>244</v>
      </c>
      <c r="H2815" s="51">
        <v>31.54</v>
      </c>
      <c r="J2815" s="51">
        <v>5.59</v>
      </c>
      <c r="K2815" s="74">
        <f>Tabela6[[#This Row],[CONSUMO]]*Tabela6[[#This Row],[VALOR UNIT]]-Tabela6[[#This Row],[DESCONTO]]</f>
        <v>176.30859999999998</v>
      </c>
      <c r="L2815" s="53">
        <f>Tabela6[[#This Row],[CUSTO TOTAL]]/Tabela6[[#This Row],[CONSUMO]]</f>
        <v>5.59</v>
      </c>
      <c r="M2815" s="50">
        <f>Tabela6[[#This Row],[KM ATUAL]]-E2807</f>
        <v>113103</v>
      </c>
      <c r="N2815" s="51">
        <f>Tabela6[[#This Row],[KM Rodados ]]/Tabela6[[#This Row],[CONSUMO]]</f>
        <v>3586.0177552314522</v>
      </c>
    </row>
    <row r="2816" spans="1:14" x14ac:dyDescent="0.25">
      <c r="A2816" s="47">
        <v>7855</v>
      </c>
      <c r="B2816" s="78">
        <v>45224</v>
      </c>
      <c r="C2816" s="47" t="s">
        <v>72</v>
      </c>
      <c r="D2816" s="49" t="s">
        <v>299</v>
      </c>
      <c r="E2816" s="47">
        <v>421155</v>
      </c>
      <c r="G2816" s="50" t="s">
        <v>89</v>
      </c>
      <c r="H2816" s="51">
        <v>49</v>
      </c>
      <c r="J2816" s="51">
        <v>5.88</v>
      </c>
      <c r="K2816" s="74">
        <f>Tabela6[[#This Row],[CONSUMO]]*Tabela6[[#This Row],[VALOR UNIT]]-Tabela6[[#This Row],[DESCONTO]]</f>
        <v>288.12</v>
      </c>
      <c r="L2816" s="53">
        <f>Tabela6[[#This Row],[CUSTO TOTAL]]/Tabela6[[#This Row],[CONSUMO]]</f>
        <v>5.88</v>
      </c>
      <c r="M2816" s="50">
        <f>Tabela6[[#This Row],[KM ATUAL]]-E2813</f>
        <v>186517</v>
      </c>
      <c r="N2816" s="51">
        <f>Tabela6[[#This Row],[KM Rodados ]]/Tabela6[[#This Row],[CONSUMO]]</f>
        <v>3806.4693877551022</v>
      </c>
    </row>
    <row r="2817" spans="1:14" x14ac:dyDescent="0.25">
      <c r="A2817" s="47">
        <v>7855</v>
      </c>
      <c r="B2817" s="78">
        <v>45224</v>
      </c>
      <c r="C2817" s="47" t="s">
        <v>41</v>
      </c>
      <c r="D2817" s="49" t="s">
        <v>299</v>
      </c>
      <c r="E2817" s="47">
        <v>681275</v>
      </c>
      <c r="G2817" s="50" t="s">
        <v>89</v>
      </c>
      <c r="H2817" s="51">
        <v>110</v>
      </c>
      <c r="J2817" s="51">
        <v>5.88</v>
      </c>
      <c r="K2817" s="74">
        <f>Tabela6[[#This Row],[CONSUMO]]*Tabela6[[#This Row],[VALOR UNIT]]-Tabela6[[#This Row],[DESCONTO]]</f>
        <v>646.79999999999995</v>
      </c>
      <c r="L2817" s="53">
        <f>Tabela6[[#This Row],[CUSTO TOTAL]]/Tabela6[[#This Row],[CONSUMO]]</f>
        <v>5.88</v>
      </c>
      <c r="M2817" s="50">
        <f>Tabela6[[#This Row],[KM ATUAL]]-E2772</f>
        <v>572030</v>
      </c>
      <c r="N2817" s="51">
        <f>Tabela6[[#This Row],[KM Rodados ]]/Tabela6[[#This Row],[CONSUMO]]</f>
        <v>5200.272727272727</v>
      </c>
    </row>
    <row r="2818" spans="1:14" x14ac:dyDescent="0.25">
      <c r="A2818" s="47">
        <v>73193</v>
      </c>
      <c r="B2818" s="78">
        <v>45224</v>
      </c>
      <c r="C2818" s="47" t="s">
        <v>11</v>
      </c>
      <c r="D2818" s="49" t="s">
        <v>253</v>
      </c>
      <c r="E2818" s="47">
        <v>403854</v>
      </c>
      <c r="G2818" s="50" t="s">
        <v>241</v>
      </c>
      <c r="H2818" s="51">
        <v>1</v>
      </c>
      <c r="J2818" s="51">
        <v>3.49</v>
      </c>
      <c r="K2818" s="74">
        <f>Tabela6[[#This Row],[CONSUMO]]*Tabela6[[#This Row],[VALOR UNIT]]-Tabela6[[#This Row],[DESCONTO]]</f>
        <v>3.49</v>
      </c>
      <c r="L2818" s="53">
        <f>Tabela6[[#This Row],[CUSTO TOTAL]]/Tabela6[[#This Row],[CONSUMO]]</f>
        <v>3.49</v>
      </c>
      <c r="M2818" s="50"/>
    </row>
    <row r="2819" spans="1:14" x14ac:dyDescent="0.25">
      <c r="A2819" s="47">
        <v>7855</v>
      </c>
      <c r="B2819" s="78">
        <v>45224</v>
      </c>
      <c r="C2819" s="47" t="s">
        <v>301</v>
      </c>
      <c r="D2819" s="49" t="s">
        <v>299</v>
      </c>
      <c r="E2819" s="47">
        <v>1054257</v>
      </c>
      <c r="G2819" s="50" t="s">
        <v>89</v>
      </c>
      <c r="H2819" s="51">
        <v>112</v>
      </c>
      <c r="J2819" s="51">
        <v>5.88</v>
      </c>
      <c r="K2819" s="74">
        <f>Tabela6[[#This Row],[CONSUMO]]*Tabela6[[#This Row],[VALOR UNIT]]-Tabela6[[#This Row],[DESCONTO]]</f>
        <v>658.56</v>
      </c>
      <c r="L2819" s="53">
        <f>Tabela6[[#This Row],[CUSTO TOTAL]]/Tabela6[[#This Row],[CONSUMO]]</f>
        <v>5.88</v>
      </c>
      <c r="M2819" s="50">
        <f>Tabela6[[#This Row],[KM ATUAL]]-E2796</f>
        <v>936428</v>
      </c>
      <c r="N2819" s="51">
        <f>Tabela6[[#This Row],[KM Rodados ]]/Tabela6[[#This Row],[CONSUMO]]</f>
        <v>8360.9642857142862</v>
      </c>
    </row>
    <row r="2820" spans="1:14" x14ac:dyDescent="0.25">
      <c r="A2820" s="47">
        <v>760754</v>
      </c>
      <c r="B2820" s="78">
        <v>45224</v>
      </c>
      <c r="C2820" s="47" t="s">
        <v>19</v>
      </c>
      <c r="D2820" s="49" t="s">
        <v>357</v>
      </c>
      <c r="E2820" s="47">
        <v>334317</v>
      </c>
      <c r="G2820" s="50" t="s">
        <v>89</v>
      </c>
      <c r="H2820" s="51">
        <v>93.046999999999997</v>
      </c>
      <c r="J2820" s="51">
        <v>6.03</v>
      </c>
      <c r="K2820" s="74">
        <f>Tabela6[[#This Row],[CONSUMO]]*Tabela6[[#This Row],[VALOR UNIT]]-Tabela6[[#This Row],[DESCONTO]]</f>
        <v>561.07340999999997</v>
      </c>
      <c r="L2820" s="53">
        <f>Tabela6[[#This Row],[CUSTO TOTAL]]/Tabela6[[#This Row],[CONSUMO]]</f>
        <v>6.03</v>
      </c>
      <c r="M2820" s="50">
        <f>Tabela6[[#This Row],[KM ATUAL]]-E2797</f>
        <v>-86421</v>
      </c>
      <c r="N2820" s="51">
        <f>Tabela6[[#This Row],[KM Rodados ]]/Tabela6[[#This Row],[CONSUMO]]</f>
        <v>-928.78867669027488</v>
      </c>
    </row>
    <row r="2821" spans="1:14" x14ac:dyDescent="0.25">
      <c r="A2821" s="47">
        <v>7855</v>
      </c>
      <c r="B2821" s="78">
        <v>45224</v>
      </c>
      <c r="C2821" s="47" t="s">
        <v>20</v>
      </c>
      <c r="D2821" s="49" t="s">
        <v>299</v>
      </c>
      <c r="E2821" s="47">
        <v>277848</v>
      </c>
      <c r="G2821" s="50" t="s">
        <v>89</v>
      </c>
      <c r="H2821" s="51">
        <v>31</v>
      </c>
      <c r="J2821" s="51">
        <v>5.88</v>
      </c>
      <c r="K2821" s="74">
        <f>Tabela6[[#This Row],[CONSUMO]]*Tabela6[[#This Row],[VALOR UNIT]]-Tabela6[[#This Row],[DESCONTO]]</f>
        <v>182.28</v>
      </c>
      <c r="L2821" s="53">
        <f>Tabela6[[#This Row],[CUSTO TOTAL]]/Tabela6[[#This Row],[CONSUMO]]</f>
        <v>5.88</v>
      </c>
      <c r="M2821" s="50">
        <f>Tabela6[[#This Row],[KM ATUAL]]-E2744</f>
        <v>192628</v>
      </c>
      <c r="N2821" s="51">
        <f>Tabela6[[#This Row],[KM Rodados ]]/Tabela6[[#This Row],[CONSUMO]]</f>
        <v>6213.8064516129034</v>
      </c>
    </row>
    <row r="2822" spans="1:14" x14ac:dyDescent="0.25">
      <c r="A2822" s="47">
        <v>576061</v>
      </c>
      <c r="B2822" s="78">
        <v>45224</v>
      </c>
      <c r="C2822" s="47" t="s">
        <v>23</v>
      </c>
      <c r="D2822" s="49" t="s">
        <v>255</v>
      </c>
      <c r="E2822" s="47">
        <v>252006</v>
      </c>
      <c r="G2822" s="50" t="s">
        <v>89</v>
      </c>
      <c r="H2822" s="51">
        <v>101.24</v>
      </c>
      <c r="J2822" s="51">
        <v>6.89</v>
      </c>
      <c r="K2822" s="74">
        <f>Tabela6[[#This Row],[CONSUMO]]*Tabela6[[#This Row],[VALOR UNIT]]-Tabela6[[#This Row],[DESCONTO]]</f>
        <v>697.54359999999997</v>
      </c>
      <c r="L2822" s="53">
        <f>Tabela6[[#This Row],[CUSTO TOTAL]]/Tabela6[[#This Row],[CONSUMO]]</f>
        <v>6.89</v>
      </c>
      <c r="M2822" s="50">
        <f>Tabela6[[#This Row],[KM ATUAL]]-E2757</f>
        <v>92524</v>
      </c>
      <c r="N2822" s="51">
        <f>Tabela6[[#This Row],[KM Rodados ]]/Tabela6[[#This Row],[CONSUMO]]</f>
        <v>913.90754642433831</v>
      </c>
    </row>
    <row r="2823" spans="1:14" x14ac:dyDescent="0.25">
      <c r="A2823" s="47">
        <v>343024</v>
      </c>
      <c r="B2823" s="78">
        <v>45224</v>
      </c>
      <c r="C2823" s="47" t="s">
        <v>40</v>
      </c>
      <c r="D2823" s="49" t="s">
        <v>276</v>
      </c>
      <c r="E2823" s="47">
        <v>166192</v>
      </c>
      <c r="G2823" s="50" t="s">
        <v>244</v>
      </c>
      <c r="H2823" s="51">
        <v>33.36</v>
      </c>
      <c r="J2823" s="51">
        <v>5.89</v>
      </c>
      <c r="K2823" s="74">
        <f>Tabela6[[#This Row],[CONSUMO]]*Tabela6[[#This Row],[VALOR UNIT]]-Tabela6[[#This Row],[DESCONTO]]</f>
        <v>196.49039999999999</v>
      </c>
      <c r="L2823" s="53">
        <f>Tabela6[[#This Row],[CUSTO TOTAL]]/Tabela6[[#This Row],[CONSUMO]]</f>
        <v>5.89</v>
      </c>
      <c r="M2823" s="50">
        <f>Tabela6[[#This Row],[KM ATUAL]]-E2775</f>
        <v>161419</v>
      </c>
      <c r="N2823" s="51">
        <f>Tabela6[[#This Row],[KM Rodados ]]/Tabela6[[#This Row],[CONSUMO]]</f>
        <v>4838.6990407673866</v>
      </c>
    </row>
    <row r="2824" spans="1:14" x14ac:dyDescent="0.25">
      <c r="A2824" s="47">
        <v>7855</v>
      </c>
      <c r="B2824" s="78">
        <v>45224</v>
      </c>
      <c r="C2824" s="47" t="s">
        <v>74</v>
      </c>
      <c r="D2824" s="49" t="s">
        <v>299</v>
      </c>
      <c r="E2824" s="47">
        <v>86219</v>
      </c>
      <c r="G2824" s="50" t="s">
        <v>89</v>
      </c>
      <c r="H2824" s="51">
        <v>91</v>
      </c>
      <c r="J2824" s="51">
        <v>5.88</v>
      </c>
      <c r="K2824" s="74">
        <f>Tabela6[[#This Row],[CONSUMO]]*Tabela6[[#This Row],[VALOR UNIT]]-Tabela6[[#This Row],[DESCONTO]]</f>
        <v>535.08000000000004</v>
      </c>
      <c r="L2824" s="53">
        <f>Tabela6[[#This Row],[CUSTO TOTAL]]/Tabela6[[#This Row],[CONSUMO]]</f>
        <v>5.8800000000000008</v>
      </c>
      <c r="M2824" s="50">
        <f>Tabela6[[#This Row],[KM ATUAL]]-E2815</f>
        <v>-32055</v>
      </c>
      <c r="N2824" s="51">
        <f>Tabela6[[#This Row],[KM Rodados ]]/Tabela6[[#This Row],[CONSUMO]]</f>
        <v>-352.25274725274727</v>
      </c>
    </row>
    <row r="2825" spans="1:14" x14ac:dyDescent="0.25">
      <c r="A2825" s="47">
        <v>216395</v>
      </c>
      <c r="B2825" s="78">
        <v>45224</v>
      </c>
      <c r="C2825" s="47" t="s">
        <v>74</v>
      </c>
      <c r="D2825" s="49" t="s">
        <v>262</v>
      </c>
      <c r="E2825" s="47">
        <v>86331</v>
      </c>
      <c r="G2825" s="50" t="s">
        <v>241</v>
      </c>
      <c r="H2825" s="51">
        <v>2.8029999999999999</v>
      </c>
      <c r="I2825" s="49">
        <v>1.01</v>
      </c>
      <c r="J2825" s="51">
        <v>3.69</v>
      </c>
      <c r="K2825" s="74">
        <f>Tabela6[[#This Row],[CONSUMO]]*Tabela6[[#This Row],[VALOR UNIT]]-Tabela6[[#This Row],[DESCONTO]]</f>
        <v>9.3330699999999993</v>
      </c>
      <c r="L2825" s="53">
        <f>Tabela6[[#This Row],[CUSTO TOTAL]]/Tabela6[[#This Row],[CONSUMO]]</f>
        <v>3.3296717802354618</v>
      </c>
      <c r="M2825" s="53"/>
      <c r="N2825" s="49"/>
    </row>
    <row r="2826" spans="1:14" x14ac:dyDescent="0.25">
      <c r="A2826" s="47">
        <v>216362</v>
      </c>
      <c r="B2826" s="78">
        <v>45224</v>
      </c>
      <c r="C2826" s="47" t="s">
        <v>354</v>
      </c>
      <c r="D2826" s="49" t="s">
        <v>262</v>
      </c>
      <c r="E2826" s="47">
        <v>1714</v>
      </c>
      <c r="G2826" s="50" t="s">
        <v>241</v>
      </c>
      <c r="H2826" s="51">
        <v>24.327999999999999</v>
      </c>
      <c r="I2826" s="49">
        <v>8.76</v>
      </c>
      <c r="J2826" s="51">
        <v>3.69</v>
      </c>
      <c r="K2826" s="74">
        <f>Tabela6[[#This Row],[CONSUMO]]*Tabela6[[#This Row],[VALOR UNIT]]-Tabela6[[#This Row],[DESCONTO]]</f>
        <v>81.010319999999993</v>
      </c>
      <c r="L2826" s="53">
        <f>Tabela6[[#This Row],[CUSTO TOTAL]]/Tabela6[[#This Row],[CONSUMO]]</f>
        <v>3.3299210785925681</v>
      </c>
      <c r="M2826" s="53"/>
      <c r="N2826" s="49"/>
    </row>
    <row r="2827" spans="1:14" x14ac:dyDescent="0.25">
      <c r="A2827" s="47">
        <v>7855</v>
      </c>
      <c r="B2827" s="78">
        <v>45224</v>
      </c>
      <c r="C2827" s="47" t="s">
        <v>354</v>
      </c>
      <c r="D2827" s="49" t="s">
        <v>299</v>
      </c>
      <c r="E2827" s="47">
        <v>1718</v>
      </c>
      <c r="G2827" s="50" t="s">
        <v>89</v>
      </c>
      <c r="H2827" s="51">
        <v>201</v>
      </c>
      <c r="J2827" s="51">
        <v>5.88</v>
      </c>
      <c r="K2827" s="74">
        <f>Tabela6[[#This Row],[CONSUMO]]*Tabela6[[#This Row],[VALOR UNIT]]-Tabela6[[#This Row],[DESCONTO]]</f>
        <v>1181.8799999999999</v>
      </c>
      <c r="L2827" s="53">
        <f>Tabela6[[#This Row],[CUSTO TOTAL]]/Tabela6[[#This Row],[CONSUMO]]</f>
        <v>5.879999999999999</v>
      </c>
      <c r="M2827" s="50">
        <f>Tabela6[[#This Row],[KM ATUAL]]-E2734</f>
        <v>-154733</v>
      </c>
      <c r="N2827" s="51">
        <f>Tabela6[[#This Row],[KM Rodados ]]/Tabela6[[#This Row],[CONSUMO]]</f>
        <v>-769.81592039800989</v>
      </c>
    </row>
    <row r="2828" spans="1:14" x14ac:dyDescent="0.25">
      <c r="A2828" s="47">
        <v>7855</v>
      </c>
      <c r="B2828" s="78">
        <v>45225</v>
      </c>
      <c r="C2828" s="47" t="s">
        <v>358</v>
      </c>
      <c r="D2828" s="49" t="s">
        <v>299</v>
      </c>
      <c r="E2828" s="47">
        <v>823171</v>
      </c>
      <c r="G2828" s="50" t="s">
        <v>89</v>
      </c>
      <c r="H2828" s="51">
        <v>140</v>
      </c>
      <c r="J2828" s="51">
        <v>5.88</v>
      </c>
      <c r="K2828" s="74">
        <f>Tabela6[[#This Row],[CONSUMO]]*Tabela6[[#This Row],[VALOR UNIT]]-Tabela6[[#This Row],[DESCONTO]]</f>
        <v>823.19999999999993</v>
      </c>
      <c r="L2828" s="53">
        <f>Tabela6[[#This Row],[CUSTO TOTAL]]/Tabela6[[#This Row],[CONSUMO]]</f>
        <v>5.88</v>
      </c>
      <c r="M2828" s="50" t="e">
        <f>Tabela6[[#This Row],[KM ATUAL]]-#REF!</f>
        <v>#REF!</v>
      </c>
      <c r="N2828" s="51" t="e">
        <f>Tabela6[[#This Row],[KM Rodados ]]/Tabela6[[#This Row],[CONSUMO]]</f>
        <v>#REF!</v>
      </c>
    </row>
    <row r="2829" spans="1:14" x14ac:dyDescent="0.25">
      <c r="A2829" s="47">
        <v>358887</v>
      </c>
      <c r="B2829" s="78">
        <v>45225</v>
      </c>
      <c r="C2829" s="47" t="s">
        <v>222</v>
      </c>
      <c r="D2829" s="49" t="s">
        <v>343</v>
      </c>
      <c r="E2829" s="47">
        <v>512628</v>
      </c>
      <c r="G2829" s="50" t="s">
        <v>241</v>
      </c>
      <c r="H2829" s="51">
        <v>47.161000000000001</v>
      </c>
      <c r="J2829" s="51">
        <v>2.99</v>
      </c>
      <c r="K2829" s="74">
        <v>141.01139000000001</v>
      </c>
      <c r="L2829" s="53">
        <v>2.99</v>
      </c>
      <c r="M2829" s="50"/>
      <c r="N2829" s="49"/>
    </row>
    <row r="2830" spans="1:14" x14ac:dyDescent="0.25">
      <c r="A2830" s="47">
        <v>459994</v>
      </c>
      <c r="B2830" s="78">
        <v>45225</v>
      </c>
      <c r="C2830" s="47" t="s">
        <v>222</v>
      </c>
      <c r="D2830" s="49" t="s">
        <v>347</v>
      </c>
      <c r="E2830" s="47">
        <v>512911</v>
      </c>
      <c r="G2830" s="50" t="s">
        <v>89</v>
      </c>
      <c r="H2830" s="51">
        <v>245.06100000000001</v>
      </c>
      <c r="J2830" s="51">
        <v>6.09</v>
      </c>
      <c r="K2830" s="74">
        <v>1492.4214899999999</v>
      </c>
      <c r="L2830" s="53">
        <v>6.09</v>
      </c>
      <c r="M2830" s="50">
        <f>Tabela6[[#This Row],[KM ATUAL]]-E2813</f>
        <v>278273</v>
      </c>
      <c r="N2830" s="51">
        <f>Tabela6[[#This Row],[KM Rodados ]]/Tabela6[[#This Row],[CONSUMO]]</f>
        <v>1135.5254406045842</v>
      </c>
    </row>
    <row r="2831" spans="1:14" x14ac:dyDescent="0.25">
      <c r="A2831" s="47">
        <v>7855</v>
      </c>
      <c r="B2831" s="78">
        <v>45225</v>
      </c>
      <c r="C2831" s="47" t="s">
        <v>39</v>
      </c>
      <c r="D2831" s="49" t="s">
        <v>299</v>
      </c>
      <c r="E2831" s="47">
        <v>109933</v>
      </c>
      <c r="G2831" s="50" t="s">
        <v>89</v>
      </c>
      <c r="H2831" s="51">
        <v>110</v>
      </c>
      <c r="J2831" s="51">
        <v>5.88</v>
      </c>
      <c r="K2831" s="74">
        <f>Tabela6[[#This Row],[CONSUMO]]*Tabela6[[#This Row],[VALOR UNIT]]-Tabela6[[#This Row],[DESCONTO]]</f>
        <v>646.79999999999995</v>
      </c>
      <c r="L2831" s="53">
        <f>Tabela6[[#This Row],[CUSTO TOTAL]]/Tabela6[[#This Row],[CONSUMO]]</f>
        <v>5.88</v>
      </c>
      <c r="M2831" s="50">
        <f>Tabela6[[#This Row],[KM ATUAL]]-E2752</f>
        <v>-123490</v>
      </c>
      <c r="N2831" s="51">
        <f>Tabela6[[#This Row],[KM Rodados ]]/Tabela6[[#This Row],[CONSUMO]]</f>
        <v>-1122.6363636363637</v>
      </c>
    </row>
    <row r="2832" spans="1:14" x14ac:dyDescent="0.25">
      <c r="A2832" s="47">
        <v>520627</v>
      </c>
      <c r="B2832" s="78">
        <v>45225</v>
      </c>
      <c r="C2832" s="47" t="s">
        <v>70</v>
      </c>
      <c r="D2832" s="49" t="s">
        <v>259</v>
      </c>
      <c r="E2832" s="47">
        <v>235546</v>
      </c>
      <c r="G2832" s="50" t="s">
        <v>89</v>
      </c>
      <c r="H2832" s="51">
        <v>480.48099999999999</v>
      </c>
      <c r="J2832" s="51">
        <v>6.14</v>
      </c>
      <c r="K2832" s="74">
        <f>Tabela6[[#This Row],[CONSUMO]]*Tabela6[[#This Row],[VALOR UNIT]]-Tabela6[[#This Row],[DESCONTO]]</f>
        <v>2950.1533399999998</v>
      </c>
      <c r="L2832" s="53">
        <f>Tabela6[[#This Row],[CUSTO TOTAL]]/Tabela6[[#This Row],[CONSUMO]]</f>
        <v>6.14</v>
      </c>
      <c r="M2832" s="50">
        <f>Tabela6[[#This Row],[KM ATUAL]]-E2822</f>
        <v>-16460</v>
      </c>
      <c r="N2832" s="51">
        <f>Tabela6[[#This Row],[KM Rodados ]]/Tabela6[[#This Row],[CONSUMO]]</f>
        <v>-34.257337959253334</v>
      </c>
    </row>
    <row r="2833" spans="1:14" x14ac:dyDescent="0.25">
      <c r="A2833" s="47">
        <v>7855</v>
      </c>
      <c r="B2833" s="78">
        <v>45225</v>
      </c>
      <c r="C2833" s="47" t="s">
        <v>72</v>
      </c>
      <c r="D2833" s="49" t="s">
        <v>299</v>
      </c>
      <c r="E2833" s="47">
        <v>421344</v>
      </c>
      <c r="G2833" s="50" t="s">
        <v>89</v>
      </c>
      <c r="H2833" s="51">
        <v>25</v>
      </c>
      <c r="J2833" s="51">
        <v>5.88</v>
      </c>
      <c r="K2833" s="74">
        <f>Tabela6[[#This Row],[CONSUMO]]*Tabela6[[#This Row],[VALOR UNIT]]-Tabela6[[#This Row],[DESCONTO]]</f>
        <v>147</v>
      </c>
      <c r="L2833" s="53">
        <f>Tabela6[[#This Row],[CUSTO TOTAL]]/Tabela6[[#This Row],[CONSUMO]]</f>
        <v>5.88</v>
      </c>
      <c r="M2833" s="50">
        <f>Tabela6[[#This Row],[KM ATUAL]]-$E$2810</f>
        <v>-90747</v>
      </c>
      <c r="N2833" s="49">
        <f>Tabela6[[#This Row],[KM Rodados ]]/Tabela6[[#This Row],[CONSUMO]]</f>
        <v>-3629.88</v>
      </c>
    </row>
    <row r="2834" spans="1:14" x14ac:dyDescent="0.25">
      <c r="A2834" s="47">
        <v>7855</v>
      </c>
      <c r="B2834" s="78">
        <v>45225</v>
      </c>
      <c r="C2834" s="47" t="s">
        <v>73</v>
      </c>
      <c r="D2834" s="49" t="s">
        <v>299</v>
      </c>
      <c r="E2834" s="47">
        <v>158423</v>
      </c>
      <c r="G2834" s="50" t="s">
        <v>89</v>
      </c>
      <c r="H2834" s="51">
        <v>120</v>
      </c>
      <c r="J2834" s="51">
        <v>5.88</v>
      </c>
      <c r="K2834" s="74">
        <f>Tabela6[[#This Row],[CONSUMO]]*Tabela6[[#This Row],[VALOR UNIT]]-Tabela6[[#This Row],[DESCONTO]]</f>
        <v>705.6</v>
      </c>
      <c r="L2834" s="53">
        <f>Tabela6[[#This Row],[CUSTO TOTAL]]/Tabela6[[#This Row],[CONSUMO]]</f>
        <v>5.88</v>
      </c>
      <c r="M2834" s="50">
        <f>Tabela6[[#This Row],[KM ATUAL]]-E2789</f>
        <v>-813993</v>
      </c>
      <c r="N2834" s="51">
        <f>Tabela6[[#This Row],[KM Rodados ]]/Tabela6[[#This Row],[CONSUMO]]</f>
        <v>-6783.2749999999996</v>
      </c>
    </row>
    <row r="2835" spans="1:14" x14ac:dyDescent="0.25">
      <c r="A2835" s="47">
        <v>7855</v>
      </c>
      <c r="B2835" s="78">
        <v>45225</v>
      </c>
      <c r="C2835" s="47" t="s">
        <v>71</v>
      </c>
      <c r="D2835" s="49" t="s">
        <v>299</v>
      </c>
      <c r="E2835" s="47">
        <v>131253</v>
      </c>
      <c r="G2835" s="50" t="s">
        <v>89</v>
      </c>
      <c r="H2835" s="51">
        <v>430</v>
      </c>
      <c r="J2835" s="51">
        <v>5.88</v>
      </c>
      <c r="K2835" s="74">
        <f>Tabela6[[#This Row],[CONSUMO]]*Tabela6[[#This Row],[VALOR UNIT]]-Tabela6[[#This Row],[DESCONTO]]</f>
        <v>2528.4</v>
      </c>
      <c r="L2835" s="53">
        <f>Tabela6[[#This Row],[CUSTO TOTAL]]/Tabela6[[#This Row],[CONSUMO]]</f>
        <v>5.88</v>
      </c>
      <c r="M2835" s="50">
        <f>Tabela6[[#This Row],[KM ATUAL]]-E2757</f>
        <v>-28229</v>
      </c>
      <c r="N2835" s="51">
        <f>Tabela6[[#This Row],[KM Rodados ]]/Tabela6[[#This Row],[CONSUMO]]</f>
        <v>-65.648837209302329</v>
      </c>
    </row>
    <row r="2836" spans="1:14" x14ac:dyDescent="0.25">
      <c r="A2836" s="47">
        <v>74329</v>
      </c>
      <c r="B2836" s="78">
        <v>45225</v>
      </c>
      <c r="C2836" s="47" t="s">
        <v>64</v>
      </c>
      <c r="D2836" s="49" t="s">
        <v>253</v>
      </c>
      <c r="E2836" s="47">
        <v>99995</v>
      </c>
      <c r="G2836" s="50" t="s">
        <v>89</v>
      </c>
      <c r="H2836" s="51">
        <v>168.3</v>
      </c>
      <c r="J2836" s="51">
        <v>6.29</v>
      </c>
      <c r="K2836" s="74">
        <f>Tabela6[[#This Row],[CONSUMO]]*Tabela6[[#This Row],[VALOR UNIT]]-Tabela6[[#This Row],[DESCONTO]]</f>
        <v>1058.607</v>
      </c>
      <c r="L2836" s="53">
        <f>Tabela6[[#This Row],[CUSTO TOTAL]]/Tabela6[[#This Row],[CONSUMO]]</f>
        <v>6.2899999999999991</v>
      </c>
      <c r="M2836" s="50">
        <f>Tabela6[[#This Row],[KM ATUAL]]-E2804</f>
        <v>-558731</v>
      </c>
      <c r="N2836" s="51">
        <f>Tabela6[[#This Row],[KM Rodados ]]/Tabela6[[#This Row],[CONSUMO]]</f>
        <v>-3319.8514557338085</v>
      </c>
    </row>
    <row r="2837" spans="1:14" x14ac:dyDescent="0.25">
      <c r="A2837" s="47">
        <v>7855</v>
      </c>
      <c r="B2837" s="78">
        <v>45225</v>
      </c>
      <c r="C2837" s="47" t="s">
        <v>21</v>
      </c>
      <c r="D2837" s="49" t="s">
        <v>299</v>
      </c>
      <c r="E2837" s="47">
        <v>160150</v>
      </c>
      <c r="G2837" s="50" t="s">
        <v>89</v>
      </c>
      <c r="H2837" s="51">
        <v>92</v>
      </c>
      <c r="J2837" s="51">
        <v>5.88</v>
      </c>
      <c r="K2837" s="74">
        <f>Tabela6[[#This Row],[CONSUMO]]*Tabela6[[#This Row],[VALOR UNIT]]-Tabela6[[#This Row],[DESCONTO]]</f>
        <v>540.96</v>
      </c>
      <c r="L2837" s="53">
        <f>Tabela6[[#This Row],[CUSTO TOTAL]]/Tabela6[[#This Row],[CONSUMO]]</f>
        <v>5.8800000000000008</v>
      </c>
      <c r="M2837" s="50">
        <f>Tabela6[[#This Row],[KM ATUAL]]-E2793</f>
        <v>-5275</v>
      </c>
      <c r="N2837" s="51">
        <f>Tabela6[[#This Row],[KM Rodados ]]/Tabela6[[#This Row],[CONSUMO]]</f>
        <v>-57.336956521739133</v>
      </c>
    </row>
    <row r="2838" spans="1:14" x14ac:dyDescent="0.25">
      <c r="A2838" s="47">
        <v>358885</v>
      </c>
      <c r="B2838" s="78">
        <v>45225</v>
      </c>
      <c r="C2838" s="47" t="s">
        <v>301</v>
      </c>
      <c r="D2838" s="49" t="s">
        <v>343</v>
      </c>
      <c r="E2838" s="47">
        <v>1056850</v>
      </c>
      <c r="G2838" s="50" t="s">
        <v>89</v>
      </c>
      <c r="H2838" s="51">
        <v>385.22899999999998</v>
      </c>
      <c r="J2838" s="51">
        <v>5.89</v>
      </c>
      <c r="K2838" s="74">
        <f>Tabela6[[#This Row],[CONSUMO]]*Tabela6[[#This Row],[VALOR UNIT]]-Tabela6[[#This Row],[DESCONTO]]</f>
        <v>2268.9988099999996</v>
      </c>
      <c r="L2838" s="53">
        <f>Tabela6[[#This Row],[CUSTO TOTAL]]/Tabela6[[#This Row],[CONSUMO]]</f>
        <v>5.8899999999999988</v>
      </c>
      <c r="M2838" s="50">
        <f>Tabela6[[#This Row],[KM ATUAL]]-E2817</f>
        <v>375575</v>
      </c>
      <c r="N2838" s="51">
        <f>Tabela6[[#This Row],[KM Rodados ]]/Tabela6[[#This Row],[CONSUMO]]</f>
        <v>974.93958139184747</v>
      </c>
    </row>
    <row r="2839" spans="1:14" x14ac:dyDescent="0.25">
      <c r="A2839" s="47">
        <v>7855</v>
      </c>
      <c r="B2839" s="78">
        <v>45225</v>
      </c>
      <c r="C2839" s="47" t="s">
        <v>206</v>
      </c>
      <c r="D2839" s="49" t="s">
        <v>299</v>
      </c>
      <c r="E2839" s="47">
        <v>974186</v>
      </c>
      <c r="G2839" s="50" t="s">
        <v>89</v>
      </c>
      <c r="H2839" s="51">
        <v>471</v>
      </c>
      <c r="J2839" s="51">
        <v>5.88</v>
      </c>
      <c r="K2839" s="74">
        <f>Tabela6[[#This Row],[CONSUMO]]*Tabela6[[#This Row],[VALOR UNIT]]-Tabela6[[#This Row],[DESCONTO]]</f>
        <v>2769.48</v>
      </c>
      <c r="L2839" s="53">
        <f>Tabela6[[#This Row],[CUSTO TOTAL]]/Tabela6[[#This Row],[CONSUMO]]</f>
        <v>5.88</v>
      </c>
      <c r="M2839" s="50">
        <f>Tabela6[[#This Row],[KM ATUAL]]-E2797</f>
        <v>553448</v>
      </c>
      <c r="N2839" s="51">
        <f>Tabela6[[#This Row],[KM Rodados ]]/Tabela6[[#This Row],[CONSUMO]]</f>
        <v>1175.0488322717622</v>
      </c>
    </row>
    <row r="2840" spans="1:14" x14ac:dyDescent="0.25">
      <c r="A2840" s="47">
        <v>74390</v>
      </c>
      <c r="B2840" s="78">
        <v>45225</v>
      </c>
      <c r="C2840" s="47" t="s">
        <v>12</v>
      </c>
      <c r="D2840" s="49" t="s">
        <v>253</v>
      </c>
      <c r="E2840" s="119">
        <v>324164</v>
      </c>
      <c r="G2840" s="50" t="s">
        <v>89</v>
      </c>
      <c r="H2840" s="51">
        <v>80.709999999999994</v>
      </c>
      <c r="J2840" s="51">
        <v>6.29</v>
      </c>
      <c r="K2840" s="74">
        <f>Tabela6[[#This Row],[CONSUMO]]*Tabela6[[#This Row],[VALOR UNIT]]-Tabela6[[#This Row],[DESCONTO]]</f>
        <v>507.66589999999997</v>
      </c>
      <c r="L2840" s="53">
        <f>Tabela6[[#This Row],[CUSTO TOTAL]]/Tabela6[[#This Row],[CONSUMO]]</f>
        <v>6.29</v>
      </c>
      <c r="M2840" s="50">
        <f>Tabela6[[#This Row],[KM ATUAL]]-E2741</f>
        <v>-49907</v>
      </c>
      <c r="N2840" s="51">
        <f>Tabela6[[#This Row],[KM Rodados ]]/Tabela6[[#This Row],[CONSUMO]]</f>
        <v>-618.34964688390539</v>
      </c>
    </row>
    <row r="2841" spans="1:14" x14ac:dyDescent="0.25">
      <c r="A2841" s="47">
        <v>7855</v>
      </c>
      <c r="B2841" s="78">
        <v>45225</v>
      </c>
      <c r="C2841" s="47" t="s">
        <v>15</v>
      </c>
      <c r="D2841" s="49" t="s">
        <v>299</v>
      </c>
      <c r="E2841" s="47">
        <v>393937</v>
      </c>
      <c r="G2841" s="50" t="s">
        <v>89</v>
      </c>
      <c r="H2841" s="51">
        <v>100</v>
      </c>
      <c r="J2841" s="51">
        <v>5.88</v>
      </c>
      <c r="K2841" s="74">
        <f>Tabela6[[#This Row],[CONSUMO]]*Tabela6[[#This Row],[VALOR UNIT]]-Tabela6[[#This Row],[DESCONTO]]</f>
        <v>588</v>
      </c>
      <c r="L2841" s="53">
        <f>Tabela6[[#This Row],[CUSTO TOTAL]]/Tabela6[[#This Row],[CONSUMO]]</f>
        <v>5.88</v>
      </c>
      <c r="M2841" s="50">
        <f>Tabela6[[#This Row],[KM ATUAL]]-E2779</f>
        <v>19037</v>
      </c>
      <c r="N2841" s="49">
        <f>Tabela6[[#This Row],[KM Rodados ]]/Tabela6[[#This Row],[CONSUMO]]</f>
        <v>190.37</v>
      </c>
    </row>
    <row r="2842" spans="1:14" x14ac:dyDescent="0.25">
      <c r="A2842" s="47">
        <v>7855</v>
      </c>
      <c r="B2842" s="78">
        <v>45225</v>
      </c>
      <c r="C2842" s="47" t="s">
        <v>17</v>
      </c>
      <c r="D2842" s="49" t="s">
        <v>299</v>
      </c>
      <c r="E2842" s="47">
        <v>375601</v>
      </c>
      <c r="G2842" s="50" t="s">
        <v>89</v>
      </c>
      <c r="H2842" s="51">
        <v>174</v>
      </c>
      <c r="J2842" s="51">
        <v>5.88</v>
      </c>
      <c r="K2842" s="74">
        <f>Tabela6[[#This Row],[CONSUMO]]*Tabela6[[#This Row],[VALOR UNIT]]-Tabela6[[#This Row],[DESCONTO]]</f>
        <v>1023.12</v>
      </c>
      <c r="L2842" s="53">
        <f>Tabela6[[#This Row],[CUSTO TOTAL]]/Tabela6[[#This Row],[CONSUMO]]</f>
        <v>5.88</v>
      </c>
      <c r="M2842" s="50">
        <f>Tabela6[[#This Row],[KM ATUAL]]-E2775</f>
        <v>370828</v>
      </c>
      <c r="N2842" s="51">
        <f>Tabela6[[#This Row],[KM Rodados ]]/Tabela6[[#This Row],[CONSUMO]]</f>
        <v>2131.1954022988507</v>
      </c>
    </row>
    <row r="2843" spans="1:14" x14ac:dyDescent="0.25">
      <c r="A2843" s="47">
        <v>9570</v>
      </c>
      <c r="B2843" s="78">
        <v>45225</v>
      </c>
      <c r="C2843" s="47" t="s">
        <v>17</v>
      </c>
      <c r="D2843" s="49" t="s">
        <v>299</v>
      </c>
      <c r="E2843" s="47">
        <v>392546</v>
      </c>
      <c r="G2843" s="50" t="s">
        <v>89</v>
      </c>
      <c r="H2843" s="51">
        <v>140</v>
      </c>
      <c r="J2843" s="51">
        <v>5.16</v>
      </c>
      <c r="K2843" s="74">
        <f>Tabela6[[#This Row],[CONSUMO]]*Tabela6[[#This Row],[VALOR UNIT]]-Tabela6[[#This Row],[DESCONTO]]</f>
        <v>722.4</v>
      </c>
      <c r="L2843" s="53">
        <f>Tabela6[[#This Row],[CUSTO TOTAL]]/Tabela6[[#This Row],[CONSUMO]]</f>
        <v>5.16</v>
      </c>
      <c r="M2843" s="50">
        <f>Tabela6[[#This Row],[KM ATUAL]]-E2804</f>
        <v>-266180</v>
      </c>
      <c r="N2843" s="51">
        <f>Tabela6[[#This Row],[KM Rodados ]]/Tabela6[[#This Row],[CONSUMO]]</f>
        <v>-1901.2857142857142</v>
      </c>
    </row>
    <row r="2844" spans="1:14" x14ac:dyDescent="0.25">
      <c r="A2844" s="47">
        <v>7855</v>
      </c>
      <c r="B2844" s="78">
        <v>45225</v>
      </c>
      <c r="C2844" s="47" t="s">
        <v>19</v>
      </c>
      <c r="D2844" s="49" t="s">
        <v>299</v>
      </c>
      <c r="E2844" s="47">
        <v>334758</v>
      </c>
      <c r="G2844" s="50" t="s">
        <v>89</v>
      </c>
      <c r="H2844" s="51">
        <v>96</v>
      </c>
      <c r="J2844" s="51">
        <v>5.88</v>
      </c>
      <c r="K2844" s="74">
        <f>Tabela6[[#This Row],[CONSUMO]]*Tabela6[[#This Row],[VALOR UNIT]]-Tabela6[[#This Row],[DESCONTO]]</f>
        <v>564.48</v>
      </c>
      <c r="L2844" s="53">
        <f>Tabela6[[#This Row],[CUSTO TOTAL]]/Tabela6[[#This Row],[CONSUMO]]</f>
        <v>5.88</v>
      </c>
      <c r="M2844" s="50">
        <f>Tabela6[[#This Row],[KM ATUAL]]-E2823</f>
        <v>168566</v>
      </c>
      <c r="N2844" s="51">
        <f>Tabela6[[#This Row],[KM Rodados ]]/Tabela6[[#This Row],[CONSUMO]]</f>
        <v>1755.8958333333333</v>
      </c>
    </row>
    <row r="2845" spans="1:14" x14ac:dyDescent="0.25">
      <c r="A2845" s="47">
        <v>7855</v>
      </c>
      <c r="B2845" s="78">
        <v>45225</v>
      </c>
      <c r="C2845" s="47" t="s">
        <v>23</v>
      </c>
      <c r="D2845" s="49" t="s">
        <v>299</v>
      </c>
      <c r="E2845" s="47">
        <v>252385</v>
      </c>
      <c r="G2845" s="50" t="s">
        <v>89</v>
      </c>
      <c r="H2845" s="51">
        <v>78</v>
      </c>
      <c r="J2845" s="51">
        <v>5.88</v>
      </c>
      <c r="K2845" s="74">
        <f>Tabela6[[#This Row],[CONSUMO]]*Tabela6[[#This Row],[VALOR UNIT]]-Tabela6[[#This Row],[DESCONTO]]</f>
        <v>458.64</v>
      </c>
      <c r="L2845" s="53">
        <f>Tabela6[[#This Row],[CUSTO TOTAL]]/Tabela6[[#This Row],[CONSUMO]]</f>
        <v>5.88</v>
      </c>
      <c r="M2845" s="50">
        <f>Tabela6[[#This Row],[KM ATUAL]]-E2833</f>
        <v>-168959</v>
      </c>
      <c r="N2845" s="51">
        <f>Tabela6[[#This Row],[KM Rodados ]]/Tabela6[[#This Row],[CONSUMO]]</f>
        <v>-2166.1410256410259</v>
      </c>
    </row>
    <row r="2846" spans="1:14" x14ac:dyDescent="0.25">
      <c r="A2846" s="47" t="s">
        <v>314</v>
      </c>
      <c r="B2846" s="78">
        <v>45225</v>
      </c>
      <c r="C2846" s="47" t="s">
        <v>74</v>
      </c>
      <c r="E2846" s="47">
        <v>86985</v>
      </c>
      <c r="G2846" s="50" t="s">
        <v>89</v>
      </c>
      <c r="H2846" s="51">
        <v>86</v>
      </c>
      <c r="K2846" s="74">
        <f>Tabela6[[#This Row],[CONSUMO]]*Tabela6[[#This Row],[VALOR UNIT]]-Tabela6[[#This Row],[DESCONTO]]</f>
        <v>0</v>
      </c>
      <c r="L2846" s="53">
        <f>Tabela6[[#This Row],[CUSTO TOTAL]]/Tabela6[[#This Row],[CONSUMO]]</f>
        <v>0</v>
      </c>
      <c r="M2846" s="50">
        <f>Tabela6[[#This Row],[KM ATUAL]]-E2816</f>
        <v>-334170</v>
      </c>
      <c r="N2846" s="51">
        <f>Tabela6[[#This Row],[KM Rodados ]]/Tabela6[[#This Row],[CONSUMO]]</f>
        <v>-3885.6976744186045</v>
      </c>
    </row>
    <row r="2847" spans="1:14" x14ac:dyDescent="0.25">
      <c r="A2847" s="47">
        <v>359144</v>
      </c>
      <c r="B2847" s="78">
        <v>45226</v>
      </c>
      <c r="C2847" s="47" t="s">
        <v>68</v>
      </c>
      <c r="D2847" s="49" t="s">
        <v>343</v>
      </c>
      <c r="E2847" s="47">
        <v>928323</v>
      </c>
      <c r="G2847" s="50" t="s">
        <v>89</v>
      </c>
      <c r="H2847" s="51">
        <v>322.63799999999998</v>
      </c>
      <c r="J2847" s="51">
        <v>5.8899749999999997</v>
      </c>
      <c r="K2847" s="74">
        <f>Tabela6[[#This Row],[CONSUMO]]*Tabela6[[#This Row],[VALOR UNIT]]-Tabela6[[#This Row],[DESCONTO]]</f>
        <v>1900.3297540499998</v>
      </c>
      <c r="L2847" s="53">
        <f>Tabela6[[#This Row],[CUSTO TOTAL]]/Tabela6[[#This Row],[CONSUMO]]</f>
        <v>5.8899749999999997</v>
      </c>
      <c r="M2847" s="50">
        <f>Tabela6[[#This Row],[KM ATUAL]]-E2745</f>
        <v>842958</v>
      </c>
      <c r="N2847" s="51">
        <f>Tabela6[[#This Row],[KM Rodados ]]/Tabela6[[#This Row],[CONSUMO]]</f>
        <v>2612.7052610045935</v>
      </c>
    </row>
    <row r="2848" spans="1:14" x14ac:dyDescent="0.25">
      <c r="A2848" s="47">
        <v>7978</v>
      </c>
      <c r="B2848" s="78">
        <v>45226</v>
      </c>
      <c r="C2848" s="47" t="s">
        <v>43</v>
      </c>
      <c r="D2848" s="49" t="s">
        <v>299</v>
      </c>
      <c r="E2848" s="47">
        <v>155902</v>
      </c>
      <c r="G2848" s="50" t="s">
        <v>89</v>
      </c>
      <c r="H2848" s="51">
        <v>33</v>
      </c>
      <c r="J2848" s="51">
        <v>5.75</v>
      </c>
      <c r="K2848" s="74">
        <f>Tabela6[[#This Row],[CONSUMO]]*Tabela6[[#This Row],[VALOR UNIT]]-Tabela6[[#This Row],[DESCONTO]]</f>
        <v>189.75</v>
      </c>
      <c r="L2848" s="53">
        <f>Tabela6[[#This Row],[CUSTO TOTAL]]/Tabela6[[#This Row],[CONSUMO]]</f>
        <v>5.75</v>
      </c>
      <c r="M2848" s="50">
        <f>Tabela6[[#This Row],[KM ATUAL]]-E2757</f>
        <v>-3580</v>
      </c>
      <c r="N2848" s="51">
        <f>Tabela6[[#This Row],[KM Rodados ]]/Tabela6[[#This Row],[CONSUMO]]</f>
        <v>-108.48484848484848</v>
      </c>
    </row>
    <row r="2849" spans="1:14" x14ac:dyDescent="0.25">
      <c r="A2849" s="47">
        <v>684690</v>
      </c>
      <c r="B2849" s="78">
        <v>45226</v>
      </c>
      <c r="C2849" s="47" t="s">
        <v>43</v>
      </c>
      <c r="D2849" s="49" t="s">
        <v>271</v>
      </c>
      <c r="E2849" s="47">
        <v>156062</v>
      </c>
      <c r="G2849" s="50" t="s">
        <v>89</v>
      </c>
      <c r="H2849" s="51">
        <v>21.4</v>
      </c>
      <c r="J2849" s="51">
        <v>6.19</v>
      </c>
      <c r="K2849" s="74">
        <f>Tabela6[[#This Row],[CONSUMO]]*Tabela6[[#This Row],[VALOR UNIT]]-Tabela6[[#This Row],[DESCONTO]]</f>
        <v>132.46600000000001</v>
      </c>
      <c r="L2849" s="53">
        <f>Tabela6[[#This Row],[CUSTO TOTAL]]/Tabela6[[#This Row],[CONSUMO]]</f>
        <v>6.19</v>
      </c>
      <c r="M2849" s="50">
        <f>Tabela6[[#This Row],[KM ATUAL]]-E2848</f>
        <v>160</v>
      </c>
      <c r="N2849" s="51">
        <f>Tabela6[[#This Row],[KM Rodados ]]/Tabela6[[#This Row],[CONSUMO]]</f>
        <v>7.4766355140186924</v>
      </c>
    </row>
    <row r="2850" spans="1:14" x14ac:dyDescent="0.25">
      <c r="A2850" s="47">
        <v>74935</v>
      </c>
      <c r="B2850" s="78">
        <v>45226</v>
      </c>
      <c r="C2850" s="47" t="s">
        <v>42</v>
      </c>
      <c r="D2850" s="49" t="s">
        <v>253</v>
      </c>
      <c r="E2850" s="47">
        <v>375515</v>
      </c>
      <c r="G2850" s="50" t="s">
        <v>89</v>
      </c>
      <c r="H2850" s="51">
        <v>131.62</v>
      </c>
      <c r="J2850" s="51">
        <v>6.29</v>
      </c>
      <c r="K2850" s="74">
        <f>Tabela6[[#This Row],[CONSUMO]]*Tabela6[[#This Row],[VALOR UNIT]]-Tabela6[[#This Row],[DESCONTO]]</f>
        <v>827.88980000000004</v>
      </c>
      <c r="L2850" s="53">
        <f>Tabela6[[#This Row],[CUSTO TOTAL]]/Tabela6[[#This Row],[CONSUMO]]</f>
        <v>6.29</v>
      </c>
      <c r="M2850" s="50">
        <f>Tabela6[[#This Row],[KM ATUAL]]-E2769</f>
        <v>290272</v>
      </c>
      <c r="N2850" s="51">
        <f>Tabela6[[#This Row],[KM Rodados ]]/Tabela6[[#This Row],[CONSUMO]]</f>
        <v>2205.3791217140251</v>
      </c>
    </row>
    <row r="2851" spans="1:14" x14ac:dyDescent="0.25">
      <c r="A2851" s="47">
        <v>356898</v>
      </c>
      <c r="B2851" s="78">
        <v>45226</v>
      </c>
      <c r="C2851" s="47" t="s">
        <v>222</v>
      </c>
      <c r="D2851" s="49" t="s">
        <v>341</v>
      </c>
      <c r="E2851" s="47">
        <v>513487</v>
      </c>
      <c r="G2851" s="50" t="s">
        <v>89</v>
      </c>
      <c r="H2851" s="51">
        <v>262</v>
      </c>
      <c r="J2851" s="51">
        <v>6.19</v>
      </c>
      <c r="K2851" s="74">
        <v>1621.7800000000002</v>
      </c>
      <c r="L2851" s="53">
        <v>6.19</v>
      </c>
      <c r="M2851" s="50">
        <f>Tabela6[[#This Row],[KM ATUAL]]-E2834</f>
        <v>355064</v>
      </c>
      <c r="N2851" s="51">
        <f>Tabela6[[#This Row],[KM Rodados ]]/Tabela6[[#This Row],[CONSUMO]]</f>
        <v>1355.206106870229</v>
      </c>
    </row>
    <row r="2852" spans="1:14" x14ac:dyDescent="0.25">
      <c r="A2852" s="47">
        <v>7978</v>
      </c>
      <c r="B2852" s="78">
        <v>45226</v>
      </c>
      <c r="C2852" s="47" t="s">
        <v>67</v>
      </c>
      <c r="D2852" s="49" t="s">
        <v>299</v>
      </c>
      <c r="E2852" s="47">
        <v>686718</v>
      </c>
      <c r="G2852" s="50" t="s">
        <v>89</v>
      </c>
      <c r="H2852" s="51">
        <v>85</v>
      </c>
      <c r="J2852" s="51">
        <v>5.75</v>
      </c>
      <c r="K2852" s="74">
        <f>Tabela6[[#This Row],[CONSUMO]]*Tabela6[[#This Row],[VALOR UNIT]]-Tabela6[[#This Row],[DESCONTO]]</f>
        <v>488.75</v>
      </c>
      <c r="L2852" s="53">
        <f>Tabela6[[#This Row],[CUSTO TOTAL]]/Tabela6[[#This Row],[CONSUMO]]</f>
        <v>5.75</v>
      </c>
      <c r="M2852" s="50">
        <f>Tabela6[[#This Row],[KM ATUAL]]-E2814</f>
        <v>452080</v>
      </c>
      <c r="N2852" s="51">
        <f>Tabela6[[#This Row],[KM Rodados ]]/Tabela6[[#This Row],[CONSUMO]]</f>
        <v>5318.588235294118</v>
      </c>
    </row>
    <row r="2853" spans="1:14" x14ac:dyDescent="0.25">
      <c r="A2853" s="47">
        <v>7978</v>
      </c>
      <c r="B2853" s="78">
        <v>45226</v>
      </c>
      <c r="C2853" s="47" t="s">
        <v>22</v>
      </c>
      <c r="D2853" s="49" t="s">
        <v>299</v>
      </c>
      <c r="E2853" s="47">
        <v>340364</v>
      </c>
      <c r="G2853" s="50" t="s">
        <v>89</v>
      </c>
      <c r="H2853" s="51">
        <v>120</v>
      </c>
      <c r="J2853" s="51">
        <v>5.75</v>
      </c>
      <c r="K2853" s="74">
        <f>Tabela6[[#This Row],[CONSUMO]]*Tabela6[[#This Row],[VALOR UNIT]]-Tabela6[[#This Row],[DESCONTO]]</f>
        <v>690</v>
      </c>
      <c r="L2853" s="53">
        <f>Tabela6[[#This Row],[CUSTO TOTAL]]/Tabela6[[#This Row],[CONSUMO]]</f>
        <v>5.75</v>
      </c>
      <c r="M2853" s="50">
        <f>Tabela6[[#This Row],[KM ATUAL]]-E2798</f>
        <v>182495</v>
      </c>
      <c r="N2853" s="51">
        <f>Tabela6[[#This Row],[KM Rodados ]]/Tabela6[[#This Row],[CONSUMO]]</f>
        <v>1520.7916666666667</v>
      </c>
    </row>
    <row r="2854" spans="1:14" x14ac:dyDescent="0.25">
      <c r="A2854" s="47">
        <v>180769</v>
      </c>
      <c r="B2854" s="78">
        <v>45226</v>
      </c>
      <c r="C2854" s="47" t="s">
        <v>72</v>
      </c>
      <c r="D2854" s="49" t="s">
        <v>261</v>
      </c>
      <c r="E2854" s="47">
        <v>421547</v>
      </c>
      <c r="G2854" s="50" t="s">
        <v>89</v>
      </c>
      <c r="H2854" s="51">
        <v>26.981000000000002</v>
      </c>
      <c r="J2854" s="51">
        <v>6.09</v>
      </c>
      <c r="K2854" s="74">
        <f>Tabela6[[#This Row],[CONSUMO]]*Tabela6[[#This Row],[VALOR UNIT]]-Tabela6[[#This Row],[DESCONTO]]</f>
        <v>164.31429</v>
      </c>
      <c r="L2854" s="53">
        <f>Tabela6[[#This Row],[CUSTO TOTAL]]/Tabela6[[#This Row],[CONSUMO]]</f>
        <v>6.09</v>
      </c>
      <c r="M2854" s="50">
        <f>Tabela6[[#This Row],[KM ATUAL]]-E2834</f>
        <v>263124</v>
      </c>
      <c r="N2854" s="51">
        <f>Tabela6[[#This Row],[KM Rodados ]]/Tabela6[[#This Row],[CONSUMO]]</f>
        <v>9752.1959897705783</v>
      </c>
    </row>
    <row r="2855" spans="1:14" x14ac:dyDescent="0.25">
      <c r="A2855" s="47">
        <v>1034424</v>
      </c>
      <c r="B2855" s="78">
        <v>45226</v>
      </c>
      <c r="C2855" s="47" t="s">
        <v>72</v>
      </c>
      <c r="D2855" s="49" t="s">
        <v>268</v>
      </c>
      <c r="E2855" s="47">
        <v>421849</v>
      </c>
      <c r="G2855" s="50" t="s">
        <v>89</v>
      </c>
      <c r="H2855" s="51">
        <v>42.350999999999999</v>
      </c>
      <c r="J2855" s="51">
        <v>6.19</v>
      </c>
      <c r="K2855" s="74">
        <f>Tabela6[[#This Row],[CONSUMO]]*Tabela6[[#This Row],[VALOR UNIT]]-Tabela6[[#This Row],[DESCONTO]]</f>
        <v>262.15269000000001</v>
      </c>
      <c r="L2855" s="53">
        <f>Tabela6[[#This Row],[CUSTO TOTAL]]/Tabela6[[#This Row],[CONSUMO]]</f>
        <v>6.19</v>
      </c>
      <c r="M2855" s="50">
        <f>Tabela6[[#This Row],[KM ATUAL]]-E2854</f>
        <v>302</v>
      </c>
      <c r="N2855" s="51">
        <f>Tabela6[[#This Row],[KM Rodados ]]/Tabela6[[#This Row],[CONSUMO]]</f>
        <v>7.1308823876649905</v>
      </c>
    </row>
    <row r="2856" spans="1:14" x14ac:dyDescent="0.25">
      <c r="A2856" s="47">
        <v>7978</v>
      </c>
      <c r="B2856" s="78">
        <v>45226</v>
      </c>
      <c r="C2856" s="47" t="s">
        <v>41</v>
      </c>
      <c r="D2856" s="49" t="s">
        <v>299</v>
      </c>
      <c r="E2856" s="47">
        <v>681927</v>
      </c>
      <c r="G2856" s="50" t="s">
        <v>89</v>
      </c>
      <c r="H2856" s="51">
        <v>172</v>
      </c>
      <c r="J2856" s="51">
        <v>5.75</v>
      </c>
      <c r="K2856" s="74">
        <f>Tabela6[[#This Row],[CONSUMO]]*Tabela6[[#This Row],[VALOR UNIT]]-Tabela6[[#This Row],[DESCONTO]]</f>
        <v>989</v>
      </c>
      <c r="L2856" s="53">
        <f>Tabela6[[#This Row],[CUSTO TOTAL]]/Tabela6[[#This Row],[CONSUMO]]</f>
        <v>5.75</v>
      </c>
      <c r="M2856" s="50">
        <f>Tabela6[[#This Row],[KM ATUAL]]-E2821</f>
        <v>404079</v>
      </c>
      <c r="N2856" s="51">
        <f>Tabela6[[#This Row],[KM Rodados ]]/Tabela6[[#This Row],[CONSUMO]]</f>
        <v>2349.296511627907</v>
      </c>
    </row>
    <row r="2857" spans="1:14" x14ac:dyDescent="0.25">
      <c r="A2857" s="47">
        <v>98923</v>
      </c>
      <c r="B2857" s="78">
        <v>45226</v>
      </c>
      <c r="C2857" s="47" t="s">
        <v>301</v>
      </c>
      <c r="D2857" s="49" t="s">
        <v>259</v>
      </c>
      <c r="E2857" s="47">
        <v>1057820</v>
      </c>
      <c r="G2857" s="50" t="s">
        <v>89</v>
      </c>
      <c r="H2857" s="51">
        <v>377.32</v>
      </c>
      <c r="J2857" s="51">
        <v>6.14</v>
      </c>
      <c r="K2857" s="74">
        <f>Tabela6[[#This Row],[CONSUMO]]*Tabela6[[#This Row],[VALOR UNIT]]-Tabela6[[#This Row],[DESCONTO]]</f>
        <v>2316.7447999999999</v>
      </c>
      <c r="L2857" s="53">
        <f>Tabela6[[#This Row],[CUSTO TOTAL]]/Tabela6[[#This Row],[CONSUMO]]</f>
        <v>6.14</v>
      </c>
      <c r="M2857" s="50">
        <f>Tabela6[[#This Row],[KM ATUAL]]-E2831</f>
        <v>947887</v>
      </c>
      <c r="N2857" s="51">
        <f>Tabela6[[#This Row],[KM Rodados ]]/Tabela6[[#This Row],[CONSUMO]]</f>
        <v>2512.1567899925794</v>
      </c>
    </row>
    <row r="2858" spans="1:14" x14ac:dyDescent="0.25">
      <c r="A2858" s="47">
        <v>7978</v>
      </c>
      <c r="B2858" s="78">
        <v>45226</v>
      </c>
      <c r="C2858" s="47" t="s">
        <v>13</v>
      </c>
      <c r="D2858" s="49" t="s">
        <v>299</v>
      </c>
      <c r="E2858" s="47">
        <v>659194</v>
      </c>
      <c r="G2858" s="50" t="s">
        <v>89</v>
      </c>
      <c r="H2858" s="51">
        <v>100</v>
      </c>
      <c r="J2858" s="51">
        <v>5.75</v>
      </c>
      <c r="K2858" s="74">
        <f>Tabela6[[#This Row],[CONSUMO]]*Tabela6[[#This Row],[VALOR UNIT]]-Tabela6[[#This Row],[DESCONTO]]</f>
        <v>575</v>
      </c>
      <c r="L2858" s="53">
        <f>Tabela6[[#This Row],[CUSTO TOTAL]]/Tabela6[[#This Row],[CONSUMO]]</f>
        <v>5.75</v>
      </c>
      <c r="M2858" s="50">
        <f>Tabela6[[#This Row],[KM ATUAL]]-E2807</f>
        <v>654023</v>
      </c>
      <c r="N2858" s="51">
        <f>Tabela6[[#This Row],[KM Rodados ]]/Tabela6[[#This Row],[CONSUMO]]</f>
        <v>6540.23</v>
      </c>
    </row>
    <row r="2859" spans="1:14" x14ac:dyDescent="0.25">
      <c r="A2859" s="47">
        <v>554045</v>
      </c>
      <c r="B2859" s="78">
        <v>45226</v>
      </c>
      <c r="C2859" s="47" t="s">
        <v>15</v>
      </c>
      <c r="D2859" s="49" t="s">
        <v>261</v>
      </c>
      <c r="E2859" s="47">
        <v>394139</v>
      </c>
      <c r="G2859" s="50" t="s">
        <v>241</v>
      </c>
      <c r="H2859" s="51">
        <v>16.242999999999999</v>
      </c>
      <c r="J2859" s="51">
        <v>3.79</v>
      </c>
      <c r="K2859" s="74">
        <f>Tabela6[[#This Row],[CONSUMO]]*Tabela6[[#This Row],[VALOR UNIT]]-Tabela6[[#This Row],[DESCONTO]]</f>
        <v>61.560969999999998</v>
      </c>
      <c r="L2859" s="53">
        <f>Tabela6[[#This Row],[CUSTO TOTAL]]/Tabela6[[#This Row],[CONSUMO]]</f>
        <v>3.79</v>
      </c>
      <c r="M2859" s="50"/>
    </row>
    <row r="2860" spans="1:14" x14ac:dyDescent="0.25">
      <c r="A2860" s="47">
        <v>7978</v>
      </c>
      <c r="B2860" s="78">
        <v>45226</v>
      </c>
      <c r="C2860" s="47" t="s">
        <v>17</v>
      </c>
      <c r="D2860" s="49" t="s">
        <v>299</v>
      </c>
      <c r="E2860" s="47">
        <v>376046</v>
      </c>
      <c r="G2860" s="50" t="s">
        <v>89</v>
      </c>
      <c r="H2860" s="51">
        <v>96</v>
      </c>
      <c r="J2860" s="51">
        <v>5.75</v>
      </c>
      <c r="K2860" s="74">
        <f>Tabela6[[#This Row],[CONSUMO]]*Tabela6[[#This Row],[VALOR UNIT]]-Tabela6[[#This Row],[DESCONTO]]</f>
        <v>552</v>
      </c>
      <c r="L2860" s="53">
        <f>Tabela6[[#This Row],[CUSTO TOTAL]]/Tabela6[[#This Row],[CONSUMO]]</f>
        <v>5.75</v>
      </c>
      <c r="M2860" s="50">
        <f>Tabela6[[#This Row],[KM ATUAL]]-E2842</f>
        <v>445</v>
      </c>
      <c r="N2860" s="51">
        <f>Tabela6[[#This Row],[KM Rodados ]]/Tabela6[[#This Row],[CONSUMO]]</f>
        <v>4.635416666666667</v>
      </c>
    </row>
    <row r="2861" spans="1:14" x14ac:dyDescent="0.25">
      <c r="A2861" s="47">
        <v>216721</v>
      </c>
      <c r="B2861" s="78">
        <v>45226</v>
      </c>
      <c r="C2861" s="47" t="s">
        <v>40</v>
      </c>
      <c r="D2861" s="49" t="s">
        <v>262</v>
      </c>
      <c r="E2861" s="47">
        <v>166631</v>
      </c>
      <c r="G2861" s="50" t="s">
        <v>244</v>
      </c>
      <c r="H2861" s="51">
        <v>31.53</v>
      </c>
      <c r="J2861" s="51">
        <v>5.59</v>
      </c>
      <c r="K2861" s="74">
        <f>Tabela6[[#This Row],[CONSUMO]]*Tabela6[[#This Row],[VALOR UNIT]]-Tabela6[[#This Row],[DESCONTO]]</f>
        <v>176.2527</v>
      </c>
      <c r="L2861" s="53">
        <f>Tabela6[[#This Row],[CUSTO TOTAL]]/Tabela6[[#This Row],[CONSUMO]]</f>
        <v>5.59</v>
      </c>
      <c r="M2861" s="50">
        <f>Tabela6[[#This Row],[KM ATUAL]]-E2819</f>
        <v>-887626</v>
      </c>
      <c r="N2861" s="51">
        <f>Tabela6[[#This Row],[KM Rodados ]]/Tabela6[[#This Row],[CONSUMO]]</f>
        <v>-28151.791944180146</v>
      </c>
    </row>
    <row r="2862" spans="1:14" x14ac:dyDescent="0.25">
      <c r="A2862" s="47">
        <v>216694</v>
      </c>
      <c r="B2862" s="78">
        <v>45226</v>
      </c>
      <c r="C2862" s="47" t="s">
        <v>74</v>
      </c>
      <c r="D2862" s="49" t="s">
        <v>262</v>
      </c>
      <c r="E2862" s="47">
        <v>86978</v>
      </c>
      <c r="G2862" s="50" t="s">
        <v>241</v>
      </c>
      <c r="H2862" s="51">
        <v>2.4119999999999999</v>
      </c>
      <c r="I2862" s="49">
        <v>0.87</v>
      </c>
      <c r="J2862" s="51">
        <v>3.69</v>
      </c>
      <c r="K2862" s="74">
        <f>Tabela6[[#This Row],[CONSUMO]]*Tabela6[[#This Row],[VALOR UNIT]]-Tabela6[[#This Row],[DESCONTO]]</f>
        <v>8.0302800000000012</v>
      </c>
      <c r="L2862" s="53">
        <f>Tabela6[[#This Row],[CUSTO TOTAL]]/Tabela6[[#This Row],[CONSUMO]]</f>
        <v>3.3293034825870653</v>
      </c>
      <c r="M2862" s="50"/>
    </row>
    <row r="2863" spans="1:14" x14ac:dyDescent="0.25">
      <c r="A2863" s="47">
        <v>7978</v>
      </c>
      <c r="B2863" s="78">
        <v>45226</v>
      </c>
      <c r="C2863" s="47" t="s">
        <v>74</v>
      </c>
      <c r="D2863" s="49" t="s">
        <v>299</v>
      </c>
      <c r="E2863" s="47">
        <v>86976</v>
      </c>
      <c r="G2863" s="50" t="s">
        <v>89</v>
      </c>
      <c r="H2863" s="51">
        <v>81</v>
      </c>
      <c r="J2863" s="51">
        <v>5.75</v>
      </c>
      <c r="K2863" s="74">
        <f>Tabela6[[#This Row],[CONSUMO]]*Tabela6[[#This Row],[VALOR UNIT]]-Tabela6[[#This Row],[DESCONTO]]</f>
        <v>465.75</v>
      </c>
      <c r="L2863" s="53">
        <f>Tabela6[[#This Row],[CUSTO TOTAL]]/Tabela6[[#This Row],[CONSUMO]]</f>
        <v>5.75</v>
      </c>
      <c r="M2863" s="50">
        <f>Tabela6[[#This Row],[KM ATUAL]]-E2828</f>
        <v>-736195</v>
      </c>
      <c r="N2863" s="51">
        <f>Tabela6[[#This Row],[KM Rodados ]]/Tabela6[[#This Row],[CONSUMO]]</f>
        <v>-9088.8271604938273</v>
      </c>
    </row>
    <row r="2864" spans="1:14" x14ac:dyDescent="0.25">
      <c r="A2864" s="47">
        <v>216909</v>
      </c>
      <c r="B2864" s="78">
        <v>45227</v>
      </c>
      <c r="C2864" s="47" t="s">
        <v>72</v>
      </c>
      <c r="D2864" s="49" t="s">
        <v>262</v>
      </c>
      <c r="E2864" s="47">
        <v>422057</v>
      </c>
      <c r="G2864" s="50" t="s">
        <v>89</v>
      </c>
      <c r="H2864" s="51">
        <v>32.340000000000003</v>
      </c>
      <c r="J2864" s="51">
        <v>6.29</v>
      </c>
      <c r="K2864" s="74">
        <f>Tabela6[[#This Row],[CONSUMO]]*Tabela6[[#This Row],[VALOR UNIT]]-Tabela6[[#This Row],[DESCONTO]]</f>
        <v>203.41860000000003</v>
      </c>
      <c r="L2864" s="53">
        <f>Tabela6[[#This Row],[CUSTO TOTAL]]/Tabela6[[#This Row],[CONSUMO]]</f>
        <v>6.29</v>
      </c>
      <c r="M2864" s="50">
        <f>Tabela6[[#This Row],[KM ATUAL]]-E2860</f>
        <v>46011</v>
      </c>
      <c r="N2864" s="51">
        <f>Tabela6[[#This Row],[KM Rodados ]]/Tabela6[[#This Row],[CONSUMO]]</f>
        <v>1422.7272727272725</v>
      </c>
    </row>
    <row r="2865" spans="1:14" x14ac:dyDescent="0.25">
      <c r="A2865" s="47">
        <v>145670</v>
      </c>
      <c r="B2865" s="78">
        <v>45228</v>
      </c>
      <c r="C2865" s="47" t="s">
        <v>203</v>
      </c>
      <c r="D2865" s="49" t="s">
        <v>260</v>
      </c>
      <c r="E2865" s="47">
        <v>118586</v>
      </c>
      <c r="G2865" s="50" t="s">
        <v>244</v>
      </c>
      <c r="H2865" s="51">
        <v>21.209</v>
      </c>
      <c r="J2865" s="51">
        <v>5.69</v>
      </c>
      <c r="K2865" s="74">
        <f>Tabela6[[#This Row],[CONSUMO]]*Tabela6[[#This Row],[VALOR UNIT]]-Tabela6[[#This Row],[DESCONTO]]</f>
        <v>120.67921000000001</v>
      </c>
      <c r="L2865" s="53">
        <f>Tabela6[[#This Row],[CUSTO TOTAL]]/Tabela6[[#This Row],[CONSUMO]]</f>
        <v>5.69</v>
      </c>
      <c r="M2865" s="50">
        <f>Tabela6[[#This Row],[KM ATUAL]]-E2811</f>
        <v>-393743</v>
      </c>
      <c r="N2865" s="51">
        <f>Tabela6[[#This Row],[KM Rodados ]]/Tabela6[[#This Row],[CONSUMO]]</f>
        <v>-18564.901692677638</v>
      </c>
    </row>
    <row r="2866" spans="1:14" x14ac:dyDescent="0.25">
      <c r="A2866" s="47">
        <v>263052</v>
      </c>
      <c r="B2866" s="78">
        <v>45229</v>
      </c>
      <c r="C2866" s="47" t="s">
        <v>9</v>
      </c>
      <c r="D2866" s="49" t="s">
        <v>273</v>
      </c>
      <c r="E2866" s="47">
        <v>631303</v>
      </c>
      <c r="G2866" s="50" t="s">
        <v>89</v>
      </c>
      <c r="H2866" s="51">
        <v>122</v>
      </c>
      <c r="J2866" s="51">
        <v>6.19</v>
      </c>
      <c r="K2866" s="74">
        <f>Tabela6[[#This Row],[CONSUMO]]*Tabela6[[#This Row],[VALOR UNIT]]-Tabela6[[#This Row],[DESCONTO]]</f>
        <v>755.18000000000006</v>
      </c>
      <c r="L2866" s="53">
        <f>Tabela6[[#This Row],[CUSTO TOTAL]]/Tabela6[[#This Row],[CONSUMO]]</f>
        <v>6.19</v>
      </c>
      <c r="M2866" s="50">
        <f>Tabela6[[#This Row],[KM ATUAL]]-E2715</f>
        <v>-294157</v>
      </c>
      <c r="N2866" s="51">
        <f>Tabela6[[#This Row],[KM Rodados ]]/Tabela6[[#This Row],[CONSUMO]]</f>
        <v>-2411.122950819672</v>
      </c>
    </row>
    <row r="2867" spans="1:14" x14ac:dyDescent="0.25">
      <c r="A2867" s="47">
        <v>73904</v>
      </c>
      <c r="B2867" s="78">
        <v>45229</v>
      </c>
      <c r="C2867" s="47" t="s">
        <v>222</v>
      </c>
      <c r="D2867" s="49" t="s">
        <v>300</v>
      </c>
      <c r="E2867" s="47">
        <v>514247</v>
      </c>
      <c r="G2867" s="50" t="s">
        <v>89</v>
      </c>
      <c r="H2867" s="51">
        <v>100</v>
      </c>
      <c r="J2867" s="51">
        <v>6.19</v>
      </c>
      <c r="K2867" s="74">
        <f>Tabela6[[#This Row],[CONSUMO]]*Tabela6[[#This Row],[VALOR UNIT]]-Tabela6[[#This Row],[DESCONTO]]</f>
        <v>619</v>
      </c>
      <c r="L2867" s="53">
        <f>Tabela6[[#This Row],[CUSTO TOTAL]]/Tabela6[[#This Row],[CONSUMO]]</f>
        <v>6.19</v>
      </c>
      <c r="M2867" s="50">
        <f>Tabela6[[#This Row],[KM ATUAL]]-E2850</f>
        <v>138732</v>
      </c>
      <c r="N2867" s="49">
        <f>Tabela6[[#This Row],[KM Rodados ]]/Tabela6[[#This Row],[CONSUMO]]</f>
        <v>1387.32</v>
      </c>
    </row>
    <row r="2868" spans="1:14" x14ac:dyDescent="0.25">
      <c r="A2868" s="47">
        <v>7978</v>
      </c>
      <c r="B2868" s="78">
        <v>45229</v>
      </c>
      <c r="C2868" s="47" t="s">
        <v>72</v>
      </c>
      <c r="D2868" s="49" t="s">
        <v>299</v>
      </c>
      <c r="E2868" s="47">
        <v>422370</v>
      </c>
      <c r="G2868" s="50" t="s">
        <v>89</v>
      </c>
      <c r="H2868" s="51">
        <v>38</v>
      </c>
      <c r="J2868" s="51">
        <v>5.75</v>
      </c>
      <c r="K2868" s="74">
        <f>Tabela6[[#This Row],[CONSUMO]]*Tabela6[[#This Row],[VALOR UNIT]]-Tabela6[[#This Row],[DESCONTO]]</f>
        <v>218.5</v>
      </c>
      <c r="L2868" s="53">
        <f>Tabela6[[#This Row],[CUSTO TOTAL]]/Tabela6[[#This Row],[CONSUMO]]</f>
        <v>5.75</v>
      </c>
      <c r="M2868" s="50">
        <f>Tabela6[[#This Row],[KM ATUAL]]-E2855</f>
        <v>521</v>
      </c>
      <c r="N2868" s="51">
        <f>Tabela6[[#This Row],[KM Rodados ]]/Tabela6[[#This Row],[CONSUMO]]</f>
        <v>13.710526315789474</v>
      </c>
    </row>
    <row r="2869" spans="1:14" x14ac:dyDescent="0.25">
      <c r="A2869" s="47">
        <v>77530</v>
      </c>
      <c r="B2869" s="78">
        <v>45229</v>
      </c>
      <c r="C2869" s="47" t="s">
        <v>64</v>
      </c>
      <c r="D2869" s="49" t="s">
        <v>253</v>
      </c>
      <c r="E2869" s="47">
        <v>100417</v>
      </c>
      <c r="G2869" s="50" t="s">
        <v>89</v>
      </c>
      <c r="H2869" s="51">
        <v>152.86000000000001</v>
      </c>
      <c r="J2869" s="51">
        <v>6.29</v>
      </c>
      <c r="K2869" s="74">
        <f>Tabela6[[#This Row],[CONSUMO]]*Tabela6[[#This Row],[VALOR UNIT]]-Tabela6[[#This Row],[DESCONTO]]</f>
        <v>961.48940000000005</v>
      </c>
      <c r="L2869" s="53">
        <f>Tabela6[[#This Row],[CUSTO TOTAL]]/Tabela6[[#This Row],[CONSUMO]]</f>
        <v>6.29</v>
      </c>
      <c r="M2869" s="50">
        <f>Tabela6[[#This Row],[KM ATUAL]]-E2831</f>
        <v>-9516</v>
      </c>
      <c r="N2869" s="51">
        <f>Tabela6[[#This Row],[KM Rodados ]]/Tabela6[[#This Row],[CONSUMO]]</f>
        <v>-62.253041999214965</v>
      </c>
    </row>
    <row r="2870" spans="1:14" x14ac:dyDescent="0.25">
      <c r="A2870" s="47">
        <v>7978</v>
      </c>
      <c r="B2870" s="78">
        <v>45229</v>
      </c>
      <c r="C2870" s="47" t="s">
        <v>21</v>
      </c>
      <c r="D2870" s="49" t="s">
        <v>299</v>
      </c>
      <c r="E2870" s="47">
        <v>160451</v>
      </c>
      <c r="G2870" s="50" t="s">
        <v>89</v>
      </c>
      <c r="H2870" s="51">
        <v>80</v>
      </c>
      <c r="J2870" s="51">
        <v>5.75</v>
      </c>
      <c r="K2870" s="74">
        <f>Tabela6[[#This Row],[CONSUMO]]*Tabela6[[#This Row],[VALOR UNIT]]-Tabela6[[#This Row],[DESCONTO]]</f>
        <v>460</v>
      </c>
      <c r="L2870" s="53">
        <f>Tabela6[[#This Row],[CUSTO TOTAL]]/Tabela6[[#This Row],[CONSUMO]]</f>
        <v>5.75</v>
      </c>
      <c r="M2870" s="50">
        <f>Tabela6[[#This Row],[KM ATUAL]]-E2837</f>
        <v>301</v>
      </c>
      <c r="N2870" s="51">
        <f>Tabela6[[#This Row],[KM Rodados ]]/Tabela6[[#This Row],[CONSUMO]]</f>
        <v>3.7625000000000002</v>
      </c>
    </row>
    <row r="2871" spans="1:14" x14ac:dyDescent="0.25">
      <c r="A2871" s="47">
        <v>77157</v>
      </c>
      <c r="B2871" s="78">
        <v>45229</v>
      </c>
      <c r="C2871" s="47" t="s">
        <v>11</v>
      </c>
      <c r="D2871" s="49" t="s">
        <v>253</v>
      </c>
      <c r="E2871" s="47">
        <v>404133</v>
      </c>
      <c r="G2871" s="50" t="s">
        <v>89</v>
      </c>
      <c r="H2871" s="51">
        <v>100.98</v>
      </c>
      <c r="J2871" s="51">
        <v>6.29</v>
      </c>
      <c r="K2871" s="74">
        <f>Tabela6[[#This Row],[CONSUMO]]*Tabela6[[#This Row],[VALOR UNIT]]-Tabela6[[#This Row],[DESCONTO]]</f>
        <v>635.16420000000005</v>
      </c>
      <c r="L2871" s="53">
        <f>Tabela6[[#This Row],[CUSTO TOTAL]]/Tabela6[[#This Row],[CONSUMO]]</f>
        <v>6.29</v>
      </c>
      <c r="M2871" s="50">
        <f>Tabela6[[#This Row],[KM ATUAL]]-E2756</f>
        <v>305149</v>
      </c>
      <c r="N2871" s="51">
        <f>Tabela6[[#This Row],[KM Rodados ]]/Tabela6[[#This Row],[CONSUMO]]</f>
        <v>3021.8756189344422</v>
      </c>
    </row>
    <row r="2872" spans="1:14" x14ac:dyDescent="0.25">
      <c r="A2872" s="47">
        <v>217449</v>
      </c>
      <c r="B2872" s="78">
        <v>45229</v>
      </c>
      <c r="C2872" s="47" t="s">
        <v>206</v>
      </c>
      <c r="D2872" s="49" t="s">
        <v>262</v>
      </c>
      <c r="E2872" s="47">
        <v>975075</v>
      </c>
      <c r="G2872" s="50" t="s">
        <v>241</v>
      </c>
      <c r="H2872" s="51">
        <v>33.51</v>
      </c>
      <c r="I2872" s="49">
        <v>12.06</v>
      </c>
      <c r="J2872" s="51">
        <v>3.69</v>
      </c>
      <c r="K2872" s="74">
        <f>Tabela6[[#This Row],[CONSUMO]]*Tabela6[[#This Row],[VALOR UNIT]]-Tabela6[[#This Row],[DESCONTO]]</f>
        <v>111.5919</v>
      </c>
      <c r="L2872" s="53">
        <f>Tabela6[[#This Row],[CUSTO TOTAL]]/Tabela6[[#This Row],[CONSUMO]]</f>
        <v>3.3301074306177263</v>
      </c>
      <c r="M2872" s="50"/>
    </row>
    <row r="2873" spans="1:14" x14ac:dyDescent="0.25">
      <c r="A2873" s="47">
        <v>7978</v>
      </c>
      <c r="B2873" s="78">
        <v>45229</v>
      </c>
      <c r="C2873" s="47" t="s">
        <v>206</v>
      </c>
      <c r="D2873" s="49" t="s">
        <v>299</v>
      </c>
      <c r="E2873" s="47">
        <v>975072</v>
      </c>
      <c r="G2873" s="50" t="s">
        <v>89</v>
      </c>
      <c r="H2873" s="51">
        <v>315</v>
      </c>
      <c r="J2873" s="51">
        <v>5.75</v>
      </c>
      <c r="K2873" s="74">
        <f>Tabela6[[#This Row],[CONSUMO]]*Tabela6[[#This Row],[VALOR UNIT]]-Tabela6[[#This Row],[DESCONTO]]</f>
        <v>1811.25</v>
      </c>
      <c r="L2873" s="53">
        <f>Tabela6[[#This Row],[CUSTO TOTAL]]/Tabela6[[#This Row],[CONSUMO]]</f>
        <v>5.75</v>
      </c>
      <c r="M2873" s="50">
        <f>Tabela6[[#This Row],[KM ATUAL]]-E2831</f>
        <v>865139</v>
      </c>
      <c r="N2873" s="51">
        <f>Tabela6[[#This Row],[KM Rodados ]]/Tabela6[[#This Row],[CONSUMO]]</f>
        <v>2746.4730158730158</v>
      </c>
    </row>
    <row r="2874" spans="1:14" x14ac:dyDescent="0.25">
      <c r="A2874" s="47">
        <v>217371</v>
      </c>
      <c r="B2874" s="78">
        <v>45229</v>
      </c>
      <c r="C2874" s="47" t="s">
        <v>14</v>
      </c>
      <c r="D2874" s="49" t="s">
        <v>262</v>
      </c>
      <c r="E2874" s="47">
        <v>301600</v>
      </c>
      <c r="G2874" s="50" t="s">
        <v>244</v>
      </c>
      <c r="H2874" s="51">
        <v>36.86</v>
      </c>
      <c r="J2874" s="51">
        <v>5.59</v>
      </c>
      <c r="K2874" s="74">
        <f>Tabela6[[#This Row],[CONSUMO]]*Tabela6[[#This Row],[VALOR UNIT]]-Tabela6[[#This Row],[DESCONTO]]</f>
        <v>206.04739999999998</v>
      </c>
      <c r="L2874" s="53">
        <f>Tabela6[[#This Row],[CUSTO TOTAL]]/Tabela6[[#This Row],[CONSUMO]]</f>
        <v>5.59</v>
      </c>
      <c r="M2874" s="50">
        <f>Tabela6[[#This Row],[KM ATUAL]]-E2788</f>
        <v>-670816</v>
      </c>
      <c r="N2874" s="51">
        <f>Tabela6[[#This Row],[KM Rodados ]]/Tabela6[[#This Row],[CONSUMO]]</f>
        <v>-18199.023331524688</v>
      </c>
    </row>
    <row r="2875" spans="1:14" x14ac:dyDescent="0.25">
      <c r="A2875" s="47">
        <v>7978</v>
      </c>
      <c r="B2875" s="78">
        <v>45229</v>
      </c>
      <c r="C2875" s="47" t="s">
        <v>15</v>
      </c>
      <c r="D2875" s="49" t="s">
        <v>299</v>
      </c>
      <c r="E2875" s="47">
        <v>394436</v>
      </c>
      <c r="G2875" s="50" t="s">
        <v>89</v>
      </c>
      <c r="H2875" s="51">
        <v>80</v>
      </c>
      <c r="J2875" s="51">
        <v>5.75</v>
      </c>
      <c r="K2875" s="74">
        <f>Tabela6[[#This Row],[CONSUMO]]*Tabela6[[#This Row],[VALOR UNIT]]-Tabela6[[#This Row],[DESCONTO]]</f>
        <v>460</v>
      </c>
      <c r="L2875" s="53">
        <f>Tabela6[[#This Row],[CUSTO TOTAL]]/Tabela6[[#This Row],[CONSUMO]]</f>
        <v>5.75</v>
      </c>
      <c r="M2875" s="50">
        <f>Tabela6[[#This Row],[KM ATUAL]]-E2841</f>
        <v>499</v>
      </c>
      <c r="N2875" s="51">
        <f>Tabela6[[#This Row],[KM Rodados ]]/Tabela6[[#This Row],[CONSUMO]]</f>
        <v>6.2374999999999998</v>
      </c>
    </row>
    <row r="2876" spans="1:14" x14ac:dyDescent="0.25">
      <c r="A2876" s="47">
        <v>116309</v>
      </c>
      <c r="B2876" s="78">
        <v>45229</v>
      </c>
      <c r="C2876" s="47" t="s">
        <v>17</v>
      </c>
      <c r="D2876" s="49" t="s">
        <v>373</v>
      </c>
      <c r="E2876" s="47">
        <v>376775</v>
      </c>
      <c r="G2876" s="50" t="s">
        <v>89</v>
      </c>
      <c r="H2876" s="51">
        <v>171.48099999999999</v>
      </c>
      <c r="J2876" s="51">
        <v>6.29</v>
      </c>
      <c r="K2876" s="74">
        <f>Tabela6[[#This Row],[CONSUMO]]*Tabela6[[#This Row],[VALOR UNIT]]-Tabela6[[#This Row],[DESCONTO]]</f>
        <v>1078.6154899999999</v>
      </c>
      <c r="L2876" s="53">
        <f>Tabela6[[#This Row],[CUSTO TOTAL]]/Tabela6[[#This Row],[CONSUMO]]</f>
        <v>6.29</v>
      </c>
      <c r="M2876" s="50">
        <f>Tabela6[[#This Row],[KM ATUAL]]-E2863</f>
        <v>289799</v>
      </c>
      <c r="N2876" s="51">
        <f>Tabela6[[#This Row],[KM Rodados ]]/Tabela6[[#This Row],[CONSUMO]]</f>
        <v>1689.9773152710798</v>
      </c>
    </row>
    <row r="2877" spans="1:14" x14ac:dyDescent="0.25">
      <c r="A2877" s="47">
        <v>344572</v>
      </c>
      <c r="B2877" s="78">
        <v>45229</v>
      </c>
      <c r="C2877" s="47" t="s">
        <v>19</v>
      </c>
      <c r="D2877" s="49" t="s">
        <v>276</v>
      </c>
      <c r="E2877" s="47">
        <v>19.010999999999999</v>
      </c>
      <c r="G2877" s="50" t="s">
        <v>241</v>
      </c>
      <c r="H2877" s="51">
        <v>19.010999999999999</v>
      </c>
      <c r="J2877" s="51">
        <v>3.69</v>
      </c>
      <c r="K2877" s="74">
        <f>Tabela6[[#This Row],[CONSUMO]]*Tabela6[[#This Row],[VALOR UNIT]]-Tabela6[[#This Row],[DESCONTO]]</f>
        <v>70.150589999999994</v>
      </c>
      <c r="L2877" s="53">
        <f>Tabela6[[#This Row],[CUSTO TOTAL]]/Tabela6[[#This Row],[CONSUMO]]</f>
        <v>3.69</v>
      </c>
      <c r="M2877" s="50"/>
    </row>
    <row r="2878" spans="1:14" x14ac:dyDescent="0.25">
      <c r="A2878" s="47">
        <v>7978</v>
      </c>
      <c r="B2878" s="78">
        <v>45229</v>
      </c>
      <c r="C2878" s="47" t="s">
        <v>20</v>
      </c>
      <c r="D2878" s="49" t="s">
        <v>299</v>
      </c>
      <c r="E2878" s="47">
        <v>278305</v>
      </c>
      <c r="G2878" s="50" t="s">
        <v>89</v>
      </c>
      <c r="H2878" s="51">
        <v>59</v>
      </c>
      <c r="J2878" s="51">
        <v>5.75</v>
      </c>
      <c r="K2878" s="74">
        <f>Tabela6[[#This Row],[CONSUMO]]*Tabela6[[#This Row],[VALOR UNIT]]-Tabela6[[#This Row],[DESCONTO]]</f>
        <v>339.25</v>
      </c>
      <c r="L2878" s="53">
        <f>Tabela6[[#This Row],[CUSTO TOTAL]]/Tabela6[[#This Row],[CONSUMO]]</f>
        <v>5.75</v>
      </c>
      <c r="M2878" s="50">
        <f>Tabela6[[#This Row],[KM ATUAL]]-E2817</f>
        <v>-402970</v>
      </c>
      <c r="N2878" s="51">
        <f>Tabela6[[#This Row],[KM Rodados ]]/Tabela6[[#This Row],[CONSUMO]]</f>
        <v>-6830</v>
      </c>
    </row>
    <row r="2879" spans="1:14" x14ac:dyDescent="0.25">
      <c r="A2879" s="47">
        <v>577422</v>
      </c>
      <c r="B2879" s="78">
        <v>45229</v>
      </c>
      <c r="C2879" s="47" t="s">
        <v>38</v>
      </c>
      <c r="D2879" s="49" t="s">
        <v>255</v>
      </c>
      <c r="E2879" s="47">
        <v>138660</v>
      </c>
      <c r="G2879" s="50" t="s">
        <v>244</v>
      </c>
      <c r="H2879" s="51">
        <v>50.09</v>
      </c>
      <c r="J2879" s="51">
        <v>6.89</v>
      </c>
      <c r="K2879" s="74">
        <f>Tabela6[[#This Row],[CONSUMO]]*Tabela6[[#This Row],[VALOR UNIT]]-Tabela6[[#This Row],[DESCONTO]]</f>
        <v>345.12009999999998</v>
      </c>
      <c r="L2879" s="53">
        <f>Tabela6[[#This Row],[CUSTO TOTAL]]/Tabela6[[#This Row],[CONSUMO]]</f>
        <v>6.8899999999999988</v>
      </c>
      <c r="M2879" s="50">
        <f>Tabela6[[#This Row],[KM ATUAL]]-E2777</f>
        <v>-372045</v>
      </c>
      <c r="N2879" s="51">
        <f>Tabela6[[#This Row],[KM Rodados ]]/Tabela6[[#This Row],[CONSUMO]]</f>
        <v>-7427.5304451986422</v>
      </c>
    </row>
    <row r="2880" spans="1:14" x14ac:dyDescent="0.25">
      <c r="A2880" s="47">
        <v>7978</v>
      </c>
      <c r="B2880" s="78">
        <v>45229</v>
      </c>
      <c r="C2880" s="47" t="s">
        <v>23</v>
      </c>
      <c r="D2880" s="49" t="s">
        <v>299</v>
      </c>
      <c r="E2880" s="47">
        <v>252846</v>
      </c>
      <c r="G2880" s="50" t="s">
        <v>89</v>
      </c>
      <c r="H2880" s="51">
        <v>90</v>
      </c>
      <c r="J2880" s="51">
        <v>5.75</v>
      </c>
      <c r="K2880" s="74">
        <f>Tabela6[[#This Row],[CONSUMO]]*Tabela6[[#This Row],[VALOR UNIT]]-Tabela6[[#This Row],[DESCONTO]]</f>
        <v>517.5</v>
      </c>
      <c r="L2880" s="53">
        <f>Tabela6[[#This Row],[CUSTO TOTAL]]/Tabela6[[#This Row],[CONSUMO]]</f>
        <v>5.75</v>
      </c>
      <c r="M2880" s="50">
        <f>Tabela6[[#This Row],[KM ATUAL]]-E2842</f>
        <v>-122755</v>
      </c>
      <c r="N2880" s="51">
        <f>Tabela6[[#This Row],[KM Rodados ]]/Tabela6[[#This Row],[CONSUMO]]</f>
        <v>-1363.9444444444443</v>
      </c>
    </row>
    <row r="2881" spans="1:14" x14ac:dyDescent="0.25">
      <c r="A2881" s="47">
        <v>361075</v>
      </c>
      <c r="B2881" s="78">
        <v>45230</v>
      </c>
      <c r="C2881" s="47" t="s">
        <v>68</v>
      </c>
      <c r="D2881" s="49" t="s">
        <v>343</v>
      </c>
      <c r="E2881" s="47">
        <v>929399</v>
      </c>
      <c r="G2881" s="50" t="s">
        <v>89</v>
      </c>
      <c r="H2881" s="51">
        <v>426</v>
      </c>
      <c r="J2881" s="51">
        <v>5.79</v>
      </c>
      <c r="K2881" s="74">
        <f>Tabela6[[#This Row],[CONSUMO]]*Tabela6[[#This Row],[VALOR UNIT]]-Tabela6[[#This Row],[DESCONTO]]</f>
        <v>2466.54</v>
      </c>
      <c r="L2881" s="53">
        <f>Tabela6[[#This Row],[CUSTO TOTAL]]/Tabela6[[#This Row],[CONSUMO]]</f>
        <v>5.79</v>
      </c>
      <c r="M2881" s="50">
        <f>Tabela6[[#This Row],[KM ATUAL]]-E2856</f>
        <v>247472</v>
      </c>
      <c r="N2881" s="51">
        <f>Tabela6[[#This Row],[KM Rodados ]]/Tabela6[[#This Row],[CONSUMO]]</f>
        <v>580.9201877934272</v>
      </c>
    </row>
    <row r="2882" spans="1:14" x14ac:dyDescent="0.25">
      <c r="A2882" s="47">
        <v>217561</v>
      </c>
      <c r="B2882" s="78">
        <v>45230</v>
      </c>
      <c r="C2882" s="47" t="s">
        <v>43</v>
      </c>
      <c r="D2882" s="49" t="s">
        <v>262</v>
      </c>
      <c r="E2882" s="47">
        <v>156616</v>
      </c>
      <c r="G2882" s="50" t="s">
        <v>89</v>
      </c>
      <c r="H2882" s="51">
        <v>36.529000000000003</v>
      </c>
      <c r="J2882" s="51">
        <v>6.29</v>
      </c>
      <c r="K2882" s="74">
        <f>Tabela6[[#This Row],[CONSUMO]]*Tabela6[[#This Row],[VALOR UNIT]]-Tabela6[[#This Row],[DESCONTO]]</f>
        <v>229.76741000000001</v>
      </c>
      <c r="L2882" s="53">
        <f>Tabela6[[#This Row],[CUSTO TOTAL]]/Tabela6[[#This Row],[CONSUMO]]</f>
        <v>6.29</v>
      </c>
      <c r="M2882" s="50">
        <f>Tabela6[[#This Row],[KM ATUAL]]-E2841</f>
        <v>-237321</v>
      </c>
      <c r="N2882" s="51">
        <f>Tabela6[[#This Row],[KM Rodados ]]/Tabela6[[#This Row],[CONSUMO]]</f>
        <v>-6496.7833775904073</v>
      </c>
    </row>
    <row r="2883" spans="1:14" x14ac:dyDescent="0.25">
      <c r="A2883" s="47">
        <v>7978</v>
      </c>
      <c r="B2883" s="78">
        <v>45230</v>
      </c>
      <c r="C2883" s="47" t="s">
        <v>394</v>
      </c>
      <c r="D2883" s="49" t="s">
        <v>299</v>
      </c>
      <c r="E2883" s="47">
        <v>876178</v>
      </c>
      <c r="G2883" s="50" t="s">
        <v>89</v>
      </c>
      <c r="H2883" s="51">
        <v>95</v>
      </c>
      <c r="J2883" s="51">
        <v>5.75</v>
      </c>
      <c r="K2883" s="74">
        <f>Tabela6[[#This Row],[CONSUMO]]*Tabela6[[#This Row],[VALOR UNIT]]-Tabela6[[#This Row],[DESCONTO]]</f>
        <v>546.25</v>
      </c>
      <c r="L2883" s="53">
        <f>Tabela6[[#This Row],[CUSTO TOTAL]]/Tabela6[[#This Row],[CONSUMO]]</f>
        <v>5.75</v>
      </c>
      <c r="M2883" s="51" t="e">
        <f>Tabela6[[#This Row],[KM ATUAL]]-#REF!</f>
        <v>#REF!</v>
      </c>
      <c r="N2883" s="51" t="e">
        <f>Tabela6[[#This Row],[KM Rodados ]]/Tabela6[[#This Row],[CONSUMO]]</f>
        <v>#REF!</v>
      </c>
    </row>
    <row r="2884" spans="1:14" x14ac:dyDescent="0.25">
      <c r="A2884" s="47">
        <v>318513</v>
      </c>
      <c r="B2884" s="78">
        <v>45230</v>
      </c>
      <c r="C2884" s="47" t="s">
        <v>70</v>
      </c>
      <c r="D2884" s="49" t="s">
        <v>270</v>
      </c>
      <c r="E2884" s="47">
        <v>236764</v>
      </c>
      <c r="G2884" s="50" t="s">
        <v>89</v>
      </c>
      <c r="H2884" s="51">
        <v>576.75</v>
      </c>
      <c r="J2884" s="51">
        <v>6.19</v>
      </c>
      <c r="K2884" s="74">
        <f>Tabela6[[#This Row],[CONSUMO]]*Tabela6[[#This Row],[VALOR UNIT]]-Tabela6[[#This Row],[DESCONTO]]</f>
        <v>3570.0825000000004</v>
      </c>
      <c r="L2884" s="53">
        <f>Tabela6[[#This Row],[CUSTO TOTAL]]/Tabela6[[#This Row],[CONSUMO]]</f>
        <v>6.19</v>
      </c>
      <c r="M2884" s="50">
        <f>Tabela6[[#This Row],[KM ATUAL]]-E2835</f>
        <v>105511</v>
      </c>
      <c r="N2884" s="51">
        <f>Tabela6[[#This Row],[KM Rodados ]]/Tabela6[[#This Row],[CONSUMO]]</f>
        <v>182.94061551798873</v>
      </c>
    </row>
    <row r="2885" spans="1:14" x14ac:dyDescent="0.25">
      <c r="A2885" s="47">
        <v>145979</v>
      </c>
      <c r="B2885" s="78">
        <v>45230</v>
      </c>
      <c r="C2885" s="47" t="s">
        <v>203</v>
      </c>
      <c r="D2885" s="49" t="s">
        <v>260</v>
      </c>
      <c r="E2885" s="47">
        <v>119063</v>
      </c>
      <c r="G2885" s="50" t="s">
        <v>244</v>
      </c>
      <c r="H2885" s="51">
        <v>39.561</v>
      </c>
      <c r="J2885" s="51">
        <v>5.69</v>
      </c>
      <c r="K2885" s="74">
        <f>Tabela6[[#This Row],[CONSUMO]]*Tabela6[[#This Row],[VALOR UNIT]]-Tabela6[[#This Row],[DESCONTO]]</f>
        <v>225.10209</v>
      </c>
      <c r="L2885" s="53">
        <f>Tabela6[[#This Row],[CUSTO TOTAL]]/Tabela6[[#This Row],[CONSUMO]]</f>
        <v>5.69</v>
      </c>
      <c r="M2885" s="50">
        <f>Tabela6[[#This Row],[KM ATUAL]]-E2861</f>
        <v>-47568</v>
      </c>
      <c r="N2885" s="51">
        <f>Tabela6[[#This Row],[KM Rodados ]]/Tabela6[[#This Row],[CONSUMO]]</f>
        <v>-1202.3962993857588</v>
      </c>
    </row>
    <row r="2886" spans="1:14" x14ac:dyDescent="0.25">
      <c r="A2886" s="47">
        <v>8070</v>
      </c>
      <c r="B2886" s="78">
        <v>45230</v>
      </c>
      <c r="C2886" s="47" t="s">
        <v>72</v>
      </c>
      <c r="D2886" s="49" t="s">
        <v>299</v>
      </c>
      <c r="E2886" s="47">
        <v>423061</v>
      </c>
      <c r="G2886" s="50" t="s">
        <v>89</v>
      </c>
      <c r="H2886" s="51">
        <v>36</v>
      </c>
      <c r="J2886" s="51">
        <v>5.75</v>
      </c>
      <c r="K2886" s="74">
        <f>Tabela6[[#This Row],[CONSUMO]]*Tabela6[[#This Row],[VALOR UNIT]]-Tabela6[[#This Row],[DESCONTO]]</f>
        <v>207</v>
      </c>
      <c r="L2886" s="53">
        <f>Tabela6[[#This Row],[CUSTO TOTAL]]/Tabela6[[#This Row],[CONSUMO]]</f>
        <v>5.75</v>
      </c>
      <c r="M2886" s="50">
        <f>Tabela6[[#This Row],[KM ATUAL]]-E2876</f>
        <v>46286</v>
      </c>
      <c r="N2886" s="51">
        <f>Tabela6[[#This Row],[KM Rodados ]]/Tabela6[[#This Row],[CONSUMO]]</f>
        <v>1285.7222222222222</v>
      </c>
    </row>
    <row r="2887" spans="1:14" x14ac:dyDescent="0.25">
      <c r="A2887" s="47">
        <v>8070</v>
      </c>
      <c r="B2887" s="78">
        <v>45230</v>
      </c>
      <c r="C2887" s="47" t="s">
        <v>41</v>
      </c>
      <c r="D2887" s="49" t="s">
        <v>299</v>
      </c>
      <c r="E2887" s="47">
        <v>682242</v>
      </c>
      <c r="G2887" s="50" t="s">
        <v>89</v>
      </c>
      <c r="H2887" s="51">
        <v>68</v>
      </c>
      <c r="J2887" s="51">
        <v>5.75</v>
      </c>
      <c r="K2887" s="74">
        <f>Tabela6[[#This Row],[CONSUMO]]*Tabela6[[#This Row],[VALOR UNIT]]-Tabela6[[#This Row],[DESCONTO]]</f>
        <v>391</v>
      </c>
      <c r="L2887" s="53">
        <f>Tabela6[[#This Row],[CUSTO TOTAL]]/Tabela6[[#This Row],[CONSUMO]]</f>
        <v>5.75</v>
      </c>
      <c r="M2887" s="50">
        <f>Tabela6[[#This Row],[KM ATUAL]]-E2855</f>
        <v>260393</v>
      </c>
      <c r="N2887" s="51">
        <f>Tabela6[[#This Row],[KM Rodados ]]/Tabela6[[#This Row],[CONSUMO]]</f>
        <v>3829.3088235294117</v>
      </c>
    </row>
    <row r="2888" spans="1:14" x14ac:dyDescent="0.25">
      <c r="A2888" s="47">
        <v>8070</v>
      </c>
      <c r="B2888" s="78">
        <v>45230</v>
      </c>
      <c r="C2888" s="47" t="s">
        <v>19</v>
      </c>
      <c r="D2888" s="49" t="s">
        <v>299</v>
      </c>
      <c r="E2888" s="47">
        <v>335419</v>
      </c>
      <c r="G2888" s="50" t="s">
        <v>89</v>
      </c>
      <c r="H2888" s="51">
        <v>146</v>
      </c>
      <c r="J2888" s="51">
        <v>5.75</v>
      </c>
      <c r="K2888" s="74">
        <f>Tabela6[[#This Row],[CONSUMO]]*Tabela6[[#This Row],[VALOR UNIT]]-Tabela6[[#This Row],[DESCONTO]]</f>
        <v>839.5</v>
      </c>
      <c r="L2888" s="53">
        <f>Tabela6[[#This Row],[CUSTO TOTAL]]/Tabela6[[#This Row],[CONSUMO]]</f>
        <v>5.75</v>
      </c>
      <c r="M2888" s="50">
        <f>Tabela6[[#This Row],[KM ATUAL]]-E2844</f>
        <v>661</v>
      </c>
      <c r="N2888" s="51">
        <f>Tabela6[[#This Row],[KM Rodados ]]/Tabela6[[#This Row],[CONSUMO]]</f>
        <v>4.5273972602739727</v>
      </c>
    </row>
    <row r="2889" spans="1:14" x14ac:dyDescent="0.25">
      <c r="A2889" s="47">
        <v>223998</v>
      </c>
      <c r="B2889" s="78">
        <v>45230</v>
      </c>
      <c r="C2889" s="47" t="s">
        <v>74</v>
      </c>
      <c r="D2889" s="49" t="s">
        <v>282</v>
      </c>
      <c r="E2889" s="47">
        <v>88031</v>
      </c>
      <c r="G2889" s="50" t="s">
        <v>89</v>
      </c>
      <c r="H2889" s="51">
        <v>90</v>
      </c>
      <c r="J2889" s="51">
        <v>6.14</v>
      </c>
      <c r="K2889" s="74">
        <f>Tabela6[[#This Row],[CONSUMO]]*Tabela6[[#This Row],[VALOR UNIT]]-Tabela6[[#This Row],[DESCONTO]]</f>
        <v>552.6</v>
      </c>
      <c r="L2889" s="53">
        <f>Tabela6[[#This Row],[CUSTO TOTAL]]/Tabela6[[#This Row],[CONSUMO]]</f>
        <v>6.1400000000000006</v>
      </c>
      <c r="M2889" s="50">
        <f>Tabela6[[#This Row],[KM ATUAL]]-E2888</f>
        <v>-247388</v>
      </c>
      <c r="N2889" s="51">
        <f>Tabela6[[#This Row],[KM Rodados ]]/Tabela6[[#This Row],[CONSUMO]]</f>
        <v>-2748.7555555555555</v>
      </c>
    </row>
    <row r="2890" spans="1:14" x14ac:dyDescent="0.25">
      <c r="A2890" s="47">
        <v>217833</v>
      </c>
      <c r="B2890" s="78">
        <v>45231</v>
      </c>
      <c r="C2890" s="47" t="s">
        <v>43</v>
      </c>
      <c r="D2890" s="49" t="s">
        <v>262</v>
      </c>
      <c r="E2890" s="47">
        <v>157225</v>
      </c>
      <c r="G2890" s="50" t="s">
        <v>89</v>
      </c>
      <c r="H2890" s="51">
        <v>13.2</v>
      </c>
      <c r="J2890" s="51">
        <v>6.29</v>
      </c>
      <c r="K2890" s="74">
        <f>Tabela6[[#This Row],[CONSUMO]]*Tabela6[[#This Row],[VALOR UNIT]]-Tabela6[[#This Row],[DESCONTO]]</f>
        <v>83.027999999999992</v>
      </c>
      <c r="L2890" s="53">
        <f>Tabela6[[#This Row],[CUSTO TOTAL]]/Tabela6[[#This Row],[CONSUMO]]</f>
        <v>6.29</v>
      </c>
      <c r="M2890" s="50">
        <f>Tabela6[[#This Row],[KM ATUAL]]-E2889</f>
        <v>69194</v>
      </c>
      <c r="N2890" s="51">
        <f>Tabela6[[#This Row],[KM Rodados ]]/Tabela6[[#This Row],[CONSUMO]]</f>
        <v>5241.969696969697</v>
      </c>
    </row>
    <row r="2891" spans="1:14" x14ac:dyDescent="0.25">
      <c r="A2891" s="47">
        <v>686589</v>
      </c>
      <c r="B2891" s="78">
        <v>45231</v>
      </c>
      <c r="C2891" s="47" t="s">
        <v>43</v>
      </c>
      <c r="D2891" s="49" t="s">
        <v>271</v>
      </c>
      <c r="E2891" s="47">
        <v>157156</v>
      </c>
      <c r="G2891" s="50" t="s">
        <v>89</v>
      </c>
      <c r="H2891" s="51">
        <v>33.11</v>
      </c>
      <c r="J2891" s="51">
        <v>6.19</v>
      </c>
      <c r="K2891" s="74">
        <f>Tabela6[[#This Row],[CONSUMO]]*Tabela6[[#This Row],[VALOR UNIT]]-Tabela6[[#This Row],[DESCONTO]]</f>
        <v>204.95090000000002</v>
      </c>
      <c r="L2891" s="53">
        <f>Tabela6[[#This Row],[CUSTO TOTAL]]/Tabela6[[#This Row],[CONSUMO]]</f>
        <v>6.19</v>
      </c>
      <c r="M2891" s="50">
        <f>Tabela6[[#This Row],[KM ATUAL]]-E2886</f>
        <v>-265905</v>
      </c>
      <c r="N2891" s="51">
        <f>Tabela6[[#This Row],[KM Rodados ]]/Tabela6[[#This Row],[CONSUMO]]</f>
        <v>-8030.9574146783452</v>
      </c>
    </row>
    <row r="2892" spans="1:14" x14ac:dyDescent="0.25">
      <c r="A2892" s="47">
        <v>79049</v>
      </c>
      <c r="B2892" s="78">
        <v>45231</v>
      </c>
      <c r="C2892" s="47" t="s">
        <v>42</v>
      </c>
      <c r="D2892" s="49" t="s">
        <v>253</v>
      </c>
      <c r="E2892" s="47">
        <v>375875</v>
      </c>
      <c r="G2892" s="50" t="s">
        <v>89</v>
      </c>
      <c r="H2892" s="51">
        <v>69.72</v>
      </c>
      <c r="J2892" s="51">
        <v>6.29</v>
      </c>
      <c r="K2892" s="74">
        <f>Tabela6[[#This Row],[CONSUMO]]*Tabela6[[#This Row],[VALOR UNIT]]-Tabela6[[#This Row],[DESCONTO]]</f>
        <v>438.53879999999998</v>
      </c>
      <c r="L2892" s="53">
        <f>Tabela6[[#This Row],[CUSTO TOTAL]]/Tabela6[[#This Row],[CONSUMO]]</f>
        <v>6.29</v>
      </c>
      <c r="M2892" s="50">
        <f>Tabela6[[#This Row],[KM ATUAL]]-E2859</f>
        <v>-18264</v>
      </c>
      <c r="N2892" s="51">
        <f>Tabela6[[#This Row],[KM Rodados ]]/Tabela6[[#This Row],[CONSUMO]]</f>
        <v>-261.96213425129088</v>
      </c>
    </row>
    <row r="2893" spans="1:14" x14ac:dyDescent="0.25">
      <c r="A2893" s="47">
        <v>8070</v>
      </c>
      <c r="B2893" s="78">
        <v>45231</v>
      </c>
      <c r="C2893" s="47" t="s">
        <v>67</v>
      </c>
      <c r="D2893" s="49" t="s">
        <v>299</v>
      </c>
      <c r="E2893" s="47">
        <v>687173</v>
      </c>
      <c r="G2893" s="50" t="s">
        <v>89</v>
      </c>
      <c r="H2893" s="51">
        <v>111</v>
      </c>
      <c r="J2893" s="51">
        <v>5.75</v>
      </c>
      <c r="K2893" s="74">
        <f>Tabela6[[#This Row],[CONSUMO]]*Tabela6[[#This Row],[VALOR UNIT]]-Tabela6[[#This Row],[DESCONTO]]</f>
        <v>638.25</v>
      </c>
      <c r="L2893" s="53">
        <f>Tabela6[[#This Row],[CUSTO TOTAL]]/Tabela6[[#This Row],[CONSUMO]]</f>
        <v>5.75</v>
      </c>
      <c r="M2893" s="50">
        <f>Tabela6[[#This Row],[KM ATUAL]]-E2845</f>
        <v>434788</v>
      </c>
      <c r="N2893" s="51">
        <f>Tabela6[[#This Row],[KM Rodados ]]/Tabela6[[#This Row],[CONSUMO]]</f>
        <v>3917.0090090090089</v>
      </c>
    </row>
    <row r="2894" spans="1:14" x14ac:dyDescent="0.25">
      <c r="A2894" s="47">
        <v>8070</v>
      </c>
      <c r="B2894" s="78">
        <v>45231</v>
      </c>
      <c r="C2894" s="47" t="s">
        <v>22</v>
      </c>
      <c r="D2894" s="49" t="s">
        <v>299</v>
      </c>
      <c r="E2894" s="47">
        <v>340790</v>
      </c>
      <c r="G2894" s="50" t="s">
        <v>89</v>
      </c>
      <c r="H2894" s="51">
        <v>108</v>
      </c>
      <c r="J2894" s="51">
        <v>5.75</v>
      </c>
      <c r="K2894" s="74">
        <f>Tabela6[[#This Row],[CONSUMO]]*Tabela6[[#This Row],[VALOR UNIT]]-Tabela6[[#This Row],[DESCONTO]]</f>
        <v>621</v>
      </c>
      <c r="L2894" s="53">
        <f>Tabela6[[#This Row],[CUSTO TOTAL]]/Tabela6[[#This Row],[CONSUMO]]</f>
        <v>5.75</v>
      </c>
      <c r="M2894" s="50">
        <f>Tabela6[[#This Row],[KM ATUAL]]-E2847</f>
        <v>-587533</v>
      </c>
      <c r="N2894" s="51">
        <f>Tabela6[[#This Row],[KM Rodados ]]/Tabela6[[#This Row],[CONSUMO]]</f>
        <v>-5440.1203703703704</v>
      </c>
    </row>
    <row r="2895" spans="1:14" x14ac:dyDescent="0.25">
      <c r="A2895" s="47">
        <v>8070</v>
      </c>
      <c r="B2895" s="78">
        <v>45231</v>
      </c>
      <c r="C2895" s="47" t="s">
        <v>72</v>
      </c>
      <c r="D2895" s="49" t="s">
        <v>299</v>
      </c>
      <c r="E2895" s="47">
        <v>423184</v>
      </c>
      <c r="G2895" s="50" t="s">
        <v>89</v>
      </c>
      <c r="H2895" s="51">
        <v>50</v>
      </c>
      <c r="J2895" s="51">
        <v>5.75</v>
      </c>
      <c r="K2895" s="74">
        <f>Tabela6[[#This Row],[CONSUMO]]*Tabela6[[#This Row],[VALOR UNIT]]-Tabela6[[#This Row],[DESCONTO]]</f>
        <v>287.5</v>
      </c>
      <c r="L2895" s="53">
        <f>Tabela6[[#This Row],[CUSTO TOTAL]]/Tabela6[[#This Row],[CONSUMO]]</f>
        <v>5.75</v>
      </c>
      <c r="M2895" s="50">
        <f>Tabela6[[#This Row],[KM ATUAL]]-E2879</f>
        <v>284524</v>
      </c>
      <c r="N2895" s="51">
        <f>Tabela6[[#This Row],[KM Rodados ]]/Tabela6[[#This Row],[CONSUMO]]</f>
        <v>5690.48</v>
      </c>
    </row>
    <row r="2896" spans="1:14" x14ac:dyDescent="0.25">
      <c r="A2896" s="47">
        <v>8070</v>
      </c>
      <c r="B2896" s="78">
        <v>45231</v>
      </c>
      <c r="C2896" s="47" t="s">
        <v>73</v>
      </c>
      <c r="D2896" s="49" t="s">
        <v>299</v>
      </c>
      <c r="E2896" s="47">
        <v>160810</v>
      </c>
      <c r="G2896" s="50" t="s">
        <v>89</v>
      </c>
      <c r="H2896" s="51">
        <v>105</v>
      </c>
      <c r="J2896" s="51">
        <v>5.75</v>
      </c>
      <c r="K2896" s="74">
        <f>Tabela6[[#This Row],[CONSUMO]]*Tabela6[[#This Row],[VALOR UNIT]]-Tabela6[[#This Row],[DESCONTO]]</f>
        <v>603.75</v>
      </c>
      <c r="L2896" s="53">
        <f>Tabela6[[#This Row],[CUSTO TOTAL]]/Tabela6[[#This Row],[CONSUMO]]</f>
        <v>5.75</v>
      </c>
      <c r="M2896" s="50">
        <f>Tabela6[[#This Row],[KM ATUAL]]-E2835</f>
        <v>29557</v>
      </c>
      <c r="N2896" s="51">
        <f>Tabela6[[#This Row],[KM Rodados ]]/Tabela6[[#This Row],[CONSUMO]]</f>
        <v>281.49523809523811</v>
      </c>
    </row>
    <row r="2897" spans="1:14" x14ac:dyDescent="0.25">
      <c r="A2897" s="47">
        <v>79367</v>
      </c>
      <c r="B2897" s="78">
        <v>45231</v>
      </c>
      <c r="C2897" s="47" t="s">
        <v>64</v>
      </c>
      <c r="D2897" s="49" t="s">
        <v>253</v>
      </c>
      <c r="E2897" s="47">
        <v>100447</v>
      </c>
      <c r="G2897" s="50" t="s">
        <v>89</v>
      </c>
      <c r="H2897" s="51">
        <v>170.27</v>
      </c>
      <c r="J2897" s="51">
        <v>6.29</v>
      </c>
      <c r="K2897" s="74">
        <f>Tabela6[[#This Row],[CONSUMO]]*Tabela6[[#This Row],[VALOR UNIT]]-Tabela6[[#This Row],[DESCONTO]]</f>
        <v>1070.9983</v>
      </c>
      <c r="L2897" s="53">
        <f>Tabela6[[#This Row],[CUSTO TOTAL]]/Tabela6[[#This Row],[CONSUMO]]</f>
        <v>6.2899999999999991</v>
      </c>
      <c r="M2897" s="50">
        <f>Tabela6[[#This Row],[KM ATUAL]]-E2873</f>
        <v>-874625</v>
      </c>
      <c r="N2897" s="51">
        <f>Tabela6[[#This Row],[KM Rodados ]]/Tabela6[[#This Row],[CONSUMO]]</f>
        <v>-5136.694661420097</v>
      </c>
    </row>
    <row r="2898" spans="1:14" x14ac:dyDescent="0.25">
      <c r="A2898" s="47">
        <v>8070</v>
      </c>
      <c r="B2898" s="78">
        <v>45231</v>
      </c>
      <c r="C2898" s="47" t="s">
        <v>301</v>
      </c>
      <c r="D2898" s="49" t="s">
        <v>299</v>
      </c>
      <c r="E2898" s="47">
        <v>1058770</v>
      </c>
      <c r="G2898" s="50" t="s">
        <v>89</v>
      </c>
      <c r="H2898" s="51">
        <v>380</v>
      </c>
      <c r="J2898" s="51">
        <v>5.75</v>
      </c>
      <c r="K2898" s="74">
        <f>Tabela6[[#This Row],[CONSUMO]]*Tabela6[[#This Row],[VALOR UNIT]]-Tabela6[[#This Row],[DESCONTO]]</f>
        <v>2185</v>
      </c>
      <c r="L2898" s="53">
        <f>Tabela6[[#This Row],[CUSTO TOTAL]]/Tabela6[[#This Row],[CONSUMO]]</f>
        <v>5.75</v>
      </c>
      <c r="M2898" s="50">
        <f>Tabela6[[#This Row],[KM ATUAL]]-E2863</f>
        <v>971794</v>
      </c>
      <c r="N2898" s="51">
        <f>Tabela6[[#This Row],[KM Rodados ]]/Tabela6[[#This Row],[CONSUMO]]</f>
        <v>2557.3526315789472</v>
      </c>
    </row>
    <row r="2899" spans="1:14" x14ac:dyDescent="0.25">
      <c r="A2899" s="47">
        <v>8070</v>
      </c>
      <c r="B2899" s="78">
        <v>45231</v>
      </c>
      <c r="C2899" s="47" t="s">
        <v>206</v>
      </c>
      <c r="D2899" s="49" t="s">
        <v>299</v>
      </c>
      <c r="E2899" s="47">
        <v>975566</v>
      </c>
      <c r="G2899" s="50" t="s">
        <v>89</v>
      </c>
      <c r="H2899" s="51">
        <v>140</v>
      </c>
      <c r="J2899" s="51">
        <v>5.75</v>
      </c>
      <c r="K2899" s="74">
        <f>Tabela6[[#This Row],[CONSUMO]]*Tabela6[[#This Row],[VALOR UNIT]]-Tabela6[[#This Row],[DESCONTO]]</f>
        <v>805</v>
      </c>
      <c r="L2899" s="53">
        <f>Tabela6[[#This Row],[CUSTO TOTAL]]/Tabela6[[#This Row],[CONSUMO]]</f>
        <v>5.75</v>
      </c>
      <c r="M2899" s="50">
        <f>Tabela6[[#This Row],[KM ATUAL]]-E2877</f>
        <v>975546.98899999994</v>
      </c>
      <c r="N2899" s="51">
        <f>Tabela6[[#This Row],[KM Rodados ]]/Tabela6[[#This Row],[CONSUMO]]</f>
        <v>6968.1927785714279</v>
      </c>
    </row>
    <row r="2900" spans="1:14" x14ac:dyDescent="0.25">
      <c r="A2900" s="47">
        <v>79026</v>
      </c>
      <c r="B2900" s="78">
        <v>45231</v>
      </c>
      <c r="C2900" s="47" t="s">
        <v>12</v>
      </c>
      <c r="D2900" s="49" t="s">
        <v>253</v>
      </c>
      <c r="E2900" s="119">
        <v>324711</v>
      </c>
      <c r="G2900" s="50" t="s">
        <v>89</v>
      </c>
      <c r="H2900" s="51">
        <v>91.48</v>
      </c>
      <c r="J2900" s="51">
        <v>6.29</v>
      </c>
      <c r="K2900" s="74">
        <f>Tabela6[[#This Row],[CONSUMO]]*Tabela6[[#This Row],[VALOR UNIT]]-Tabela6[[#This Row],[DESCONTO]]</f>
        <v>575.40920000000006</v>
      </c>
      <c r="L2900" s="53">
        <f>Tabela6[[#This Row],[CUSTO TOTAL]]/Tabela6[[#This Row],[CONSUMO]]</f>
        <v>6.29</v>
      </c>
      <c r="M2900" s="50">
        <f>Tabela6[[#This Row],[KM ATUAL]]-E2840</f>
        <v>547</v>
      </c>
      <c r="N2900" s="51">
        <f>Tabela6[[#This Row],[KM Rodados ]]/Tabela6[[#This Row],[CONSUMO]]</f>
        <v>5.9794490599038035</v>
      </c>
    </row>
    <row r="2901" spans="1:14" x14ac:dyDescent="0.25">
      <c r="A2901" s="47">
        <v>8070</v>
      </c>
      <c r="B2901" s="78">
        <v>45231</v>
      </c>
      <c r="C2901" s="47" t="s">
        <v>13</v>
      </c>
      <c r="D2901" s="49" t="s">
        <v>299</v>
      </c>
      <c r="E2901" s="47">
        <v>660124</v>
      </c>
      <c r="G2901" s="50" t="s">
        <v>89</v>
      </c>
      <c r="H2901" s="51">
        <v>125</v>
      </c>
      <c r="J2901" s="51">
        <v>5.75</v>
      </c>
      <c r="K2901" s="74">
        <f>Tabela6[[#This Row],[CONSUMO]]*Tabela6[[#This Row],[VALOR UNIT]]-Tabela6[[#This Row],[DESCONTO]]</f>
        <v>718.75</v>
      </c>
      <c r="L2901" s="53">
        <f>Tabela6[[#This Row],[CUSTO TOTAL]]/Tabela6[[#This Row],[CONSUMO]]</f>
        <v>5.75</v>
      </c>
      <c r="M2901" s="50">
        <f>Tabela6[[#This Row],[KM ATUAL]]-E2854</f>
        <v>238577</v>
      </c>
      <c r="N2901" s="51">
        <f>Tabela6[[#This Row],[KM Rodados ]]/Tabela6[[#This Row],[CONSUMO]]</f>
        <v>1908.616</v>
      </c>
    </row>
    <row r="2902" spans="1:14" x14ac:dyDescent="0.25">
      <c r="A2902" s="47">
        <v>327180</v>
      </c>
      <c r="B2902" s="78">
        <v>45231</v>
      </c>
      <c r="C2902" s="47" t="s">
        <v>15</v>
      </c>
      <c r="D2902" s="49" t="s">
        <v>359</v>
      </c>
      <c r="E2902" s="47">
        <v>395115</v>
      </c>
      <c r="G2902" s="50" t="s">
        <v>89</v>
      </c>
      <c r="H2902" s="51">
        <v>107.051</v>
      </c>
      <c r="J2902" s="51">
        <v>6.39</v>
      </c>
      <c r="K2902" s="74">
        <f>Tabela6[[#This Row],[CONSUMO]]*Tabela6[[#This Row],[VALOR UNIT]]-Tabela6[[#This Row],[DESCONTO]]</f>
        <v>684.05588999999998</v>
      </c>
      <c r="L2902" s="53">
        <f>Tabela6[[#This Row],[CUSTO TOTAL]]/Tabela6[[#This Row],[CONSUMO]]</f>
        <v>6.39</v>
      </c>
      <c r="M2902" s="50">
        <f>Tabela6[[#This Row],[KM ATUAL]]-E2870</f>
        <v>234664</v>
      </c>
      <c r="N2902" s="51">
        <f>Tabela6[[#This Row],[KM Rodados ]]/Tabela6[[#This Row],[CONSUMO]]</f>
        <v>2192.0766737349486</v>
      </c>
    </row>
    <row r="2903" spans="1:14" x14ac:dyDescent="0.25">
      <c r="A2903" s="47">
        <v>8070</v>
      </c>
      <c r="B2903" s="78">
        <v>45231</v>
      </c>
      <c r="C2903" s="47" t="s">
        <v>15</v>
      </c>
      <c r="D2903" s="49" t="s">
        <v>299</v>
      </c>
      <c r="E2903" s="47">
        <v>395368</v>
      </c>
      <c r="G2903" s="50" t="s">
        <v>89</v>
      </c>
      <c r="H2903" s="51">
        <v>40</v>
      </c>
      <c r="J2903" s="51">
        <v>5.75</v>
      </c>
      <c r="K2903" s="74">
        <f>Tabela6[[#This Row],[CONSUMO]]*Tabela6[[#This Row],[VALOR UNIT]]-Tabela6[[#This Row],[DESCONTO]]</f>
        <v>230</v>
      </c>
      <c r="L2903" s="53">
        <f>Tabela6[[#This Row],[CUSTO TOTAL]]/Tabela6[[#This Row],[CONSUMO]]</f>
        <v>5.75</v>
      </c>
      <c r="M2903" s="50">
        <f>Tabela6[[#This Row],[KM ATUAL]]-E2902</f>
        <v>253</v>
      </c>
      <c r="N2903" s="51">
        <f>Tabela6[[#This Row],[KM Rodados ]]/Tabela6[[#This Row],[CONSUMO]]</f>
        <v>6.3250000000000002</v>
      </c>
    </row>
    <row r="2904" spans="1:14" x14ac:dyDescent="0.25">
      <c r="A2904" s="47">
        <v>8070</v>
      </c>
      <c r="B2904" s="78">
        <v>45231</v>
      </c>
      <c r="C2904" s="47" t="s">
        <v>20</v>
      </c>
      <c r="D2904" s="49" t="s">
        <v>299</v>
      </c>
      <c r="E2904" s="47">
        <v>278768</v>
      </c>
      <c r="G2904" s="50" t="s">
        <v>89</v>
      </c>
      <c r="H2904" s="51">
        <v>44</v>
      </c>
      <c r="J2904" s="51">
        <v>5.75</v>
      </c>
      <c r="K2904" s="74">
        <f>Tabela6[[#This Row],[CONSUMO]]*Tabela6[[#This Row],[VALOR UNIT]]-Tabela6[[#This Row],[DESCONTO]]</f>
        <v>253</v>
      </c>
      <c r="L2904" s="53">
        <f>Tabela6[[#This Row],[CUSTO TOTAL]]/Tabela6[[#This Row],[CONSUMO]]</f>
        <v>5.75</v>
      </c>
      <c r="M2904" s="50">
        <f>Tabela6[[#This Row],[KM ATUAL]]-E2885</f>
        <v>159705</v>
      </c>
      <c r="N2904" s="51">
        <f>Tabela6[[#This Row],[KM Rodados ]]/Tabela6[[#This Row],[CONSUMO]]</f>
        <v>3629.659090909091</v>
      </c>
    </row>
    <row r="2905" spans="1:14" x14ac:dyDescent="0.25">
      <c r="A2905" s="47">
        <v>8070</v>
      </c>
      <c r="B2905" s="78">
        <v>45231</v>
      </c>
      <c r="C2905" s="47" t="s">
        <v>20</v>
      </c>
      <c r="D2905" s="49" t="s">
        <v>299</v>
      </c>
      <c r="E2905" s="47">
        <v>279091</v>
      </c>
      <c r="G2905" s="50" t="s">
        <v>89</v>
      </c>
      <c r="H2905" s="51">
        <v>29</v>
      </c>
      <c r="J2905" s="51">
        <v>5.75</v>
      </c>
      <c r="K2905" s="74">
        <f>Tabela6[[#This Row],[CONSUMO]]*Tabela6[[#This Row],[VALOR UNIT]]-Tabela6[[#This Row],[DESCONTO]]</f>
        <v>166.75</v>
      </c>
      <c r="L2905" s="53">
        <f>Tabela6[[#This Row],[CUSTO TOTAL]]/Tabela6[[#This Row],[CONSUMO]]</f>
        <v>5.75</v>
      </c>
      <c r="M2905" s="50">
        <f>Tabela6[[#This Row],[KM ATUAL]]-E2898</f>
        <v>-779679</v>
      </c>
      <c r="N2905" s="51">
        <f>Tabela6[[#This Row],[KM Rodados ]]/Tabela6[[#This Row],[CONSUMO]]</f>
        <v>-26885.482758620688</v>
      </c>
    </row>
    <row r="2906" spans="1:14" x14ac:dyDescent="0.25">
      <c r="A2906" s="47">
        <v>686685</v>
      </c>
      <c r="B2906" s="78">
        <v>45231</v>
      </c>
      <c r="C2906" s="47" t="s">
        <v>40</v>
      </c>
      <c r="D2906" s="49" t="s">
        <v>271</v>
      </c>
      <c r="E2906" s="47">
        <v>167218</v>
      </c>
      <c r="G2906" s="50" t="s">
        <v>244</v>
      </c>
      <c r="H2906" s="51">
        <v>40.04</v>
      </c>
      <c r="J2906" s="51">
        <v>5.99</v>
      </c>
      <c r="K2906" s="74">
        <f>Tabela6[[#This Row],[CONSUMO]]*Tabela6[[#This Row],[VALOR UNIT]]-Tabela6[[#This Row],[DESCONTO]]</f>
        <v>239.83959999999999</v>
      </c>
      <c r="L2906" s="53">
        <f>Tabela6[[#This Row],[CUSTO TOTAL]]/Tabela6[[#This Row],[CONSUMO]]</f>
        <v>5.99</v>
      </c>
      <c r="M2906" s="50">
        <f>Tabela6[[#This Row],[KM ATUAL]]-E2860</f>
        <v>-208828</v>
      </c>
      <c r="N2906" s="51">
        <f>Tabela6[[#This Row],[KM Rodados ]]/Tabela6[[#This Row],[CONSUMO]]</f>
        <v>-5215.4845154845152</v>
      </c>
    </row>
    <row r="2907" spans="1:14" x14ac:dyDescent="0.25">
      <c r="A2907" s="47">
        <v>8070</v>
      </c>
      <c r="B2907" s="78">
        <v>45231</v>
      </c>
      <c r="C2907" s="47" t="s">
        <v>354</v>
      </c>
      <c r="D2907" s="49" t="s">
        <v>299</v>
      </c>
      <c r="E2907" s="47">
        <v>3198</v>
      </c>
      <c r="G2907" s="50" t="s">
        <v>89</v>
      </c>
      <c r="H2907" s="51">
        <v>350</v>
      </c>
      <c r="J2907" s="51">
        <v>5.75</v>
      </c>
      <c r="K2907" s="74">
        <f>Tabela6[[#This Row],[CONSUMO]]*Tabela6[[#This Row],[VALOR UNIT]]-Tabela6[[#This Row],[DESCONTO]]</f>
        <v>2012.5</v>
      </c>
      <c r="L2907" s="53">
        <f>Tabela6[[#This Row],[CUSTO TOTAL]]/Tabela6[[#This Row],[CONSUMO]]</f>
        <v>5.75</v>
      </c>
      <c r="M2907" s="50">
        <f>Tabela6[[#This Row],[KM ATUAL]]-E2820</f>
        <v>-331119</v>
      </c>
      <c r="N2907" s="51">
        <f>Tabela6[[#This Row],[KM Rodados ]]/Tabela6[[#This Row],[CONSUMO]]</f>
        <v>-946.0542857142857</v>
      </c>
    </row>
    <row r="2908" spans="1:14" x14ac:dyDescent="0.25">
      <c r="A2908" s="47">
        <v>218060</v>
      </c>
      <c r="B2908" s="78">
        <v>45232</v>
      </c>
      <c r="C2908" s="47" t="s">
        <v>203</v>
      </c>
      <c r="D2908" s="49" t="s">
        <v>262</v>
      </c>
      <c r="E2908" s="47">
        <v>119463</v>
      </c>
      <c r="G2908" s="50" t="s">
        <v>244</v>
      </c>
      <c r="H2908" s="51">
        <v>32.659999999999997</v>
      </c>
      <c r="J2908" s="51">
        <v>5.59</v>
      </c>
      <c r="K2908" s="74">
        <f>Tabela6[[#This Row],[CONSUMO]]*Tabela6[[#This Row],[VALOR UNIT]]-Tabela6[[#This Row],[DESCONTO]]</f>
        <v>182.56939999999997</v>
      </c>
      <c r="L2908" s="53">
        <f>Tabela6[[#This Row],[CUSTO TOTAL]]/Tabela6[[#This Row],[CONSUMO]]</f>
        <v>5.59</v>
      </c>
      <c r="M2908" s="50">
        <f>Tabela6[[#This Row],[KM ATUAL]]-E2887</f>
        <v>-562779</v>
      </c>
      <c r="N2908" s="51">
        <f>Tabela6[[#This Row],[KM Rodados ]]/Tabela6[[#This Row],[CONSUMO]]</f>
        <v>-17231.44519289651</v>
      </c>
    </row>
    <row r="2909" spans="1:14" x14ac:dyDescent="0.25">
      <c r="A2909" s="47">
        <v>345610</v>
      </c>
      <c r="B2909" s="78">
        <v>45232</v>
      </c>
      <c r="C2909" s="47" t="s">
        <v>354</v>
      </c>
      <c r="D2909" s="49" t="s">
        <v>276</v>
      </c>
      <c r="E2909" s="47">
        <v>3357</v>
      </c>
      <c r="G2909" s="50" t="s">
        <v>241</v>
      </c>
      <c r="H2909" s="51">
        <v>26.684999999999999</v>
      </c>
      <c r="J2909" s="51">
        <v>3.69</v>
      </c>
      <c r="K2909" s="74">
        <f>Tabela6[[#This Row],[CONSUMO]]*Tabela6[[#This Row],[VALOR UNIT]]-Tabela6[[#This Row],[DESCONTO]]</f>
        <v>98.467649999999992</v>
      </c>
      <c r="L2909" s="53">
        <f>Tabela6[[#This Row],[CUSTO TOTAL]]/Tabela6[[#This Row],[CONSUMO]]</f>
        <v>3.69</v>
      </c>
      <c r="M2909" s="50"/>
    </row>
    <row r="2910" spans="1:14" x14ac:dyDescent="0.25">
      <c r="A2910" s="47">
        <v>8070</v>
      </c>
      <c r="B2910" s="78">
        <v>45233</v>
      </c>
      <c r="C2910" s="47" t="s">
        <v>358</v>
      </c>
      <c r="D2910" s="49" t="s">
        <v>299</v>
      </c>
      <c r="E2910" s="47">
        <v>824034</v>
      </c>
      <c r="G2910" s="50" t="s">
        <v>89</v>
      </c>
      <c r="H2910" s="51">
        <v>300</v>
      </c>
      <c r="J2910" s="51">
        <v>5.75</v>
      </c>
      <c r="K2910" s="74">
        <f>Tabela6[[#This Row],[CONSUMO]]*Tabela6[[#This Row],[VALOR UNIT]]-Tabela6[[#This Row],[DESCONTO]]</f>
        <v>1725</v>
      </c>
      <c r="L2910" s="53">
        <f>Tabela6[[#This Row],[CUSTO TOTAL]]/Tabela6[[#This Row],[CONSUMO]]</f>
        <v>5.75</v>
      </c>
      <c r="M2910" s="50" t="e">
        <f>Tabela6[[#This Row],[KM ATUAL]]-#REF!</f>
        <v>#REF!</v>
      </c>
      <c r="N2910" s="51" t="e">
        <f>Tabela6[[#This Row],[KM Rodados ]]/Tabela6[[#This Row],[CONSUMO]]</f>
        <v>#REF!</v>
      </c>
    </row>
    <row r="2911" spans="1:14" x14ac:dyDescent="0.25">
      <c r="A2911" s="47">
        <v>8070</v>
      </c>
      <c r="B2911" s="78">
        <v>45233</v>
      </c>
      <c r="C2911" s="47" t="s">
        <v>43</v>
      </c>
      <c r="D2911" s="49" t="s">
        <v>299</v>
      </c>
      <c r="E2911" s="47">
        <v>157570</v>
      </c>
      <c r="G2911" s="50" t="s">
        <v>89</v>
      </c>
      <c r="H2911" s="51">
        <v>33</v>
      </c>
      <c r="J2911" s="51">
        <v>5.75</v>
      </c>
      <c r="K2911" s="74">
        <f>Tabela6[[#This Row],[CONSUMO]]*Tabela6[[#This Row],[VALOR UNIT]]-Tabela6[[#This Row],[DESCONTO]]</f>
        <v>189.75</v>
      </c>
      <c r="L2911" s="53">
        <f>Tabela6[[#This Row],[CUSTO TOTAL]]/Tabela6[[#This Row],[CONSUMO]]</f>
        <v>5.75</v>
      </c>
      <c r="M2911" s="50">
        <f>Tabela6[[#This Row],[KM ATUAL]]-E2894</f>
        <v>-183220</v>
      </c>
      <c r="N2911" s="51">
        <f>Tabela6[[#This Row],[KM Rodados ]]/Tabela6[[#This Row],[CONSUMO]]</f>
        <v>-5552.121212121212</v>
      </c>
    </row>
    <row r="2912" spans="1:14" x14ac:dyDescent="0.25">
      <c r="A2912" s="47">
        <v>155136</v>
      </c>
      <c r="B2912" s="78">
        <v>45233</v>
      </c>
      <c r="C2912" s="47" t="s">
        <v>9</v>
      </c>
      <c r="D2912" s="49" t="s">
        <v>263</v>
      </c>
      <c r="E2912" s="47">
        <v>632015</v>
      </c>
      <c r="G2912" s="50" t="s">
        <v>89</v>
      </c>
      <c r="H2912" s="51">
        <v>148.86099999999999</v>
      </c>
      <c r="I2912" s="49">
        <v>14.89</v>
      </c>
      <c r="J2912" s="51">
        <v>6.15</v>
      </c>
      <c r="K2912" s="74">
        <f>Tabela6[[#This Row],[CONSUMO]]*Tabela6[[#This Row],[VALOR UNIT]]-Tabela6[[#This Row],[DESCONTO]]</f>
        <v>900.60514999999998</v>
      </c>
      <c r="L2912" s="53">
        <f>Tabela6[[#This Row],[CUSTO TOTAL]]/Tabela6[[#This Row],[CONSUMO]]</f>
        <v>6.0499738010627366</v>
      </c>
      <c r="M2912" s="50">
        <f>Tabela6[[#This Row],[KM ATUAL]]-E2871</f>
        <v>227882</v>
      </c>
      <c r="N2912" s="51">
        <f>Tabela6[[#This Row],[KM Rodados ]]/Tabela6[[#This Row],[CONSUMO]]</f>
        <v>1530.8374926945271</v>
      </c>
    </row>
    <row r="2913" spans="1:14" x14ac:dyDescent="0.25">
      <c r="A2913" s="47">
        <v>192549</v>
      </c>
      <c r="B2913" s="78">
        <v>45233</v>
      </c>
      <c r="C2913" s="47" t="s">
        <v>222</v>
      </c>
      <c r="D2913" s="49" t="s">
        <v>360</v>
      </c>
      <c r="E2913" s="47">
        <v>515459</v>
      </c>
      <c r="G2913" s="50" t="s">
        <v>89</v>
      </c>
      <c r="H2913" s="51">
        <v>100</v>
      </c>
      <c r="J2913" s="51">
        <v>6.29</v>
      </c>
      <c r="K2913" s="74">
        <f>Tabela6[[#This Row],[CONSUMO]]*Tabela6[[#This Row],[VALOR UNIT]]-Tabela6[[#This Row],[DESCONTO]]</f>
        <v>629</v>
      </c>
      <c r="L2913" s="53">
        <f>Tabela6[[#This Row],[CUSTO TOTAL]]/Tabela6[[#This Row],[CONSUMO]]</f>
        <v>6.29</v>
      </c>
      <c r="M2913" s="50">
        <f>Tabela6[[#This Row],[KM ATUAL]]-E2873</f>
        <v>-459613</v>
      </c>
      <c r="N2913" s="49">
        <f>Tabela6[[#This Row],[KM Rodados ]]/Tabela6[[#This Row],[CONSUMO]]</f>
        <v>-4596.13</v>
      </c>
    </row>
    <row r="2914" spans="1:14" x14ac:dyDescent="0.25">
      <c r="A2914" s="47">
        <v>8070</v>
      </c>
      <c r="B2914" s="78">
        <v>45233</v>
      </c>
      <c r="C2914" s="47" t="s">
        <v>72</v>
      </c>
      <c r="D2914" s="49" t="s">
        <v>299</v>
      </c>
      <c r="E2914" s="47">
        <v>423976</v>
      </c>
      <c r="G2914" s="50" t="s">
        <v>89</v>
      </c>
      <c r="H2914" s="51">
        <v>51</v>
      </c>
      <c r="J2914" s="51">
        <v>5.75</v>
      </c>
      <c r="K2914" s="74">
        <f>Tabela6[[#This Row],[CONSUMO]]*Tabela6[[#This Row],[VALOR UNIT]]-Tabela6[[#This Row],[DESCONTO]]</f>
        <v>293.25</v>
      </c>
      <c r="L2914" s="53">
        <f>Tabela6[[#This Row],[CUSTO TOTAL]]/Tabela6[[#This Row],[CONSUMO]]</f>
        <v>5.75</v>
      </c>
      <c r="M2914" s="50">
        <f>Tabela6[[#This Row],[KM ATUAL]]-E2898</f>
        <v>-634794</v>
      </c>
      <c r="N2914" s="51">
        <f>Tabela6[[#This Row],[KM Rodados ]]/Tabela6[[#This Row],[CONSUMO]]</f>
        <v>-12446.941176470587</v>
      </c>
    </row>
    <row r="2915" spans="1:14" x14ac:dyDescent="0.25">
      <c r="A2915" s="47">
        <v>8070</v>
      </c>
      <c r="B2915" s="78">
        <v>45233</v>
      </c>
      <c r="C2915" s="47" t="s">
        <v>73</v>
      </c>
      <c r="D2915" s="49" t="s">
        <v>299</v>
      </c>
      <c r="E2915" s="119">
        <v>161259</v>
      </c>
      <c r="G2915" s="50" t="s">
        <v>89</v>
      </c>
      <c r="H2915" s="51">
        <v>100</v>
      </c>
      <c r="J2915" s="51">
        <v>5.75</v>
      </c>
      <c r="K2915" s="74">
        <f>Tabela6[[#This Row],[CONSUMO]]*Tabela6[[#This Row],[VALOR UNIT]]-Tabela6[[#This Row],[DESCONTO]]</f>
        <v>575</v>
      </c>
      <c r="L2915" s="53">
        <f>Tabela6[[#This Row],[CUSTO TOTAL]]/Tabela6[[#This Row],[CONSUMO]]</f>
        <v>5.75</v>
      </c>
      <c r="M2915" s="50">
        <f>Tabela6[[#This Row],[KM ATUAL]]-E2901</f>
        <v>-498865</v>
      </c>
      <c r="N2915" s="51">
        <f>Tabela6[[#This Row],[KM Rodados ]]/Tabela6[[#This Row],[CONSUMO]]</f>
        <v>-4988.6499999999996</v>
      </c>
    </row>
    <row r="2916" spans="1:14" x14ac:dyDescent="0.25">
      <c r="A2916" s="47">
        <v>8070</v>
      </c>
      <c r="B2916" s="78">
        <v>45233</v>
      </c>
      <c r="C2916" s="47" t="s">
        <v>13</v>
      </c>
      <c r="D2916" s="49" t="s">
        <v>299</v>
      </c>
      <c r="E2916" s="47">
        <v>660426</v>
      </c>
      <c r="G2916" s="50" t="s">
        <v>89</v>
      </c>
      <c r="H2916" s="51">
        <v>74</v>
      </c>
      <c r="J2916" s="51">
        <v>5.75</v>
      </c>
      <c r="K2916" s="74">
        <f>Tabela6[[#This Row],[CONSUMO]]*Tabela6[[#This Row],[VALOR UNIT]]-Tabela6[[#This Row],[DESCONTO]]</f>
        <v>425.5</v>
      </c>
      <c r="L2916" s="53">
        <f>Tabela6[[#This Row],[CUSTO TOTAL]]/Tabela6[[#This Row],[CONSUMO]]</f>
        <v>5.75</v>
      </c>
      <c r="M2916" s="50">
        <f>Tabela6[[#This Row],[KM ATUAL]]-E2898</f>
        <v>-398344</v>
      </c>
      <c r="N2916" s="51">
        <f>Tabela6[[#This Row],[KM Rodados ]]/Tabela6[[#This Row],[CONSUMO]]</f>
        <v>-5383.0270270270266</v>
      </c>
    </row>
    <row r="2917" spans="1:14" x14ac:dyDescent="0.25">
      <c r="A2917" s="47">
        <v>8070</v>
      </c>
      <c r="B2917" s="78">
        <v>45233</v>
      </c>
      <c r="C2917" s="47" t="s">
        <v>15</v>
      </c>
      <c r="D2917" s="49" t="s">
        <v>299</v>
      </c>
      <c r="E2917" s="47">
        <v>395539</v>
      </c>
      <c r="G2917" s="50" t="s">
        <v>89</v>
      </c>
      <c r="H2917" s="51">
        <v>26</v>
      </c>
      <c r="J2917" s="51">
        <v>5.75</v>
      </c>
      <c r="K2917" s="74">
        <f>Tabela6[[#This Row],[CONSUMO]]*Tabela6[[#This Row],[VALOR UNIT]]-Tabela6[[#This Row],[DESCONTO]]</f>
        <v>149.5</v>
      </c>
      <c r="L2917" s="53">
        <f>Tabela6[[#This Row],[CUSTO TOTAL]]/Tabela6[[#This Row],[CONSUMO]]</f>
        <v>5.75</v>
      </c>
      <c r="M2917" s="50">
        <f>Tabela6[[#This Row],[KM ATUAL]]-E2906</f>
        <v>228321</v>
      </c>
      <c r="N2917" s="51">
        <f>Tabela6[[#This Row],[KM Rodados ]]/Tabela6[[#This Row],[CONSUMO]]</f>
        <v>8781.5769230769238</v>
      </c>
    </row>
    <row r="2918" spans="1:14" x14ac:dyDescent="0.25">
      <c r="A2918" s="47">
        <v>8070</v>
      </c>
      <c r="B2918" s="78">
        <v>45233</v>
      </c>
      <c r="C2918" s="47" t="s">
        <v>19</v>
      </c>
      <c r="D2918" s="49" t="s">
        <v>299</v>
      </c>
      <c r="E2918" s="47">
        <v>336716</v>
      </c>
      <c r="G2918" s="50" t="s">
        <v>89</v>
      </c>
      <c r="H2918" s="51">
        <v>210</v>
      </c>
      <c r="J2918" s="51">
        <v>5.75</v>
      </c>
      <c r="K2918" s="74">
        <f>Tabela6[[#This Row],[CONSUMO]]*Tabela6[[#This Row],[VALOR UNIT]]-Tabela6[[#This Row],[DESCONTO]]</f>
        <v>1207.5</v>
      </c>
      <c r="L2918" s="53">
        <f>Tabela6[[#This Row],[CUSTO TOTAL]]/Tabela6[[#This Row],[CONSUMO]]</f>
        <v>5.75</v>
      </c>
      <c r="M2918" s="50">
        <f>Tabela6[[#This Row],[KM ATUAL]]-E2891</f>
        <v>179560</v>
      </c>
      <c r="N2918" s="51">
        <f>Tabela6[[#This Row],[KM Rodados ]]/Tabela6[[#This Row],[CONSUMO]]</f>
        <v>855.04761904761904</v>
      </c>
    </row>
    <row r="2919" spans="1:14" x14ac:dyDescent="0.25">
      <c r="A2919" s="47">
        <v>155116</v>
      </c>
      <c r="B2919" s="78">
        <v>45233</v>
      </c>
      <c r="C2919" s="47" t="s">
        <v>23</v>
      </c>
      <c r="D2919" s="49" t="s">
        <v>263</v>
      </c>
      <c r="E2919" s="47">
        <v>253307</v>
      </c>
      <c r="G2919" s="50" t="s">
        <v>89</v>
      </c>
      <c r="H2919" s="51">
        <v>109.48</v>
      </c>
      <c r="I2919" s="49">
        <v>10.95</v>
      </c>
      <c r="J2919" s="51">
        <v>6.15</v>
      </c>
      <c r="K2919" s="74">
        <f>Tabela6[[#This Row],[CONSUMO]]*Tabela6[[#This Row],[VALOR UNIT]]-Tabela6[[#This Row],[DESCONTO]]</f>
        <v>662.35199999999998</v>
      </c>
      <c r="L2919" s="53">
        <f>Tabela6[[#This Row],[CUSTO TOTAL]]/Tabela6[[#This Row],[CONSUMO]]</f>
        <v>6.0499817318231637</v>
      </c>
      <c r="M2919" s="50">
        <f>Tabela6[[#This Row],[KM ATUAL]]-E2883</f>
        <v>-622871</v>
      </c>
      <c r="N2919" s="51">
        <f>Tabela6[[#This Row],[KM Rodados ]]/Tabela6[[#This Row],[CONSUMO]]</f>
        <v>-5689.3587869930579</v>
      </c>
    </row>
    <row r="2920" spans="1:14" x14ac:dyDescent="0.25">
      <c r="A2920" s="47">
        <v>167786</v>
      </c>
      <c r="B2920" s="78">
        <v>45233</v>
      </c>
      <c r="C2920" s="47" t="s">
        <v>40</v>
      </c>
      <c r="D2920" s="49" t="s">
        <v>262</v>
      </c>
      <c r="E2920" s="47">
        <v>167786</v>
      </c>
      <c r="G2920" s="50" t="s">
        <v>244</v>
      </c>
      <c r="H2920" s="51">
        <v>44.9</v>
      </c>
      <c r="J2920" s="51">
        <v>5.59</v>
      </c>
      <c r="K2920" s="74">
        <f>Tabela6[[#This Row],[CONSUMO]]*Tabela6[[#This Row],[VALOR UNIT]]-Tabela6[[#This Row],[DESCONTO]]</f>
        <v>250.99099999999999</v>
      </c>
      <c r="L2920" s="53">
        <f>Tabela6[[#This Row],[CUSTO TOTAL]]/Tabela6[[#This Row],[CONSUMO]]</f>
        <v>5.59</v>
      </c>
      <c r="M2920" s="50">
        <f>Tabela6[[#This Row],[KM ATUAL]]-E2907</f>
        <v>164588</v>
      </c>
      <c r="N2920" s="51">
        <f>Tabela6[[#This Row],[KM Rodados ]]/Tabela6[[#This Row],[CONSUMO]]</f>
        <v>3665.6570155902004</v>
      </c>
    </row>
    <row r="2921" spans="1:14" x14ac:dyDescent="0.25">
      <c r="A2921" s="47">
        <v>279962</v>
      </c>
      <c r="B2921" s="78">
        <v>45233</v>
      </c>
      <c r="C2921" s="47" t="s">
        <v>74</v>
      </c>
      <c r="D2921" s="49" t="s">
        <v>272</v>
      </c>
      <c r="E2921" s="47">
        <v>88612</v>
      </c>
      <c r="G2921" s="50" t="s">
        <v>89</v>
      </c>
      <c r="H2921" s="51">
        <v>80.078000000000003</v>
      </c>
      <c r="J2921" s="51">
        <v>6.09</v>
      </c>
      <c r="K2921" s="74">
        <f>Tabela6[[#This Row],[CONSUMO]]*Tabela6[[#This Row],[VALOR UNIT]]-Tabela6[[#This Row],[DESCONTO]]</f>
        <v>487.67502000000002</v>
      </c>
      <c r="L2921" s="53">
        <f>Tabela6[[#This Row],[CUSTO TOTAL]]/Tabela6[[#This Row],[CONSUMO]]</f>
        <v>6.09</v>
      </c>
      <c r="M2921" s="50">
        <f>Tabela6[[#This Row],[KM ATUAL]]-E2881</f>
        <v>-840787</v>
      </c>
      <c r="N2921" s="51">
        <f>Tabela6[[#This Row],[KM Rodados ]]/Tabela6[[#This Row],[CONSUMO]]</f>
        <v>-10499.60038962012</v>
      </c>
    </row>
    <row r="2922" spans="1:14" x14ac:dyDescent="0.25">
      <c r="A2922" s="47">
        <v>156083</v>
      </c>
      <c r="B2922" s="78">
        <v>45236</v>
      </c>
      <c r="C2922" s="47" t="s">
        <v>43</v>
      </c>
      <c r="D2922" s="49" t="s">
        <v>263</v>
      </c>
      <c r="E2922" s="47">
        <v>157979</v>
      </c>
      <c r="G2922" s="50" t="s">
        <v>89</v>
      </c>
      <c r="H2922" s="51">
        <v>31.43</v>
      </c>
      <c r="I2922" s="49">
        <v>3.14</v>
      </c>
      <c r="J2922" s="51">
        <v>6.15</v>
      </c>
      <c r="K2922" s="74">
        <f>Tabela6[[#This Row],[CONSUMO]]*Tabela6[[#This Row],[VALOR UNIT]]-Tabela6[[#This Row],[DESCONTO]]</f>
        <v>190.15450000000001</v>
      </c>
      <c r="L2922" s="53">
        <f>Tabela6[[#This Row],[CUSTO TOTAL]]/Tabela6[[#This Row],[CONSUMO]]</f>
        <v>6.0500954502068094</v>
      </c>
      <c r="M2922" s="50">
        <f>Tabela6[[#This Row],[KM ATUAL]]-E2921</f>
        <v>69367</v>
      </c>
      <c r="N2922" s="51">
        <f>Tabela6[[#This Row],[KM Rodados ]]/Tabela6[[#This Row],[CONSUMO]]</f>
        <v>2207.0314985682471</v>
      </c>
    </row>
    <row r="2923" spans="1:14" x14ac:dyDescent="0.25">
      <c r="A2923" s="47">
        <v>77694</v>
      </c>
      <c r="B2923" s="78">
        <v>45236</v>
      </c>
      <c r="C2923" s="47" t="s">
        <v>43</v>
      </c>
      <c r="D2923" s="49" t="s">
        <v>300</v>
      </c>
      <c r="E2923" s="47">
        <v>157673</v>
      </c>
      <c r="G2923" s="50" t="s">
        <v>89</v>
      </c>
      <c r="H2923" s="51">
        <v>12.56</v>
      </c>
      <c r="J2923" s="51">
        <v>6.19</v>
      </c>
      <c r="K2923" s="74">
        <f>Tabela6[[#This Row],[CONSUMO]]*Tabela6[[#This Row],[VALOR UNIT]]-Tabela6[[#This Row],[DESCONTO]]</f>
        <v>77.746400000000008</v>
      </c>
      <c r="L2923" s="53">
        <f>Tabela6[[#This Row],[CUSTO TOTAL]]/Tabela6[[#This Row],[CONSUMO]]</f>
        <v>6.19</v>
      </c>
      <c r="M2923" s="50">
        <f>Tabela6[[#This Row],[KM ATUAL]]-E2909</f>
        <v>154316</v>
      </c>
      <c r="N2923" s="51">
        <f>Tabela6[[#This Row],[KM Rodados ]]/Tabela6[[#This Row],[CONSUMO]]</f>
        <v>12286.305732484076</v>
      </c>
    </row>
    <row r="2924" spans="1:14" x14ac:dyDescent="0.25">
      <c r="A2924" s="47">
        <v>8070</v>
      </c>
      <c r="B2924" s="78">
        <v>45236</v>
      </c>
      <c r="C2924" s="47" t="s">
        <v>9</v>
      </c>
      <c r="D2924" s="49" t="s">
        <v>299</v>
      </c>
      <c r="E2924" s="47">
        <v>632330</v>
      </c>
      <c r="G2924" s="50" t="s">
        <v>89</v>
      </c>
      <c r="H2924" s="51">
        <v>81</v>
      </c>
      <c r="J2924" s="51">
        <v>5.75</v>
      </c>
      <c r="K2924" s="74">
        <f>Tabela6[[#This Row],[CONSUMO]]*Tabela6[[#This Row],[VALOR UNIT]]-Tabela6[[#This Row],[DESCONTO]]</f>
        <v>465.75</v>
      </c>
      <c r="L2924" s="53">
        <f>Tabela6[[#This Row],[CUSTO TOTAL]]/Tabela6[[#This Row],[CONSUMO]]</f>
        <v>5.75</v>
      </c>
      <c r="M2924" s="50">
        <f>Tabela6[[#This Row],[KM ATUAL]]-E2903</f>
        <v>236962</v>
      </c>
      <c r="N2924" s="51">
        <f>Tabela6[[#This Row],[KM Rodados ]]/Tabela6[[#This Row],[CONSUMO]]</f>
        <v>2925.4567901234568</v>
      </c>
    </row>
    <row r="2925" spans="1:14" x14ac:dyDescent="0.25">
      <c r="A2925" s="47">
        <v>8070</v>
      </c>
      <c r="B2925" s="78">
        <v>45236</v>
      </c>
      <c r="C2925" s="47" t="s">
        <v>222</v>
      </c>
      <c r="D2925" s="49" t="s">
        <v>299</v>
      </c>
      <c r="E2925" s="47">
        <v>516004</v>
      </c>
      <c r="G2925" s="50" t="s">
        <v>89</v>
      </c>
      <c r="H2925" s="51">
        <v>422</v>
      </c>
      <c r="J2925" s="51">
        <v>5.75</v>
      </c>
      <c r="K2925" s="74">
        <f>Tabela6[[#This Row],[CONSUMO]]*Tabela6[[#This Row],[VALOR UNIT]]-Tabela6[[#This Row],[DESCONTO]]</f>
        <v>2426.5</v>
      </c>
      <c r="L2925" s="53">
        <f>Tabela6[[#This Row],[CUSTO TOTAL]]/Tabela6[[#This Row],[CONSUMO]]</f>
        <v>5.75</v>
      </c>
      <c r="M2925" s="50">
        <f>Tabela6[[#This Row],[KM ATUAL]]-E2922</f>
        <v>358025</v>
      </c>
      <c r="N2925" s="51">
        <f>Tabela6[[#This Row],[KM Rodados ]]/Tabela6[[#This Row],[CONSUMO]]</f>
        <v>848.40047393364932</v>
      </c>
    </row>
    <row r="2926" spans="1:14" x14ac:dyDescent="0.25">
      <c r="A2926" s="47">
        <v>689454</v>
      </c>
      <c r="B2926" s="78">
        <v>45236</v>
      </c>
      <c r="C2926" s="47" t="s">
        <v>67</v>
      </c>
      <c r="D2926" s="49" t="s">
        <v>271</v>
      </c>
      <c r="E2926" s="47">
        <v>687700</v>
      </c>
      <c r="G2926" s="50" t="s">
        <v>89</v>
      </c>
      <c r="H2926" s="51">
        <v>137.47</v>
      </c>
      <c r="J2926" s="51">
        <v>6.19</v>
      </c>
      <c r="K2926" s="74">
        <f>Tabela6[[#This Row],[CONSUMO]]*Tabela6[[#This Row],[VALOR UNIT]]-Tabela6[[#This Row],[DESCONTO]]</f>
        <v>850.9393</v>
      </c>
      <c r="L2926" s="53">
        <f>Tabela6[[#This Row],[CUSTO TOTAL]]/Tabela6[[#This Row],[CONSUMO]]</f>
        <v>6.19</v>
      </c>
      <c r="M2926" s="50">
        <f>Tabela6[[#This Row],[KM ATUAL]]-E2889</f>
        <v>599669</v>
      </c>
      <c r="N2926" s="51">
        <f>Tabela6[[#This Row],[KM Rodados ]]/Tabela6[[#This Row],[CONSUMO]]</f>
        <v>4362.1808394558811</v>
      </c>
    </row>
    <row r="2927" spans="1:14" x14ac:dyDescent="0.25">
      <c r="A2927" s="47">
        <v>1034424</v>
      </c>
      <c r="B2927" s="78">
        <v>45236</v>
      </c>
      <c r="C2927" s="47" t="s">
        <v>203</v>
      </c>
      <c r="D2927" s="49" t="s">
        <v>268</v>
      </c>
      <c r="E2927" s="47">
        <v>119995</v>
      </c>
      <c r="G2927" s="50" t="s">
        <v>244</v>
      </c>
      <c r="H2927" s="51">
        <v>44.9</v>
      </c>
      <c r="J2927" s="51">
        <v>5.39</v>
      </c>
      <c r="K2927" s="74">
        <f>Tabela6[[#This Row],[CONSUMO]]*Tabela6[[#This Row],[VALOR UNIT]]-Tabela6[[#This Row],[DESCONTO]]</f>
        <v>242.01099999999997</v>
      </c>
      <c r="L2927" s="53">
        <f>Tabela6[[#This Row],[CUSTO TOTAL]]/Tabela6[[#This Row],[CONSUMO]]</f>
        <v>5.39</v>
      </c>
      <c r="M2927" s="50">
        <f>Tabela6[[#This Row],[KM ATUAL]]-E2911</f>
        <v>-37575</v>
      </c>
      <c r="N2927" s="51">
        <f>Tabela6[[#This Row],[KM Rodados ]]/Tabela6[[#This Row],[CONSUMO]]</f>
        <v>-836.85968819599111</v>
      </c>
    </row>
    <row r="2928" spans="1:14" x14ac:dyDescent="0.25">
      <c r="A2928" s="47">
        <v>218980</v>
      </c>
      <c r="B2928" s="78">
        <v>45236</v>
      </c>
      <c r="C2928" s="47" t="s">
        <v>71</v>
      </c>
      <c r="D2928" s="49" t="s">
        <v>262</v>
      </c>
      <c r="E2928" s="47">
        <v>132933</v>
      </c>
      <c r="G2928" s="50" t="s">
        <v>241</v>
      </c>
      <c r="H2928" s="51">
        <v>39.005000000000003</v>
      </c>
      <c r="I2928" s="49">
        <v>14.04</v>
      </c>
      <c r="J2928" s="51">
        <v>3.69</v>
      </c>
      <c r="K2928" s="74">
        <f>Tabela6[[#This Row],[CONSUMO]]*Tabela6[[#This Row],[VALOR UNIT]]-Tabela6[[#This Row],[DESCONTO]]</f>
        <v>129.88845000000001</v>
      </c>
      <c r="L2928" s="53">
        <f>Tabela6[[#This Row],[CUSTO TOTAL]]/Tabela6[[#This Row],[CONSUMO]]</f>
        <v>3.3300461479297527</v>
      </c>
      <c r="M2928" s="50"/>
    </row>
    <row r="2929" spans="1:14" x14ac:dyDescent="0.25">
      <c r="A2929" s="47">
        <v>8160</v>
      </c>
      <c r="B2929" s="78">
        <v>45236</v>
      </c>
      <c r="C2929" s="47" t="s">
        <v>71</v>
      </c>
      <c r="D2929" s="49" t="s">
        <v>299</v>
      </c>
      <c r="E2929" s="47">
        <v>132930</v>
      </c>
      <c r="G2929" s="50" t="s">
        <v>89</v>
      </c>
      <c r="H2929" s="51">
        <v>510</v>
      </c>
      <c r="J2929" s="51">
        <v>5.75</v>
      </c>
      <c r="K2929" s="74">
        <f>Tabela6[[#This Row],[CONSUMO]]*Tabela6[[#This Row],[VALOR UNIT]]-Tabela6[[#This Row],[DESCONTO]]</f>
        <v>2932.5</v>
      </c>
      <c r="L2929" s="53">
        <f>Tabela6[[#This Row],[CUSTO TOTAL]]/Tabela6[[#This Row],[CONSUMO]]</f>
        <v>5.75</v>
      </c>
      <c r="M2929" s="50">
        <f>Tabela6[[#This Row],[KM ATUAL]]-E2838</f>
        <v>-923920</v>
      </c>
      <c r="N2929" s="51">
        <f>Tabela6[[#This Row],[KM Rodados ]]/Tabela6[[#This Row],[CONSUMO]]</f>
        <v>-1811.6078431372548</v>
      </c>
    </row>
    <row r="2930" spans="1:14" x14ac:dyDescent="0.25">
      <c r="A2930" s="47">
        <v>81833</v>
      </c>
      <c r="B2930" s="78">
        <v>45236</v>
      </c>
      <c r="C2930" s="47" t="s">
        <v>64</v>
      </c>
      <c r="D2930" s="49" t="s">
        <v>253</v>
      </c>
      <c r="E2930" s="47">
        <v>101495</v>
      </c>
      <c r="G2930" s="50" t="s">
        <v>89</v>
      </c>
      <c r="H2930" s="51">
        <v>171.76</v>
      </c>
      <c r="J2930" s="51">
        <v>6.29</v>
      </c>
      <c r="K2930" s="74">
        <f>Tabela6[[#This Row],[CONSUMO]]*Tabela6[[#This Row],[VALOR UNIT]]-Tabela6[[#This Row],[DESCONTO]]</f>
        <v>1080.3704</v>
      </c>
      <c r="L2930" s="53">
        <f>Tabela6[[#This Row],[CUSTO TOTAL]]/Tabela6[[#This Row],[CONSUMO]]</f>
        <v>6.29</v>
      </c>
      <c r="M2930" s="50">
        <f>Tabela6[[#This Row],[KM ATUAL]]-E2898</f>
        <v>-957275</v>
      </c>
      <c r="N2930" s="51">
        <f>Tabela6[[#This Row],[KM Rodados ]]/Tabela6[[#This Row],[CONSUMO]]</f>
        <v>-5573.3290638099679</v>
      </c>
    </row>
    <row r="2931" spans="1:14" x14ac:dyDescent="0.25">
      <c r="A2931" s="47">
        <v>8160</v>
      </c>
      <c r="B2931" s="78">
        <v>45236</v>
      </c>
      <c r="C2931" s="47" t="s">
        <v>41</v>
      </c>
      <c r="D2931" s="49" t="s">
        <v>299</v>
      </c>
      <c r="E2931" s="47">
        <v>682898</v>
      </c>
      <c r="G2931" s="50" t="s">
        <v>89</v>
      </c>
      <c r="H2931" s="51">
        <v>150</v>
      </c>
      <c r="J2931" s="51">
        <v>5.75</v>
      </c>
      <c r="K2931" s="74">
        <f>Tabela6[[#This Row],[CONSUMO]]*Tabela6[[#This Row],[VALOR UNIT]]-Tabela6[[#This Row],[DESCONTO]]</f>
        <v>862.5</v>
      </c>
      <c r="L2931" s="53">
        <f>Tabela6[[#This Row],[CUSTO TOTAL]]/Tabela6[[#This Row],[CONSUMO]]</f>
        <v>5.75</v>
      </c>
      <c r="M2931" s="50">
        <f>Tabela6[[#This Row],[KM ATUAL]]-E2884</f>
        <v>446134</v>
      </c>
      <c r="N2931" s="51">
        <f>Tabela6[[#This Row],[KM Rodados ]]/Tabela6[[#This Row],[CONSUMO]]</f>
        <v>2974.2266666666665</v>
      </c>
    </row>
    <row r="2932" spans="1:14" x14ac:dyDescent="0.25">
      <c r="A2932" s="47">
        <v>204466</v>
      </c>
      <c r="B2932" s="78">
        <v>45236</v>
      </c>
      <c r="C2932" s="47" t="s">
        <v>206</v>
      </c>
      <c r="D2932" s="49" t="s">
        <v>280</v>
      </c>
      <c r="E2932" s="47">
        <v>977402</v>
      </c>
      <c r="G2932" s="50" t="s">
        <v>89</v>
      </c>
      <c r="H2932" s="51">
        <v>345</v>
      </c>
      <c r="J2932" s="51">
        <v>5.99</v>
      </c>
      <c r="K2932" s="74">
        <f>Tabela6[[#This Row],[CONSUMO]]*Tabela6[[#This Row],[VALOR UNIT]]-Tabela6[[#This Row],[DESCONTO]]</f>
        <v>2066.5500000000002</v>
      </c>
      <c r="L2932" s="53">
        <f>Tabela6[[#This Row],[CUSTO TOTAL]]/Tabela6[[#This Row],[CONSUMO]]</f>
        <v>5.99</v>
      </c>
      <c r="M2932" s="50">
        <f>Tabela6[[#This Row],[KM ATUAL]]-E2902</f>
        <v>582287</v>
      </c>
      <c r="N2932" s="51">
        <f>Tabela6[[#This Row],[KM Rodados ]]/Tabela6[[#This Row],[CONSUMO]]</f>
        <v>1687.7884057971014</v>
      </c>
    </row>
    <row r="2933" spans="1:14" x14ac:dyDescent="0.25">
      <c r="A2933" s="47">
        <v>218817</v>
      </c>
      <c r="B2933" s="78">
        <v>45236</v>
      </c>
      <c r="C2933" s="47" t="s">
        <v>14</v>
      </c>
      <c r="D2933" s="49" t="s">
        <v>262</v>
      </c>
      <c r="E2933" s="47">
        <v>302105</v>
      </c>
      <c r="G2933" s="50" t="s">
        <v>244</v>
      </c>
      <c r="H2933" s="51">
        <v>19.760000000000002</v>
      </c>
      <c r="J2933" s="51">
        <v>5.59</v>
      </c>
      <c r="K2933" s="74">
        <f>Tabela6[[#This Row],[CONSUMO]]*Tabela6[[#This Row],[VALOR UNIT]]-Tabela6[[#This Row],[DESCONTO]]</f>
        <v>110.45840000000001</v>
      </c>
      <c r="L2933" s="53">
        <f>Tabela6[[#This Row],[CUSTO TOTAL]]/Tabela6[[#This Row],[CONSUMO]]</f>
        <v>5.59</v>
      </c>
      <c r="M2933" s="50">
        <f>Tabela6[[#This Row],[KM ATUAL]]-E2869</f>
        <v>201688</v>
      </c>
      <c r="N2933" s="51">
        <f>Tabela6[[#This Row],[KM Rodados ]]/Tabela6[[#This Row],[CONSUMO]]</f>
        <v>10206.882591093117</v>
      </c>
    </row>
    <row r="2934" spans="1:14" x14ac:dyDescent="0.25">
      <c r="A2934" s="47">
        <v>218987</v>
      </c>
      <c r="B2934" s="78">
        <v>45236</v>
      </c>
      <c r="C2934" s="47" t="s">
        <v>17</v>
      </c>
      <c r="D2934" s="49" t="s">
        <v>262</v>
      </c>
      <c r="E2934" s="47">
        <v>377912</v>
      </c>
      <c r="G2934" s="50" t="s">
        <v>241</v>
      </c>
      <c r="H2934" s="51">
        <v>23.86</v>
      </c>
      <c r="I2934" s="49">
        <v>8.5299999999999994</v>
      </c>
      <c r="J2934" s="51">
        <v>3.69</v>
      </c>
      <c r="K2934" s="74">
        <f>Tabela6[[#This Row],[CONSUMO]]*Tabela6[[#This Row],[VALOR UNIT]]-Tabela6[[#This Row],[DESCONTO]]</f>
        <v>79.51339999999999</v>
      </c>
      <c r="L2934" s="53">
        <f>Tabela6[[#This Row],[CUSTO TOTAL]]/Tabela6[[#This Row],[CONSUMO]]</f>
        <v>3.3324979044425813</v>
      </c>
      <c r="M2934" s="50"/>
    </row>
    <row r="2935" spans="1:14" x14ac:dyDescent="0.25">
      <c r="A2935" s="47">
        <v>8070</v>
      </c>
      <c r="B2935" s="78">
        <v>45236</v>
      </c>
      <c r="C2935" s="47" t="s">
        <v>17</v>
      </c>
      <c r="D2935" s="49" t="s">
        <v>299</v>
      </c>
      <c r="E2935" s="47">
        <v>377908</v>
      </c>
      <c r="G2935" s="50" t="s">
        <v>89</v>
      </c>
      <c r="H2935" s="51">
        <v>250</v>
      </c>
      <c r="J2935" s="51">
        <v>5.75</v>
      </c>
      <c r="K2935" s="74">
        <f>Tabela6[[#This Row],[CONSUMO]]*Tabela6[[#This Row],[VALOR UNIT]]-Tabela6[[#This Row],[DESCONTO]]</f>
        <v>1437.5</v>
      </c>
      <c r="L2935" s="53">
        <f>Tabela6[[#This Row],[CUSTO TOTAL]]/Tabela6[[#This Row],[CONSUMO]]</f>
        <v>5.75</v>
      </c>
      <c r="M2935" s="50">
        <f>Tabela6[[#This Row],[KM ATUAL]]-E2872</f>
        <v>-597167</v>
      </c>
      <c r="N2935" s="51">
        <f>Tabela6[[#This Row],[KM Rodados ]]/Tabela6[[#This Row],[CONSUMO]]</f>
        <v>-2388.6680000000001</v>
      </c>
    </row>
    <row r="2936" spans="1:14" x14ac:dyDescent="0.25">
      <c r="A2936" s="47">
        <v>346656</v>
      </c>
      <c r="B2936" s="78">
        <v>45236</v>
      </c>
      <c r="C2936" s="47" t="s">
        <v>40</v>
      </c>
      <c r="D2936" s="49" t="s">
        <v>276</v>
      </c>
      <c r="E2936" s="47">
        <v>168219</v>
      </c>
      <c r="G2936" s="50" t="s">
        <v>244</v>
      </c>
      <c r="H2936" s="51">
        <v>31.18</v>
      </c>
      <c r="J2936" s="51">
        <v>5.79</v>
      </c>
      <c r="K2936" s="74">
        <f>Tabela6[[#This Row],[CONSUMO]]*Tabela6[[#This Row],[VALOR UNIT]]-Tabela6[[#This Row],[DESCONTO]]</f>
        <v>180.53219999999999</v>
      </c>
      <c r="L2936" s="53">
        <f>Tabela6[[#This Row],[CUSTO TOTAL]]/Tabela6[[#This Row],[CONSUMO]]</f>
        <v>5.79</v>
      </c>
      <c r="M2936" s="50">
        <f>Tabela6[[#This Row],[KM ATUAL]]-E2920</f>
        <v>433</v>
      </c>
      <c r="N2936" s="51">
        <f>Tabela6[[#This Row],[KM Rodados ]]/Tabela6[[#This Row],[CONSUMO]]</f>
        <v>13.887107119948686</v>
      </c>
    </row>
    <row r="2937" spans="1:14" x14ac:dyDescent="0.25">
      <c r="A2937" s="47">
        <v>8160</v>
      </c>
      <c r="B2937" s="78">
        <v>45236</v>
      </c>
      <c r="C2937" s="47" t="s">
        <v>74</v>
      </c>
      <c r="D2937" s="49" t="s">
        <v>299</v>
      </c>
      <c r="E2937" s="47">
        <v>89034</v>
      </c>
      <c r="G2937" s="50" t="s">
        <v>89</v>
      </c>
      <c r="H2937" s="51">
        <v>43</v>
      </c>
      <c r="J2937" s="51">
        <v>5.75</v>
      </c>
      <c r="K2937" s="74">
        <f>Tabela6[[#This Row],[CONSUMO]]*Tabela6[[#This Row],[VALOR UNIT]]-Tabela6[[#This Row],[DESCONTO]]</f>
        <v>247.25</v>
      </c>
      <c r="L2937" s="53">
        <f>Tabela6[[#This Row],[CUSTO TOTAL]]/Tabela6[[#This Row],[CONSUMO]]</f>
        <v>5.75</v>
      </c>
      <c r="M2937" s="50">
        <f>Tabela6[[#This Row],[KM ATUAL]]-E2924</f>
        <v>-543296</v>
      </c>
      <c r="N2937" s="51">
        <f>Tabela6[[#This Row],[KM Rodados ]]/Tabela6[[#This Row],[CONSUMO]]</f>
        <v>-12634.790697674418</v>
      </c>
    </row>
    <row r="2938" spans="1:14" x14ac:dyDescent="0.25">
      <c r="A2938" s="47">
        <v>8160</v>
      </c>
      <c r="B2938" s="78">
        <v>45237</v>
      </c>
      <c r="C2938" s="47" t="s">
        <v>358</v>
      </c>
      <c r="D2938" s="49" t="s">
        <v>299</v>
      </c>
      <c r="E2938" s="47">
        <v>824578</v>
      </c>
      <c r="G2938" s="50" t="s">
        <v>89</v>
      </c>
      <c r="H2938" s="51">
        <v>200</v>
      </c>
      <c r="J2938" s="51">
        <v>5.75</v>
      </c>
      <c r="K2938" s="74">
        <f>Tabela6[[#This Row],[CONSUMO]]*Tabela6[[#This Row],[VALOR UNIT]]-Tabela6[[#This Row],[DESCONTO]]</f>
        <v>1150</v>
      </c>
      <c r="L2938" s="53">
        <f>Tabela6[[#This Row],[CUSTO TOTAL]]/Tabela6[[#This Row],[CONSUMO]]</f>
        <v>5.75</v>
      </c>
      <c r="M2938" s="50" t="e">
        <f>Tabela6[[#This Row],[KM ATUAL]]-#REF!</f>
        <v>#REF!</v>
      </c>
      <c r="N2938" s="51" t="e">
        <f>Tabela6[[#This Row],[KM Rodados ]]/Tabela6[[#This Row],[CONSUMO]]</f>
        <v>#REF!</v>
      </c>
    </row>
    <row r="2939" spans="1:14" x14ac:dyDescent="0.25">
      <c r="A2939" s="47">
        <v>8160</v>
      </c>
      <c r="B2939" s="78">
        <v>45237</v>
      </c>
      <c r="C2939" s="47" t="s">
        <v>68</v>
      </c>
      <c r="D2939" s="49" t="s">
        <v>299</v>
      </c>
      <c r="E2939" s="47">
        <v>931014</v>
      </c>
      <c r="G2939" s="50" t="s">
        <v>89</v>
      </c>
      <c r="H2939" s="51">
        <v>470</v>
      </c>
      <c r="J2939" s="51">
        <v>5.75</v>
      </c>
      <c r="K2939" s="74">
        <f>Tabela6[[#This Row],[CONSUMO]]*Tabela6[[#This Row],[VALOR UNIT]]-Tabela6[[#This Row],[DESCONTO]]</f>
        <v>2702.5</v>
      </c>
      <c r="L2939" s="53">
        <f>Tabela6[[#This Row],[CUSTO TOTAL]]/Tabela6[[#This Row],[CONSUMO]]</f>
        <v>5.75</v>
      </c>
      <c r="M2939" s="50">
        <f>Tabela6[[#This Row],[KM ATUAL]]-E2882</f>
        <v>774398</v>
      </c>
      <c r="N2939" s="51">
        <f>Tabela6[[#This Row],[KM Rodados ]]/Tabela6[[#This Row],[CONSUMO]]</f>
        <v>1647.6553191489361</v>
      </c>
    </row>
    <row r="2940" spans="1:14" x14ac:dyDescent="0.25">
      <c r="A2940" s="47">
        <v>359598</v>
      </c>
      <c r="B2940" s="78">
        <v>45237</v>
      </c>
      <c r="C2940" s="47" t="s">
        <v>222</v>
      </c>
      <c r="D2940" s="49" t="s">
        <v>361</v>
      </c>
      <c r="E2940" s="47">
        <v>516582</v>
      </c>
      <c r="G2940" s="50" t="s">
        <v>89</v>
      </c>
      <c r="H2940" s="51">
        <v>266</v>
      </c>
      <c r="J2940" s="51">
        <v>6.19</v>
      </c>
      <c r="K2940" s="74">
        <f>Tabela6[[#This Row],[CONSUMO]]*Tabela6[[#This Row],[VALOR UNIT]]-Tabela6[[#This Row],[DESCONTO]]</f>
        <v>1646.5400000000002</v>
      </c>
      <c r="L2940" s="53">
        <f>Tabela6[[#This Row],[CUSTO TOTAL]]/Tabela6[[#This Row],[CONSUMO]]</f>
        <v>6.19</v>
      </c>
      <c r="M2940" s="50">
        <f>Tabela6[[#This Row],[KM ATUAL]]-E2924</f>
        <v>-115748</v>
      </c>
      <c r="N2940" s="51">
        <f>Tabela6[[#This Row],[KM Rodados ]]/Tabela6[[#This Row],[CONSUMO]]</f>
        <v>-435.14285714285717</v>
      </c>
    </row>
    <row r="2941" spans="1:14" x14ac:dyDescent="0.25">
      <c r="A2941" s="47">
        <v>359599</v>
      </c>
      <c r="B2941" s="78">
        <v>45237</v>
      </c>
      <c r="C2941" s="47" t="s">
        <v>222</v>
      </c>
      <c r="D2941" s="49" t="s">
        <v>361</v>
      </c>
      <c r="E2941" s="47">
        <v>516582</v>
      </c>
      <c r="G2941" s="50" t="s">
        <v>241</v>
      </c>
      <c r="H2941" s="51">
        <v>40.081000000000003</v>
      </c>
      <c r="J2941" s="51">
        <v>2.99</v>
      </c>
      <c r="K2941" s="74">
        <f>Tabela6[[#This Row],[CONSUMO]]*Tabela6[[#This Row],[VALOR UNIT]]-Tabela6[[#This Row],[DESCONTO]]</f>
        <v>119.84219000000002</v>
      </c>
      <c r="L2941" s="53">
        <f>Tabela6[[#This Row],[CUSTO TOTAL]]/Tabela6[[#This Row],[CONSUMO]]</f>
        <v>2.99</v>
      </c>
      <c r="M2941" s="50"/>
      <c r="N2941" s="49"/>
    </row>
    <row r="2942" spans="1:14" x14ac:dyDescent="0.25">
      <c r="A2942" s="47">
        <v>8160</v>
      </c>
      <c r="B2942" s="78">
        <v>45237</v>
      </c>
      <c r="C2942" s="47" t="s">
        <v>73</v>
      </c>
      <c r="D2942" s="49" t="s">
        <v>299</v>
      </c>
      <c r="E2942" s="119">
        <v>161709</v>
      </c>
      <c r="G2942" s="50" t="s">
        <v>89</v>
      </c>
      <c r="H2942" s="51">
        <v>100</v>
      </c>
      <c r="J2942" s="51">
        <v>5.75</v>
      </c>
      <c r="K2942" s="74">
        <f>Tabela6[[#This Row],[CONSUMO]]*Tabela6[[#This Row],[VALOR UNIT]]-Tabela6[[#This Row],[DESCONTO]]</f>
        <v>575</v>
      </c>
      <c r="L2942" s="53">
        <f>Tabela6[[#This Row],[CUSTO TOTAL]]/Tabela6[[#This Row],[CONSUMO]]</f>
        <v>5.75</v>
      </c>
      <c r="M2942" s="50">
        <f>Tabela6[[#This Row],[KM ATUAL]]-E2915</f>
        <v>450</v>
      </c>
      <c r="N2942" s="51">
        <f>Tabela6[[#This Row],[KM Rodados ]]/Tabela6[[#This Row],[CONSUMO]]</f>
        <v>4.5</v>
      </c>
    </row>
    <row r="2943" spans="1:14" x14ac:dyDescent="0.25">
      <c r="A2943" s="47">
        <v>82406</v>
      </c>
      <c r="B2943" s="78">
        <v>45237</v>
      </c>
      <c r="C2943" s="47" t="s">
        <v>11</v>
      </c>
      <c r="D2943" s="49" t="s">
        <v>253</v>
      </c>
      <c r="E2943" s="47">
        <v>404650</v>
      </c>
      <c r="G2943" s="50" t="s">
        <v>89</v>
      </c>
      <c r="H2943" s="51">
        <v>103.67</v>
      </c>
      <c r="J2943" s="51">
        <v>6.29</v>
      </c>
      <c r="K2943" s="74">
        <f>Tabela6[[#This Row],[CONSUMO]]*Tabela6[[#This Row],[VALOR UNIT]]-Tabela6[[#This Row],[DESCONTO]]</f>
        <v>652.08429999999998</v>
      </c>
      <c r="L2943" s="53">
        <f>Tabela6[[#This Row],[CUSTO TOTAL]]/Tabela6[[#This Row],[CONSUMO]]</f>
        <v>6.29</v>
      </c>
      <c r="M2943" s="50">
        <f>Tabela6[[#This Row],[KM ATUAL]]-E2863</f>
        <v>317674</v>
      </c>
      <c r="N2943" s="51">
        <f>Tabela6[[#This Row],[KM Rodados ]]/Tabela6[[#This Row],[CONSUMO]]</f>
        <v>3064.2808912896689</v>
      </c>
    </row>
    <row r="2944" spans="1:14" x14ac:dyDescent="0.25">
      <c r="A2944" s="47">
        <v>8160</v>
      </c>
      <c r="B2944" s="78">
        <v>45237</v>
      </c>
      <c r="C2944" s="47" t="s">
        <v>15</v>
      </c>
      <c r="D2944" s="49" t="s">
        <v>299</v>
      </c>
      <c r="E2944" s="47">
        <v>396916</v>
      </c>
      <c r="G2944" s="50" t="s">
        <v>89</v>
      </c>
      <c r="H2944" s="51">
        <v>95</v>
      </c>
      <c r="J2944" s="51">
        <v>5.75</v>
      </c>
      <c r="K2944" s="74">
        <f>Tabela6[[#This Row],[CONSUMO]]*Tabela6[[#This Row],[VALOR UNIT]]-Tabela6[[#This Row],[DESCONTO]]</f>
        <v>546.25</v>
      </c>
      <c r="L2944" s="53">
        <f>Tabela6[[#This Row],[CUSTO TOTAL]]/Tabela6[[#This Row],[CONSUMO]]</f>
        <v>5.75</v>
      </c>
      <c r="M2944" s="50">
        <f>Tabela6[[#This Row],[KM ATUAL]]-E2921</f>
        <v>308304</v>
      </c>
      <c r="N2944" s="51">
        <f>Tabela6[[#This Row],[KM Rodados ]]/Tabela6[[#This Row],[CONSUMO]]</f>
        <v>3245.3052631578948</v>
      </c>
    </row>
    <row r="2945" spans="1:14" x14ac:dyDescent="0.25">
      <c r="A2945" s="47">
        <v>219066</v>
      </c>
      <c r="B2945" s="78">
        <v>45237</v>
      </c>
      <c r="C2945" s="47" t="s">
        <v>15</v>
      </c>
      <c r="D2945" s="49" t="s">
        <v>262</v>
      </c>
      <c r="E2945" s="47">
        <v>396919</v>
      </c>
      <c r="G2945" s="50" t="s">
        <v>241</v>
      </c>
      <c r="H2945" s="51">
        <v>13.459</v>
      </c>
      <c r="I2945" s="49">
        <v>4.84</v>
      </c>
      <c r="J2945" s="51">
        <v>3.69</v>
      </c>
      <c r="K2945" s="74">
        <f>Tabela6[[#This Row],[CONSUMO]]*Tabela6[[#This Row],[VALOR UNIT]]-Tabela6[[#This Row],[DESCONTO]]</f>
        <v>44.823709999999991</v>
      </c>
      <c r="L2945" s="53">
        <f>Tabela6[[#This Row],[CUSTO TOTAL]]/Tabela6[[#This Row],[CONSUMO]]</f>
        <v>3.3303893305594765</v>
      </c>
      <c r="M2945" s="50"/>
    </row>
    <row r="2946" spans="1:14" x14ac:dyDescent="0.25">
      <c r="A2946" s="47">
        <v>8160</v>
      </c>
      <c r="B2946" s="78">
        <v>45237</v>
      </c>
      <c r="C2946" s="47" t="s">
        <v>74</v>
      </c>
      <c r="D2946" s="49" t="s">
        <v>299</v>
      </c>
      <c r="E2946" s="47">
        <v>89125</v>
      </c>
      <c r="G2946" s="50" t="s">
        <v>89</v>
      </c>
      <c r="H2946" s="51">
        <v>14</v>
      </c>
      <c r="J2946" s="51">
        <v>5.75</v>
      </c>
      <c r="K2946" s="74">
        <f>Tabela6[[#This Row],[CONSUMO]]*Tabela6[[#This Row],[VALOR UNIT]]-Tabela6[[#This Row],[DESCONTO]]</f>
        <v>80.5</v>
      </c>
      <c r="L2946" s="53">
        <f>Tabela6[[#This Row],[CUSTO TOTAL]]/Tabela6[[#This Row],[CONSUMO]]</f>
        <v>5.75</v>
      </c>
      <c r="M2946" s="50">
        <f>Tabela6[[#This Row],[KM ATUAL]]-E2937</f>
        <v>91</v>
      </c>
      <c r="N2946" s="51">
        <f>Tabela6[[#This Row],[KM Rodados ]]/Tabela6[[#This Row],[CONSUMO]]</f>
        <v>6.5</v>
      </c>
    </row>
    <row r="2947" spans="1:14" x14ac:dyDescent="0.25">
      <c r="A2947" s="47">
        <v>219040</v>
      </c>
      <c r="B2947" s="78">
        <v>45237</v>
      </c>
      <c r="C2947" s="47" t="s">
        <v>315</v>
      </c>
      <c r="D2947" s="49" t="s">
        <v>262</v>
      </c>
      <c r="E2947" s="47">
        <v>5666</v>
      </c>
      <c r="G2947" s="50" t="s">
        <v>89</v>
      </c>
      <c r="H2947" s="51">
        <v>35.619999999999997</v>
      </c>
      <c r="J2947" s="51">
        <v>6.29</v>
      </c>
      <c r="K2947" s="74">
        <f>Tabela6[[#This Row],[CONSUMO]]*Tabela6[[#This Row],[VALOR UNIT]]-Tabela6[[#This Row],[DESCONTO]]</f>
        <v>224.04979999999998</v>
      </c>
      <c r="L2947" s="53">
        <f>Tabela6[[#This Row],[CUSTO TOTAL]]/Tabela6[[#This Row],[CONSUMO]]</f>
        <v>6.29</v>
      </c>
      <c r="M2947" s="50">
        <f>Tabela6[[#This Row],[KM ATUAL]]-E2798</f>
        <v>-152203</v>
      </c>
      <c r="N2947" s="51">
        <f>Tabela6[[#This Row],[KM Rodados ]]/Tabela6[[#This Row],[CONSUMO]]</f>
        <v>-4272.9646266142618</v>
      </c>
    </row>
    <row r="2948" spans="1:14" x14ac:dyDescent="0.25">
      <c r="A2948" s="47">
        <v>8160</v>
      </c>
      <c r="B2948" s="78">
        <v>45238</v>
      </c>
      <c r="C2948" s="47" t="s">
        <v>43</v>
      </c>
      <c r="D2948" s="49" t="s">
        <v>299</v>
      </c>
      <c r="E2948" s="47">
        <v>158096</v>
      </c>
      <c r="G2948" s="50" t="s">
        <v>89</v>
      </c>
      <c r="H2948" s="51">
        <v>16</v>
      </c>
      <c r="J2948" s="51">
        <v>5.75</v>
      </c>
      <c r="K2948" s="74">
        <f>Tabela6[[#This Row],[CONSUMO]]*Tabela6[[#This Row],[VALOR UNIT]]-Tabela6[[#This Row],[DESCONTO]]</f>
        <v>92</v>
      </c>
      <c r="L2948" s="53">
        <f>Tabela6[[#This Row],[CUSTO TOTAL]]/Tabela6[[#This Row],[CONSUMO]]</f>
        <v>5.75</v>
      </c>
      <c r="M2948" s="50">
        <f>Tabela6[[#This Row],[KM ATUAL]]-E2922</f>
        <v>117</v>
      </c>
      <c r="N2948" s="51">
        <f>Tabela6[[#This Row],[KM Rodados ]]/Tabela6[[#This Row],[CONSUMO]]</f>
        <v>7.3125</v>
      </c>
    </row>
    <row r="2949" spans="1:14" x14ac:dyDescent="0.25">
      <c r="A2949" s="47">
        <v>264708</v>
      </c>
      <c r="B2949" s="78">
        <v>45238</v>
      </c>
      <c r="C2949" s="47" t="s">
        <v>9</v>
      </c>
      <c r="D2949" s="49" t="s">
        <v>273</v>
      </c>
      <c r="E2949" s="47">
        <v>632341</v>
      </c>
      <c r="G2949" s="50" t="s">
        <v>89</v>
      </c>
      <c r="H2949" s="51">
        <v>129.13</v>
      </c>
      <c r="J2949" s="51">
        <v>6.09</v>
      </c>
      <c r="K2949" s="74">
        <f>Tabela6[[#This Row],[CONSUMO]]*Tabela6[[#This Row],[VALOR UNIT]]-Tabela6[[#This Row],[DESCONTO]]</f>
        <v>786.40170000000001</v>
      </c>
      <c r="L2949" s="53">
        <f>Tabela6[[#This Row],[CUSTO TOTAL]]/Tabela6[[#This Row],[CONSUMO]]</f>
        <v>6.09</v>
      </c>
      <c r="M2949" s="50">
        <f>Tabela6[[#This Row],[KM ATUAL]]-E2903</f>
        <v>236973</v>
      </c>
      <c r="N2949" s="51">
        <f>Tabela6[[#This Row],[KM Rodados ]]/Tabela6[[#This Row],[CONSUMO]]</f>
        <v>1835.1506234027725</v>
      </c>
    </row>
    <row r="2950" spans="1:14" x14ac:dyDescent="0.25">
      <c r="A2950" s="47">
        <v>83322</v>
      </c>
      <c r="B2950" s="78">
        <v>45238</v>
      </c>
      <c r="C2950" s="47" t="s">
        <v>42</v>
      </c>
      <c r="D2950" s="49" t="s">
        <v>253</v>
      </c>
      <c r="E2950" s="47">
        <v>376232</v>
      </c>
      <c r="G2950" s="50" t="s">
        <v>89</v>
      </c>
      <c r="H2950" s="51">
        <v>58.35</v>
      </c>
      <c r="J2950" s="51">
        <v>6.29</v>
      </c>
      <c r="K2950" s="74">
        <f>Tabela6[[#This Row],[CONSUMO]]*Tabela6[[#This Row],[VALOR UNIT]]-Tabela6[[#This Row],[DESCONTO]]</f>
        <v>367.0215</v>
      </c>
      <c r="L2950" s="53">
        <f>Tabela6[[#This Row],[CUSTO TOTAL]]/Tabela6[[#This Row],[CONSUMO]]</f>
        <v>6.29</v>
      </c>
      <c r="M2950" s="50">
        <f>Tabela6[[#This Row],[KM ATUAL]]-E2894</f>
        <v>35442</v>
      </c>
      <c r="N2950" s="51">
        <f>Tabela6[[#This Row],[KM Rodados ]]/Tabela6[[#This Row],[CONSUMO]]</f>
        <v>607.40359897172232</v>
      </c>
    </row>
    <row r="2951" spans="1:14" x14ac:dyDescent="0.25">
      <c r="A2951" s="47">
        <v>427327</v>
      </c>
      <c r="B2951" s="78">
        <v>45238</v>
      </c>
      <c r="C2951" s="47" t="s">
        <v>222</v>
      </c>
      <c r="D2951" s="49" t="s">
        <v>333</v>
      </c>
      <c r="E2951" s="47">
        <v>517288</v>
      </c>
      <c r="G2951" s="50" t="s">
        <v>89</v>
      </c>
      <c r="H2951" s="51">
        <v>335.36</v>
      </c>
      <c r="J2951" s="51">
        <v>5.89</v>
      </c>
      <c r="K2951" s="74">
        <f>Tabela6[[#This Row],[CONSUMO]]*Tabela6[[#This Row],[VALOR UNIT]]-Tabela6[[#This Row],[DESCONTO]]</f>
        <v>1975.2703999999999</v>
      </c>
      <c r="L2951" s="53">
        <f>Tabela6[[#This Row],[CUSTO TOTAL]]/Tabela6[[#This Row],[CONSUMO]]</f>
        <v>5.89</v>
      </c>
      <c r="M2951" s="50">
        <f>Tabela6[[#This Row],[KM ATUAL]]-E2927</f>
        <v>397293</v>
      </c>
      <c r="N2951" s="51">
        <f>Tabela6[[#This Row],[KM Rodados ]]/Tabela6[[#This Row],[CONSUMO]]</f>
        <v>1184.6761688931297</v>
      </c>
    </row>
    <row r="2952" spans="1:14" x14ac:dyDescent="0.25">
      <c r="A2952" s="47">
        <v>219492</v>
      </c>
      <c r="B2952" s="78">
        <v>45238</v>
      </c>
      <c r="C2952" s="47" t="s">
        <v>215</v>
      </c>
      <c r="D2952" s="49" t="s">
        <v>262</v>
      </c>
      <c r="E2952" s="47">
        <v>230030</v>
      </c>
      <c r="G2952" s="50" t="s">
        <v>244</v>
      </c>
      <c r="H2952" s="51">
        <v>39.17</v>
      </c>
      <c r="J2952" s="51">
        <v>5.59</v>
      </c>
      <c r="K2952" s="74">
        <f>Tabela6[[#This Row],[CONSUMO]]*Tabela6[[#This Row],[VALOR UNIT]]-Tabela6[[#This Row],[DESCONTO]]</f>
        <v>218.96030000000002</v>
      </c>
      <c r="L2952" s="53">
        <f>Tabela6[[#This Row],[CUSTO TOTAL]]/Tabela6[[#This Row],[CONSUMO]]</f>
        <v>5.59</v>
      </c>
      <c r="M2952" s="50">
        <f>Tabela6[[#This Row],[KM ATUAL]]-E2794</f>
        <v>64307</v>
      </c>
      <c r="N2952" s="51">
        <f>Tabela6[[#This Row],[KM Rodados ]]/Tabela6[[#This Row],[CONSUMO]]</f>
        <v>1641.7411284146031</v>
      </c>
    </row>
    <row r="2953" spans="1:14" x14ac:dyDescent="0.25">
      <c r="A2953" s="47">
        <v>8160</v>
      </c>
      <c r="B2953" s="78">
        <v>45238</v>
      </c>
      <c r="C2953" s="47" t="s">
        <v>22</v>
      </c>
      <c r="D2953" s="49" t="s">
        <v>299</v>
      </c>
      <c r="E2953" s="47">
        <v>341290</v>
      </c>
      <c r="G2953" s="50" t="s">
        <v>89</v>
      </c>
      <c r="H2953" s="51">
        <v>120</v>
      </c>
      <c r="J2953" s="51">
        <v>5.75</v>
      </c>
      <c r="K2953" s="74">
        <f>Tabela6[[#This Row],[CONSUMO]]*Tabela6[[#This Row],[VALOR UNIT]]-Tabela6[[#This Row],[DESCONTO]]</f>
        <v>690</v>
      </c>
      <c r="L2953" s="53">
        <f>Tabela6[[#This Row],[CUSTO TOTAL]]/Tabela6[[#This Row],[CONSUMO]]</f>
        <v>5.75</v>
      </c>
      <c r="M2953" s="50">
        <f>Tabela6[[#This Row],[KM ATUAL]]-E2898</f>
        <v>-717480</v>
      </c>
      <c r="N2953" s="51">
        <f>Tabela6[[#This Row],[KM Rodados ]]/Tabela6[[#This Row],[CONSUMO]]</f>
        <v>-5979</v>
      </c>
    </row>
    <row r="2954" spans="1:14" x14ac:dyDescent="0.25">
      <c r="A2954" s="47">
        <v>83544</v>
      </c>
      <c r="B2954" s="78">
        <v>45238</v>
      </c>
      <c r="C2954" s="47" t="s">
        <v>72</v>
      </c>
      <c r="D2954" s="49" t="s">
        <v>253</v>
      </c>
      <c r="E2954" s="47">
        <v>424304</v>
      </c>
      <c r="G2954" s="50" t="s">
        <v>89</v>
      </c>
      <c r="H2954" s="51">
        <v>37.75</v>
      </c>
      <c r="J2954" s="51">
        <v>6.29</v>
      </c>
      <c r="K2954" s="74">
        <f>Tabela6[[#This Row],[CONSUMO]]*Tabela6[[#This Row],[VALOR UNIT]]-Tabela6[[#This Row],[DESCONTO]]</f>
        <v>237.44749999999999</v>
      </c>
      <c r="L2954" s="53">
        <f>Tabela6[[#This Row],[CUSTO TOTAL]]/Tabela6[[#This Row],[CONSUMO]]</f>
        <v>6.29</v>
      </c>
      <c r="M2954" s="50">
        <f>Tabela6[[#This Row],[KM ATUAL]]-E2915</f>
        <v>263045</v>
      </c>
      <c r="N2954" s="51">
        <f>Tabela6[[#This Row],[KM Rodados ]]/Tabela6[[#This Row],[CONSUMO]]</f>
        <v>6968.0794701986752</v>
      </c>
    </row>
    <row r="2955" spans="1:14" x14ac:dyDescent="0.25">
      <c r="A2955" s="47">
        <v>83223</v>
      </c>
      <c r="B2955" s="78">
        <v>45238</v>
      </c>
      <c r="C2955" s="47" t="s">
        <v>64</v>
      </c>
      <c r="D2955" s="49" t="s">
        <v>253</v>
      </c>
      <c r="E2955" s="47">
        <v>102024</v>
      </c>
      <c r="G2955" s="50" t="s">
        <v>89</v>
      </c>
      <c r="H2955" s="51">
        <v>173.52</v>
      </c>
      <c r="J2955" s="51">
        <v>6.29</v>
      </c>
      <c r="K2955" s="74">
        <f>Tabela6[[#This Row],[CONSUMO]]*Tabela6[[#This Row],[VALOR UNIT]]-Tabela6[[#This Row],[DESCONTO]]</f>
        <v>1091.4408000000001</v>
      </c>
      <c r="L2955" s="53">
        <f>Tabela6[[#This Row],[CUSTO TOTAL]]/Tabela6[[#This Row],[CONSUMO]]</f>
        <v>6.29</v>
      </c>
      <c r="M2955" s="50">
        <f>Tabela6[[#This Row],[KM ATUAL]]-E2924</f>
        <v>-530306</v>
      </c>
      <c r="N2955" s="51">
        <f>Tabela6[[#This Row],[KM Rodados ]]/Tabela6[[#This Row],[CONSUMO]]</f>
        <v>-3056.1664361456892</v>
      </c>
    </row>
    <row r="2956" spans="1:14" x14ac:dyDescent="0.25">
      <c r="A2956" s="47">
        <v>8160</v>
      </c>
      <c r="B2956" s="78">
        <v>45238</v>
      </c>
      <c r="C2956" s="47" t="s">
        <v>13</v>
      </c>
      <c r="D2956" s="49" t="s">
        <v>299</v>
      </c>
      <c r="E2956" s="47">
        <v>661308</v>
      </c>
      <c r="G2956" s="50" t="s">
        <v>89</v>
      </c>
      <c r="H2956" s="51">
        <v>121</v>
      </c>
      <c r="J2956" s="51">
        <v>5.75</v>
      </c>
      <c r="K2956" s="74">
        <f>Tabela6[[#This Row],[CONSUMO]]*Tabela6[[#This Row],[VALOR UNIT]]-Tabela6[[#This Row],[DESCONTO]]</f>
        <v>695.75</v>
      </c>
      <c r="L2956" s="53">
        <f>Tabela6[[#This Row],[CUSTO TOTAL]]/Tabela6[[#This Row],[CONSUMO]]</f>
        <v>5.75</v>
      </c>
      <c r="M2956" s="50">
        <f>Tabela6[[#This Row],[KM ATUAL]]-E2922</f>
        <v>503329</v>
      </c>
      <c r="N2956" s="51">
        <f>Tabela6[[#This Row],[KM Rodados ]]/Tabela6[[#This Row],[CONSUMO]]</f>
        <v>4159.7438016528922</v>
      </c>
    </row>
    <row r="2957" spans="1:14" x14ac:dyDescent="0.25">
      <c r="A2957" s="47">
        <v>8160</v>
      </c>
      <c r="B2957" s="78">
        <v>45238</v>
      </c>
      <c r="C2957" s="47" t="s">
        <v>15</v>
      </c>
      <c r="D2957" s="49" t="s">
        <v>299</v>
      </c>
      <c r="E2957" s="47">
        <v>397227</v>
      </c>
      <c r="G2957" s="50" t="s">
        <v>89</v>
      </c>
      <c r="H2957" s="51">
        <v>48</v>
      </c>
      <c r="J2957" s="51">
        <v>5.75</v>
      </c>
      <c r="K2957" s="74">
        <f>Tabela6[[#This Row],[CONSUMO]]*Tabela6[[#This Row],[VALOR UNIT]]-Tabela6[[#This Row],[DESCONTO]]</f>
        <v>276</v>
      </c>
      <c r="L2957" s="53">
        <f>Tabela6[[#This Row],[CUSTO TOTAL]]/Tabela6[[#This Row],[CONSUMO]]</f>
        <v>5.75</v>
      </c>
      <c r="M2957" s="50">
        <f>Tabela6[[#This Row],[KM ATUAL]]-E2943</f>
        <v>-7423</v>
      </c>
      <c r="N2957" s="51">
        <f>Tabela6[[#This Row],[KM Rodados ]]/Tabela6[[#This Row],[CONSUMO]]</f>
        <v>-154.64583333333334</v>
      </c>
    </row>
    <row r="2958" spans="1:14" x14ac:dyDescent="0.25">
      <c r="A2958" s="47">
        <v>8160</v>
      </c>
      <c r="B2958" s="78">
        <v>45238</v>
      </c>
      <c r="C2958" s="47" t="s">
        <v>17</v>
      </c>
      <c r="D2958" s="49" t="s">
        <v>299</v>
      </c>
      <c r="E2958" s="47">
        <v>378363</v>
      </c>
      <c r="G2958" s="50" t="s">
        <v>89</v>
      </c>
      <c r="H2958" s="51">
        <v>105</v>
      </c>
      <c r="J2958" s="51">
        <v>5.75</v>
      </c>
      <c r="K2958" s="74">
        <f>Tabela6[[#This Row],[CONSUMO]]*Tabela6[[#This Row],[VALOR UNIT]]-Tabela6[[#This Row],[DESCONTO]]</f>
        <v>603.75</v>
      </c>
      <c r="L2958" s="53">
        <f>Tabela6[[#This Row],[CUSTO TOTAL]]/Tabela6[[#This Row],[CONSUMO]]</f>
        <v>5.75</v>
      </c>
      <c r="M2958" s="50">
        <f>Tabela6[[#This Row],[KM ATUAL]]-E2936</f>
        <v>210144</v>
      </c>
      <c r="N2958" s="51">
        <f>Tabela6[[#This Row],[KM Rodados ]]/Tabela6[[#This Row],[CONSUMO]]</f>
        <v>2001.3714285714286</v>
      </c>
    </row>
    <row r="2959" spans="1:14" x14ac:dyDescent="0.25">
      <c r="A2959" s="47">
        <v>579715</v>
      </c>
      <c r="B2959" s="78">
        <v>45238</v>
      </c>
      <c r="C2959" s="47" t="s">
        <v>18</v>
      </c>
      <c r="D2959" s="49" t="s">
        <v>255</v>
      </c>
      <c r="E2959" s="47">
        <v>335267</v>
      </c>
      <c r="G2959" s="50" t="s">
        <v>89</v>
      </c>
      <c r="H2959" s="51">
        <v>61.220999999999997</v>
      </c>
      <c r="J2959" s="51">
        <v>6.89</v>
      </c>
      <c r="K2959" s="74">
        <f>Tabela6[[#This Row],[CONSUMO]]*Tabela6[[#This Row],[VALOR UNIT]]-Tabela6[[#This Row],[DESCONTO]]</f>
        <v>421.81268999999998</v>
      </c>
      <c r="L2959" s="53">
        <f>Tabela6[[#This Row],[CUSTO TOTAL]]/Tabela6[[#This Row],[CONSUMO]]</f>
        <v>6.89</v>
      </c>
      <c r="M2959" s="50">
        <f>Tabela6[[#This Row],[KM ATUAL]]-E2511</f>
        <v>-170094</v>
      </c>
      <c r="N2959" s="51">
        <f>Tabela6[[#This Row],[KM Rodados ]]/Tabela6[[#This Row],[CONSUMO]]</f>
        <v>-2778.3603665408932</v>
      </c>
    </row>
    <row r="2960" spans="1:14" x14ac:dyDescent="0.25">
      <c r="A2960" s="47">
        <v>579835</v>
      </c>
      <c r="B2960" s="78">
        <v>45238</v>
      </c>
      <c r="C2960" s="47" t="s">
        <v>38</v>
      </c>
      <c r="D2960" s="49" t="s">
        <v>255</v>
      </c>
      <c r="E2960" s="47">
        <v>139107</v>
      </c>
      <c r="G2960" s="50" t="s">
        <v>244</v>
      </c>
      <c r="H2960" s="51">
        <v>48.530999999999999</v>
      </c>
      <c r="J2960" s="51">
        <v>5.84</v>
      </c>
      <c r="K2960" s="74">
        <f>Tabela6[[#This Row],[CONSUMO]]*Tabela6[[#This Row],[VALOR UNIT]]-Tabela6[[#This Row],[DESCONTO]]</f>
        <v>283.42104</v>
      </c>
      <c r="L2960" s="53">
        <f>Tabela6[[#This Row],[CUSTO TOTAL]]/Tabela6[[#This Row],[CONSUMO]]</f>
        <v>5.84</v>
      </c>
      <c r="M2960" s="50">
        <f>Tabela6[[#This Row],[KM ATUAL]]-E2866</f>
        <v>-492196</v>
      </c>
      <c r="N2960" s="51">
        <f>Tabela6[[#This Row],[KM Rodados ]]/Tabela6[[#This Row],[CONSUMO]]</f>
        <v>-10141.888689703488</v>
      </c>
    </row>
    <row r="2961" spans="1:14" x14ac:dyDescent="0.25">
      <c r="A2961" s="47">
        <v>347214</v>
      </c>
      <c r="B2961" s="78">
        <v>45238</v>
      </c>
      <c r="C2961" s="47" t="s">
        <v>315</v>
      </c>
      <c r="D2961" s="49" t="s">
        <v>276</v>
      </c>
      <c r="E2961" s="47">
        <v>6128</v>
      </c>
      <c r="G2961" s="50" t="s">
        <v>89</v>
      </c>
      <c r="H2961" s="51">
        <v>40.71</v>
      </c>
      <c r="J2961" s="51">
        <v>6.39</v>
      </c>
      <c r="K2961" s="74">
        <f>Tabela6[[#This Row],[CONSUMO]]*Tabela6[[#This Row],[VALOR UNIT]]-Tabela6[[#This Row],[DESCONTO]]</f>
        <v>260.13689999999997</v>
      </c>
      <c r="L2961" s="53">
        <f>Tabela6[[#This Row],[CUSTO TOTAL]]/Tabela6[[#This Row],[CONSUMO]]</f>
        <v>6.3899999999999988</v>
      </c>
      <c r="M2961" s="50">
        <f>Tabela6[[#This Row],[KM ATUAL]]-E2948</f>
        <v>-151968</v>
      </c>
      <c r="N2961" s="51">
        <f>Tabela6[[#This Row],[KM Rodados ]]/Tabela6[[#This Row],[CONSUMO]]</f>
        <v>-3732.9403095062639</v>
      </c>
    </row>
    <row r="2962" spans="1:14" x14ac:dyDescent="0.25">
      <c r="A2962" s="47">
        <v>347214</v>
      </c>
      <c r="B2962" s="78">
        <v>45238</v>
      </c>
      <c r="C2962" s="47" t="s">
        <v>315</v>
      </c>
      <c r="D2962" s="49" t="s">
        <v>276</v>
      </c>
      <c r="E2962" s="47">
        <v>6128</v>
      </c>
      <c r="G2962" s="50" t="s">
        <v>241</v>
      </c>
      <c r="H2962" s="51">
        <v>1.5629999999999999</v>
      </c>
      <c r="J2962" s="51">
        <v>3.69</v>
      </c>
      <c r="K2962" s="74">
        <f>Tabela6[[#This Row],[CONSUMO]]*Tabela6[[#This Row],[VALOR UNIT]]-Tabela6[[#This Row],[DESCONTO]]</f>
        <v>5.7674699999999994</v>
      </c>
      <c r="L2962" s="53">
        <f>Tabela6[[#This Row],[CUSTO TOTAL]]/Tabela6[[#This Row],[CONSUMO]]</f>
        <v>3.69</v>
      </c>
      <c r="M2962" s="50"/>
      <c r="N2962" s="49"/>
    </row>
    <row r="2963" spans="1:14" x14ac:dyDescent="0.25">
      <c r="A2963" s="47">
        <v>219498</v>
      </c>
      <c r="B2963" s="78">
        <v>45239</v>
      </c>
      <c r="C2963" s="47" t="s">
        <v>43</v>
      </c>
      <c r="D2963" s="49" t="s">
        <v>262</v>
      </c>
      <c r="E2963" s="47">
        <v>158216</v>
      </c>
      <c r="G2963" s="50" t="s">
        <v>89</v>
      </c>
      <c r="H2963" s="51">
        <v>15.25</v>
      </c>
      <c r="J2963" s="51">
        <v>6.29</v>
      </c>
      <c r="K2963" s="74">
        <f>Tabela6[[#This Row],[CONSUMO]]*Tabela6[[#This Row],[VALOR UNIT]]-Tabela6[[#This Row],[DESCONTO]]</f>
        <v>95.922499999999999</v>
      </c>
      <c r="L2963" s="53">
        <f>Tabela6[[#This Row],[CUSTO TOTAL]]/Tabela6[[#This Row],[CONSUMO]]</f>
        <v>6.29</v>
      </c>
      <c r="M2963" s="50">
        <f>Tabela6[[#This Row],[KM ATUAL]]-E2948</f>
        <v>120</v>
      </c>
      <c r="N2963" s="51">
        <f>Tabela6[[#This Row],[KM Rodados ]]/Tabela6[[#This Row],[CONSUMO]]</f>
        <v>7.8688524590163933</v>
      </c>
    </row>
    <row r="2964" spans="1:14" x14ac:dyDescent="0.25">
      <c r="A2964" s="49">
        <v>8160</v>
      </c>
      <c r="B2964" s="78">
        <v>45239</v>
      </c>
      <c r="C2964" s="47" t="s">
        <v>43</v>
      </c>
      <c r="D2964" s="49" t="s">
        <v>299</v>
      </c>
      <c r="E2964" s="47">
        <v>158561</v>
      </c>
      <c r="G2964" s="50" t="s">
        <v>89</v>
      </c>
      <c r="H2964" s="51">
        <v>39</v>
      </c>
      <c r="J2964" s="51">
        <v>5.75</v>
      </c>
      <c r="K2964" s="74">
        <f>Tabela6[[#This Row],[CONSUMO]]*Tabela6[[#This Row],[VALOR UNIT]]-Tabela6[[#This Row],[DESCONTO]]</f>
        <v>224.25</v>
      </c>
      <c r="L2964" s="53">
        <f>Tabela6[[#This Row],[CUSTO TOTAL]]/Tabela6[[#This Row],[CONSUMO]]</f>
        <v>5.75</v>
      </c>
      <c r="M2964" s="50">
        <f>Tabela6[[#This Row],[KM ATUAL]]-E2959</f>
        <v>-176706</v>
      </c>
      <c r="N2964" s="51">
        <f>Tabela6[[#This Row],[KM Rodados ]]/Tabela6[[#This Row],[CONSUMO]]</f>
        <v>-4530.9230769230771</v>
      </c>
    </row>
    <row r="2965" spans="1:14" x14ac:dyDescent="0.25">
      <c r="A2965" s="49">
        <v>8160</v>
      </c>
      <c r="B2965" s="78">
        <v>45239</v>
      </c>
      <c r="C2965" s="47" t="s">
        <v>394</v>
      </c>
      <c r="D2965" s="49" t="s">
        <v>299</v>
      </c>
      <c r="E2965" s="47">
        <v>876507</v>
      </c>
      <c r="G2965" s="50" t="s">
        <v>89</v>
      </c>
      <c r="H2965" s="51">
        <v>66</v>
      </c>
      <c r="J2965" s="51">
        <v>5.75</v>
      </c>
      <c r="K2965" s="74">
        <f>Tabela6[[#This Row],[CONSUMO]]*Tabela6[[#This Row],[VALOR UNIT]]-Tabela6[[#This Row],[DESCONTO]]</f>
        <v>379.5</v>
      </c>
      <c r="L2965" s="53">
        <f>Tabela6[[#This Row],[CUSTO TOTAL]]/Tabela6[[#This Row],[CONSUMO]]</f>
        <v>5.75</v>
      </c>
      <c r="M2965" s="51">
        <f>Tabela6[[#This Row],[KM ATUAL]]-E2874</f>
        <v>574907</v>
      </c>
      <c r="N2965" s="51">
        <f>Tabela6[[#This Row],[KM Rodados ]]/Tabela6[[#This Row],[CONSUMO]]</f>
        <v>8710.7121212121219</v>
      </c>
    </row>
    <row r="2966" spans="1:14" x14ac:dyDescent="0.25">
      <c r="A2966" s="47">
        <v>1232733</v>
      </c>
      <c r="B2966" s="78">
        <v>45239</v>
      </c>
      <c r="C2966" s="47" t="s">
        <v>67</v>
      </c>
      <c r="D2966" s="49" t="s">
        <v>263</v>
      </c>
      <c r="E2966" s="47">
        <v>688222</v>
      </c>
      <c r="G2966" s="50" t="s">
        <v>89</v>
      </c>
      <c r="H2966" s="51">
        <v>135</v>
      </c>
      <c r="J2966" s="51">
        <v>6.15</v>
      </c>
      <c r="K2966" s="74">
        <f>Tabela6[[#This Row],[CONSUMO]]*Tabela6[[#This Row],[VALOR UNIT]]-Tabela6[[#This Row],[DESCONTO]]</f>
        <v>830.25</v>
      </c>
      <c r="L2966" s="53">
        <f>Tabela6[[#This Row],[CUSTO TOTAL]]/Tabela6[[#This Row],[CONSUMO]]</f>
        <v>6.15</v>
      </c>
      <c r="M2966" s="50">
        <f>Tabela6[[#This Row],[KM ATUAL]]-E2936</f>
        <v>520003</v>
      </c>
      <c r="N2966" s="51">
        <f>Tabela6[[#This Row],[KM Rodados ]]/Tabela6[[#This Row],[CONSUMO]]</f>
        <v>3851.8740740740741</v>
      </c>
    </row>
    <row r="2967" spans="1:14" x14ac:dyDescent="0.25">
      <c r="A2967" s="49">
        <v>8160</v>
      </c>
      <c r="B2967" s="78">
        <v>45239</v>
      </c>
      <c r="C2967" s="47" t="s">
        <v>39</v>
      </c>
      <c r="D2967" s="49" t="s">
        <v>299</v>
      </c>
      <c r="E2967" s="47">
        <v>110591</v>
      </c>
      <c r="G2967" s="50" t="s">
        <v>89</v>
      </c>
      <c r="H2967" s="51">
        <v>113</v>
      </c>
      <c r="J2967" s="51">
        <v>5.75</v>
      </c>
      <c r="K2967" s="74">
        <f>Tabela6[[#This Row],[CONSUMO]]*Tabela6[[#This Row],[VALOR UNIT]]-Tabela6[[#This Row],[DESCONTO]]</f>
        <v>649.75</v>
      </c>
      <c r="L2967" s="53">
        <f>Tabela6[[#This Row],[CUSTO TOTAL]]/Tabela6[[#This Row],[CONSUMO]]</f>
        <v>5.75</v>
      </c>
      <c r="M2967" s="50">
        <f>Tabela6[[#This Row],[KM ATUAL]]-E2841</f>
        <v>-283346</v>
      </c>
      <c r="N2967" s="51" t="s">
        <v>388</v>
      </c>
    </row>
    <row r="2968" spans="1:14" x14ac:dyDescent="0.25">
      <c r="A2968" s="49">
        <v>8160</v>
      </c>
      <c r="B2968" s="78">
        <v>45239</v>
      </c>
      <c r="C2968" s="47" t="s">
        <v>72</v>
      </c>
      <c r="D2968" s="49" t="s">
        <v>299</v>
      </c>
      <c r="E2968" s="47">
        <v>424517</v>
      </c>
      <c r="G2968" s="50" t="s">
        <v>89</v>
      </c>
      <c r="H2968" s="51">
        <v>27</v>
      </c>
      <c r="J2968" s="51">
        <v>5.75</v>
      </c>
      <c r="K2968" s="74">
        <f>Tabela6[[#This Row],[CONSUMO]]*Tabela6[[#This Row],[VALOR UNIT]]-Tabela6[[#This Row],[DESCONTO]]</f>
        <v>155.25</v>
      </c>
      <c r="L2968" s="53">
        <f>Tabela6[[#This Row],[CUSTO TOTAL]]/Tabela6[[#This Row],[CONSUMO]]</f>
        <v>5.75</v>
      </c>
      <c r="M2968" s="50">
        <f>Tabela6[[#This Row],[KM ATUAL]]-E2951</f>
        <v>-92771</v>
      </c>
      <c r="N2968" s="51">
        <f>Tabela6[[#This Row],[KM Rodados ]]/Tabela6[[#This Row],[CONSUMO]]</f>
        <v>-3435.962962962963</v>
      </c>
    </row>
    <row r="2969" spans="1:14" x14ac:dyDescent="0.25">
      <c r="A2969" s="49">
        <v>8160</v>
      </c>
      <c r="B2969" s="78">
        <v>45239</v>
      </c>
      <c r="C2969" s="47" t="s">
        <v>73</v>
      </c>
      <c r="D2969" s="49" t="s">
        <v>299</v>
      </c>
      <c r="E2969" s="119">
        <v>162154</v>
      </c>
      <c r="G2969" s="50" t="s">
        <v>89</v>
      </c>
      <c r="H2969" s="51">
        <v>107</v>
      </c>
      <c r="J2969" s="51">
        <v>5.75</v>
      </c>
      <c r="K2969" s="74">
        <f>Tabela6[[#This Row],[CONSUMO]]*Tabela6[[#This Row],[VALOR UNIT]]-Tabela6[[#This Row],[DESCONTO]]</f>
        <v>615.25</v>
      </c>
      <c r="L2969" s="53">
        <f>Tabela6[[#This Row],[CUSTO TOTAL]]/Tabela6[[#This Row],[CONSUMO]]</f>
        <v>5.75</v>
      </c>
      <c r="M2969" s="50">
        <f>Tabela6[[#This Row],[KM ATUAL]]-E2939</f>
        <v>-768860</v>
      </c>
      <c r="N2969" s="51">
        <f>Tabela6[[#This Row],[KM Rodados ]]/Tabela6[[#This Row],[CONSUMO]]</f>
        <v>-7185.6074766355141</v>
      </c>
    </row>
    <row r="2970" spans="1:14" x14ac:dyDescent="0.25">
      <c r="A2970" s="47">
        <v>624656</v>
      </c>
      <c r="B2970" s="78">
        <v>45239</v>
      </c>
      <c r="C2970" s="47" t="s">
        <v>301</v>
      </c>
      <c r="D2970" s="49" t="s">
        <v>275</v>
      </c>
      <c r="E2970" s="47">
        <v>1059809</v>
      </c>
      <c r="G2970" s="50" t="s">
        <v>89</v>
      </c>
      <c r="H2970" s="51">
        <v>136</v>
      </c>
      <c r="J2970" s="51">
        <v>6.32</v>
      </c>
      <c r="K2970" s="74">
        <f>Tabela6[[#This Row],[CONSUMO]]*Tabela6[[#This Row],[VALOR UNIT]]-Tabela6[[#This Row],[DESCONTO]]</f>
        <v>859.52</v>
      </c>
      <c r="L2970" s="53">
        <f>Tabela6[[#This Row],[CUSTO TOTAL]]/Tabela6[[#This Row],[CONSUMO]]</f>
        <v>6.32</v>
      </c>
      <c r="M2970" s="50">
        <f>Tabela6[[#This Row],[KM ATUAL]]-E2897</f>
        <v>959362</v>
      </c>
      <c r="N2970" s="51">
        <f>Tabela6[[#This Row],[KM Rodados ]]/Tabela6[[#This Row],[CONSUMO]]</f>
        <v>7054.1323529411766</v>
      </c>
    </row>
    <row r="2971" spans="1:14" x14ac:dyDescent="0.25">
      <c r="A2971" s="47">
        <v>101499</v>
      </c>
      <c r="B2971" s="78">
        <v>45239</v>
      </c>
      <c r="C2971" s="47" t="s">
        <v>206</v>
      </c>
      <c r="D2971" s="49" t="s">
        <v>279</v>
      </c>
      <c r="E2971" s="47">
        <v>978425</v>
      </c>
      <c r="G2971" s="50" t="s">
        <v>241</v>
      </c>
      <c r="H2971" s="51">
        <v>36.78</v>
      </c>
      <c r="J2971" s="51">
        <v>2.99</v>
      </c>
      <c r="K2971" s="74">
        <f>Tabela6[[#This Row],[CONSUMO]]*Tabela6[[#This Row],[VALOR UNIT]]-Tabela6[[#This Row],[DESCONTO]]</f>
        <v>109.97220000000002</v>
      </c>
      <c r="L2971" s="53">
        <f>Tabela6[[#This Row],[CUSTO TOTAL]]/Tabela6[[#This Row],[CONSUMO]]</f>
        <v>2.99</v>
      </c>
      <c r="M2971" s="50"/>
    </row>
    <row r="2972" spans="1:14" x14ac:dyDescent="0.25">
      <c r="A2972" s="47">
        <v>101498</v>
      </c>
      <c r="B2972" s="78">
        <v>45239</v>
      </c>
      <c r="C2972" s="47" t="s">
        <v>206</v>
      </c>
      <c r="D2972" s="49" t="s">
        <v>279</v>
      </c>
      <c r="E2972" s="47">
        <v>978425</v>
      </c>
      <c r="G2972" s="50" t="s">
        <v>89</v>
      </c>
      <c r="H2972" s="51">
        <v>303.11</v>
      </c>
      <c r="J2972" s="51">
        <v>5.99</v>
      </c>
      <c r="K2972" s="74">
        <f>Tabela6[[#This Row],[CONSUMO]]*Tabela6[[#This Row],[VALOR UNIT]]-Tabela6[[#This Row],[DESCONTO]]</f>
        <v>1815.6289000000002</v>
      </c>
      <c r="L2972" s="53">
        <f>Tabela6[[#This Row],[CUSTO TOTAL]]/Tabela6[[#This Row],[CONSUMO]]</f>
        <v>5.99</v>
      </c>
      <c r="M2972" s="50">
        <f>Tabela6[[#This Row],[KM ATUAL]]-E2924</f>
        <v>346095</v>
      </c>
      <c r="N2972" s="51">
        <f>Tabela6[[#This Row],[KM Rodados ]]/Tabela6[[#This Row],[CONSUMO]]</f>
        <v>1141.8132031275775</v>
      </c>
    </row>
    <row r="2973" spans="1:14" x14ac:dyDescent="0.25">
      <c r="A2973" s="47">
        <v>21811</v>
      </c>
      <c r="B2973" s="78">
        <v>45239</v>
      </c>
      <c r="C2973" s="47" t="s">
        <v>13</v>
      </c>
      <c r="D2973" s="49" t="s">
        <v>247</v>
      </c>
      <c r="E2973" s="47">
        <v>661994</v>
      </c>
      <c r="G2973" s="50" t="s">
        <v>89</v>
      </c>
      <c r="H2973" s="51">
        <v>142.09</v>
      </c>
      <c r="J2973" s="51">
        <v>6.29</v>
      </c>
      <c r="K2973" s="74">
        <f>Tabela6[[#This Row],[CONSUMO]]*Tabela6[[#This Row],[VALOR UNIT]]-Tabela6[[#This Row],[DESCONTO]]</f>
        <v>893.74610000000007</v>
      </c>
      <c r="L2973" s="53">
        <f>Tabela6[[#This Row],[CUSTO TOTAL]]/Tabela6[[#This Row],[CONSUMO]]</f>
        <v>6.29</v>
      </c>
      <c r="M2973" s="50">
        <f>Tabela6[[#This Row],[KM ATUAL]]-E2959</f>
        <v>326727</v>
      </c>
      <c r="N2973" s="51">
        <f>Tabela6[[#This Row],[KM Rodados ]]/Tabela6[[#This Row],[CONSUMO]]</f>
        <v>2299.4369765641495</v>
      </c>
    </row>
    <row r="2974" spans="1:14" x14ac:dyDescent="0.25">
      <c r="A2974" s="47">
        <v>21811</v>
      </c>
      <c r="B2974" s="78">
        <v>45239</v>
      </c>
      <c r="C2974" s="47" t="s">
        <v>13</v>
      </c>
      <c r="D2974" s="49" t="s">
        <v>247</v>
      </c>
      <c r="E2974" s="47">
        <v>661994</v>
      </c>
      <c r="G2974" s="50" t="s">
        <v>241</v>
      </c>
      <c r="H2974" s="51">
        <v>17</v>
      </c>
      <c r="J2974" s="51">
        <v>3.19</v>
      </c>
      <c r="K2974" s="74">
        <f>Tabela6[[#This Row],[CONSUMO]]*Tabela6[[#This Row],[VALOR UNIT]]-Tabela6[[#This Row],[DESCONTO]]</f>
        <v>54.23</v>
      </c>
      <c r="L2974" s="53">
        <f>Tabela6[[#This Row],[CUSTO TOTAL]]/Tabela6[[#This Row],[CONSUMO]]</f>
        <v>3.19</v>
      </c>
      <c r="M2974" s="50"/>
    </row>
    <row r="2975" spans="1:14" x14ac:dyDescent="0.25">
      <c r="A2975" s="47">
        <v>347453</v>
      </c>
      <c r="B2975" s="78">
        <v>45239</v>
      </c>
      <c r="C2975" s="47" t="s">
        <v>19</v>
      </c>
      <c r="D2975" s="49" t="s">
        <v>276</v>
      </c>
      <c r="E2975" s="47">
        <v>337687</v>
      </c>
      <c r="G2975" s="50" t="s">
        <v>241</v>
      </c>
      <c r="H2975" s="51">
        <v>21.4</v>
      </c>
      <c r="J2975" s="51">
        <v>3.69</v>
      </c>
      <c r="K2975" s="74">
        <f>Tabela6[[#This Row],[CONSUMO]]*Tabela6[[#This Row],[VALOR UNIT]]-Tabela6[[#This Row],[DESCONTO]]</f>
        <v>78.965999999999994</v>
      </c>
      <c r="L2975" s="53">
        <f>Tabela6[[#This Row],[CUSTO TOTAL]]/Tabela6[[#This Row],[CONSUMO]]</f>
        <v>3.69</v>
      </c>
      <c r="M2975" s="50"/>
    </row>
    <row r="2976" spans="1:14" x14ac:dyDescent="0.25">
      <c r="A2976" s="49">
        <v>8160</v>
      </c>
      <c r="B2976" s="78">
        <v>45239</v>
      </c>
      <c r="C2976" s="47" t="s">
        <v>19</v>
      </c>
      <c r="D2976" s="49" t="s">
        <v>299</v>
      </c>
      <c r="E2976" s="47">
        <v>337690</v>
      </c>
      <c r="G2976" s="50" t="s">
        <v>89</v>
      </c>
      <c r="H2976" s="51">
        <v>203</v>
      </c>
      <c r="J2976" s="51">
        <v>5.75</v>
      </c>
      <c r="K2976" s="74">
        <f>Tabela6[[#This Row],[CONSUMO]]*Tabela6[[#This Row],[VALOR UNIT]]-Tabela6[[#This Row],[DESCONTO]]</f>
        <v>1167.25</v>
      </c>
      <c r="L2976" s="53">
        <f>Tabela6[[#This Row],[CUSTO TOTAL]]/Tabela6[[#This Row],[CONSUMO]]</f>
        <v>5.75</v>
      </c>
      <c r="M2976" s="50">
        <f>Tabela6[[#This Row],[KM ATUAL]]-E2919</f>
        <v>84383</v>
      </c>
      <c r="N2976" s="51">
        <f>Tabela6[[#This Row],[KM Rodados ]]/Tabela6[[#This Row],[CONSUMO]]</f>
        <v>415.67980295566502</v>
      </c>
    </row>
    <row r="2977" spans="1:14" x14ac:dyDescent="0.25">
      <c r="A2977" s="49">
        <v>8160</v>
      </c>
      <c r="B2977" s="78">
        <v>45239</v>
      </c>
      <c r="C2977" s="47" t="s">
        <v>23</v>
      </c>
      <c r="D2977" s="49" t="s">
        <v>299</v>
      </c>
      <c r="E2977" s="47">
        <v>254180</v>
      </c>
      <c r="G2977" s="50" t="s">
        <v>89</v>
      </c>
      <c r="H2977" s="51">
        <v>50</v>
      </c>
      <c r="J2977" s="51">
        <v>5.75</v>
      </c>
      <c r="K2977" s="74">
        <f>Tabela6[[#This Row],[CONSUMO]]*Tabela6[[#This Row],[VALOR UNIT]]-Tabela6[[#This Row],[DESCONTO]]</f>
        <v>287.5</v>
      </c>
      <c r="L2977" s="53">
        <f>Tabela6[[#This Row],[CUSTO TOTAL]]/Tabela6[[#This Row],[CONSUMO]]</f>
        <v>5.75</v>
      </c>
      <c r="M2977" s="50">
        <f>Tabela6[[#This Row],[KM ATUAL]]-E2912</f>
        <v>-377835</v>
      </c>
      <c r="N2977" s="51">
        <f>Tabela6[[#This Row],[KM Rodados ]]/Tabela6[[#This Row],[CONSUMO]]</f>
        <v>-7556.7</v>
      </c>
    </row>
    <row r="2978" spans="1:14" x14ac:dyDescent="0.25">
      <c r="A2978" s="49">
        <v>8160</v>
      </c>
      <c r="B2978" s="78">
        <v>45240</v>
      </c>
      <c r="C2978" s="47" t="s">
        <v>68</v>
      </c>
      <c r="D2978" s="49" t="s">
        <v>299</v>
      </c>
      <c r="E2978" s="47">
        <v>931827</v>
      </c>
      <c r="G2978" s="50" t="s">
        <v>89</v>
      </c>
      <c r="H2978" s="51">
        <v>306</v>
      </c>
      <c r="J2978" s="51">
        <v>5.75</v>
      </c>
      <c r="K2978" s="74">
        <f>Tabela6[[#This Row],[CONSUMO]]*Tabela6[[#This Row],[VALOR UNIT]]-Tabela6[[#This Row],[DESCONTO]]</f>
        <v>1759.5</v>
      </c>
      <c r="L2978" s="53">
        <f>Tabela6[[#This Row],[CUSTO TOTAL]]/Tabela6[[#This Row],[CONSUMO]]</f>
        <v>5.75</v>
      </c>
      <c r="M2978" s="50">
        <f>Tabela6[[#This Row],[KM ATUAL]]-E2939</f>
        <v>813</v>
      </c>
      <c r="N2978" s="51">
        <f>Tabela6[[#This Row],[KM Rodados ]]/Tabela6[[#This Row],[CONSUMO]]</f>
        <v>2.6568627450980391</v>
      </c>
    </row>
    <row r="2979" spans="1:14" x14ac:dyDescent="0.25">
      <c r="A2979" s="47">
        <v>171751</v>
      </c>
      <c r="B2979" s="78">
        <v>45240</v>
      </c>
      <c r="C2979" s="47" t="s">
        <v>43</v>
      </c>
      <c r="D2979" s="49" t="s">
        <v>263</v>
      </c>
      <c r="E2979" s="47">
        <v>158772</v>
      </c>
      <c r="G2979" s="50" t="s">
        <v>89</v>
      </c>
      <c r="H2979" s="51">
        <v>25.61</v>
      </c>
      <c r="J2979" s="51">
        <v>6.15</v>
      </c>
      <c r="K2979" s="74">
        <f>Tabela6[[#This Row],[CONSUMO]]*Tabela6[[#This Row],[VALOR UNIT]]-Tabela6[[#This Row],[DESCONTO]]</f>
        <v>157.50149999999999</v>
      </c>
      <c r="L2979" s="53">
        <f>Tabela6[[#This Row],[CUSTO TOTAL]]/Tabela6[[#This Row],[CONSUMO]]</f>
        <v>6.1499999999999995</v>
      </c>
      <c r="M2979" s="50">
        <f>Tabela6[[#This Row],[KM ATUAL]]-E2962</f>
        <v>152644</v>
      </c>
      <c r="N2979" s="51">
        <f>Tabela6[[#This Row],[KM Rodados ]]/Tabela6[[#This Row],[CONSUMO]]</f>
        <v>5960.3279968762199</v>
      </c>
    </row>
    <row r="2980" spans="1:14" x14ac:dyDescent="0.25">
      <c r="A2980" s="47">
        <v>81101</v>
      </c>
      <c r="B2980" s="78">
        <v>45240</v>
      </c>
      <c r="C2980" s="47" t="s">
        <v>43</v>
      </c>
      <c r="D2980" s="49" t="s">
        <v>300</v>
      </c>
      <c r="E2980" s="47">
        <v>159120</v>
      </c>
      <c r="G2980" s="50" t="s">
        <v>89</v>
      </c>
      <c r="H2980" s="51">
        <v>22.78</v>
      </c>
      <c r="J2980" s="51">
        <v>6.09</v>
      </c>
      <c r="K2980" s="74">
        <f>Tabela6[[#This Row],[CONSUMO]]*Tabela6[[#This Row],[VALOR UNIT]]-Tabela6[[#This Row],[DESCONTO]]</f>
        <v>138.7302</v>
      </c>
      <c r="L2980" s="53">
        <f>Tabela6[[#This Row],[CUSTO TOTAL]]/Tabela6[[#This Row],[CONSUMO]]</f>
        <v>6.09</v>
      </c>
      <c r="M2980" s="50">
        <f>Tabela6[[#This Row],[KM ATUAL]]-E2978</f>
        <v>-772707</v>
      </c>
      <c r="N2980" s="51">
        <f>Tabela6[[#This Row],[KM Rodados ]]/Tabela6[[#This Row],[CONSUMO]]</f>
        <v>-33920.412642669005</v>
      </c>
    </row>
    <row r="2981" spans="1:14" x14ac:dyDescent="0.25">
      <c r="A2981" s="47">
        <v>352493</v>
      </c>
      <c r="B2981" s="78">
        <v>45240</v>
      </c>
      <c r="C2981" s="47" t="s">
        <v>222</v>
      </c>
      <c r="D2981" s="49" t="s">
        <v>345</v>
      </c>
      <c r="E2981" s="47">
        <v>517971</v>
      </c>
      <c r="G2981" s="50" t="s">
        <v>89</v>
      </c>
      <c r="H2981" s="51">
        <v>100</v>
      </c>
      <c r="J2981" s="51">
        <v>5.83</v>
      </c>
      <c r="K2981" s="74">
        <f>Tabela6[[#This Row],[CONSUMO]]*Tabela6[[#This Row],[VALOR UNIT]]-Tabela6[[#This Row],[DESCONTO]]</f>
        <v>583</v>
      </c>
      <c r="L2981" s="53">
        <f>Tabela6[[#This Row],[CUSTO TOTAL]]/Tabela6[[#This Row],[CONSUMO]]</f>
        <v>5.83</v>
      </c>
      <c r="M2981" s="50">
        <f>Tabela6[[#This Row],[KM ATUAL]]-E2955</f>
        <v>415947</v>
      </c>
      <c r="N2981" s="51">
        <f>Tabela6[[#This Row],[KM Rodados ]]/Tabela6[[#This Row],[CONSUMO]]</f>
        <v>4159.47</v>
      </c>
    </row>
    <row r="2982" spans="1:14" x14ac:dyDescent="0.25">
      <c r="A2982" s="47">
        <v>679179</v>
      </c>
      <c r="B2982" s="78">
        <v>45240</v>
      </c>
      <c r="C2982" s="47" t="s">
        <v>222</v>
      </c>
      <c r="D2982" s="49" t="s">
        <v>363</v>
      </c>
      <c r="E2982" s="47">
        <v>518320</v>
      </c>
      <c r="G2982" s="50" t="s">
        <v>89</v>
      </c>
      <c r="H2982" s="51">
        <v>367</v>
      </c>
      <c r="J2982" s="51">
        <v>5.62</v>
      </c>
      <c r="K2982" s="74">
        <f>Tabela6[[#This Row],[CONSUMO]]*Tabela6[[#This Row],[VALOR UNIT]]-Tabela6[[#This Row],[DESCONTO]]</f>
        <v>2062.54</v>
      </c>
      <c r="L2982" s="53">
        <f>Tabela6[[#This Row],[CUSTO TOTAL]]/Tabela6[[#This Row],[CONSUMO]]</f>
        <v>5.62</v>
      </c>
      <c r="M2982" s="50">
        <f>Tabela6[[#This Row],[KM ATUAL]]-E2976</f>
        <v>180630</v>
      </c>
      <c r="N2982" s="51">
        <f>Tabela6[[#This Row],[KM Rodados ]]/Tabela6[[#This Row],[CONSUMO]]</f>
        <v>492.1798365122616</v>
      </c>
    </row>
    <row r="2983" spans="1:14" x14ac:dyDescent="0.25">
      <c r="A2983" s="47">
        <v>679180</v>
      </c>
      <c r="B2983" s="78">
        <v>45240</v>
      </c>
      <c r="C2983" s="47" t="s">
        <v>222</v>
      </c>
      <c r="D2983" s="49" t="s">
        <v>363</v>
      </c>
      <c r="E2983" s="47">
        <v>518320</v>
      </c>
      <c r="G2983" s="50" t="s">
        <v>241</v>
      </c>
      <c r="H2983" s="51">
        <v>43.101999999999997</v>
      </c>
      <c r="J2983" s="51">
        <v>2.99</v>
      </c>
      <c r="K2983" s="74">
        <f>Tabela6[[#This Row],[CONSUMO]]*Tabela6[[#This Row],[VALOR UNIT]]-Tabela6[[#This Row],[DESCONTO]]</f>
        <v>128.87497999999999</v>
      </c>
      <c r="L2983" s="53">
        <f>Tabela6[[#This Row],[CUSTO TOTAL]]/Tabela6[[#This Row],[CONSUMO]]</f>
        <v>2.99</v>
      </c>
      <c r="M2983" s="50"/>
      <c r="N2983" s="49"/>
    </row>
    <row r="2984" spans="1:14" x14ac:dyDescent="0.25">
      <c r="A2984" s="49">
        <v>8160</v>
      </c>
      <c r="B2984" s="78">
        <v>45240</v>
      </c>
      <c r="C2984" s="47" t="s">
        <v>67</v>
      </c>
      <c r="D2984" s="49" t="s">
        <v>299</v>
      </c>
      <c r="E2984" s="47">
        <v>688616</v>
      </c>
      <c r="G2984" s="50" t="s">
        <v>89</v>
      </c>
      <c r="H2984" s="51">
        <v>104</v>
      </c>
      <c r="J2984" s="51">
        <v>5.75</v>
      </c>
      <c r="K2984" s="74">
        <f>Tabela6[[#This Row],[CONSUMO]]*Tabela6[[#This Row],[VALOR UNIT]]-Tabela6[[#This Row],[DESCONTO]]</f>
        <v>598</v>
      </c>
      <c r="L2984" s="53">
        <f>Tabela6[[#This Row],[CUSTO TOTAL]]/Tabela6[[#This Row],[CONSUMO]]</f>
        <v>5.75</v>
      </c>
      <c r="M2984" s="50">
        <f>Tabela6[[#This Row],[KM ATUAL]]-E2968</f>
        <v>264099</v>
      </c>
      <c r="N2984" s="51">
        <f>Tabela6[[#This Row],[KM Rodados ]]/Tabela6[[#This Row],[CONSUMO]]</f>
        <v>2539.4134615384614</v>
      </c>
    </row>
    <row r="2985" spans="1:14" x14ac:dyDescent="0.25">
      <c r="A2985" s="49">
        <v>8160</v>
      </c>
      <c r="B2985" s="78">
        <v>45240</v>
      </c>
      <c r="C2985" s="47" t="s">
        <v>22</v>
      </c>
      <c r="D2985" s="49" t="s">
        <v>299</v>
      </c>
      <c r="E2985" s="47">
        <v>341726</v>
      </c>
      <c r="G2985" s="50" t="s">
        <v>89</v>
      </c>
      <c r="H2985" s="51">
        <v>103</v>
      </c>
      <c r="J2985" s="51">
        <v>5.75</v>
      </c>
      <c r="K2985" s="74">
        <f>Tabela6[[#This Row],[CONSUMO]]*Tabela6[[#This Row],[VALOR UNIT]]-Tabela6[[#This Row],[DESCONTO]]</f>
        <v>592.25</v>
      </c>
      <c r="L2985" s="53">
        <f>Tabela6[[#This Row],[CUSTO TOTAL]]/Tabela6[[#This Row],[CONSUMO]]</f>
        <v>5.75</v>
      </c>
      <c r="M2985" s="50">
        <f>Tabela6[[#This Row],[KM ATUAL]]-E2951</f>
        <v>-175562</v>
      </c>
      <c r="N2985" s="51">
        <f>Tabela6[[#This Row],[KM Rodados ]]/Tabela6[[#This Row],[CONSUMO]]</f>
        <v>-1704.485436893204</v>
      </c>
    </row>
    <row r="2986" spans="1:14" x14ac:dyDescent="0.25">
      <c r="A2986" s="47">
        <v>219867</v>
      </c>
      <c r="B2986" s="78">
        <v>45240</v>
      </c>
      <c r="C2986" s="47" t="s">
        <v>203</v>
      </c>
      <c r="D2986" s="49" t="s">
        <v>262</v>
      </c>
      <c r="E2986" s="47">
        <v>120598</v>
      </c>
      <c r="G2986" s="50" t="s">
        <v>244</v>
      </c>
      <c r="H2986" s="51">
        <v>47.621000000000002</v>
      </c>
      <c r="J2986" s="51">
        <v>5.59</v>
      </c>
      <c r="K2986" s="74">
        <f>Tabela6[[#This Row],[CONSUMO]]*Tabela6[[#This Row],[VALOR UNIT]]-Tabela6[[#This Row],[DESCONTO]]</f>
        <v>266.20139</v>
      </c>
      <c r="L2986" s="53">
        <f>Tabela6[[#This Row],[CUSTO TOTAL]]/Tabela6[[#This Row],[CONSUMO]]</f>
        <v>5.59</v>
      </c>
      <c r="M2986" s="50">
        <f>Tabela6[[#This Row],[KM ATUAL]]-E2922</f>
        <v>-37381</v>
      </c>
      <c r="N2986" s="51">
        <f>Tabela6[[#This Row],[KM Rodados ]]/Tabela6[[#This Row],[CONSUMO]]</f>
        <v>-784.96881627853259</v>
      </c>
    </row>
    <row r="2987" spans="1:14" x14ac:dyDescent="0.25">
      <c r="A2987" s="49">
        <v>8160</v>
      </c>
      <c r="B2987" s="78">
        <v>45240</v>
      </c>
      <c r="C2987" s="47" t="s">
        <v>72</v>
      </c>
      <c r="D2987" s="49" t="s">
        <v>299</v>
      </c>
      <c r="E2987" s="47">
        <v>424861</v>
      </c>
      <c r="G2987" s="50" t="s">
        <v>89</v>
      </c>
      <c r="H2987" s="51">
        <v>47</v>
      </c>
      <c r="J2987" s="51">
        <v>5.75</v>
      </c>
      <c r="K2987" s="74">
        <f>Tabela6[[#This Row],[CONSUMO]]*Tabela6[[#This Row],[VALOR UNIT]]-Tabela6[[#This Row],[DESCONTO]]</f>
        <v>270.25</v>
      </c>
      <c r="L2987" s="53">
        <f>Tabela6[[#This Row],[CUSTO TOTAL]]/Tabela6[[#This Row],[CONSUMO]]</f>
        <v>5.75</v>
      </c>
      <c r="M2987" s="50">
        <f>Tabela6[[#This Row],[KM ATUAL]]-E2979</f>
        <v>266089</v>
      </c>
      <c r="N2987" s="51">
        <f>Tabela6[[#This Row],[KM Rodados ]]/Tabela6[[#This Row],[CONSUMO]]</f>
        <v>5661.4680851063831</v>
      </c>
    </row>
    <row r="2988" spans="1:14" x14ac:dyDescent="0.25">
      <c r="A2988" s="47">
        <v>85244</v>
      </c>
      <c r="B2988" s="78">
        <v>45240</v>
      </c>
      <c r="C2988" s="47" t="s">
        <v>64</v>
      </c>
      <c r="D2988" s="49" t="s">
        <v>253</v>
      </c>
      <c r="E2988" s="47">
        <v>102506</v>
      </c>
      <c r="G2988" s="50" t="s">
        <v>89</v>
      </c>
      <c r="H2988" s="51">
        <v>138.91999999999999</v>
      </c>
      <c r="J2988" s="51">
        <v>6.29</v>
      </c>
      <c r="K2988" s="74">
        <f>Tabela6[[#This Row],[CONSUMO]]*Tabela6[[#This Row],[VALOR UNIT]]-Tabela6[[#This Row],[DESCONTO]]</f>
        <v>873.80679999999995</v>
      </c>
      <c r="L2988" s="53">
        <f>Tabela6[[#This Row],[CUSTO TOTAL]]/Tabela6[[#This Row],[CONSUMO]]</f>
        <v>6.29</v>
      </c>
      <c r="M2988" s="50">
        <f>Tabela6[[#This Row],[KM ATUAL]]-E2950</f>
        <v>-273726</v>
      </c>
      <c r="N2988" s="51">
        <f>Tabela6[[#This Row],[KM Rodados ]]/Tabela6[[#This Row],[CONSUMO]]</f>
        <v>-1970.3858335732798</v>
      </c>
    </row>
    <row r="2989" spans="1:14" x14ac:dyDescent="0.25">
      <c r="A2989" s="49">
        <v>8160</v>
      </c>
      <c r="B2989" s="78">
        <v>45240</v>
      </c>
      <c r="C2989" s="47" t="s">
        <v>41</v>
      </c>
      <c r="D2989" s="49" t="s">
        <v>299</v>
      </c>
      <c r="E2989" s="47">
        <v>683627</v>
      </c>
      <c r="G2989" s="50" t="s">
        <v>89</v>
      </c>
      <c r="H2989" s="51">
        <v>157</v>
      </c>
      <c r="J2989" s="51">
        <v>5.75</v>
      </c>
      <c r="K2989" s="74">
        <f>Tabela6[[#This Row],[CONSUMO]]*Tabela6[[#This Row],[VALOR UNIT]]-Tabela6[[#This Row],[DESCONTO]]</f>
        <v>902.75</v>
      </c>
      <c r="L2989" s="53">
        <f>Tabela6[[#This Row],[CUSTO TOTAL]]/Tabela6[[#This Row],[CONSUMO]]</f>
        <v>5.75</v>
      </c>
      <c r="M2989" s="50">
        <f>Tabela6[[#This Row],[KM ATUAL]]-E2935</f>
        <v>305719</v>
      </c>
      <c r="N2989" s="51">
        <f>Tabela6[[#This Row],[KM Rodados ]]/Tabela6[[#This Row],[CONSUMO]]</f>
        <v>1947.2547770700637</v>
      </c>
    </row>
    <row r="2990" spans="1:14" x14ac:dyDescent="0.25">
      <c r="A2990" s="49">
        <v>8160</v>
      </c>
      <c r="B2990" s="78">
        <v>45240</v>
      </c>
      <c r="C2990" s="47" t="s">
        <v>10</v>
      </c>
      <c r="D2990" s="49" t="s">
        <v>299</v>
      </c>
      <c r="E2990" s="47">
        <v>731953</v>
      </c>
      <c r="G2990" s="50" t="s">
        <v>89</v>
      </c>
      <c r="H2990" s="51">
        <v>191</v>
      </c>
      <c r="J2990" s="51">
        <v>5.75</v>
      </c>
      <c r="K2990" s="74">
        <f>Tabela6[[#This Row],[CONSUMO]]*Tabela6[[#This Row],[VALOR UNIT]]-Tabela6[[#This Row],[DESCONTO]]</f>
        <v>1098.25</v>
      </c>
      <c r="L2990" s="53">
        <f>Tabela6[[#This Row],[CUSTO TOTAL]]/Tabela6[[#This Row],[CONSUMO]]</f>
        <v>5.75</v>
      </c>
      <c r="M2990" s="50">
        <f>Tabela6[[#This Row],[KM ATUAL]]-E2748</f>
        <v>-194574</v>
      </c>
      <c r="N2990" s="51">
        <f>Tabela6[[#This Row],[KM Rodados ]]/Tabela6[[#This Row],[CONSUMO]]</f>
        <v>-1018.7120418848167</v>
      </c>
    </row>
    <row r="2991" spans="1:14" x14ac:dyDescent="0.25">
      <c r="A2991" s="47">
        <v>8160</v>
      </c>
      <c r="B2991" s="78">
        <v>45240</v>
      </c>
      <c r="C2991" s="47" t="s">
        <v>301</v>
      </c>
      <c r="D2991" s="49" t="s">
        <v>299</v>
      </c>
      <c r="E2991" s="47">
        <v>1060162</v>
      </c>
      <c r="G2991" s="50" t="s">
        <v>89</v>
      </c>
      <c r="H2991" s="51">
        <v>420.01</v>
      </c>
      <c r="J2991" s="51">
        <v>5.75</v>
      </c>
      <c r="K2991" s="74">
        <f>Tabela6[[#This Row],[CONSUMO]]*Tabela6[[#This Row],[VALOR UNIT]]-Tabela6[[#This Row],[DESCONTO]]</f>
        <v>2415.0574999999999</v>
      </c>
      <c r="L2991" s="53">
        <f>Tabela6[[#This Row],[CUSTO TOTAL]]/Tabela6[[#This Row],[CONSUMO]]</f>
        <v>5.75</v>
      </c>
      <c r="M2991" s="50">
        <f>Tabela6[[#This Row],[KM ATUAL]]-E2957</f>
        <v>662935</v>
      </c>
      <c r="N2991" s="92">
        <f>Tabela6[[#This Row],[KM Rodados ]]/Tabela6[[#This Row],[CONSUMO]]</f>
        <v>1578.379086212233</v>
      </c>
    </row>
    <row r="2992" spans="1:14" x14ac:dyDescent="0.25">
      <c r="A2992" s="49">
        <v>8255</v>
      </c>
      <c r="B2992" s="78">
        <v>45240</v>
      </c>
      <c r="C2992" s="47" t="s">
        <v>13</v>
      </c>
      <c r="D2992" s="49" t="s">
        <v>299</v>
      </c>
      <c r="E2992" s="47">
        <v>662191</v>
      </c>
      <c r="G2992" s="50" t="s">
        <v>89</v>
      </c>
      <c r="H2992" s="51">
        <v>40</v>
      </c>
      <c r="J2992" s="51">
        <v>5.72</v>
      </c>
      <c r="K2992" s="74">
        <f>Tabela6[[#This Row],[CONSUMO]]*Tabela6[[#This Row],[VALOR UNIT]]-Tabela6[[#This Row],[DESCONTO]]</f>
        <v>228.79999999999998</v>
      </c>
      <c r="L2992" s="53">
        <f>Tabela6[[#This Row],[CUSTO TOTAL]]/Tabela6[[#This Row],[CONSUMO]]</f>
        <v>5.72</v>
      </c>
      <c r="M2992" s="50">
        <f>Tabela6[[#This Row],[KM ATUAL]]-E2969</f>
        <v>500037</v>
      </c>
      <c r="N2992" s="51">
        <f>Tabela6[[#This Row],[KM Rodados ]]/Tabela6[[#This Row],[CONSUMO]]</f>
        <v>12500.924999999999</v>
      </c>
    </row>
    <row r="2993" spans="1:14" x14ac:dyDescent="0.25">
      <c r="A2993" s="49">
        <v>8160</v>
      </c>
      <c r="B2993" s="78">
        <v>45240</v>
      </c>
      <c r="C2993" s="47" t="s">
        <v>17</v>
      </c>
      <c r="D2993" s="49" t="s">
        <v>299</v>
      </c>
      <c r="E2993" s="47">
        <v>378809</v>
      </c>
      <c r="G2993" s="50" t="s">
        <v>89</v>
      </c>
      <c r="H2993" s="51">
        <v>91</v>
      </c>
      <c r="J2993" s="51">
        <v>5.75</v>
      </c>
      <c r="K2993" s="74">
        <f>Tabela6[[#This Row],[CONSUMO]]*Tabela6[[#This Row],[VALOR UNIT]]-Tabela6[[#This Row],[DESCONTO]]</f>
        <v>523.25</v>
      </c>
      <c r="L2993" s="53">
        <f>Tabela6[[#This Row],[CUSTO TOTAL]]/Tabela6[[#This Row],[CONSUMO]]</f>
        <v>5.75</v>
      </c>
      <c r="M2993" s="50">
        <f>Tabela6[[#This Row],[KM ATUAL]]-E2961</f>
        <v>372681</v>
      </c>
      <c r="N2993" s="51">
        <f>Tabela6[[#This Row],[KM Rodados ]]/Tabela6[[#This Row],[CONSUMO]]</f>
        <v>4095.3956043956046</v>
      </c>
    </row>
    <row r="2994" spans="1:14" x14ac:dyDescent="0.25">
      <c r="A2994" s="49">
        <v>8160</v>
      </c>
      <c r="B2994" s="78">
        <v>45240</v>
      </c>
      <c r="C2994" s="47" t="s">
        <v>19</v>
      </c>
      <c r="D2994" s="49" t="s">
        <v>299</v>
      </c>
      <c r="E2994" s="47">
        <v>338125</v>
      </c>
      <c r="G2994" s="50" t="s">
        <v>89</v>
      </c>
      <c r="H2994" s="51">
        <v>80</v>
      </c>
      <c r="J2994" s="51">
        <v>5.75</v>
      </c>
      <c r="K2994" s="74">
        <f>Tabela6[[#This Row],[CONSUMO]]*Tabela6[[#This Row],[VALOR UNIT]]-Tabela6[[#This Row],[DESCONTO]]</f>
        <v>460</v>
      </c>
      <c r="L2994" s="53">
        <f>Tabela6[[#This Row],[CUSTO TOTAL]]/Tabela6[[#This Row],[CONSUMO]]</f>
        <v>5.75</v>
      </c>
      <c r="M2994" s="50">
        <f>Tabela6[[#This Row],[KM ATUAL]]-E2985</f>
        <v>-3601</v>
      </c>
      <c r="N2994" s="51">
        <f>Tabela6[[#This Row],[KM Rodados ]]/Tabela6[[#This Row],[CONSUMO]]</f>
        <v>-45.012500000000003</v>
      </c>
    </row>
    <row r="2995" spans="1:14" x14ac:dyDescent="0.25">
      <c r="A2995" s="49">
        <v>8160</v>
      </c>
      <c r="B2995" s="78">
        <v>45240</v>
      </c>
      <c r="C2995" s="47" t="s">
        <v>20</v>
      </c>
      <c r="D2995" s="49" t="s">
        <v>299</v>
      </c>
      <c r="E2995" s="47">
        <v>279691</v>
      </c>
      <c r="G2995" s="50" t="s">
        <v>89</v>
      </c>
      <c r="H2995" s="51">
        <v>67</v>
      </c>
      <c r="J2995" s="51">
        <v>5.75</v>
      </c>
      <c r="K2995" s="74">
        <f>Tabela6[[#This Row],[CONSUMO]]*Tabela6[[#This Row],[VALOR UNIT]]-Tabela6[[#This Row],[DESCONTO]]</f>
        <v>385.25</v>
      </c>
      <c r="L2995" s="53">
        <f>Tabela6[[#This Row],[CUSTO TOTAL]]/Tabela6[[#This Row],[CONSUMO]]</f>
        <v>5.75</v>
      </c>
      <c r="M2995" s="50">
        <f>Tabela6[[#This Row],[KM ATUAL]]-E2920</f>
        <v>111905</v>
      </c>
      <c r="N2995" s="51">
        <f>Tabela6[[#This Row],[KM Rodados ]]/Tabela6[[#This Row],[CONSUMO]]</f>
        <v>1670.2238805970148</v>
      </c>
    </row>
    <row r="2996" spans="1:14" x14ac:dyDescent="0.25">
      <c r="A2996" s="47">
        <v>347888</v>
      </c>
      <c r="B2996" s="78">
        <v>45240</v>
      </c>
      <c r="C2996" s="47" t="s">
        <v>74</v>
      </c>
      <c r="D2996" s="49" t="s">
        <v>276</v>
      </c>
      <c r="E2996" s="47">
        <v>90141</v>
      </c>
      <c r="G2996" s="50" t="s">
        <v>89</v>
      </c>
      <c r="H2996" s="51">
        <v>74.188999999999993</v>
      </c>
      <c r="J2996" s="51">
        <v>6.39</v>
      </c>
      <c r="K2996" s="74">
        <f>Tabela6[[#This Row],[CONSUMO]]*Tabela6[[#This Row],[VALOR UNIT]]-Tabela6[[#This Row],[DESCONTO]]</f>
        <v>474.06770999999992</v>
      </c>
      <c r="L2996" s="53">
        <f>Tabela6[[#This Row],[CUSTO TOTAL]]/Tabela6[[#This Row],[CONSUMO]]</f>
        <v>6.39</v>
      </c>
      <c r="M2996" s="50">
        <f>Tabela6[[#This Row],[KM ATUAL]]-E2948</f>
        <v>-67955</v>
      </c>
      <c r="N2996" s="51">
        <f>Tabela6[[#This Row],[KM Rodados ]]/Tabela6[[#This Row],[CONSUMO]]</f>
        <v>-915.97137041879535</v>
      </c>
    </row>
    <row r="2997" spans="1:14" x14ac:dyDescent="0.25">
      <c r="A2997" s="47">
        <v>428024</v>
      </c>
      <c r="B2997" s="78">
        <v>45241</v>
      </c>
      <c r="C2997" s="47" t="s">
        <v>222</v>
      </c>
      <c r="D2997" s="49" t="s">
        <v>333</v>
      </c>
      <c r="E2997" s="47">
        <v>518632</v>
      </c>
      <c r="G2997" s="50" t="s">
        <v>89</v>
      </c>
      <c r="H2997" s="51">
        <v>154.04499999999999</v>
      </c>
      <c r="J2997" s="51">
        <v>5.83</v>
      </c>
      <c r="K2997" s="74">
        <f>Tabela6[[#This Row],[CONSUMO]]*Tabela6[[#This Row],[VALOR UNIT]]-Tabela6[[#This Row],[DESCONTO]]</f>
        <v>898.08234999999991</v>
      </c>
      <c r="L2997" s="53">
        <f>Tabela6[[#This Row],[CUSTO TOTAL]]/Tabela6[[#This Row],[CONSUMO]]</f>
        <v>5.83</v>
      </c>
      <c r="M2997" s="50">
        <f>Tabela6[[#This Row],[KM ATUAL]]-E2995</f>
        <v>238941</v>
      </c>
      <c r="N2997" s="51">
        <f>Tabela6[[#This Row],[KM Rodados ]]/Tabela6[[#This Row],[CONSUMO]]</f>
        <v>1551.1116881430753</v>
      </c>
    </row>
    <row r="2998" spans="1:14" x14ac:dyDescent="0.25">
      <c r="A2998" s="47">
        <v>142283</v>
      </c>
      <c r="B2998" s="78">
        <v>45241</v>
      </c>
      <c r="C2998" s="47" t="s">
        <v>222</v>
      </c>
      <c r="D2998" s="49" t="s">
        <v>362</v>
      </c>
      <c r="E2998" s="47">
        <v>519011</v>
      </c>
      <c r="G2998" s="50" t="s">
        <v>89</v>
      </c>
      <c r="H2998" s="51">
        <v>172.5</v>
      </c>
      <c r="J2998" s="51">
        <v>5.89</v>
      </c>
      <c r="K2998" s="74">
        <f>Tabela6[[#This Row],[CONSUMO]]*Tabela6[[#This Row],[VALOR UNIT]]-Tabela6[[#This Row],[DESCONTO]]</f>
        <v>1016.025</v>
      </c>
      <c r="L2998" s="53">
        <f>Tabela6[[#This Row],[CUSTO TOTAL]]/Tabela6[[#This Row],[CONSUMO]]</f>
        <v>5.89</v>
      </c>
      <c r="M2998" s="50">
        <f>Tabela6[[#This Row],[KM ATUAL]]-E2993</f>
        <v>140202</v>
      </c>
      <c r="N2998" s="51">
        <f>Tabela6[[#This Row],[KM Rodados ]]/Tabela6[[#This Row],[CONSUMO]]</f>
        <v>812.7652173913043</v>
      </c>
    </row>
    <row r="2999" spans="1:14" x14ac:dyDescent="0.25">
      <c r="A2999" s="47">
        <v>352716</v>
      </c>
      <c r="B2999" s="78">
        <v>45241</v>
      </c>
      <c r="C2999" s="47" t="s">
        <v>70</v>
      </c>
      <c r="D2999" s="49" t="s">
        <v>345</v>
      </c>
      <c r="E2999" s="47">
        <v>239780</v>
      </c>
      <c r="G2999" s="50" t="s">
        <v>89</v>
      </c>
      <c r="H2999" s="51">
        <v>100</v>
      </c>
      <c r="J2999" s="51">
        <v>5.83</v>
      </c>
      <c r="K2999" s="100">
        <f>Tabela6[[#This Row],[CONSUMO]]*Tabela6[[#This Row],[VALOR UNIT]]-Tabela6[[#This Row],[DESCONTO]]</f>
        <v>583</v>
      </c>
      <c r="L2999" s="53">
        <f>Tabela6[[#This Row],[CUSTO TOTAL]]/Tabela6[[#This Row],[CONSUMO]]</f>
        <v>5.83</v>
      </c>
      <c r="M2999" s="50">
        <f>Tabela6[[#This Row],[KM ATUAL]]-E2882</f>
        <v>83164</v>
      </c>
      <c r="N2999" s="51">
        <f>Tabela6[[#This Row],[KM Rodados ]]/Tabela6[[#This Row],[CONSUMO]]</f>
        <v>831.64</v>
      </c>
    </row>
    <row r="3000" spans="1:14" x14ac:dyDescent="0.25">
      <c r="A3000" s="47">
        <v>534511</v>
      </c>
      <c r="B3000" s="78">
        <v>45241</v>
      </c>
      <c r="C3000" s="47" t="s">
        <v>301</v>
      </c>
      <c r="D3000" s="49" t="s">
        <v>372</v>
      </c>
      <c r="E3000" s="47">
        <v>1060283</v>
      </c>
      <c r="G3000" s="50" t="s">
        <v>89</v>
      </c>
      <c r="H3000" s="51">
        <v>350</v>
      </c>
      <c r="I3000" s="49">
        <v>164.5</v>
      </c>
      <c r="J3000" s="51">
        <v>6.86</v>
      </c>
      <c r="K3000" s="74">
        <f>Tabela6[[#This Row],[CONSUMO]]*Tabela6[[#This Row],[VALOR UNIT]]-Tabela6[[#This Row],[DESCONTO]]</f>
        <v>2236.5</v>
      </c>
      <c r="L3000" s="53">
        <f>Tabela6[[#This Row],[CUSTO TOTAL]]/Tabela6[[#This Row],[CONSUMO]]</f>
        <v>6.39</v>
      </c>
      <c r="M3000" s="50">
        <f>Tabela6[[#This Row],[KM ATUAL]]-E2999</f>
        <v>820503</v>
      </c>
      <c r="N3000" s="51">
        <f>Tabela6[[#This Row],[KM Rodados ]]/Tabela6[[#This Row],[CONSUMO]]</f>
        <v>2344.2942857142857</v>
      </c>
    </row>
    <row r="3001" spans="1:14" x14ac:dyDescent="0.25">
      <c r="A3001" s="47">
        <v>1119021</v>
      </c>
      <c r="B3001" s="78">
        <v>45241</v>
      </c>
      <c r="C3001" s="47" t="s">
        <v>40</v>
      </c>
      <c r="D3001" s="49" t="s">
        <v>256</v>
      </c>
      <c r="E3001" s="47">
        <v>169628</v>
      </c>
      <c r="G3001" s="50" t="s">
        <v>244</v>
      </c>
      <c r="H3001" s="51">
        <v>28.760999999999999</v>
      </c>
      <c r="J3001" s="51">
        <v>5.39</v>
      </c>
      <c r="K3001" s="100">
        <f>Tabela6[[#This Row],[CONSUMO]]*Tabela6[[#This Row],[VALOR UNIT]]-Tabela6[[#This Row],[DESCONTO]]</f>
        <v>155.02178999999998</v>
      </c>
      <c r="L3001" s="53">
        <f>Tabela6[[#This Row],[CUSTO TOTAL]]/Tabela6[[#This Row],[CONSUMO]]</f>
        <v>5.39</v>
      </c>
      <c r="M3001" s="50">
        <f>Tabela6[[#This Row],[KM ATUAL]]-E2938</f>
        <v>-654950</v>
      </c>
      <c r="N3001" s="51">
        <f>Tabela6[[#This Row],[KM Rodados ]]/Tabela6[[#This Row],[CONSUMO]]</f>
        <v>-22772.156740029903</v>
      </c>
    </row>
    <row r="3002" spans="1:14" x14ac:dyDescent="0.25">
      <c r="A3002" s="47">
        <v>646722</v>
      </c>
      <c r="B3002" s="78">
        <v>45242</v>
      </c>
      <c r="C3002" s="47" t="s">
        <v>9</v>
      </c>
      <c r="D3002" s="49" t="s">
        <v>271</v>
      </c>
      <c r="E3002" s="47">
        <v>633420</v>
      </c>
      <c r="G3002" s="50" t="s">
        <v>89</v>
      </c>
      <c r="H3002" s="51">
        <v>139.28</v>
      </c>
      <c r="J3002" s="51">
        <v>6.09</v>
      </c>
      <c r="K3002" s="74">
        <f>Tabela6[[#This Row],[CONSUMO]]*Tabela6[[#This Row],[VALOR UNIT]]-Tabela6[[#This Row],[DESCONTO]]</f>
        <v>848.21519999999998</v>
      </c>
      <c r="L3002" s="53">
        <f>Tabela6[[#This Row],[CUSTO TOTAL]]/Tabela6[[#This Row],[CONSUMO]]</f>
        <v>6.09</v>
      </c>
      <c r="M3002" s="50">
        <f>Tabela6[[#This Row],[KM ATUAL]]-E2955</f>
        <v>531396</v>
      </c>
      <c r="N3002" s="51">
        <f>Tabela6[[#This Row],[KM Rodados ]]/Tabela6[[#This Row],[CONSUMO]]</f>
        <v>3815.3072946582424</v>
      </c>
    </row>
    <row r="3003" spans="1:14" x14ac:dyDescent="0.25">
      <c r="A3003" s="47">
        <v>212985</v>
      </c>
      <c r="B3003" s="78">
        <v>45242</v>
      </c>
      <c r="C3003" s="47" t="s">
        <v>301</v>
      </c>
      <c r="D3003" s="49" t="s">
        <v>374</v>
      </c>
      <c r="E3003" s="47">
        <v>1061072</v>
      </c>
      <c r="G3003" s="50" t="s">
        <v>89</v>
      </c>
      <c r="H3003" s="51">
        <v>287.76</v>
      </c>
      <c r="J3003" s="51">
        <v>5.95</v>
      </c>
      <c r="K3003" s="74">
        <f>Tabela6[[#This Row],[CONSUMO]]*Tabela6[[#This Row],[VALOR UNIT]]-Tabela6[[#This Row],[DESCONTO]]</f>
        <v>1712.172</v>
      </c>
      <c r="L3003" s="53">
        <f>Tabela6[[#This Row],[CUSTO TOTAL]]/Tabela6[[#This Row],[CONSUMO]]</f>
        <v>5.95</v>
      </c>
      <c r="M3003" s="50">
        <f>Tabela6[[#This Row],[KM ATUAL]]-E2997</f>
        <v>542440</v>
      </c>
      <c r="N3003" s="51">
        <f>Tabela6[[#This Row],[KM Rodados ]]/Tabela6[[#This Row],[CONSUMO]]</f>
        <v>1885.0430914651099</v>
      </c>
    </row>
    <row r="3004" spans="1:14" x14ac:dyDescent="0.25">
      <c r="A3004" s="47">
        <v>8255</v>
      </c>
      <c r="B3004" s="78">
        <v>45242</v>
      </c>
      <c r="C3004" s="47" t="s">
        <v>15</v>
      </c>
      <c r="D3004" s="49" t="s">
        <v>299</v>
      </c>
      <c r="E3004" s="47">
        <v>398144</v>
      </c>
      <c r="F3004" s="49" t="s">
        <v>89</v>
      </c>
      <c r="G3004" s="50" t="s">
        <v>89</v>
      </c>
      <c r="H3004" s="51">
        <v>56</v>
      </c>
      <c r="J3004" s="51">
        <v>5.72</v>
      </c>
      <c r="K3004" s="74">
        <f>Tabela6[[#This Row],[CONSUMO]]*Tabela6[[#This Row],[VALOR UNIT]]-Tabela6[[#This Row],[DESCONTO]]</f>
        <v>320.32</v>
      </c>
      <c r="L3004" s="53">
        <f>Tabela6[[#This Row],[CUSTO TOTAL]]/Tabela6[[#This Row],[CONSUMO]]</f>
        <v>5.72</v>
      </c>
      <c r="M3004" s="50">
        <f>Tabela6[[#This Row],[KM ATUAL]]-E2956</f>
        <v>-263164</v>
      </c>
      <c r="N3004" s="51">
        <f>Tabela6[[#This Row],[KM Rodados ]]/Tabela6[[#This Row],[CONSUMO]]</f>
        <v>-4699.3571428571431</v>
      </c>
    </row>
    <row r="3005" spans="1:14" x14ac:dyDescent="0.25">
      <c r="A3005" s="47">
        <v>220523</v>
      </c>
      <c r="B3005" s="78">
        <v>45243</v>
      </c>
      <c r="C3005" s="47" t="s">
        <v>43</v>
      </c>
      <c r="D3005" s="49" t="s">
        <v>262</v>
      </c>
      <c r="E3005" s="47">
        <v>159311</v>
      </c>
      <c r="G3005" s="50" t="s">
        <v>89</v>
      </c>
      <c r="H3005" s="51">
        <v>25.44</v>
      </c>
      <c r="J3005" s="51">
        <v>6.29</v>
      </c>
      <c r="K3005" s="74">
        <f>Tabela6[[#This Row],[CONSUMO]]*Tabela6[[#This Row],[VALOR UNIT]]-Tabela6[[#This Row],[DESCONTO]]</f>
        <v>160.01760000000002</v>
      </c>
      <c r="L3005" s="53">
        <f>Tabela6[[#This Row],[CUSTO TOTAL]]/Tabela6[[#This Row],[CONSUMO]]</f>
        <v>6.29</v>
      </c>
      <c r="M3005" s="50">
        <f>Tabela6[[#This Row],[KM ATUAL]]-E2984</f>
        <v>-529305</v>
      </c>
      <c r="N3005" s="51">
        <f>Tabela6[[#This Row],[KM Rodados ]]/Tabela6[[#This Row],[CONSUMO]]</f>
        <v>-20806.014150943396</v>
      </c>
    </row>
    <row r="3006" spans="1:14" x14ac:dyDescent="0.25">
      <c r="A3006" s="47">
        <v>160660</v>
      </c>
      <c r="B3006" s="78">
        <v>45243</v>
      </c>
      <c r="C3006" s="47" t="s">
        <v>222</v>
      </c>
      <c r="D3006" s="49" t="s">
        <v>364</v>
      </c>
      <c r="E3006" s="47">
        <v>519469</v>
      </c>
      <c r="G3006" s="50" t="s">
        <v>89</v>
      </c>
      <c r="H3006" s="51">
        <v>230</v>
      </c>
      <c r="J3006" s="51">
        <v>6.19</v>
      </c>
      <c r="K3006" s="74">
        <f>Tabela6[[#This Row],[CONSUMO]]*Tabela6[[#This Row],[VALOR UNIT]]-Tabela6[[#This Row],[DESCONTO]]</f>
        <v>1423.7</v>
      </c>
      <c r="L3006" s="53">
        <f>Tabela6[[#This Row],[CUSTO TOTAL]]/Tabela6[[#This Row],[CONSUMO]]</f>
        <v>6.19</v>
      </c>
      <c r="M3006" s="50">
        <f>Tabela6[[#This Row],[KM ATUAL]]-E2991</f>
        <v>-540693</v>
      </c>
      <c r="N3006" s="51">
        <f>Tabela6[[#This Row],[KM Rodados ]]/Tabela6[[#This Row],[CONSUMO]]</f>
        <v>-2350.8391304347824</v>
      </c>
    </row>
    <row r="3007" spans="1:14" x14ac:dyDescent="0.25">
      <c r="A3007" s="46">
        <v>160660</v>
      </c>
      <c r="B3007" s="78">
        <v>45243</v>
      </c>
      <c r="C3007" s="47" t="s">
        <v>222</v>
      </c>
      <c r="D3007" s="49" t="s">
        <v>364</v>
      </c>
      <c r="E3007" s="47">
        <v>519469</v>
      </c>
      <c r="G3007" s="50" t="s">
        <v>241</v>
      </c>
      <c r="H3007" s="51">
        <v>27.661999999999999</v>
      </c>
      <c r="J3007" s="51">
        <v>3.55</v>
      </c>
      <c r="K3007" s="74">
        <f>Tabela6[[#This Row],[CONSUMO]]*Tabela6[[#This Row],[VALOR UNIT]]-Tabela6[[#This Row],[DESCONTO]]</f>
        <v>98.200099999999992</v>
      </c>
      <c r="L3007" s="53">
        <f>Tabela6[[#This Row],[CUSTO TOTAL]]/Tabela6[[#This Row],[CONSUMO]]</f>
        <v>3.55</v>
      </c>
      <c r="M3007" s="50"/>
      <c r="N3007" s="49"/>
    </row>
    <row r="3008" spans="1:14" x14ac:dyDescent="0.25">
      <c r="A3008" s="47">
        <v>8255</v>
      </c>
      <c r="B3008" s="78">
        <v>45243</v>
      </c>
      <c r="C3008" s="47" t="s">
        <v>67</v>
      </c>
      <c r="D3008" s="49" t="s">
        <v>299</v>
      </c>
      <c r="E3008" s="47">
        <v>689052</v>
      </c>
      <c r="G3008" s="50" t="s">
        <v>89</v>
      </c>
      <c r="H3008" s="51">
        <v>95</v>
      </c>
      <c r="J3008" s="51">
        <v>5.72</v>
      </c>
      <c r="K3008" s="74">
        <f>Tabela6[[#This Row],[CONSUMO]]*Tabela6[[#This Row],[VALOR UNIT]]-Tabela6[[#This Row],[DESCONTO]]</f>
        <v>543.4</v>
      </c>
      <c r="L3008" s="53">
        <f>Tabela6[[#This Row],[CUSTO TOTAL]]/Tabela6[[#This Row],[CONSUMO]]</f>
        <v>5.72</v>
      </c>
      <c r="M3008" s="50">
        <f>Tabela6[[#This Row],[KM ATUAL]]-E2982</f>
        <v>170732</v>
      </c>
      <c r="N3008" s="51">
        <f>Tabela6[[#This Row],[KM Rodados ]]/Tabela6[[#This Row],[CONSUMO]]</f>
        <v>1797.1789473684209</v>
      </c>
    </row>
    <row r="3009" spans="1:14" x14ac:dyDescent="0.25">
      <c r="A3009" s="47">
        <v>8255</v>
      </c>
      <c r="B3009" s="78">
        <v>45243</v>
      </c>
      <c r="C3009" s="47" t="s">
        <v>39</v>
      </c>
      <c r="D3009" s="49" t="s">
        <v>299</v>
      </c>
      <c r="E3009" s="47">
        <v>110852</v>
      </c>
      <c r="G3009" s="50" t="s">
        <v>89</v>
      </c>
      <c r="H3009" s="51">
        <v>20</v>
      </c>
      <c r="J3009" s="51">
        <v>5.72</v>
      </c>
      <c r="K3009" s="74">
        <f>Tabela6[[#This Row],[CONSUMO]]*Tabela6[[#This Row],[VALOR UNIT]]-Tabela6[[#This Row],[DESCONTO]]</f>
        <v>114.39999999999999</v>
      </c>
      <c r="L3009" s="53">
        <f>Tabela6[[#This Row],[CUSTO TOTAL]]/Tabela6[[#This Row],[CONSUMO]]</f>
        <v>5.72</v>
      </c>
      <c r="M3009" s="50">
        <f>Tabela6[[#This Row],[KM ATUAL]]-E2973</f>
        <v>-551142</v>
      </c>
      <c r="N3009" s="51">
        <f>Tabela6[[#This Row],[KM Rodados ]]/Tabela6[[#This Row],[CONSUMO]]</f>
        <v>-27557.1</v>
      </c>
    </row>
    <row r="3010" spans="1:14" x14ac:dyDescent="0.25">
      <c r="A3010" s="47">
        <v>8255</v>
      </c>
      <c r="B3010" s="78">
        <v>45243</v>
      </c>
      <c r="C3010" s="47" t="s">
        <v>73</v>
      </c>
      <c r="D3010" s="49" t="s">
        <v>299</v>
      </c>
      <c r="E3010" s="119">
        <v>162711</v>
      </c>
      <c r="G3010" s="50" t="s">
        <v>89</v>
      </c>
      <c r="H3010" s="51">
        <v>129</v>
      </c>
      <c r="J3010" s="51">
        <v>5.72</v>
      </c>
      <c r="K3010" s="74">
        <f>Tabela6[[#This Row],[CONSUMO]]*Tabela6[[#This Row],[VALOR UNIT]]-Tabela6[[#This Row],[DESCONTO]]</f>
        <v>737.88</v>
      </c>
      <c r="L3010" s="53">
        <f>Tabela6[[#This Row],[CUSTO TOTAL]]/Tabela6[[#This Row],[CONSUMO]]</f>
        <v>5.72</v>
      </c>
      <c r="M3010" s="50">
        <f>Tabela6[[#This Row],[KM ATUAL]]-E2975</f>
        <v>-174976</v>
      </c>
      <c r="N3010" s="51">
        <f>Tabela6[[#This Row],[KM Rodados ]]/Tabela6[[#This Row],[CONSUMO]]</f>
        <v>-1356.4031007751937</v>
      </c>
    </row>
    <row r="3011" spans="1:14" x14ac:dyDescent="0.25">
      <c r="A3011" s="47">
        <v>365644</v>
      </c>
      <c r="B3011" s="78">
        <v>45243</v>
      </c>
      <c r="C3011" s="47" t="s">
        <v>301</v>
      </c>
      <c r="D3011" s="49" t="s">
        <v>343</v>
      </c>
      <c r="E3011" s="47">
        <v>1061540</v>
      </c>
      <c r="G3011" s="50" t="s">
        <v>89</v>
      </c>
      <c r="H3011" s="51">
        <v>272.74</v>
      </c>
      <c r="J3011" s="51">
        <v>5.69</v>
      </c>
      <c r="K3011" s="74">
        <f>Tabela6[[#This Row],[CONSUMO]]*Tabela6[[#This Row],[VALOR UNIT]]-Tabela6[[#This Row],[DESCONTO]]</f>
        <v>1551.8906000000002</v>
      </c>
      <c r="L3011" s="53">
        <f>Tabela6[[#This Row],[CUSTO TOTAL]]/Tabela6[[#This Row],[CONSUMO]]</f>
        <v>5.69</v>
      </c>
      <c r="M3011" s="50">
        <f>Tabela6[[#This Row],[KM ATUAL]]-E3010</f>
        <v>898829</v>
      </c>
      <c r="N3011" s="51">
        <f>Tabela6[[#This Row],[KM Rodados ]]/Tabela6[[#This Row],[CONSUMO]]</f>
        <v>3295.5525408814256</v>
      </c>
    </row>
    <row r="3012" spans="1:14" x14ac:dyDescent="0.25">
      <c r="A3012" s="47">
        <v>772414</v>
      </c>
      <c r="B3012" s="78">
        <v>45243</v>
      </c>
      <c r="C3012" s="47" t="s">
        <v>13</v>
      </c>
      <c r="D3012" s="49" t="s">
        <v>264</v>
      </c>
      <c r="E3012" s="47">
        <v>662624</v>
      </c>
      <c r="G3012" s="50" t="s">
        <v>89</v>
      </c>
      <c r="H3012" s="51">
        <v>93.713999999999999</v>
      </c>
      <c r="J3012" s="51">
        <v>6.25</v>
      </c>
      <c r="K3012" s="74">
        <f>Tabela6[[#This Row],[CONSUMO]]*Tabela6[[#This Row],[VALOR UNIT]]-Tabela6[[#This Row],[DESCONTO]]</f>
        <v>585.71249999999998</v>
      </c>
      <c r="L3012" s="53">
        <f>Tabela6[[#This Row],[CUSTO TOTAL]]/Tabela6[[#This Row],[CONSUMO]]</f>
        <v>6.25</v>
      </c>
      <c r="M3012" s="50">
        <f>Tabela6[[#This Row],[KM ATUAL]]-E2982</f>
        <v>144304</v>
      </c>
      <c r="N3012" s="51">
        <f>Tabela6[[#This Row],[KM Rodados ]]/Tabela6[[#This Row],[CONSUMO]]</f>
        <v>1539.8339629084235</v>
      </c>
    </row>
    <row r="3013" spans="1:14" x14ac:dyDescent="0.25">
      <c r="A3013" s="47">
        <v>22415</v>
      </c>
      <c r="B3013" s="78">
        <v>45243</v>
      </c>
      <c r="C3013" s="47" t="s">
        <v>14</v>
      </c>
      <c r="D3013" s="49" t="s">
        <v>262</v>
      </c>
      <c r="E3013" s="47">
        <v>302413</v>
      </c>
      <c r="G3013" s="50" t="s">
        <v>244</v>
      </c>
      <c r="H3013" s="51">
        <v>22.039000000000001</v>
      </c>
      <c r="J3013" s="51">
        <v>5.59</v>
      </c>
      <c r="K3013" s="74">
        <f>Tabela6[[#This Row],[CONSUMO]]*Tabela6[[#This Row],[VALOR UNIT]]-Tabela6[[#This Row],[DESCONTO]]</f>
        <v>123.19801000000001</v>
      </c>
      <c r="L3013" s="53">
        <f>Tabela6[[#This Row],[CUSTO TOTAL]]/Tabela6[[#This Row],[CONSUMO]]</f>
        <v>5.59</v>
      </c>
      <c r="M3013" s="50">
        <f>Tabela6[[#This Row],[KM ATUAL]]-E2934</f>
        <v>-75499</v>
      </c>
      <c r="N3013" s="51">
        <f>Tabela6[[#This Row],[KM Rodados ]]/Tabela6[[#This Row],[CONSUMO]]</f>
        <v>-3425.6998956395478</v>
      </c>
    </row>
    <row r="3014" spans="1:14" x14ac:dyDescent="0.25">
      <c r="A3014" s="47">
        <v>348800</v>
      </c>
      <c r="B3014" s="78">
        <v>45243</v>
      </c>
      <c r="C3014" s="47" t="s">
        <v>14</v>
      </c>
      <c r="D3014" s="49" t="s">
        <v>276</v>
      </c>
      <c r="E3014" s="47">
        <v>302810</v>
      </c>
      <c r="G3014" s="50" t="s">
        <v>244</v>
      </c>
      <c r="H3014" s="51">
        <v>31.94</v>
      </c>
      <c r="J3014" s="51">
        <v>5.79</v>
      </c>
      <c r="K3014" s="74">
        <f>Tabela6[[#This Row],[CONSUMO]]*Tabela6[[#This Row],[VALOR UNIT]]-Tabela6[[#This Row],[DESCONTO]]</f>
        <v>184.93260000000001</v>
      </c>
      <c r="L3014" s="53">
        <f>Tabela6[[#This Row],[CUSTO TOTAL]]/Tabela6[[#This Row],[CONSUMO]]</f>
        <v>5.79</v>
      </c>
      <c r="M3014" s="50">
        <f>Tabela6[[#This Row],[KM ATUAL]]-E3013</f>
        <v>397</v>
      </c>
      <c r="N3014" s="51">
        <f>Tabela6[[#This Row],[KM Rodados ]]/Tabela6[[#This Row],[CONSUMO]]</f>
        <v>12.42955541640576</v>
      </c>
    </row>
    <row r="3015" spans="1:14" x14ac:dyDescent="0.25">
      <c r="A3015" s="47">
        <v>757188</v>
      </c>
      <c r="B3015" s="78">
        <v>45243</v>
      </c>
      <c r="C3015" s="47" t="s">
        <v>15</v>
      </c>
      <c r="D3015" s="49" t="s">
        <v>305</v>
      </c>
      <c r="E3015" s="47">
        <v>398637</v>
      </c>
      <c r="G3015" s="50" t="s">
        <v>89</v>
      </c>
      <c r="H3015" s="51">
        <v>79</v>
      </c>
      <c r="J3015" s="51">
        <v>5.97</v>
      </c>
      <c r="K3015" s="74">
        <f>Tabela6[[#This Row],[CONSUMO]]*Tabela6[[#This Row],[VALOR UNIT]]-Tabela6[[#This Row],[DESCONTO]]</f>
        <v>471.63</v>
      </c>
      <c r="L3015" s="53">
        <f>Tabela6[[#This Row],[CUSTO TOTAL]]/Tabela6[[#This Row],[CONSUMO]]</f>
        <v>5.97</v>
      </c>
      <c r="M3015" s="50" t="e" cm="1">
        <f t="array" ref="M3015">SE</f>
        <v>#NAME?</v>
      </c>
      <c r="N3015" s="51" t="e">
        <f>Tabela6[[#This Row],[KM Rodados ]]/Tabela6[[#This Row],[CONSUMO]]</f>
        <v>#NAME?</v>
      </c>
    </row>
    <row r="3016" spans="1:14" x14ac:dyDescent="0.25">
      <c r="A3016" s="47">
        <v>8255</v>
      </c>
      <c r="B3016" s="78">
        <v>45243</v>
      </c>
      <c r="C3016" s="47" t="s">
        <v>20</v>
      </c>
      <c r="D3016" s="49" t="s">
        <v>299</v>
      </c>
      <c r="E3016" s="47">
        <v>279944</v>
      </c>
      <c r="G3016" s="50" t="s">
        <v>89</v>
      </c>
      <c r="H3016" s="51">
        <v>28</v>
      </c>
      <c r="J3016" s="51">
        <v>5.72</v>
      </c>
      <c r="K3016" s="74">
        <f>Tabela6[[#This Row],[CONSUMO]]*Tabela6[[#This Row],[VALOR UNIT]]-Tabela6[[#This Row],[DESCONTO]]</f>
        <v>160.16</v>
      </c>
      <c r="L3016" s="53">
        <f>Tabela6[[#This Row],[CUSTO TOTAL]]/Tabela6[[#This Row],[CONSUMO]]</f>
        <v>5.72</v>
      </c>
      <c r="M3016" s="50">
        <f>Tabela6[[#This Row],[KM ATUAL]]-E2984</f>
        <v>-408672</v>
      </c>
      <c r="N3016" s="51">
        <f>Tabela6[[#This Row],[KM Rodados ]]/Tabela6[[#This Row],[CONSUMO]]</f>
        <v>-14595.428571428571</v>
      </c>
    </row>
    <row r="3017" spans="1:14" x14ac:dyDescent="0.25">
      <c r="A3017" s="47">
        <v>587595</v>
      </c>
      <c r="B3017" s="78">
        <v>45243</v>
      </c>
      <c r="C3017" s="47" t="s">
        <v>74</v>
      </c>
      <c r="D3017" s="49" t="s">
        <v>318</v>
      </c>
      <c r="E3017" s="47">
        <v>90497</v>
      </c>
      <c r="G3017" s="50" t="s">
        <v>89</v>
      </c>
      <c r="H3017" s="51">
        <v>44.89</v>
      </c>
      <c r="J3017" s="51">
        <v>6.39</v>
      </c>
      <c r="K3017" s="74">
        <f>Tabela6[[#This Row],[CONSUMO]]*Tabela6[[#This Row],[VALOR UNIT]]-Tabela6[[#This Row],[DESCONTO]]</f>
        <v>286.84710000000001</v>
      </c>
      <c r="L3017" s="53">
        <f>Tabela6[[#This Row],[CUSTO TOTAL]]/Tabela6[[#This Row],[CONSUMO]]</f>
        <v>6.3900000000000006</v>
      </c>
      <c r="M3017" s="50">
        <f>Tabela6[[#This Row],[KM ATUAL]]-E2996</f>
        <v>356</v>
      </c>
      <c r="N3017" s="51">
        <f>Tabela6[[#This Row],[KM Rodados ]]/Tabela6[[#This Row],[CONSUMO]]</f>
        <v>7.9304967698819331</v>
      </c>
    </row>
    <row r="3018" spans="1:14" x14ac:dyDescent="0.25">
      <c r="A3018" s="47">
        <v>8255</v>
      </c>
      <c r="B3018" s="78">
        <v>45243</v>
      </c>
      <c r="C3018" s="47" t="s">
        <v>354</v>
      </c>
      <c r="D3018" s="49" t="s">
        <v>299</v>
      </c>
      <c r="E3018" s="47">
        <v>4529</v>
      </c>
      <c r="G3018" s="50" t="s">
        <v>89</v>
      </c>
      <c r="H3018" s="51">
        <v>336</v>
      </c>
      <c r="J3018" s="51">
        <v>5.72</v>
      </c>
      <c r="K3018" s="74">
        <f>Tabela6[[#This Row],[CONSUMO]]*Tabela6[[#This Row],[VALOR UNIT]]-Tabela6[[#This Row],[DESCONTO]]</f>
        <v>1921.9199999999998</v>
      </c>
      <c r="L3018" s="53">
        <f>Tabela6[[#This Row],[CUSTO TOTAL]]/Tabela6[[#This Row],[CONSUMO]]</f>
        <v>5.72</v>
      </c>
      <c r="M3018" s="50">
        <f>Tabela6[[#This Row],[KM ATUAL]]-E2913</f>
        <v>-510930</v>
      </c>
      <c r="N3018" s="51">
        <f>Tabela6[[#This Row],[KM Rodados ]]/Tabela6[[#This Row],[CONSUMO]]</f>
        <v>-1520.625</v>
      </c>
    </row>
    <row r="3019" spans="1:14" x14ac:dyDescent="0.25">
      <c r="B3019" s="78">
        <v>45244</v>
      </c>
      <c r="C3019" s="47" t="s">
        <v>222</v>
      </c>
      <c r="D3019" s="49" t="s">
        <v>299</v>
      </c>
      <c r="E3019" s="47">
        <v>519989</v>
      </c>
      <c r="G3019" s="50" t="s">
        <v>89</v>
      </c>
      <c r="H3019" s="51">
        <v>150</v>
      </c>
      <c r="J3019" s="51">
        <v>5.75</v>
      </c>
      <c r="K3019" s="74">
        <f>Tabela6[[#This Row],[CONSUMO]]*Tabela6[[#This Row],[VALOR UNIT]]-Tabela6[[#This Row],[DESCONTO]]</f>
        <v>862.5</v>
      </c>
      <c r="L3019" s="53">
        <f>Tabela6[[#This Row],[CUSTO TOTAL]]/Tabela6[[#This Row],[CONSUMO]]</f>
        <v>5.75</v>
      </c>
      <c r="M3019" s="50">
        <f>Tabela6[[#This Row],[KM ATUAL]]-E3018</f>
        <v>515460</v>
      </c>
      <c r="N3019" s="51">
        <f>Tabela6[[#This Row],[KM Rodados ]]/Tabela6[[#This Row],[CONSUMO]]</f>
        <v>3436.4</v>
      </c>
    </row>
    <row r="3020" spans="1:14" x14ac:dyDescent="0.25">
      <c r="A3020" s="47">
        <v>8255</v>
      </c>
      <c r="B3020" s="78">
        <v>45244</v>
      </c>
      <c r="C3020" s="47" t="s">
        <v>22</v>
      </c>
      <c r="D3020" s="49" t="s">
        <v>299</v>
      </c>
      <c r="E3020" s="47">
        <v>341962</v>
      </c>
      <c r="G3020" s="50" t="s">
        <v>89</v>
      </c>
      <c r="H3020" s="51">
        <v>55</v>
      </c>
      <c r="J3020" s="51">
        <v>5.72</v>
      </c>
      <c r="K3020" s="74">
        <f>Tabela6[[#This Row],[CONSUMO]]*Tabela6[[#This Row],[VALOR UNIT]]-Tabela6[[#This Row],[DESCONTO]]</f>
        <v>314.59999999999997</v>
      </c>
      <c r="L3020" s="53">
        <f>Tabela6[[#This Row],[CUSTO TOTAL]]/Tabela6[[#This Row],[CONSUMO]]</f>
        <v>5.72</v>
      </c>
      <c r="M3020" s="50">
        <f>Tabela6[[#This Row],[KM ATUAL]]-E2975</f>
        <v>4275</v>
      </c>
      <c r="N3020" s="51">
        <f>Tabela6[[#This Row],[KM Rodados ]]/Tabela6[[#This Row],[CONSUMO]]</f>
        <v>77.727272727272734</v>
      </c>
    </row>
    <row r="3021" spans="1:14" x14ac:dyDescent="0.25">
      <c r="A3021" s="47">
        <v>154698</v>
      </c>
      <c r="B3021" s="78">
        <v>45244</v>
      </c>
      <c r="C3021" s="47" t="s">
        <v>70</v>
      </c>
      <c r="D3021" s="49" t="s">
        <v>384</v>
      </c>
      <c r="E3021" s="47">
        <v>239958</v>
      </c>
      <c r="G3021" s="50" t="s">
        <v>89</v>
      </c>
      <c r="H3021" s="51">
        <v>281.08999999999997</v>
      </c>
      <c r="J3021" s="51">
        <v>5.87</v>
      </c>
      <c r="K3021" s="74">
        <f>Tabela6[[#This Row],[CONSUMO]]*Tabela6[[#This Row],[VALOR UNIT]]-Tabela6[[#This Row],[DESCONTO]]</f>
        <v>1649.9983</v>
      </c>
      <c r="L3021" s="53">
        <f>Tabela6[[#This Row],[CUSTO TOTAL]]/Tabela6[[#This Row],[CONSUMO]]</f>
        <v>5.87</v>
      </c>
      <c r="M3021" s="50">
        <f>Tabela6[[#This Row],[KM ATUAL]]-E2993</f>
        <v>-138851</v>
      </c>
      <c r="N3021" s="51">
        <f>Tabela6[[#This Row],[KM Rodados ]]/Tabela6[[#This Row],[CONSUMO]]</f>
        <v>-493.97346045750476</v>
      </c>
    </row>
    <row r="3022" spans="1:14" x14ac:dyDescent="0.25">
      <c r="A3022" s="47">
        <v>220734</v>
      </c>
      <c r="B3022" s="78">
        <v>45244</v>
      </c>
      <c r="C3022" s="47" t="s">
        <v>203</v>
      </c>
      <c r="D3022" s="49" t="s">
        <v>262</v>
      </c>
      <c r="E3022" s="47">
        <v>121074</v>
      </c>
      <c r="G3022" s="50" t="s">
        <v>244</v>
      </c>
      <c r="H3022" s="51">
        <v>38.47</v>
      </c>
      <c r="J3022" s="51">
        <v>5.59</v>
      </c>
      <c r="K3022" s="74">
        <f>Tabela6[[#This Row],[CONSUMO]]*Tabela6[[#This Row],[VALOR UNIT]]-Tabela6[[#This Row],[DESCONTO]]</f>
        <v>215.04729999999998</v>
      </c>
      <c r="L3022" s="53">
        <f>Tabela6[[#This Row],[CUSTO TOTAL]]/Tabela6[[#This Row],[CONSUMO]]</f>
        <v>5.59</v>
      </c>
      <c r="M3022" s="50">
        <f>Tabela6[[#This Row],[KM ATUAL]]-E2991</f>
        <v>-939088</v>
      </c>
      <c r="N3022" s="51">
        <f>Tabela6[[#This Row],[KM Rodados ]]/Tabela6[[#This Row],[CONSUMO]]</f>
        <v>-24410.917598128413</v>
      </c>
    </row>
    <row r="3023" spans="1:14" x14ac:dyDescent="0.25">
      <c r="A3023" s="47">
        <v>220658</v>
      </c>
      <c r="B3023" s="78">
        <v>45244</v>
      </c>
      <c r="C3023" s="47" t="s">
        <v>72</v>
      </c>
      <c r="D3023" s="49" t="s">
        <v>262</v>
      </c>
      <c r="E3023" s="47">
        <v>425049</v>
      </c>
      <c r="G3023" s="50" t="s">
        <v>89</v>
      </c>
      <c r="H3023" s="51">
        <v>24.65</v>
      </c>
      <c r="K3023" s="74">
        <f>Tabela6[[#This Row],[CONSUMO]]*Tabela6[[#This Row],[VALOR UNIT]]-Tabela6[[#This Row],[DESCONTO]]</f>
        <v>0</v>
      </c>
      <c r="L3023" s="53">
        <f>Tabela6[[#This Row],[CUSTO TOTAL]]/Tabela6[[#This Row],[CONSUMO]]</f>
        <v>0</v>
      </c>
      <c r="M3023" s="50">
        <f>Tabela6[[#This Row],[KM ATUAL]]-E2984</f>
        <v>-263567</v>
      </c>
      <c r="N3023" s="51">
        <f>Tabela6[[#This Row],[KM Rodados ]]/Tabela6[[#This Row],[CONSUMO]]</f>
        <v>-10692.373225152131</v>
      </c>
    </row>
    <row r="3024" spans="1:14" x14ac:dyDescent="0.25">
      <c r="A3024" s="47">
        <v>349130</v>
      </c>
      <c r="B3024" s="78">
        <v>45244</v>
      </c>
      <c r="C3024" s="47" t="s">
        <v>72</v>
      </c>
      <c r="D3024" s="49" t="s">
        <v>276</v>
      </c>
      <c r="E3024" s="47">
        <v>425533</v>
      </c>
      <c r="G3024" s="50" t="s">
        <v>89</v>
      </c>
      <c r="H3024" s="51">
        <v>56.03</v>
      </c>
      <c r="J3024" s="51">
        <v>6.39</v>
      </c>
      <c r="K3024" s="74">
        <f>Tabela6[[#This Row],[CONSUMO]]*Tabela6[[#This Row],[VALOR UNIT]]-Tabela6[[#This Row],[DESCONTO]]</f>
        <v>358.0317</v>
      </c>
      <c r="L3024" s="53">
        <f>Tabela6[[#This Row],[CUSTO TOTAL]]/Tabela6[[#This Row],[CONSUMO]]</f>
        <v>6.39</v>
      </c>
      <c r="M3024" s="50">
        <f>Tabela6[[#This Row],[KM ATUAL]]-E3023</f>
        <v>484</v>
      </c>
      <c r="N3024" s="51">
        <f>Tabela6[[#This Row],[KM Rodados ]]/Tabela6[[#This Row],[CONSUMO]]</f>
        <v>8.6382295199000527</v>
      </c>
    </row>
    <row r="3025" spans="1:14" x14ac:dyDescent="0.25">
      <c r="A3025" s="47">
        <v>8255</v>
      </c>
      <c r="B3025" s="78">
        <v>45244</v>
      </c>
      <c r="C3025" s="47" t="s">
        <v>41</v>
      </c>
      <c r="D3025" s="49" t="s">
        <v>299</v>
      </c>
      <c r="E3025" s="47">
        <v>683945</v>
      </c>
      <c r="G3025" s="50" t="s">
        <v>89</v>
      </c>
      <c r="H3025" s="51">
        <v>70</v>
      </c>
      <c r="J3025" s="51">
        <v>5.72</v>
      </c>
      <c r="K3025" s="74">
        <f>Tabela6[[#This Row],[CONSUMO]]*Tabela6[[#This Row],[VALOR UNIT]]-Tabela6[[#This Row],[DESCONTO]]</f>
        <v>400.4</v>
      </c>
      <c r="L3025" s="53">
        <f>Tabela6[[#This Row],[CUSTO TOTAL]]/Tabela6[[#This Row],[CONSUMO]]</f>
        <v>5.72</v>
      </c>
      <c r="M3025" s="50">
        <f>Tabela6[[#This Row],[KM ATUAL]]-E2987</f>
        <v>259084</v>
      </c>
      <c r="N3025" s="51">
        <f>Tabela6[[#This Row],[KM Rodados ]]/Tabela6[[#This Row],[CONSUMO]]</f>
        <v>3701.2</v>
      </c>
    </row>
    <row r="3026" spans="1:14" x14ac:dyDescent="0.25">
      <c r="A3026" s="47">
        <v>8255</v>
      </c>
      <c r="B3026" s="78">
        <v>45244</v>
      </c>
      <c r="C3026" s="47" t="s">
        <v>15</v>
      </c>
      <c r="D3026" s="49" t="s">
        <v>299</v>
      </c>
      <c r="E3026" s="47">
        <v>399257</v>
      </c>
      <c r="G3026" s="50" t="s">
        <v>89</v>
      </c>
      <c r="H3026" s="51">
        <v>90</v>
      </c>
      <c r="J3026" s="51">
        <v>5.72</v>
      </c>
      <c r="K3026" s="74">
        <f>Tabela6[[#This Row],[CONSUMO]]*Tabela6[[#This Row],[VALOR UNIT]]-Tabela6[[#This Row],[DESCONTO]]</f>
        <v>514.79999999999995</v>
      </c>
      <c r="L3026" s="53">
        <f>Tabela6[[#This Row],[CUSTO TOTAL]]/Tabela6[[#This Row],[CONSUMO]]</f>
        <v>5.72</v>
      </c>
      <c r="M3026" s="50">
        <f>Tabela6[[#This Row],[KM ATUAL]]-E3005</f>
        <v>239946</v>
      </c>
      <c r="N3026" s="51">
        <f>Tabela6[[#This Row],[KM Rodados ]]/Tabela6[[#This Row],[CONSUMO]]</f>
        <v>2666.0666666666666</v>
      </c>
    </row>
    <row r="3027" spans="1:14" x14ac:dyDescent="0.25">
      <c r="A3027" s="47">
        <v>8255</v>
      </c>
      <c r="B3027" s="78">
        <v>45244</v>
      </c>
      <c r="C3027" s="47" t="s">
        <v>17</v>
      </c>
      <c r="D3027" s="49" t="s">
        <v>299</v>
      </c>
      <c r="E3027" s="47">
        <v>379259</v>
      </c>
      <c r="G3027" s="50" t="s">
        <v>89</v>
      </c>
      <c r="H3027" s="51">
        <v>100</v>
      </c>
      <c r="J3027" s="51">
        <v>5.72</v>
      </c>
      <c r="K3027" s="74">
        <f>Tabela6[[#This Row],[CONSUMO]]*Tabela6[[#This Row],[VALOR UNIT]]-Tabela6[[#This Row],[DESCONTO]]</f>
        <v>572</v>
      </c>
      <c r="L3027" s="53">
        <f>Tabela6[[#This Row],[CUSTO TOTAL]]/Tabela6[[#This Row],[CONSUMO]]</f>
        <v>5.72</v>
      </c>
      <c r="M3027" s="50">
        <f>Tabela6[[#This Row],[KM ATUAL]]-E2984</f>
        <v>-309357</v>
      </c>
      <c r="N3027" s="51">
        <f>Tabela6[[#This Row],[KM Rodados ]]/Tabela6[[#This Row],[CONSUMO]]</f>
        <v>-3093.57</v>
      </c>
    </row>
    <row r="3028" spans="1:14" x14ac:dyDescent="0.25">
      <c r="A3028" s="47">
        <v>8255</v>
      </c>
      <c r="B3028" s="78">
        <v>45244</v>
      </c>
      <c r="C3028" s="47" t="s">
        <v>19</v>
      </c>
      <c r="D3028" s="49" t="s">
        <v>299</v>
      </c>
      <c r="E3028" s="47">
        <v>338443</v>
      </c>
      <c r="G3028" s="50" t="s">
        <v>89</v>
      </c>
      <c r="H3028" s="51">
        <v>65</v>
      </c>
      <c r="J3028" s="51">
        <v>5.72</v>
      </c>
      <c r="K3028" s="74">
        <f>Tabela6[[#This Row],[CONSUMO]]*Tabela6[[#This Row],[VALOR UNIT]]-Tabela6[[#This Row],[DESCONTO]]</f>
        <v>371.8</v>
      </c>
      <c r="L3028" s="53">
        <f>Tabela6[[#This Row],[CUSTO TOTAL]]/Tabela6[[#This Row],[CONSUMO]]</f>
        <v>5.72</v>
      </c>
      <c r="M3028" s="50">
        <f>Tabela6[[#This Row],[KM ATUAL]]-E2983</f>
        <v>-179877</v>
      </c>
      <c r="N3028" s="51">
        <f>Tabela6[[#This Row],[KM Rodados ]]/Tabela6[[#This Row],[CONSUMO]]</f>
        <v>-2767.3384615384616</v>
      </c>
    </row>
    <row r="3029" spans="1:14" x14ac:dyDescent="0.25">
      <c r="A3029" s="47">
        <v>8255</v>
      </c>
      <c r="B3029" s="78">
        <v>45244</v>
      </c>
      <c r="C3029" s="47" t="s">
        <v>74</v>
      </c>
      <c r="D3029" s="49" t="s">
        <v>299</v>
      </c>
      <c r="E3029" s="47">
        <v>90847</v>
      </c>
      <c r="G3029" s="50" t="s">
        <v>89</v>
      </c>
      <c r="H3029" s="51">
        <v>44</v>
      </c>
      <c r="J3029" s="51">
        <v>5.72</v>
      </c>
      <c r="K3029" s="74">
        <f>Tabela6[[#This Row],[CONSUMO]]*Tabela6[[#This Row],[VALOR UNIT]]-Tabela6[[#This Row],[DESCONTO]]</f>
        <v>251.67999999999998</v>
      </c>
      <c r="L3029" s="53">
        <f>Tabela6[[#This Row],[CUSTO TOTAL]]/Tabela6[[#This Row],[CONSUMO]]</f>
        <v>5.72</v>
      </c>
      <c r="M3029" s="50">
        <f>Tabela6[[#This Row],[KM ATUAL]]-E3015</f>
        <v>-307790</v>
      </c>
      <c r="N3029" s="51">
        <f>Tabela6[[#This Row],[KM Rodados ]]/Tabela6[[#This Row],[CONSUMO]]</f>
        <v>-6995.227272727273</v>
      </c>
    </row>
    <row r="3030" spans="1:14" x14ac:dyDescent="0.25">
      <c r="A3030" s="47">
        <v>220882</v>
      </c>
      <c r="B3030" s="78">
        <v>45244</v>
      </c>
      <c r="C3030" s="47" t="s">
        <v>74</v>
      </c>
      <c r="D3030" s="49" t="s">
        <v>262</v>
      </c>
      <c r="E3030" s="47">
        <v>90966</v>
      </c>
      <c r="G3030" s="50" t="s">
        <v>241</v>
      </c>
      <c r="H3030" s="51">
        <v>1.083</v>
      </c>
      <c r="I3030" s="49">
        <v>0.37</v>
      </c>
      <c r="J3030" s="51">
        <v>3.69</v>
      </c>
      <c r="K3030" s="74">
        <f>Tabela6[[#This Row],[CONSUMO]]*Tabela6[[#This Row],[VALOR UNIT]]-Tabela6[[#This Row],[DESCONTO]]</f>
        <v>3.6262699999999999</v>
      </c>
      <c r="L3030" s="53">
        <f>Tabela6[[#This Row],[CUSTO TOTAL]]/Tabela6[[#This Row],[CONSUMO]]</f>
        <v>3.3483564173591875</v>
      </c>
      <c r="M3030" s="50"/>
    </row>
    <row r="3031" spans="1:14" x14ac:dyDescent="0.25">
      <c r="A3031" s="47">
        <v>8255</v>
      </c>
      <c r="B3031" s="78">
        <v>45244</v>
      </c>
      <c r="C3031" s="47" t="s">
        <v>315</v>
      </c>
      <c r="D3031" s="49" t="s">
        <v>299</v>
      </c>
      <c r="E3031" s="47">
        <v>6749</v>
      </c>
      <c r="G3031" s="50" t="s">
        <v>89</v>
      </c>
      <c r="H3031" s="51">
        <v>43</v>
      </c>
      <c r="J3031" s="51">
        <v>5.72</v>
      </c>
      <c r="K3031" s="74">
        <f>Tabela6[[#This Row],[CONSUMO]]*Tabela6[[#This Row],[VALOR UNIT]]-Tabela6[[#This Row],[DESCONTO]]</f>
        <v>245.95999999999998</v>
      </c>
      <c r="L3031" s="53">
        <f>Tabela6[[#This Row],[CUSTO TOTAL]]/Tabela6[[#This Row],[CONSUMO]]</f>
        <v>5.72</v>
      </c>
      <c r="M3031" s="50">
        <f>Tabela6[[#This Row],[KM ATUAL]]-E2960</f>
        <v>-132358</v>
      </c>
      <c r="N3031" s="51">
        <f>Tabela6[[#This Row],[KM Rodados ]]/Tabela6[[#This Row],[CONSUMO]]</f>
        <v>-3078.0930232558139</v>
      </c>
    </row>
    <row r="3032" spans="1:14" x14ac:dyDescent="0.25">
      <c r="A3032" s="47" t="s">
        <v>314</v>
      </c>
      <c r="B3032" s="78">
        <v>45245</v>
      </c>
      <c r="C3032" s="47" t="s">
        <v>68</v>
      </c>
      <c r="E3032" s="47">
        <v>933025</v>
      </c>
      <c r="G3032" s="50" t="s">
        <v>89</v>
      </c>
      <c r="H3032" s="51">
        <v>422</v>
      </c>
      <c r="K3032" s="74">
        <f>Tabela6[[#This Row],[CONSUMO]]*Tabela6[[#This Row],[VALOR UNIT]]-Tabela6[[#This Row],[DESCONTO]]</f>
        <v>0</v>
      </c>
      <c r="L3032" s="53">
        <f>Tabela6[[#This Row],[CUSTO TOTAL]]/Tabela6[[#This Row],[CONSUMO]]</f>
        <v>0</v>
      </c>
      <c r="M3032" s="50">
        <f>Tabela6[[#This Row],[KM ATUAL]]-E2948</f>
        <v>774929</v>
      </c>
      <c r="N3032" s="51">
        <f>Tabela6[[#This Row],[KM Rodados ]]/Tabela6[[#This Row],[CONSUMO]]</f>
        <v>1836.324644549763</v>
      </c>
    </row>
    <row r="3033" spans="1:14" x14ac:dyDescent="0.25">
      <c r="A3033" s="47">
        <v>693661</v>
      </c>
      <c r="B3033" s="78">
        <v>45245</v>
      </c>
      <c r="C3033" s="47" t="s">
        <v>9</v>
      </c>
      <c r="D3033" s="49" t="s">
        <v>271</v>
      </c>
      <c r="E3033" s="47">
        <v>633946</v>
      </c>
      <c r="G3033" s="50" t="s">
        <v>89</v>
      </c>
      <c r="H3033" s="51">
        <v>230.6</v>
      </c>
      <c r="J3033" s="51">
        <v>3.44</v>
      </c>
      <c r="K3033" s="74">
        <f>Tabela6[[#This Row],[CONSUMO]]*Tabela6[[#This Row],[VALOR UNIT]]-Tabela6[[#This Row],[DESCONTO]]</f>
        <v>793.26400000000001</v>
      </c>
      <c r="L3033" s="53">
        <f>Tabela6[[#This Row],[CUSTO TOTAL]]/Tabela6[[#This Row],[CONSUMO]]</f>
        <v>3.44</v>
      </c>
      <c r="M3033" s="50">
        <f>Tabela6[[#This Row],[KM ATUAL]]-E3002</f>
        <v>526</v>
      </c>
      <c r="N3033" s="51">
        <f>Tabela6[[#This Row],[KM Rodados ]]/Tabela6[[#This Row],[CONSUMO]]</f>
        <v>2.2810060711188207</v>
      </c>
    </row>
    <row r="3034" spans="1:14" x14ac:dyDescent="0.25">
      <c r="A3034" s="47">
        <v>125655</v>
      </c>
      <c r="B3034" s="78">
        <v>45245</v>
      </c>
      <c r="C3034" s="47" t="s">
        <v>222</v>
      </c>
      <c r="D3034" s="49" t="s">
        <v>377</v>
      </c>
      <c r="E3034" s="47">
        <v>520479</v>
      </c>
      <c r="G3034" s="50" t="s">
        <v>89</v>
      </c>
      <c r="H3034" s="51">
        <v>242.87700000000001</v>
      </c>
      <c r="J3034" s="51">
        <v>6.09</v>
      </c>
      <c r="K3034" s="74">
        <f>Tabela6[[#This Row],[CONSUMO]]*Tabela6[[#This Row],[VALOR UNIT]]-Tabela6[[#This Row],[DESCONTO]]</f>
        <v>1479.12093</v>
      </c>
      <c r="L3034" s="53">
        <f>Tabela6[[#This Row],[CUSTO TOTAL]]/Tabela6[[#This Row],[CONSUMO]]</f>
        <v>6.09</v>
      </c>
      <c r="M3034" s="50">
        <f>Tabela6[[#This Row],[KM ATUAL]]-E3018</f>
        <v>515950</v>
      </c>
      <c r="N3034" s="51">
        <f>Tabela6[[#This Row],[KM Rodados ]]/Tabela6[[#This Row],[CONSUMO]]</f>
        <v>2124.3263050844666</v>
      </c>
    </row>
    <row r="3035" spans="1:14" x14ac:dyDescent="0.25">
      <c r="A3035" s="47">
        <v>220967</v>
      </c>
      <c r="B3035" s="78">
        <v>45245</v>
      </c>
      <c r="C3035" s="47" t="s">
        <v>203</v>
      </c>
      <c r="D3035" s="49" t="s">
        <v>262</v>
      </c>
      <c r="E3035" s="47">
        <v>121421</v>
      </c>
      <c r="G3035" s="50" t="s">
        <v>244</v>
      </c>
      <c r="H3035" s="51">
        <v>26.49</v>
      </c>
      <c r="J3035" s="51">
        <v>5.59</v>
      </c>
      <c r="K3035" s="74">
        <f>Tabela6[[#This Row],[CONSUMO]]*Tabela6[[#This Row],[VALOR UNIT]]-Tabela6[[#This Row],[DESCONTO]]</f>
        <v>148.07909999999998</v>
      </c>
      <c r="L3035" s="53">
        <f>Tabela6[[#This Row],[CUSTO TOTAL]]/Tabela6[[#This Row],[CONSUMO]]</f>
        <v>5.59</v>
      </c>
      <c r="M3035" s="50">
        <f>Tabela6[[#This Row],[KM ATUAL]]-E3019</f>
        <v>-398568</v>
      </c>
      <c r="N3035" s="51">
        <f>Tabela6[[#This Row],[KM Rodados ]]/Tabela6[[#This Row],[CONSUMO]]</f>
        <v>-15045.979614949038</v>
      </c>
    </row>
    <row r="3036" spans="1:14" x14ac:dyDescent="0.25">
      <c r="A3036" s="47">
        <v>366314</v>
      </c>
      <c r="B3036" s="78">
        <v>45245</v>
      </c>
      <c r="C3036" s="47" t="s">
        <v>301</v>
      </c>
      <c r="D3036" s="49" t="s">
        <v>343</v>
      </c>
      <c r="E3036" s="47">
        <v>1062507</v>
      </c>
      <c r="G3036" s="50" t="s">
        <v>89</v>
      </c>
      <c r="H3036" s="51">
        <v>406</v>
      </c>
      <c r="J3036" s="51">
        <v>5.69</v>
      </c>
      <c r="K3036" s="74">
        <f>Tabela6[[#This Row],[CONSUMO]]*Tabela6[[#This Row],[VALOR UNIT]]-Tabela6[[#This Row],[DESCONTO]]</f>
        <v>2310.1400000000003</v>
      </c>
      <c r="L3036" s="53">
        <f>Tabela6[[#This Row],[CUSTO TOTAL]]/Tabela6[[#This Row],[CONSUMO]]</f>
        <v>5.69</v>
      </c>
      <c r="M3036" s="50">
        <f>Tabela6[[#This Row],[KM ATUAL]]-E3009</f>
        <v>951655</v>
      </c>
      <c r="N3036" s="51">
        <f>Tabela6[[#This Row],[KM Rodados ]]/Tabela6[[#This Row],[CONSUMO]]</f>
        <v>2343.9778325123152</v>
      </c>
    </row>
    <row r="3037" spans="1:14" x14ac:dyDescent="0.25">
      <c r="A3037" s="47">
        <v>8255</v>
      </c>
      <c r="B3037" s="78">
        <v>45245</v>
      </c>
      <c r="C3037" s="47" t="s">
        <v>13</v>
      </c>
      <c r="D3037" s="49" t="s">
        <v>299</v>
      </c>
      <c r="E3037" s="47">
        <v>663085</v>
      </c>
      <c r="G3037" s="50" t="s">
        <v>89</v>
      </c>
      <c r="H3037" s="51">
        <v>85</v>
      </c>
      <c r="J3037" s="51">
        <v>5.72</v>
      </c>
      <c r="K3037" s="74">
        <f>Tabela6[[#This Row],[CONSUMO]]*Tabela6[[#This Row],[VALOR UNIT]]-Tabela6[[#This Row],[DESCONTO]]</f>
        <v>486.2</v>
      </c>
      <c r="L3037" s="53">
        <f>Tabela6[[#This Row],[CUSTO TOTAL]]/Tabela6[[#This Row],[CONSUMO]]</f>
        <v>5.72</v>
      </c>
      <c r="M3037" s="50">
        <f>Tabela6[[#This Row],[KM ATUAL]]-E3021</f>
        <v>423127</v>
      </c>
      <c r="N3037" s="51">
        <f>Tabela6[[#This Row],[KM Rodados ]]/Tabela6[[#This Row],[CONSUMO]]</f>
        <v>4977.964705882353</v>
      </c>
    </row>
    <row r="3038" spans="1:14" x14ac:dyDescent="0.25">
      <c r="A3038" s="47">
        <v>90702</v>
      </c>
      <c r="B3038" s="78">
        <v>45246</v>
      </c>
      <c r="C3038" s="47" t="s">
        <v>42</v>
      </c>
      <c r="D3038" s="49" t="s">
        <v>253</v>
      </c>
      <c r="E3038" s="47">
        <v>376798</v>
      </c>
      <c r="G3038" s="50" t="s">
        <v>89</v>
      </c>
      <c r="H3038" s="51">
        <v>81.319999999999993</v>
      </c>
      <c r="J3038" s="51">
        <v>6.29</v>
      </c>
      <c r="K3038" s="74">
        <f>Tabela6[[#This Row],[CONSUMO]]*Tabela6[[#This Row],[VALOR UNIT]]-Tabela6[[#This Row],[DESCONTO]]</f>
        <v>511.50279999999998</v>
      </c>
      <c r="L3038" s="53">
        <f>Tabela6[[#This Row],[CUSTO TOTAL]]/Tabela6[[#This Row],[CONSUMO]]</f>
        <v>6.29</v>
      </c>
      <c r="M3038" s="50">
        <f>Tabela6[[#This Row],[KM ATUAL]]-E2813</f>
        <v>142160</v>
      </c>
      <c r="N3038" s="51">
        <f>Tabela6[[#This Row],[KM Rodados ]]/Tabela6[[#This Row],[CONSUMO]]</f>
        <v>1748.1554353172653</v>
      </c>
    </row>
    <row r="3039" spans="1:14" x14ac:dyDescent="0.25">
      <c r="A3039" s="47">
        <v>143124</v>
      </c>
      <c r="B3039" s="78">
        <v>45246</v>
      </c>
      <c r="C3039" s="47" t="s">
        <v>222</v>
      </c>
      <c r="D3039" s="49" t="s">
        <v>362</v>
      </c>
      <c r="E3039" s="47">
        <v>520822</v>
      </c>
      <c r="G3039" s="50" t="s">
        <v>89</v>
      </c>
      <c r="H3039" s="51">
        <v>210</v>
      </c>
      <c r="J3039" s="51">
        <v>5.89</v>
      </c>
      <c r="K3039" s="74">
        <f>Tabela6[[#This Row],[CONSUMO]]*Tabela6[[#This Row],[VALOR UNIT]]-Tabela6[[#This Row],[DESCONTO]]</f>
        <v>1236.8999999999999</v>
      </c>
      <c r="L3039" s="53">
        <f>Tabela6[[#This Row],[CUSTO TOTAL]]/Tabela6[[#This Row],[CONSUMO]]</f>
        <v>5.89</v>
      </c>
      <c r="M3039" s="50">
        <f>Tabela6[[#This Row],[KM ATUAL]]-E3037</f>
        <v>-142263</v>
      </c>
      <c r="N3039" s="51">
        <f>Tabela6[[#This Row],[KM Rodados ]]/Tabela6[[#This Row],[CONSUMO]]</f>
        <v>-677.44285714285718</v>
      </c>
    </row>
    <row r="3040" spans="1:14" x14ac:dyDescent="0.25">
      <c r="A3040" s="47">
        <v>429322</v>
      </c>
      <c r="B3040" s="78">
        <v>45246</v>
      </c>
      <c r="C3040" s="47" t="s">
        <v>222</v>
      </c>
      <c r="D3040" s="49" t="s">
        <v>333</v>
      </c>
      <c r="E3040" s="47">
        <v>521202</v>
      </c>
      <c r="G3040" s="50" t="s">
        <v>89</v>
      </c>
      <c r="H3040" s="51">
        <v>204.01</v>
      </c>
      <c r="J3040" s="51">
        <v>5.83</v>
      </c>
      <c r="K3040" s="74">
        <f>Tabela6[[#This Row],[CONSUMO]]*Tabela6[[#This Row],[VALOR UNIT]]-Tabela6[[#This Row],[DESCONTO]]</f>
        <v>1189.3782999999999</v>
      </c>
      <c r="L3040" s="53">
        <f>Tabela6[[#This Row],[CUSTO TOTAL]]/Tabela6[[#This Row],[CONSUMO]]</f>
        <v>5.8299999999999992</v>
      </c>
      <c r="M3040" s="50">
        <f>Tabela6[[#This Row],[KM ATUAL]]-E3030</f>
        <v>430236</v>
      </c>
      <c r="N3040" s="51">
        <f>Tabela6[[#This Row],[KM Rodados ]]/Tabela6[[#This Row],[CONSUMO]]</f>
        <v>2108.8966227145729</v>
      </c>
    </row>
    <row r="3041" spans="1:14" x14ac:dyDescent="0.25">
      <c r="A3041" s="47">
        <v>429324</v>
      </c>
      <c r="B3041" s="78">
        <v>45246</v>
      </c>
      <c r="C3041" s="47" t="s">
        <v>222</v>
      </c>
      <c r="D3041" s="49" t="s">
        <v>333</v>
      </c>
      <c r="E3041" s="47">
        <v>521202</v>
      </c>
      <c r="G3041" s="50" t="s">
        <v>241</v>
      </c>
      <c r="H3041" s="51">
        <v>42.86</v>
      </c>
      <c r="J3041" s="51">
        <v>2.99</v>
      </c>
      <c r="K3041" s="74">
        <f>Tabela6[[#This Row],[CONSUMO]]*Tabela6[[#This Row],[VALOR UNIT]]-Tabela6[[#This Row],[DESCONTO]]</f>
        <v>128.1514</v>
      </c>
      <c r="L3041" s="53">
        <f>Tabela6[[#This Row],[CUSTO TOTAL]]/Tabela6[[#This Row],[CONSUMO]]</f>
        <v>2.9899999999999998</v>
      </c>
      <c r="M3041" s="50"/>
    </row>
    <row r="3042" spans="1:14" x14ac:dyDescent="0.25">
      <c r="A3042" s="47">
        <v>8255</v>
      </c>
      <c r="B3042" s="78">
        <v>45246</v>
      </c>
      <c r="C3042" s="47" t="s">
        <v>67</v>
      </c>
      <c r="D3042" s="49" t="s">
        <v>299</v>
      </c>
      <c r="E3042" s="47">
        <v>689440</v>
      </c>
      <c r="G3042" s="50" t="s">
        <v>89</v>
      </c>
      <c r="H3042" s="51">
        <v>92</v>
      </c>
      <c r="J3042" s="51">
        <v>5.72</v>
      </c>
      <c r="K3042" s="74">
        <f>Tabela6[[#This Row],[CONSUMO]]*Tabela6[[#This Row],[VALOR UNIT]]-Tabela6[[#This Row],[DESCONTO]]</f>
        <v>526.24</v>
      </c>
      <c r="L3042" s="53">
        <f>Tabela6[[#This Row],[CUSTO TOTAL]]/Tabela6[[#This Row],[CONSUMO]]</f>
        <v>5.72</v>
      </c>
      <c r="M3042" s="50">
        <f>Tabela6[[#This Row],[KM ATUAL]]-E3009</f>
        <v>578588</v>
      </c>
      <c r="N3042" s="51">
        <f>Tabela6[[#This Row],[KM Rodados ]]/Tabela6[[#This Row],[CONSUMO]]</f>
        <v>6289</v>
      </c>
    </row>
    <row r="3043" spans="1:14" x14ac:dyDescent="0.25">
      <c r="A3043" s="47">
        <v>693985</v>
      </c>
      <c r="B3043" s="78">
        <v>45246</v>
      </c>
      <c r="C3043" s="47" t="s">
        <v>39</v>
      </c>
      <c r="D3043" s="49" t="s">
        <v>271</v>
      </c>
      <c r="E3043" s="47">
        <v>111200</v>
      </c>
      <c r="G3043" s="50" t="s">
        <v>89</v>
      </c>
      <c r="H3043" s="51">
        <v>39</v>
      </c>
      <c r="J3043" s="51">
        <v>5.99</v>
      </c>
      <c r="K3043" s="74">
        <f>Tabela6[[#This Row],[CONSUMO]]*Tabela6[[#This Row],[VALOR UNIT]]-Tabela6[[#This Row],[DESCONTO]]</f>
        <v>233.61</v>
      </c>
      <c r="L3043" s="53">
        <f>Tabela6[[#This Row],[CUSTO TOTAL]]/Tabela6[[#This Row],[CONSUMO]]</f>
        <v>5.99</v>
      </c>
      <c r="M3043" s="50">
        <f>Tabela6[[#This Row],[KM ATUAL]]-E2999</f>
        <v>-128580</v>
      </c>
      <c r="N3043" s="51">
        <f>Tabela6[[#This Row],[KM Rodados ]]/Tabela6[[#This Row],[CONSUMO]]</f>
        <v>-3296.9230769230771</v>
      </c>
    </row>
    <row r="3044" spans="1:14" x14ac:dyDescent="0.25">
      <c r="A3044" s="47">
        <v>693985</v>
      </c>
      <c r="B3044" s="78">
        <v>45246</v>
      </c>
      <c r="C3044" s="47" t="s">
        <v>39</v>
      </c>
      <c r="D3044" s="49" t="s">
        <v>271</v>
      </c>
      <c r="E3044" s="47">
        <v>111200</v>
      </c>
      <c r="G3044" s="50" t="s">
        <v>241</v>
      </c>
      <c r="H3044" s="51">
        <v>20.67</v>
      </c>
      <c r="J3044" s="51">
        <v>3.29</v>
      </c>
      <c r="K3044" s="74">
        <f>Tabela6[[#This Row],[CONSUMO]]*Tabela6[[#This Row],[VALOR UNIT]]-Tabela6[[#This Row],[DESCONTO]]</f>
        <v>68.004300000000001</v>
      </c>
      <c r="L3044" s="53">
        <f>Tabela6[[#This Row],[CUSTO TOTAL]]/Tabela6[[#This Row],[CONSUMO]]</f>
        <v>3.2899999999999996</v>
      </c>
      <c r="M3044" s="50"/>
    </row>
    <row r="3045" spans="1:14" x14ac:dyDescent="0.25">
      <c r="A3045" s="47">
        <v>361703</v>
      </c>
      <c r="B3045" s="78">
        <v>45246</v>
      </c>
      <c r="C3045" s="47" t="s">
        <v>70</v>
      </c>
      <c r="D3045" s="49" t="s">
        <v>361</v>
      </c>
      <c r="E3045" s="47">
        <v>241103</v>
      </c>
      <c r="G3045" s="50" t="s">
        <v>89</v>
      </c>
      <c r="H3045" s="51">
        <v>664.01</v>
      </c>
      <c r="J3045" s="51">
        <v>6.09</v>
      </c>
      <c r="K3045" s="74">
        <f>Tabela6[[#This Row],[CONSUMO]]*Tabela6[[#This Row],[VALOR UNIT]]-Tabela6[[#This Row],[DESCONTO]]</f>
        <v>4043.8208999999997</v>
      </c>
      <c r="L3045" s="53">
        <f>Tabela6[[#This Row],[CUSTO TOTAL]]/Tabela6[[#This Row],[CONSUMO]]</f>
        <v>6.09</v>
      </c>
      <c r="M3045" s="50">
        <f>Tabela6[[#This Row],[KM ATUAL]]-E2994</f>
        <v>-97022</v>
      </c>
      <c r="N3045" s="51">
        <f>Tabela6[[#This Row],[KM Rodados ]]/Tabela6[[#This Row],[CONSUMO]]</f>
        <v>-146.11526934835319</v>
      </c>
    </row>
    <row r="3046" spans="1:14" x14ac:dyDescent="0.25">
      <c r="A3046" s="47">
        <v>361704</v>
      </c>
      <c r="B3046" s="78">
        <v>45246</v>
      </c>
      <c r="C3046" s="47" t="s">
        <v>70</v>
      </c>
      <c r="D3046" s="49" t="s">
        <v>361</v>
      </c>
      <c r="E3046" s="47">
        <v>241103</v>
      </c>
      <c r="G3046" s="50" t="s">
        <v>241</v>
      </c>
      <c r="H3046" s="51">
        <v>84.83</v>
      </c>
      <c r="J3046" s="51">
        <v>2.99</v>
      </c>
      <c r="K3046" s="74">
        <f>Tabela6[[#This Row],[CONSUMO]]*Tabela6[[#This Row],[VALOR UNIT]]-Tabela6[[#This Row],[DESCONTO]]</f>
        <v>253.64170000000001</v>
      </c>
      <c r="L3046" s="53">
        <f>Tabela6[[#This Row],[CUSTO TOTAL]]/Tabela6[[#This Row],[CONSUMO]]</f>
        <v>2.99</v>
      </c>
      <c r="M3046" s="50"/>
    </row>
    <row r="3047" spans="1:14" x14ac:dyDescent="0.25">
      <c r="A3047" s="47">
        <v>8255</v>
      </c>
      <c r="B3047" s="78">
        <v>45246</v>
      </c>
      <c r="C3047" s="47" t="s">
        <v>72</v>
      </c>
      <c r="D3047" s="49" t="s">
        <v>299</v>
      </c>
      <c r="E3047" s="47">
        <v>425657</v>
      </c>
      <c r="G3047" s="50" t="s">
        <v>89</v>
      </c>
      <c r="H3047" s="51">
        <v>16</v>
      </c>
      <c r="J3047" s="51">
        <v>5.72</v>
      </c>
      <c r="K3047" s="74">
        <f>Tabela6[[#This Row],[CONSUMO]]*Tabela6[[#This Row],[VALOR UNIT]]-Tabela6[[#This Row],[DESCONTO]]</f>
        <v>91.52</v>
      </c>
      <c r="L3047" s="53">
        <f>Tabela6[[#This Row],[CUSTO TOTAL]]/Tabela6[[#This Row],[CONSUMO]]</f>
        <v>5.72</v>
      </c>
      <c r="M3047" s="50">
        <f>Tabela6[[#This Row],[KM ATUAL]]-E3023</f>
        <v>608</v>
      </c>
      <c r="N3047" s="51">
        <f>Tabela6[[#This Row],[KM Rodados ]]/Tabela6[[#This Row],[CONSUMO]]</f>
        <v>38</v>
      </c>
    </row>
    <row r="3048" spans="1:14" x14ac:dyDescent="0.25">
      <c r="A3048" s="47">
        <v>8255</v>
      </c>
      <c r="B3048" s="78">
        <v>45246</v>
      </c>
      <c r="C3048" s="47" t="s">
        <v>73</v>
      </c>
      <c r="D3048" s="49" t="s">
        <v>299</v>
      </c>
      <c r="E3048" s="119">
        <v>163464</v>
      </c>
      <c r="G3048" s="50" t="s">
        <v>89</v>
      </c>
      <c r="H3048" s="51">
        <v>180</v>
      </c>
      <c r="J3048" s="51">
        <v>5.72</v>
      </c>
      <c r="K3048" s="74">
        <f>Tabela6[[#This Row],[CONSUMO]]*Tabela6[[#This Row],[VALOR UNIT]]-Tabela6[[#This Row],[DESCONTO]]</f>
        <v>1029.5999999999999</v>
      </c>
      <c r="L3048" s="53">
        <f>Tabela6[[#This Row],[CUSTO TOTAL]]/Tabela6[[#This Row],[CONSUMO]]</f>
        <v>5.72</v>
      </c>
      <c r="M3048" s="50">
        <f>Tabela6[[#This Row],[KM ATUAL]]-E3012</f>
        <v>-499160</v>
      </c>
      <c r="N3048" s="51">
        <f>Tabela6[[#This Row],[KM Rodados ]]/Tabela6[[#This Row],[CONSUMO]]</f>
        <v>-2773.1111111111113</v>
      </c>
    </row>
    <row r="3049" spans="1:14" x14ac:dyDescent="0.25">
      <c r="A3049" s="47">
        <v>8255</v>
      </c>
      <c r="B3049" s="78">
        <v>45246</v>
      </c>
      <c r="C3049" s="47" t="s">
        <v>71</v>
      </c>
      <c r="D3049" s="49" t="s">
        <v>299</v>
      </c>
      <c r="E3049" s="47">
        <v>134096</v>
      </c>
      <c r="G3049" s="50" t="s">
        <v>89</v>
      </c>
      <c r="H3049" s="51">
        <v>451</v>
      </c>
      <c r="J3049" s="51">
        <v>5.72</v>
      </c>
      <c r="K3049" s="74">
        <f>Tabela6[[#This Row],[CONSUMO]]*Tabela6[[#This Row],[VALOR UNIT]]-Tabela6[[#This Row],[DESCONTO]]</f>
        <v>2579.7199999999998</v>
      </c>
      <c r="L3049" s="53">
        <f>Tabela6[[#This Row],[CUSTO TOTAL]]/Tabela6[[#This Row],[CONSUMO]]</f>
        <v>5.72</v>
      </c>
      <c r="M3049" s="50">
        <f>Tabela6[[#This Row],[KM ATUAL]]-E2941</f>
        <v>-382486</v>
      </c>
      <c r="N3049" s="51">
        <f>Tabela6[[#This Row],[KM Rodados ]]/Tabela6[[#This Row],[CONSUMO]]</f>
        <v>-848.08425720620846</v>
      </c>
    </row>
    <row r="3050" spans="1:14" x14ac:dyDescent="0.25">
      <c r="A3050" s="47">
        <v>221132</v>
      </c>
      <c r="B3050" s="78">
        <v>45246</v>
      </c>
      <c r="C3050" s="47" t="s">
        <v>207</v>
      </c>
      <c r="D3050" s="49" t="s">
        <v>262</v>
      </c>
      <c r="E3050" s="47">
        <v>64719</v>
      </c>
      <c r="G3050" s="50" t="s">
        <v>244</v>
      </c>
      <c r="H3050" s="51">
        <v>4.75</v>
      </c>
      <c r="J3050" s="51">
        <v>5.59</v>
      </c>
      <c r="K3050" s="74">
        <f>Tabela6[[#This Row],[CONSUMO]]*Tabela6[[#This Row],[VALOR UNIT]]-Tabela6[[#This Row],[DESCONTO]]</f>
        <v>26.552499999999998</v>
      </c>
      <c r="L3050" s="53">
        <f>Tabela6[[#This Row],[CUSTO TOTAL]]/Tabela6[[#This Row],[CONSUMO]]</f>
        <v>5.59</v>
      </c>
      <c r="M3050" s="50">
        <f>Tabela6[[#This Row],[KM ATUAL]]-E2725</f>
        <v>-327336</v>
      </c>
      <c r="N3050" s="49">
        <f>Tabela6[[#This Row],[KM Rodados ]]/Tabela6[[#This Row],[CONSUMO]]</f>
        <v>-68912.84210526316</v>
      </c>
    </row>
    <row r="3051" spans="1:14" x14ac:dyDescent="0.25">
      <c r="A3051" s="47">
        <v>8255</v>
      </c>
      <c r="B3051" s="78">
        <v>45246</v>
      </c>
      <c r="C3051" s="47" t="s">
        <v>10</v>
      </c>
      <c r="D3051" s="49" t="s">
        <v>299</v>
      </c>
      <c r="E3051" s="47">
        <v>732778</v>
      </c>
      <c r="G3051" s="50" t="s">
        <v>89</v>
      </c>
      <c r="H3051" s="51">
        <v>126</v>
      </c>
      <c r="J3051" s="51">
        <v>5.72</v>
      </c>
      <c r="K3051" s="74">
        <f>Tabela6[[#This Row],[CONSUMO]]*Tabela6[[#This Row],[VALOR UNIT]]-Tabela6[[#This Row],[DESCONTO]]</f>
        <v>720.71999999999991</v>
      </c>
      <c r="L3051" s="53">
        <f>Tabela6[[#This Row],[CUSTO TOTAL]]/Tabela6[[#This Row],[CONSUMO]]</f>
        <v>5.72</v>
      </c>
      <c r="M3051" s="50">
        <f>Tabela6[[#This Row],[KM ATUAL]]-E2993</f>
        <v>353969</v>
      </c>
      <c r="N3051" s="51">
        <f>Tabela6[[#This Row],[KM Rodados ]]/Tabela6[[#This Row],[CONSUMO]]</f>
        <v>2809.2777777777778</v>
      </c>
    </row>
    <row r="3052" spans="1:14" x14ac:dyDescent="0.25">
      <c r="A3052" s="47">
        <v>90691</v>
      </c>
      <c r="B3052" s="78">
        <v>45246</v>
      </c>
      <c r="C3052" s="47" t="s">
        <v>11</v>
      </c>
      <c r="D3052" s="49" t="s">
        <v>253</v>
      </c>
      <c r="E3052" s="47">
        <v>405195</v>
      </c>
      <c r="G3052" s="50" t="s">
        <v>89</v>
      </c>
      <c r="H3052" s="51">
        <v>107.4</v>
      </c>
      <c r="J3052" s="51">
        <v>6.29</v>
      </c>
      <c r="K3052" s="74">
        <f>Tabela6[[#This Row],[CONSUMO]]*Tabela6[[#This Row],[VALOR UNIT]]-Tabela6[[#This Row],[DESCONTO]]</f>
        <v>675.54600000000005</v>
      </c>
      <c r="L3052" s="53">
        <f>Tabela6[[#This Row],[CUSTO TOTAL]]/Tabela6[[#This Row],[CONSUMO]]</f>
        <v>6.29</v>
      </c>
      <c r="M3052" s="50">
        <f>Tabela6[[#This Row],[KM ATUAL]]-E2950</f>
        <v>28963</v>
      </c>
      <c r="N3052" s="51">
        <f>Tabela6[[#This Row],[KM Rodados ]]/Tabela6[[#This Row],[CONSUMO]]</f>
        <v>269.67411545623833</v>
      </c>
    </row>
    <row r="3053" spans="1:14" x14ac:dyDescent="0.25">
      <c r="A3053" s="47">
        <v>774597</v>
      </c>
      <c r="B3053" s="78">
        <v>45246</v>
      </c>
      <c r="C3053" s="47" t="s">
        <v>13</v>
      </c>
      <c r="D3053" s="49" t="s">
        <v>264</v>
      </c>
      <c r="E3053" s="47">
        <v>663561</v>
      </c>
      <c r="G3053" s="50" t="s">
        <v>89</v>
      </c>
      <c r="H3053" s="51">
        <v>103.187</v>
      </c>
      <c r="J3053" s="51">
        <v>6.18</v>
      </c>
      <c r="K3053" s="74">
        <f>Tabela6[[#This Row],[CONSUMO]]*Tabela6[[#This Row],[VALOR UNIT]]-Tabela6[[#This Row],[DESCONTO]]</f>
        <v>637.69565999999998</v>
      </c>
      <c r="L3053" s="53">
        <f>Tabela6[[#This Row],[CUSTO TOTAL]]/Tabela6[[#This Row],[CONSUMO]]</f>
        <v>6.18</v>
      </c>
      <c r="M3053" s="50">
        <f>Tabela6[[#This Row],[KM ATUAL]]-E3031</f>
        <v>656812</v>
      </c>
      <c r="N3053" s="51">
        <f>Tabela6[[#This Row],[KM Rodados ]]/Tabela6[[#This Row],[CONSUMO]]</f>
        <v>6365.2591896266003</v>
      </c>
    </row>
    <row r="3054" spans="1:14" x14ac:dyDescent="0.25">
      <c r="A3054" s="47">
        <v>8255</v>
      </c>
      <c r="B3054" s="78">
        <v>45246</v>
      </c>
      <c r="C3054" s="47" t="s">
        <v>17</v>
      </c>
      <c r="D3054" s="49" t="s">
        <v>299</v>
      </c>
      <c r="E3054" s="47">
        <v>379705</v>
      </c>
      <c r="G3054" s="50" t="s">
        <v>89</v>
      </c>
      <c r="H3054" s="51">
        <v>113</v>
      </c>
      <c r="J3054" s="51">
        <v>5.72</v>
      </c>
      <c r="K3054" s="74">
        <f>Tabela6[[#This Row],[CONSUMO]]*Tabela6[[#This Row],[VALOR UNIT]]-Tabela6[[#This Row],[DESCONTO]]</f>
        <v>646.36</v>
      </c>
      <c r="L3054" s="53">
        <f>Tabela6[[#This Row],[CUSTO TOTAL]]/Tabela6[[#This Row],[CONSUMO]]</f>
        <v>5.72</v>
      </c>
      <c r="M3054" s="50">
        <f>Tabela6[[#This Row],[KM ATUAL]]-E3043</f>
        <v>268505</v>
      </c>
      <c r="N3054" s="51">
        <f>Tabela6[[#This Row],[KM Rodados ]]/Tabela6[[#This Row],[CONSUMO]]</f>
        <v>2376.1504424778759</v>
      </c>
    </row>
    <row r="3055" spans="1:14" x14ac:dyDescent="0.25">
      <c r="A3055" s="47">
        <v>8255</v>
      </c>
      <c r="B3055" s="78">
        <v>45246</v>
      </c>
      <c r="C3055" s="47" t="s">
        <v>20</v>
      </c>
      <c r="D3055" s="49" t="s">
        <v>299</v>
      </c>
      <c r="E3055" s="47">
        <v>280496</v>
      </c>
      <c r="G3055" s="50" t="s">
        <v>89</v>
      </c>
      <c r="H3055" s="51">
        <v>67</v>
      </c>
      <c r="J3055" s="51">
        <v>5.72</v>
      </c>
      <c r="K3055" s="74">
        <f>Tabela6[[#This Row],[CONSUMO]]*Tabela6[[#This Row],[VALOR UNIT]]-Tabela6[[#This Row],[DESCONTO]]</f>
        <v>383.24</v>
      </c>
      <c r="L3055" s="53">
        <f>Tabela6[[#This Row],[CUSTO TOTAL]]/Tabela6[[#This Row],[CONSUMO]]</f>
        <v>5.72</v>
      </c>
      <c r="M3055" s="50">
        <f>Tabela6[[#This Row],[KM ATUAL]]-E3021</f>
        <v>40538</v>
      </c>
      <c r="N3055" s="51">
        <f>Tabela6[[#This Row],[KM Rodados ]]/Tabela6[[#This Row],[CONSUMO]]</f>
        <v>605.04477611940297</v>
      </c>
    </row>
    <row r="3056" spans="1:14" x14ac:dyDescent="0.25">
      <c r="A3056" s="47">
        <v>8255</v>
      </c>
      <c r="B3056" s="78">
        <v>45246</v>
      </c>
      <c r="C3056" s="47" t="s">
        <v>23</v>
      </c>
      <c r="D3056" s="49" t="s">
        <v>299</v>
      </c>
      <c r="E3056" s="47">
        <v>255471</v>
      </c>
      <c r="G3056" s="50" t="s">
        <v>89</v>
      </c>
      <c r="H3056" s="51">
        <v>150</v>
      </c>
      <c r="J3056" s="51">
        <v>5.72</v>
      </c>
      <c r="K3056" s="74">
        <f>Tabela6[[#This Row],[CONSUMO]]*Tabela6[[#This Row],[VALOR UNIT]]-Tabela6[[#This Row],[DESCONTO]]</f>
        <v>858</v>
      </c>
      <c r="L3056" s="53">
        <f>Tabela6[[#This Row],[CUSTO TOTAL]]/Tabela6[[#This Row],[CONSUMO]]</f>
        <v>5.72</v>
      </c>
      <c r="M3056" s="50">
        <f>Tabela6[[#This Row],[KM ATUAL]]-E2992</f>
        <v>-406720</v>
      </c>
      <c r="N3056" s="51">
        <f>Tabela6[[#This Row],[KM Rodados ]]/Tabela6[[#This Row],[CONSUMO]]</f>
        <v>-2711.4666666666667</v>
      </c>
    </row>
    <row r="3057" spans="1:14" x14ac:dyDescent="0.25">
      <c r="A3057" s="47">
        <v>8255</v>
      </c>
      <c r="B3057" s="78">
        <v>45246</v>
      </c>
      <c r="C3057" s="47" t="s">
        <v>74</v>
      </c>
      <c r="D3057" s="49" t="s">
        <v>299</v>
      </c>
      <c r="E3057" s="47">
        <v>91296</v>
      </c>
      <c r="G3057" s="50" t="s">
        <v>89</v>
      </c>
      <c r="H3057" s="51">
        <v>46</v>
      </c>
      <c r="J3057" s="51">
        <v>5.72</v>
      </c>
      <c r="K3057" s="74">
        <f>Tabela6[[#This Row],[CONSUMO]]*Tabela6[[#This Row],[VALOR UNIT]]-Tabela6[[#This Row],[DESCONTO]]</f>
        <v>263.12</v>
      </c>
      <c r="L3057" s="53">
        <f>Tabela6[[#This Row],[CUSTO TOTAL]]/Tabela6[[#This Row],[CONSUMO]]</f>
        <v>5.72</v>
      </c>
      <c r="M3057" s="50">
        <f>Tabela6[[#This Row],[KM ATUAL]]-E3039</f>
        <v>-429526</v>
      </c>
      <c r="N3057" s="51">
        <f>Tabela6[[#This Row],[KM Rodados ]]/Tabela6[[#This Row],[CONSUMO]]</f>
        <v>-9337.5217391304341</v>
      </c>
    </row>
    <row r="3058" spans="1:14" x14ac:dyDescent="0.25">
      <c r="A3058" s="47">
        <v>8368</v>
      </c>
      <c r="B3058" s="78">
        <v>45247</v>
      </c>
      <c r="C3058" s="47" t="s">
        <v>68</v>
      </c>
      <c r="D3058" s="49" t="s">
        <v>299</v>
      </c>
      <c r="E3058" s="47">
        <v>934182</v>
      </c>
      <c r="G3058" s="50" t="s">
        <v>89</v>
      </c>
      <c r="H3058" s="51">
        <v>453</v>
      </c>
      <c r="J3058" s="51">
        <v>5.62</v>
      </c>
      <c r="K3058" s="74">
        <f>Tabela6[[#This Row],[CONSUMO]]*Tabela6[[#This Row],[VALOR UNIT]]-Tabela6[[#This Row],[DESCONTO]]</f>
        <v>2545.86</v>
      </c>
      <c r="L3058" s="53">
        <f>Tabela6[[#This Row],[CUSTO TOTAL]]/Tabela6[[#This Row],[CONSUMO]]</f>
        <v>5.62</v>
      </c>
      <c r="M3058" s="50">
        <f>Tabela6[[#This Row],[KM ATUAL]]-E3057</f>
        <v>842886</v>
      </c>
      <c r="N3058" s="92">
        <f>Tabela6[[#This Row],[KM Rodados ]]/Tabela6[[#This Row],[CONSUMO]]</f>
        <v>1860.6754966887418</v>
      </c>
    </row>
    <row r="3059" spans="1:14" x14ac:dyDescent="0.25">
      <c r="A3059" s="47">
        <v>8255</v>
      </c>
      <c r="B3059" s="78">
        <v>45247</v>
      </c>
      <c r="C3059" s="47" t="s">
        <v>43</v>
      </c>
      <c r="D3059" s="49" t="s">
        <v>299</v>
      </c>
      <c r="E3059" s="47">
        <v>160108</v>
      </c>
      <c r="G3059" s="50" t="s">
        <v>89</v>
      </c>
      <c r="H3059" s="51">
        <v>41</v>
      </c>
      <c r="J3059" s="51">
        <v>5.72</v>
      </c>
      <c r="K3059" s="74">
        <f>Tabela6[[#This Row],[CONSUMO]]*Tabela6[[#This Row],[VALOR UNIT]]-Tabela6[[#This Row],[DESCONTO]]</f>
        <v>234.51999999999998</v>
      </c>
      <c r="L3059" s="53">
        <f>Tabela6[[#This Row],[CUSTO TOTAL]]/Tabela6[[#This Row],[CONSUMO]]</f>
        <v>5.72</v>
      </c>
      <c r="M3059" s="50">
        <f>Tabela6[[#This Row],[KM ATUAL]]-E3013</f>
        <v>-142305</v>
      </c>
      <c r="N3059" s="92">
        <f>Tabela6[[#This Row],[KM Rodados ]]/Tabela6[[#This Row],[CONSUMO]]</f>
        <v>-3470.8536585365855</v>
      </c>
    </row>
    <row r="3060" spans="1:14" x14ac:dyDescent="0.25">
      <c r="A3060" s="47">
        <v>367677</v>
      </c>
      <c r="B3060" s="78">
        <v>45247</v>
      </c>
      <c r="C3060" s="47" t="s">
        <v>43</v>
      </c>
      <c r="D3060" s="49" t="s">
        <v>276</v>
      </c>
      <c r="E3060" s="47">
        <v>171955</v>
      </c>
      <c r="G3060" s="50" t="s">
        <v>89</v>
      </c>
      <c r="H3060" s="51">
        <v>50.58</v>
      </c>
      <c r="J3060" s="51">
        <v>6.09</v>
      </c>
      <c r="K3060" s="74">
        <f>Tabela6[[#This Row],[CONSUMO]]*Tabela6[[#This Row],[VALOR UNIT]]-Tabela6[[#This Row],[DESCONTO]]</f>
        <v>308.03219999999999</v>
      </c>
      <c r="L3060" s="53">
        <f>Tabela6[[#This Row],[CUSTO TOTAL]]/Tabela6[[#This Row],[CONSUMO]]</f>
        <v>6.09</v>
      </c>
      <c r="M3060" s="50">
        <f>Tabela6[[#This Row],[KM ATUAL]]-E3036</f>
        <v>-890552</v>
      </c>
      <c r="N3060" s="51">
        <f>Tabela6[[#This Row],[KM Rodados ]]/Tabela6[[#This Row],[CONSUMO]]</f>
        <v>-17606.801107156978</v>
      </c>
    </row>
    <row r="3061" spans="1:14" x14ac:dyDescent="0.25">
      <c r="A3061" s="47">
        <v>8368</v>
      </c>
      <c r="B3061" s="78">
        <v>45247</v>
      </c>
      <c r="C3061" s="47" t="s">
        <v>394</v>
      </c>
      <c r="D3061" s="49" t="s">
        <v>299</v>
      </c>
      <c r="E3061" s="47">
        <v>876800</v>
      </c>
      <c r="G3061" s="50" t="s">
        <v>89</v>
      </c>
      <c r="H3061" s="51">
        <v>70</v>
      </c>
      <c r="J3061" s="51">
        <v>5.62</v>
      </c>
      <c r="K3061" s="74">
        <f>Tabela6[[#This Row],[CONSUMO]]*Tabela6[[#This Row],[VALOR UNIT]]-Tabela6[[#This Row],[DESCONTO]]</f>
        <v>393.40000000000003</v>
      </c>
      <c r="L3061" s="53">
        <f>Tabela6[[#This Row],[CUSTO TOTAL]]/Tabela6[[#This Row],[CONSUMO]]</f>
        <v>5.62</v>
      </c>
      <c r="M3061" s="51">
        <f>Tabela6[[#This Row],[KM ATUAL]]-E2975</f>
        <v>539113</v>
      </c>
      <c r="N3061" s="92">
        <f>Tabela6[[#This Row],[KM Rodados ]]/Tabela6[[#This Row],[CONSUMO]]</f>
        <v>7701.6142857142859</v>
      </c>
    </row>
    <row r="3062" spans="1:14" x14ac:dyDescent="0.25">
      <c r="A3062" s="47">
        <v>8255</v>
      </c>
      <c r="B3062" s="78">
        <v>45247</v>
      </c>
      <c r="C3062" s="47" t="s">
        <v>41</v>
      </c>
      <c r="D3062" s="49" t="s">
        <v>299</v>
      </c>
      <c r="E3062" s="47">
        <v>684280</v>
      </c>
      <c r="G3062" s="50" t="s">
        <v>89</v>
      </c>
      <c r="H3062" s="51">
        <v>70</v>
      </c>
      <c r="J3062" s="51">
        <v>5.72</v>
      </c>
      <c r="K3062" s="74">
        <f>Tabela6[[#This Row],[CONSUMO]]*Tabela6[[#This Row],[VALOR UNIT]]-Tabela6[[#This Row],[DESCONTO]]</f>
        <v>400.4</v>
      </c>
      <c r="L3062" s="53">
        <f>Tabela6[[#This Row],[CUSTO TOTAL]]/Tabela6[[#This Row],[CONSUMO]]</f>
        <v>5.72</v>
      </c>
      <c r="M3062" s="50">
        <f>Tabela6[[#This Row],[KM ATUAL]]-E3029</f>
        <v>593433</v>
      </c>
      <c r="N3062" s="92">
        <f>Tabela6[[#This Row],[KM Rodados ]]/Tabela6[[#This Row],[CONSUMO]]</f>
        <v>8477.6142857142859</v>
      </c>
    </row>
    <row r="3063" spans="1:14" x14ac:dyDescent="0.25">
      <c r="A3063" s="47">
        <v>8368</v>
      </c>
      <c r="B3063" s="78">
        <v>45247</v>
      </c>
      <c r="C3063" s="47" t="s">
        <v>301</v>
      </c>
      <c r="D3063" s="49" t="s">
        <v>299</v>
      </c>
      <c r="E3063" s="47">
        <v>1063835</v>
      </c>
      <c r="G3063" s="50" t="s">
        <v>89</v>
      </c>
      <c r="H3063" s="51">
        <v>467</v>
      </c>
      <c r="J3063" s="51">
        <v>5.62</v>
      </c>
      <c r="K3063" s="74">
        <f>Tabela6[[#This Row],[CONSUMO]]*Tabela6[[#This Row],[VALOR UNIT]]-Tabela6[[#This Row],[DESCONTO]]</f>
        <v>2624.54</v>
      </c>
      <c r="L3063" s="53">
        <f>Tabela6[[#This Row],[CUSTO TOTAL]]/Tabela6[[#This Row],[CONSUMO]]</f>
        <v>5.62</v>
      </c>
      <c r="M3063" s="50">
        <f>Tabela6[[#This Row],[KM ATUAL]]-E3039</f>
        <v>543013</v>
      </c>
      <c r="N3063" s="92">
        <f>Tabela6[[#This Row],[KM Rodados ]]/Tabela6[[#This Row],[CONSUMO]]</f>
        <v>1162.7687366167024</v>
      </c>
    </row>
    <row r="3064" spans="1:14" x14ac:dyDescent="0.25">
      <c r="A3064" s="47">
        <v>550214</v>
      </c>
      <c r="B3064" s="78">
        <v>45247</v>
      </c>
      <c r="C3064" s="47" t="s">
        <v>301</v>
      </c>
      <c r="D3064" s="49" t="s">
        <v>259</v>
      </c>
      <c r="E3064" s="47">
        <v>1086000</v>
      </c>
      <c r="G3064" s="50" t="s">
        <v>89</v>
      </c>
      <c r="H3064" s="51">
        <v>432.73</v>
      </c>
      <c r="J3064" s="51">
        <v>5.69</v>
      </c>
      <c r="K3064" s="74">
        <f>Tabela6[[#This Row],[CONSUMO]]*Tabela6[[#This Row],[VALOR UNIT]]-Tabela6[[#This Row],[DESCONTO]]</f>
        <v>2462.2337000000002</v>
      </c>
      <c r="L3064" s="53">
        <f>Tabela6[[#This Row],[CUSTO TOTAL]]/Tabela6[[#This Row],[CONSUMO]]</f>
        <v>5.69</v>
      </c>
      <c r="M3064" s="50">
        <f>Tabela6[[#This Row],[KM ATUAL]]-E3047</f>
        <v>660343</v>
      </c>
      <c r="N3064" s="51">
        <f>Tabela6[[#This Row],[KM Rodados ]]/Tabela6[[#This Row],[CONSUMO]]</f>
        <v>1525.9931134887804</v>
      </c>
    </row>
    <row r="3065" spans="1:14" x14ac:dyDescent="0.25">
      <c r="A3065" s="47">
        <v>8255</v>
      </c>
      <c r="B3065" s="78">
        <v>45247</v>
      </c>
      <c r="C3065" s="47" t="s">
        <v>15</v>
      </c>
      <c r="D3065" s="49" t="s">
        <v>299</v>
      </c>
      <c r="E3065" s="47">
        <v>400004</v>
      </c>
      <c r="G3065" s="50" t="s">
        <v>89</v>
      </c>
      <c r="H3065" s="51">
        <v>118</v>
      </c>
      <c r="J3065" s="51">
        <v>5.72</v>
      </c>
      <c r="K3065" s="74">
        <f>Tabela6[[#This Row],[CONSUMO]]*Tabela6[[#This Row],[VALOR UNIT]]-Tabela6[[#This Row],[DESCONTO]]</f>
        <v>674.95999999999992</v>
      </c>
      <c r="L3065" s="53">
        <f>Tabela6[[#This Row],[CUSTO TOTAL]]/Tabela6[[#This Row],[CONSUMO]]</f>
        <v>5.72</v>
      </c>
      <c r="M3065" s="50">
        <f>Tabela6[[#This Row],[KM ATUAL]]-E3028</f>
        <v>61561</v>
      </c>
      <c r="N3065" s="92">
        <f>Tabela6[[#This Row],[KM Rodados ]]/Tabela6[[#This Row],[CONSUMO]]</f>
        <v>521.70338983050851</v>
      </c>
    </row>
    <row r="3066" spans="1:14" x14ac:dyDescent="0.25">
      <c r="A3066" s="47">
        <v>8255</v>
      </c>
      <c r="B3066" s="78">
        <v>45247</v>
      </c>
      <c r="C3066" s="47" t="s">
        <v>19</v>
      </c>
      <c r="D3066" s="49" t="s">
        <v>299</v>
      </c>
      <c r="E3066" s="47">
        <v>338889</v>
      </c>
      <c r="G3066" s="50" t="s">
        <v>89</v>
      </c>
      <c r="H3066" s="51">
        <v>90</v>
      </c>
      <c r="J3066" s="51">
        <v>5.72</v>
      </c>
      <c r="K3066" s="74">
        <f>Tabela6[[#This Row],[CONSUMO]]*Tabela6[[#This Row],[VALOR UNIT]]-Tabela6[[#This Row],[DESCONTO]]</f>
        <v>514.79999999999995</v>
      </c>
      <c r="L3066" s="53">
        <f>Tabela6[[#This Row],[CUSTO TOTAL]]/Tabela6[[#This Row],[CONSUMO]]</f>
        <v>5.72</v>
      </c>
      <c r="M3066" s="50">
        <f>Tabela6[[#This Row],[KM ATUAL]]-E3033</f>
        <v>-295057</v>
      </c>
      <c r="N3066" s="92">
        <f>Tabela6[[#This Row],[KM Rodados ]]/Tabela6[[#This Row],[CONSUMO]]</f>
        <v>-3278.411111111111</v>
      </c>
    </row>
    <row r="3067" spans="1:14" x14ac:dyDescent="0.25">
      <c r="A3067" s="47">
        <v>353858</v>
      </c>
      <c r="B3067" s="78">
        <v>45248</v>
      </c>
      <c r="C3067" s="47" t="s">
        <v>222</v>
      </c>
      <c r="D3067" s="49" t="s">
        <v>345</v>
      </c>
      <c r="E3067" s="47">
        <v>521972</v>
      </c>
      <c r="G3067" s="50" t="s">
        <v>89</v>
      </c>
      <c r="H3067" s="51">
        <v>100</v>
      </c>
      <c r="J3067" s="51">
        <v>5.59</v>
      </c>
      <c r="K3067" s="74">
        <f>Tabela6[[#This Row],[CONSUMO]]*Tabela6[[#This Row],[VALOR UNIT]]-Tabela6[[#This Row],[DESCONTO]]</f>
        <v>559</v>
      </c>
      <c r="L3067" s="53">
        <f>Tabela6[[#This Row],[CUSTO TOTAL]]/Tabela6[[#This Row],[CONSUMO]]</f>
        <v>5.59</v>
      </c>
      <c r="M3067" s="50">
        <f>Tabela6[[#This Row],[KM ATUAL]]-E3050</f>
        <v>457253</v>
      </c>
      <c r="N3067" s="92">
        <f>Tabela6[[#This Row],[KM Rodados ]]/Tabela6[[#This Row],[CONSUMO]]</f>
        <v>4572.53</v>
      </c>
    </row>
    <row r="3068" spans="1:14" x14ac:dyDescent="0.25">
      <c r="A3068" s="47">
        <v>516616</v>
      </c>
      <c r="B3068" s="78">
        <v>45249</v>
      </c>
      <c r="C3068" s="47" t="s">
        <v>222</v>
      </c>
      <c r="D3068" s="49" t="s">
        <v>383</v>
      </c>
      <c r="E3068" s="47">
        <v>522051</v>
      </c>
      <c r="G3068" s="50" t="s">
        <v>89</v>
      </c>
      <c r="H3068" s="51">
        <v>266.33800000000002</v>
      </c>
      <c r="J3068" s="51">
        <v>5.69</v>
      </c>
      <c r="K3068" s="74">
        <f>Tabela6[[#This Row],[CONSUMO]]*Tabela6[[#This Row],[VALOR UNIT]]-Tabela6[[#This Row],[DESCONTO]]</f>
        <v>1515.4632200000003</v>
      </c>
      <c r="L3068" s="53">
        <f>Tabela6[[#This Row],[CUSTO TOTAL]]/Tabela6[[#This Row],[CONSUMO]]</f>
        <v>5.69</v>
      </c>
      <c r="M3068" s="50">
        <f>Tabela6[[#This Row],[KM ATUAL]]-E3066</f>
        <v>183162</v>
      </c>
      <c r="N3068" s="51">
        <f>Tabela6[[#This Row],[KM Rodados ]]/Tabela6[[#This Row],[CONSUMO]]</f>
        <v>687.70509653147496</v>
      </c>
    </row>
    <row r="3069" spans="1:14" x14ac:dyDescent="0.25">
      <c r="A3069" s="47">
        <v>696151</v>
      </c>
      <c r="B3069" s="78">
        <v>45250</v>
      </c>
      <c r="C3069" s="47" t="s">
        <v>9</v>
      </c>
      <c r="D3069" s="49" t="s">
        <v>271</v>
      </c>
      <c r="E3069" s="47">
        <v>634473</v>
      </c>
      <c r="G3069" s="50" t="s">
        <v>89</v>
      </c>
      <c r="H3069" s="51">
        <v>120</v>
      </c>
      <c r="J3069" s="51">
        <v>6.09</v>
      </c>
      <c r="K3069" s="74">
        <f>Tabela6[[#This Row],[CONSUMO]]*Tabela6[[#This Row],[VALOR UNIT]]-Tabela6[[#This Row],[DESCONTO]]</f>
        <v>730.8</v>
      </c>
      <c r="L3069" s="53">
        <f>Tabela6[[#This Row],[CUSTO TOTAL]]/Tabela6[[#This Row],[CONSUMO]]</f>
        <v>6.09</v>
      </c>
      <c r="M3069" s="50">
        <f>Tabela6[[#This Row],[KM ATUAL]]-E3038</f>
        <v>257675</v>
      </c>
      <c r="N3069" s="92">
        <f>Tabela6[[#This Row],[KM Rodados ]]/Tabela6[[#This Row],[CONSUMO]]</f>
        <v>2147.2916666666665</v>
      </c>
    </row>
    <row r="3070" spans="1:14" x14ac:dyDescent="0.25">
      <c r="A3070" s="47">
        <v>430373</v>
      </c>
      <c r="B3070" s="78">
        <v>45250</v>
      </c>
      <c r="C3070" s="47" t="s">
        <v>222</v>
      </c>
      <c r="D3070" s="49" t="s">
        <v>333</v>
      </c>
      <c r="E3070" s="47">
        <v>522629</v>
      </c>
      <c r="G3070" s="50" t="s">
        <v>89</v>
      </c>
      <c r="H3070" s="51">
        <v>302.34699999999998</v>
      </c>
      <c r="J3070" s="51">
        <v>5.79</v>
      </c>
      <c r="K3070" s="74">
        <f>Tabela6[[#This Row],[CONSUMO]]*Tabela6[[#This Row],[VALOR UNIT]]-Tabela6[[#This Row],[DESCONTO]]</f>
        <v>1750.5891299999998</v>
      </c>
      <c r="L3070" s="53">
        <f>Tabela6[[#This Row],[CUSTO TOTAL]]/Tabela6[[#This Row],[CONSUMO]]</f>
        <v>5.79</v>
      </c>
      <c r="M3070" s="50">
        <f>Tabela6[[#This Row],[KM ATUAL]]-E3069</f>
        <v>-111844</v>
      </c>
      <c r="N3070" s="51">
        <f>Tabela6[[#This Row],[KM Rodados ]]/Tabela6[[#This Row],[CONSUMO]]</f>
        <v>-369.91933109969671</v>
      </c>
    </row>
    <row r="3071" spans="1:14" x14ac:dyDescent="0.25">
      <c r="A3071" s="47">
        <v>430373</v>
      </c>
      <c r="B3071" s="78">
        <v>45250</v>
      </c>
      <c r="C3071" s="47" t="s">
        <v>222</v>
      </c>
      <c r="D3071" s="49" t="s">
        <v>333</v>
      </c>
      <c r="E3071" s="47">
        <v>522629</v>
      </c>
      <c r="G3071" s="50" t="s">
        <v>241</v>
      </c>
      <c r="H3071" s="51">
        <v>33.121000000000002</v>
      </c>
      <c r="J3071" s="51">
        <v>2.99</v>
      </c>
      <c r="K3071" s="74">
        <f>Tabela6[[#This Row],[CONSUMO]]*Tabela6[[#This Row],[VALOR UNIT]]-Tabela6[[#This Row],[DESCONTO]]</f>
        <v>99.031790000000015</v>
      </c>
      <c r="L3071" s="53">
        <f>Tabela6[[#This Row],[CUSTO TOTAL]]/Tabela6[[#This Row],[CONSUMO]]</f>
        <v>2.99</v>
      </c>
      <c r="M3071" s="50"/>
      <c r="N3071" s="49"/>
    </row>
    <row r="3072" spans="1:14" x14ac:dyDescent="0.25">
      <c r="A3072" s="47">
        <v>569271</v>
      </c>
      <c r="B3072" s="78">
        <v>45250</v>
      </c>
      <c r="C3072" s="47" t="s">
        <v>222</v>
      </c>
      <c r="D3072" s="49" t="s">
        <v>378</v>
      </c>
      <c r="E3072" s="47">
        <v>523343</v>
      </c>
      <c r="G3072" s="50" t="s">
        <v>89</v>
      </c>
      <c r="H3072" s="51">
        <v>345</v>
      </c>
      <c r="J3072" s="51">
        <v>6.09</v>
      </c>
      <c r="K3072" s="74">
        <f>Tabela6[[#This Row],[CONSUMO]]*Tabela6[[#This Row],[VALOR UNIT]]-Tabela6[[#This Row],[DESCONTO]]</f>
        <v>2101.0499999999997</v>
      </c>
      <c r="L3072" s="53">
        <f>Tabela6[[#This Row],[CUSTO TOTAL]]/Tabela6[[#This Row],[CONSUMO]]</f>
        <v>6.089999999999999</v>
      </c>
      <c r="M3072" s="50">
        <f>Tabela6[[#This Row],[KM ATUAL]]-E3070</f>
        <v>714</v>
      </c>
      <c r="N3072" s="51">
        <f>Tabela6[[#This Row],[KM Rodados ]]/Tabela6[[#This Row],[CONSUMO]]</f>
        <v>2.0695652173913044</v>
      </c>
    </row>
    <row r="3073" spans="1:14" x14ac:dyDescent="0.25">
      <c r="A3073" s="47">
        <v>222531</v>
      </c>
      <c r="B3073" s="78">
        <v>45251</v>
      </c>
      <c r="C3073" s="47" t="s">
        <v>43</v>
      </c>
      <c r="D3073" s="49" t="s">
        <v>262</v>
      </c>
      <c r="E3073" s="47">
        <v>160270</v>
      </c>
      <c r="G3073" s="50" t="s">
        <v>89</v>
      </c>
      <c r="H3073" s="51">
        <v>21.178999999999998</v>
      </c>
      <c r="J3073" s="51">
        <v>6.19</v>
      </c>
      <c r="K3073" s="74">
        <f>Tabela6[[#This Row],[CONSUMO]]*Tabela6[[#This Row],[VALOR UNIT]]-Tabela6[[#This Row],[DESCONTO]]</f>
        <v>131.09800999999999</v>
      </c>
      <c r="L3073" s="53">
        <f>Tabela6[[#This Row],[CUSTO TOTAL]]/Tabela6[[#This Row],[CONSUMO]]</f>
        <v>6.1899999999999995</v>
      </c>
      <c r="M3073" s="50">
        <f>Tabela6[[#This Row],[KM ATUAL]]-E3052</f>
        <v>-244925</v>
      </c>
      <c r="N3073" s="92">
        <f>Tabela6[[#This Row],[KM Rodados ]]/Tabela6[[#This Row],[CONSUMO]]</f>
        <v>-11564.52145993673</v>
      </c>
    </row>
    <row r="3074" spans="1:14" x14ac:dyDescent="0.25">
      <c r="A3074" s="47">
        <v>8368</v>
      </c>
      <c r="B3074" s="78">
        <v>45251</v>
      </c>
      <c r="C3074" s="47" t="s">
        <v>67</v>
      </c>
      <c r="D3074" s="49" t="s">
        <v>299</v>
      </c>
      <c r="E3074" s="47">
        <v>689824</v>
      </c>
      <c r="G3074" s="50" t="s">
        <v>89</v>
      </c>
      <c r="H3074" s="51">
        <v>110</v>
      </c>
      <c r="J3074" s="51">
        <v>5.62</v>
      </c>
      <c r="K3074" s="74">
        <f>Tabela6[[#This Row],[CONSUMO]]*Tabela6[[#This Row],[VALOR UNIT]]-Tabela6[[#This Row],[DESCONTO]]</f>
        <v>618.20000000000005</v>
      </c>
      <c r="L3074" s="53">
        <f>Tabela6[[#This Row],[CUSTO TOTAL]]/Tabela6[[#This Row],[CONSUMO]]</f>
        <v>5.62</v>
      </c>
      <c r="M3074" s="50">
        <f>Tabela6[[#This Row],[KM ATUAL]]-E3038</f>
        <v>313026</v>
      </c>
      <c r="N3074" s="51">
        <f>Tabela6[[#This Row],[KM Rodados ]]/Tabela6[[#This Row],[CONSUMO]]</f>
        <v>2845.6909090909089</v>
      </c>
    </row>
    <row r="3075" spans="1:14" x14ac:dyDescent="0.25">
      <c r="A3075" s="47">
        <v>8368</v>
      </c>
      <c r="B3075" s="78">
        <v>45251</v>
      </c>
      <c r="C3075" s="47" t="s">
        <v>22</v>
      </c>
      <c r="D3075" s="49" t="s">
        <v>299</v>
      </c>
      <c r="E3075" s="47">
        <v>342516</v>
      </c>
      <c r="G3075" s="50" t="s">
        <v>89</v>
      </c>
      <c r="H3075" s="51">
        <v>135</v>
      </c>
      <c r="J3075" s="51">
        <v>5.62</v>
      </c>
      <c r="K3075" s="74">
        <f>Tabela6[[#This Row],[CONSUMO]]*Tabela6[[#This Row],[VALOR UNIT]]-Tabela6[[#This Row],[DESCONTO]]</f>
        <v>758.7</v>
      </c>
      <c r="L3075" s="53">
        <f>Tabela6[[#This Row],[CUSTO TOTAL]]/Tabela6[[#This Row],[CONSUMO]]</f>
        <v>5.62</v>
      </c>
      <c r="M3075" s="50">
        <f>Tabela6[[#This Row],[KM ATUAL]]-E3033</f>
        <v>-291430</v>
      </c>
      <c r="N3075" s="51">
        <f>Tabela6[[#This Row],[KM Rodados ]]/Tabela6[[#This Row],[CONSUMO]]</f>
        <v>-2158.7407407407409</v>
      </c>
    </row>
    <row r="3076" spans="1:14" x14ac:dyDescent="0.25">
      <c r="A3076" s="47">
        <v>8368</v>
      </c>
      <c r="B3076" s="78">
        <v>45251</v>
      </c>
      <c r="C3076" s="47" t="s">
        <v>39</v>
      </c>
      <c r="D3076" s="49" t="s">
        <v>299</v>
      </c>
      <c r="E3076" s="47">
        <v>111673</v>
      </c>
      <c r="G3076" s="50" t="s">
        <v>89</v>
      </c>
      <c r="H3076" s="51">
        <v>61</v>
      </c>
      <c r="J3076" s="51">
        <v>5.62</v>
      </c>
      <c r="K3076" s="74">
        <f>Tabela6[[#This Row],[CONSUMO]]*Tabela6[[#This Row],[VALOR UNIT]]-Tabela6[[#This Row],[DESCONTO]]</f>
        <v>342.82</v>
      </c>
      <c r="L3076" s="53">
        <f>Tabela6[[#This Row],[CUSTO TOTAL]]/Tabela6[[#This Row],[CONSUMO]]</f>
        <v>5.62</v>
      </c>
      <c r="M3076" s="50">
        <f>Tabela6[[#This Row],[KM ATUAL]]-E3050</f>
        <v>46954</v>
      </c>
      <c r="N3076" s="51">
        <f>Tabela6[[#This Row],[KM Rodados ]]/Tabela6[[#This Row],[CONSUMO]]</f>
        <v>769.73770491803282</v>
      </c>
    </row>
    <row r="3077" spans="1:14" x14ac:dyDescent="0.25">
      <c r="A3077" s="47">
        <v>8368</v>
      </c>
      <c r="B3077" s="78">
        <v>45251</v>
      </c>
      <c r="C3077" s="47" t="s">
        <v>71</v>
      </c>
      <c r="D3077" s="49" t="s">
        <v>299</v>
      </c>
      <c r="E3077" s="47">
        <v>134525</v>
      </c>
      <c r="G3077" s="50" t="s">
        <v>89</v>
      </c>
      <c r="H3077" s="51">
        <v>140</v>
      </c>
      <c r="J3077" s="51">
        <v>5.62</v>
      </c>
      <c r="K3077" s="74">
        <f>Tabela6[[#This Row],[CONSUMO]]*Tabela6[[#This Row],[VALOR UNIT]]-Tabela6[[#This Row],[DESCONTO]]</f>
        <v>786.80000000000007</v>
      </c>
      <c r="L3077" s="53">
        <f>Tabela6[[#This Row],[CUSTO TOTAL]]/Tabela6[[#This Row],[CONSUMO]]</f>
        <v>5.62</v>
      </c>
      <c r="M3077" s="50">
        <f>Tabela6[[#This Row],[KM ATUAL]]-E3044</f>
        <v>23325</v>
      </c>
      <c r="N3077" s="51">
        <f>Tabela6[[#This Row],[KM Rodados ]]/Tabela6[[#This Row],[CONSUMO]]</f>
        <v>166.60714285714286</v>
      </c>
    </row>
    <row r="3078" spans="1:14" x14ac:dyDescent="0.25">
      <c r="A3078" s="47">
        <v>582971</v>
      </c>
      <c r="B3078" s="78">
        <v>45251</v>
      </c>
      <c r="C3078" s="47" t="s">
        <v>64</v>
      </c>
      <c r="D3078" s="49" t="s">
        <v>255</v>
      </c>
      <c r="E3078" s="47">
        <v>103792</v>
      </c>
      <c r="G3078" s="50" t="s">
        <v>89</v>
      </c>
      <c r="H3078" s="51">
        <v>211.14</v>
      </c>
      <c r="J3078" s="51">
        <v>6.59</v>
      </c>
      <c r="K3078" s="74">
        <f>Tabela6[[#This Row],[CONSUMO]]*Tabela6[[#This Row],[VALOR UNIT]]-Tabela6[[#This Row],[DESCONTO]]</f>
        <v>1391.4125999999999</v>
      </c>
      <c r="L3078" s="53">
        <f>Tabela6[[#This Row],[CUSTO TOTAL]]/Tabela6[[#This Row],[CONSUMO]]</f>
        <v>6.59</v>
      </c>
      <c r="M3078" s="50">
        <f>Tabela6[[#This Row],[KM ATUAL]]-E2992</f>
        <v>-558399</v>
      </c>
      <c r="N3078" s="92">
        <f>Tabela6[[#This Row],[KM Rodados ]]/Tabela6[[#This Row],[CONSUMO]]</f>
        <v>-2644.6859903381646</v>
      </c>
    </row>
    <row r="3079" spans="1:14" x14ac:dyDescent="0.25">
      <c r="A3079" s="47">
        <v>8368</v>
      </c>
      <c r="B3079" s="78">
        <v>45251</v>
      </c>
      <c r="C3079" s="47" t="s">
        <v>301</v>
      </c>
      <c r="D3079" s="49" t="s">
        <v>299</v>
      </c>
      <c r="E3079" s="47">
        <v>1064497</v>
      </c>
      <c r="G3079" s="50" t="s">
        <v>89</v>
      </c>
      <c r="H3079" s="51">
        <v>312</v>
      </c>
      <c r="J3079" s="51">
        <v>5.62</v>
      </c>
      <c r="K3079" s="74">
        <f>Tabela6[[#This Row],[CONSUMO]]*Tabela6[[#This Row],[VALOR UNIT]]-Tabela6[[#This Row],[DESCONTO]]</f>
        <v>1753.44</v>
      </c>
      <c r="L3079" s="53">
        <f>Tabela6[[#This Row],[CUSTO TOTAL]]/Tabela6[[#This Row],[CONSUMO]]</f>
        <v>5.62</v>
      </c>
      <c r="M3079" s="50">
        <f>Tabela6[[#This Row],[KM ATUAL]]-E3053</f>
        <v>400936</v>
      </c>
      <c r="N3079" s="51">
        <f>Tabela6[[#This Row],[KM Rodados ]]/Tabela6[[#This Row],[CONSUMO]]</f>
        <v>1285.051282051282</v>
      </c>
    </row>
    <row r="3080" spans="1:14" x14ac:dyDescent="0.25">
      <c r="A3080" s="47">
        <v>8368</v>
      </c>
      <c r="B3080" s="78">
        <v>45251</v>
      </c>
      <c r="C3080" s="47" t="s">
        <v>206</v>
      </c>
      <c r="D3080" s="49" t="s">
        <v>299</v>
      </c>
      <c r="E3080" s="47">
        <v>981770</v>
      </c>
      <c r="G3080" s="50" t="s">
        <v>89</v>
      </c>
      <c r="H3080" s="51">
        <v>330</v>
      </c>
      <c r="J3080" s="51">
        <v>5.62</v>
      </c>
      <c r="K3080" s="74">
        <f>Tabela6[[#This Row],[CONSUMO]]*Tabela6[[#This Row],[VALOR UNIT]]-Tabela6[[#This Row],[DESCONTO]]</f>
        <v>1854.6000000000001</v>
      </c>
      <c r="L3080" s="53">
        <f>Tabela6[[#This Row],[CUSTO TOTAL]]/Tabela6[[#This Row],[CONSUMO]]</f>
        <v>5.62</v>
      </c>
      <c r="M3080" s="50">
        <f>Tabela6[[#This Row],[KM ATUAL]]-E2982</f>
        <v>463450</v>
      </c>
      <c r="N3080" s="51">
        <f>Tabela6[[#This Row],[KM Rodados ]]/Tabela6[[#This Row],[CONSUMO]]</f>
        <v>1404.3939393939395</v>
      </c>
    </row>
    <row r="3081" spans="1:14" x14ac:dyDescent="0.25">
      <c r="A3081" s="47">
        <v>8368</v>
      </c>
      <c r="B3081" s="78">
        <v>45251</v>
      </c>
      <c r="C3081" s="47" t="s">
        <v>13</v>
      </c>
      <c r="D3081" s="49" t="s">
        <v>299</v>
      </c>
      <c r="E3081" s="47">
        <v>663959</v>
      </c>
      <c r="G3081" s="50" t="s">
        <v>89</v>
      </c>
      <c r="H3081" s="51">
        <v>80</v>
      </c>
      <c r="J3081" s="51">
        <v>5.62</v>
      </c>
      <c r="K3081" s="74">
        <f>Tabela6[[#This Row],[CONSUMO]]*Tabela6[[#This Row],[VALOR UNIT]]-Tabela6[[#This Row],[DESCONTO]]</f>
        <v>449.6</v>
      </c>
      <c r="L3081" s="53">
        <f>Tabela6[[#This Row],[CUSTO TOTAL]]/Tabela6[[#This Row],[CONSUMO]]</f>
        <v>5.62</v>
      </c>
      <c r="M3081" s="50">
        <f>Tabela6[[#This Row],[KM ATUAL]]-E3059</f>
        <v>503851</v>
      </c>
      <c r="N3081" s="51">
        <f>Tabela6[[#This Row],[KM Rodados ]]/Tabela6[[#This Row],[CONSUMO]]</f>
        <v>6298.1374999999998</v>
      </c>
    </row>
    <row r="3082" spans="1:14" x14ac:dyDescent="0.25">
      <c r="A3082" s="47">
        <v>1119021</v>
      </c>
      <c r="B3082" s="78">
        <v>45251</v>
      </c>
      <c r="C3082" s="47" t="s">
        <v>13</v>
      </c>
      <c r="D3082" s="49" t="s">
        <v>256</v>
      </c>
      <c r="E3082" s="47">
        <v>664277</v>
      </c>
      <c r="G3082" s="50" t="s">
        <v>89</v>
      </c>
      <c r="H3082" s="51">
        <v>84.358999999999995</v>
      </c>
      <c r="J3082" s="51">
        <v>5.89</v>
      </c>
      <c r="K3082" s="74">
        <f>Tabela6[[#This Row],[CONSUMO]]*Tabela6[[#This Row],[VALOR UNIT]]-Tabela6[[#This Row],[DESCONTO]]</f>
        <v>496.87450999999993</v>
      </c>
      <c r="L3082" s="53">
        <f>Tabela6[[#This Row],[CUSTO TOTAL]]/Tabela6[[#This Row],[CONSUMO]]</f>
        <v>5.89</v>
      </c>
      <c r="M3082" s="50">
        <f>Tabela6[[#This Row],[KM ATUAL]]-E3076</f>
        <v>552604</v>
      </c>
      <c r="N3082" s="51">
        <f>Tabela6[[#This Row],[KM Rodados ]]/Tabela6[[#This Row],[CONSUMO]]</f>
        <v>6550.6229329413582</v>
      </c>
    </row>
    <row r="3083" spans="1:14" x14ac:dyDescent="0.25">
      <c r="A3083" s="47">
        <v>8368</v>
      </c>
      <c r="B3083" s="78">
        <v>45251</v>
      </c>
      <c r="C3083" s="47" t="s">
        <v>17</v>
      </c>
      <c r="D3083" s="49" t="s">
        <v>299</v>
      </c>
      <c r="E3083" s="47">
        <v>380278</v>
      </c>
      <c r="G3083" s="50" t="s">
        <v>89</v>
      </c>
      <c r="H3083" s="51">
        <v>131</v>
      </c>
      <c r="J3083" s="51">
        <v>5.62</v>
      </c>
      <c r="K3083" s="74">
        <f>Tabela6[[#This Row],[CONSUMO]]*Tabela6[[#This Row],[VALOR UNIT]]-Tabela6[[#This Row],[DESCONTO]]</f>
        <v>736.22</v>
      </c>
      <c r="L3083" s="53">
        <f>Tabela6[[#This Row],[CUSTO TOTAL]]/Tabela6[[#This Row],[CONSUMO]]</f>
        <v>5.62</v>
      </c>
      <c r="M3083" s="50">
        <f>Tabela6[[#This Row],[KM ATUAL]]-E3050</f>
        <v>315559</v>
      </c>
      <c r="N3083" s="51">
        <f>Tabela6[[#This Row],[KM Rodados ]]/Tabela6[[#This Row],[CONSUMO]]</f>
        <v>2408.8473282442746</v>
      </c>
    </row>
    <row r="3084" spans="1:14" x14ac:dyDescent="0.25">
      <c r="A3084" s="47">
        <v>126891</v>
      </c>
      <c r="B3084" s="78">
        <v>45251</v>
      </c>
      <c r="C3084" s="47" t="s">
        <v>19</v>
      </c>
      <c r="D3084" s="49" t="s">
        <v>281</v>
      </c>
      <c r="E3084" s="47">
        <v>339224</v>
      </c>
      <c r="G3084" s="50" t="s">
        <v>89</v>
      </c>
      <c r="H3084" s="51">
        <v>68.459999999999994</v>
      </c>
      <c r="J3084" s="51">
        <v>5.98</v>
      </c>
      <c r="K3084" s="74">
        <f>Tabela6[[#This Row],[CONSUMO]]*Tabela6[[#This Row],[VALOR UNIT]]-Tabela6[[#This Row],[DESCONTO]]</f>
        <v>409.39080000000001</v>
      </c>
      <c r="L3084" s="53">
        <f>Tabela6[[#This Row],[CUSTO TOTAL]]/Tabela6[[#This Row],[CONSUMO]]</f>
        <v>5.98</v>
      </c>
      <c r="M3084" s="50">
        <f>Tabela6[[#This Row],[KM ATUAL]]-E3061</f>
        <v>-537576</v>
      </c>
      <c r="N3084" s="92">
        <f>Tabela6[[#This Row],[KM Rodados ]]/Tabela6[[#This Row],[CONSUMO]]</f>
        <v>-7852.4101665205962</v>
      </c>
    </row>
    <row r="3085" spans="1:14" x14ac:dyDescent="0.25">
      <c r="A3085" s="47">
        <v>791522</v>
      </c>
      <c r="B3085" s="78">
        <v>45251</v>
      </c>
      <c r="C3085" s="47" t="s">
        <v>20</v>
      </c>
      <c r="D3085" s="49" t="s">
        <v>250</v>
      </c>
      <c r="E3085" s="47">
        <v>280982</v>
      </c>
      <c r="G3085" s="50" t="s">
        <v>89</v>
      </c>
      <c r="H3085" s="51">
        <v>61.57</v>
      </c>
      <c r="J3085" s="51">
        <v>6.19</v>
      </c>
      <c r="K3085" s="74">
        <f>Tabela6[[#This Row],[CONSUMO]]*Tabela6[[#This Row],[VALOR UNIT]]-Tabela6[[#This Row],[DESCONTO]]</f>
        <v>381.11830000000003</v>
      </c>
      <c r="L3085" s="53">
        <f>Tabela6[[#This Row],[CUSTO TOTAL]]/Tabela6[[#This Row],[CONSUMO]]</f>
        <v>6.19</v>
      </c>
      <c r="M3085" s="50">
        <f>Tabela6[[#This Row],[KM ATUAL]]-E3045</f>
        <v>39879</v>
      </c>
      <c r="N3085" s="51">
        <f>Tabela6[[#This Row],[KM Rodados ]]/Tabela6[[#This Row],[CONSUMO]]</f>
        <v>647.70180282605168</v>
      </c>
    </row>
    <row r="3086" spans="1:14" x14ac:dyDescent="0.25">
      <c r="A3086" s="47">
        <v>8368</v>
      </c>
      <c r="B3086" s="78">
        <v>45251</v>
      </c>
      <c r="C3086" s="47" t="s">
        <v>74</v>
      </c>
      <c r="D3086" s="49" t="s">
        <v>299</v>
      </c>
      <c r="E3086" s="47">
        <v>91861</v>
      </c>
      <c r="G3086" s="50" t="s">
        <v>89</v>
      </c>
      <c r="H3086" s="51">
        <v>57</v>
      </c>
      <c r="J3086" s="51">
        <v>5.62</v>
      </c>
      <c r="K3086" s="74">
        <f>Tabela6[[#This Row],[CONSUMO]]*Tabela6[[#This Row],[VALOR UNIT]]-Tabela6[[#This Row],[DESCONTO]]</f>
        <v>320.34000000000003</v>
      </c>
      <c r="L3086" s="53">
        <f>Tabela6[[#This Row],[CUSTO TOTAL]]/Tabela6[[#This Row],[CONSUMO]]</f>
        <v>5.620000000000001</v>
      </c>
      <c r="M3086" s="50">
        <f>Tabela6[[#This Row],[KM ATUAL]]-E3046</f>
        <v>-149242</v>
      </c>
      <c r="N3086" s="51">
        <f>Tabela6[[#This Row],[KM Rodados ]]/Tabela6[[#This Row],[CONSUMO]]</f>
        <v>-2618.280701754386</v>
      </c>
    </row>
    <row r="3087" spans="1:14" x14ac:dyDescent="0.25">
      <c r="A3087" s="47">
        <v>8368</v>
      </c>
      <c r="B3087" s="78">
        <v>45251</v>
      </c>
      <c r="C3087" s="47" t="s">
        <v>354</v>
      </c>
      <c r="D3087" s="49" t="s">
        <v>299</v>
      </c>
      <c r="E3087" s="47">
        <v>5657</v>
      </c>
      <c r="G3087" s="50" t="s">
        <v>89</v>
      </c>
      <c r="H3087" s="51">
        <v>260</v>
      </c>
      <c r="J3087" s="51">
        <v>5.62</v>
      </c>
      <c r="K3087" s="74">
        <f>Tabela6[[#This Row],[CONSUMO]]*Tabela6[[#This Row],[VALOR UNIT]]-Tabela6[[#This Row],[DESCONTO]]</f>
        <v>1461.2</v>
      </c>
      <c r="L3087" s="53">
        <f>Tabela6[[#This Row],[CUSTO TOTAL]]/Tabela6[[#This Row],[CONSUMO]]</f>
        <v>5.62</v>
      </c>
      <c r="M3087" s="50">
        <f>Tabela6[[#This Row],[KM ATUAL]]-E3022</f>
        <v>-115417</v>
      </c>
      <c r="N3087" s="51">
        <f>Tabela6[[#This Row],[KM Rodados ]]/Tabela6[[#This Row],[CONSUMO]]</f>
        <v>-443.91153846153844</v>
      </c>
    </row>
    <row r="3088" spans="1:14" x14ac:dyDescent="0.25">
      <c r="A3088" s="47">
        <v>267401</v>
      </c>
      <c r="B3088" s="78">
        <v>45252</v>
      </c>
      <c r="C3088" s="47" t="s">
        <v>9</v>
      </c>
      <c r="D3088" s="49" t="s">
        <v>273</v>
      </c>
      <c r="E3088" s="47">
        <v>635000</v>
      </c>
      <c r="G3088" s="50" t="s">
        <v>89</v>
      </c>
      <c r="H3088" s="51">
        <v>133.57</v>
      </c>
      <c r="J3088" s="51">
        <v>5.89</v>
      </c>
      <c r="K3088" s="74">
        <f>Tabela6[[#This Row],[CONSUMO]]*Tabela6[[#This Row],[VALOR UNIT]]-Tabela6[[#This Row],[DESCONTO]]</f>
        <v>786.7272999999999</v>
      </c>
      <c r="L3088" s="53">
        <f>Tabela6[[#This Row],[CUSTO TOTAL]]/Tabela6[[#This Row],[CONSUMO]]</f>
        <v>5.89</v>
      </c>
      <c r="M3088" s="50">
        <f>Tabela6[[#This Row],[KM ATUAL]]-E3059</f>
        <v>474892</v>
      </c>
      <c r="N3088" s="51">
        <f>Tabela6[[#This Row],[KM Rodados ]]/Tabela6[[#This Row],[CONSUMO]]</f>
        <v>3555.379201916598</v>
      </c>
    </row>
    <row r="3089" spans="1:14" x14ac:dyDescent="0.25">
      <c r="A3089" s="47">
        <v>95491</v>
      </c>
      <c r="B3089" s="78">
        <v>45252</v>
      </c>
      <c r="C3089" s="47" t="s">
        <v>42</v>
      </c>
      <c r="D3089" s="49" t="s">
        <v>253</v>
      </c>
      <c r="E3089" s="47">
        <v>377067</v>
      </c>
      <c r="G3089" s="50" t="s">
        <v>89</v>
      </c>
      <c r="H3089" s="51">
        <v>45.19</v>
      </c>
      <c r="J3089" s="51">
        <v>6.29</v>
      </c>
      <c r="K3089" s="74">
        <f>Tabela6[[#This Row],[CONSUMO]]*Tabela6[[#This Row],[VALOR UNIT]]-Tabela6[[#This Row],[DESCONTO]]</f>
        <v>284.24509999999998</v>
      </c>
      <c r="L3089" s="53">
        <f>Tabela6[[#This Row],[CUSTO TOTAL]]/Tabela6[[#This Row],[CONSUMO]]</f>
        <v>6.29</v>
      </c>
      <c r="M3089" s="50">
        <f>Tabela6[[#This Row],[KM ATUAL]]-E3088</f>
        <v>-257933</v>
      </c>
      <c r="N3089" s="51">
        <f>Tabela6[[#This Row],[KM Rodados ]]/Tabela6[[#This Row],[CONSUMO]]</f>
        <v>-5707.7450763443239</v>
      </c>
    </row>
    <row r="3090" spans="1:14" x14ac:dyDescent="0.25">
      <c r="A3090" s="47">
        <v>639441</v>
      </c>
      <c r="B3090" s="78">
        <v>45252</v>
      </c>
      <c r="C3090" s="47" t="s">
        <v>222</v>
      </c>
      <c r="D3090" s="49" t="s">
        <v>372</v>
      </c>
      <c r="E3090" s="47">
        <v>524370</v>
      </c>
      <c r="G3090" s="50" t="s">
        <v>89</v>
      </c>
      <c r="H3090" s="51">
        <v>100.02200000000001</v>
      </c>
      <c r="J3090" s="51">
        <v>6.49</v>
      </c>
      <c r="K3090" s="74">
        <f>Tabela6[[#This Row],[CONSUMO]]*Tabela6[[#This Row],[VALOR UNIT]]-Tabela6[[#This Row],[DESCONTO]]</f>
        <v>649.14278000000002</v>
      </c>
      <c r="L3090" s="53">
        <f>Tabela6[[#This Row],[CUSTO TOTAL]]/Tabela6[[#This Row],[CONSUMO]]</f>
        <v>6.49</v>
      </c>
      <c r="M3090" s="50">
        <f>Tabela6[[#This Row],[KM ATUAL]]-E3064</f>
        <v>-561630</v>
      </c>
      <c r="N3090" s="51">
        <f>Tabela6[[#This Row],[KM Rodados ]]/Tabela6[[#This Row],[CONSUMO]]</f>
        <v>-5615.0646857691308</v>
      </c>
    </row>
    <row r="3091" spans="1:14" x14ac:dyDescent="0.25">
      <c r="A3091" s="47">
        <v>639441</v>
      </c>
      <c r="B3091" s="78">
        <v>45252</v>
      </c>
      <c r="C3091" s="47" t="s">
        <v>222</v>
      </c>
      <c r="D3091" s="49" t="s">
        <v>372</v>
      </c>
      <c r="E3091" s="47">
        <v>524370</v>
      </c>
      <c r="G3091" s="50" t="s">
        <v>241</v>
      </c>
      <c r="H3091" s="51">
        <v>39.201000000000001</v>
      </c>
      <c r="J3091" s="51">
        <v>4.09</v>
      </c>
      <c r="K3091" s="74">
        <f>Tabela6[[#This Row],[CONSUMO]]*Tabela6[[#This Row],[VALOR UNIT]]-Tabela6[[#This Row],[DESCONTO]]</f>
        <v>160.33208999999999</v>
      </c>
      <c r="L3091" s="53">
        <f>Tabela6[[#This Row],[CUSTO TOTAL]]/Tabela6[[#This Row],[CONSUMO]]</f>
        <v>4.09</v>
      </c>
      <c r="M3091" s="50"/>
    </row>
    <row r="3092" spans="1:14" x14ac:dyDescent="0.25">
      <c r="A3092" s="47">
        <v>8368</v>
      </c>
      <c r="B3092" s="78">
        <v>45252</v>
      </c>
      <c r="C3092" s="47" t="s">
        <v>72</v>
      </c>
      <c r="D3092" s="49" t="s">
        <v>299</v>
      </c>
      <c r="E3092" s="47">
        <v>426349</v>
      </c>
      <c r="G3092" s="50" t="s">
        <v>89</v>
      </c>
      <c r="H3092" s="51">
        <v>35</v>
      </c>
      <c r="J3092" s="51">
        <v>5.62</v>
      </c>
      <c r="K3092" s="74">
        <f>Tabela6[[#This Row],[CONSUMO]]*Tabela6[[#This Row],[VALOR UNIT]]-Tabela6[[#This Row],[DESCONTO]]</f>
        <v>196.70000000000002</v>
      </c>
      <c r="L3092" s="53">
        <f>Tabela6[[#This Row],[CUSTO TOTAL]]/Tabela6[[#This Row],[CONSUMO]]</f>
        <v>5.62</v>
      </c>
      <c r="M3092" s="50">
        <f>Tabela6[[#This Row],[KM ATUAL]]-E3049</f>
        <v>292253</v>
      </c>
      <c r="N3092" s="51">
        <f>Tabela6[[#This Row],[KM Rodados ]]/Tabela6[[#This Row],[CONSUMO]]</f>
        <v>8350.0857142857149</v>
      </c>
    </row>
    <row r="3093" spans="1:14" x14ac:dyDescent="0.25">
      <c r="A3093" s="47">
        <v>8368</v>
      </c>
      <c r="B3093" s="78">
        <v>45252</v>
      </c>
      <c r="C3093" s="47" t="s">
        <v>73</v>
      </c>
      <c r="D3093" s="49" t="s">
        <v>299</v>
      </c>
      <c r="E3093" s="119">
        <v>164030</v>
      </c>
      <c r="G3093" s="50" t="s">
        <v>89</v>
      </c>
      <c r="H3093" s="51">
        <v>143</v>
      </c>
      <c r="J3093" s="51">
        <v>5.62</v>
      </c>
      <c r="K3093" s="74">
        <f>Tabela6[[#This Row],[CONSUMO]]*Tabela6[[#This Row],[VALOR UNIT]]-Tabela6[[#This Row],[DESCONTO]]</f>
        <v>803.66</v>
      </c>
      <c r="L3093" s="53">
        <f>Tabela6[[#This Row],[CUSTO TOTAL]]/Tabela6[[#This Row],[CONSUMO]]</f>
        <v>5.62</v>
      </c>
      <c r="M3093" s="50">
        <f>Tabela6[[#This Row],[KM ATUAL]]-E3046</f>
        <v>-77073</v>
      </c>
      <c r="N3093" s="51">
        <f>Tabela6[[#This Row],[KM Rodados ]]/Tabela6[[#This Row],[CONSUMO]]</f>
        <v>-538.97202797202794</v>
      </c>
    </row>
    <row r="3094" spans="1:14" x14ac:dyDescent="0.25">
      <c r="A3094" s="47">
        <v>95873</v>
      </c>
      <c r="B3094" s="78">
        <v>45252</v>
      </c>
      <c r="C3094" s="47" t="s">
        <v>64</v>
      </c>
      <c r="D3094" s="49" t="s">
        <v>253</v>
      </c>
      <c r="E3094" s="47">
        <v>104149</v>
      </c>
      <c r="G3094" s="50" t="s">
        <v>89</v>
      </c>
      <c r="H3094" s="51">
        <v>107.28</v>
      </c>
      <c r="J3094" s="51">
        <v>6.29</v>
      </c>
      <c r="K3094" s="74">
        <f>Tabela6[[#This Row],[CONSUMO]]*Tabela6[[#This Row],[VALOR UNIT]]-Tabela6[[#This Row],[DESCONTO]]</f>
        <v>674.7912</v>
      </c>
      <c r="L3094" s="53">
        <f>Tabela6[[#This Row],[CUSTO TOTAL]]/Tabela6[[#This Row],[CONSUMO]]</f>
        <v>6.29</v>
      </c>
      <c r="M3094" s="50">
        <f>Tabela6[[#This Row],[KM ATUAL]]-E3086</f>
        <v>12288</v>
      </c>
      <c r="N3094" s="51">
        <f>Tabela6[[#This Row],[KM Rodados ]]/Tabela6[[#This Row],[CONSUMO]]</f>
        <v>114.5413870246085</v>
      </c>
    </row>
    <row r="3095" spans="1:14" x14ac:dyDescent="0.25">
      <c r="A3095" s="47">
        <v>8368</v>
      </c>
      <c r="B3095" s="78">
        <v>45252</v>
      </c>
      <c r="C3095" s="47" t="s">
        <v>41</v>
      </c>
      <c r="D3095" s="49" t="s">
        <v>299</v>
      </c>
      <c r="E3095" s="47">
        <v>684600</v>
      </c>
      <c r="G3095" s="50" t="s">
        <v>89</v>
      </c>
      <c r="H3095" s="51">
        <v>82</v>
      </c>
      <c r="J3095" s="51">
        <v>5.62</v>
      </c>
      <c r="K3095" s="74">
        <f>Tabela6[[#This Row],[CONSUMO]]*Tabela6[[#This Row],[VALOR UNIT]]-Tabela6[[#This Row],[DESCONTO]]</f>
        <v>460.84000000000003</v>
      </c>
      <c r="L3095" s="53">
        <f>Tabela6[[#This Row],[CUSTO TOTAL]]/Tabela6[[#This Row],[CONSUMO]]</f>
        <v>5.62</v>
      </c>
      <c r="M3095" s="50">
        <f>Tabela6[[#This Row],[KM ATUAL]]-E3061</f>
        <v>-192200</v>
      </c>
      <c r="N3095" s="51">
        <f>Tabela6[[#This Row],[KM Rodados ]]/Tabela6[[#This Row],[CONSUMO]]</f>
        <v>-2343.9024390243903</v>
      </c>
    </row>
    <row r="3096" spans="1:14" x14ac:dyDescent="0.25">
      <c r="A3096" s="47">
        <v>362915</v>
      </c>
      <c r="B3096" s="78">
        <v>45252</v>
      </c>
      <c r="C3096" s="47" t="s">
        <v>301</v>
      </c>
      <c r="D3096" s="49" t="s">
        <v>361</v>
      </c>
      <c r="E3096" s="47">
        <v>1064920</v>
      </c>
      <c r="G3096" s="50" t="s">
        <v>89</v>
      </c>
      <c r="H3096" s="51">
        <v>280.52</v>
      </c>
      <c r="J3096" s="51">
        <v>5.99</v>
      </c>
      <c r="K3096" s="74">
        <f>Tabela6[[#This Row],[CONSUMO]]*Tabela6[[#This Row],[VALOR UNIT]]-Tabela6[[#This Row],[DESCONTO]]</f>
        <v>1680.3147999999999</v>
      </c>
      <c r="L3096" s="53">
        <f>Tabela6[[#This Row],[CUSTO TOTAL]]/Tabela6[[#This Row],[CONSUMO]]</f>
        <v>5.99</v>
      </c>
      <c r="M3096" s="50">
        <f>Tabela6[[#This Row],[KM ATUAL]]-E3055</f>
        <v>784424</v>
      </c>
      <c r="N3096" s="51">
        <f>Tabela6[[#This Row],[KM Rodados ]]/Tabela6[[#This Row],[CONSUMO]]</f>
        <v>2796.321117923856</v>
      </c>
    </row>
    <row r="3097" spans="1:14" x14ac:dyDescent="0.25">
      <c r="A3097" s="47">
        <v>431084</v>
      </c>
      <c r="B3097" s="78">
        <v>45252</v>
      </c>
      <c r="C3097" s="47" t="s">
        <v>301</v>
      </c>
      <c r="D3097" s="49" t="s">
        <v>333</v>
      </c>
      <c r="E3097" s="47">
        <v>1065502</v>
      </c>
      <c r="G3097" s="50" t="s">
        <v>89</v>
      </c>
      <c r="H3097" s="51">
        <v>376.75</v>
      </c>
      <c r="J3097" s="51">
        <v>5.79</v>
      </c>
      <c r="K3097" s="74">
        <f>Tabela6[[#This Row],[CONSUMO]]*Tabela6[[#This Row],[VALOR UNIT]]-Tabela6[[#This Row],[DESCONTO]]</f>
        <v>2181.3825000000002</v>
      </c>
      <c r="L3097" s="53">
        <f>Tabela6[[#This Row],[CUSTO TOTAL]]/Tabela6[[#This Row],[CONSUMO]]</f>
        <v>5.79</v>
      </c>
      <c r="M3097" s="50">
        <f>Tabela6[[#This Row],[KM ATUAL]]-E3096</f>
        <v>582</v>
      </c>
      <c r="N3097" s="51">
        <f>Tabela6[[#This Row],[KM Rodados ]]/Tabela6[[#This Row],[CONSUMO]]</f>
        <v>1.5447909754479097</v>
      </c>
    </row>
    <row r="3098" spans="1:14" x14ac:dyDescent="0.25">
      <c r="A3098" s="47">
        <v>8368</v>
      </c>
      <c r="B3098" s="78">
        <v>45252</v>
      </c>
      <c r="C3098" s="47" t="s">
        <v>13</v>
      </c>
      <c r="D3098" s="49" t="s">
        <v>299</v>
      </c>
      <c r="E3098" s="47">
        <v>664552</v>
      </c>
      <c r="G3098" s="50" t="s">
        <v>89</v>
      </c>
      <c r="H3098" s="51">
        <v>54</v>
      </c>
      <c r="J3098" s="51">
        <v>5.62</v>
      </c>
      <c r="K3098" s="74">
        <f>Tabela6[[#This Row],[CONSUMO]]*Tabela6[[#This Row],[VALOR UNIT]]-Tabela6[[#This Row],[DESCONTO]]</f>
        <v>303.48</v>
      </c>
      <c r="L3098" s="53">
        <f>Tabela6[[#This Row],[CUSTO TOTAL]]/Tabela6[[#This Row],[CONSUMO]]</f>
        <v>5.62</v>
      </c>
      <c r="M3098" s="50">
        <f>Tabela6[[#This Row],[KM ATUAL]]-E3089</f>
        <v>287485</v>
      </c>
      <c r="N3098" s="51">
        <f>Tabela6[[#This Row],[KM Rodados ]]/Tabela6[[#This Row],[CONSUMO]]</f>
        <v>5323.7962962962965</v>
      </c>
    </row>
    <row r="3099" spans="1:14" x14ac:dyDescent="0.25">
      <c r="A3099" s="47">
        <v>8433</v>
      </c>
      <c r="B3099" s="78">
        <v>45252</v>
      </c>
      <c r="C3099" s="47" t="s">
        <v>15</v>
      </c>
      <c r="D3099" s="49" t="s">
        <v>299</v>
      </c>
      <c r="E3099" s="47">
        <v>400460</v>
      </c>
      <c r="G3099" s="50" t="s">
        <v>89</v>
      </c>
      <c r="H3099" s="51">
        <v>63</v>
      </c>
      <c r="J3099" s="51">
        <v>5.58</v>
      </c>
      <c r="K3099" s="74">
        <f>Tabela6[[#This Row],[CONSUMO]]*Tabela6[[#This Row],[VALOR UNIT]]-Tabela6[[#This Row],[DESCONTO]]</f>
        <v>351.54</v>
      </c>
      <c r="L3099" s="53">
        <f>Tabela6[[#This Row],[CUSTO TOTAL]]/Tabela6[[#This Row],[CONSUMO]]</f>
        <v>5.58</v>
      </c>
      <c r="M3099" s="50">
        <f>Tabela6[[#This Row],[KM ATUAL]]-E3066</f>
        <v>61571</v>
      </c>
      <c r="N3099" s="51">
        <f>Tabela6[[#This Row],[KM Rodados ]]/Tabela6[[#This Row],[CONSUMO]]</f>
        <v>977.31746031746036</v>
      </c>
    </row>
    <row r="3100" spans="1:14" x14ac:dyDescent="0.25">
      <c r="A3100" s="47">
        <v>95491</v>
      </c>
      <c r="B3100" s="78">
        <v>45252</v>
      </c>
      <c r="C3100" s="47" t="s">
        <v>17</v>
      </c>
      <c r="D3100" s="49" t="s">
        <v>253</v>
      </c>
      <c r="E3100" s="47">
        <v>380067</v>
      </c>
      <c r="G3100" s="50" t="s">
        <v>89</v>
      </c>
      <c r="H3100" s="51">
        <v>45.19</v>
      </c>
      <c r="J3100" s="51">
        <v>6.29</v>
      </c>
      <c r="K3100" s="74">
        <f>Tabela6[[#This Row],[CONSUMO]]*Tabela6[[#This Row],[VALOR UNIT]]-Tabela6[[#This Row],[DESCONTO]]</f>
        <v>284.24509999999998</v>
      </c>
      <c r="L3100" s="53">
        <f>Tabela6[[#This Row],[CUSTO TOTAL]]/Tabela6[[#This Row],[CONSUMO]]</f>
        <v>6.29</v>
      </c>
      <c r="M3100" s="50">
        <f>Tabela6[[#This Row],[KM ATUAL]]-E3068</f>
        <v>-141984</v>
      </c>
      <c r="N3100" s="51">
        <f>Tabela6[[#This Row],[KM Rodados ]]/Tabela6[[#This Row],[CONSUMO]]</f>
        <v>-3141.9340562071256</v>
      </c>
    </row>
    <row r="3101" spans="1:14" x14ac:dyDescent="0.25">
      <c r="A3101" s="47">
        <v>222555</v>
      </c>
      <c r="B3101" s="78">
        <v>45252</v>
      </c>
      <c r="C3101" s="47" t="s">
        <v>20</v>
      </c>
      <c r="D3101" s="49" t="s">
        <v>262</v>
      </c>
      <c r="E3101" s="47">
        <v>281605</v>
      </c>
      <c r="G3101" s="50" t="s">
        <v>89</v>
      </c>
      <c r="H3101" s="51">
        <v>76.739999999999995</v>
      </c>
      <c r="J3101" s="51">
        <v>6.19</v>
      </c>
      <c r="K3101" s="74">
        <f>Tabela6[[#This Row],[CONSUMO]]*Tabela6[[#This Row],[VALOR UNIT]]-Tabela6[[#This Row],[DESCONTO]]</f>
        <v>475.0206</v>
      </c>
      <c r="L3101" s="53">
        <f>Tabela6[[#This Row],[CUSTO TOTAL]]/Tabela6[[#This Row],[CONSUMO]]</f>
        <v>6.19</v>
      </c>
      <c r="M3101" s="50">
        <f>Tabela6[[#This Row],[KM ATUAL]]-E3100</f>
        <v>-98462</v>
      </c>
      <c r="N3101" s="51">
        <f>Tabela6[[#This Row],[KM Rodados ]]/Tabela6[[#This Row],[CONSUMO]]</f>
        <v>-1283.0596820432631</v>
      </c>
    </row>
    <row r="3102" spans="1:14" x14ac:dyDescent="0.25">
      <c r="A3102" s="47">
        <v>831288</v>
      </c>
      <c r="B3102" s="78">
        <v>45252</v>
      </c>
      <c r="C3102" s="47" t="s">
        <v>20</v>
      </c>
      <c r="D3102" s="49" t="s">
        <v>380</v>
      </c>
      <c r="E3102" s="47">
        <v>282113</v>
      </c>
      <c r="G3102" s="50" t="s">
        <v>89</v>
      </c>
      <c r="H3102" s="51">
        <v>72.010000000000005</v>
      </c>
      <c r="J3102" s="51">
        <v>6.32</v>
      </c>
      <c r="K3102" s="74">
        <f>Tabela6[[#This Row],[CONSUMO]]*Tabela6[[#This Row],[VALOR UNIT]]-Tabela6[[#This Row],[DESCONTO]]</f>
        <v>455.10320000000007</v>
      </c>
      <c r="L3102" s="53">
        <f>Tabela6[[#This Row],[CUSTO TOTAL]]/Tabela6[[#This Row],[CONSUMO]]</f>
        <v>6.32</v>
      </c>
      <c r="M3102" s="50">
        <f>Tabela6[[#This Row],[KM ATUAL]]-E3100</f>
        <v>-97954</v>
      </c>
      <c r="N3102" s="51">
        <f>Tabela6[[#This Row],[KM Rodados ]]/Tabela6[[#This Row],[CONSUMO]]</f>
        <v>-1360.2832939869461</v>
      </c>
    </row>
    <row r="3103" spans="1:14" x14ac:dyDescent="0.25">
      <c r="A3103" s="47">
        <v>8433</v>
      </c>
      <c r="B3103" s="78">
        <v>45253</v>
      </c>
      <c r="C3103" s="47" t="s">
        <v>68</v>
      </c>
      <c r="D3103" s="49" t="s">
        <v>299</v>
      </c>
      <c r="E3103" s="47">
        <v>935427</v>
      </c>
      <c r="G3103" s="50" t="s">
        <v>89</v>
      </c>
      <c r="H3103" s="51">
        <v>510</v>
      </c>
      <c r="J3103" s="51">
        <v>5.58</v>
      </c>
      <c r="K3103" s="74">
        <f>Tabela6[[#This Row],[CONSUMO]]*Tabela6[[#This Row],[VALOR UNIT]]-Tabela6[[#This Row],[DESCONTO]]</f>
        <v>2845.8</v>
      </c>
      <c r="L3103" s="53">
        <f>Tabela6[[#This Row],[CUSTO TOTAL]]/Tabela6[[#This Row],[CONSUMO]]</f>
        <v>5.58</v>
      </c>
      <c r="M3103" s="50">
        <f>Tabela6[[#This Row],[KM ATUAL]]-E3062</f>
        <v>251147</v>
      </c>
      <c r="N3103" s="51">
        <f>Tabela6[[#This Row],[KM Rodados ]]/Tabela6[[#This Row],[CONSUMO]]</f>
        <v>492.44509803921568</v>
      </c>
    </row>
    <row r="3104" spans="1:14" x14ac:dyDescent="0.25">
      <c r="A3104" s="47">
        <v>8433</v>
      </c>
      <c r="B3104" s="78">
        <v>45253</v>
      </c>
      <c r="C3104" s="47" t="s">
        <v>43</v>
      </c>
      <c r="D3104" s="49" t="s">
        <v>299</v>
      </c>
      <c r="E3104" s="47">
        <v>160730</v>
      </c>
      <c r="G3104" s="50" t="s">
        <v>89</v>
      </c>
      <c r="H3104" s="51">
        <v>25</v>
      </c>
      <c r="J3104" s="51">
        <v>5.58</v>
      </c>
      <c r="K3104" s="74">
        <f>Tabela6[[#This Row],[CONSUMO]]*Tabela6[[#This Row],[VALOR UNIT]]-Tabela6[[#This Row],[DESCONTO]]</f>
        <v>139.5</v>
      </c>
      <c r="L3104" s="53">
        <f>Tabela6[[#This Row],[CUSTO TOTAL]]/Tabela6[[#This Row],[CONSUMO]]</f>
        <v>5.58</v>
      </c>
      <c r="M3104" s="50">
        <f>Tabela6[[#This Row],[KM ATUAL]]-E3079</f>
        <v>-903767</v>
      </c>
      <c r="N3104" s="51">
        <f>Tabela6[[#This Row],[KM Rodados ]]/Tabela6[[#This Row],[CONSUMO]]</f>
        <v>-36150.68</v>
      </c>
    </row>
    <row r="3105" spans="1:14" x14ac:dyDescent="0.25">
      <c r="A3105" s="47">
        <v>8433</v>
      </c>
      <c r="B3105" s="78">
        <v>45253</v>
      </c>
      <c r="C3105" s="47" t="s">
        <v>222</v>
      </c>
      <c r="D3105" s="49" t="s">
        <v>299</v>
      </c>
      <c r="E3105" s="47">
        <v>524500</v>
      </c>
      <c r="G3105" s="50" t="s">
        <v>89</v>
      </c>
      <c r="H3105" s="51">
        <v>374</v>
      </c>
      <c r="J3105" s="51">
        <v>5.58</v>
      </c>
      <c r="K3105" s="74">
        <f>Tabela6[[#This Row],[CONSUMO]]*Tabela6[[#This Row],[VALOR UNIT]]-Tabela6[[#This Row],[DESCONTO]]</f>
        <v>2086.92</v>
      </c>
      <c r="L3105" s="53">
        <f>Tabela6[[#This Row],[CUSTO TOTAL]]/Tabela6[[#This Row],[CONSUMO]]</f>
        <v>5.58</v>
      </c>
      <c r="M3105" s="50">
        <f>Tabela6[[#This Row],[KM ATUAL]]-E3101</f>
        <v>242895</v>
      </c>
      <c r="N3105" s="51">
        <f>Tabela6[[#This Row],[KM Rodados ]]/Tabela6[[#This Row],[CONSUMO]]</f>
        <v>649.45187165775405</v>
      </c>
    </row>
    <row r="3106" spans="1:14" x14ac:dyDescent="0.25">
      <c r="A3106" s="47">
        <v>8433</v>
      </c>
      <c r="B3106" s="78">
        <v>45253</v>
      </c>
      <c r="C3106" s="47" t="s">
        <v>67</v>
      </c>
      <c r="D3106" s="49" t="s">
        <v>299</v>
      </c>
      <c r="E3106" s="47">
        <v>690144</v>
      </c>
      <c r="G3106" s="50" t="s">
        <v>89</v>
      </c>
      <c r="H3106" s="51">
        <v>80</v>
      </c>
      <c r="J3106" s="51">
        <v>5.58</v>
      </c>
      <c r="K3106" s="74">
        <f>Tabela6[[#This Row],[CONSUMO]]*Tabela6[[#This Row],[VALOR UNIT]]-Tabela6[[#This Row],[DESCONTO]]</f>
        <v>446.4</v>
      </c>
      <c r="L3106" s="53">
        <f>Tabela6[[#This Row],[CUSTO TOTAL]]/Tabela6[[#This Row],[CONSUMO]]</f>
        <v>5.58</v>
      </c>
      <c r="M3106" s="50">
        <f>Tabela6[[#This Row],[KM ATUAL]]-E3074</f>
        <v>320</v>
      </c>
      <c r="N3106" s="51">
        <f>Tabela6[[#This Row],[KM Rodados ]]/Tabela6[[#This Row],[CONSUMO]]</f>
        <v>4</v>
      </c>
    </row>
    <row r="3107" spans="1:14" x14ac:dyDescent="0.25">
      <c r="A3107" s="47">
        <v>8433</v>
      </c>
      <c r="B3107" s="78">
        <v>45253</v>
      </c>
      <c r="C3107" s="47" t="s">
        <v>39</v>
      </c>
      <c r="D3107" s="49" t="s">
        <v>299</v>
      </c>
      <c r="E3107" s="47">
        <v>112245</v>
      </c>
      <c r="G3107" s="50" t="s">
        <v>89</v>
      </c>
      <c r="H3107" s="51">
        <v>85</v>
      </c>
      <c r="J3107" s="51">
        <v>5.58</v>
      </c>
      <c r="K3107" s="74">
        <f>Tabela6[[#This Row],[CONSUMO]]*Tabela6[[#This Row],[VALOR UNIT]]-Tabela6[[#This Row],[DESCONTO]]</f>
        <v>474.3</v>
      </c>
      <c r="L3107" s="53">
        <f>Tabela6[[#This Row],[CUSTO TOTAL]]/Tabela6[[#This Row],[CONSUMO]]</f>
        <v>5.58</v>
      </c>
      <c r="M3107" s="50">
        <f>Tabela6[[#This Row],[KM ATUAL]]-E3077</f>
        <v>-22280</v>
      </c>
      <c r="N3107" s="51">
        <f>Tabela6[[#This Row],[KM Rodados ]]/Tabela6[[#This Row],[CONSUMO]]</f>
        <v>-262.11764705882354</v>
      </c>
    </row>
    <row r="3108" spans="1:14" x14ac:dyDescent="0.25">
      <c r="A3108" s="47">
        <v>8433</v>
      </c>
      <c r="B3108" s="78">
        <v>45253</v>
      </c>
      <c r="C3108" s="47" t="s">
        <v>70</v>
      </c>
      <c r="D3108" s="49" t="s">
        <v>299</v>
      </c>
      <c r="E3108" s="47">
        <v>242403</v>
      </c>
      <c r="G3108" s="50" t="s">
        <v>89</v>
      </c>
      <c r="H3108" s="51">
        <v>590</v>
      </c>
      <c r="J3108" s="51">
        <v>5.58</v>
      </c>
      <c r="K3108" s="74">
        <f>Tabela6[[#This Row],[CONSUMO]]*Tabela6[[#This Row],[VALOR UNIT]]-Tabela6[[#This Row],[DESCONTO]]</f>
        <v>3292.2</v>
      </c>
      <c r="L3108" s="53">
        <f>Tabela6[[#This Row],[CUSTO TOTAL]]/Tabela6[[#This Row],[CONSUMO]]</f>
        <v>5.58</v>
      </c>
      <c r="M3108" s="50">
        <f>Tabela6[[#This Row],[KM ATUAL]]-E3004</f>
        <v>-155741</v>
      </c>
      <c r="N3108" s="51">
        <f>Tabela6[[#This Row],[KM Rodados ]]/Tabela6[[#This Row],[CONSUMO]]</f>
        <v>-263.9677966101695</v>
      </c>
    </row>
    <row r="3109" spans="1:14" x14ac:dyDescent="0.25">
      <c r="A3109" s="47">
        <v>1034424</v>
      </c>
      <c r="B3109" s="78">
        <v>45253</v>
      </c>
      <c r="C3109" s="47" t="s">
        <v>203</v>
      </c>
      <c r="D3109" s="49" t="s">
        <v>268</v>
      </c>
      <c r="E3109" s="47">
        <v>122556</v>
      </c>
      <c r="G3109" s="50" t="s">
        <v>244</v>
      </c>
      <c r="H3109" s="51">
        <v>46.96</v>
      </c>
      <c r="J3109" s="51">
        <v>5.39</v>
      </c>
      <c r="K3109" s="74">
        <f>Tabela6[[#This Row],[CONSUMO]]*Tabela6[[#This Row],[VALOR UNIT]]-Tabela6[[#This Row],[DESCONTO]]</f>
        <v>253.11439999999999</v>
      </c>
      <c r="L3109" s="53">
        <f>Tabela6[[#This Row],[CUSTO TOTAL]]/Tabela6[[#This Row],[CONSUMO]]</f>
        <v>5.39</v>
      </c>
      <c r="M3109" s="50">
        <f>Tabela6[[#This Row],[KM ATUAL]]-E3036</f>
        <v>-939951</v>
      </c>
      <c r="N3109" s="51">
        <f>Tabela6[[#This Row],[KM Rodados ]]/Tabela6[[#This Row],[CONSUMO]]</f>
        <v>-20015.992333901191</v>
      </c>
    </row>
    <row r="3110" spans="1:14" x14ac:dyDescent="0.25">
      <c r="A3110" s="47">
        <v>323881</v>
      </c>
      <c r="B3110" s="78">
        <v>45253</v>
      </c>
      <c r="C3110" s="47" t="s">
        <v>72</v>
      </c>
      <c r="D3110" s="49" t="s">
        <v>270</v>
      </c>
      <c r="E3110" s="47">
        <v>426807</v>
      </c>
      <c r="G3110" s="50" t="s">
        <v>89</v>
      </c>
      <c r="H3110" s="51">
        <v>53.6</v>
      </c>
      <c r="J3110" s="51">
        <v>5.99</v>
      </c>
      <c r="K3110" s="74">
        <f>Tabela6[[#This Row],[CONSUMO]]*Tabela6[[#This Row],[VALOR UNIT]]-Tabela6[[#This Row],[DESCONTO]]</f>
        <v>321.06400000000002</v>
      </c>
      <c r="L3110" s="53">
        <f>Tabela6[[#This Row],[CUSTO TOTAL]]/Tabela6[[#This Row],[CONSUMO]]</f>
        <v>5.99</v>
      </c>
      <c r="M3110" s="50">
        <f>Tabela6[[#This Row],[KM ATUAL]]-E3087</f>
        <v>421150</v>
      </c>
      <c r="N3110" s="51">
        <f>Tabela6[[#This Row],[KM Rodados ]]/Tabela6[[#This Row],[CONSUMO]]</f>
        <v>7857.2761194029845</v>
      </c>
    </row>
    <row r="3111" spans="1:14" x14ac:dyDescent="0.25">
      <c r="A3111" s="47">
        <v>8433</v>
      </c>
      <c r="B3111" s="78">
        <v>45253</v>
      </c>
      <c r="C3111" s="47" t="s">
        <v>10</v>
      </c>
      <c r="D3111" s="49" t="s">
        <v>299</v>
      </c>
      <c r="E3111" s="47">
        <v>732857</v>
      </c>
      <c r="G3111" s="50" t="s">
        <v>89</v>
      </c>
      <c r="H3111" s="51">
        <v>127</v>
      </c>
      <c r="J3111" s="51">
        <v>5.58</v>
      </c>
      <c r="K3111" s="74">
        <f>Tabela6[[#This Row],[CONSUMO]]*Tabela6[[#This Row],[VALOR UNIT]]-Tabela6[[#This Row],[DESCONTO]]</f>
        <v>708.66</v>
      </c>
      <c r="L3111" s="53">
        <f>Tabela6[[#This Row],[CUSTO TOTAL]]/Tabela6[[#This Row],[CONSUMO]]</f>
        <v>5.58</v>
      </c>
      <c r="M3111" s="50">
        <f>Tabela6[[#This Row],[KM ATUAL]]-E3039</f>
        <v>212035</v>
      </c>
      <c r="N3111" s="51">
        <f>Tabela6[[#This Row],[KM Rodados ]]/Tabela6[[#This Row],[CONSUMO]]</f>
        <v>1669.5669291338584</v>
      </c>
    </row>
    <row r="3112" spans="1:14" x14ac:dyDescent="0.25">
      <c r="A3112" s="47">
        <v>8433</v>
      </c>
      <c r="B3112" s="78">
        <v>45253</v>
      </c>
      <c r="C3112" s="47" t="s">
        <v>17</v>
      </c>
      <c r="D3112" s="49" t="s">
        <v>299</v>
      </c>
      <c r="E3112" s="47">
        <v>380727</v>
      </c>
      <c r="G3112" s="50" t="s">
        <v>89</v>
      </c>
      <c r="H3112" s="51">
        <v>103</v>
      </c>
      <c r="J3112" s="51">
        <v>5.58</v>
      </c>
      <c r="K3112" s="74">
        <f>Tabela6[[#This Row],[CONSUMO]]*Tabela6[[#This Row],[VALOR UNIT]]-Tabela6[[#This Row],[DESCONTO]]</f>
        <v>574.74</v>
      </c>
      <c r="L3112" s="53">
        <f>Tabela6[[#This Row],[CUSTO TOTAL]]/Tabela6[[#This Row],[CONSUMO]]</f>
        <v>5.58</v>
      </c>
      <c r="M3112" s="50">
        <f>Tabela6[[#This Row],[KM ATUAL]]-E3074</f>
        <v>-309097</v>
      </c>
      <c r="N3112" s="51">
        <f>Tabela6[[#This Row],[KM Rodados ]]/Tabela6[[#This Row],[CONSUMO]]</f>
        <v>-3000.9417475728155</v>
      </c>
    </row>
    <row r="3113" spans="1:14" x14ac:dyDescent="0.25">
      <c r="A3113" s="47">
        <v>8433</v>
      </c>
      <c r="B3113" s="78">
        <v>45253</v>
      </c>
      <c r="C3113" s="47" t="s">
        <v>19</v>
      </c>
      <c r="D3113" s="49" t="s">
        <v>299</v>
      </c>
      <c r="E3113" s="47">
        <v>339863</v>
      </c>
      <c r="G3113" s="50" t="s">
        <v>89</v>
      </c>
      <c r="H3113" s="51">
        <v>121</v>
      </c>
      <c r="J3113" s="51">
        <v>5.58</v>
      </c>
      <c r="K3113" s="74">
        <f>Tabela6[[#This Row],[CONSUMO]]*Tabela6[[#This Row],[VALOR UNIT]]-Tabela6[[#This Row],[DESCONTO]]</f>
        <v>675.18000000000006</v>
      </c>
      <c r="L3113" s="53">
        <f>Tabela6[[#This Row],[CUSTO TOTAL]]/Tabela6[[#This Row],[CONSUMO]]</f>
        <v>5.580000000000001</v>
      </c>
      <c r="M3113" s="50">
        <f>Tabela6[[#This Row],[KM ATUAL]]-E3094</f>
        <v>235714</v>
      </c>
      <c r="N3113" s="51">
        <f>Tabela6[[#This Row],[KM Rodados ]]/Tabela6[[#This Row],[CONSUMO]]</f>
        <v>1948.0495867768595</v>
      </c>
    </row>
    <row r="3114" spans="1:14" x14ac:dyDescent="0.25">
      <c r="A3114" s="47">
        <v>877683</v>
      </c>
      <c r="B3114" s="78">
        <v>45253</v>
      </c>
      <c r="C3114" s="47" t="s">
        <v>19</v>
      </c>
      <c r="D3114" s="49" t="s">
        <v>381</v>
      </c>
      <c r="E3114" s="47">
        <v>340348</v>
      </c>
      <c r="G3114" s="50" t="s">
        <v>89</v>
      </c>
      <c r="H3114" s="51">
        <v>41.378999999999998</v>
      </c>
      <c r="J3114" s="51">
        <v>6.59</v>
      </c>
      <c r="K3114" s="74">
        <f>Tabela6[[#This Row],[CONSUMO]]*Tabela6[[#This Row],[VALOR UNIT]]-Tabela6[[#This Row],[DESCONTO]]</f>
        <v>272.68761000000001</v>
      </c>
      <c r="L3114" s="53">
        <f>Tabela6[[#This Row],[CUSTO TOTAL]]/Tabela6[[#This Row],[CONSUMO]]</f>
        <v>6.5900000000000007</v>
      </c>
      <c r="M3114" s="50">
        <f>Tabela6[[#This Row],[KM ATUAL]]-E3113</f>
        <v>485</v>
      </c>
      <c r="N3114" s="51">
        <f>Tabela6[[#This Row],[KM Rodados ]]/Tabela6[[#This Row],[CONSUMO]]</f>
        <v>11.720921240242635</v>
      </c>
    </row>
    <row r="3115" spans="1:14" x14ac:dyDescent="0.25">
      <c r="A3115" s="47">
        <v>222852</v>
      </c>
      <c r="B3115" s="78">
        <v>45253</v>
      </c>
      <c r="C3115" s="47" t="s">
        <v>19</v>
      </c>
      <c r="D3115" s="49" t="s">
        <v>262</v>
      </c>
      <c r="E3115" s="47">
        <v>339855</v>
      </c>
      <c r="G3115" s="50" t="s">
        <v>241</v>
      </c>
      <c r="H3115" s="51">
        <v>18.664999999999999</v>
      </c>
      <c r="I3115" s="49">
        <v>6.72</v>
      </c>
      <c r="J3115" s="51">
        <v>3.69</v>
      </c>
      <c r="K3115" s="74">
        <f>Tabela6[[#This Row],[CONSUMO]]*Tabela6[[#This Row],[VALOR UNIT]]-Tabela6[[#This Row],[DESCONTO]]</f>
        <v>62.153849999999991</v>
      </c>
      <c r="L3115" s="53">
        <f>Tabela6[[#This Row],[CUSTO TOTAL]]/Tabela6[[#This Row],[CONSUMO]]</f>
        <v>3.3299678542727027</v>
      </c>
      <c r="M3115" s="50"/>
    </row>
    <row r="3116" spans="1:14" x14ac:dyDescent="0.25">
      <c r="A3116" s="47">
        <v>8433</v>
      </c>
      <c r="B3116" s="78">
        <v>45253</v>
      </c>
      <c r="C3116" s="47" t="s">
        <v>20</v>
      </c>
      <c r="D3116" s="49" t="s">
        <v>299</v>
      </c>
      <c r="E3116" s="47">
        <v>282607</v>
      </c>
      <c r="G3116" s="50" t="s">
        <v>89</v>
      </c>
      <c r="H3116" s="51">
        <v>63</v>
      </c>
      <c r="J3116" s="51">
        <v>5.58</v>
      </c>
      <c r="K3116" s="74">
        <f>Tabela6[[#This Row],[CONSUMO]]*Tabela6[[#This Row],[VALOR UNIT]]-Tabela6[[#This Row],[DESCONTO]]</f>
        <v>351.54</v>
      </c>
      <c r="L3116" s="53">
        <f>Tabela6[[#This Row],[CUSTO TOTAL]]/Tabela6[[#This Row],[CONSUMO]]</f>
        <v>5.58</v>
      </c>
      <c r="M3116" s="50">
        <f>Tabela6[[#This Row],[KM ATUAL]]-E3101</f>
        <v>1002</v>
      </c>
      <c r="N3116" s="51">
        <f>Tabela6[[#This Row],[KM Rodados ]]/Tabela6[[#This Row],[CONSUMO]]</f>
        <v>15.904761904761905</v>
      </c>
    </row>
    <row r="3117" spans="1:14" x14ac:dyDescent="0.25">
      <c r="A3117" s="47">
        <v>8433</v>
      </c>
      <c r="B3117" s="78">
        <v>45253</v>
      </c>
      <c r="C3117" s="47" t="s">
        <v>23</v>
      </c>
      <c r="D3117" s="49" t="s">
        <v>299</v>
      </c>
      <c r="E3117" s="47">
        <v>256683</v>
      </c>
      <c r="G3117" s="50" t="s">
        <v>89</v>
      </c>
      <c r="H3117" s="51">
        <v>97</v>
      </c>
      <c r="J3117" s="51">
        <v>5.58</v>
      </c>
      <c r="K3117" s="74">
        <f>Tabela6[[#This Row],[CONSUMO]]*Tabela6[[#This Row],[VALOR UNIT]]-Tabela6[[#This Row],[DESCONTO]]</f>
        <v>541.26</v>
      </c>
      <c r="L3117" s="53">
        <f>Tabela6[[#This Row],[CUSTO TOTAL]]/Tabela6[[#This Row],[CONSUMO]]</f>
        <v>5.58</v>
      </c>
      <c r="M3117" s="50">
        <f>Tabela6[[#This Row],[KM ATUAL]]-E3050</f>
        <v>191964</v>
      </c>
      <c r="N3117" s="51">
        <f>Tabela6[[#This Row],[KM Rodados ]]/Tabela6[[#This Row],[CONSUMO]]</f>
        <v>1979.0103092783504</v>
      </c>
    </row>
    <row r="3118" spans="1:14" x14ac:dyDescent="0.25">
      <c r="A3118" s="47">
        <v>175837</v>
      </c>
      <c r="B3118" s="78">
        <v>45253</v>
      </c>
      <c r="C3118" s="47" t="s">
        <v>74</v>
      </c>
      <c r="D3118" s="49" t="s">
        <v>263</v>
      </c>
      <c r="E3118" s="47">
        <v>92694</v>
      </c>
      <c r="G3118" s="50" t="s">
        <v>89</v>
      </c>
      <c r="H3118" s="51">
        <v>101.36</v>
      </c>
      <c r="I3118" s="49">
        <v>10.14</v>
      </c>
      <c r="J3118" s="51">
        <v>6.09</v>
      </c>
      <c r="K3118" s="74">
        <f>Tabela6[[#This Row],[CONSUMO]]*Tabela6[[#This Row],[VALOR UNIT]]-Tabela6[[#This Row],[DESCONTO]]</f>
        <v>607.14239999999995</v>
      </c>
      <c r="L3118" s="53">
        <f>Tabela6[[#This Row],[CUSTO TOTAL]]/Tabela6[[#This Row],[CONSUMO]]</f>
        <v>5.9899605367008677</v>
      </c>
      <c r="M3118" s="50">
        <f>Tabela6[[#This Row],[KM ATUAL]]-E3089</f>
        <v>-284373</v>
      </c>
      <c r="N3118" s="51">
        <f>Tabela6[[#This Row],[KM Rodados ]]/Tabela6[[#This Row],[CONSUMO]]</f>
        <v>-2805.574191002368</v>
      </c>
    </row>
    <row r="3119" spans="1:14" x14ac:dyDescent="0.25">
      <c r="A3119" s="47">
        <v>8433</v>
      </c>
      <c r="B3119" s="78">
        <v>45254</v>
      </c>
      <c r="C3119" s="47" t="s">
        <v>43</v>
      </c>
      <c r="D3119" s="49" t="s">
        <v>299</v>
      </c>
      <c r="E3119" s="47">
        <v>161207</v>
      </c>
      <c r="G3119" s="50" t="s">
        <v>89</v>
      </c>
      <c r="H3119" s="51">
        <v>18</v>
      </c>
      <c r="J3119" s="51">
        <v>5.58</v>
      </c>
      <c r="K3119" s="74">
        <f>Tabela6[[#This Row],[CONSUMO]]*Tabela6[[#This Row],[VALOR UNIT]]-Tabela6[[#This Row],[DESCONTO]]</f>
        <v>100.44</v>
      </c>
      <c r="L3119" s="53">
        <f>Tabela6[[#This Row],[CUSTO TOTAL]]/Tabela6[[#This Row],[CONSUMO]]</f>
        <v>5.58</v>
      </c>
      <c r="M3119" s="50">
        <f>Tabela6[[#This Row],[KM ATUAL]]-E3118</f>
        <v>68513</v>
      </c>
      <c r="N3119" s="51">
        <f>Tabela6[[#This Row],[KM Rodados ]]/Tabela6[[#This Row],[CONSUMO]]</f>
        <v>3806.2777777777778</v>
      </c>
    </row>
    <row r="3120" spans="1:14" x14ac:dyDescent="0.25">
      <c r="A3120" s="47">
        <v>324130</v>
      </c>
      <c r="B3120" s="78">
        <v>45254</v>
      </c>
      <c r="C3120" s="47" t="s">
        <v>43</v>
      </c>
      <c r="D3120" s="49" t="s">
        <v>270</v>
      </c>
      <c r="E3120" s="47">
        <v>161117</v>
      </c>
      <c r="G3120" s="50" t="s">
        <v>89</v>
      </c>
      <c r="H3120" s="51">
        <v>33.39</v>
      </c>
      <c r="K3120" s="74">
        <f>Tabela6[[#This Row],[CONSUMO]]*Tabela6[[#This Row],[VALOR UNIT]]-Tabela6[[#This Row],[DESCONTO]]</f>
        <v>0</v>
      </c>
      <c r="L3120" s="53">
        <f>Tabela6[[#This Row],[CUSTO TOTAL]]/Tabela6[[#This Row],[CONSUMO]]</f>
        <v>0</v>
      </c>
      <c r="M3120" s="50">
        <f>Tabela6[[#This Row],[KM ATUAL]]-E3098</f>
        <v>-503435</v>
      </c>
      <c r="N3120" s="51">
        <f>Tabela6[[#This Row],[KM Rodados ]]/Tabela6[[#This Row],[CONSUMO]]</f>
        <v>-15077.418388739143</v>
      </c>
    </row>
    <row r="3121" spans="1:14" x14ac:dyDescent="0.25">
      <c r="A3121" s="47">
        <v>8433</v>
      </c>
      <c r="B3121" s="78">
        <v>45254</v>
      </c>
      <c r="C3121" s="47" t="s">
        <v>222</v>
      </c>
      <c r="D3121" s="49" t="s">
        <v>299</v>
      </c>
      <c r="E3121" s="47">
        <v>524976</v>
      </c>
      <c r="G3121" s="50" t="s">
        <v>89</v>
      </c>
      <c r="H3121" s="51">
        <v>131</v>
      </c>
      <c r="J3121" s="51">
        <v>5.58</v>
      </c>
      <c r="K3121" s="74">
        <f>Tabela6[[#This Row],[CONSUMO]]*Tabela6[[#This Row],[VALOR UNIT]]-Tabela6[[#This Row],[DESCONTO]]</f>
        <v>730.98</v>
      </c>
      <c r="L3121" s="53">
        <f>Tabela6[[#This Row],[CUSTO TOTAL]]/Tabela6[[#This Row],[CONSUMO]]</f>
        <v>5.58</v>
      </c>
      <c r="M3121" s="50">
        <f>Tabela6[[#This Row],[KM ATUAL]]-E3103</f>
        <v>-410451</v>
      </c>
      <c r="N3121" s="51">
        <f>Tabela6[[#This Row],[KM Rodados ]]/Tabela6[[#This Row],[CONSUMO]]</f>
        <v>-3133.2137404580153</v>
      </c>
    </row>
    <row r="3122" spans="1:14" x14ac:dyDescent="0.25">
      <c r="A3122" s="47">
        <v>1232733</v>
      </c>
      <c r="B3122" s="78">
        <v>45254</v>
      </c>
      <c r="C3122" s="47" t="s">
        <v>67</v>
      </c>
      <c r="D3122" s="49" t="s">
        <v>263</v>
      </c>
      <c r="E3122" s="47">
        <v>690245</v>
      </c>
      <c r="G3122" s="50" t="s">
        <v>241</v>
      </c>
      <c r="H3122" s="51">
        <v>21.009</v>
      </c>
      <c r="K3122" s="74">
        <f>Tabela6[[#This Row],[CONSUMO]]*Tabela6[[#This Row],[VALOR UNIT]]-Tabela6[[#This Row],[DESCONTO]]</f>
        <v>0</v>
      </c>
      <c r="L3122" s="53">
        <f>Tabela6[[#This Row],[CUSTO TOTAL]]/Tabela6[[#This Row],[CONSUMO]]</f>
        <v>0</v>
      </c>
      <c r="M3122" s="50"/>
    </row>
    <row r="3123" spans="1:14" x14ac:dyDescent="0.25">
      <c r="A3123" s="47">
        <v>223269</v>
      </c>
      <c r="B3123" s="78">
        <v>45254</v>
      </c>
      <c r="C3123" s="47" t="s">
        <v>215</v>
      </c>
      <c r="D3123" s="49" t="s">
        <v>262</v>
      </c>
      <c r="E3123" s="47">
        <v>230575</v>
      </c>
      <c r="G3123" s="50" t="s">
        <v>244</v>
      </c>
      <c r="H3123" s="51">
        <v>39.259</v>
      </c>
      <c r="J3123" s="51">
        <v>5.59</v>
      </c>
      <c r="K3123" s="74">
        <f>Tabela6[[#This Row],[CONSUMO]]*Tabela6[[#This Row],[VALOR UNIT]]-Tabela6[[#This Row],[DESCONTO]]</f>
        <v>219.45780999999999</v>
      </c>
      <c r="L3123" s="53">
        <f>Tabela6[[#This Row],[CUSTO TOTAL]]/Tabela6[[#This Row],[CONSUMO]]</f>
        <v>5.59</v>
      </c>
      <c r="M3123" s="50">
        <f>Tabela6[[#This Row],[KM ATUAL]]-E2940</f>
        <v>-286007</v>
      </c>
      <c r="N3123" s="51">
        <f>Tabela6[[#This Row],[KM Rodados ]]/Tabela6[[#This Row],[CONSUMO]]</f>
        <v>-7285.1320716268883</v>
      </c>
    </row>
    <row r="3124" spans="1:14" x14ac:dyDescent="0.25">
      <c r="A3124" s="47">
        <v>8433</v>
      </c>
      <c r="B3124" s="78">
        <v>45254</v>
      </c>
      <c r="C3124" s="47" t="s">
        <v>22</v>
      </c>
      <c r="D3124" s="49" t="s">
        <v>299</v>
      </c>
      <c r="E3124" s="47">
        <v>342888</v>
      </c>
      <c r="G3124" s="50" t="s">
        <v>89</v>
      </c>
      <c r="H3124" s="51">
        <v>84</v>
      </c>
      <c r="J3124" s="51">
        <v>5.58</v>
      </c>
      <c r="K3124" s="74">
        <f>Tabela6[[#This Row],[CONSUMO]]*Tabela6[[#This Row],[VALOR UNIT]]-Tabela6[[#This Row],[DESCONTO]]</f>
        <v>468.72</v>
      </c>
      <c r="L3124" s="53">
        <f>Tabela6[[#This Row],[CUSTO TOTAL]]/Tabela6[[#This Row],[CONSUMO]]</f>
        <v>5.58</v>
      </c>
      <c r="M3124" s="50">
        <f>Tabela6[[#This Row],[KM ATUAL]]-E3075</f>
        <v>372</v>
      </c>
      <c r="N3124" s="51">
        <f>Tabela6[[#This Row],[KM Rodados ]]/Tabela6[[#This Row],[CONSUMO]]</f>
        <v>4.4285714285714288</v>
      </c>
    </row>
    <row r="3125" spans="1:14" x14ac:dyDescent="0.25">
      <c r="A3125" s="47">
        <v>8433</v>
      </c>
      <c r="B3125" s="78">
        <v>45254</v>
      </c>
      <c r="C3125" s="47" t="s">
        <v>73</v>
      </c>
      <c r="D3125" s="49" t="s">
        <v>299</v>
      </c>
      <c r="E3125" s="119">
        <v>164595</v>
      </c>
      <c r="G3125" s="50" t="s">
        <v>89</v>
      </c>
      <c r="H3125" s="51">
        <v>140</v>
      </c>
      <c r="J3125" s="51">
        <v>5.58</v>
      </c>
      <c r="K3125" s="74">
        <f>Tabela6[[#This Row],[CONSUMO]]*Tabela6[[#This Row],[VALOR UNIT]]-Tabela6[[#This Row],[DESCONTO]]</f>
        <v>781.2</v>
      </c>
      <c r="L3125" s="53">
        <f>Tabela6[[#This Row],[CUSTO TOTAL]]/Tabela6[[#This Row],[CONSUMO]]</f>
        <v>5.58</v>
      </c>
      <c r="M3125" s="50">
        <f>Tabela6[[#This Row],[KM ATUAL]]-E3092</f>
        <v>-261754</v>
      </c>
      <c r="N3125" s="51">
        <f>Tabela6[[#This Row],[KM Rodados ]]/Tabela6[[#This Row],[CONSUMO]]</f>
        <v>-1869.6714285714286</v>
      </c>
    </row>
    <row r="3126" spans="1:14" x14ac:dyDescent="0.25">
      <c r="A3126" s="47">
        <v>8433</v>
      </c>
      <c r="B3126" s="78">
        <v>45254</v>
      </c>
      <c r="C3126" s="47" t="s">
        <v>71</v>
      </c>
      <c r="D3126" s="49" t="s">
        <v>299</v>
      </c>
      <c r="E3126" s="47">
        <v>135971</v>
      </c>
      <c r="G3126" s="50" t="s">
        <v>89</v>
      </c>
      <c r="H3126" s="51">
        <v>465</v>
      </c>
      <c r="J3126" s="51">
        <v>5.58</v>
      </c>
      <c r="K3126" s="74">
        <f>Tabela6[[#This Row],[CONSUMO]]*Tabela6[[#This Row],[VALOR UNIT]]-Tabela6[[#This Row],[DESCONTO]]</f>
        <v>2594.6999999999998</v>
      </c>
      <c r="L3126" s="53">
        <f>Tabela6[[#This Row],[CUSTO TOTAL]]/Tabela6[[#This Row],[CONSUMO]]</f>
        <v>5.5799999999999992</v>
      </c>
      <c r="M3126" s="50">
        <f>Tabela6[[#This Row],[KM ATUAL]]-E3076</f>
        <v>24298</v>
      </c>
      <c r="N3126" s="51">
        <f>Tabela6[[#This Row],[KM Rodados ]]/Tabela6[[#This Row],[CONSUMO]]</f>
        <v>52.253763440860212</v>
      </c>
    </row>
    <row r="3127" spans="1:14" x14ac:dyDescent="0.25">
      <c r="A3127" s="47">
        <v>97604</v>
      </c>
      <c r="B3127" s="78">
        <v>45254</v>
      </c>
      <c r="C3127" s="47" t="s">
        <v>64</v>
      </c>
      <c r="D3127" s="49" t="s">
        <v>253</v>
      </c>
      <c r="E3127" s="47">
        <v>104672</v>
      </c>
      <c r="G3127" s="50" t="s">
        <v>89</v>
      </c>
      <c r="H3127" s="51">
        <v>169.57</v>
      </c>
      <c r="J3127" s="51">
        <v>6.29</v>
      </c>
      <c r="K3127" s="74">
        <f>Tabela6[[#This Row],[CONSUMO]]*Tabela6[[#This Row],[VALOR UNIT]]-Tabela6[[#This Row],[DESCONTO]]</f>
        <v>1066.5953</v>
      </c>
      <c r="L3127" s="53">
        <f>Tabela6[[#This Row],[CUSTO TOTAL]]/Tabela6[[#This Row],[CONSUMO]]</f>
        <v>6.29</v>
      </c>
      <c r="M3127" s="50">
        <f>Tabela6[[#This Row],[KM ATUAL]]-E3098</f>
        <v>-559880</v>
      </c>
      <c r="N3127" s="51">
        <f>Tabela6[[#This Row],[KM Rodados ]]/Tabela6[[#This Row],[CONSUMO]]</f>
        <v>-3301.7632835996933</v>
      </c>
    </row>
    <row r="3128" spans="1:14" x14ac:dyDescent="0.25">
      <c r="A3128" s="47">
        <v>8433</v>
      </c>
      <c r="B3128" s="78">
        <v>45254</v>
      </c>
      <c r="C3128" s="47" t="s">
        <v>41</v>
      </c>
      <c r="D3128" s="49" t="s">
        <v>299</v>
      </c>
      <c r="E3128" s="47">
        <v>684994</v>
      </c>
      <c r="G3128" s="50" t="s">
        <v>89</v>
      </c>
      <c r="H3128" s="51">
        <v>90</v>
      </c>
      <c r="J3128" s="51">
        <v>5.58</v>
      </c>
      <c r="K3128" s="74">
        <f>Tabela6[[#This Row],[CONSUMO]]*Tabela6[[#This Row],[VALOR UNIT]]-Tabela6[[#This Row],[DESCONTO]]</f>
        <v>502.2</v>
      </c>
      <c r="L3128" s="53">
        <f>Tabela6[[#This Row],[CUSTO TOTAL]]/Tabela6[[#This Row],[CONSUMO]]</f>
        <v>5.58</v>
      </c>
      <c r="M3128" s="50">
        <f>Tabela6[[#This Row],[KM ATUAL]]-E3094</f>
        <v>580845</v>
      </c>
      <c r="N3128" s="51">
        <f>Tabela6[[#This Row],[KM Rodados ]]/Tabela6[[#This Row],[CONSUMO]]</f>
        <v>6453.833333333333</v>
      </c>
    </row>
    <row r="3129" spans="1:14" x14ac:dyDescent="0.25">
      <c r="A3129" s="47">
        <v>97338</v>
      </c>
      <c r="B3129" s="78">
        <v>45254</v>
      </c>
      <c r="C3129" s="47" t="s">
        <v>11</v>
      </c>
      <c r="D3129" s="49" t="s">
        <v>253</v>
      </c>
      <c r="E3129" s="47">
        <v>405812</v>
      </c>
      <c r="G3129" s="50" t="s">
        <v>89</v>
      </c>
      <c r="H3129" s="51">
        <v>113.76</v>
      </c>
      <c r="J3129" s="51">
        <v>6.29</v>
      </c>
      <c r="K3129" s="74">
        <f>Tabela6[[#This Row],[CONSUMO]]*Tabela6[[#This Row],[VALOR UNIT]]-Tabela6[[#This Row],[DESCONTO]]</f>
        <v>715.55040000000008</v>
      </c>
      <c r="L3129" s="53">
        <f>Tabela6[[#This Row],[CUSTO TOTAL]]/Tabela6[[#This Row],[CONSUMO]]</f>
        <v>6.29</v>
      </c>
      <c r="M3129" s="50">
        <f>Tabela6[[#This Row],[KM ATUAL]]-E3059</f>
        <v>245704</v>
      </c>
      <c r="N3129" s="51">
        <f>Tabela6[[#This Row],[KM Rodados ]]/Tabela6[[#This Row],[CONSUMO]]</f>
        <v>2159.8452883263008</v>
      </c>
    </row>
    <row r="3130" spans="1:14" x14ac:dyDescent="0.25">
      <c r="A3130" s="47">
        <v>884855</v>
      </c>
      <c r="B3130" s="78">
        <v>45254</v>
      </c>
      <c r="C3130" s="47" t="s">
        <v>301</v>
      </c>
      <c r="D3130" s="49" t="s">
        <v>376</v>
      </c>
      <c r="E3130" s="47">
        <v>1065928</v>
      </c>
      <c r="G3130" s="50" t="s">
        <v>89</v>
      </c>
      <c r="H3130" s="51">
        <v>363</v>
      </c>
      <c r="I3130" s="49">
        <v>159.72</v>
      </c>
      <c r="J3130" s="51">
        <v>6.48</v>
      </c>
      <c r="K3130" s="74">
        <f>Tabela6[[#This Row],[CONSUMO]]*Tabela6[[#This Row],[VALOR UNIT]]-Tabela6[[#This Row],[DESCONTO]]</f>
        <v>2192.5200000000004</v>
      </c>
      <c r="L3130" s="53">
        <f>Tabela6[[#This Row],[CUSTO TOTAL]]/Tabela6[[#This Row],[CONSUMO]]</f>
        <v>6.0400000000000009</v>
      </c>
      <c r="M3130" s="50">
        <f>Tabela6[[#This Row],[KM ATUAL]]-E3095</f>
        <v>381328</v>
      </c>
      <c r="N3130" s="51">
        <f>Tabela6[[#This Row],[KM Rodados ]]/Tabela6[[#This Row],[CONSUMO]]</f>
        <v>1050.4903581267217</v>
      </c>
    </row>
    <row r="3131" spans="1:14" x14ac:dyDescent="0.25">
      <c r="A3131" s="47">
        <v>97302</v>
      </c>
      <c r="B3131" s="78">
        <v>45254</v>
      </c>
      <c r="C3131" s="47" t="s">
        <v>12</v>
      </c>
      <c r="D3131" s="49" t="s">
        <v>253</v>
      </c>
      <c r="E3131" s="119">
        <v>326241</v>
      </c>
      <c r="G3131" s="50" t="s">
        <v>89</v>
      </c>
      <c r="H3131" s="51">
        <v>93.03</v>
      </c>
      <c r="J3131" s="51">
        <v>6.29</v>
      </c>
      <c r="K3131" s="74">
        <f>Tabela6[[#This Row],[CONSUMO]]*Tabela6[[#This Row],[VALOR UNIT]]-Tabela6[[#This Row],[DESCONTO]]</f>
        <v>585.15870000000007</v>
      </c>
      <c r="L3131" s="53">
        <f>Tabela6[[#This Row],[CUSTO TOTAL]]/Tabela6[[#This Row],[CONSUMO]]</f>
        <v>6.2900000000000009</v>
      </c>
      <c r="M3131" s="50">
        <f>Tabela6[[#This Row],[KM ATUAL]]-E2903</f>
        <v>-69127</v>
      </c>
      <c r="N3131" s="51">
        <f>Tabela6[[#This Row],[KM Rodados ]]/Tabela6[[#This Row],[CONSUMO]]</f>
        <v>-743.06137805009132</v>
      </c>
    </row>
    <row r="3132" spans="1:14" x14ac:dyDescent="0.25">
      <c r="A3132" s="47">
        <v>1331018</v>
      </c>
      <c r="B3132" s="78">
        <v>45254</v>
      </c>
      <c r="C3132" s="47" t="s">
        <v>13</v>
      </c>
      <c r="D3132" s="49" t="s">
        <v>247</v>
      </c>
      <c r="E3132" s="47">
        <v>665172</v>
      </c>
      <c r="G3132" s="50" t="s">
        <v>89</v>
      </c>
      <c r="H3132" s="51">
        <v>143</v>
      </c>
      <c r="J3132" s="51">
        <v>6.29</v>
      </c>
      <c r="K3132" s="74">
        <f>Tabela6[[#This Row],[CONSUMO]]*Tabela6[[#This Row],[VALOR UNIT]]-Tabela6[[#This Row],[DESCONTO]]</f>
        <v>899.47</v>
      </c>
      <c r="L3132" s="53">
        <f>Tabela6[[#This Row],[CUSTO TOTAL]]/Tabela6[[#This Row],[CONSUMO]]</f>
        <v>6.29</v>
      </c>
      <c r="M3132" s="50">
        <f>Tabela6[[#This Row],[KM ATUAL]]-E3110</f>
        <v>238365</v>
      </c>
      <c r="N3132" s="51">
        <f>Tabela6[[#This Row],[KM Rodados ]]/Tabela6[[#This Row],[CONSUMO]]</f>
        <v>1666.8881118881118</v>
      </c>
    </row>
    <row r="3133" spans="1:14" x14ac:dyDescent="0.25">
      <c r="A3133" s="47">
        <v>1331018</v>
      </c>
      <c r="B3133" s="78">
        <v>45254</v>
      </c>
      <c r="C3133" s="47" t="s">
        <v>13</v>
      </c>
      <c r="D3133" s="49" t="s">
        <v>247</v>
      </c>
      <c r="E3133" s="47">
        <v>665172</v>
      </c>
      <c r="G3133" s="50" t="s">
        <v>241</v>
      </c>
      <c r="H3133" s="51">
        <v>21</v>
      </c>
      <c r="J3133" s="51">
        <v>2.99</v>
      </c>
      <c r="K3133" s="74">
        <f>Tabela6[[#This Row],[CONSUMO]]*Tabela6[[#This Row],[VALOR UNIT]]-Tabela6[[#This Row],[DESCONTO]]</f>
        <v>62.790000000000006</v>
      </c>
      <c r="L3133" s="53">
        <f>Tabela6[[#This Row],[CUSTO TOTAL]]/Tabela6[[#This Row],[CONSUMO]]</f>
        <v>2.99</v>
      </c>
      <c r="M3133" s="50"/>
    </row>
    <row r="3134" spans="1:14" x14ac:dyDescent="0.25">
      <c r="A3134" s="47">
        <v>8433</v>
      </c>
      <c r="B3134" s="78">
        <v>45254</v>
      </c>
      <c r="C3134" s="47" t="s">
        <v>15</v>
      </c>
      <c r="D3134" s="49" t="s">
        <v>299</v>
      </c>
      <c r="E3134" s="47">
        <v>400819</v>
      </c>
      <c r="G3134" s="50" t="s">
        <v>89</v>
      </c>
      <c r="H3134" s="51">
        <v>58</v>
      </c>
      <c r="J3134" s="51">
        <v>5.58</v>
      </c>
      <c r="K3134" s="74">
        <f>Tabela6[[#This Row],[CONSUMO]]*Tabela6[[#This Row],[VALOR UNIT]]-Tabela6[[#This Row],[DESCONTO]]</f>
        <v>323.64</v>
      </c>
      <c r="L3134" s="53">
        <f>Tabela6[[#This Row],[CUSTO TOTAL]]/Tabela6[[#This Row],[CONSUMO]]</f>
        <v>5.58</v>
      </c>
      <c r="M3134" s="50">
        <f>Tabela6[[#This Row],[KM ATUAL]]-E3105</f>
        <v>-123681</v>
      </c>
      <c r="N3134" s="51">
        <f>Tabela6[[#This Row],[KM Rodados ]]/Tabela6[[#This Row],[CONSUMO]]</f>
        <v>-2132.4310344827586</v>
      </c>
    </row>
    <row r="3135" spans="1:14" x14ac:dyDescent="0.25">
      <c r="A3135" s="47">
        <v>939629</v>
      </c>
      <c r="B3135" s="78">
        <v>45254</v>
      </c>
      <c r="C3135" s="47" t="s">
        <v>19</v>
      </c>
      <c r="D3135" s="49" t="s">
        <v>381</v>
      </c>
      <c r="E3135" s="47">
        <v>340970</v>
      </c>
      <c r="G3135" s="50" t="s">
        <v>89</v>
      </c>
      <c r="H3135" s="51">
        <v>68.965000000000003</v>
      </c>
      <c r="J3135" s="51">
        <v>6.09</v>
      </c>
      <c r="K3135" s="74">
        <f>Tabela6[[#This Row],[CONSUMO]]*Tabela6[[#This Row],[VALOR UNIT]]-Tabela6[[#This Row],[DESCONTO]]</f>
        <v>419.99684999999999</v>
      </c>
      <c r="L3135" s="53">
        <f>Tabela6[[#This Row],[CUSTO TOTAL]]/Tabela6[[#This Row],[CONSUMO]]</f>
        <v>6.09</v>
      </c>
      <c r="M3135" s="50">
        <f>Tabela6[[#This Row],[KM ATUAL]]-E3104</f>
        <v>180240</v>
      </c>
      <c r="N3135" s="51">
        <f>Tabela6[[#This Row],[KM Rodados ]]/Tabela6[[#This Row],[CONSUMO]]</f>
        <v>2613.4996012470092</v>
      </c>
    </row>
    <row r="3136" spans="1:14" x14ac:dyDescent="0.25">
      <c r="A3136" s="47">
        <v>8433</v>
      </c>
      <c r="B3136" s="78">
        <v>45254</v>
      </c>
      <c r="C3136" s="47" t="s">
        <v>23</v>
      </c>
      <c r="D3136" s="49" t="s">
        <v>299</v>
      </c>
      <c r="E3136" s="47">
        <v>257050</v>
      </c>
      <c r="G3136" s="50" t="s">
        <v>89</v>
      </c>
      <c r="H3136" s="51">
        <v>80</v>
      </c>
      <c r="J3136" s="51">
        <v>5.58</v>
      </c>
      <c r="K3136" s="74">
        <f>Tabela6[[#This Row],[CONSUMO]]*Tabela6[[#This Row],[VALOR UNIT]]-Tabela6[[#This Row],[DESCONTO]]</f>
        <v>446.4</v>
      </c>
      <c r="L3136" s="53">
        <f>Tabela6[[#This Row],[CUSTO TOTAL]]/Tabela6[[#This Row],[CONSUMO]]</f>
        <v>5.58</v>
      </c>
      <c r="M3136" s="50">
        <f>Tabela6[[#This Row],[KM ATUAL]]-E3117</f>
        <v>367</v>
      </c>
      <c r="N3136" s="51">
        <f>Tabela6[[#This Row],[KM Rodados ]]/Tabela6[[#This Row],[CONSUMO]]</f>
        <v>4.5875000000000004</v>
      </c>
    </row>
    <row r="3137" spans="1:14" x14ac:dyDescent="0.25">
      <c r="A3137" s="47">
        <v>223158</v>
      </c>
      <c r="B3137" s="78">
        <v>45254</v>
      </c>
      <c r="C3137" s="47" t="s">
        <v>40</v>
      </c>
      <c r="D3137" s="49" t="s">
        <v>262</v>
      </c>
      <c r="E3137" s="47">
        <v>170979</v>
      </c>
      <c r="G3137" s="50" t="s">
        <v>244</v>
      </c>
      <c r="H3137" s="51">
        <v>31.66</v>
      </c>
      <c r="J3137" s="51">
        <v>5.59</v>
      </c>
      <c r="K3137" s="74">
        <f>Tabela6[[#This Row],[CONSUMO]]*Tabela6[[#This Row],[VALOR UNIT]]-Tabela6[[#This Row],[DESCONTO]]</f>
        <v>176.9794</v>
      </c>
      <c r="L3137" s="53">
        <f>Tabela6[[#This Row],[CUSTO TOTAL]]/Tabela6[[#This Row],[CONSUMO]]</f>
        <v>5.59</v>
      </c>
      <c r="M3137" s="50">
        <f>Tabela6[[#This Row],[KM ATUAL]]-E3007</f>
        <v>-348490</v>
      </c>
      <c r="N3137" s="51">
        <f>Tabela6[[#This Row],[KM Rodados ]]/Tabela6[[#This Row],[CONSUMO]]</f>
        <v>-11007.26468730259</v>
      </c>
    </row>
    <row r="3138" spans="1:14" x14ac:dyDescent="0.25">
      <c r="A3138" s="47">
        <v>223144</v>
      </c>
      <c r="B3138" s="78">
        <v>45254</v>
      </c>
      <c r="C3138" s="47" t="s">
        <v>315</v>
      </c>
      <c r="D3138" s="49" t="s">
        <v>262</v>
      </c>
      <c r="E3138" s="47">
        <v>7736</v>
      </c>
      <c r="G3138" s="50" t="s">
        <v>89</v>
      </c>
      <c r="H3138" s="51">
        <v>38.880000000000003</v>
      </c>
      <c r="J3138" s="51">
        <v>5.99</v>
      </c>
      <c r="K3138" s="74">
        <f>Tabela6[[#This Row],[CONSUMO]]*Tabela6[[#This Row],[VALOR UNIT]]-Tabela6[[#This Row],[DESCONTO]]</f>
        <v>232.89120000000003</v>
      </c>
      <c r="L3138" s="53">
        <f>Tabela6[[#This Row],[CUSTO TOTAL]]/Tabela6[[#This Row],[CONSUMO]]</f>
        <v>5.99</v>
      </c>
      <c r="M3138" s="50">
        <f>Tabela6[[#This Row],[KM ATUAL]]-E3037</f>
        <v>-655349</v>
      </c>
      <c r="N3138" s="51">
        <f>Tabela6[[#This Row],[KM Rodados ]]/Tabela6[[#This Row],[CONSUMO]]</f>
        <v>-16855.6841563786</v>
      </c>
    </row>
    <row r="3139" spans="1:14" x14ac:dyDescent="0.25">
      <c r="A3139" s="47">
        <v>223301</v>
      </c>
      <c r="B3139" s="78">
        <v>45255</v>
      </c>
      <c r="C3139" s="47" t="s">
        <v>67</v>
      </c>
      <c r="D3139" s="49" t="s">
        <v>262</v>
      </c>
      <c r="E3139" s="47">
        <v>690644</v>
      </c>
      <c r="G3139" s="50" t="s">
        <v>89</v>
      </c>
      <c r="H3139" s="51">
        <v>130.71</v>
      </c>
      <c r="J3139" s="51">
        <v>5.99</v>
      </c>
      <c r="K3139" s="74">
        <f>Tabela6[[#This Row],[CONSUMO]]*Tabela6[[#This Row],[VALOR UNIT]]-Tabela6[[#This Row],[DESCONTO]]</f>
        <v>782.95290000000011</v>
      </c>
      <c r="L3139" s="53">
        <f>Tabela6[[#This Row],[CUSTO TOTAL]]/Tabela6[[#This Row],[CONSUMO]]</f>
        <v>5.99</v>
      </c>
      <c r="M3139" s="50">
        <f>Tabela6[[#This Row],[KM ATUAL]]-E3125</f>
        <v>526049</v>
      </c>
      <c r="N3139" s="51">
        <f>Tabela6[[#This Row],[KM Rodados ]]/Tabela6[[#This Row],[CONSUMO]]</f>
        <v>4024.5505317114221</v>
      </c>
    </row>
    <row r="3140" spans="1:14" x14ac:dyDescent="0.25">
      <c r="A3140" s="47">
        <v>223301</v>
      </c>
      <c r="B3140" s="78">
        <v>45255</v>
      </c>
      <c r="C3140" s="47" t="s">
        <v>67</v>
      </c>
      <c r="D3140" s="49" t="s">
        <v>262</v>
      </c>
      <c r="E3140" s="47">
        <v>690644</v>
      </c>
      <c r="G3140" s="50" t="s">
        <v>241</v>
      </c>
      <c r="H3140" s="51">
        <v>3.2160000000000002</v>
      </c>
      <c r="I3140" s="49">
        <v>1.1599999999999999</v>
      </c>
      <c r="J3140" s="51">
        <v>3.69</v>
      </c>
      <c r="K3140" s="74">
        <f>Tabela6[[#This Row],[CONSUMO]]*Tabela6[[#This Row],[VALOR UNIT]]-Tabela6[[#This Row],[DESCONTO]]</f>
        <v>10.707040000000001</v>
      </c>
      <c r="L3140" s="53">
        <f>Tabela6[[#This Row],[CUSTO TOTAL]]/Tabela6[[#This Row],[CONSUMO]]</f>
        <v>3.3293034825870649</v>
      </c>
      <c r="M3140" s="50"/>
    </row>
    <row r="3141" spans="1:14" x14ac:dyDescent="0.25">
      <c r="A3141" s="47">
        <v>431743</v>
      </c>
      <c r="B3141" s="78">
        <v>45255</v>
      </c>
      <c r="C3141" s="47" t="s">
        <v>301</v>
      </c>
      <c r="D3141" s="49" t="s">
        <v>333</v>
      </c>
      <c r="E3141" s="47">
        <v>1066738</v>
      </c>
      <c r="G3141" s="50" t="s">
        <v>89</v>
      </c>
      <c r="H3141" s="51">
        <v>395.017</v>
      </c>
      <c r="J3141" s="51">
        <v>5.79</v>
      </c>
      <c r="K3141" s="74">
        <f>Tabela6[[#This Row],[CONSUMO]]*Tabela6[[#This Row],[VALOR UNIT]]-Tabela6[[#This Row],[DESCONTO]]</f>
        <v>2287.1484300000002</v>
      </c>
      <c r="L3141" s="53">
        <f>Tabela6[[#This Row],[CUSTO TOTAL]]/Tabela6[[#This Row],[CONSUMO]]</f>
        <v>5.7900000000000009</v>
      </c>
      <c r="M3141" s="50">
        <f>Tabela6[[#This Row],[KM ATUAL]]-E3138</f>
        <v>1059002</v>
      </c>
      <c r="N3141" s="51">
        <f>Tabela6[[#This Row],[KM Rodados ]]/Tabela6[[#This Row],[CONSUMO]]</f>
        <v>2680.90234091191</v>
      </c>
    </row>
    <row r="3142" spans="1:14" x14ac:dyDescent="0.25">
      <c r="A3142" s="47">
        <v>467836</v>
      </c>
      <c r="B3142" s="78">
        <v>45256</v>
      </c>
      <c r="C3142" s="47" t="s">
        <v>222</v>
      </c>
      <c r="D3142" s="49" t="s">
        <v>347</v>
      </c>
      <c r="E3142" s="47">
        <v>526081</v>
      </c>
      <c r="G3142" s="50" t="s">
        <v>89</v>
      </c>
      <c r="H3142" s="51">
        <v>528.04100000000005</v>
      </c>
      <c r="J3142" s="51">
        <v>5.8899900000000001</v>
      </c>
      <c r="K3142" s="74">
        <f>Tabela6[[#This Row],[CONSUMO]]*Tabela6[[#This Row],[VALOR UNIT]]-Tabela6[[#This Row],[DESCONTO]]</f>
        <v>3110.1562095900003</v>
      </c>
      <c r="L3142" s="53">
        <f>Tabela6[[#This Row],[CUSTO TOTAL]]/Tabela6[[#This Row],[CONSUMO]]</f>
        <v>5.8899900000000001</v>
      </c>
      <c r="M3142" s="50">
        <f>Tabela6[[#This Row],[KM ATUAL]]-E3122</f>
        <v>-164164</v>
      </c>
      <c r="N3142" s="51">
        <f>Tabela6[[#This Row],[KM Rodados ]]/Tabela6[[#This Row],[CONSUMO]]</f>
        <v>-310.89252539102074</v>
      </c>
    </row>
    <row r="3143" spans="1:14" x14ac:dyDescent="0.25">
      <c r="A3143" s="47">
        <v>467837</v>
      </c>
      <c r="B3143" s="78">
        <v>45256</v>
      </c>
      <c r="C3143" s="47" t="s">
        <v>222</v>
      </c>
      <c r="D3143" s="49" t="s">
        <v>347</v>
      </c>
      <c r="E3143" s="47">
        <v>526081</v>
      </c>
      <c r="G3143" s="50" t="s">
        <v>241</v>
      </c>
      <c r="H3143" s="51">
        <v>34.299999999999997</v>
      </c>
      <c r="J3143" s="51">
        <v>2.99</v>
      </c>
      <c r="K3143" s="74">
        <f>Tabela6[[#This Row],[CONSUMO]]*Tabela6[[#This Row],[VALOR UNIT]]-Tabela6[[#This Row],[DESCONTO]]</f>
        <v>102.557</v>
      </c>
      <c r="L3143" s="53">
        <f>Tabela6[[#This Row],[CUSTO TOTAL]]/Tabela6[[#This Row],[CONSUMO]]</f>
        <v>2.99</v>
      </c>
      <c r="M3143" s="50"/>
    </row>
    <row r="3144" spans="1:14" x14ac:dyDescent="0.25">
      <c r="A3144" s="47">
        <v>1232733</v>
      </c>
      <c r="B3144" s="78">
        <v>45257</v>
      </c>
      <c r="C3144" s="47" t="s">
        <v>9</v>
      </c>
      <c r="D3144" s="49" t="s">
        <v>263</v>
      </c>
      <c r="E3144" s="47">
        <v>635587</v>
      </c>
      <c r="G3144" s="50" t="s">
        <v>89</v>
      </c>
      <c r="H3144" s="51">
        <v>144.03</v>
      </c>
      <c r="I3144" s="49">
        <v>14.41</v>
      </c>
      <c r="J3144" s="51">
        <v>6.09</v>
      </c>
      <c r="K3144" s="74">
        <f>Tabela6[[#This Row],[CONSUMO]]*Tabela6[[#This Row],[VALOR UNIT]]-Tabela6[[#This Row],[DESCONTO]]</f>
        <v>862.73270000000002</v>
      </c>
      <c r="L3144" s="53">
        <f>Tabela6[[#This Row],[CUSTO TOTAL]]/Tabela6[[#This Row],[CONSUMO]]</f>
        <v>5.9899513990140942</v>
      </c>
      <c r="M3144" s="50">
        <f>Tabela6[[#This Row],[KM ATUAL]]-E3096</f>
        <v>-429333</v>
      </c>
      <c r="N3144" s="51">
        <f>Tabela6[[#This Row],[KM Rodados ]]/Tabela6[[#This Row],[CONSUMO]]</f>
        <v>-2980.8581545511352</v>
      </c>
    </row>
    <row r="3145" spans="1:14" x14ac:dyDescent="0.25">
      <c r="A3145" s="47">
        <v>8520</v>
      </c>
      <c r="B3145" s="78">
        <v>45257</v>
      </c>
      <c r="C3145" s="47" t="s">
        <v>67</v>
      </c>
      <c r="D3145" s="49" t="s">
        <v>299</v>
      </c>
      <c r="E3145" s="47">
        <v>691199</v>
      </c>
      <c r="G3145" s="50" t="s">
        <v>89</v>
      </c>
      <c r="H3145" s="51">
        <v>119</v>
      </c>
      <c r="J3145" s="51">
        <v>5.5</v>
      </c>
      <c r="K3145" s="74">
        <f>Tabela6[[#This Row],[CONSUMO]]*Tabela6[[#This Row],[VALOR UNIT]]-Tabela6[[#This Row],[DESCONTO]]</f>
        <v>654.5</v>
      </c>
      <c r="L3145" s="53">
        <f>Tabela6[[#This Row],[CUSTO TOTAL]]/Tabela6[[#This Row],[CONSUMO]]</f>
        <v>5.5</v>
      </c>
      <c r="M3145" s="50">
        <f>Tabela6[[#This Row],[KM ATUAL]]-E3128</f>
        <v>6205</v>
      </c>
      <c r="N3145" s="51">
        <f>Tabela6[[#This Row],[KM Rodados ]]/Tabela6[[#This Row],[CONSUMO]]</f>
        <v>52.142857142857146</v>
      </c>
    </row>
    <row r="3146" spans="1:14" x14ac:dyDescent="0.25">
      <c r="A3146" s="47">
        <v>100297</v>
      </c>
      <c r="B3146" s="78">
        <v>45257</v>
      </c>
      <c r="C3146" s="47" t="s">
        <v>22</v>
      </c>
      <c r="D3146" s="49" t="s">
        <v>253</v>
      </c>
      <c r="E3146" s="47">
        <v>343283</v>
      </c>
      <c r="G3146" s="50" t="s">
        <v>89</v>
      </c>
      <c r="H3146" s="51">
        <v>103.38</v>
      </c>
      <c r="J3146" s="51">
        <v>6.29</v>
      </c>
      <c r="K3146" s="74">
        <f>Tabela6[[#This Row],[CONSUMO]]*Tabela6[[#This Row],[VALOR UNIT]]-Tabela6[[#This Row],[DESCONTO]]</f>
        <v>650.26019999999994</v>
      </c>
      <c r="L3146" s="53">
        <f>Tabela6[[#This Row],[CUSTO TOTAL]]/Tabela6[[#This Row],[CONSUMO]]</f>
        <v>6.29</v>
      </c>
      <c r="M3146" s="50">
        <f>Tabela6[[#This Row],[KM ATUAL]]-E3128</f>
        <v>-341711</v>
      </c>
      <c r="N3146" s="51">
        <f>Tabela6[[#This Row],[KM Rodados ]]/Tabela6[[#This Row],[CONSUMO]]</f>
        <v>-3305.387889340298</v>
      </c>
    </row>
    <row r="3147" spans="1:14" x14ac:dyDescent="0.25">
      <c r="A3147" s="47">
        <v>32895</v>
      </c>
      <c r="B3147" s="78">
        <v>45257</v>
      </c>
      <c r="C3147" s="47" t="s">
        <v>39</v>
      </c>
      <c r="D3147" s="49" t="s">
        <v>276</v>
      </c>
      <c r="E3147" s="47">
        <v>112898</v>
      </c>
      <c r="G3147" s="50" t="s">
        <v>89</v>
      </c>
      <c r="H3147" s="51">
        <v>111.79</v>
      </c>
      <c r="J3147" s="51">
        <v>6.09</v>
      </c>
      <c r="K3147" s="74">
        <f>Tabela6[[#This Row],[CONSUMO]]*Tabela6[[#This Row],[VALOR UNIT]]-Tabela6[[#This Row],[DESCONTO]]</f>
        <v>680.80110000000002</v>
      </c>
      <c r="L3147" s="53">
        <f>Tabela6[[#This Row],[CUSTO TOTAL]]/Tabela6[[#This Row],[CONSUMO]]</f>
        <v>6.09</v>
      </c>
      <c r="M3147" s="50">
        <f>Tabela6[[#This Row],[KM ATUAL]]-E3113</f>
        <v>-226965</v>
      </c>
      <c r="N3147" s="51">
        <f>Tabela6[[#This Row],[KM Rodados ]]/Tabela6[[#This Row],[CONSUMO]]</f>
        <v>-2030.2799892655871</v>
      </c>
    </row>
    <row r="3148" spans="1:14" x14ac:dyDescent="0.25">
      <c r="A3148" s="47">
        <v>306462</v>
      </c>
      <c r="B3148" s="78">
        <v>45257</v>
      </c>
      <c r="C3148" s="47" t="s">
        <v>39</v>
      </c>
      <c r="D3148" s="49" t="s">
        <v>268</v>
      </c>
      <c r="E3148" s="47">
        <v>113159</v>
      </c>
      <c r="G3148" s="50" t="s">
        <v>241</v>
      </c>
      <c r="H3148" s="51">
        <v>17.559999999999999</v>
      </c>
      <c r="J3148" s="51">
        <v>2.99</v>
      </c>
      <c r="K3148" s="74">
        <f>Tabela6[[#This Row],[CONSUMO]]*Tabela6[[#This Row],[VALOR UNIT]]-Tabela6[[#This Row],[DESCONTO]]</f>
        <v>52.504399999999997</v>
      </c>
      <c r="L3148" s="53">
        <f>Tabela6[[#This Row],[CUSTO TOTAL]]/Tabela6[[#This Row],[CONSUMO]]</f>
        <v>2.99</v>
      </c>
      <c r="M3148" s="50"/>
    </row>
    <row r="3149" spans="1:14" x14ac:dyDescent="0.25">
      <c r="A3149" s="47">
        <v>411179</v>
      </c>
      <c r="B3149" s="78">
        <v>45257</v>
      </c>
      <c r="C3149" s="47" t="s">
        <v>203</v>
      </c>
      <c r="D3149" s="49" t="s">
        <v>309</v>
      </c>
      <c r="E3149" s="47">
        <v>123135</v>
      </c>
      <c r="G3149" s="50" t="s">
        <v>244</v>
      </c>
      <c r="H3149" s="51">
        <v>45.491</v>
      </c>
      <c r="J3149" s="51">
        <v>5.4</v>
      </c>
      <c r="K3149" s="74">
        <f>Tabela6[[#This Row],[CONSUMO]]*Tabela6[[#This Row],[VALOR UNIT]]-Tabela6[[#This Row],[DESCONTO]]</f>
        <v>245.65140000000002</v>
      </c>
      <c r="L3149" s="53">
        <f>Tabela6[[#This Row],[CUSTO TOTAL]]/Tabela6[[#This Row],[CONSUMO]]</f>
        <v>5.4</v>
      </c>
      <c r="M3149" s="50">
        <f>Tabela6[[#This Row],[KM ATUAL]]-E3114</f>
        <v>-217213</v>
      </c>
      <c r="N3149" s="51">
        <f>Tabela6[[#This Row],[KM Rodados ]]/Tabela6[[#This Row],[CONSUMO]]</f>
        <v>-4774.8565650348419</v>
      </c>
    </row>
    <row r="3150" spans="1:14" x14ac:dyDescent="0.25">
      <c r="A3150" s="47">
        <v>143339</v>
      </c>
      <c r="B3150" s="78">
        <v>45257</v>
      </c>
      <c r="C3150" s="47" t="s">
        <v>72</v>
      </c>
      <c r="D3150" s="49" t="s">
        <v>385</v>
      </c>
      <c r="E3150" s="47">
        <v>427188</v>
      </c>
      <c r="G3150" s="50" t="s">
        <v>89</v>
      </c>
      <c r="H3150" s="51">
        <v>47.720999999999997</v>
      </c>
      <c r="I3150" s="49">
        <v>25.29</v>
      </c>
      <c r="J3150" s="51">
        <v>6.79</v>
      </c>
      <c r="K3150" s="74">
        <f>Tabela6[[#This Row],[CONSUMO]]*Tabela6[[#This Row],[VALOR UNIT]]-Tabela6[[#This Row],[DESCONTO]]</f>
        <v>298.73558999999995</v>
      </c>
      <c r="L3150" s="53">
        <f>Tabela6[[#This Row],[CUSTO TOTAL]]/Tabela6[[#This Row],[CONSUMO]]</f>
        <v>6.2600446344376683</v>
      </c>
      <c r="M3150" s="50">
        <f>Tabela6[[#This Row],[KM ATUAL]]-E3119</f>
        <v>265981</v>
      </c>
      <c r="N3150" s="51">
        <f>Tabela6[[#This Row],[KM Rodados ]]/Tabela6[[#This Row],[CONSUMO]]</f>
        <v>5573.6677772888252</v>
      </c>
    </row>
    <row r="3151" spans="1:14" x14ac:dyDescent="0.25">
      <c r="A3151" s="47">
        <v>8520</v>
      </c>
      <c r="B3151" s="78">
        <v>45257</v>
      </c>
      <c r="C3151" s="47" t="s">
        <v>73</v>
      </c>
      <c r="D3151" s="49" t="s">
        <v>299</v>
      </c>
      <c r="E3151" s="119">
        <v>165039</v>
      </c>
      <c r="G3151" s="50" t="s">
        <v>89</v>
      </c>
      <c r="H3151" s="51">
        <v>106</v>
      </c>
      <c r="J3151" s="51">
        <v>5.5</v>
      </c>
      <c r="K3151" s="74">
        <f>Tabela6[[#This Row],[CONSUMO]]*Tabela6[[#This Row],[VALOR UNIT]]-Tabela6[[#This Row],[DESCONTO]]</f>
        <v>583</v>
      </c>
      <c r="L3151" s="53">
        <f>Tabela6[[#This Row],[CUSTO TOTAL]]/Tabela6[[#This Row],[CONSUMO]]</f>
        <v>5.5</v>
      </c>
      <c r="M3151" s="50">
        <f>Tabela6[[#This Row],[KM ATUAL]]-E3122</f>
        <v>-525206</v>
      </c>
      <c r="N3151" s="51">
        <f>Tabela6[[#This Row],[KM Rodados ]]/Tabela6[[#This Row],[CONSUMO]]</f>
        <v>-4954.7735849056608</v>
      </c>
    </row>
    <row r="3152" spans="1:14" x14ac:dyDescent="0.25">
      <c r="A3152" s="47">
        <v>223795</v>
      </c>
      <c r="B3152" s="78">
        <v>45257</v>
      </c>
      <c r="C3152" s="47" t="s">
        <v>71</v>
      </c>
      <c r="D3152" s="49" t="s">
        <v>262</v>
      </c>
      <c r="E3152" s="47">
        <v>135974</v>
      </c>
      <c r="G3152" s="50" t="s">
        <v>241</v>
      </c>
      <c r="H3152" s="51">
        <v>35.006</v>
      </c>
      <c r="I3152" s="49">
        <v>12.6</v>
      </c>
      <c r="J3152" s="51">
        <v>3.69</v>
      </c>
      <c r="K3152" s="74">
        <f>Tabela6[[#This Row],[CONSUMO]]*Tabela6[[#This Row],[VALOR UNIT]]-Tabela6[[#This Row],[DESCONTO]]</f>
        <v>116.57214000000002</v>
      </c>
      <c r="L3152" s="53">
        <f>Tabela6[[#This Row],[CUSTO TOTAL]]/Tabela6[[#This Row],[CONSUMO]]</f>
        <v>3.3300617037079361</v>
      </c>
      <c r="M3152" s="50"/>
    </row>
    <row r="3153" spans="1:14" x14ac:dyDescent="0.25">
      <c r="A3153" s="47">
        <v>8520</v>
      </c>
      <c r="B3153" s="78">
        <v>45257</v>
      </c>
      <c r="C3153" s="47" t="s">
        <v>10</v>
      </c>
      <c r="D3153" s="49" t="s">
        <v>299</v>
      </c>
      <c r="E3153" s="47">
        <v>733314</v>
      </c>
      <c r="G3153" s="50" t="s">
        <v>89</v>
      </c>
      <c r="H3153" s="51">
        <v>140</v>
      </c>
      <c r="J3153" s="51">
        <v>5.5</v>
      </c>
      <c r="K3153" s="74">
        <f>Tabela6[[#This Row],[CONSUMO]]*Tabela6[[#This Row],[VALOR UNIT]]-Tabela6[[#This Row],[DESCONTO]]</f>
        <v>770</v>
      </c>
      <c r="L3153" s="53">
        <f>Tabela6[[#This Row],[CUSTO TOTAL]]/Tabela6[[#This Row],[CONSUMO]]</f>
        <v>5.5</v>
      </c>
      <c r="M3153" s="50">
        <f>Tabela6[[#This Row],[KM ATUAL]]-E3115</f>
        <v>393459</v>
      </c>
      <c r="N3153" s="51">
        <f>Tabela6[[#This Row],[KM Rodados ]]/Tabela6[[#This Row],[CONSUMO]]</f>
        <v>2810.4214285714284</v>
      </c>
    </row>
    <row r="3154" spans="1:14" x14ac:dyDescent="0.25">
      <c r="A3154" s="47">
        <v>8433</v>
      </c>
      <c r="B3154" s="78">
        <v>45257</v>
      </c>
      <c r="C3154" s="47" t="s">
        <v>301</v>
      </c>
      <c r="D3154" s="49" t="s">
        <v>299</v>
      </c>
      <c r="E3154" s="47">
        <v>1067969</v>
      </c>
      <c r="G3154" s="50" t="s">
        <v>89</v>
      </c>
      <c r="H3154" s="51">
        <v>344</v>
      </c>
      <c r="J3154" s="51">
        <v>5.58</v>
      </c>
      <c r="K3154" s="74">
        <f>Tabela6[[#This Row],[CONSUMO]]*Tabela6[[#This Row],[VALOR UNIT]]-Tabela6[[#This Row],[DESCONTO]]</f>
        <v>1919.52</v>
      </c>
      <c r="L3154" s="53">
        <f>Tabela6[[#This Row],[CUSTO TOTAL]]/Tabela6[[#This Row],[CONSUMO]]</f>
        <v>5.58</v>
      </c>
      <c r="M3154" s="50">
        <f>Tabela6[[#This Row],[KM ATUAL]]-E3136</f>
        <v>810919</v>
      </c>
      <c r="N3154" s="51">
        <f>Tabela6[[#This Row],[KM Rodados ]]/Tabela6[[#This Row],[CONSUMO]]</f>
        <v>2357.3226744186045</v>
      </c>
    </row>
    <row r="3155" spans="1:14" x14ac:dyDescent="0.25">
      <c r="A3155" s="47">
        <v>8433</v>
      </c>
      <c r="B3155" s="78">
        <v>45257</v>
      </c>
      <c r="C3155" s="47" t="s">
        <v>13</v>
      </c>
      <c r="D3155" s="49" t="s">
        <v>299</v>
      </c>
      <c r="E3155" s="47">
        <v>665405</v>
      </c>
      <c r="G3155" s="50" t="s">
        <v>89</v>
      </c>
      <c r="H3155" s="51">
        <v>44</v>
      </c>
      <c r="J3155" s="51">
        <v>5.58</v>
      </c>
      <c r="K3155" s="74">
        <f>Tabela6[[#This Row],[CONSUMO]]*Tabela6[[#This Row],[VALOR UNIT]]-Tabela6[[#This Row],[DESCONTO]]</f>
        <v>245.52</v>
      </c>
      <c r="L3155" s="53">
        <f>Tabela6[[#This Row],[CUSTO TOTAL]]/Tabela6[[#This Row],[CONSUMO]]</f>
        <v>5.58</v>
      </c>
      <c r="M3155" s="50">
        <f>Tabela6[[#This Row],[KM ATUAL]]-E3122</f>
        <v>-24840</v>
      </c>
      <c r="N3155" s="51">
        <f>Tabela6[[#This Row],[KM Rodados ]]/Tabela6[[#This Row],[CONSUMO]]</f>
        <v>-564.5454545454545</v>
      </c>
    </row>
    <row r="3156" spans="1:14" x14ac:dyDescent="0.25">
      <c r="A3156" s="47">
        <v>8520</v>
      </c>
      <c r="B3156" s="78">
        <v>45257</v>
      </c>
      <c r="C3156" s="47" t="s">
        <v>17</v>
      </c>
      <c r="D3156" s="49" t="s">
        <v>299</v>
      </c>
      <c r="E3156" s="47">
        <v>381184</v>
      </c>
      <c r="G3156" s="50" t="s">
        <v>89</v>
      </c>
      <c r="H3156" s="51">
        <v>104</v>
      </c>
      <c r="J3156" s="51">
        <v>5.5</v>
      </c>
      <c r="K3156" s="74">
        <f>Tabela6[[#This Row],[CONSUMO]]*Tabela6[[#This Row],[VALOR UNIT]]-Tabela6[[#This Row],[DESCONTO]]</f>
        <v>572</v>
      </c>
      <c r="L3156" s="53">
        <f>Tabela6[[#This Row],[CUSTO TOTAL]]/Tabela6[[#This Row],[CONSUMO]]</f>
        <v>5.5</v>
      </c>
      <c r="M3156" s="50">
        <f>Tabela6[[#This Row],[KM ATUAL]]-E3114</f>
        <v>40836</v>
      </c>
      <c r="N3156" s="51">
        <f>Tabela6[[#This Row],[KM Rodados ]]/Tabela6[[#This Row],[CONSUMO]]</f>
        <v>392.65384615384613</v>
      </c>
    </row>
    <row r="3157" spans="1:14" x14ac:dyDescent="0.25">
      <c r="A3157" s="47">
        <v>8433</v>
      </c>
      <c r="B3157" s="78">
        <v>45257</v>
      </c>
      <c r="C3157" s="47" t="s">
        <v>19</v>
      </c>
      <c r="D3157" s="49" t="s">
        <v>299</v>
      </c>
      <c r="E3157" s="47">
        <v>341453</v>
      </c>
      <c r="G3157" s="50" t="s">
        <v>89</v>
      </c>
      <c r="H3157" s="51">
        <v>209</v>
      </c>
      <c r="J3157" s="51">
        <v>5.58</v>
      </c>
      <c r="K3157" s="74">
        <f>Tabela6[[#This Row],[CONSUMO]]*Tabela6[[#This Row],[VALOR UNIT]]-Tabela6[[#This Row],[DESCONTO]]</f>
        <v>1166.22</v>
      </c>
      <c r="L3157" s="53">
        <f>Tabela6[[#This Row],[CUSTO TOTAL]]/Tabela6[[#This Row],[CONSUMO]]</f>
        <v>5.58</v>
      </c>
      <c r="M3157" s="50">
        <f>Tabela6[[#This Row],[KM ATUAL]]-E3141</f>
        <v>-725285</v>
      </c>
      <c r="N3157" s="51">
        <f>Tabela6[[#This Row],[KM Rodados ]]/Tabela6[[#This Row],[CONSUMO]]</f>
        <v>-3470.2631578947367</v>
      </c>
    </row>
    <row r="3158" spans="1:14" x14ac:dyDescent="0.25">
      <c r="A3158" s="47">
        <v>223854</v>
      </c>
      <c r="B3158" s="78">
        <v>45257</v>
      </c>
      <c r="C3158" s="47" t="s">
        <v>20</v>
      </c>
      <c r="D3158" s="49" t="s">
        <v>262</v>
      </c>
      <c r="E3158" s="47">
        <v>283250</v>
      </c>
      <c r="G3158" s="50" t="s">
        <v>89</v>
      </c>
      <c r="H3158" s="51">
        <v>66.16</v>
      </c>
      <c r="J3158" s="51">
        <v>5.99</v>
      </c>
      <c r="K3158" s="74">
        <f>Tabela6[[#This Row],[CONSUMO]]*Tabela6[[#This Row],[VALOR UNIT]]-Tabela6[[#This Row],[DESCONTO]]</f>
        <v>396.29840000000002</v>
      </c>
      <c r="L3158" s="53">
        <f>Tabela6[[#This Row],[CUSTO TOTAL]]/Tabela6[[#This Row],[CONSUMO]]</f>
        <v>5.99</v>
      </c>
      <c r="M3158" s="50">
        <f>Tabela6[[#This Row],[KM ATUAL]]-E3108</f>
        <v>40847</v>
      </c>
      <c r="N3158" s="51">
        <f>Tabela6[[#This Row],[KM Rodados ]]/Tabela6[[#This Row],[CONSUMO]]</f>
        <v>617.39721886336156</v>
      </c>
    </row>
    <row r="3159" spans="1:14" x14ac:dyDescent="0.25">
      <c r="A3159" s="47">
        <v>324738</v>
      </c>
      <c r="B3159" s="78">
        <v>45257</v>
      </c>
      <c r="C3159" s="47" t="s">
        <v>40</v>
      </c>
      <c r="D3159" s="49" t="s">
        <v>270</v>
      </c>
      <c r="E3159" s="47">
        <v>171521</v>
      </c>
      <c r="G3159" s="50" t="s">
        <v>244</v>
      </c>
      <c r="H3159" s="51">
        <v>39.35</v>
      </c>
      <c r="J3159" s="51">
        <v>5.59</v>
      </c>
      <c r="K3159" s="74">
        <f>Tabela6[[#This Row],[CONSUMO]]*Tabela6[[#This Row],[VALOR UNIT]]-Tabela6[[#This Row],[DESCONTO]]</f>
        <v>219.9665</v>
      </c>
      <c r="L3159" s="53">
        <f>Tabela6[[#This Row],[CUSTO TOTAL]]/Tabela6[[#This Row],[CONSUMO]]</f>
        <v>5.59</v>
      </c>
      <c r="M3159" s="50">
        <f>Tabela6[[#This Row],[KM ATUAL]]-E3147</f>
        <v>58623</v>
      </c>
      <c r="N3159" s="51">
        <f>Tabela6[[#This Row],[KM Rodados ]]/Tabela6[[#This Row],[CONSUMO]]</f>
        <v>1489.7839898348157</v>
      </c>
    </row>
    <row r="3160" spans="1:14" x14ac:dyDescent="0.25">
      <c r="A3160" s="47">
        <v>8520</v>
      </c>
      <c r="B3160" s="78">
        <v>45258</v>
      </c>
      <c r="C3160" s="47" t="s">
        <v>394</v>
      </c>
      <c r="D3160" s="49" t="s">
        <v>299</v>
      </c>
      <c r="E3160" s="47">
        <v>877005</v>
      </c>
      <c r="G3160" s="50" t="s">
        <v>89</v>
      </c>
      <c r="H3160" s="51">
        <v>52</v>
      </c>
      <c r="J3160" s="51">
        <v>5.5</v>
      </c>
      <c r="K3160" s="74">
        <f>Tabela6[[#This Row],[CONSUMO]]*Tabela6[[#This Row],[VALOR UNIT]]-Tabela6[[#This Row],[DESCONTO]]</f>
        <v>286</v>
      </c>
      <c r="L3160" s="53">
        <f>Tabela6[[#This Row],[CUSTO TOTAL]]/Tabela6[[#This Row],[CONSUMO]]</f>
        <v>5.5</v>
      </c>
      <c r="M3160" s="51">
        <f>Tabela6[[#This Row],[KM ATUAL]]-E3051</f>
        <v>144227</v>
      </c>
      <c r="N3160" s="51">
        <f>Tabela6[[#This Row],[KM Rodados ]]/Tabela6[[#This Row],[CONSUMO]]</f>
        <v>2773.5961538461538</v>
      </c>
    </row>
    <row r="3161" spans="1:14" x14ac:dyDescent="0.25">
      <c r="A3161" s="47">
        <v>268585</v>
      </c>
      <c r="B3161" s="78">
        <v>45258</v>
      </c>
      <c r="C3161" s="47" t="s">
        <v>9</v>
      </c>
      <c r="D3161" s="49" t="s">
        <v>273</v>
      </c>
      <c r="E3161" s="47">
        <v>636096</v>
      </c>
      <c r="G3161" s="50" t="s">
        <v>89</v>
      </c>
      <c r="H3161" s="51">
        <v>124</v>
      </c>
      <c r="J3161" s="51">
        <v>5.89</v>
      </c>
      <c r="K3161" s="74">
        <f>Tabela6[[#This Row],[CONSUMO]]*Tabela6[[#This Row],[VALOR UNIT]]-Tabela6[[#This Row],[DESCONTO]]</f>
        <v>730.36</v>
      </c>
      <c r="L3161" s="53">
        <f>Tabela6[[#This Row],[CUSTO TOTAL]]/Tabela6[[#This Row],[CONSUMO]]</f>
        <v>5.89</v>
      </c>
      <c r="M3161" s="50">
        <f>Tabela6[[#This Row],[KM ATUAL]]-E3140</f>
        <v>-54548</v>
      </c>
      <c r="N3161" s="51">
        <f>Tabela6[[#This Row],[KM Rodados ]]/Tabela6[[#This Row],[CONSUMO]]</f>
        <v>-439.90322580645159</v>
      </c>
    </row>
    <row r="3162" spans="1:14" x14ac:dyDescent="0.25">
      <c r="A3162" s="47">
        <v>32784</v>
      </c>
      <c r="B3162" s="78">
        <v>45258</v>
      </c>
      <c r="C3162" s="47" t="s">
        <v>222</v>
      </c>
      <c r="D3162" s="49" t="s">
        <v>332</v>
      </c>
      <c r="E3162" s="47">
        <v>527037</v>
      </c>
      <c r="G3162" s="50" t="s">
        <v>89</v>
      </c>
      <c r="H3162" s="51">
        <v>423.82</v>
      </c>
      <c r="J3162" s="51">
        <v>5.59</v>
      </c>
      <c r="K3162" s="74">
        <f>Tabela6[[#This Row],[CONSUMO]]*Tabela6[[#This Row],[VALOR UNIT]]-Tabela6[[#This Row],[DESCONTO]]</f>
        <v>2369.1538</v>
      </c>
      <c r="L3162" s="53">
        <f>Tabela6[[#This Row],[CUSTO TOTAL]]/Tabela6[[#This Row],[CONSUMO]]</f>
        <v>5.59</v>
      </c>
      <c r="M3162" s="50">
        <f>Tabela6[[#This Row],[KM ATUAL]]-E3143</f>
        <v>956</v>
      </c>
      <c r="N3162" s="51">
        <f>Tabela6[[#This Row],[KM Rodados ]]/Tabela6[[#This Row],[CONSUMO]]</f>
        <v>2.2556745788306358</v>
      </c>
    </row>
    <row r="3163" spans="1:14" x14ac:dyDescent="0.25">
      <c r="A3163" s="47">
        <v>8520</v>
      </c>
      <c r="B3163" s="78">
        <v>45258</v>
      </c>
      <c r="C3163" s="47" t="s">
        <v>39</v>
      </c>
      <c r="D3163" s="49" t="s">
        <v>299</v>
      </c>
      <c r="E3163" s="47">
        <v>113242</v>
      </c>
      <c r="G3163" s="50" t="s">
        <v>89</v>
      </c>
      <c r="H3163" s="51">
        <v>50</v>
      </c>
      <c r="J3163" s="51">
        <v>5.5</v>
      </c>
      <c r="K3163" s="74">
        <f>Tabela6[[#This Row],[CONSUMO]]*Tabela6[[#This Row],[VALOR UNIT]]-Tabela6[[#This Row],[DESCONTO]]</f>
        <v>275</v>
      </c>
      <c r="L3163" s="53">
        <f>Tabela6[[#This Row],[CUSTO TOTAL]]/Tabela6[[#This Row],[CONSUMO]]</f>
        <v>5.5</v>
      </c>
      <c r="M3163" s="50">
        <f>Tabela6[[#This Row],[KM ATUAL]]-E3145</f>
        <v>-577957</v>
      </c>
      <c r="N3163" s="51">
        <f>Tabela6[[#This Row],[KM Rodados ]]/Tabela6[[#This Row],[CONSUMO]]</f>
        <v>-11559.14</v>
      </c>
    </row>
    <row r="3164" spans="1:14" x14ac:dyDescent="0.25">
      <c r="A3164" s="47">
        <v>501627</v>
      </c>
      <c r="B3164" s="78">
        <v>45258</v>
      </c>
      <c r="C3164" s="47" t="s">
        <v>203</v>
      </c>
      <c r="D3164" s="49" t="s">
        <v>386</v>
      </c>
      <c r="E3164" s="47">
        <v>123678</v>
      </c>
      <c r="G3164" s="50" t="s">
        <v>244</v>
      </c>
      <c r="H3164" s="51">
        <v>41.54</v>
      </c>
      <c r="J3164" s="51">
        <v>5.99</v>
      </c>
      <c r="K3164" s="74">
        <f>Tabela6[[#This Row],[CONSUMO]]*Tabela6[[#This Row],[VALOR UNIT]]-Tabela6[[#This Row],[DESCONTO]]</f>
        <v>248.8246</v>
      </c>
      <c r="L3164" s="53">
        <f>Tabela6[[#This Row],[CUSTO TOTAL]]/Tabela6[[#This Row],[CONSUMO]]</f>
        <v>5.99</v>
      </c>
      <c r="M3164" s="50">
        <f>Tabela6[[#This Row],[KM ATUAL]]-E3148</f>
        <v>10519</v>
      </c>
      <c r="N3164" s="51">
        <f>Tabela6[[#This Row],[KM Rodados ]]/Tabela6[[#This Row],[CONSUMO]]</f>
        <v>253.2258064516129</v>
      </c>
    </row>
    <row r="3165" spans="1:14" x14ac:dyDescent="0.25">
      <c r="A3165" s="47">
        <v>8520</v>
      </c>
      <c r="B3165" s="78">
        <v>45258</v>
      </c>
      <c r="C3165" s="47" t="s">
        <v>72</v>
      </c>
      <c r="D3165" s="49" t="s">
        <v>299</v>
      </c>
      <c r="E3165" s="47">
        <v>427568</v>
      </c>
      <c r="G3165" s="50" t="s">
        <v>89</v>
      </c>
      <c r="H3165" s="51">
        <v>47</v>
      </c>
      <c r="J3165" s="51">
        <v>5.5</v>
      </c>
      <c r="K3165" s="74">
        <f>Tabela6[[#This Row],[CONSUMO]]*Tabela6[[#This Row],[VALOR UNIT]]-Tabela6[[#This Row],[DESCONTO]]</f>
        <v>258.5</v>
      </c>
      <c r="L3165" s="53">
        <f>Tabela6[[#This Row],[CUSTO TOTAL]]/Tabela6[[#This Row],[CONSUMO]]</f>
        <v>5.5</v>
      </c>
      <c r="M3165" s="50">
        <f>Tabela6[[#This Row],[KM ATUAL]]-E3140</f>
        <v>-263076</v>
      </c>
      <c r="N3165" s="51">
        <f>Tabela6[[#This Row],[KM Rodados ]]/Tabela6[[#This Row],[CONSUMO]]</f>
        <v>-5597.3617021276596</v>
      </c>
    </row>
    <row r="3166" spans="1:14" x14ac:dyDescent="0.25">
      <c r="A3166" s="47">
        <v>8520</v>
      </c>
      <c r="B3166" s="78">
        <v>45258</v>
      </c>
      <c r="C3166" s="47" t="s">
        <v>41</v>
      </c>
      <c r="D3166" s="49" t="s">
        <v>299</v>
      </c>
      <c r="E3166" s="47">
        <v>685379</v>
      </c>
      <c r="G3166" s="50" t="s">
        <v>89</v>
      </c>
      <c r="H3166" s="51">
        <v>100</v>
      </c>
      <c r="J3166" s="51">
        <v>5.5</v>
      </c>
      <c r="K3166" s="74">
        <f>Tabela6[[#This Row],[CONSUMO]]*Tabela6[[#This Row],[VALOR UNIT]]-Tabela6[[#This Row],[DESCONTO]]</f>
        <v>550</v>
      </c>
      <c r="L3166" s="53">
        <f>Tabela6[[#This Row],[CUSTO TOTAL]]/Tabela6[[#This Row],[CONSUMO]]</f>
        <v>5.5</v>
      </c>
      <c r="M3166" s="50">
        <f>Tabela6[[#This Row],[KM ATUAL]]-E3124</f>
        <v>342491</v>
      </c>
      <c r="N3166" s="51">
        <f>Tabela6[[#This Row],[KM Rodados ]]/Tabela6[[#This Row],[CONSUMO]]</f>
        <v>3424.91</v>
      </c>
    </row>
    <row r="3167" spans="1:14" x14ac:dyDescent="0.25">
      <c r="A3167" s="47">
        <v>101120</v>
      </c>
      <c r="B3167" s="78">
        <v>45258</v>
      </c>
      <c r="C3167" s="47" t="s">
        <v>10</v>
      </c>
      <c r="D3167" s="49" t="s">
        <v>253</v>
      </c>
      <c r="E3167" s="47">
        <v>734123</v>
      </c>
      <c r="G3167" s="50" t="s">
        <v>89</v>
      </c>
      <c r="H3167" s="51">
        <v>193.12</v>
      </c>
      <c r="J3167" s="51">
        <v>6.29</v>
      </c>
      <c r="K3167" s="74">
        <f>Tabela6[[#This Row],[CONSUMO]]*Tabela6[[#This Row],[VALOR UNIT]]-Tabela6[[#This Row],[DESCONTO]]</f>
        <v>1214.7248</v>
      </c>
      <c r="L3167" s="53">
        <f>Tabela6[[#This Row],[CUSTO TOTAL]]/Tabela6[[#This Row],[CONSUMO]]</f>
        <v>6.29</v>
      </c>
      <c r="M3167" s="50">
        <f>Tabela6[[#This Row],[KM ATUAL]]-E3157</f>
        <v>392670</v>
      </c>
      <c r="N3167" s="51">
        <f>Tabela6[[#This Row],[KM Rodados ]]/Tabela6[[#This Row],[CONSUMO]]</f>
        <v>2033.29536039768</v>
      </c>
    </row>
    <row r="3168" spans="1:14" x14ac:dyDescent="0.25">
      <c r="A3168" s="47">
        <v>1331018</v>
      </c>
      <c r="B3168" s="78">
        <v>45258</v>
      </c>
      <c r="C3168" s="47" t="s">
        <v>13</v>
      </c>
      <c r="D3168" s="49" t="s">
        <v>247</v>
      </c>
      <c r="E3168" s="47">
        <v>666034</v>
      </c>
      <c r="G3168" s="50" t="s">
        <v>89</v>
      </c>
      <c r="H3168" s="51">
        <v>154</v>
      </c>
      <c r="J3168" s="51">
        <v>6.29</v>
      </c>
      <c r="K3168" s="74">
        <f>Tabela6[[#This Row],[CONSUMO]]*Tabela6[[#This Row],[VALOR UNIT]]-Tabela6[[#This Row],[DESCONTO]]</f>
        <v>968.66</v>
      </c>
      <c r="L3168" s="53">
        <f>Tabela6[[#This Row],[CUSTO TOTAL]]/Tabela6[[#This Row],[CONSUMO]]</f>
        <v>6.29</v>
      </c>
      <c r="M3168" s="50">
        <f>Tabela6[[#This Row],[KM ATUAL]]-E3146</f>
        <v>322751</v>
      </c>
      <c r="N3168" s="51">
        <f>Tabela6[[#This Row],[KM Rodados ]]/Tabela6[[#This Row],[CONSUMO]]</f>
        <v>2095.7857142857142</v>
      </c>
    </row>
    <row r="3169" spans="1:14" x14ac:dyDescent="0.25">
      <c r="A3169" s="47">
        <v>8520</v>
      </c>
      <c r="B3169" s="78">
        <v>45258</v>
      </c>
      <c r="C3169" s="47" t="s">
        <v>15</v>
      </c>
      <c r="D3169" s="49" t="s">
        <v>299</v>
      </c>
      <c r="E3169" s="47">
        <v>401491</v>
      </c>
      <c r="G3169" s="50" t="s">
        <v>89</v>
      </c>
      <c r="H3169" s="51">
        <v>96</v>
      </c>
      <c r="J3169" s="51">
        <v>5.5</v>
      </c>
      <c r="K3169" s="74">
        <f>Tabela6[[#This Row],[CONSUMO]]*Tabela6[[#This Row],[VALOR UNIT]]-Tabela6[[#This Row],[DESCONTO]]</f>
        <v>528</v>
      </c>
      <c r="L3169" s="53">
        <f>Tabela6[[#This Row],[CUSTO TOTAL]]/Tabela6[[#This Row],[CONSUMO]]</f>
        <v>5.5</v>
      </c>
      <c r="M3169" s="50">
        <f>Tabela6[[#This Row],[KM ATUAL]]-E3134</f>
        <v>672</v>
      </c>
      <c r="N3169" s="51">
        <f>Tabela6[[#This Row],[KM Rodados ]]/Tabela6[[#This Row],[CONSUMO]]</f>
        <v>7</v>
      </c>
    </row>
    <row r="3170" spans="1:14" x14ac:dyDescent="0.25">
      <c r="A3170" s="47">
        <v>223932</v>
      </c>
      <c r="B3170" s="78">
        <v>45258</v>
      </c>
      <c r="C3170" s="47" t="s">
        <v>40</v>
      </c>
      <c r="D3170" s="49" t="s">
        <v>262</v>
      </c>
      <c r="E3170" s="47">
        <v>171812</v>
      </c>
      <c r="G3170" s="50" t="s">
        <v>244</v>
      </c>
      <c r="H3170" s="51">
        <v>23.37</v>
      </c>
      <c r="J3170" s="51">
        <v>5.59</v>
      </c>
      <c r="K3170" s="74">
        <f>Tabela6[[#This Row],[CONSUMO]]*Tabela6[[#This Row],[VALOR UNIT]]-Tabela6[[#This Row],[DESCONTO]]</f>
        <v>130.63830000000002</v>
      </c>
      <c r="L3170" s="53">
        <f>Tabela6[[#This Row],[CUSTO TOTAL]]/Tabela6[[#This Row],[CONSUMO]]</f>
        <v>5.5900000000000007</v>
      </c>
      <c r="M3170" s="50">
        <f>Tabela6[[#This Row],[KM ATUAL]]-E3150</f>
        <v>-255376</v>
      </c>
      <c r="N3170" s="51">
        <f>Tabela6[[#This Row],[KM Rodados ]]/Tabela6[[#This Row],[CONSUMO]]</f>
        <v>-10927.513906718013</v>
      </c>
    </row>
    <row r="3171" spans="1:14" x14ac:dyDescent="0.25">
      <c r="A3171" s="47">
        <v>353217</v>
      </c>
      <c r="B3171" s="78">
        <v>45258</v>
      </c>
      <c r="C3171" s="47" t="s">
        <v>40</v>
      </c>
      <c r="D3171" s="49" t="s">
        <v>276</v>
      </c>
      <c r="E3171" s="47">
        <v>172216</v>
      </c>
      <c r="G3171" s="50" t="s">
        <v>244</v>
      </c>
      <c r="H3171" s="51">
        <v>27.599</v>
      </c>
      <c r="J3171" s="51">
        <v>5.69</v>
      </c>
      <c r="K3171" s="74">
        <f>Tabela6[[#This Row],[CONSUMO]]*Tabela6[[#This Row],[VALOR UNIT]]-Tabela6[[#This Row],[DESCONTO]]</f>
        <v>157.03831000000002</v>
      </c>
      <c r="L3171" s="53">
        <f>Tabela6[[#This Row],[CUSTO TOTAL]]/Tabela6[[#This Row],[CONSUMO]]</f>
        <v>5.69</v>
      </c>
      <c r="M3171" s="50">
        <f>Tabela6[[#This Row],[KM ATUAL]]-E3170</f>
        <v>404</v>
      </c>
      <c r="N3171" s="51">
        <f>Tabela6[[#This Row],[KM Rodados ]]/Tabela6[[#This Row],[CONSUMO]]</f>
        <v>14.63821152940324</v>
      </c>
    </row>
    <row r="3172" spans="1:14" x14ac:dyDescent="0.25">
      <c r="A3172" s="47">
        <v>223870</v>
      </c>
      <c r="B3172" s="78">
        <v>45258</v>
      </c>
      <c r="C3172" s="47" t="s">
        <v>74</v>
      </c>
      <c r="D3172" s="49" t="s">
        <v>262</v>
      </c>
      <c r="E3172" s="47">
        <v>92959</v>
      </c>
      <c r="G3172" s="50" t="s">
        <v>89</v>
      </c>
      <c r="H3172" s="51">
        <v>29.88</v>
      </c>
      <c r="J3172" s="51">
        <v>5.99</v>
      </c>
      <c r="K3172" s="74">
        <f>Tabela6[[#This Row],[CONSUMO]]*Tabela6[[#This Row],[VALOR UNIT]]-Tabela6[[#This Row],[DESCONTO]]</f>
        <v>178.9812</v>
      </c>
      <c r="L3172" s="53">
        <f>Tabela6[[#This Row],[CUSTO TOTAL]]/Tabela6[[#This Row],[CONSUMO]]</f>
        <v>5.99</v>
      </c>
      <c r="M3172" s="50">
        <f>Tabela6[[#This Row],[KM ATUAL]]-E3121</f>
        <v>-432017</v>
      </c>
      <c r="N3172" s="51">
        <f>Tabela6[[#This Row],[KM Rodados ]]/Tabela6[[#This Row],[CONSUMO]]</f>
        <v>-14458.400267737617</v>
      </c>
    </row>
    <row r="3173" spans="1:14" x14ac:dyDescent="0.25">
      <c r="A3173" s="47">
        <v>223870</v>
      </c>
      <c r="B3173" s="78">
        <v>45258</v>
      </c>
      <c r="C3173" s="47" t="s">
        <v>74</v>
      </c>
      <c r="D3173" s="49" t="s">
        <v>262</v>
      </c>
      <c r="E3173" s="47">
        <v>92959</v>
      </c>
      <c r="G3173" s="50" t="s">
        <v>241</v>
      </c>
      <c r="H3173" s="51">
        <v>5</v>
      </c>
      <c r="I3173" s="49">
        <v>1.8</v>
      </c>
      <c r="J3173" s="51">
        <v>3.69</v>
      </c>
      <c r="K3173" s="74">
        <f>Tabela6[[#This Row],[CONSUMO]]*Tabela6[[#This Row],[VALOR UNIT]]-Tabela6[[#This Row],[DESCONTO]]</f>
        <v>16.649999999999999</v>
      </c>
      <c r="L3173" s="53">
        <f>Tabela6[[#This Row],[CUSTO TOTAL]]/Tabela6[[#This Row],[CONSUMO]]</f>
        <v>3.3299999999999996</v>
      </c>
      <c r="M3173" s="50"/>
    </row>
    <row r="3174" spans="1:14" x14ac:dyDescent="0.25">
      <c r="A3174" s="47">
        <v>223918</v>
      </c>
      <c r="B3174" s="78">
        <v>45258</v>
      </c>
      <c r="C3174" s="47" t="s">
        <v>315</v>
      </c>
      <c r="D3174" s="49" t="s">
        <v>262</v>
      </c>
      <c r="E3174" s="47">
        <v>8219</v>
      </c>
      <c r="G3174" s="50" t="s">
        <v>241</v>
      </c>
      <c r="H3174" s="51">
        <v>0.63600000000000001</v>
      </c>
      <c r="I3174" s="49">
        <v>0.23</v>
      </c>
      <c r="J3174" s="51">
        <v>3.69</v>
      </c>
      <c r="K3174" s="74">
        <f>Tabela6[[#This Row],[CONSUMO]]*Tabela6[[#This Row],[VALOR UNIT]]-Tabela6[[#This Row],[DESCONTO]]</f>
        <v>2.1168399999999998</v>
      </c>
      <c r="L3174" s="53">
        <f>Tabela6[[#This Row],[CUSTO TOTAL]]/Tabela6[[#This Row],[CONSUMO]]</f>
        <v>3.3283647798742133</v>
      </c>
      <c r="M3174" s="50"/>
      <c r="N3174" s="49"/>
    </row>
    <row r="3175" spans="1:14" x14ac:dyDescent="0.25">
      <c r="A3175" s="47">
        <v>223985</v>
      </c>
      <c r="B3175" s="78">
        <v>45258</v>
      </c>
      <c r="C3175" s="47" t="s">
        <v>354</v>
      </c>
      <c r="D3175" s="49" t="s">
        <v>262</v>
      </c>
      <c r="E3175" s="47">
        <v>6423</v>
      </c>
      <c r="G3175" s="50" t="s">
        <v>241</v>
      </c>
      <c r="H3175" s="51">
        <v>22.753</v>
      </c>
      <c r="I3175" s="49">
        <v>8.19</v>
      </c>
      <c r="J3175" s="51">
        <v>3.69</v>
      </c>
      <c r="K3175" s="74">
        <f>Tabela6[[#This Row],[CONSUMO]]*Tabela6[[#This Row],[VALOR UNIT]]-Tabela6[[#This Row],[DESCONTO]]</f>
        <v>75.768569999999997</v>
      </c>
      <c r="L3175" s="53">
        <f>Tabela6[[#This Row],[CUSTO TOTAL]]/Tabela6[[#This Row],[CONSUMO]]</f>
        <v>3.330047466268184</v>
      </c>
      <c r="M3175" s="50"/>
    </row>
    <row r="3176" spans="1:14" x14ac:dyDescent="0.25">
      <c r="A3176" s="47">
        <v>8520</v>
      </c>
      <c r="B3176" s="78">
        <v>45259</v>
      </c>
      <c r="C3176" s="47" t="s">
        <v>68</v>
      </c>
      <c r="D3176" s="49" t="s">
        <v>299</v>
      </c>
      <c r="E3176" s="47">
        <v>936697</v>
      </c>
      <c r="G3176" s="50" t="s">
        <v>89</v>
      </c>
      <c r="H3176" s="51">
        <v>500</v>
      </c>
      <c r="J3176" s="51">
        <v>5.5</v>
      </c>
      <c r="K3176" s="74">
        <f>Tabela6[[#This Row],[CONSUMO]]*Tabela6[[#This Row],[VALOR UNIT]]-Tabela6[[#This Row],[DESCONTO]]</f>
        <v>2750</v>
      </c>
      <c r="L3176" s="53">
        <f>Tabela6[[#This Row],[CUSTO TOTAL]]/Tabela6[[#This Row],[CONSUMO]]</f>
        <v>5.5</v>
      </c>
      <c r="M3176" s="50">
        <f>Tabela6[[#This Row],[KM ATUAL]]-E3097</f>
        <v>-128805</v>
      </c>
      <c r="N3176" s="51">
        <f>Tabela6[[#This Row],[KM Rodados ]]/Tabela6[[#This Row],[CONSUMO]]</f>
        <v>-257.61</v>
      </c>
    </row>
    <row r="3177" spans="1:14" x14ac:dyDescent="0.25">
      <c r="A3177" s="47">
        <v>224147</v>
      </c>
      <c r="B3177" s="78">
        <v>45259</v>
      </c>
      <c r="C3177" s="47" t="s">
        <v>43</v>
      </c>
      <c r="D3177" s="49" t="s">
        <v>262</v>
      </c>
      <c r="E3177" s="47">
        <v>161783</v>
      </c>
      <c r="G3177" s="50" t="s">
        <v>89</v>
      </c>
      <c r="H3177" s="51">
        <v>41.22</v>
      </c>
      <c r="J3177" s="51">
        <v>5.99</v>
      </c>
      <c r="K3177" s="74">
        <f>Tabela6[[#This Row],[CONSUMO]]*Tabela6[[#This Row],[VALOR UNIT]]-Tabela6[[#This Row],[DESCONTO]]</f>
        <v>246.90780000000001</v>
      </c>
      <c r="L3177" s="53">
        <f>Tabela6[[#This Row],[CUSTO TOTAL]]/Tabela6[[#This Row],[CONSUMO]]</f>
        <v>5.99</v>
      </c>
      <c r="M3177" s="50">
        <f>Tabela6[[#This Row],[KM ATUAL]]-E3128</f>
        <v>-523211</v>
      </c>
      <c r="N3177" s="51">
        <f>Tabela6[[#This Row],[KM Rodados ]]/Tabela6[[#This Row],[CONSUMO]]</f>
        <v>-12693.134400776322</v>
      </c>
    </row>
    <row r="3178" spans="1:14" x14ac:dyDescent="0.25">
      <c r="A3178" s="47">
        <v>101457</v>
      </c>
      <c r="B3178" s="78">
        <v>45259</v>
      </c>
      <c r="C3178" s="47" t="s">
        <v>42</v>
      </c>
      <c r="D3178" s="49" t="s">
        <v>253</v>
      </c>
      <c r="E3178" s="47">
        <v>377575</v>
      </c>
      <c r="G3178" s="50" t="s">
        <v>89</v>
      </c>
      <c r="H3178" s="51">
        <v>71.38</v>
      </c>
      <c r="J3178" s="51">
        <v>6.29</v>
      </c>
      <c r="K3178" s="74">
        <f>Tabela6[[#This Row],[CONSUMO]]*Tabela6[[#This Row],[VALOR UNIT]]-Tabela6[[#This Row],[DESCONTO]]</f>
        <v>448.98019999999997</v>
      </c>
      <c r="L3178" s="53">
        <f>Tabela6[[#This Row],[CUSTO TOTAL]]/Tabela6[[#This Row],[CONSUMO]]</f>
        <v>6.29</v>
      </c>
      <c r="M3178" s="50">
        <f>Tabela6[[#This Row],[KM ATUAL]]-E3177</f>
        <v>215792</v>
      </c>
      <c r="N3178" s="51">
        <f>Tabela6[[#This Row],[KM Rodados ]]/Tabela6[[#This Row],[CONSUMO]]</f>
        <v>3023.1437377416646</v>
      </c>
    </row>
    <row r="3179" spans="1:14" x14ac:dyDescent="0.25">
      <c r="A3179" s="47">
        <v>217887</v>
      </c>
      <c r="B3179" s="78">
        <v>45259</v>
      </c>
      <c r="C3179" s="47" t="s">
        <v>222</v>
      </c>
      <c r="D3179" s="49" t="s">
        <v>374</v>
      </c>
      <c r="E3179" s="47">
        <v>527865</v>
      </c>
      <c r="G3179" s="50" t="s">
        <v>89</v>
      </c>
      <c r="H3179" s="51">
        <v>253</v>
      </c>
      <c r="J3179" s="51">
        <v>5.79</v>
      </c>
      <c r="K3179" s="74">
        <f>Tabela6[[#This Row],[CONSUMO]]*Tabela6[[#This Row],[VALOR UNIT]]-Tabela6[[#This Row],[DESCONTO]]</f>
        <v>1464.8700000000001</v>
      </c>
      <c r="L3179" s="53">
        <f>Tabela6[[#This Row],[CUSTO TOTAL]]/Tabela6[[#This Row],[CONSUMO]]</f>
        <v>5.79</v>
      </c>
      <c r="M3179" s="50">
        <f>Tabela6[[#This Row],[KM ATUAL]]-E3163</f>
        <v>414623</v>
      </c>
      <c r="N3179" s="51">
        <f>Tabela6[[#This Row],[KM Rodados ]]/Tabela6[[#This Row],[CONSUMO]]</f>
        <v>1638.8260869565217</v>
      </c>
    </row>
    <row r="3180" spans="1:14" x14ac:dyDescent="0.25">
      <c r="A3180" s="47">
        <v>217888</v>
      </c>
      <c r="B3180" s="78">
        <v>45259</v>
      </c>
      <c r="C3180" s="47" t="s">
        <v>222</v>
      </c>
      <c r="D3180" s="49" t="s">
        <v>374</v>
      </c>
      <c r="E3180" s="47">
        <v>527865</v>
      </c>
      <c r="G3180" s="50" t="s">
        <v>241</v>
      </c>
      <c r="H3180" s="51">
        <v>34.26</v>
      </c>
      <c r="J3180" s="51">
        <v>2.99</v>
      </c>
      <c r="K3180" s="74">
        <f>Tabela6[[#This Row],[CONSUMO]]*Tabela6[[#This Row],[VALOR UNIT]]-Tabela6[[#This Row],[DESCONTO]]</f>
        <v>102.4374</v>
      </c>
      <c r="L3180" s="53">
        <f>Tabela6[[#This Row],[CUSTO TOTAL]]/Tabela6[[#This Row],[CONSUMO]]</f>
        <v>2.99</v>
      </c>
      <c r="M3180" s="53"/>
      <c r="N3180" s="49"/>
    </row>
    <row r="3181" spans="1:14" x14ac:dyDescent="0.25">
      <c r="A3181" s="47">
        <v>224054</v>
      </c>
      <c r="B3181" s="78">
        <v>45259</v>
      </c>
      <c r="C3181" s="47" t="s">
        <v>72</v>
      </c>
      <c r="D3181" s="49" t="s">
        <v>262</v>
      </c>
      <c r="E3181" s="47">
        <v>427690</v>
      </c>
      <c r="G3181" s="50" t="s">
        <v>89</v>
      </c>
      <c r="H3181" s="51">
        <v>16.390999999999998</v>
      </c>
      <c r="J3181" s="51">
        <v>5.99</v>
      </c>
      <c r="K3181" s="74">
        <f>Tabela6[[#This Row],[CONSUMO]]*Tabela6[[#This Row],[VALOR UNIT]]-Tabela6[[#This Row],[DESCONTO]]</f>
        <v>98.182089999999988</v>
      </c>
      <c r="L3181" s="53">
        <f>Tabela6[[#This Row],[CUSTO TOTAL]]/Tabela6[[#This Row],[CONSUMO]]</f>
        <v>5.99</v>
      </c>
      <c r="M3181" s="50">
        <f>Tabela6[[#This Row],[KM ATUAL]]-E3171</f>
        <v>255474</v>
      </c>
      <c r="N3181" s="51">
        <f>Tabela6[[#This Row],[KM Rodados ]]/Tabela6[[#This Row],[CONSUMO]]</f>
        <v>15586.236349216035</v>
      </c>
    </row>
    <row r="3182" spans="1:14" x14ac:dyDescent="0.25">
      <c r="A3182" s="47">
        <v>8520</v>
      </c>
      <c r="B3182" s="78">
        <v>45259</v>
      </c>
      <c r="C3182" s="47" t="s">
        <v>73</v>
      </c>
      <c r="D3182" s="49" t="s">
        <v>299</v>
      </c>
      <c r="E3182" s="119">
        <v>165842</v>
      </c>
      <c r="G3182" s="50" t="s">
        <v>89</v>
      </c>
      <c r="H3182" s="51">
        <v>187</v>
      </c>
      <c r="J3182" s="51">
        <v>5.5</v>
      </c>
      <c r="K3182" s="74">
        <f>Tabela6[[#This Row],[CONSUMO]]*Tabela6[[#This Row],[VALOR UNIT]]-Tabela6[[#This Row],[DESCONTO]]</f>
        <v>1028.5</v>
      </c>
      <c r="L3182" s="53">
        <f>Tabela6[[#This Row],[CUSTO TOTAL]]/Tabela6[[#This Row],[CONSUMO]]</f>
        <v>5.5</v>
      </c>
      <c r="M3182" s="50">
        <f>Tabela6[[#This Row],[KM ATUAL]]-$E$3150</f>
        <v>-261346</v>
      </c>
      <c r="N3182" s="51">
        <f>Tabela6[[#This Row],[KM Rodados ]]/Tabela6[[#This Row],[CONSUMO]]</f>
        <v>-1397.5721925133689</v>
      </c>
    </row>
    <row r="3183" spans="1:14" x14ac:dyDescent="0.25">
      <c r="A3183" s="47">
        <v>750</v>
      </c>
      <c r="B3183" s="78">
        <v>45259</v>
      </c>
      <c r="C3183" s="47" t="s">
        <v>206</v>
      </c>
      <c r="D3183" s="49" t="s">
        <v>324</v>
      </c>
      <c r="E3183" s="47">
        <v>982548</v>
      </c>
      <c r="G3183" s="50" t="s">
        <v>89</v>
      </c>
      <c r="H3183" s="51">
        <v>266.83999999999997</v>
      </c>
      <c r="J3183" s="51">
        <v>5.79</v>
      </c>
      <c r="K3183" s="74">
        <f>Tabela6[[#This Row],[CONSUMO]]*Tabela6[[#This Row],[VALOR UNIT]]-Tabela6[[#This Row],[DESCONTO]]</f>
        <v>1545.0035999999998</v>
      </c>
      <c r="L3183" s="53">
        <f>Tabela6[[#This Row],[CUSTO TOTAL]]/Tabela6[[#This Row],[CONSUMO]]</f>
        <v>5.79</v>
      </c>
      <c r="M3183" s="50">
        <f>Tabela6[[#This Row],[KM ATUAL]]-E3078</f>
        <v>878756</v>
      </c>
      <c r="N3183" s="51">
        <f>Tabela6[[#This Row],[KM Rodados ]]/Tabela6[[#This Row],[CONSUMO]]</f>
        <v>3293.1944236246445</v>
      </c>
    </row>
    <row r="3184" spans="1:14" x14ac:dyDescent="0.25">
      <c r="A3184" s="47">
        <v>8520</v>
      </c>
      <c r="B3184" s="78">
        <v>45259</v>
      </c>
      <c r="C3184" s="47" t="s">
        <v>13</v>
      </c>
      <c r="D3184" s="49" t="s">
        <v>299</v>
      </c>
      <c r="E3184" s="47">
        <v>666284</v>
      </c>
      <c r="G3184" s="50" t="s">
        <v>89</v>
      </c>
      <c r="H3184" s="51">
        <v>51</v>
      </c>
      <c r="J3184" s="51">
        <v>5.5</v>
      </c>
      <c r="K3184" s="74">
        <f>Tabela6[[#This Row],[CONSUMO]]*Tabela6[[#This Row],[VALOR UNIT]]-Tabela6[[#This Row],[DESCONTO]]</f>
        <v>280.5</v>
      </c>
      <c r="L3184" s="53">
        <f>Tabela6[[#This Row],[CUSTO TOTAL]]/Tabela6[[#This Row],[CONSUMO]]</f>
        <v>5.5</v>
      </c>
      <c r="M3184" s="50">
        <f>Tabela6[[#This Row],[KM ATUAL]]-E3172</f>
        <v>573325</v>
      </c>
      <c r="N3184" s="51">
        <f>Tabela6[[#This Row],[KM Rodados ]]/Tabela6[[#This Row],[CONSUMO]]</f>
        <v>11241.666666666666</v>
      </c>
    </row>
    <row r="3185" spans="1:14" x14ac:dyDescent="0.25">
      <c r="A3185" s="47">
        <v>8520</v>
      </c>
      <c r="B3185" s="78">
        <v>45259</v>
      </c>
      <c r="C3185" s="47" t="s">
        <v>15</v>
      </c>
      <c r="D3185" s="49" t="s">
        <v>299</v>
      </c>
      <c r="E3185" s="47">
        <v>402059</v>
      </c>
      <c r="G3185" s="50" t="s">
        <v>89</v>
      </c>
      <c r="H3185" s="51">
        <v>80</v>
      </c>
      <c r="J3185" s="51">
        <v>5.5</v>
      </c>
      <c r="K3185" s="74">
        <f>Tabela6[[#This Row],[CONSUMO]]*Tabela6[[#This Row],[VALOR UNIT]]-Tabela6[[#This Row],[DESCONTO]]</f>
        <v>440</v>
      </c>
      <c r="L3185" s="53">
        <f>Tabela6[[#This Row],[CUSTO TOTAL]]/Tabela6[[#This Row],[CONSUMO]]</f>
        <v>5.5</v>
      </c>
      <c r="M3185" s="50">
        <f>Tabela6[[#This Row],[KM ATUAL]]-E3160</f>
        <v>-474946</v>
      </c>
      <c r="N3185" s="51">
        <f>Tabela6[[#This Row],[KM Rodados ]]/Tabela6[[#This Row],[CONSUMO]]</f>
        <v>-5936.8249999999998</v>
      </c>
    </row>
    <row r="3186" spans="1:14" x14ac:dyDescent="0.25">
      <c r="A3186" s="47">
        <v>126891</v>
      </c>
      <c r="B3186" s="78">
        <v>45259</v>
      </c>
      <c r="C3186" s="47" t="s">
        <v>19</v>
      </c>
      <c r="D3186" s="49" t="s">
        <v>237</v>
      </c>
      <c r="E3186" s="47">
        <v>342052</v>
      </c>
      <c r="G3186" s="50" t="s">
        <v>89</v>
      </c>
      <c r="H3186" s="51">
        <v>52</v>
      </c>
      <c r="I3186" s="49">
        <v>68.11</v>
      </c>
      <c r="J3186" s="51">
        <v>7.39</v>
      </c>
      <c r="K3186" s="74">
        <f>Tabela6[[#This Row],[CONSUMO]]*Tabela6[[#This Row],[VALOR UNIT]]-Tabela6[[#This Row],[DESCONTO]]</f>
        <v>316.16999999999996</v>
      </c>
      <c r="L3186" s="53">
        <f>Tabela6[[#This Row],[CUSTO TOTAL]]/Tabela6[[#This Row],[CONSUMO]]</f>
        <v>6.0801923076923066</v>
      </c>
      <c r="M3186" s="50">
        <f>Tabela6[[#This Row],[KM ATUAL]]-E3194</f>
        <v>-535553</v>
      </c>
      <c r="N3186" s="51">
        <f>Tabela6[[#This Row],[KM Rodados ]]/Tabela6[[#This Row],[CONSUMO]]</f>
        <v>-10299.096153846154</v>
      </c>
    </row>
    <row r="3187" spans="1:14" x14ac:dyDescent="0.25">
      <c r="A3187" s="47">
        <v>8520</v>
      </c>
      <c r="B3187" s="78">
        <v>45259</v>
      </c>
      <c r="C3187" s="47" t="s">
        <v>19</v>
      </c>
      <c r="D3187" s="49" t="s">
        <v>299</v>
      </c>
      <c r="E3187" s="47">
        <v>341829</v>
      </c>
      <c r="G3187" s="50" t="s">
        <v>89</v>
      </c>
      <c r="H3187" s="51">
        <v>80</v>
      </c>
      <c r="J3187" s="51">
        <v>5.5</v>
      </c>
      <c r="K3187" s="74">
        <f>Tabela6[[#This Row],[CONSUMO]]*Tabela6[[#This Row],[VALOR UNIT]]-Tabela6[[#This Row],[DESCONTO]]</f>
        <v>440</v>
      </c>
      <c r="L3187" s="53">
        <f>Tabela6[[#This Row],[CUSTO TOTAL]]/Tabela6[[#This Row],[CONSUMO]]</f>
        <v>5.5</v>
      </c>
      <c r="M3187" s="50">
        <f>Tabela6[[#This Row],[KM ATUAL]]-E3148</f>
        <v>228670</v>
      </c>
      <c r="N3187" s="51">
        <f>Tabela6[[#This Row],[KM Rodados ]]/Tabela6[[#This Row],[CONSUMO]]</f>
        <v>2858.375</v>
      </c>
    </row>
    <row r="3188" spans="1:14" x14ac:dyDescent="0.25">
      <c r="A3188" s="47">
        <v>8520</v>
      </c>
      <c r="B3188" s="78">
        <v>45259</v>
      </c>
      <c r="C3188" s="47" t="s">
        <v>20</v>
      </c>
      <c r="D3188" s="49" t="s">
        <v>299</v>
      </c>
      <c r="E3188" s="47">
        <v>283742</v>
      </c>
      <c r="G3188" s="50" t="s">
        <v>89</v>
      </c>
      <c r="H3188" s="51">
        <v>53</v>
      </c>
      <c r="J3188" s="51">
        <v>5.5</v>
      </c>
      <c r="K3188" s="74">
        <f>Tabela6[[#This Row],[CONSUMO]]*Tabela6[[#This Row],[VALOR UNIT]]-Tabela6[[#This Row],[DESCONTO]]</f>
        <v>291.5</v>
      </c>
      <c r="L3188" s="53">
        <f>Tabela6[[#This Row],[CUSTO TOTAL]]/Tabela6[[#This Row],[CONSUMO]]</f>
        <v>5.5</v>
      </c>
      <c r="M3188" s="50">
        <f>Tabela6[[#This Row],[KM ATUAL]]-E3168</f>
        <v>-382292</v>
      </c>
      <c r="N3188" s="51">
        <f>Tabela6[[#This Row],[KM Rodados ]]/Tabela6[[#This Row],[CONSUMO]]</f>
        <v>-7213.0566037735853</v>
      </c>
    </row>
    <row r="3189" spans="1:14" x14ac:dyDescent="0.25">
      <c r="A3189" s="47">
        <v>8520</v>
      </c>
      <c r="B3189" s="78">
        <v>45259</v>
      </c>
      <c r="C3189" s="47" t="s">
        <v>23</v>
      </c>
      <c r="D3189" s="49" t="s">
        <v>299</v>
      </c>
      <c r="E3189" s="47">
        <v>257570</v>
      </c>
      <c r="G3189" s="50" t="s">
        <v>89</v>
      </c>
      <c r="H3189" s="51">
        <v>120</v>
      </c>
      <c r="J3189" s="51">
        <v>5.5</v>
      </c>
      <c r="K3189" s="74">
        <f>Tabela6[[#This Row],[CONSUMO]]*Tabela6[[#This Row],[VALOR UNIT]]-Tabela6[[#This Row],[DESCONTO]]</f>
        <v>660</v>
      </c>
      <c r="L3189" s="53">
        <f>Tabela6[[#This Row],[CUSTO TOTAL]]/Tabela6[[#This Row],[CONSUMO]]</f>
        <v>5.5</v>
      </c>
      <c r="M3189" s="50">
        <f>Tabela6[[#This Row],[KM ATUAL]]-E3127</f>
        <v>152898</v>
      </c>
      <c r="N3189" s="51">
        <f>Tabela6[[#This Row],[KM Rodados ]]/Tabela6[[#This Row],[CONSUMO]]</f>
        <v>1274.1500000000001</v>
      </c>
    </row>
    <row r="3190" spans="1:14" x14ac:dyDescent="0.25">
      <c r="A3190" s="47">
        <v>797627</v>
      </c>
      <c r="B3190" s="78">
        <v>45259</v>
      </c>
      <c r="C3190" s="47" t="s">
        <v>74</v>
      </c>
      <c r="D3190" s="49" t="s">
        <v>250</v>
      </c>
      <c r="E3190" s="47">
        <v>93625</v>
      </c>
      <c r="G3190" s="50" t="s">
        <v>89</v>
      </c>
      <c r="H3190" s="51">
        <v>69.918999999999997</v>
      </c>
      <c r="J3190" s="51">
        <v>6.19</v>
      </c>
      <c r="K3190" s="74">
        <f>Tabela6[[#This Row],[CONSUMO]]*Tabela6[[#This Row],[VALOR UNIT]]-Tabela6[[#This Row],[DESCONTO]]</f>
        <v>432.79861</v>
      </c>
      <c r="L3190" s="53">
        <f>Tabela6[[#This Row],[CUSTO TOTAL]]/Tabela6[[#This Row],[CONSUMO]]</f>
        <v>6.19</v>
      </c>
      <c r="M3190" s="50">
        <f>Tabela6[[#This Row],[KM ATUAL]]-E3168</f>
        <v>-572409</v>
      </c>
      <c r="N3190" s="51">
        <f>Tabela6[[#This Row],[KM Rodados ]]/Tabela6[[#This Row],[CONSUMO]]</f>
        <v>-8186.7446616799443</v>
      </c>
    </row>
    <row r="3191" spans="1:14" x14ac:dyDescent="0.25">
      <c r="A3191" s="47">
        <v>8520</v>
      </c>
      <c r="B3191" s="78">
        <v>45259</v>
      </c>
      <c r="C3191" s="47" t="s">
        <v>315</v>
      </c>
      <c r="D3191" s="49" t="s">
        <v>299</v>
      </c>
      <c r="E3191" s="47">
        <v>8255</v>
      </c>
      <c r="G3191" s="50" t="s">
        <v>89</v>
      </c>
      <c r="H3191" s="51">
        <v>25</v>
      </c>
      <c r="J3191" s="51">
        <v>5.5</v>
      </c>
      <c r="K3191" s="74">
        <f>Tabela6[[#This Row],[CONSUMO]]*Tabela6[[#This Row],[VALOR UNIT]]-Tabela6[[#This Row],[DESCONTO]]</f>
        <v>137.5</v>
      </c>
      <c r="L3191" s="53">
        <f>Tabela6[[#This Row],[CUSTO TOTAL]]/Tabela6[[#This Row],[CONSUMO]]</f>
        <v>5.5</v>
      </c>
      <c r="M3191" s="50">
        <f>Tabela6[[#This Row],[KM ATUAL]]-E3137</f>
        <v>-162724</v>
      </c>
      <c r="N3191" s="51">
        <f>Tabela6[[#This Row],[KM Rodados ]]/Tabela6[[#This Row],[CONSUMO]]</f>
        <v>-6508.96</v>
      </c>
    </row>
    <row r="3192" spans="1:14" x14ac:dyDescent="0.25">
      <c r="A3192" s="47">
        <v>1232733</v>
      </c>
      <c r="B3192" s="78">
        <v>45260</v>
      </c>
      <c r="C3192" s="47" t="s">
        <v>43</v>
      </c>
      <c r="D3192" s="49" t="s">
        <v>263</v>
      </c>
      <c r="E3192" s="47">
        <v>162004</v>
      </c>
      <c r="G3192" s="50" t="s">
        <v>89</v>
      </c>
      <c r="H3192" s="51">
        <v>25.47</v>
      </c>
      <c r="I3192" s="49">
        <v>2.5499999999999998</v>
      </c>
      <c r="J3192" s="51">
        <v>6.09</v>
      </c>
      <c r="K3192" s="74">
        <f>Tabela6[[#This Row],[CONSUMO]]*Tabela6[[#This Row],[VALOR UNIT]]-Tabela6[[#This Row],[DESCONTO]]</f>
        <v>152.56229999999996</v>
      </c>
      <c r="L3192" s="53">
        <f>Tabela6[[#This Row],[CUSTO TOTAL]]/Tabela6[[#This Row],[CONSUMO]]</f>
        <v>5.989882214369846</v>
      </c>
      <c r="M3192" s="50">
        <f>Tabela6[[#This Row],[KM ATUAL]]-E3178</f>
        <v>-215571</v>
      </c>
      <c r="N3192" s="51">
        <f>Tabela6[[#This Row],[KM Rodados ]]/Tabela6[[#This Row],[CONSUMO]]</f>
        <v>-8463.7220259128389</v>
      </c>
    </row>
    <row r="3193" spans="1:14" x14ac:dyDescent="0.25">
      <c r="A3193" s="47">
        <v>8520</v>
      </c>
      <c r="B3193" s="78">
        <v>45260</v>
      </c>
      <c r="C3193" s="47" t="s">
        <v>394</v>
      </c>
      <c r="D3193" s="49" t="s">
        <v>299</v>
      </c>
      <c r="E3193" s="47">
        <v>877444</v>
      </c>
      <c r="G3193" s="50" t="s">
        <v>89</v>
      </c>
      <c r="H3193" s="51">
        <v>85</v>
      </c>
      <c r="J3193" s="51">
        <v>5.5</v>
      </c>
      <c r="K3193" s="74">
        <f>Tabela6[[#This Row],[CONSUMO]]*Tabela6[[#This Row],[VALOR UNIT]]-Tabela6[[#This Row],[DESCONTO]]</f>
        <v>467.5</v>
      </c>
      <c r="L3193" s="53">
        <f>Tabela6[[#This Row],[CUSTO TOTAL]]/Tabela6[[#This Row],[CONSUMO]]</f>
        <v>5.5</v>
      </c>
      <c r="M3193" s="51">
        <f>Tabela6[[#This Row],[KM ATUAL]]-E3173</f>
        <v>784485</v>
      </c>
      <c r="N3193" s="51">
        <f>Tabela6[[#This Row],[KM Rodados ]]/Tabela6[[#This Row],[CONSUMO]]</f>
        <v>9229.2352941176468</v>
      </c>
    </row>
    <row r="3194" spans="1:14" x14ac:dyDescent="0.25">
      <c r="A3194" s="47">
        <v>8520</v>
      </c>
      <c r="B3194" s="78">
        <v>45260</v>
      </c>
      <c r="C3194" s="47" t="s">
        <v>394</v>
      </c>
      <c r="D3194" s="49" t="s">
        <v>299</v>
      </c>
      <c r="E3194" s="47">
        <v>877605</v>
      </c>
      <c r="G3194" s="50" t="s">
        <v>89</v>
      </c>
      <c r="H3194" s="51">
        <v>40</v>
      </c>
      <c r="J3194" s="51">
        <v>5.5</v>
      </c>
      <c r="K3194" s="74">
        <f>Tabela6[[#This Row],[CONSUMO]]*Tabela6[[#This Row],[VALOR UNIT]]-Tabela6[[#This Row],[DESCONTO]]</f>
        <v>220</v>
      </c>
      <c r="L3194" s="53">
        <f>Tabela6[[#This Row],[CUSTO TOTAL]]/Tabela6[[#This Row],[CONSUMO]]</f>
        <v>5.5</v>
      </c>
      <c r="M3194" s="51">
        <f>Tabela6[[#This Row],[KM ATUAL]]-E3181</f>
        <v>449915</v>
      </c>
      <c r="N3194" s="51">
        <f>Tabela6[[#This Row],[KM Rodados ]]/Tabela6[[#This Row],[CONSUMO]]</f>
        <v>11247.875</v>
      </c>
    </row>
    <row r="3195" spans="1:14" x14ac:dyDescent="0.25">
      <c r="A3195" s="47">
        <v>8520</v>
      </c>
      <c r="B3195" s="78">
        <v>45260</v>
      </c>
      <c r="C3195" s="47" t="s">
        <v>67</v>
      </c>
      <c r="D3195" s="49" t="s">
        <v>299</v>
      </c>
      <c r="E3195" s="47">
        <v>691601</v>
      </c>
      <c r="G3195" s="50" t="s">
        <v>89</v>
      </c>
      <c r="H3195" s="51">
        <v>126</v>
      </c>
      <c r="J3195" s="51">
        <v>5.5</v>
      </c>
      <c r="K3195" s="74">
        <f>Tabela6[[#This Row],[CONSUMO]]*Tabela6[[#This Row],[VALOR UNIT]]-Tabela6[[#This Row],[DESCONTO]]</f>
        <v>693</v>
      </c>
      <c r="L3195" s="53">
        <f>Tabela6[[#This Row],[CUSTO TOTAL]]/Tabela6[[#This Row],[CONSUMO]]</f>
        <v>5.5</v>
      </c>
      <c r="M3195" s="50">
        <f>Tabela6[[#This Row],[KM ATUAL]]-E3148</f>
        <v>578442</v>
      </c>
      <c r="N3195" s="51">
        <f>Tabela6[[#This Row],[KM Rodados ]]/Tabela6[[#This Row],[CONSUMO]]</f>
        <v>4590.8095238095239</v>
      </c>
    </row>
    <row r="3196" spans="1:14" x14ac:dyDescent="0.25">
      <c r="A3196" s="47">
        <v>8520</v>
      </c>
      <c r="B3196" s="78">
        <v>45260</v>
      </c>
      <c r="C3196" s="47" t="s">
        <v>39</v>
      </c>
      <c r="D3196" s="49" t="s">
        <v>299</v>
      </c>
      <c r="E3196" s="47">
        <v>113362</v>
      </c>
      <c r="G3196" s="50" t="s">
        <v>89</v>
      </c>
      <c r="H3196" s="51">
        <v>22</v>
      </c>
      <c r="J3196" s="51">
        <v>5.5</v>
      </c>
      <c r="K3196" s="74">
        <f>Tabela6[[#This Row],[CONSUMO]]*Tabela6[[#This Row],[VALOR UNIT]]-Tabela6[[#This Row],[DESCONTO]]</f>
        <v>121</v>
      </c>
      <c r="L3196" s="53">
        <f>Tabela6[[#This Row],[CUSTO TOTAL]]/Tabela6[[#This Row],[CONSUMO]]</f>
        <v>5.5</v>
      </c>
      <c r="M3196" s="50">
        <f>Tabela6[[#This Row],[KM ATUAL]]-E3153</f>
        <v>-619952</v>
      </c>
      <c r="N3196" s="51">
        <f>Tabela6[[#This Row],[KM Rodados ]]/Tabela6[[#This Row],[CONSUMO]]</f>
        <v>-28179.636363636364</v>
      </c>
    </row>
    <row r="3197" spans="1:14" x14ac:dyDescent="0.25">
      <c r="A3197" s="47">
        <v>413065</v>
      </c>
      <c r="B3197" s="78">
        <v>45260</v>
      </c>
      <c r="C3197" s="47" t="s">
        <v>203</v>
      </c>
      <c r="D3197" s="49" t="s">
        <v>309</v>
      </c>
      <c r="E3197" s="47">
        <v>124092</v>
      </c>
      <c r="G3197" s="50" t="s">
        <v>244</v>
      </c>
      <c r="H3197" s="51">
        <v>34.390999999999998</v>
      </c>
      <c r="J3197" s="51">
        <v>5.4</v>
      </c>
      <c r="K3197" s="74">
        <f>Tabela6[[#This Row],[CONSUMO]]*Tabela6[[#This Row],[VALOR UNIT]]-Tabela6[[#This Row],[DESCONTO]]</f>
        <v>185.7114</v>
      </c>
      <c r="L3197" s="53">
        <f>Tabela6[[#This Row],[CUSTO TOTAL]]/Tabela6[[#This Row],[CONSUMO]]</f>
        <v>5.4</v>
      </c>
      <c r="M3197" s="50">
        <f>Tabela6[[#This Row],[KM ATUAL]]-E3164</f>
        <v>414</v>
      </c>
      <c r="N3197" s="51">
        <f>Tabela6[[#This Row],[KM Rodados ]]/Tabela6[[#This Row],[CONSUMO]]</f>
        <v>12.03803320636213</v>
      </c>
    </row>
    <row r="3198" spans="1:14" x14ac:dyDescent="0.25">
      <c r="A3198" s="47">
        <v>10958</v>
      </c>
      <c r="B3198" s="78">
        <v>45260</v>
      </c>
      <c r="C3198" s="47" t="s">
        <v>64</v>
      </c>
      <c r="D3198" s="49" t="s">
        <v>253</v>
      </c>
      <c r="E3198" s="47">
        <v>105377</v>
      </c>
      <c r="G3198" s="50" t="s">
        <v>89</v>
      </c>
      <c r="H3198" s="51">
        <v>169.26</v>
      </c>
      <c r="J3198" s="51">
        <v>6.29</v>
      </c>
      <c r="K3198" s="74">
        <f>Tabela6[[#This Row],[CONSUMO]]*Tabela6[[#This Row],[VALOR UNIT]]-Tabela6[[#This Row],[DESCONTO]]</f>
        <v>1064.6453999999999</v>
      </c>
      <c r="L3198" s="53">
        <f>Tabela6[[#This Row],[CUSTO TOTAL]]/Tabela6[[#This Row],[CONSUMO]]</f>
        <v>6.29</v>
      </c>
      <c r="M3198" s="50">
        <f>Tabela6[[#This Row],[KM ATUAL]]-E3112</f>
        <v>-275350</v>
      </c>
      <c r="N3198" s="51">
        <f>Tabela6[[#This Row],[KM Rodados ]]/Tabela6[[#This Row],[CONSUMO]]</f>
        <v>-1626.7871913033205</v>
      </c>
    </row>
    <row r="3199" spans="1:14" x14ac:dyDescent="0.25">
      <c r="A3199" s="47">
        <v>8520</v>
      </c>
      <c r="B3199" s="78">
        <v>45260</v>
      </c>
      <c r="C3199" s="47" t="s">
        <v>41</v>
      </c>
      <c r="D3199" s="49" t="s">
        <v>299</v>
      </c>
      <c r="E3199" s="47">
        <v>685927</v>
      </c>
      <c r="G3199" s="50" t="s">
        <v>89</v>
      </c>
      <c r="H3199" s="51">
        <v>65</v>
      </c>
      <c r="J3199" s="51">
        <v>5.5</v>
      </c>
      <c r="K3199" s="74">
        <f>Tabela6[[#This Row],[CONSUMO]]*Tabela6[[#This Row],[VALOR UNIT]]-Tabela6[[#This Row],[DESCONTO]]</f>
        <v>357.5</v>
      </c>
      <c r="L3199" s="53">
        <f>Tabela6[[#This Row],[CUSTO TOTAL]]/Tabela6[[#This Row],[CONSUMO]]</f>
        <v>5.5</v>
      </c>
      <c r="M3199" s="50">
        <f>Tabela6[[#This Row],[KM ATUAL]]-E3170</f>
        <v>514115</v>
      </c>
      <c r="N3199" s="51">
        <f>Tabela6[[#This Row],[KM Rodados ]]/Tabela6[[#This Row],[CONSUMO]]</f>
        <v>7909.4615384615381</v>
      </c>
    </row>
    <row r="3200" spans="1:14" x14ac:dyDescent="0.25">
      <c r="A3200" s="47">
        <v>1121030</v>
      </c>
      <c r="B3200" s="78">
        <v>45260</v>
      </c>
      <c r="C3200" s="47" t="s">
        <v>13</v>
      </c>
      <c r="D3200" s="49" t="s">
        <v>251</v>
      </c>
      <c r="E3200" s="47">
        <v>666898</v>
      </c>
      <c r="G3200" s="50" t="s">
        <v>89</v>
      </c>
      <c r="H3200" s="51">
        <v>135.43</v>
      </c>
      <c r="J3200" s="51">
        <v>6.59</v>
      </c>
      <c r="K3200" s="74">
        <f>Tabela6[[#This Row],[CONSUMO]]*Tabela6[[#This Row],[VALOR UNIT]]-Tabela6[[#This Row],[DESCONTO]]</f>
        <v>892.4837</v>
      </c>
      <c r="L3200" s="53">
        <f>Tabela6[[#This Row],[CUSTO TOTAL]]/Tabela6[[#This Row],[CONSUMO]]</f>
        <v>6.59</v>
      </c>
      <c r="M3200" s="50">
        <f>Tabela6[[#This Row],[KM ATUAL]]-E3182</f>
        <v>501056</v>
      </c>
      <c r="N3200" s="51">
        <f>Tabela6[[#This Row],[KM Rodados ]]/Tabela6[[#This Row],[CONSUMO]]</f>
        <v>3699.7415639075534</v>
      </c>
    </row>
    <row r="3201" spans="1:14" x14ac:dyDescent="0.25">
      <c r="A3201" s="47">
        <v>8520</v>
      </c>
      <c r="B3201" s="78">
        <v>45260</v>
      </c>
      <c r="C3201" s="47" t="s">
        <v>20</v>
      </c>
      <c r="D3201" s="49" t="s">
        <v>299</v>
      </c>
      <c r="E3201" s="47">
        <v>284158</v>
      </c>
      <c r="G3201" s="50" t="s">
        <v>89</v>
      </c>
      <c r="H3201" s="51">
        <v>46</v>
      </c>
      <c r="J3201" s="51">
        <v>5.5</v>
      </c>
      <c r="K3201" s="74">
        <f>Tabela6[[#This Row],[CONSUMO]]*Tabela6[[#This Row],[VALOR UNIT]]-Tabela6[[#This Row],[DESCONTO]]</f>
        <v>253</v>
      </c>
      <c r="L3201" s="53">
        <f>Tabela6[[#This Row],[CUSTO TOTAL]]/Tabela6[[#This Row],[CONSUMO]]</f>
        <v>5.5</v>
      </c>
      <c r="M3201" s="50">
        <f>Tabela6[[#This Row],[KM ATUAL]]-E3174</f>
        <v>275939</v>
      </c>
      <c r="N3201" s="51">
        <f>Tabela6[[#This Row],[KM Rodados ]]/Tabela6[[#This Row],[CONSUMO]]</f>
        <v>5998.673913043478</v>
      </c>
    </row>
    <row r="3202" spans="1:14" x14ac:dyDescent="0.25">
      <c r="A3202" s="47">
        <v>585436</v>
      </c>
      <c r="B3202" s="78">
        <v>45260</v>
      </c>
      <c r="C3202" s="47" t="s">
        <v>38</v>
      </c>
      <c r="D3202" s="49" t="s">
        <v>255</v>
      </c>
      <c r="E3202" s="47">
        <v>139987</v>
      </c>
      <c r="G3202" s="50" t="s">
        <v>244</v>
      </c>
      <c r="H3202" s="51">
        <v>51.42</v>
      </c>
      <c r="J3202" s="51">
        <v>5.84</v>
      </c>
      <c r="K3202" s="74">
        <f>Tabela6[[#This Row],[CONSUMO]]*Tabela6[[#This Row],[VALOR UNIT]]-Tabela6[[#This Row],[DESCONTO]]</f>
        <v>300.2928</v>
      </c>
      <c r="L3202" s="53">
        <f>Tabela6[[#This Row],[CUSTO TOTAL]]/Tabela6[[#This Row],[CONSUMO]]</f>
        <v>5.84</v>
      </c>
      <c r="M3202" s="50">
        <f>Tabela6[[#This Row],[KM ATUAL]]-E2969</f>
        <v>-22167</v>
      </c>
      <c r="N3202" s="51">
        <f>Tabela6[[#This Row],[KM Rodados ]]/Tabela6[[#This Row],[CONSUMO]]</f>
        <v>-431.09684947491246</v>
      </c>
    </row>
    <row r="3203" spans="1:14" x14ac:dyDescent="0.25">
      <c r="A3203" s="47">
        <v>224465</v>
      </c>
      <c r="B3203" s="78">
        <v>45260</v>
      </c>
      <c r="C3203" s="47" t="s">
        <v>74</v>
      </c>
      <c r="D3203" s="49" t="s">
        <v>262</v>
      </c>
      <c r="E3203" s="47">
        <v>94586</v>
      </c>
      <c r="G3203" s="50" t="s">
        <v>89</v>
      </c>
      <c r="H3203" s="51">
        <v>101.54900000000001</v>
      </c>
      <c r="J3203" s="51">
        <v>5.99</v>
      </c>
      <c r="K3203" s="74">
        <f>Tabela6[[#This Row],[CONSUMO]]*Tabela6[[#This Row],[VALOR UNIT]]-Tabela6[[#This Row],[DESCONTO]]</f>
        <v>608.2785100000001</v>
      </c>
      <c r="L3203" s="53">
        <f>Tabela6[[#This Row],[CUSTO TOTAL]]/Tabela6[[#This Row],[CONSUMO]]</f>
        <v>5.99</v>
      </c>
      <c r="M3203" s="50">
        <f>Tabela6[[#This Row],[KM ATUAL]]-E3195</f>
        <v>-597015</v>
      </c>
      <c r="N3203" s="51">
        <f>Tabela6[[#This Row],[KM Rodados ]]/Tabela6[[#This Row],[CONSUMO]]</f>
        <v>-5879.0830042639509</v>
      </c>
    </row>
    <row r="3204" spans="1:14" x14ac:dyDescent="0.25">
      <c r="A3204" s="47">
        <v>224465</v>
      </c>
      <c r="B3204" s="78">
        <v>45260</v>
      </c>
      <c r="C3204" s="47" t="s">
        <v>74</v>
      </c>
      <c r="D3204" s="49" t="s">
        <v>262</v>
      </c>
      <c r="E3204" s="47">
        <v>94586</v>
      </c>
      <c r="G3204" s="50" t="s">
        <v>241</v>
      </c>
      <c r="H3204" s="51">
        <v>3.073</v>
      </c>
      <c r="I3204" s="49">
        <v>1.1100000000000001</v>
      </c>
      <c r="J3204" s="51">
        <v>3.69</v>
      </c>
      <c r="K3204" s="74">
        <f>Tabela6[[#This Row],[CONSUMO]]*Tabela6[[#This Row],[VALOR UNIT]]-Tabela6[[#This Row],[DESCONTO]]</f>
        <v>10.229369999999999</v>
      </c>
      <c r="L3204" s="53">
        <f>Tabela6[[#This Row],[CUSTO TOTAL]]/Tabela6[[#This Row],[CONSUMO]]</f>
        <v>3.3287894565571103</v>
      </c>
    </row>
    <row r="3205" spans="1:14" x14ac:dyDescent="0.25">
      <c r="A3205" s="47">
        <v>8520</v>
      </c>
      <c r="B3205" s="78">
        <v>45260</v>
      </c>
      <c r="C3205" s="47" t="s">
        <v>354</v>
      </c>
      <c r="D3205" s="49" t="s">
        <v>299</v>
      </c>
      <c r="E3205" s="47">
        <v>6883</v>
      </c>
      <c r="G3205" s="50" t="s">
        <v>89</v>
      </c>
      <c r="H3205" s="51">
        <v>301</v>
      </c>
      <c r="J3205" s="51">
        <v>5.5</v>
      </c>
      <c r="K3205" s="74">
        <f>Tabela6[[#This Row],[CONSUMO]]*Tabela6[[#This Row],[VALOR UNIT]]-Tabela6[[#This Row],[DESCONTO]]</f>
        <v>1655.5</v>
      </c>
      <c r="L3205" s="53">
        <f>Tabela6[[#This Row],[CUSTO TOTAL]]/Tabela6[[#This Row],[CONSUMO]]</f>
        <v>5.5</v>
      </c>
      <c r="M3205" s="50">
        <f>Tabela6[[#This Row],[KM ATUAL]]-E3081</f>
        <v>-657076</v>
      </c>
      <c r="N3205" s="51">
        <f>Tabela6[[#This Row],[KM Rodados ]]/Tabela6[[#This Row],[CONSUMO]]</f>
        <v>-2182.9767441860463</v>
      </c>
    </row>
    <row r="3206" spans="1:14" x14ac:dyDescent="0.25">
      <c r="A3206" s="47">
        <v>8520</v>
      </c>
      <c r="B3206" s="78">
        <v>45261</v>
      </c>
      <c r="C3206" s="47" t="s">
        <v>43</v>
      </c>
      <c r="D3206" s="49" t="s">
        <v>299</v>
      </c>
      <c r="E3206" s="47">
        <v>162523</v>
      </c>
      <c r="G3206" s="50" t="s">
        <v>89</v>
      </c>
      <c r="H3206" s="51">
        <v>22</v>
      </c>
      <c r="J3206" s="51">
        <v>5.5</v>
      </c>
      <c r="K3206" s="74">
        <f>Tabela6[[#This Row],[CONSUMO]]*Tabela6[[#This Row],[VALOR UNIT]]-Tabela6[[#This Row],[DESCONTO]]</f>
        <v>121</v>
      </c>
      <c r="L3206" s="53">
        <f>Tabela6[[#This Row],[CUSTO TOTAL]]/Tabela6[[#This Row],[CONSUMO]]</f>
        <v>5.5</v>
      </c>
      <c r="M3206" s="50">
        <f>Tabela6[[#This Row],[KM ATUAL]]-E3182</f>
        <v>-3319</v>
      </c>
      <c r="N3206" s="51">
        <f>Tabela6[[#This Row],[KM Rodados ]]/Tabela6[[#This Row],[CONSUMO]]</f>
        <v>-150.86363636363637</v>
      </c>
    </row>
    <row r="3207" spans="1:14" x14ac:dyDescent="0.25">
      <c r="A3207" s="47">
        <v>103990</v>
      </c>
      <c r="B3207" s="78">
        <v>45261</v>
      </c>
      <c r="C3207" s="47" t="s">
        <v>42</v>
      </c>
      <c r="D3207" s="49" t="s">
        <v>253</v>
      </c>
      <c r="E3207" s="47">
        <v>377865</v>
      </c>
      <c r="G3207" s="50" t="s">
        <v>89</v>
      </c>
      <c r="H3207" s="51">
        <v>50.37</v>
      </c>
      <c r="J3207" s="51">
        <v>6.29</v>
      </c>
      <c r="K3207" s="74">
        <f>Tabela6[[#This Row],[CONSUMO]]*Tabela6[[#This Row],[VALOR UNIT]]-Tabela6[[#This Row],[DESCONTO]]</f>
        <v>316.82729999999998</v>
      </c>
      <c r="L3207" s="53">
        <f>Tabela6[[#This Row],[CUSTO TOTAL]]/Tabela6[[#This Row],[CONSUMO]]</f>
        <v>6.29</v>
      </c>
      <c r="M3207" s="50">
        <f>Tabela6[[#This Row],[KM ATUAL]]-E3169</f>
        <v>-23626</v>
      </c>
      <c r="N3207" s="51">
        <f>Tabela6[[#This Row],[KM Rodados ]]/Tabela6[[#This Row],[CONSUMO]]</f>
        <v>-469.049037125273</v>
      </c>
    </row>
    <row r="3208" spans="1:14" x14ac:dyDescent="0.25">
      <c r="A3208" s="47">
        <v>8520</v>
      </c>
      <c r="B3208" s="78">
        <v>45261</v>
      </c>
      <c r="C3208" s="47" t="s">
        <v>222</v>
      </c>
      <c r="D3208" s="49" t="s">
        <v>299</v>
      </c>
      <c r="E3208" s="47">
        <v>528756</v>
      </c>
      <c r="G3208" s="50" t="s">
        <v>89</v>
      </c>
      <c r="H3208" s="51">
        <v>257</v>
      </c>
      <c r="J3208" s="51">
        <v>5.5</v>
      </c>
      <c r="K3208" s="74">
        <f>Tabela6[[#This Row],[CONSUMO]]*Tabela6[[#This Row],[VALOR UNIT]]-Tabela6[[#This Row],[DESCONTO]]</f>
        <v>1413.5</v>
      </c>
      <c r="L3208" s="53">
        <f>Tabela6[[#This Row],[CUSTO TOTAL]]/Tabela6[[#This Row],[CONSUMO]]</f>
        <v>5.5</v>
      </c>
      <c r="M3208" s="50">
        <f>Tabela6[[#This Row],[KM ATUAL]]-E3175</f>
        <v>522333</v>
      </c>
      <c r="N3208" s="51">
        <f>Tabela6[[#This Row],[KM Rodados ]]/Tabela6[[#This Row],[CONSUMO]]</f>
        <v>2032.4241245136186</v>
      </c>
    </row>
    <row r="3209" spans="1:14" x14ac:dyDescent="0.25">
      <c r="A3209" s="47">
        <v>8520</v>
      </c>
      <c r="B3209" s="78">
        <v>45261</v>
      </c>
      <c r="C3209" s="47" t="s">
        <v>22</v>
      </c>
      <c r="D3209" s="49" t="s">
        <v>299</v>
      </c>
      <c r="E3209" s="47">
        <v>343790</v>
      </c>
      <c r="G3209" s="50" t="s">
        <v>89</v>
      </c>
      <c r="H3209" s="51">
        <v>120</v>
      </c>
      <c r="J3209" s="51">
        <v>5.5</v>
      </c>
      <c r="K3209" s="74">
        <f>Tabela6[[#This Row],[CONSUMO]]*Tabela6[[#This Row],[VALOR UNIT]]-Tabela6[[#This Row],[DESCONTO]]</f>
        <v>660</v>
      </c>
      <c r="L3209" s="53">
        <f>Tabela6[[#This Row],[CUSTO TOTAL]]/Tabela6[[#This Row],[CONSUMO]]</f>
        <v>5.5</v>
      </c>
      <c r="M3209" s="50">
        <f>Tabela6[[#This Row],[KM ATUAL]]-E3142</f>
        <v>-182291</v>
      </c>
      <c r="N3209" s="51">
        <f>Tabela6[[#This Row],[KM Rodados ]]/Tabela6[[#This Row],[CONSUMO]]</f>
        <v>-1519.0916666666667</v>
      </c>
    </row>
    <row r="3210" spans="1:14" x14ac:dyDescent="0.25">
      <c r="A3210" s="47">
        <v>354042</v>
      </c>
      <c r="B3210" s="78">
        <v>45261</v>
      </c>
      <c r="C3210" s="47" t="s">
        <v>203</v>
      </c>
      <c r="D3210" s="49" t="s">
        <v>276</v>
      </c>
      <c r="E3210" s="47">
        <v>124608</v>
      </c>
      <c r="G3210" s="50" t="s">
        <v>244</v>
      </c>
      <c r="H3210" s="51">
        <v>42.61</v>
      </c>
      <c r="J3210" s="51">
        <v>5.69</v>
      </c>
      <c r="K3210" s="74">
        <f>Tabela6[[#This Row],[CONSUMO]]*Tabela6[[#This Row],[VALOR UNIT]]-Tabela6[[#This Row],[DESCONTO]]</f>
        <v>242.45090000000002</v>
      </c>
      <c r="L3210" s="53">
        <f>Tabela6[[#This Row],[CUSTO TOTAL]]/Tabela6[[#This Row],[CONSUMO]]</f>
        <v>5.69</v>
      </c>
      <c r="M3210" s="50">
        <f>Tabela6[[#This Row],[KM ATUAL]]-E3184</f>
        <v>-541676</v>
      </c>
      <c r="N3210" s="51">
        <f>Tabela6[[#This Row],[KM Rodados ]]/Tabela6[[#This Row],[CONSUMO]]</f>
        <v>-12712.414926073692</v>
      </c>
    </row>
    <row r="3211" spans="1:14" x14ac:dyDescent="0.25">
      <c r="A3211" s="47">
        <v>701250</v>
      </c>
      <c r="B3211" s="78">
        <v>45261</v>
      </c>
      <c r="C3211" s="47" t="s">
        <v>72</v>
      </c>
      <c r="D3211" s="49" t="s">
        <v>271</v>
      </c>
      <c r="E3211" s="47">
        <v>428282</v>
      </c>
      <c r="G3211" s="50" t="s">
        <v>89</v>
      </c>
      <c r="H3211" s="51">
        <v>23.784099999999999</v>
      </c>
      <c r="J3211" s="51">
        <v>5.79</v>
      </c>
      <c r="K3211" s="74">
        <f>Tabela6[[#This Row],[CONSUMO]]*Tabela6[[#This Row],[VALOR UNIT]]-Tabela6[[#This Row],[DESCONTO]]</f>
        <v>137.70993899999999</v>
      </c>
      <c r="L3211" s="53">
        <f>Tabela6[[#This Row],[CUSTO TOTAL]]/Tabela6[[#This Row],[CONSUMO]]</f>
        <v>5.79</v>
      </c>
      <c r="M3211" s="50">
        <f>Tabela6[[#This Row],[KM ATUAL]]-E3179</f>
        <v>-99583</v>
      </c>
      <c r="N3211" s="51">
        <f>Tabela6[[#This Row],[KM Rodados ]]/Tabela6[[#This Row],[CONSUMO]]</f>
        <v>-4186.9568325057498</v>
      </c>
    </row>
    <row r="3212" spans="1:14" x14ac:dyDescent="0.25">
      <c r="A3212" s="47">
        <v>216743</v>
      </c>
      <c r="B3212" s="78">
        <v>45261</v>
      </c>
      <c r="C3212" s="47" t="s">
        <v>41</v>
      </c>
      <c r="D3212" s="49" t="s">
        <v>291</v>
      </c>
      <c r="E3212" s="47">
        <v>686227</v>
      </c>
      <c r="G3212" s="50" t="s">
        <v>89</v>
      </c>
      <c r="H3212" s="51">
        <v>150.00899999999999</v>
      </c>
      <c r="J3212" s="51">
        <v>6.59</v>
      </c>
      <c r="K3212" s="74">
        <f>Tabela6[[#This Row],[CONSUMO]]*Tabela6[[#This Row],[VALOR UNIT]]-Tabela6[[#This Row],[DESCONTO]]</f>
        <v>988.55930999999987</v>
      </c>
      <c r="L3212" s="53">
        <f>Tabela6[[#This Row],[CUSTO TOTAL]]/Tabela6[[#This Row],[CONSUMO]]</f>
        <v>6.59</v>
      </c>
      <c r="M3212" s="53" t="e">
        <f t="array" ref="M3212">SE</f>
        <v>#NAME?</v>
      </c>
      <c r="N3212" s="49" t="e">
        <f>Tabela6[[#This Row],[KM Rodados ]]/Tabela6[[#This Row],[CONSUMO]]</f>
        <v>#NAME?</v>
      </c>
    </row>
    <row r="3213" spans="1:14" x14ac:dyDescent="0.25">
      <c r="A3213" s="47">
        <v>8520</v>
      </c>
      <c r="B3213" s="78">
        <v>45261</v>
      </c>
      <c r="C3213" s="47" t="s">
        <v>10</v>
      </c>
      <c r="D3213" s="49" t="s">
        <v>299</v>
      </c>
      <c r="E3213" s="47">
        <v>734641</v>
      </c>
      <c r="G3213" s="50" t="s">
        <v>89</v>
      </c>
      <c r="H3213" s="51">
        <v>150</v>
      </c>
      <c r="J3213" s="51">
        <v>5.5</v>
      </c>
      <c r="K3213" s="74">
        <f>Tabela6[[#This Row],[CONSUMO]]*Tabela6[[#This Row],[VALOR UNIT]]-Tabela6[[#This Row],[DESCONTO]]</f>
        <v>825</v>
      </c>
      <c r="L3213" s="53">
        <f>Tabela6[[#This Row],[CUSTO TOTAL]]/Tabela6[[#This Row],[CONSUMO]]</f>
        <v>5.5</v>
      </c>
      <c r="M3213" s="50">
        <f>Tabela6[[#This Row],[KM ATUAL]]-E3164</f>
        <v>610963</v>
      </c>
      <c r="N3213" s="51">
        <f>Tabela6[[#This Row],[KM Rodados ]]/Tabela6[[#This Row],[CONSUMO]]</f>
        <v>4073.0866666666666</v>
      </c>
    </row>
    <row r="3214" spans="1:14" x14ac:dyDescent="0.25">
      <c r="A3214" s="47">
        <v>103426</v>
      </c>
      <c r="B3214" s="78">
        <v>45261</v>
      </c>
      <c r="C3214" s="47" t="s">
        <v>11</v>
      </c>
      <c r="D3214" s="49" t="s">
        <v>253</v>
      </c>
      <c r="E3214" s="47">
        <v>406365</v>
      </c>
      <c r="G3214" s="50" t="s">
        <v>89</v>
      </c>
      <c r="H3214" s="51">
        <v>103.38</v>
      </c>
      <c r="J3214" s="51">
        <v>6.29</v>
      </c>
      <c r="K3214" s="74">
        <f>Tabela6[[#This Row],[CONSUMO]]*Tabela6[[#This Row],[VALOR UNIT]]-Tabela6[[#This Row],[DESCONTO]]</f>
        <v>650.26019999999994</v>
      </c>
      <c r="L3214" s="53">
        <f>Tabela6[[#This Row],[CUSTO TOTAL]]/Tabela6[[#This Row],[CONSUMO]]</f>
        <v>6.29</v>
      </c>
      <c r="M3214" s="50">
        <f>Tabela6[[#This Row],[KM ATUAL]]-E3120</f>
        <v>245248</v>
      </c>
      <c r="N3214" s="51">
        <f>Tabela6[[#This Row],[KM Rodados ]]/Tabela6[[#This Row],[CONSUMO]]</f>
        <v>2372.2963822789707</v>
      </c>
    </row>
    <row r="3215" spans="1:14" x14ac:dyDescent="0.25">
      <c r="A3215" s="47">
        <v>8520</v>
      </c>
      <c r="B3215" s="78">
        <v>45261</v>
      </c>
      <c r="C3215" s="47" t="s">
        <v>301</v>
      </c>
      <c r="D3215" s="49" t="s">
        <v>299</v>
      </c>
      <c r="E3215" s="47">
        <v>1069147</v>
      </c>
      <c r="G3215" s="50" t="s">
        <v>89</v>
      </c>
      <c r="H3215" s="51">
        <v>380</v>
      </c>
      <c r="J3215" s="51">
        <v>5.5</v>
      </c>
      <c r="K3215" s="74">
        <f>Tabela6[[#This Row],[CONSUMO]]*Tabela6[[#This Row],[VALOR UNIT]]-Tabela6[[#This Row],[DESCONTO]]</f>
        <v>2090</v>
      </c>
      <c r="L3215" s="53">
        <f>Tabela6[[#This Row],[CUSTO TOTAL]]/Tabela6[[#This Row],[CONSUMO]]</f>
        <v>5.5</v>
      </c>
      <c r="M3215" s="50">
        <f>Tabela6[[#This Row],[KM ATUAL]]-E3151</f>
        <v>904108</v>
      </c>
      <c r="N3215" s="49">
        <f>Tabela6[[#This Row],[KM Rodados ]]/Tabela6[[#This Row],[CONSUMO]]</f>
        <v>2379.2315789473682</v>
      </c>
    </row>
    <row r="3216" spans="1:14" x14ac:dyDescent="0.25">
      <c r="A3216" s="47">
        <v>8520</v>
      </c>
      <c r="B3216" s="78">
        <v>45261</v>
      </c>
      <c r="C3216" s="47" t="s">
        <v>13</v>
      </c>
      <c r="D3216" s="49" t="s">
        <v>299</v>
      </c>
      <c r="E3216" s="47">
        <v>667170</v>
      </c>
      <c r="G3216" s="50" t="s">
        <v>89</v>
      </c>
      <c r="H3216" s="51">
        <v>60</v>
      </c>
      <c r="J3216" s="51">
        <v>5.5</v>
      </c>
      <c r="K3216" s="74">
        <f>Tabela6[[#This Row],[CONSUMO]]*Tabela6[[#This Row],[VALOR UNIT]]-Tabela6[[#This Row],[DESCONTO]]</f>
        <v>330</v>
      </c>
      <c r="L3216" s="53">
        <f>Tabela6[[#This Row],[CUSTO TOTAL]]/Tabela6[[#This Row],[CONSUMO]]</f>
        <v>5.5</v>
      </c>
      <c r="M3216" s="50">
        <f>Tabela6[[#This Row],[KM ATUAL]]-E3199</f>
        <v>-18757</v>
      </c>
      <c r="N3216" s="51">
        <f>Tabela6[[#This Row],[KM Rodados ]]/Tabela6[[#This Row],[CONSUMO]]</f>
        <v>-312.61666666666667</v>
      </c>
    </row>
    <row r="3217" spans="1:14" x14ac:dyDescent="0.25">
      <c r="A3217" s="47">
        <v>224583</v>
      </c>
      <c r="B3217" s="78">
        <v>45261</v>
      </c>
      <c r="C3217" s="47" t="s">
        <v>14</v>
      </c>
      <c r="D3217" s="49" t="s">
        <v>262</v>
      </c>
      <c r="E3217" s="47">
        <v>304167</v>
      </c>
      <c r="G3217" s="50" t="s">
        <v>244</v>
      </c>
      <c r="H3217" s="51">
        <v>36.659999999999997</v>
      </c>
      <c r="J3217" s="51">
        <v>5.59</v>
      </c>
      <c r="K3217" s="74">
        <f>Tabela6[[#This Row],[CONSUMO]]*Tabela6[[#This Row],[VALOR UNIT]]-Tabela6[[#This Row],[DESCONTO]]</f>
        <v>204.92939999999999</v>
      </c>
      <c r="L3217" s="53">
        <f>Tabela6[[#This Row],[CUSTO TOTAL]]/Tabela6[[#This Row],[CONSUMO]]</f>
        <v>5.59</v>
      </c>
      <c r="M3217" s="50">
        <f>Tabela6[[#This Row],[KM ATUAL]]-E3019</f>
        <v>-215822</v>
      </c>
      <c r="N3217" s="51">
        <f>Tabela6[[#This Row],[KM Rodados ]]/Tabela6[[#This Row],[CONSUMO]]</f>
        <v>-5887.1249318057835</v>
      </c>
    </row>
    <row r="3218" spans="1:14" x14ac:dyDescent="0.25">
      <c r="A3218" s="47">
        <v>224475</v>
      </c>
      <c r="B3218" s="78">
        <v>45261</v>
      </c>
      <c r="C3218" s="47" t="s">
        <v>15</v>
      </c>
      <c r="D3218" s="49" t="s">
        <v>262</v>
      </c>
      <c r="E3218" s="47">
        <v>402320</v>
      </c>
      <c r="G3218" s="50" t="s">
        <v>89</v>
      </c>
      <c r="H3218" s="51">
        <v>48.649000000000001</v>
      </c>
      <c r="J3218" s="51">
        <v>5.99</v>
      </c>
      <c r="K3218" s="74">
        <f>Tabela6[[#This Row],[CONSUMO]]*Tabela6[[#This Row],[VALOR UNIT]]-Tabela6[[#This Row],[DESCONTO]]</f>
        <v>291.40751</v>
      </c>
      <c r="L3218" s="53">
        <f>Tabela6[[#This Row],[CUSTO TOTAL]]/Tabela6[[#This Row],[CONSUMO]]</f>
        <v>5.99</v>
      </c>
      <c r="M3218" s="50">
        <f>Tabela6[[#This Row],[KM ATUAL]]-E3189</f>
        <v>144750</v>
      </c>
      <c r="N3218" s="51">
        <f>Tabela6[[#This Row],[KM Rodados ]]/Tabela6[[#This Row],[CONSUMO]]</f>
        <v>2975.3951777014945</v>
      </c>
    </row>
    <row r="3219" spans="1:14" x14ac:dyDescent="0.25">
      <c r="A3219" s="47">
        <v>8520</v>
      </c>
      <c r="B3219" s="78">
        <v>45261</v>
      </c>
      <c r="C3219" s="47" t="s">
        <v>19</v>
      </c>
      <c r="D3219" s="49" t="s">
        <v>299</v>
      </c>
      <c r="E3219" s="47">
        <v>342413</v>
      </c>
      <c r="G3219" s="50" t="s">
        <v>89</v>
      </c>
      <c r="H3219" s="51">
        <v>118</v>
      </c>
      <c r="J3219" s="51">
        <v>5.5</v>
      </c>
      <c r="K3219" s="74">
        <f>Tabela6[[#This Row],[CONSUMO]]*Tabela6[[#This Row],[VALOR UNIT]]-Tabela6[[#This Row],[DESCONTO]]</f>
        <v>649</v>
      </c>
      <c r="L3219" s="53">
        <f>Tabela6[[#This Row],[CUSTO TOTAL]]/Tabela6[[#This Row],[CONSUMO]]</f>
        <v>5.5</v>
      </c>
      <c r="M3219" s="50">
        <f>Tabela6[[#This Row],[KM ATUAL]]-E3189</f>
        <v>84843</v>
      </c>
      <c r="N3219" s="51">
        <f>Tabela6[[#This Row],[KM Rodados ]]/Tabela6[[#This Row],[CONSUMO]]</f>
        <v>719.00847457627117</v>
      </c>
    </row>
    <row r="3220" spans="1:14" x14ac:dyDescent="0.25">
      <c r="A3220" s="47">
        <v>224532</v>
      </c>
      <c r="B3220" s="78">
        <v>45261</v>
      </c>
      <c r="C3220" s="47" t="s">
        <v>19</v>
      </c>
      <c r="D3220" s="49" t="s">
        <v>262</v>
      </c>
      <c r="G3220" s="50" t="s">
        <v>241</v>
      </c>
      <c r="H3220" s="51">
        <v>20.015999999999998</v>
      </c>
      <c r="I3220" s="49">
        <v>7.21</v>
      </c>
      <c r="J3220" s="51">
        <v>3.69</v>
      </c>
      <c r="K3220" s="74">
        <f>Tabela6[[#This Row],[CONSUMO]]*Tabela6[[#This Row],[VALOR UNIT]]-Tabela6[[#This Row],[DESCONTO]]</f>
        <v>66.649039999999999</v>
      </c>
      <c r="L3220" s="53">
        <f>Tabela6[[#This Row],[CUSTO TOTAL]]/Tabela6[[#This Row],[CONSUMO]]</f>
        <v>3.3297881694644289</v>
      </c>
      <c r="M3220" s="50"/>
      <c r="N3220" s="49"/>
    </row>
    <row r="3221" spans="1:14" x14ac:dyDescent="0.25">
      <c r="A3221" s="47">
        <v>224490</v>
      </c>
      <c r="B3221" s="78">
        <v>45261</v>
      </c>
      <c r="C3221" s="47" t="s">
        <v>40</v>
      </c>
      <c r="D3221" s="49" t="s">
        <v>262</v>
      </c>
      <c r="E3221" s="47">
        <v>172640</v>
      </c>
      <c r="G3221" s="50" t="s">
        <v>244</v>
      </c>
      <c r="H3221" s="51">
        <v>38.841000000000001</v>
      </c>
      <c r="J3221" s="51">
        <v>5.59</v>
      </c>
      <c r="K3221" s="74">
        <f>Tabela6[[#This Row],[CONSUMO]]*Tabela6[[#This Row],[VALOR UNIT]]-Tabela6[[#This Row],[DESCONTO]]</f>
        <v>217.12119000000001</v>
      </c>
      <c r="L3221" s="53">
        <f>Tabela6[[#This Row],[CUSTO TOTAL]]/Tabela6[[#This Row],[CONSUMO]]</f>
        <v>5.59</v>
      </c>
      <c r="M3221" s="50">
        <f>Tabela6[[#This Row],[KM ATUAL]]-E3174</f>
        <v>164421</v>
      </c>
      <c r="N3221" s="51">
        <f>Tabela6[[#This Row],[KM Rodados ]]/Tabela6[[#This Row],[CONSUMO]]</f>
        <v>4233.1814319919667</v>
      </c>
    </row>
    <row r="3222" spans="1:14" x14ac:dyDescent="0.25">
      <c r="A3222" s="47">
        <v>103523</v>
      </c>
      <c r="B3222" s="78">
        <v>45261</v>
      </c>
      <c r="C3222" s="47" t="s">
        <v>315</v>
      </c>
      <c r="D3222" s="49" t="s">
        <v>253</v>
      </c>
      <c r="E3222" s="47">
        <v>8752</v>
      </c>
      <c r="G3222" s="50" t="s">
        <v>89</v>
      </c>
      <c r="H3222" s="51">
        <v>40.79</v>
      </c>
      <c r="J3222" s="51">
        <v>6.29</v>
      </c>
      <c r="K3222" s="74">
        <f>Tabela6[[#This Row],[CONSUMO]]*Tabela6[[#This Row],[VALOR UNIT]]-Tabela6[[#This Row],[DESCONTO]]</f>
        <v>256.56909999999999</v>
      </c>
      <c r="L3222" s="53">
        <f>Tabela6[[#This Row],[CUSTO TOTAL]]/Tabela6[[#This Row],[CONSUMO]]</f>
        <v>6.29</v>
      </c>
      <c r="M3222" s="50">
        <f>Tabela6[[#This Row],[KM ATUAL]]-E3199</f>
        <v>-677175</v>
      </c>
      <c r="N3222" s="51">
        <f>Tabela6[[#This Row],[KM Rodados ]]/Tabela6[[#This Row],[CONSUMO]]</f>
        <v>-16601.495464574651</v>
      </c>
    </row>
    <row r="3223" spans="1:14" x14ac:dyDescent="0.25">
      <c r="A3223" s="47">
        <v>365375</v>
      </c>
      <c r="B3223" s="78">
        <v>45262</v>
      </c>
      <c r="C3223" s="47" t="s">
        <v>222</v>
      </c>
      <c r="D3223" s="49" t="s">
        <v>361</v>
      </c>
      <c r="E3223" s="47">
        <v>529293</v>
      </c>
      <c r="G3223" s="50" t="s">
        <v>89</v>
      </c>
      <c r="H3223" s="51">
        <v>250.011</v>
      </c>
      <c r="J3223" s="51">
        <v>5.99</v>
      </c>
      <c r="K3223" s="74">
        <f>Tabela6[[#This Row],[CONSUMO]]*Tabela6[[#This Row],[VALOR UNIT]]-Tabela6[[#This Row],[DESCONTO]]</f>
        <v>1497.5658900000001</v>
      </c>
      <c r="L3223" s="53">
        <f>Tabela6[[#This Row],[CUSTO TOTAL]]/Tabela6[[#This Row],[CONSUMO]]</f>
        <v>5.99</v>
      </c>
      <c r="M3223" s="50">
        <f>Tabela6[[#This Row],[KM ATUAL]]-E3206</f>
        <v>366770</v>
      </c>
      <c r="N3223" s="51">
        <f>Tabela6[[#This Row],[KM Rodados ]]/Tabela6[[#This Row],[CONSUMO]]</f>
        <v>1467.0154513201419</v>
      </c>
    </row>
    <row r="3224" spans="1:14" x14ac:dyDescent="0.25">
      <c r="A3224" s="47">
        <v>1152169</v>
      </c>
      <c r="B3224" s="78">
        <v>45262</v>
      </c>
      <c r="C3224" s="47" t="s">
        <v>203</v>
      </c>
      <c r="D3224" s="49" t="s">
        <v>318</v>
      </c>
      <c r="E3224" s="47">
        <v>125081</v>
      </c>
      <c r="G3224" s="50" t="s">
        <v>244</v>
      </c>
      <c r="H3224" s="51">
        <v>35.951000000000001</v>
      </c>
      <c r="J3224" s="51">
        <v>5.69</v>
      </c>
      <c r="K3224" s="74">
        <f>Tabela6[[#This Row],[CONSUMO]]*Tabela6[[#This Row],[VALOR UNIT]]-Tabela6[[#This Row],[DESCONTO]]</f>
        <v>204.56119000000001</v>
      </c>
      <c r="L3224" s="53">
        <f>Tabela6[[#This Row],[CUSTO TOTAL]]/Tabela6[[#This Row],[CONSUMO]]</f>
        <v>5.69</v>
      </c>
      <c r="M3224" s="50">
        <f>Tabela6[[#This Row],[KM ATUAL]]-E3220</f>
        <v>125081</v>
      </c>
      <c r="N3224" s="51">
        <f>Tabela6[[#This Row],[KM Rodados ]]/Tabela6[[#This Row],[CONSUMO]]</f>
        <v>3479.2078106311369</v>
      </c>
    </row>
    <row r="3225" spans="1:14" x14ac:dyDescent="0.25">
      <c r="A3225" s="47">
        <v>1119482</v>
      </c>
      <c r="B3225" s="78">
        <v>45262</v>
      </c>
      <c r="C3225" s="47" t="s">
        <v>203</v>
      </c>
      <c r="D3225" s="49" t="s">
        <v>387</v>
      </c>
      <c r="E3225" s="47">
        <v>125503</v>
      </c>
      <c r="G3225" s="50" t="s">
        <v>244</v>
      </c>
      <c r="H3225" s="51">
        <v>33.479999999999997</v>
      </c>
      <c r="J3225" s="51">
        <v>5.59</v>
      </c>
      <c r="K3225" s="74">
        <f>Tabela6[[#This Row],[CONSUMO]]*Tabela6[[#This Row],[VALOR UNIT]]-Tabela6[[#This Row],[DESCONTO]]</f>
        <v>187.15319999999997</v>
      </c>
      <c r="L3225" s="53">
        <f>Tabela6[[#This Row],[CUSTO TOTAL]]/Tabela6[[#This Row],[CONSUMO]]</f>
        <v>5.59</v>
      </c>
      <c r="M3225" s="50">
        <f>Tabela6[[#This Row],[KM ATUAL]]-E3224</f>
        <v>422</v>
      </c>
      <c r="N3225" s="51">
        <f>Tabela6[[#This Row],[KM Rodados ]]/Tabela6[[#This Row],[CONSUMO]]</f>
        <v>12.604540023894863</v>
      </c>
    </row>
    <row r="3226" spans="1:14" x14ac:dyDescent="0.25">
      <c r="A3226" s="47" t="s">
        <v>314</v>
      </c>
      <c r="B3226" s="78">
        <v>45262</v>
      </c>
      <c r="C3226" s="47" t="s">
        <v>206</v>
      </c>
      <c r="E3226" s="47">
        <v>983521</v>
      </c>
      <c r="G3226" s="50" t="s">
        <v>89</v>
      </c>
      <c r="H3226" s="51">
        <v>265</v>
      </c>
      <c r="K3226" s="74">
        <f>Tabela6[[#This Row],[CONSUMO]]*Tabela6[[#This Row],[VALOR UNIT]]-Tabela6[[#This Row],[DESCONTO]]</f>
        <v>0</v>
      </c>
      <c r="L3226" s="53">
        <f>Tabela6[[#This Row],[CUSTO TOTAL]]/Tabela6[[#This Row],[CONSUMO]]</f>
        <v>0</v>
      </c>
      <c r="M3226" s="50">
        <f>Tabela6[[#This Row],[KM ATUAL]]-E3135</f>
        <v>642551</v>
      </c>
      <c r="N3226" s="51">
        <f>Tabela6[[#This Row],[KM Rodados ]]/Tabela6[[#This Row],[CONSUMO]]</f>
        <v>2424.720754716981</v>
      </c>
    </row>
    <row r="3227" spans="1:14" x14ac:dyDescent="0.25">
      <c r="A3227" s="47">
        <v>104411</v>
      </c>
      <c r="B3227" s="78">
        <v>45262</v>
      </c>
      <c r="C3227" s="47" t="s">
        <v>12</v>
      </c>
      <c r="D3227" s="49" t="s">
        <v>253</v>
      </c>
      <c r="E3227" s="119">
        <v>326912</v>
      </c>
      <c r="G3227" s="50" t="s">
        <v>89</v>
      </c>
      <c r="H3227" s="51">
        <v>127.35</v>
      </c>
      <c r="J3227" s="51">
        <v>6.29</v>
      </c>
      <c r="K3227" s="74">
        <f>Tabela6[[#This Row],[CONSUMO]]*Tabela6[[#This Row],[VALOR UNIT]]-Tabela6[[#This Row],[DESCONTO]]</f>
        <v>801.03149999999994</v>
      </c>
      <c r="L3227" s="53">
        <f>Tabela6[[#This Row],[CUSTO TOTAL]]/Tabela6[[#This Row],[CONSUMO]]</f>
        <v>6.29</v>
      </c>
      <c r="M3227" s="50">
        <f>Tabela6[[#This Row],[KM ATUAL]]-E3125</f>
        <v>162317</v>
      </c>
      <c r="N3227" s="51">
        <f>Tabela6[[#This Row],[KM Rodados ]]/Tabela6[[#This Row],[CONSUMO]]</f>
        <v>1274.5740086376129</v>
      </c>
    </row>
    <row r="3228" spans="1:14" x14ac:dyDescent="0.25">
      <c r="A3228" s="47">
        <v>533827</v>
      </c>
      <c r="B3228" s="78">
        <v>45263</v>
      </c>
      <c r="C3228" s="47" t="s">
        <v>222</v>
      </c>
      <c r="D3228" s="49" t="s">
        <v>333</v>
      </c>
      <c r="E3228" s="47">
        <v>529998</v>
      </c>
      <c r="G3228" s="50" t="s">
        <v>89</v>
      </c>
      <c r="H3228" s="51">
        <v>336.125</v>
      </c>
      <c r="J3228" s="51">
        <v>5.79</v>
      </c>
      <c r="K3228" s="74">
        <f>Tabela6[[#This Row],[CONSUMO]]*Tabela6[[#This Row],[VALOR UNIT]]-Tabela6[[#This Row],[DESCONTO]]</f>
        <v>1946.1637499999999</v>
      </c>
      <c r="L3228" s="53">
        <f>Tabela6[[#This Row],[CUSTO TOTAL]]/Tabela6[[#This Row],[CONSUMO]]</f>
        <v>5.79</v>
      </c>
      <c r="M3228" s="50">
        <f>Tabela6[[#This Row],[KM ATUAL]]-E3223</f>
        <v>705</v>
      </c>
      <c r="N3228" s="51">
        <f>Tabela6[[#This Row],[KM Rodados ]]/Tabela6[[#This Row],[CONSUMO]]</f>
        <v>2.0974339903309782</v>
      </c>
    </row>
    <row r="3229" spans="1:14" x14ac:dyDescent="0.25">
      <c r="A3229" s="47">
        <v>396858</v>
      </c>
      <c r="B3229" s="78">
        <v>45263</v>
      </c>
      <c r="C3229" s="47" t="s">
        <v>70</v>
      </c>
      <c r="D3229" s="49" t="s">
        <v>271</v>
      </c>
      <c r="E3229" s="47">
        <v>244346</v>
      </c>
      <c r="G3229" s="50" t="s">
        <v>241</v>
      </c>
      <c r="H3229" s="51">
        <v>63.76</v>
      </c>
      <c r="J3229" s="51">
        <v>2.99</v>
      </c>
      <c r="K3229" s="74">
        <f>Tabela6[[#This Row],[CONSUMO]]*Tabela6[[#This Row],[VALOR UNIT]]-Tabela6[[#This Row],[DESCONTO]]</f>
        <v>190.64240000000001</v>
      </c>
      <c r="L3229" s="53">
        <f>Tabela6[[#This Row],[CUSTO TOTAL]]/Tabela6[[#This Row],[CONSUMO]]</f>
        <v>2.99</v>
      </c>
      <c r="M3229" s="50"/>
    </row>
    <row r="3230" spans="1:14" x14ac:dyDescent="0.25">
      <c r="A3230" s="47">
        <v>398857</v>
      </c>
      <c r="B3230" s="78">
        <v>45263</v>
      </c>
      <c r="C3230" s="47" t="s">
        <v>70</v>
      </c>
      <c r="D3230" s="49" t="s">
        <v>271</v>
      </c>
      <c r="E3230" s="47">
        <v>244346</v>
      </c>
      <c r="G3230" s="50" t="s">
        <v>89</v>
      </c>
      <c r="H3230" s="51">
        <v>353.89</v>
      </c>
      <c r="J3230" s="51">
        <v>5.99</v>
      </c>
      <c r="K3230" s="74">
        <f>Tabela6[[#This Row],[CONSUMO]]*Tabela6[[#This Row],[VALOR UNIT]]-Tabela6[[#This Row],[DESCONTO]]</f>
        <v>2119.8011000000001</v>
      </c>
      <c r="L3230" s="53">
        <f>Tabela6[[#This Row],[CUSTO TOTAL]]/Tabela6[[#This Row],[CONSUMO]]</f>
        <v>5.99</v>
      </c>
      <c r="M3230" s="50">
        <f>Tabela6[[#This Row],[KM ATUAL]]-E3159</f>
        <v>72825</v>
      </c>
      <c r="N3230" s="51">
        <f>Tabela6[[#This Row],[KM Rodados ]]/Tabela6[[#This Row],[CONSUMO]]</f>
        <v>205.78428325185794</v>
      </c>
    </row>
    <row r="3231" spans="1:14" x14ac:dyDescent="0.25">
      <c r="A3231" s="47">
        <v>8612</v>
      </c>
      <c r="B3231" s="78">
        <v>45264</v>
      </c>
      <c r="C3231" s="47" t="s">
        <v>68</v>
      </c>
      <c r="D3231" s="49" t="s">
        <v>299</v>
      </c>
      <c r="E3231" s="47">
        <v>937477</v>
      </c>
      <c r="G3231" s="50" t="s">
        <v>89</v>
      </c>
      <c r="H3231" s="51">
        <v>310</v>
      </c>
      <c r="J3231" s="51">
        <v>5.5</v>
      </c>
      <c r="K3231" s="74">
        <f>Tabela6[[#This Row],[CONSUMO]]*Tabela6[[#This Row],[VALOR UNIT]]-Tabela6[[#This Row],[DESCONTO]]</f>
        <v>1705</v>
      </c>
      <c r="L3231" s="53">
        <f>Tabela6[[#This Row],[CUSTO TOTAL]]/Tabela6[[#This Row],[CONSUMO]]</f>
        <v>5.5</v>
      </c>
      <c r="M3231" s="50">
        <f>Tabela6[[#This Row],[KM ATUAL]]-E3186</f>
        <v>595425</v>
      </c>
      <c r="N3231" s="51">
        <f>Tabela6[[#This Row],[KM Rodados ]]/Tabela6[[#This Row],[CONSUMO]]</f>
        <v>1920.7258064516129</v>
      </c>
    </row>
    <row r="3232" spans="1:14" x14ac:dyDescent="0.25">
      <c r="A3232" s="47">
        <v>296742</v>
      </c>
      <c r="B3232" s="78">
        <v>45264</v>
      </c>
      <c r="C3232" s="47" t="s">
        <v>9</v>
      </c>
      <c r="D3232" s="49" t="s">
        <v>273</v>
      </c>
      <c r="E3232" s="47">
        <v>637256</v>
      </c>
      <c r="G3232" s="50" t="s">
        <v>89</v>
      </c>
      <c r="H3232" s="51">
        <v>128.06</v>
      </c>
      <c r="J3232" s="51">
        <v>5.89</v>
      </c>
      <c r="K3232" s="74">
        <f>Tabela6[[#This Row],[CONSUMO]]*Tabela6[[#This Row],[VALOR UNIT]]-Tabela6[[#This Row],[DESCONTO]]</f>
        <v>754.27339999999992</v>
      </c>
      <c r="L3232" s="53">
        <f>Tabela6[[#This Row],[CUSTO TOTAL]]/Tabela6[[#This Row],[CONSUMO]]</f>
        <v>5.89</v>
      </c>
      <c r="M3232" s="50">
        <f>Tabela6[[#This Row],[KM ATUAL]]-E3160</f>
        <v>-239749</v>
      </c>
      <c r="N3232" s="51">
        <f>Tabela6[[#This Row],[KM Rodados ]]/Tabela6[[#This Row],[CONSUMO]]</f>
        <v>-1872.1614868030611</v>
      </c>
    </row>
    <row r="3233" spans="1:14" x14ac:dyDescent="0.25">
      <c r="A3233" s="47">
        <v>356634</v>
      </c>
      <c r="B3233" s="78">
        <v>45264</v>
      </c>
      <c r="C3233" s="47" t="s">
        <v>222</v>
      </c>
      <c r="D3233" s="49" t="s">
        <v>345</v>
      </c>
      <c r="E3233" s="47">
        <v>530683</v>
      </c>
      <c r="G3233" s="50" t="s">
        <v>89</v>
      </c>
      <c r="H3233" s="51">
        <v>100.03</v>
      </c>
      <c r="J3233" s="51">
        <v>5.6</v>
      </c>
      <c r="K3233" s="74">
        <f>Tabela6[[#This Row],[CONSUMO]]*Tabela6[[#This Row],[VALOR UNIT]]-Tabela6[[#This Row],[DESCONTO]]</f>
        <v>560.16800000000001</v>
      </c>
      <c r="L3233" s="53">
        <f>Tabela6[[#This Row],[CUSTO TOTAL]]/Tabela6[[#This Row],[CONSUMO]]</f>
        <v>5.6</v>
      </c>
      <c r="M3233" s="50">
        <f>Tabela6[[#This Row],[KM ATUAL]]-E3230</f>
        <v>286337</v>
      </c>
      <c r="N3233" s="51">
        <f>Tabela6[[#This Row],[KM Rodados ]]/Tabela6[[#This Row],[CONSUMO]]</f>
        <v>2862.5112466260121</v>
      </c>
    </row>
    <row r="3234" spans="1:14" x14ac:dyDescent="0.25">
      <c r="A3234" s="47">
        <v>1232733</v>
      </c>
      <c r="B3234" s="78">
        <v>45264</v>
      </c>
      <c r="C3234" s="47" t="s">
        <v>67</v>
      </c>
      <c r="D3234" s="49" t="s">
        <v>263</v>
      </c>
      <c r="E3234" s="47">
        <v>692014</v>
      </c>
      <c r="G3234" s="50" t="s">
        <v>89</v>
      </c>
      <c r="H3234" s="51">
        <v>104.79</v>
      </c>
      <c r="I3234" s="49">
        <v>10.48</v>
      </c>
      <c r="J3234" s="51">
        <v>6.09</v>
      </c>
      <c r="K3234" s="74">
        <f>Tabela6[[#This Row],[CONSUMO]]*Tabela6[[#This Row],[VALOR UNIT]]-Tabela6[[#This Row],[DESCONTO]]</f>
        <v>627.69110000000001</v>
      </c>
      <c r="L3234" s="53">
        <f>Tabela6[[#This Row],[CUSTO TOTAL]]/Tabela6[[#This Row],[CONSUMO]]</f>
        <v>5.9899904571046854</v>
      </c>
      <c r="M3234" s="50">
        <f>Tabela6[[#This Row],[KM ATUAL]]-E3200</f>
        <v>25116</v>
      </c>
      <c r="N3234" s="51">
        <f>Tabela6[[#This Row],[KM Rodados ]]/Tabela6[[#This Row],[CONSUMO]]</f>
        <v>239.67935871743487</v>
      </c>
    </row>
    <row r="3235" spans="1:14" x14ac:dyDescent="0.25">
      <c r="A3235" s="47">
        <v>415296</v>
      </c>
      <c r="B3235" s="78">
        <v>45264</v>
      </c>
      <c r="C3235" s="47" t="s">
        <v>203</v>
      </c>
      <c r="D3235" s="49" t="s">
        <v>309</v>
      </c>
      <c r="E3235" s="47">
        <v>125885</v>
      </c>
      <c r="G3235" s="50" t="s">
        <v>244</v>
      </c>
      <c r="H3235" s="51">
        <v>31.321000000000002</v>
      </c>
      <c r="J3235" s="51">
        <v>5.4</v>
      </c>
      <c r="K3235" s="74">
        <f>Tabela6[[#This Row],[CONSUMO]]*Tabela6[[#This Row],[VALOR UNIT]]-Tabela6[[#This Row],[DESCONTO]]</f>
        <v>169.13340000000002</v>
      </c>
      <c r="L3235" s="53">
        <f>Tabela6[[#This Row],[CUSTO TOTAL]]/Tabela6[[#This Row],[CONSUMO]]</f>
        <v>5.4</v>
      </c>
      <c r="M3235" s="50">
        <f>Tabela6[[#This Row],[KM ATUAL]]-E3217</f>
        <v>-178282</v>
      </c>
      <c r="N3235" s="51">
        <f>Tabela6[[#This Row],[KM Rodados ]]/Tabela6[[#This Row],[CONSUMO]]</f>
        <v>-5692.0915679576001</v>
      </c>
    </row>
    <row r="3236" spans="1:14" x14ac:dyDescent="0.25">
      <c r="A3236" s="47">
        <v>97467</v>
      </c>
      <c r="B3236" s="78">
        <v>45264</v>
      </c>
      <c r="C3236" s="47" t="s">
        <v>72</v>
      </c>
      <c r="D3236" s="49" t="s">
        <v>300</v>
      </c>
      <c r="E3236" s="47">
        <v>428832</v>
      </c>
      <c r="G3236" s="50" t="s">
        <v>89</v>
      </c>
      <c r="H3236" s="51">
        <v>32.42</v>
      </c>
      <c r="J3236" s="51">
        <v>5.99</v>
      </c>
      <c r="K3236" s="74">
        <f>Tabela6[[#This Row],[CONSUMO]]*Tabela6[[#This Row],[VALOR UNIT]]-Tabela6[[#This Row],[DESCONTO]]</f>
        <v>194.19580000000002</v>
      </c>
      <c r="L3236" s="53">
        <f>Tabela6[[#This Row],[CUSTO TOTAL]]/Tabela6[[#This Row],[CONSUMO]]</f>
        <v>5.99</v>
      </c>
      <c r="M3236" s="50">
        <f>Tabela6[[#This Row],[KM ATUAL]]-E3208</f>
        <v>-99924</v>
      </c>
      <c r="N3236" s="51">
        <f>Tabela6[[#This Row],[KM Rodados ]]/Tabela6[[#This Row],[CONSUMO]]</f>
        <v>-3082.171499074645</v>
      </c>
    </row>
    <row r="3237" spans="1:14" x14ac:dyDescent="0.25">
      <c r="A3237" s="47">
        <v>8612</v>
      </c>
      <c r="B3237" s="78">
        <v>45264</v>
      </c>
      <c r="C3237" s="47" t="s">
        <v>73</v>
      </c>
      <c r="D3237" s="49" t="s">
        <v>299</v>
      </c>
      <c r="E3237" s="119">
        <v>166736</v>
      </c>
      <c r="G3237" s="50" t="s">
        <v>89</v>
      </c>
      <c r="H3237" s="51">
        <v>230</v>
      </c>
      <c r="J3237" s="51">
        <v>5.5</v>
      </c>
      <c r="K3237" s="74">
        <f>Tabela6[[#This Row],[CONSUMO]]*Tabela6[[#This Row],[VALOR UNIT]]-Tabela6[[#This Row],[DESCONTO]]</f>
        <v>1265</v>
      </c>
      <c r="L3237" s="53">
        <f>Tabela6[[#This Row],[CUSTO TOTAL]]/Tabela6[[#This Row],[CONSUMO]]</f>
        <v>5.5</v>
      </c>
      <c r="M3237" s="50">
        <f>Tabela6[[#This Row],[KM ATUAL]]-E3186</f>
        <v>-175316</v>
      </c>
      <c r="N3237" s="51">
        <f>Tabela6[[#This Row],[KM Rodados ]]/Tabela6[[#This Row],[CONSUMO]]</f>
        <v>-762.24347826086955</v>
      </c>
    </row>
    <row r="3238" spans="1:14" x14ac:dyDescent="0.25">
      <c r="A3238" s="47">
        <v>106365</v>
      </c>
      <c r="B3238" s="78">
        <v>45264</v>
      </c>
      <c r="C3238" s="47" t="s">
        <v>64</v>
      </c>
      <c r="D3238" s="49" t="s">
        <v>253</v>
      </c>
      <c r="E3238" s="47">
        <v>105386</v>
      </c>
      <c r="G3238" s="50" t="s">
        <v>89</v>
      </c>
      <c r="H3238" s="51">
        <v>134.22999999999999</v>
      </c>
      <c r="J3238" s="51">
        <v>6.29</v>
      </c>
      <c r="K3238" s="74">
        <f>Tabela6[[#This Row],[CONSUMO]]*Tabela6[[#This Row],[VALOR UNIT]]-Tabela6[[#This Row],[DESCONTO]]</f>
        <v>844.30669999999998</v>
      </c>
      <c r="L3238" s="53">
        <f>Tabela6[[#This Row],[CUSTO TOTAL]]/Tabela6[[#This Row],[CONSUMO]]</f>
        <v>6.29</v>
      </c>
      <c r="M3238" s="50">
        <f>Tabela6[[#This Row],[KM ATUAL]]-E3211</f>
        <v>-322896</v>
      </c>
      <c r="N3238" s="51">
        <f>Tabela6[[#This Row],[KM Rodados ]]/Tabela6[[#This Row],[CONSUMO]]</f>
        <v>-2405.5427251732103</v>
      </c>
    </row>
    <row r="3239" spans="1:14" x14ac:dyDescent="0.25">
      <c r="A3239" s="47">
        <v>801595</v>
      </c>
      <c r="B3239" s="78">
        <v>45264</v>
      </c>
      <c r="C3239" s="47" t="s">
        <v>41</v>
      </c>
      <c r="D3239" s="49" t="s">
        <v>250</v>
      </c>
      <c r="E3239" s="47">
        <v>686764</v>
      </c>
      <c r="G3239" s="50" t="s">
        <v>89</v>
      </c>
      <c r="H3239" s="51">
        <v>124.42</v>
      </c>
      <c r="J3239" s="51">
        <v>6.09</v>
      </c>
      <c r="K3239" s="74">
        <f>Tabela6[[#This Row],[CONSUMO]]*Tabela6[[#This Row],[VALOR UNIT]]-Tabela6[[#This Row],[DESCONTO]]</f>
        <v>757.71780000000001</v>
      </c>
      <c r="L3239" s="53">
        <f>Tabela6[[#This Row],[CUSTO TOTAL]]/Tabela6[[#This Row],[CONSUMO]]</f>
        <v>6.09</v>
      </c>
      <c r="M3239" s="53" t="e">
        <f t="array" ref="M3239">SE</f>
        <v>#NAME?</v>
      </c>
      <c r="N3239" s="49" t="e">
        <f>Tabela6[[#This Row],[KM Rodados ]]/Tabela6[[#This Row],[CONSUMO]]</f>
        <v>#NAME?</v>
      </c>
    </row>
    <row r="3240" spans="1:14" x14ac:dyDescent="0.25">
      <c r="A3240" s="47">
        <v>326357</v>
      </c>
      <c r="B3240" s="78">
        <v>45264</v>
      </c>
      <c r="C3240" s="47" t="s">
        <v>206</v>
      </c>
      <c r="D3240" s="49" t="s">
        <v>270</v>
      </c>
      <c r="E3240" s="47">
        <v>984404</v>
      </c>
      <c r="G3240" s="50" t="s">
        <v>241</v>
      </c>
      <c r="H3240" s="51">
        <v>36.409999999999997</v>
      </c>
      <c r="J3240" s="51">
        <v>2.9773999999999998</v>
      </c>
      <c r="K3240" s="74">
        <f>Tabela6[[#This Row],[CONSUMO]]*Tabela6[[#This Row],[VALOR UNIT]]-Tabela6[[#This Row],[DESCONTO]]</f>
        <v>108.40713399999999</v>
      </c>
      <c r="L3240" s="53">
        <f>Tabela6[[#This Row],[CUSTO TOTAL]]/Tabela6[[#This Row],[CONSUMO]]</f>
        <v>2.9773999999999998</v>
      </c>
      <c r="M3240" s="50"/>
    </row>
    <row r="3241" spans="1:14" x14ac:dyDescent="0.25">
      <c r="A3241" s="47">
        <v>801562</v>
      </c>
      <c r="B3241" s="78">
        <v>45264</v>
      </c>
      <c r="C3241" s="47" t="s">
        <v>13</v>
      </c>
      <c r="D3241" s="49" t="s">
        <v>250</v>
      </c>
      <c r="E3241" s="47">
        <v>667742</v>
      </c>
      <c r="G3241" s="50" t="s">
        <v>89</v>
      </c>
      <c r="H3241" s="51">
        <v>108.709</v>
      </c>
      <c r="J3241" s="51">
        <v>6.19</v>
      </c>
      <c r="K3241" s="74">
        <f>Tabela6[[#This Row],[CONSUMO]]*Tabela6[[#This Row],[VALOR UNIT]]-Tabela6[[#This Row],[DESCONTO]]</f>
        <v>672.90871000000004</v>
      </c>
      <c r="L3241" s="53">
        <f>Tabela6[[#This Row],[CUSTO TOTAL]]/Tabela6[[#This Row],[CONSUMO]]</f>
        <v>6.19</v>
      </c>
      <c r="M3241" s="50">
        <f>Tabela6[[#This Row],[KM ATUAL]]-E3226</f>
        <v>-315779</v>
      </c>
      <c r="N3241" s="51">
        <f>Tabela6[[#This Row],[KM Rodados ]]/Tabela6[[#This Row],[CONSUMO]]</f>
        <v>-2904.8100893210312</v>
      </c>
    </row>
    <row r="3242" spans="1:14" x14ac:dyDescent="0.25">
      <c r="A3242" s="47">
        <v>801451</v>
      </c>
      <c r="B3242" s="78">
        <v>45264</v>
      </c>
      <c r="C3242" s="47" t="s">
        <v>13</v>
      </c>
      <c r="D3242" s="49" t="s">
        <v>250</v>
      </c>
      <c r="E3242" s="47">
        <v>667742</v>
      </c>
      <c r="G3242" s="50" t="s">
        <v>241</v>
      </c>
      <c r="H3242" s="51">
        <v>16</v>
      </c>
      <c r="J3242" s="51">
        <v>2.99</v>
      </c>
      <c r="K3242" s="74">
        <f>Tabela6[[#This Row],[CONSUMO]]*Tabela6[[#This Row],[VALOR UNIT]]-Tabela6[[#This Row],[DESCONTO]]</f>
        <v>47.84</v>
      </c>
      <c r="L3242" s="53">
        <f>Tabela6[[#This Row],[CUSTO TOTAL]]/Tabela6[[#This Row],[CONSUMO]]</f>
        <v>2.99</v>
      </c>
      <c r="M3242" s="50"/>
    </row>
    <row r="3243" spans="1:14" x14ac:dyDescent="0.25">
      <c r="A3243" s="47">
        <v>8612</v>
      </c>
      <c r="B3243" s="78">
        <v>45264</v>
      </c>
      <c r="C3243" s="47" t="s">
        <v>15</v>
      </c>
      <c r="D3243" s="49" t="s">
        <v>299</v>
      </c>
      <c r="E3243" s="47">
        <v>403066</v>
      </c>
      <c r="G3243" s="50" t="s">
        <v>89</v>
      </c>
      <c r="H3243" s="51">
        <v>115</v>
      </c>
      <c r="J3243" s="51">
        <v>5.5</v>
      </c>
      <c r="K3243" s="74">
        <f>Tabela6[[#This Row],[CONSUMO]]*Tabela6[[#This Row],[VALOR UNIT]]-Tabela6[[#This Row],[DESCONTO]]</f>
        <v>632.5</v>
      </c>
      <c r="L3243" s="53">
        <f>Tabela6[[#This Row],[CUSTO TOTAL]]/Tabela6[[#This Row],[CONSUMO]]</f>
        <v>5.5</v>
      </c>
      <c r="M3243" s="50">
        <f>Tabela6[[#This Row],[KM ATUAL]]-E3211</f>
        <v>-25216</v>
      </c>
      <c r="N3243" s="51">
        <f>Tabela6[[#This Row],[KM Rodados ]]/Tabela6[[#This Row],[CONSUMO]]</f>
        <v>-219.26956521739132</v>
      </c>
    </row>
    <row r="3244" spans="1:14" x14ac:dyDescent="0.25">
      <c r="A3244" s="47">
        <v>225209</v>
      </c>
      <c r="B3244" s="78">
        <v>45264</v>
      </c>
      <c r="C3244" s="47" t="s">
        <v>20</v>
      </c>
      <c r="D3244" s="49" t="s">
        <v>262</v>
      </c>
      <c r="E3244" s="47">
        <v>284748</v>
      </c>
      <c r="G3244" s="50" t="s">
        <v>89</v>
      </c>
      <c r="H3244" s="51">
        <v>70.92</v>
      </c>
      <c r="J3244" s="51">
        <v>5.99</v>
      </c>
      <c r="K3244" s="74">
        <f>Tabela6[[#This Row],[CONSUMO]]*Tabela6[[#This Row],[VALOR UNIT]]-Tabela6[[#This Row],[DESCONTO]]</f>
        <v>424.81080000000003</v>
      </c>
      <c r="L3244" s="53">
        <f>Tabela6[[#This Row],[CUSTO TOTAL]]/Tabela6[[#This Row],[CONSUMO]]</f>
        <v>5.99</v>
      </c>
      <c r="M3244" s="50">
        <f>Tabela6[[#This Row],[KM ATUAL]]-E3204</f>
        <v>190162</v>
      </c>
      <c r="N3244" s="51">
        <f>Tabela6[[#This Row],[KM Rodados ]]/Tabela6[[#This Row],[CONSUMO]]</f>
        <v>2681.3592780597855</v>
      </c>
    </row>
    <row r="3245" spans="1:14" x14ac:dyDescent="0.25">
      <c r="A3245" s="47">
        <v>8612</v>
      </c>
      <c r="B3245" s="78">
        <v>45264</v>
      </c>
      <c r="C3245" s="47" t="s">
        <v>20</v>
      </c>
      <c r="D3245" s="49" t="s">
        <v>299</v>
      </c>
      <c r="E3245" s="47">
        <v>285160</v>
      </c>
      <c r="G3245" s="50" t="s">
        <v>89</v>
      </c>
      <c r="H3245" s="51">
        <v>37</v>
      </c>
      <c r="J3245" s="51">
        <v>5.5</v>
      </c>
      <c r="K3245" s="74">
        <f>Tabela6[[#This Row],[CONSUMO]]*Tabela6[[#This Row],[VALOR UNIT]]-Tabela6[[#This Row],[DESCONTO]]</f>
        <v>203.5</v>
      </c>
      <c r="L3245" s="53">
        <f>Tabela6[[#This Row],[CUSTO TOTAL]]/Tabela6[[#This Row],[CONSUMO]]</f>
        <v>5.5</v>
      </c>
      <c r="M3245" s="50">
        <f>Tabela6[[#This Row],[KM ATUAL]]-E3241</f>
        <v>-382582</v>
      </c>
      <c r="N3245" s="51">
        <f>Tabela6[[#This Row],[KM Rodados ]]/Tabela6[[#This Row],[CONSUMO]]</f>
        <v>-10340.054054054053</v>
      </c>
    </row>
    <row r="3246" spans="1:14" x14ac:dyDescent="0.25">
      <c r="A3246" s="47">
        <v>8612</v>
      </c>
      <c r="B3246" s="78">
        <v>45264</v>
      </c>
      <c r="C3246" s="47" t="s">
        <v>23</v>
      </c>
      <c r="D3246" s="49" t="s">
        <v>299</v>
      </c>
      <c r="E3246" s="47">
        <v>257958</v>
      </c>
      <c r="G3246" s="50" t="s">
        <v>89</v>
      </c>
      <c r="H3246" s="51">
        <v>80</v>
      </c>
      <c r="J3246" s="51">
        <v>5.5</v>
      </c>
      <c r="K3246" s="74">
        <f>Tabela6[[#This Row],[CONSUMO]]*Tabela6[[#This Row],[VALOR UNIT]]-Tabela6[[#This Row],[DESCONTO]]</f>
        <v>440</v>
      </c>
      <c r="L3246" s="53">
        <f>Tabela6[[#This Row],[CUSTO TOTAL]]/Tabela6[[#This Row],[CONSUMO]]</f>
        <v>5.5</v>
      </c>
      <c r="M3246" s="50">
        <f>Tabela6[[#This Row],[KM ATUAL]]-E3197</f>
        <v>133866</v>
      </c>
      <c r="N3246" s="49">
        <f>Tabela6[[#This Row],[KM Rodados ]]/Tabela6[[#This Row],[CONSUMO]]</f>
        <v>1673.325</v>
      </c>
    </row>
    <row r="3247" spans="1:14" x14ac:dyDescent="0.25">
      <c r="A3247" s="47">
        <v>354917</v>
      </c>
      <c r="B3247" s="78">
        <v>45264</v>
      </c>
      <c r="C3247" s="47" t="s">
        <v>23</v>
      </c>
      <c r="D3247" s="49" t="s">
        <v>276</v>
      </c>
      <c r="E3247" s="47">
        <v>257965</v>
      </c>
      <c r="G3247" s="50" t="s">
        <v>241</v>
      </c>
      <c r="H3247" s="51">
        <v>22.481999999999999</v>
      </c>
      <c r="J3247" s="51">
        <v>3.69</v>
      </c>
      <c r="K3247" s="74">
        <f>Tabela6[[#This Row],[CONSUMO]]*Tabela6[[#This Row],[VALOR UNIT]]-Tabela6[[#This Row],[DESCONTO]]</f>
        <v>82.958579999999998</v>
      </c>
      <c r="L3247" s="53">
        <f>Tabela6[[#This Row],[CUSTO TOTAL]]/Tabela6[[#This Row],[CONSUMO]]</f>
        <v>3.69</v>
      </c>
      <c r="M3247" s="50"/>
      <c r="N3247" s="49"/>
    </row>
    <row r="3248" spans="1:14" x14ac:dyDescent="0.25">
      <c r="A3248" s="47">
        <v>8612</v>
      </c>
      <c r="B3248" s="78">
        <v>45264</v>
      </c>
      <c r="C3248" s="47" t="s">
        <v>74</v>
      </c>
      <c r="D3248" s="49" t="s">
        <v>299</v>
      </c>
      <c r="E3248" s="47">
        <v>95244</v>
      </c>
      <c r="G3248" s="50" t="s">
        <v>89</v>
      </c>
      <c r="H3248" s="51">
        <v>70</v>
      </c>
      <c r="J3248" s="51">
        <v>5.5</v>
      </c>
      <c r="K3248" s="74">
        <f>Tabela6[[#This Row],[CONSUMO]]*Tabela6[[#This Row],[VALOR UNIT]]-Tabela6[[#This Row],[DESCONTO]]</f>
        <v>385</v>
      </c>
      <c r="L3248" s="53">
        <f>Tabela6[[#This Row],[CUSTO TOTAL]]/Tabela6[[#This Row],[CONSUMO]]</f>
        <v>5.5</v>
      </c>
      <c r="M3248" s="50">
        <f>Tabela6[[#This Row],[KM ATUAL]]-E3201</f>
        <v>-188914</v>
      </c>
      <c r="N3248" s="51">
        <f>Tabela6[[#This Row],[KM Rodados ]]/Tabela6[[#This Row],[CONSUMO]]</f>
        <v>-2698.7714285714287</v>
      </c>
    </row>
    <row r="3249" spans="1:14" x14ac:dyDescent="0.25">
      <c r="A3249" s="47">
        <v>225525</v>
      </c>
      <c r="B3249" s="78">
        <v>45265</v>
      </c>
      <c r="C3249" s="47" t="s">
        <v>43</v>
      </c>
      <c r="D3249" s="49" t="s">
        <v>262</v>
      </c>
      <c r="E3249" s="47">
        <v>163084</v>
      </c>
      <c r="G3249" s="50" t="s">
        <v>89</v>
      </c>
      <c r="H3249" s="51">
        <v>41.19</v>
      </c>
      <c r="J3249" s="51">
        <v>5.99</v>
      </c>
      <c r="K3249" s="74">
        <f>Tabela6[[#This Row],[CONSUMO]]*Tabela6[[#This Row],[VALOR UNIT]]-Tabela6[[#This Row],[DESCONTO]]</f>
        <v>246.72809999999998</v>
      </c>
      <c r="L3249" s="53">
        <f>Tabela6[[#This Row],[CUSTO TOTAL]]/Tabela6[[#This Row],[CONSUMO]]</f>
        <v>5.99</v>
      </c>
      <c r="M3249" s="50">
        <f>Tabela6[[#This Row],[KM ATUAL]]-E3207</f>
        <v>-214781</v>
      </c>
      <c r="N3249" s="51">
        <f>Tabela6[[#This Row],[KM Rodados ]]/Tabela6[[#This Row],[CONSUMO]]</f>
        <v>-5214.3966982277252</v>
      </c>
    </row>
    <row r="3250" spans="1:14" x14ac:dyDescent="0.25">
      <c r="A3250" s="47">
        <v>179452</v>
      </c>
      <c r="B3250" s="78">
        <v>45265</v>
      </c>
      <c r="C3250" s="47" t="s">
        <v>43</v>
      </c>
      <c r="D3250" s="49" t="s">
        <v>263</v>
      </c>
      <c r="E3250" s="47">
        <v>163315</v>
      </c>
      <c r="G3250" s="50" t="s">
        <v>89</v>
      </c>
      <c r="H3250" s="51">
        <v>24.870999999999999</v>
      </c>
      <c r="I3250" s="49">
        <v>2.4900000000000002</v>
      </c>
      <c r="J3250" s="51">
        <v>6.09</v>
      </c>
      <c r="K3250" s="74">
        <f>Tabela6[[#This Row],[CONSUMO]]*Tabela6[[#This Row],[VALOR UNIT]]-Tabela6[[#This Row],[DESCONTO]]</f>
        <v>148.97438999999997</v>
      </c>
      <c r="L3250" s="53">
        <f>Tabela6[[#This Row],[CUSTO TOTAL]]/Tabela6[[#This Row],[CONSUMO]]</f>
        <v>5.9898833983354098</v>
      </c>
      <c r="M3250" s="50">
        <f>Tabela6[[#This Row],[KM ATUAL]]-E3249</f>
        <v>231</v>
      </c>
      <c r="N3250" s="51">
        <f>Tabela6[[#This Row],[KM Rodados ]]/Tabela6[[#This Row],[CONSUMO]]</f>
        <v>9.2879256965944279</v>
      </c>
    </row>
    <row r="3251" spans="1:14" x14ac:dyDescent="0.25">
      <c r="A3251" s="47">
        <v>225432</v>
      </c>
      <c r="B3251" s="78">
        <v>45265</v>
      </c>
      <c r="C3251" s="47" t="s">
        <v>394</v>
      </c>
      <c r="D3251" s="49" t="s">
        <v>262</v>
      </c>
      <c r="E3251" s="47">
        <v>877993</v>
      </c>
      <c r="G3251" s="50" t="s">
        <v>89</v>
      </c>
      <c r="H3251" s="51">
        <v>119.371</v>
      </c>
      <c r="J3251" s="51">
        <v>5.99</v>
      </c>
      <c r="K3251" s="74">
        <f>Tabela6[[#This Row],[CONSUMO]]*Tabela6[[#This Row],[VALOR UNIT]]-Tabela6[[#This Row],[DESCONTO]]</f>
        <v>715.03228999999999</v>
      </c>
      <c r="L3251" s="53">
        <f>Tabela6[[#This Row],[CUSTO TOTAL]]/Tabela6[[#This Row],[CONSUMO]]</f>
        <v>5.99</v>
      </c>
      <c r="M3251" s="51">
        <f>Tabela6[[#This Row],[KM ATUAL]]-E3200</f>
        <v>211095</v>
      </c>
      <c r="N3251" s="51">
        <f>Tabela6[[#This Row],[KM Rodados ]]/Tabela6[[#This Row],[CONSUMO]]</f>
        <v>1768.3943336321217</v>
      </c>
    </row>
    <row r="3252" spans="1:14" x14ac:dyDescent="0.25">
      <c r="A3252" s="47">
        <v>326794</v>
      </c>
      <c r="B3252" s="78">
        <v>45265</v>
      </c>
      <c r="C3252" s="47" t="s">
        <v>67</v>
      </c>
      <c r="D3252" s="49" t="s">
        <v>270</v>
      </c>
      <c r="E3252" s="47">
        <v>692506</v>
      </c>
      <c r="G3252" s="50" t="s">
        <v>89</v>
      </c>
      <c r="H3252" s="51">
        <v>130.94999999999999</v>
      </c>
      <c r="J3252" s="51">
        <v>5.89</v>
      </c>
      <c r="K3252" s="74">
        <f>Tabela6[[#This Row],[CONSUMO]]*Tabela6[[#This Row],[VALOR UNIT]]-Tabela6[[#This Row],[DESCONTO]]</f>
        <v>771.29549999999995</v>
      </c>
      <c r="L3252" s="53">
        <f>Tabela6[[#This Row],[CUSTO TOTAL]]/Tabela6[[#This Row],[CONSUMO]]</f>
        <v>5.89</v>
      </c>
      <c r="M3252" s="50">
        <f>Tabela6[[#This Row],[KM ATUAL]]-E3232</f>
        <v>55250</v>
      </c>
      <c r="N3252" s="51">
        <f>Tabela6[[#This Row],[KM Rodados ]]/Tabela6[[#This Row],[CONSUMO]]</f>
        <v>421.91676212294772</v>
      </c>
    </row>
    <row r="3253" spans="1:14" x14ac:dyDescent="0.25">
      <c r="A3253" s="47">
        <v>1152169</v>
      </c>
      <c r="B3253" s="78">
        <v>45265</v>
      </c>
      <c r="C3253" s="47" t="s">
        <v>203</v>
      </c>
      <c r="D3253" s="49" t="s">
        <v>318</v>
      </c>
      <c r="E3253" s="47">
        <v>126315</v>
      </c>
      <c r="G3253" s="50" t="s">
        <v>244</v>
      </c>
      <c r="H3253" s="51">
        <v>33.36</v>
      </c>
      <c r="J3253" s="51">
        <v>5.69</v>
      </c>
      <c r="K3253" s="74">
        <f>Tabela6[[#This Row],[CONSUMO]]*Tabela6[[#This Row],[VALOR UNIT]]-Tabela6[[#This Row],[DESCONTO]]</f>
        <v>189.8184</v>
      </c>
      <c r="L3253" s="53">
        <f>Tabela6[[#This Row],[CUSTO TOTAL]]/Tabela6[[#This Row],[CONSUMO]]</f>
        <v>5.69</v>
      </c>
      <c r="M3253" s="50">
        <f>Tabela6[[#This Row],[KM ATUAL]]-E3240</f>
        <v>-858089</v>
      </c>
      <c r="N3253" s="51">
        <f>Tabela6[[#This Row],[KM Rodados ]]/Tabela6[[#This Row],[CONSUMO]]</f>
        <v>-25722.092326139089</v>
      </c>
    </row>
    <row r="3254" spans="1:14" x14ac:dyDescent="0.25">
      <c r="A3254" s="47">
        <v>1119482</v>
      </c>
      <c r="B3254" s="78">
        <v>45265</v>
      </c>
      <c r="C3254" s="47" t="s">
        <v>203</v>
      </c>
      <c r="D3254" s="49" t="s">
        <v>387</v>
      </c>
      <c r="E3254" s="47">
        <v>126738</v>
      </c>
      <c r="G3254" s="50" t="s">
        <v>244</v>
      </c>
      <c r="H3254" s="51">
        <v>33.380000000000003</v>
      </c>
      <c r="J3254" s="51">
        <v>5.69</v>
      </c>
      <c r="K3254" s="74">
        <f>Tabela6[[#This Row],[CONSUMO]]*Tabela6[[#This Row],[VALOR UNIT]]-Tabela6[[#This Row],[DESCONTO]]</f>
        <v>189.93220000000002</v>
      </c>
      <c r="L3254" s="53">
        <f>Tabela6[[#This Row],[CUSTO TOTAL]]/Tabela6[[#This Row],[CONSUMO]]</f>
        <v>5.69</v>
      </c>
      <c r="M3254" s="50">
        <f>Tabela6[[#This Row],[KM ATUAL]]-E3253</f>
        <v>423</v>
      </c>
      <c r="N3254" s="51">
        <f>Tabela6[[#This Row],[KM Rodados ]]/Tabela6[[#This Row],[CONSUMO]]</f>
        <v>12.672258837627322</v>
      </c>
    </row>
    <row r="3255" spans="1:14" x14ac:dyDescent="0.25">
      <c r="A3255" s="47">
        <v>225613</v>
      </c>
      <c r="B3255" s="78">
        <v>45265</v>
      </c>
      <c r="C3255" s="47" t="s">
        <v>72</v>
      </c>
      <c r="D3255" s="49" t="s">
        <v>262</v>
      </c>
      <c r="E3255" s="47">
        <v>429040</v>
      </c>
      <c r="G3255" s="50" t="s">
        <v>89</v>
      </c>
      <c r="H3255" s="51">
        <v>24.88</v>
      </c>
      <c r="J3255" s="51">
        <v>5.99</v>
      </c>
      <c r="K3255" s="74">
        <f>Tabela6[[#This Row],[CONSUMO]]*Tabela6[[#This Row],[VALOR UNIT]]-Tabela6[[#This Row],[DESCONTO]]</f>
        <v>149.03120000000001</v>
      </c>
      <c r="L3255" s="53">
        <f>Tabela6[[#This Row],[CUSTO TOTAL]]/Tabela6[[#This Row],[CONSUMO]]</f>
        <v>5.9900000000000011</v>
      </c>
      <c r="M3255" s="50">
        <f>Tabela6[[#This Row],[KM ATUAL]]-E3248</f>
        <v>333796</v>
      </c>
      <c r="N3255" s="51">
        <f>Tabela6[[#This Row],[KM Rodados ]]/Tabela6[[#This Row],[CONSUMO]]</f>
        <v>13416.237942122187</v>
      </c>
    </row>
    <row r="3256" spans="1:14" x14ac:dyDescent="0.25">
      <c r="A3256" s="47">
        <v>8612</v>
      </c>
      <c r="B3256" s="78">
        <v>45265</v>
      </c>
      <c r="C3256" s="47" t="s">
        <v>13</v>
      </c>
      <c r="D3256" s="49" t="s">
        <v>299</v>
      </c>
      <c r="E3256" s="47">
        <v>668486</v>
      </c>
      <c r="G3256" s="50" t="s">
        <v>89</v>
      </c>
      <c r="H3256" s="51">
        <v>132</v>
      </c>
      <c r="J3256" s="51">
        <v>5.5</v>
      </c>
      <c r="K3256" s="100">
        <f>Tabela6[[#This Row],[CONSUMO]]*Tabela6[[#This Row],[VALOR UNIT]]-Tabela6[[#This Row],[DESCONTO]]</f>
        <v>726</v>
      </c>
      <c r="L3256" s="53">
        <f>Tabela6[[#This Row],[CUSTO TOTAL]]/Tabela6[[#This Row],[CONSUMO]]</f>
        <v>5.5</v>
      </c>
      <c r="M3256" s="50">
        <f>Tabela6[[#This Row],[KM ATUAL]]-E3238</f>
        <v>563100</v>
      </c>
      <c r="N3256" s="51">
        <f>Tabela6[[#This Row],[KM Rodados ]]/Tabela6[[#This Row],[CONSUMO]]</f>
        <v>4265.909090909091</v>
      </c>
    </row>
    <row r="3257" spans="1:14" x14ac:dyDescent="0.25">
      <c r="A3257" s="47">
        <v>702950</v>
      </c>
      <c r="B3257" s="78">
        <v>45265</v>
      </c>
      <c r="C3257" s="47" t="s">
        <v>14</v>
      </c>
      <c r="D3257" s="49" t="s">
        <v>271</v>
      </c>
      <c r="E3257" s="47">
        <v>304654</v>
      </c>
      <c r="G3257" s="50" t="s">
        <v>244</v>
      </c>
      <c r="H3257" s="51">
        <v>41.16</v>
      </c>
      <c r="J3257" s="51">
        <v>5.49</v>
      </c>
      <c r="K3257" s="100">
        <f>Tabela6[[#This Row],[CONSUMO]]*Tabela6[[#This Row],[VALOR UNIT]]-Tabela6[[#This Row],[DESCONTO]]</f>
        <v>225.9684</v>
      </c>
      <c r="L3257" s="53">
        <f>Tabela6[[#This Row],[CUSTO TOTAL]]/Tabela6[[#This Row],[CONSUMO]]</f>
        <v>5.49</v>
      </c>
      <c r="M3257" s="50">
        <f>Tabela6[[#This Row],[KM ATUAL]]-E3224</f>
        <v>179573</v>
      </c>
      <c r="N3257" s="51">
        <f>Tabela6[[#This Row],[KM Rodados ]]/Tabela6[[#This Row],[CONSUMO]]</f>
        <v>4362.8036929057344</v>
      </c>
    </row>
    <row r="3258" spans="1:14" x14ac:dyDescent="0.25">
      <c r="A3258" s="47">
        <v>980096</v>
      </c>
      <c r="B3258" s="78">
        <v>45265</v>
      </c>
      <c r="C3258" s="47" t="s">
        <v>14</v>
      </c>
      <c r="D3258" s="49" t="s">
        <v>300</v>
      </c>
      <c r="E3258" s="47">
        <v>305001</v>
      </c>
      <c r="G3258" s="50" t="s">
        <v>244</v>
      </c>
      <c r="H3258" s="51">
        <v>22.36</v>
      </c>
      <c r="J3258" s="51">
        <v>5.59</v>
      </c>
      <c r="K3258" s="74">
        <f>Tabela6[[#This Row],[CONSUMO]]*Tabela6[[#This Row],[VALOR UNIT]]-Tabela6[[#This Row],[DESCONTO]]</f>
        <v>124.99239999999999</v>
      </c>
      <c r="L3258" s="53">
        <f>Tabela6[[#This Row],[CUSTO TOTAL]]/Tabela6[[#This Row],[CONSUMO]]</f>
        <v>5.59</v>
      </c>
      <c r="M3258" s="50">
        <f>Tabela6[[#This Row],[KM ATUAL]]-E3253</f>
        <v>178686</v>
      </c>
      <c r="N3258" s="51">
        <f>Tabela6[[#This Row],[KM Rodados ]]/Tabela6[[#This Row],[CONSUMO]]</f>
        <v>7991.3237924865834</v>
      </c>
    </row>
    <row r="3259" spans="1:14" x14ac:dyDescent="0.25">
      <c r="A3259" s="47">
        <v>8612</v>
      </c>
      <c r="B3259" s="78">
        <v>45265</v>
      </c>
      <c r="C3259" s="47" t="s">
        <v>17</v>
      </c>
      <c r="D3259" s="49" t="s">
        <v>299</v>
      </c>
      <c r="E3259" s="47">
        <v>383828</v>
      </c>
      <c r="G3259" s="50" t="s">
        <v>89</v>
      </c>
      <c r="H3259" s="51">
        <v>247</v>
      </c>
      <c r="J3259" s="51">
        <v>5.5</v>
      </c>
      <c r="K3259" s="100">
        <f>Tabela6[[#This Row],[CONSUMO]]*Tabela6[[#This Row],[VALOR UNIT]]-Tabela6[[#This Row],[DESCONTO]]</f>
        <v>1358.5</v>
      </c>
      <c r="L3259" s="53">
        <f>Tabela6[[#This Row],[CUSTO TOTAL]]/Tabela6[[#This Row],[CONSUMO]]</f>
        <v>5.5</v>
      </c>
      <c r="M3259" s="50">
        <f>Tabela6[[#This Row],[KM ATUAL]]-E3161</f>
        <v>-252268</v>
      </c>
      <c r="N3259" s="51">
        <f>Tabela6[[#This Row],[KM Rodados ]]/Tabela6[[#This Row],[CONSUMO]]</f>
        <v>-1021.3279352226721</v>
      </c>
    </row>
    <row r="3260" spans="1:14" x14ac:dyDescent="0.25">
      <c r="A3260" s="47">
        <v>8612</v>
      </c>
      <c r="B3260" s="78">
        <v>45265</v>
      </c>
      <c r="C3260" s="47" t="s">
        <v>19</v>
      </c>
      <c r="D3260" s="49" t="s">
        <v>299</v>
      </c>
      <c r="E3260" s="47">
        <v>343436</v>
      </c>
      <c r="G3260" s="50" t="s">
        <v>89</v>
      </c>
      <c r="H3260" s="51">
        <v>150</v>
      </c>
      <c r="J3260" s="51">
        <v>5.5</v>
      </c>
      <c r="K3260" s="100">
        <f>Tabela6[[#This Row],[CONSUMO]]*Tabela6[[#This Row],[VALOR UNIT]]-Tabela6[[#This Row],[DESCONTO]]</f>
        <v>825</v>
      </c>
      <c r="L3260" s="53">
        <f>Tabela6[[#This Row],[CUSTO TOTAL]]/Tabela6[[#This Row],[CONSUMO]]</f>
        <v>5.5</v>
      </c>
      <c r="M3260" s="50">
        <f>Tabela6[[#This Row],[KM ATUAL]]-E3227</f>
        <v>16524</v>
      </c>
      <c r="N3260" s="51">
        <f>Tabela6[[#This Row],[KM Rodados ]]/Tabela6[[#This Row],[CONSUMO]]</f>
        <v>110.16</v>
      </c>
    </row>
    <row r="3261" spans="1:14" x14ac:dyDescent="0.25">
      <c r="A3261" s="47">
        <v>225551</v>
      </c>
      <c r="B3261" s="78">
        <v>45265</v>
      </c>
      <c r="C3261" s="47" t="s">
        <v>40</v>
      </c>
      <c r="D3261" s="49" t="s">
        <v>262</v>
      </c>
      <c r="E3261" s="47">
        <v>173715</v>
      </c>
      <c r="G3261" s="50" t="s">
        <v>244</v>
      </c>
      <c r="H3261" s="51">
        <v>34.109000000000002</v>
      </c>
      <c r="J3261" s="51">
        <v>5.59</v>
      </c>
      <c r="K3261" s="100">
        <f>Tabela6[[#This Row],[CONSUMO]]*Tabela6[[#This Row],[VALOR UNIT]]-Tabela6[[#This Row],[DESCONTO]]</f>
        <v>190.66931</v>
      </c>
      <c r="L3261" s="53">
        <f>Tabela6[[#This Row],[CUSTO TOTAL]]/Tabela6[[#This Row],[CONSUMO]]</f>
        <v>5.59</v>
      </c>
      <c r="M3261" s="50">
        <f>Tabela6[[#This Row],[KM ATUAL]]-E3223</f>
        <v>-355578</v>
      </c>
      <c r="N3261" s="51">
        <f>Tabela6[[#This Row],[KM Rodados ]]/Tabela6[[#This Row],[CONSUMO]]</f>
        <v>-10424.755929520068</v>
      </c>
    </row>
    <row r="3262" spans="1:14" x14ac:dyDescent="0.25">
      <c r="A3262" s="47">
        <v>225640</v>
      </c>
      <c r="B3262" s="78">
        <v>45265</v>
      </c>
      <c r="C3262" s="47" t="s">
        <v>74</v>
      </c>
      <c r="D3262" s="49" t="s">
        <v>262</v>
      </c>
      <c r="E3262" s="47">
        <v>95948</v>
      </c>
      <c r="G3262" s="50" t="s">
        <v>89</v>
      </c>
      <c r="H3262" s="51">
        <v>88.578999999999994</v>
      </c>
      <c r="J3262" s="51">
        <v>5.99</v>
      </c>
      <c r="K3262" s="74">
        <f>Tabela6[[#This Row],[CONSUMO]]*Tabela6[[#This Row],[VALOR UNIT]]-Tabela6[[#This Row],[DESCONTO]]</f>
        <v>530.58821</v>
      </c>
      <c r="L3262" s="53">
        <f>Tabela6[[#This Row],[CUSTO TOTAL]]/Tabela6[[#This Row],[CONSUMO]]</f>
        <v>5.99</v>
      </c>
      <c r="M3262" s="50">
        <f>Tabela6[[#This Row],[KM ATUAL]]-E3250</f>
        <v>-67367</v>
      </c>
      <c r="N3262" s="51">
        <f>Tabela6[[#This Row],[KM Rodados ]]/Tabela6[[#This Row],[CONSUMO]]</f>
        <v>-760.53014822926434</v>
      </c>
    </row>
    <row r="3263" spans="1:14" x14ac:dyDescent="0.25">
      <c r="A3263" s="47">
        <v>8612</v>
      </c>
      <c r="B3263" s="78">
        <v>45266</v>
      </c>
      <c r="C3263" s="47" t="s">
        <v>43</v>
      </c>
      <c r="D3263" s="49" t="s">
        <v>299</v>
      </c>
      <c r="E3263" s="47">
        <v>163652</v>
      </c>
      <c r="G3263" s="50" t="s">
        <v>89</v>
      </c>
      <c r="H3263" s="51">
        <v>37</v>
      </c>
      <c r="J3263" s="51">
        <v>5.5</v>
      </c>
      <c r="K3263" s="74">
        <f>Tabela6[[#This Row],[CONSUMO]]*Tabela6[[#This Row],[VALOR UNIT]]-Tabela6[[#This Row],[DESCONTO]]</f>
        <v>203.5</v>
      </c>
      <c r="L3263" s="53">
        <f>Tabela6[[#This Row],[CUSTO TOTAL]]/Tabela6[[#This Row],[CONSUMO]]</f>
        <v>5.5</v>
      </c>
      <c r="M3263" s="50">
        <f>Tabela6[[#This Row],[KM ATUAL]]-E3253</f>
        <v>37337</v>
      </c>
      <c r="N3263" s="51">
        <f>Tabela6[[#This Row],[KM Rodados ]]/Tabela6[[#This Row],[CONSUMO]]</f>
        <v>1009.1081081081081</v>
      </c>
    </row>
    <row r="3264" spans="1:14" x14ac:dyDescent="0.25">
      <c r="A3264" s="47">
        <v>8612</v>
      </c>
      <c r="B3264" s="78">
        <v>45266</v>
      </c>
      <c r="C3264" s="47" t="s">
        <v>394</v>
      </c>
      <c r="D3264" s="49" t="s">
        <v>299</v>
      </c>
      <c r="E3264" s="47">
        <v>878482</v>
      </c>
      <c r="G3264" s="50" t="s">
        <v>89</v>
      </c>
      <c r="H3264" s="51">
        <v>128</v>
      </c>
      <c r="J3264" s="51">
        <v>5.5</v>
      </c>
      <c r="K3264" s="74">
        <f>Tabela6[[#This Row],[CONSUMO]]*Tabela6[[#This Row],[VALOR UNIT]]-Tabela6[[#This Row],[DESCONTO]]</f>
        <v>704</v>
      </c>
      <c r="L3264" s="53">
        <f>Tabela6[[#This Row],[CUSTO TOTAL]]/Tabela6[[#This Row],[CONSUMO]]</f>
        <v>5.5</v>
      </c>
      <c r="M3264" s="51">
        <f>Tabela6[[#This Row],[KM ATUAL]]-E3253</f>
        <v>752167</v>
      </c>
      <c r="N3264" s="101">
        <f>Tabela6[[#This Row],[KM Rodados ]]/Tabela6[[#This Row],[CONSUMO]]</f>
        <v>5876.3046875</v>
      </c>
    </row>
    <row r="3265" spans="1:14" x14ac:dyDescent="0.25">
      <c r="A3265" s="47">
        <v>270158</v>
      </c>
      <c r="B3265" s="78">
        <v>45266</v>
      </c>
      <c r="C3265" s="47" t="s">
        <v>9</v>
      </c>
      <c r="D3265" s="49" t="s">
        <v>273</v>
      </c>
      <c r="E3265" s="47">
        <v>637790</v>
      </c>
      <c r="G3265" s="50" t="s">
        <v>89</v>
      </c>
      <c r="H3265" s="51">
        <v>131</v>
      </c>
      <c r="J3265" s="51">
        <v>5.89</v>
      </c>
      <c r="K3265" s="74">
        <f>Tabela6[[#This Row],[CONSUMO]]*Tabela6[[#This Row],[VALOR UNIT]]-Tabela6[[#This Row],[DESCONTO]]</f>
        <v>771.58999999999992</v>
      </c>
      <c r="L3265" s="53">
        <f>Tabela6[[#This Row],[CUSTO TOTAL]]/Tabela6[[#This Row],[CONSUMO]]</f>
        <v>5.89</v>
      </c>
      <c r="M3265" s="50">
        <f>Tabela6[[#This Row],[KM ATUAL]]-E3241</f>
        <v>-29952</v>
      </c>
      <c r="N3265" s="51">
        <f>Tabela6[[#This Row],[KM Rodados ]]/Tabela6[[#This Row],[CONSUMO]]</f>
        <v>-228.64122137404581</v>
      </c>
    </row>
    <row r="3266" spans="1:14" x14ac:dyDescent="0.25">
      <c r="A3266" s="47">
        <v>8612</v>
      </c>
      <c r="B3266" s="78">
        <v>45266</v>
      </c>
      <c r="C3266" s="47" t="s">
        <v>42</v>
      </c>
      <c r="D3266" s="49" t="s">
        <v>299</v>
      </c>
      <c r="E3266" s="47">
        <v>378034</v>
      </c>
      <c r="G3266" s="50" t="s">
        <v>89</v>
      </c>
      <c r="H3266" s="51">
        <v>30</v>
      </c>
      <c r="J3266" s="51">
        <v>5.5</v>
      </c>
      <c r="K3266" s="74">
        <f>Tabela6[[#This Row],[CONSUMO]]*Tabela6[[#This Row],[VALOR UNIT]]-Tabela6[[#This Row],[DESCONTO]]</f>
        <v>165</v>
      </c>
      <c r="L3266" s="53">
        <f>Tabela6[[#This Row],[CUSTO TOTAL]]/Tabela6[[#This Row],[CONSUMO]]</f>
        <v>5.5</v>
      </c>
      <c r="M3266" s="50">
        <f>Tabela6[[#This Row],[KM ATUAL]]-E3211</f>
        <v>-50248</v>
      </c>
      <c r="N3266" s="51">
        <f>Tabela6[[#This Row],[KM Rodados ]]/Tabela6[[#This Row],[CONSUMO]]</f>
        <v>-1674.9333333333334</v>
      </c>
    </row>
    <row r="3267" spans="1:14" x14ac:dyDescent="0.25">
      <c r="A3267" s="47">
        <v>8612</v>
      </c>
      <c r="B3267" s="78">
        <v>45266</v>
      </c>
      <c r="C3267" s="47" t="s">
        <v>22</v>
      </c>
      <c r="D3267" s="49" t="s">
        <v>299</v>
      </c>
      <c r="E3267" s="47">
        <v>344249</v>
      </c>
      <c r="G3267" s="50" t="s">
        <v>89</v>
      </c>
      <c r="H3267" s="51">
        <v>107</v>
      </c>
      <c r="J3267" s="51">
        <v>5.5</v>
      </c>
      <c r="K3267" s="74">
        <f>Tabela6[[#This Row],[CONSUMO]]*Tabela6[[#This Row],[VALOR UNIT]]-Tabela6[[#This Row],[DESCONTO]]</f>
        <v>588.5</v>
      </c>
      <c r="L3267" s="53">
        <f>Tabela6[[#This Row],[CUSTO TOTAL]]/Tabela6[[#This Row],[CONSUMO]]</f>
        <v>5.5</v>
      </c>
      <c r="M3267" s="50">
        <f>Tabela6[[#This Row],[KM ATUAL]]-E3206</f>
        <v>181726</v>
      </c>
      <c r="N3267" s="51">
        <f>Tabela6[[#This Row],[KM Rodados ]]/Tabela6[[#This Row],[CONSUMO]]</f>
        <v>1698.3738317757009</v>
      </c>
    </row>
    <row r="3268" spans="1:14" x14ac:dyDescent="0.25">
      <c r="A3268" s="47">
        <v>108021</v>
      </c>
      <c r="B3268" s="78">
        <v>45266</v>
      </c>
      <c r="C3268" s="47" t="s">
        <v>39</v>
      </c>
      <c r="D3268" s="49" t="s">
        <v>253</v>
      </c>
      <c r="E3268" s="47">
        <v>113842</v>
      </c>
      <c r="G3268" s="50" t="s">
        <v>89</v>
      </c>
      <c r="H3268" s="51">
        <v>79.98</v>
      </c>
      <c r="J3268" s="51">
        <v>6.29</v>
      </c>
      <c r="K3268" s="74">
        <f>Tabela6[[#This Row],[CONSUMO]]*Tabela6[[#This Row],[VALOR UNIT]]-Tabela6[[#This Row],[DESCONTO]]</f>
        <v>503.07420000000002</v>
      </c>
      <c r="L3268" s="53">
        <f>Tabela6[[#This Row],[CUSTO TOTAL]]/Tabela6[[#This Row],[CONSUMO]]</f>
        <v>6.29</v>
      </c>
      <c r="M3268" s="50">
        <f>Tabela6[[#This Row],[KM ATUAL]]-E3207</f>
        <v>-264023</v>
      </c>
      <c r="N3268" s="51">
        <f>Tabela6[[#This Row],[KM Rodados ]]/Tabela6[[#This Row],[CONSUMO]]</f>
        <v>-3301.1127781945484</v>
      </c>
    </row>
    <row r="3269" spans="1:14" x14ac:dyDescent="0.25">
      <c r="A3269" s="47">
        <v>151380</v>
      </c>
      <c r="B3269" s="78">
        <v>45266</v>
      </c>
      <c r="C3269" s="47" t="s">
        <v>203</v>
      </c>
      <c r="D3269" s="49" t="s">
        <v>260</v>
      </c>
      <c r="E3269" s="47">
        <v>127096</v>
      </c>
      <c r="G3269" s="50" t="s">
        <v>244</v>
      </c>
      <c r="H3269" s="51">
        <v>29.699000000000002</v>
      </c>
      <c r="J3269" s="51">
        <v>5.59</v>
      </c>
      <c r="K3269" s="74">
        <f>Tabela6[[#This Row],[CONSUMO]]*Tabela6[[#This Row],[VALOR UNIT]]-Tabela6[[#This Row],[DESCONTO]]</f>
        <v>166.01741000000001</v>
      </c>
      <c r="L3269" s="53">
        <f>Tabela6[[#This Row],[CUSTO TOTAL]]/Tabela6[[#This Row],[CONSUMO]]</f>
        <v>5.59</v>
      </c>
      <c r="M3269" s="50">
        <f>Tabela6[[#This Row],[KM ATUAL]]-E3249</f>
        <v>-35988</v>
      </c>
      <c r="N3269" s="51">
        <f>Tabela6[[#This Row],[KM Rodados ]]/Tabela6[[#This Row],[CONSUMO]]</f>
        <v>-1211.7579716488769</v>
      </c>
    </row>
    <row r="3270" spans="1:14" x14ac:dyDescent="0.25">
      <c r="A3270" s="47">
        <v>3595</v>
      </c>
      <c r="B3270" s="78">
        <v>45266</v>
      </c>
      <c r="C3270" s="47" t="s">
        <v>72</v>
      </c>
      <c r="D3270" s="49" t="s">
        <v>389</v>
      </c>
      <c r="E3270" s="47">
        <v>429391</v>
      </c>
      <c r="G3270" s="50" t="s">
        <v>89</v>
      </c>
      <c r="H3270" s="51">
        <v>38.375999999999998</v>
      </c>
      <c r="J3270" s="51">
        <v>6.49</v>
      </c>
      <c r="K3270" s="74">
        <f>Tabela6[[#This Row],[CONSUMO]]*Tabela6[[#This Row],[VALOR UNIT]]-Tabela6[[#This Row],[DESCONTO]]</f>
        <v>249.06023999999999</v>
      </c>
      <c r="L3270" s="53">
        <f>Tabela6[[#This Row],[CUSTO TOTAL]]/Tabela6[[#This Row],[CONSUMO]]</f>
        <v>6.49</v>
      </c>
      <c r="M3270" s="50">
        <f>Tabela6[[#This Row],[KM ATUAL]]-E3238</f>
        <v>324005</v>
      </c>
      <c r="N3270" s="51">
        <f>Tabela6[[#This Row],[KM Rodados ]]/Tabela6[[#This Row],[CONSUMO]]</f>
        <v>8442.9070252240981</v>
      </c>
    </row>
    <row r="3271" spans="1:14" x14ac:dyDescent="0.25">
      <c r="A3271" s="47">
        <v>8612</v>
      </c>
      <c r="B3271" s="78">
        <v>45266</v>
      </c>
      <c r="C3271" s="47" t="s">
        <v>73</v>
      </c>
      <c r="D3271" s="49" t="s">
        <v>299</v>
      </c>
      <c r="E3271" s="47">
        <v>167186</v>
      </c>
      <c r="G3271" s="50" t="s">
        <v>89</v>
      </c>
      <c r="H3271" s="51">
        <v>110</v>
      </c>
      <c r="J3271" s="51">
        <v>5.5</v>
      </c>
      <c r="K3271" s="74">
        <f>Tabela6[[#This Row],[CONSUMO]]*Tabela6[[#This Row],[VALOR UNIT]]-Tabela6[[#This Row],[DESCONTO]]</f>
        <v>605</v>
      </c>
      <c r="L3271" s="53">
        <f>Tabela6[[#This Row],[CUSTO TOTAL]]/Tabela6[[#This Row],[CONSUMO]]</f>
        <v>5.5</v>
      </c>
      <c r="M3271" s="50">
        <f>Tabela6[[#This Row],[KM ATUAL]]-E3241</f>
        <v>-500556</v>
      </c>
      <c r="N3271" s="51">
        <f>Tabela6[[#This Row],[KM Rodados ]]/Tabela6[[#This Row],[CONSUMO]]</f>
        <v>-4550.5090909090914</v>
      </c>
    </row>
    <row r="3272" spans="1:14" x14ac:dyDescent="0.25">
      <c r="A3272" s="47">
        <v>108553</v>
      </c>
      <c r="B3272" s="78">
        <v>45266</v>
      </c>
      <c r="C3272" s="47" t="s">
        <v>64</v>
      </c>
      <c r="D3272" s="49" t="s">
        <v>253</v>
      </c>
      <c r="E3272" s="47">
        <v>106346</v>
      </c>
      <c r="G3272" s="50" t="s">
        <v>89</v>
      </c>
      <c r="H3272" s="51">
        <v>160.51</v>
      </c>
      <c r="J3272" s="51">
        <v>6.29</v>
      </c>
      <c r="K3272" s="74">
        <f>Tabela6[[#This Row],[CONSUMO]]*Tabela6[[#This Row],[VALOR UNIT]]-Tabela6[[#This Row],[DESCONTO]]</f>
        <v>1009.6079</v>
      </c>
      <c r="L3272" s="53">
        <f>Tabela6[[#This Row],[CUSTO TOTAL]]/Tabela6[[#This Row],[CONSUMO]]</f>
        <v>6.29</v>
      </c>
      <c r="M3272" s="50">
        <f>Tabela6[[#This Row],[KM ATUAL]]-E3238</f>
        <v>960</v>
      </c>
      <c r="N3272" s="51">
        <f>Tabela6[[#This Row],[KM Rodados ]]/Tabela6[[#This Row],[CONSUMO]]</f>
        <v>5.9809357672419168</v>
      </c>
    </row>
    <row r="3273" spans="1:14" x14ac:dyDescent="0.25">
      <c r="A3273" s="47">
        <v>8612</v>
      </c>
      <c r="B3273" s="78">
        <v>45266</v>
      </c>
      <c r="C3273" s="47" t="s">
        <v>41</v>
      </c>
      <c r="D3273" s="49" t="s">
        <v>299</v>
      </c>
      <c r="E3273" s="47">
        <v>687219</v>
      </c>
      <c r="G3273" s="50" t="s">
        <v>89</v>
      </c>
      <c r="H3273" s="51">
        <v>91</v>
      </c>
      <c r="J3273" s="51">
        <v>5.5</v>
      </c>
      <c r="K3273" s="74">
        <f>Tabela6[[#This Row],[CONSUMO]]*Tabela6[[#This Row],[VALOR UNIT]]-Tabela6[[#This Row],[DESCONTO]]</f>
        <v>500.5</v>
      </c>
      <c r="L3273" s="53">
        <f>Tabela6[[#This Row],[CUSTO TOTAL]]/Tabela6[[#This Row],[CONSUMO]]</f>
        <v>5.5</v>
      </c>
      <c r="M3273" s="50">
        <f>Tabela6[[#This Row],[KM ATUAL]]-E3205</f>
        <v>680336</v>
      </c>
      <c r="N3273" s="51">
        <f>Tabela6[[#This Row],[KM Rodados ]]/Tabela6[[#This Row],[CONSUMO]]</f>
        <v>7476.2197802197807</v>
      </c>
    </row>
    <row r="3274" spans="1:14" x14ac:dyDescent="0.25">
      <c r="A3274" s="47">
        <v>8612</v>
      </c>
      <c r="B3274" s="78">
        <v>45266</v>
      </c>
      <c r="C3274" s="47" t="s">
        <v>10</v>
      </c>
      <c r="D3274" s="49" t="s">
        <v>299</v>
      </c>
      <c r="E3274" s="47">
        <v>735403</v>
      </c>
      <c r="G3274" s="50" t="s">
        <v>89</v>
      </c>
      <c r="H3274" s="51">
        <v>200</v>
      </c>
      <c r="J3274" s="51">
        <v>5.5</v>
      </c>
      <c r="K3274" s="74">
        <f>Tabela6[[#This Row],[CONSUMO]]*Tabela6[[#This Row],[VALOR UNIT]]-Tabela6[[#This Row],[DESCONTO]]</f>
        <v>1100</v>
      </c>
      <c r="L3274" s="53">
        <f>Tabela6[[#This Row],[CUSTO TOTAL]]/Tabela6[[#This Row],[CONSUMO]]</f>
        <v>5.5</v>
      </c>
      <c r="M3274" s="50">
        <f>Tabela6[[#This Row],[KM ATUAL]]-E3207</f>
        <v>357538</v>
      </c>
      <c r="N3274" s="49">
        <f>Tabela6[[#This Row],[KM Rodados ]]/Tabela6[[#This Row],[CONSUMO]]</f>
        <v>1787.69</v>
      </c>
    </row>
    <row r="3275" spans="1:14" x14ac:dyDescent="0.25">
      <c r="A3275" s="47">
        <v>8612</v>
      </c>
      <c r="B3275" s="78">
        <v>45266</v>
      </c>
      <c r="C3275" s="47" t="s">
        <v>206</v>
      </c>
      <c r="D3275" s="49" t="s">
        <v>299</v>
      </c>
      <c r="E3275" s="47">
        <v>984999</v>
      </c>
      <c r="G3275" s="50" t="s">
        <v>89</v>
      </c>
      <c r="H3275" s="51">
        <v>377</v>
      </c>
      <c r="J3275" s="51">
        <v>5.5</v>
      </c>
      <c r="K3275" s="74">
        <f>Tabela6[[#This Row],[CONSUMO]]*Tabela6[[#This Row],[VALOR UNIT]]-Tabela6[[#This Row],[DESCONTO]]</f>
        <v>2073.5</v>
      </c>
      <c r="L3275" s="53">
        <f>Tabela6[[#This Row],[CUSTO TOTAL]]/Tabela6[[#This Row],[CONSUMO]]</f>
        <v>5.5</v>
      </c>
      <c r="M3275" s="50">
        <f>Tabela6[[#This Row],[KM ATUAL]]-E3273</f>
        <v>297780</v>
      </c>
      <c r="N3275" s="51">
        <f>Tabela6[[#This Row],[KM Rodados ]]/Tabela6[[#This Row],[CONSUMO]]</f>
        <v>789.86737400530501</v>
      </c>
    </row>
    <row r="3276" spans="1:14" x14ac:dyDescent="0.25">
      <c r="A3276" s="47">
        <v>973514</v>
      </c>
      <c r="B3276" s="78">
        <v>45266</v>
      </c>
      <c r="C3276" s="47" t="s">
        <v>13</v>
      </c>
      <c r="D3276" s="49" t="s">
        <v>306</v>
      </c>
      <c r="E3276" s="47">
        <v>668863</v>
      </c>
      <c r="G3276" s="50" t="s">
        <v>89</v>
      </c>
      <c r="H3276" s="51">
        <v>115.01</v>
      </c>
      <c r="J3276" s="51">
        <v>6.09</v>
      </c>
      <c r="K3276" s="74">
        <f>Tabela6[[#This Row],[CONSUMO]]*Tabela6[[#This Row],[VALOR UNIT]]-Tabela6[[#This Row],[DESCONTO]]</f>
        <v>700.41089999999997</v>
      </c>
      <c r="L3276" s="53">
        <f>Tabela6[[#This Row],[CUSTO TOTAL]]/Tabela6[[#This Row],[CONSUMO]]</f>
        <v>6.09</v>
      </c>
      <c r="M3276" s="50">
        <f>Tabela6[[#This Row],[KM ATUAL]]-E3264</f>
        <v>-209619</v>
      </c>
      <c r="N3276" s="51">
        <f>Tabela6[[#This Row],[KM Rodados ]]/Tabela6[[#This Row],[CONSUMO]]</f>
        <v>-1822.6154247456743</v>
      </c>
    </row>
    <row r="3277" spans="1:14" x14ac:dyDescent="0.25">
      <c r="A3277" s="47">
        <v>107895</v>
      </c>
      <c r="B3277" s="78">
        <v>45266</v>
      </c>
      <c r="C3277" s="47" t="s">
        <v>17</v>
      </c>
      <c r="D3277" s="49" t="s">
        <v>253</v>
      </c>
      <c r="E3277" s="47">
        <v>384018</v>
      </c>
      <c r="G3277" s="50" t="s">
        <v>241</v>
      </c>
      <c r="H3277" s="51">
        <v>26</v>
      </c>
      <c r="J3277" s="51">
        <v>3.49</v>
      </c>
      <c r="K3277" s="74">
        <f>Tabela6[[#This Row],[CONSUMO]]*Tabela6[[#This Row],[VALOR UNIT]]-Tabela6[[#This Row],[DESCONTO]]</f>
        <v>90.740000000000009</v>
      </c>
      <c r="L3277" s="53">
        <f>Tabela6[[#This Row],[CUSTO TOTAL]]/Tabela6[[#This Row],[CONSUMO]]</f>
        <v>3.49</v>
      </c>
      <c r="M3277" s="50"/>
      <c r="N3277" s="49"/>
    </row>
    <row r="3278" spans="1:14" x14ac:dyDescent="0.25">
      <c r="A3278" s="47">
        <v>8612</v>
      </c>
      <c r="B3278" s="78">
        <v>45266</v>
      </c>
      <c r="C3278" s="47" t="s">
        <v>20</v>
      </c>
      <c r="D3278" s="49" t="s">
        <v>299</v>
      </c>
      <c r="E3278" s="47">
        <v>286060</v>
      </c>
      <c r="G3278" s="50" t="s">
        <v>89</v>
      </c>
      <c r="H3278" s="51">
        <v>46</v>
      </c>
      <c r="J3278" s="51">
        <v>5.5</v>
      </c>
      <c r="K3278" s="74">
        <f>Tabela6[[#This Row],[CONSUMO]]*Tabela6[[#This Row],[VALOR UNIT]]-Tabela6[[#This Row],[DESCONTO]]</f>
        <v>253</v>
      </c>
      <c r="L3278" s="53">
        <f>Tabela6[[#This Row],[CUSTO TOTAL]]/Tabela6[[#This Row],[CONSUMO]]</f>
        <v>5.5</v>
      </c>
      <c r="M3278" s="50">
        <f>Tabela6[[#This Row],[KM ATUAL]]-E3248</f>
        <v>190816</v>
      </c>
      <c r="N3278" s="51">
        <f>Tabela6[[#This Row],[KM Rodados ]]/Tabela6[[#This Row],[CONSUMO]]</f>
        <v>4148.173913043478</v>
      </c>
    </row>
    <row r="3279" spans="1:14" x14ac:dyDescent="0.25">
      <c r="A3279" s="47">
        <v>8612</v>
      </c>
      <c r="B3279" s="78">
        <v>45266</v>
      </c>
      <c r="C3279" s="47" t="s">
        <v>74</v>
      </c>
      <c r="D3279" s="49" t="s">
        <v>299</v>
      </c>
      <c r="E3279" s="47">
        <v>96372</v>
      </c>
      <c r="G3279" s="50" t="s">
        <v>89</v>
      </c>
      <c r="H3279" s="51">
        <v>44</v>
      </c>
      <c r="J3279" s="51">
        <v>5.5</v>
      </c>
      <c r="K3279" s="74">
        <f>Tabela6[[#This Row],[CONSUMO]]*Tabela6[[#This Row],[VALOR UNIT]]-Tabela6[[#This Row],[DESCONTO]]</f>
        <v>242</v>
      </c>
      <c r="L3279" s="53">
        <f>Tabela6[[#This Row],[CUSTO TOTAL]]/Tabela6[[#This Row],[CONSUMO]]</f>
        <v>5.5</v>
      </c>
      <c r="M3279" s="50">
        <f>Tabela6[[#This Row],[KM ATUAL]]-E3262</f>
        <v>424</v>
      </c>
      <c r="N3279" s="51">
        <f>Tabela6[[#This Row],[KM Rodados ]]/Tabela6[[#This Row],[CONSUMO]]</f>
        <v>9.6363636363636367</v>
      </c>
    </row>
    <row r="3280" spans="1:14" x14ac:dyDescent="0.25">
      <c r="A3280" s="47">
        <v>8612</v>
      </c>
      <c r="B3280" s="78">
        <v>45267</v>
      </c>
      <c r="C3280" s="47" t="s">
        <v>68</v>
      </c>
      <c r="D3280" s="49" t="s">
        <v>299</v>
      </c>
      <c r="E3280" s="47">
        <v>938324</v>
      </c>
      <c r="G3280" s="50" t="s">
        <v>89</v>
      </c>
      <c r="H3280" s="51">
        <v>331</v>
      </c>
      <c r="J3280" s="51">
        <v>5.5</v>
      </c>
      <c r="K3280" s="74">
        <f>Tabela6[[#This Row],[CONSUMO]]*Tabela6[[#This Row],[VALOR UNIT]]-Tabela6[[#This Row],[DESCONTO]]</f>
        <v>1820.5</v>
      </c>
      <c r="L3280" s="53">
        <f>Tabela6[[#This Row],[CUSTO TOTAL]]/Tabela6[[#This Row],[CONSUMO]]</f>
        <v>5.5</v>
      </c>
      <c r="M3280" s="50">
        <f>Tabela6[[#This Row],[KM ATUAL]]-E3226</f>
        <v>-45197</v>
      </c>
      <c r="N3280" s="51">
        <f>Tabela6[[#This Row],[KM Rodados ]]/Tabela6[[#This Row],[CONSUMO]]</f>
        <v>-136.54682779456192</v>
      </c>
    </row>
    <row r="3281" spans="1:14" x14ac:dyDescent="0.25">
      <c r="A3281" s="47">
        <v>8612</v>
      </c>
      <c r="B3281" s="78">
        <v>45267</v>
      </c>
      <c r="C3281" s="47" t="s">
        <v>43</v>
      </c>
      <c r="D3281" s="49" t="s">
        <v>299</v>
      </c>
      <c r="E3281" s="47">
        <v>164145</v>
      </c>
      <c r="G3281" s="50" t="s">
        <v>89</v>
      </c>
      <c r="H3281" s="51">
        <v>27</v>
      </c>
      <c r="J3281" s="51">
        <v>5.5</v>
      </c>
      <c r="K3281" s="74">
        <f>Tabela6[[#This Row],[CONSUMO]]*Tabela6[[#This Row],[VALOR UNIT]]-Tabela6[[#This Row],[DESCONTO]]</f>
        <v>148.5</v>
      </c>
      <c r="L3281" s="53">
        <f>Tabela6[[#This Row],[CUSTO TOTAL]]/Tabela6[[#This Row],[CONSUMO]]</f>
        <v>5.5</v>
      </c>
      <c r="M3281" s="50">
        <f>Tabela6[[#This Row],[KM ATUAL]]-E3263</f>
        <v>493</v>
      </c>
      <c r="N3281" s="51">
        <f>Tabela6[[#This Row],[KM Rodados ]]/Tabela6[[#This Row],[CONSUMO]]</f>
        <v>18.25925925925926</v>
      </c>
    </row>
    <row r="3282" spans="1:14" x14ac:dyDescent="0.25">
      <c r="A3282" s="47">
        <v>346607</v>
      </c>
      <c r="B3282" s="78">
        <v>45267</v>
      </c>
      <c r="C3282" s="47" t="s">
        <v>222</v>
      </c>
      <c r="D3282" s="49" t="s">
        <v>332</v>
      </c>
      <c r="E3282" s="47">
        <v>530875</v>
      </c>
      <c r="G3282" s="50" t="s">
        <v>89</v>
      </c>
      <c r="H3282" s="51">
        <v>265</v>
      </c>
      <c r="J3282" s="51">
        <v>5.49</v>
      </c>
      <c r="K3282" s="74">
        <f>Tabela6[[#This Row],[CONSUMO]]*Tabela6[[#This Row],[VALOR UNIT]]-Tabela6[[#This Row],[DESCONTO]]</f>
        <v>1454.8500000000001</v>
      </c>
      <c r="L3282" s="53">
        <f>Tabela6[[#This Row],[CUSTO TOTAL]]/Tabela6[[#This Row],[CONSUMO]]</f>
        <v>5.49</v>
      </c>
      <c r="M3282" s="50">
        <f>Tabela6[[#This Row],[KM ATUAL]]-E3222</f>
        <v>522123</v>
      </c>
      <c r="N3282" s="51">
        <f>Tabela6[[#This Row],[KM Rodados ]]/Tabela6[[#This Row],[CONSUMO]]</f>
        <v>1970.2754716981133</v>
      </c>
    </row>
    <row r="3283" spans="1:14" x14ac:dyDescent="0.25">
      <c r="A3283" s="47">
        <v>179863</v>
      </c>
      <c r="B3283" s="78">
        <v>45267</v>
      </c>
      <c r="C3283" s="47" t="s">
        <v>72</v>
      </c>
      <c r="D3283" s="49" t="s">
        <v>263</v>
      </c>
      <c r="E3283" s="47">
        <v>429713</v>
      </c>
      <c r="G3283" s="50" t="s">
        <v>89</v>
      </c>
      <c r="H3283" s="51">
        <v>38.621000000000002</v>
      </c>
      <c r="I3283" s="49">
        <v>3.87</v>
      </c>
      <c r="J3283" s="51">
        <v>6.09</v>
      </c>
      <c r="K3283" s="74">
        <f>Tabela6[[#This Row],[CONSUMO]]*Tabela6[[#This Row],[VALOR UNIT]]-Tabela6[[#This Row],[DESCONTO]]</f>
        <v>231.33189000000002</v>
      </c>
      <c r="L3283" s="53">
        <f>Tabela6[[#This Row],[CUSTO TOTAL]]/Tabela6[[#This Row],[CONSUMO]]</f>
        <v>5.9897954480722921</v>
      </c>
      <c r="M3283" s="50">
        <f>Tabela6[[#This Row],[KM ATUAL]]-E3281</f>
        <v>265568</v>
      </c>
      <c r="N3283" s="51">
        <f>Tabela6[[#This Row],[KM Rodados ]]/Tabela6[[#This Row],[CONSUMO]]</f>
        <v>6876.2590300613656</v>
      </c>
    </row>
    <row r="3284" spans="1:14" x14ac:dyDescent="0.25">
      <c r="A3284" s="47">
        <v>10509</v>
      </c>
      <c r="B3284" s="78">
        <v>45267</v>
      </c>
      <c r="C3284" s="47" t="s">
        <v>41</v>
      </c>
      <c r="D3284" s="49" t="s">
        <v>264</v>
      </c>
      <c r="E3284" s="47">
        <v>687790</v>
      </c>
      <c r="G3284" s="50" t="s">
        <v>89</v>
      </c>
      <c r="H3284" s="51">
        <v>150.07</v>
      </c>
      <c r="J3284" s="51">
        <v>6.13</v>
      </c>
      <c r="K3284" s="74">
        <f>Tabela6[[#This Row],[CONSUMO]]*Tabela6[[#This Row],[VALOR UNIT]]-Tabela6[[#This Row],[DESCONTO]]</f>
        <v>919.92909999999995</v>
      </c>
      <c r="L3284" s="53">
        <f>Tabela6[[#This Row],[CUSTO TOTAL]]/Tabela6[[#This Row],[CONSUMO]]</f>
        <v>6.13</v>
      </c>
      <c r="M3284" s="53" t="e">
        <f t="array" ref="M3284">SE</f>
        <v>#NAME?</v>
      </c>
      <c r="N3284" s="49" t="e">
        <f>Tabela6[[#This Row],[KM Rodados ]]/Tabela6[[#This Row],[CONSUMO]]</f>
        <v>#NAME?</v>
      </c>
    </row>
    <row r="3285" spans="1:14" x14ac:dyDescent="0.25">
      <c r="A3285" s="47">
        <v>8612</v>
      </c>
      <c r="B3285" s="78">
        <v>45267</v>
      </c>
      <c r="C3285" s="47" t="s">
        <v>301</v>
      </c>
      <c r="D3285" s="49" t="s">
        <v>299</v>
      </c>
      <c r="E3285" s="47">
        <v>1069998</v>
      </c>
      <c r="G3285" s="50" t="s">
        <v>89</v>
      </c>
      <c r="H3285" s="51">
        <v>366</v>
      </c>
      <c r="J3285" s="51">
        <v>5.5</v>
      </c>
      <c r="K3285" s="74">
        <f>Tabela6[[#This Row],[CONSUMO]]*Tabela6[[#This Row],[VALOR UNIT]]-Tabela6[[#This Row],[DESCONTO]]</f>
        <v>2013</v>
      </c>
      <c r="L3285" s="53">
        <f>Tabela6[[#This Row],[CUSTO TOTAL]]/Tabela6[[#This Row],[CONSUMO]]</f>
        <v>5.5</v>
      </c>
      <c r="M3285" s="50">
        <f>Tabela6[[#This Row],[KM ATUAL]]-E3218</f>
        <v>667678</v>
      </c>
      <c r="N3285" s="51">
        <f>Tabela6[[#This Row],[KM Rodados ]]/Tabela6[[#This Row],[CONSUMO]]</f>
        <v>1824.2568306010928</v>
      </c>
    </row>
    <row r="3286" spans="1:14" x14ac:dyDescent="0.25">
      <c r="A3286" s="47">
        <v>8612</v>
      </c>
      <c r="B3286" s="78">
        <v>45267</v>
      </c>
      <c r="C3286" s="47" t="s">
        <v>13</v>
      </c>
      <c r="D3286" s="49" t="s">
        <v>299</v>
      </c>
      <c r="E3286" s="47">
        <v>669291</v>
      </c>
      <c r="G3286" s="50" t="s">
        <v>89</v>
      </c>
      <c r="H3286" s="51">
        <v>88</v>
      </c>
      <c r="J3286" s="51">
        <v>5.5</v>
      </c>
      <c r="K3286" s="74">
        <f>Tabela6[[#This Row],[CONSUMO]]*Tabela6[[#This Row],[VALOR UNIT]]-Tabela6[[#This Row],[DESCONTO]]</f>
        <v>484</v>
      </c>
      <c r="L3286" s="53">
        <f>Tabela6[[#This Row],[CUSTO TOTAL]]/Tabela6[[#This Row],[CONSUMO]]</f>
        <v>5.5</v>
      </c>
      <c r="M3286" s="50">
        <f>Tabela6[[#This Row],[KM ATUAL]]-E3263</f>
        <v>505639</v>
      </c>
      <c r="N3286" s="51">
        <f>Tabela6[[#This Row],[KM Rodados ]]/Tabela6[[#This Row],[CONSUMO]]</f>
        <v>5745.897727272727</v>
      </c>
    </row>
    <row r="3287" spans="1:14" x14ac:dyDescent="0.25">
      <c r="A3287" s="47">
        <v>226022</v>
      </c>
      <c r="B3287" s="78">
        <v>45267</v>
      </c>
      <c r="C3287" s="47" t="s">
        <v>14</v>
      </c>
      <c r="D3287" s="49" t="s">
        <v>262</v>
      </c>
      <c r="E3287" s="47">
        <v>305465</v>
      </c>
      <c r="G3287" s="50" t="s">
        <v>244</v>
      </c>
      <c r="H3287" s="51">
        <v>38.24</v>
      </c>
      <c r="J3287" s="51">
        <v>5.59</v>
      </c>
      <c r="K3287" s="74">
        <f>Tabela6[[#This Row],[CONSUMO]]*Tabela6[[#This Row],[VALOR UNIT]]-Tabela6[[#This Row],[DESCONTO]]</f>
        <v>213.76160000000002</v>
      </c>
      <c r="L3287" s="53">
        <f>Tabela6[[#This Row],[CUSTO TOTAL]]/Tabela6[[#This Row],[CONSUMO]]</f>
        <v>5.59</v>
      </c>
      <c r="M3287" s="50">
        <f>Tabela6[[#This Row],[KM ATUAL]]-E3247</f>
        <v>47500</v>
      </c>
      <c r="N3287" s="51">
        <f>Tabela6[[#This Row],[KM Rodados ]]/Tabela6[[#This Row],[CONSUMO]]</f>
        <v>1242.1548117154812</v>
      </c>
    </row>
    <row r="3288" spans="1:14" x14ac:dyDescent="0.25">
      <c r="A3288" s="47">
        <v>8612</v>
      </c>
      <c r="B3288" s="78">
        <v>45267</v>
      </c>
      <c r="C3288" s="47" t="s">
        <v>15</v>
      </c>
      <c r="D3288" s="49" t="s">
        <v>299</v>
      </c>
      <c r="E3288" s="47">
        <v>403619</v>
      </c>
      <c r="G3288" s="50" t="s">
        <v>89</v>
      </c>
      <c r="H3288" s="51">
        <v>90</v>
      </c>
      <c r="J3288" s="51">
        <v>5.5</v>
      </c>
      <c r="K3288" s="74">
        <f>Tabela6[[#This Row],[CONSUMO]]*Tabela6[[#This Row],[VALOR UNIT]]-Tabela6[[#This Row],[DESCONTO]]</f>
        <v>495</v>
      </c>
      <c r="L3288" s="53">
        <f>Tabela6[[#This Row],[CUSTO TOTAL]]/Tabela6[[#This Row],[CONSUMO]]</f>
        <v>5.5</v>
      </c>
      <c r="M3288" s="50">
        <f>Tabela6[[#This Row],[KM ATUAL]]-E3250</f>
        <v>240304</v>
      </c>
      <c r="N3288" s="51">
        <f>Tabela6[[#This Row],[KM Rodados ]]/Tabela6[[#This Row],[CONSUMO]]</f>
        <v>2670.0444444444443</v>
      </c>
    </row>
    <row r="3289" spans="1:14" x14ac:dyDescent="0.25">
      <c r="A3289" s="47">
        <v>8612</v>
      </c>
      <c r="B3289" s="78">
        <v>45267</v>
      </c>
      <c r="C3289" s="47" t="s">
        <v>17</v>
      </c>
      <c r="D3289" s="49" t="s">
        <v>299</v>
      </c>
      <c r="E3289" s="47">
        <v>384438</v>
      </c>
      <c r="G3289" s="50" t="s">
        <v>89</v>
      </c>
      <c r="H3289" s="51">
        <v>152</v>
      </c>
      <c r="J3289" s="51">
        <v>5.5</v>
      </c>
      <c r="K3289" s="74">
        <f>Tabela6[[#This Row],[CONSUMO]]*Tabela6[[#This Row],[VALOR UNIT]]-Tabela6[[#This Row],[DESCONTO]]</f>
        <v>836</v>
      </c>
      <c r="L3289" s="53">
        <f>Tabela6[[#This Row],[CUSTO TOTAL]]/Tabela6[[#This Row],[CONSUMO]]</f>
        <v>5.5</v>
      </c>
      <c r="M3289" s="50">
        <f>Tabela6[[#This Row],[KM ATUAL]]-E3248</f>
        <v>289194</v>
      </c>
      <c r="N3289" s="51">
        <f>Tabela6[[#This Row],[KM Rodados ]]/Tabela6[[#This Row],[CONSUMO]]</f>
        <v>1902.5921052631579</v>
      </c>
    </row>
    <row r="3290" spans="1:14" x14ac:dyDescent="0.25">
      <c r="A3290" s="47">
        <v>8612</v>
      </c>
      <c r="B3290" s="78">
        <v>45267</v>
      </c>
      <c r="C3290" s="47" t="s">
        <v>19</v>
      </c>
      <c r="D3290" s="49" t="s">
        <v>299</v>
      </c>
      <c r="E3290" s="47">
        <v>343794</v>
      </c>
      <c r="G3290" s="50" t="s">
        <v>89</v>
      </c>
      <c r="H3290" s="51">
        <v>80</v>
      </c>
      <c r="J3290" s="51">
        <v>5.5</v>
      </c>
      <c r="K3290" s="74">
        <f>Tabela6[[#This Row],[CONSUMO]]*Tabela6[[#This Row],[VALOR UNIT]]-Tabela6[[#This Row],[DESCONTO]]</f>
        <v>440</v>
      </c>
      <c r="L3290" s="53">
        <f>Tabela6[[#This Row],[CUSTO TOTAL]]/Tabela6[[#This Row],[CONSUMO]]</f>
        <v>5.5</v>
      </c>
      <c r="M3290" s="50">
        <f>Tabela6[[#This Row],[KM ATUAL]]-E3257</f>
        <v>39140</v>
      </c>
      <c r="N3290" s="51">
        <f>Tabela6[[#This Row],[KM Rodados ]]/Tabela6[[#This Row],[CONSUMO]]</f>
        <v>489.25</v>
      </c>
    </row>
    <row r="3291" spans="1:14" x14ac:dyDescent="0.25">
      <c r="A3291" s="47">
        <v>8612</v>
      </c>
      <c r="B3291" s="78">
        <v>45267</v>
      </c>
      <c r="C3291" s="47" t="s">
        <v>20</v>
      </c>
      <c r="D3291" s="49" t="s">
        <v>299</v>
      </c>
      <c r="E3291" s="47">
        <v>286396</v>
      </c>
      <c r="G3291" s="50" t="s">
        <v>89</v>
      </c>
      <c r="H3291" s="51">
        <v>36</v>
      </c>
      <c r="J3291" s="51">
        <v>5.5</v>
      </c>
      <c r="K3291" s="74">
        <f>Tabela6[[#This Row],[CONSUMO]]*Tabela6[[#This Row],[VALOR UNIT]]-Tabela6[[#This Row],[DESCONTO]]</f>
        <v>198</v>
      </c>
      <c r="L3291" s="53">
        <f>Tabela6[[#This Row],[CUSTO TOTAL]]/Tabela6[[#This Row],[CONSUMO]]</f>
        <v>5.5</v>
      </c>
      <c r="M3291" s="50">
        <f>Tabela6[[#This Row],[KM ATUAL]]-E3277</f>
        <v>-97622</v>
      </c>
      <c r="N3291" s="51">
        <f>Tabela6[[#This Row],[KM Rodados ]]/Tabela6[[#This Row],[CONSUMO]]</f>
        <v>-2711.7222222222222</v>
      </c>
    </row>
    <row r="3292" spans="1:14" x14ac:dyDescent="0.25">
      <c r="A3292" s="47">
        <v>8612</v>
      </c>
      <c r="B3292" s="78">
        <v>45267</v>
      </c>
      <c r="C3292" s="47" t="s">
        <v>23</v>
      </c>
      <c r="D3292" s="49" t="s">
        <v>299</v>
      </c>
      <c r="E3292" s="47">
        <v>259023</v>
      </c>
      <c r="G3292" s="50" t="s">
        <v>89</v>
      </c>
      <c r="H3292" s="51">
        <v>107</v>
      </c>
      <c r="J3292" s="51">
        <v>5.5</v>
      </c>
      <c r="K3292" s="74">
        <f>Tabela6[[#This Row],[CONSUMO]]*Tabela6[[#This Row],[VALOR UNIT]]-Tabela6[[#This Row],[DESCONTO]]</f>
        <v>588.5</v>
      </c>
      <c r="L3292" s="53">
        <f>Tabela6[[#This Row],[CUSTO TOTAL]]/Tabela6[[#This Row],[CONSUMO]]</f>
        <v>5.5</v>
      </c>
      <c r="M3292" s="50">
        <f>Tabela6[[#This Row],[KM ATUAL]]-E3249</f>
        <v>95939</v>
      </c>
      <c r="N3292" s="51">
        <f>Tabela6[[#This Row],[KM Rodados ]]/Tabela6[[#This Row],[CONSUMO]]</f>
        <v>896.62616822429902</v>
      </c>
    </row>
    <row r="3293" spans="1:14" x14ac:dyDescent="0.25">
      <c r="A3293" s="47">
        <v>8612</v>
      </c>
      <c r="B3293" s="78">
        <v>45267</v>
      </c>
      <c r="C3293" s="47" t="s">
        <v>74</v>
      </c>
      <c r="D3293" s="49" t="s">
        <v>299</v>
      </c>
      <c r="E3293" s="47">
        <v>96825</v>
      </c>
      <c r="G3293" s="50" t="s">
        <v>89</v>
      </c>
      <c r="H3293" s="51">
        <v>45</v>
      </c>
      <c r="J3293" s="51">
        <v>5.5</v>
      </c>
      <c r="K3293" s="74">
        <f>Tabela6[[#This Row],[CONSUMO]]*Tabela6[[#This Row],[VALOR UNIT]]-Tabela6[[#This Row],[DESCONTO]]</f>
        <v>247.5</v>
      </c>
      <c r="L3293" s="53">
        <f>Tabela6[[#This Row],[CUSTO TOTAL]]/Tabela6[[#This Row],[CONSUMO]]</f>
        <v>5.5</v>
      </c>
      <c r="M3293" s="50">
        <f>Tabela6[[#This Row],[KM ATUAL]]-E3276</f>
        <v>-572038</v>
      </c>
      <c r="N3293" s="51">
        <f>Tabela6[[#This Row],[KM Rodados ]]/Tabela6[[#This Row],[CONSUMO]]</f>
        <v>-12711.955555555556</v>
      </c>
    </row>
    <row r="3294" spans="1:14" x14ac:dyDescent="0.25">
      <c r="A3294" s="47">
        <v>226146</v>
      </c>
      <c r="B3294" s="78">
        <v>45268</v>
      </c>
      <c r="C3294" s="47" t="s">
        <v>43</v>
      </c>
      <c r="D3294" s="49" t="s">
        <v>262</v>
      </c>
      <c r="E3294" s="47">
        <v>164287</v>
      </c>
      <c r="G3294" s="50" t="s">
        <v>89</v>
      </c>
      <c r="H3294" s="51">
        <v>18.87</v>
      </c>
      <c r="J3294" s="51">
        <v>5.99</v>
      </c>
      <c r="K3294" s="74">
        <f>Tabela6[[#This Row],[CONSUMO]]*Tabela6[[#This Row],[VALOR UNIT]]-Tabela6[[#This Row],[DESCONTO]]</f>
        <v>113.03130000000002</v>
      </c>
      <c r="L3294" s="53">
        <f>Tabela6[[#This Row],[CUSTO TOTAL]]/Tabela6[[#This Row],[CONSUMO]]</f>
        <v>5.99</v>
      </c>
      <c r="M3294" s="50">
        <f>Tabela6[[#This Row],[KM ATUAL]]-E3244</f>
        <v>-120461</v>
      </c>
      <c r="N3294" s="51">
        <f>Tabela6[[#This Row],[KM Rodados ]]/Tabela6[[#This Row],[CONSUMO]]</f>
        <v>-6383.7307896131424</v>
      </c>
    </row>
    <row r="3295" spans="1:14" x14ac:dyDescent="0.25">
      <c r="A3295" s="47">
        <v>8612</v>
      </c>
      <c r="B3295" s="78">
        <v>45268</v>
      </c>
      <c r="C3295" s="47" t="s">
        <v>394</v>
      </c>
      <c r="D3295" s="49" t="s">
        <v>299</v>
      </c>
      <c r="E3295" s="47">
        <v>879053</v>
      </c>
      <c r="G3295" s="50" t="s">
        <v>89</v>
      </c>
      <c r="H3295" s="51">
        <v>141</v>
      </c>
      <c r="J3295" s="51">
        <v>5.5</v>
      </c>
      <c r="K3295" s="74">
        <f>Tabela6[[#This Row],[CONSUMO]]*Tabela6[[#This Row],[VALOR UNIT]]-Tabela6[[#This Row],[DESCONTO]]</f>
        <v>775.5</v>
      </c>
      <c r="L3295" s="53">
        <f>Tabela6[[#This Row],[CUSTO TOTAL]]/Tabela6[[#This Row],[CONSUMO]]</f>
        <v>5.5</v>
      </c>
      <c r="M3295" s="51">
        <f>Tabela6[[#This Row],[KM ATUAL]]-E3258</f>
        <v>574052</v>
      </c>
      <c r="N3295" s="101">
        <f>Tabela6[[#This Row],[KM Rodados ]]/Tabela6[[#This Row],[CONSUMO]]</f>
        <v>4071.2907801418442</v>
      </c>
    </row>
    <row r="3296" spans="1:14" x14ac:dyDescent="0.25">
      <c r="A3296" s="47">
        <v>147449</v>
      </c>
      <c r="B3296" s="78">
        <v>45268</v>
      </c>
      <c r="C3296" s="47" t="s">
        <v>222</v>
      </c>
      <c r="D3296" s="49" t="s">
        <v>362</v>
      </c>
      <c r="E3296" s="47">
        <v>531735</v>
      </c>
      <c r="G3296" s="50" t="s">
        <v>241</v>
      </c>
      <c r="H3296" s="51">
        <v>28.021000000000001</v>
      </c>
      <c r="J3296" s="51">
        <v>2.99</v>
      </c>
      <c r="K3296" s="74">
        <f>Tabela6[[#This Row],[CONSUMO]]*Tabela6[[#This Row],[VALOR UNIT]]-Tabela6[[#This Row],[DESCONTO]]</f>
        <v>83.782790000000006</v>
      </c>
      <c r="L3296" s="53">
        <f>Tabela6[[#This Row],[CUSTO TOTAL]]/Tabela6[[#This Row],[CONSUMO]]</f>
        <v>2.99</v>
      </c>
      <c r="M3296" s="50"/>
    </row>
    <row r="3297" spans="1:14" x14ac:dyDescent="0.25">
      <c r="A3297" s="47">
        <v>147450</v>
      </c>
      <c r="B3297" s="78">
        <v>45268</v>
      </c>
      <c r="C3297" s="47" t="s">
        <v>222</v>
      </c>
      <c r="D3297" s="49" t="s">
        <v>362</v>
      </c>
      <c r="E3297" s="47">
        <v>531735</v>
      </c>
      <c r="G3297" s="50" t="s">
        <v>89</v>
      </c>
      <c r="H3297" s="51">
        <v>241.81100000000001</v>
      </c>
      <c r="J3297" s="51">
        <v>5.79</v>
      </c>
      <c r="K3297" s="74">
        <f>Tabela6[[#This Row],[CONSUMO]]*Tabela6[[#This Row],[VALOR UNIT]]-Tabela6[[#This Row],[DESCONTO]]</f>
        <v>1400.0856900000001</v>
      </c>
      <c r="L3297" s="53">
        <f>Tabela6[[#This Row],[CUSTO TOTAL]]/Tabela6[[#This Row],[CONSUMO]]</f>
        <v>5.79</v>
      </c>
      <c r="M3297" s="50">
        <f>Tabela6[[#This Row],[KM ATUAL]]-E3281</f>
        <v>367590</v>
      </c>
      <c r="N3297" s="51">
        <f>Tabela6[[#This Row],[KM Rodados ]]/Tabela6[[#This Row],[CONSUMO]]</f>
        <v>1520.1541699922666</v>
      </c>
    </row>
    <row r="3298" spans="1:14" x14ac:dyDescent="0.25">
      <c r="A3298" s="47">
        <v>8612</v>
      </c>
      <c r="B3298" s="78">
        <v>45268</v>
      </c>
      <c r="C3298" s="47" t="s">
        <v>67</v>
      </c>
      <c r="D3298" s="49" t="s">
        <v>299</v>
      </c>
      <c r="E3298" s="47">
        <v>692865</v>
      </c>
      <c r="G3298" s="50" t="s">
        <v>89</v>
      </c>
      <c r="H3298" s="51">
        <v>92</v>
      </c>
      <c r="J3298" s="51">
        <v>5.5</v>
      </c>
      <c r="K3298" s="74">
        <f>Tabela6[[#This Row],[CONSUMO]]*Tabela6[[#This Row],[VALOR UNIT]]-Tabela6[[#This Row],[DESCONTO]]</f>
        <v>506</v>
      </c>
      <c r="L3298" s="53">
        <f>Tabela6[[#This Row],[CUSTO TOTAL]]/Tabela6[[#This Row],[CONSUMO]]</f>
        <v>5.5</v>
      </c>
      <c r="M3298" s="50">
        <f>Tabela6[[#This Row],[KM ATUAL]]-E3252</f>
        <v>359</v>
      </c>
      <c r="N3298" s="51">
        <f>Tabela6[[#This Row],[KM Rodados ]]/Tabela6[[#This Row],[CONSUMO]]</f>
        <v>3.902173913043478</v>
      </c>
    </row>
    <row r="3299" spans="1:14" x14ac:dyDescent="0.25">
      <c r="A3299" s="47">
        <v>8612</v>
      </c>
      <c r="B3299" s="78">
        <v>45268</v>
      </c>
      <c r="C3299" s="47" t="s">
        <v>70</v>
      </c>
      <c r="D3299" s="49" t="s">
        <v>299</v>
      </c>
      <c r="E3299" s="47">
        <v>245832</v>
      </c>
      <c r="G3299" s="50" t="s">
        <v>89</v>
      </c>
      <c r="H3299" s="51">
        <v>565</v>
      </c>
      <c r="J3299" s="51">
        <v>5.5</v>
      </c>
      <c r="K3299" s="74">
        <f>Tabela6[[#This Row],[CONSUMO]]*Tabela6[[#This Row],[VALOR UNIT]]-Tabela6[[#This Row],[DESCONTO]]</f>
        <v>3107.5</v>
      </c>
      <c r="L3299" s="53">
        <f>Tabela6[[#This Row],[CUSTO TOTAL]]/Tabela6[[#This Row],[CONSUMO]]</f>
        <v>5.5</v>
      </c>
      <c r="M3299" s="50">
        <f>Tabela6[[#This Row],[KM ATUAL]]-E3225</f>
        <v>120329</v>
      </c>
      <c r="N3299" s="51">
        <f>Tabela6[[#This Row],[KM Rodados ]]/Tabela6[[#This Row],[CONSUMO]]</f>
        <v>212.9716814159292</v>
      </c>
    </row>
    <row r="3300" spans="1:14" x14ac:dyDescent="0.25">
      <c r="A3300" s="47">
        <v>151696</v>
      </c>
      <c r="B3300" s="78">
        <v>45268</v>
      </c>
      <c r="C3300" s="47" t="s">
        <v>203</v>
      </c>
      <c r="D3300" s="49" t="s">
        <v>262</v>
      </c>
      <c r="E3300" s="47">
        <v>127608</v>
      </c>
      <c r="G3300" s="50" t="s">
        <v>244</v>
      </c>
      <c r="H3300" s="51">
        <v>43.259</v>
      </c>
      <c r="J3300" s="51">
        <v>5.59</v>
      </c>
      <c r="K3300" s="74">
        <f>Tabela6[[#This Row],[CONSUMO]]*Tabela6[[#This Row],[VALOR UNIT]]-Tabela6[[#This Row],[DESCONTO]]</f>
        <v>241.81781000000001</v>
      </c>
      <c r="L3300" s="53">
        <f>Tabela6[[#This Row],[CUSTO TOTAL]]/Tabela6[[#This Row],[CONSUMO]]</f>
        <v>5.59</v>
      </c>
      <c r="M3300" s="50">
        <f>Tabela6[[#This Row],[KM ATUAL]]-E3281</f>
        <v>-36537</v>
      </c>
      <c r="N3300" s="51">
        <f>Tabela6[[#This Row],[KM Rodados ]]/Tabela6[[#This Row],[CONSUMO]]</f>
        <v>-844.61037009639608</v>
      </c>
    </row>
    <row r="3301" spans="1:14" x14ac:dyDescent="0.25">
      <c r="A3301" s="47">
        <v>8612</v>
      </c>
      <c r="B3301" s="78">
        <v>45268</v>
      </c>
      <c r="C3301" s="47" t="s">
        <v>72</v>
      </c>
      <c r="D3301" s="49" t="s">
        <v>299</v>
      </c>
      <c r="E3301" s="47">
        <v>430099</v>
      </c>
      <c r="G3301" s="50" t="s">
        <v>89</v>
      </c>
      <c r="H3301" s="51">
        <v>45</v>
      </c>
      <c r="J3301" s="51">
        <v>5.5</v>
      </c>
      <c r="K3301" s="74">
        <f>Tabela6[[#This Row],[CONSUMO]]*Tabela6[[#This Row],[VALOR UNIT]]-Tabela6[[#This Row],[DESCONTO]]</f>
        <v>247.5</v>
      </c>
      <c r="L3301" s="53">
        <f>Tabela6[[#This Row],[CUSTO TOTAL]]/Tabela6[[#This Row],[CONSUMO]]</f>
        <v>5.5</v>
      </c>
      <c r="M3301" s="50">
        <f>Tabela6[[#This Row],[KM ATUAL]]-E3281</f>
        <v>265954</v>
      </c>
      <c r="N3301" s="51">
        <f>Tabela6[[#This Row],[KM Rodados ]]/Tabela6[[#This Row],[CONSUMO]]</f>
        <v>5910.0888888888885</v>
      </c>
    </row>
    <row r="3302" spans="1:14" x14ac:dyDescent="0.25">
      <c r="A3302" s="47">
        <v>327629</v>
      </c>
      <c r="B3302" s="78">
        <v>45268</v>
      </c>
      <c r="C3302" s="47" t="s">
        <v>72</v>
      </c>
      <c r="D3302" s="49" t="s">
        <v>270</v>
      </c>
      <c r="E3302" s="47">
        <v>430537</v>
      </c>
      <c r="G3302" s="50" t="s">
        <v>89</v>
      </c>
      <c r="H3302" s="51">
        <v>56.57</v>
      </c>
      <c r="J3302" s="51">
        <v>5.89</v>
      </c>
      <c r="K3302" s="74">
        <f>Tabela6[[#This Row],[CONSUMO]]*Tabela6[[#This Row],[VALOR UNIT]]-Tabela6[[#This Row],[DESCONTO]]</f>
        <v>333.19729999999998</v>
      </c>
      <c r="L3302" s="53">
        <f>Tabela6[[#This Row],[CUSTO TOTAL]]/Tabela6[[#This Row],[CONSUMO]]</f>
        <v>5.89</v>
      </c>
      <c r="M3302" s="50">
        <f>Tabela6[[#This Row],[KM ATUAL]]-E3296</f>
        <v>-101198</v>
      </c>
      <c r="N3302" s="51">
        <f>Tabela6[[#This Row],[KM Rodados ]]/Tabela6[[#This Row],[CONSUMO]]</f>
        <v>-1788.8987095633729</v>
      </c>
    </row>
    <row r="3303" spans="1:14" x14ac:dyDescent="0.25">
      <c r="A3303" s="47">
        <v>8612</v>
      </c>
      <c r="B3303" s="78">
        <v>45268</v>
      </c>
      <c r="C3303" s="47" t="s">
        <v>73</v>
      </c>
      <c r="D3303" s="49" t="s">
        <v>299</v>
      </c>
      <c r="E3303" s="47">
        <v>167749</v>
      </c>
      <c r="G3303" s="50" t="s">
        <v>89</v>
      </c>
      <c r="H3303" s="51">
        <v>146</v>
      </c>
      <c r="J3303" s="51">
        <v>5.5</v>
      </c>
      <c r="K3303" s="74">
        <f>Tabela6[[#This Row],[CONSUMO]]*Tabela6[[#This Row],[VALOR UNIT]]-Tabela6[[#This Row],[DESCONTO]]</f>
        <v>803</v>
      </c>
      <c r="L3303" s="53">
        <f>Tabela6[[#This Row],[CUSTO TOTAL]]/Tabela6[[#This Row],[CONSUMO]]</f>
        <v>5.5</v>
      </c>
      <c r="M3303" s="50">
        <f>Tabela6[[#This Row],[KM ATUAL]]-E3268</f>
        <v>53907</v>
      </c>
      <c r="N3303" s="51">
        <f>Tabela6[[#This Row],[KM Rodados ]]/Tabela6[[#This Row],[CONSUMO]]</f>
        <v>369.22602739726028</v>
      </c>
    </row>
    <row r="3304" spans="1:14" x14ac:dyDescent="0.25">
      <c r="A3304" s="47">
        <v>8612</v>
      </c>
      <c r="B3304" s="78">
        <v>45268</v>
      </c>
      <c r="C3304" s="47" t="s">
        <v>10</v>
      </c>
      <c r="D3304" s="49" t="s">
        <v>299</v>
      </c>
      <c r="E3304" s="47">
        <v>735786</v>
      </c>
      <c r="G3304" s="50" t="s">
        <v>89</v>
      </c>
      <c r="H3304" s="51">
        <v>108</v>
      </c>
      <c r="J3304" s="51">
        <v>5.5</v>
      </c>
      <c r="K3304" s="74">
        <f>Tabela6[[#This Row],[CONSUMO]]*Tabela6[[#This Row],[VALOR UNIT]]-Tabela6[[#This Row],[DESCONTO]]</f>
        <v>594</v>
      </c>
      <c r="L3304" s="53">
        <f>Tabela6[[#This Row],[CUSTO TOTAL]]/Tabela6[[#This Row],[CONSUMO]]</f>
        <v>5.5</v>
      </c>
      <c r="M3304" s="50">
        <f>Tabela6[[#This Row],[KM ATUAL]]-E3282</f>
        <v>204911</v>
      </c>
      <c r="N3304" s="51">
        <f>Tabela6[[#This Row],[KM Rodados ]]/Tabela6[[#This Row],[CONSUMO]]</f>
        <v>1897.3240740740741</v>
      </c>
    </row>
    <row r="3305" spans="1:14" x14ac:dyDescent="0.25">
      <c r="A3305" s="47">
        <v>110075</v>
      </c>
      <c r="B3305" s="78">
        <v>45268</v>
      </c>
      <c r="C3305" s="47" t="s">
        <v>11</v>
      </c>
      <c r="D3305" s="49" t="s">
        <v>253</v>
      </c>
      <c r="E3305" s="47">
        <v>406954</v>
      </c>
      <c r="G3305" s="50" t="s">
        <v>89</v>
      </c>
      <c r="H3305" s="51">
        <v>109.43</v>
      </c>
      <c r="J3305" s="51">
        <v>6.29</v>
      </c>
      <c r="K3305" s="74">
        <f>Tabela6[[#This Row],[CONSUMO]]*Tabela6[[#This Row],[VALOR UNIT]]-Tabela6[[#This Row],[DESCONTO]]</f>
        <v>688.31470000000002</v>
      </c>
      <c r="L3305" s="53">
        <f>Tabela6[[#This Row],[CUSTO TOTAL]]/Tabela6[[#This Row],[CONSUMO]]</f>
        <v>6.29</v>
      </c>
      <c r="M3305" s="50">
        <f>Tabela6[[#This Row],[KM ATUAL]]-E3221</f>
        <v>234314</v>
      </c>
      <c r="N3305" s="51">
        <f>Tabela6[[#This Row],[KM Rodados ]]/Tabela6[[#This Row],[CONSUMO]]</f>
        <v>2141.222699442566</v>
      </c>
    </row>
    <row r="3306" spans="1:14" x14ac:dyDescent="0.25">
      <c r="A3306" s="47">
        <v>226145</v>
      </c>
      <c r="B3306" s="78">
        <v>45268</v>
      </c>
      <c r="C3306" s="47" t="s">
        <v>20</v>
      </c>
      <c r="D3306" s="49" t="s">
        <v>262</v>
      </c>
      <c r="E3306" s="47">
        <v>286524</v>
      </c>
      <c r="G3306" s="50" t="s">
        <v>89</v>
      </c>
      <c r="H3306" s="51">
        <v>16.260000000000002</v>
      </c>
      <c r="J3306" s="51">
        <v>5.99</v>
      </c>
      <c r="K3306" s="74">
        <f>Tabela6[[#This Row],[CONSUMO]]*Tabela6[[#This Row],[VALOR UNIT]]-Tabela6[[#This Row],[DESCONTO]]</f>
        <v>97.397400000000019</v>
      </c>
      <c r="L3306" s="53">
        <f>Tabela6[[#This Row],[CUSTO TOTAL]]/Tabela6[[#This Row],[CONSUMO]]</f>
        <v>5.99</v>
      </c>
      <c r="M3306" s="50">
        <f>Tabela6[[#This Row],[KM ATUAL]]-E3285</f>
        <v>-783474</v>
      </c>
      <c r="N3306" s="51">
        <f>Tabela6[[#This Row],[KM Rodados ]]/Tabela6[[#This Row],[CONSUMO]]</f>
        <v>-48184.132841328406</v>
      </c>
    </row>
    <row r="3307" spans="1:14" x14ac:dyDescent="0.25">
      <c r="A3307" s="47">
        <v>110043</v>
      </c>
      <c r="B3307" s="78">
        <v>45268</v>
      </c>
      <c r="C3307" s="47" t="s">
        <v>315</v>
      </c>
      <c r="D3307" s="49" t="s">
        <v>253</v>
      </c>
      <c r="E3307" s="47">
        <v>9289</v>
      </c>
      <c r="G3307" s="50" t="s">
        <v>89</v>
      </c>
      <c r="H3307" s="51">
        <v>63.85</v>
      </c>
      <c r="J3307" s="51">
        <v>6.29</v>
      </c>
      <c r="K3307" s="74">
        <f>Tabela6[[#This Row],[CONSUMO]]*Tabela6[[#This Row],[VALOR UNIT]]-Tabela6[[#This Row],[DESCONTO]]</f>
        <v>401.61650000000003</v>
      </c>
      <c r="L3307" s="53">
        <f>Tabela6[[#This Row],[CUSTO TOTAL]]/Tabela6[[#This Row],[CONSUMO]]</f>
        <v>6.29</v>
      </c>
      <c r="M3307" s="50">
        <f>Tabela6[[#This Row],[KM ATUAL]]-E3221</f>
        <v>-163351</v>
      </c>
      <c r="N3307" s="51">
        <f>Tabela6[[#This Row],[KM Rodados ]]/Tabela6[[#This Row],[CONSUMO]]</f>
        <v>-2558.355520751762</v>
      </c>
    </row>
    <row r="3308" spans="1:14" x14ac:dyDescent="0.25">
      <c r="A3308" s="47">
        <v>110043</v>
      </c>
      <c r="B3308" s="78">
        <v>45268</v>
      </c>
      <c r="C3308" s="47" t="s">
        <v>315</v>
      </c>
      <c r="D3308" s="49" t="s">
        <v>253</v>
      </c>
      <c r="E3308" s="47">
        <v>9289</v>
      </c>
      <c r="G3308" s="50" t="s">
        <v>241</v>
      </c>
      <c r="H3308" s="51">
        <v>1</v>
      </c>
      <c r="J3308" s="51">
        <v>3.49</v>
      </c>
      <c r="K3308" s="74">
        <f>Tabela6[[#This Row],[CONSUMO]]*Tabela6[[#This Row],[VALOR UNIT]]-Tabela6[[#This Row],[DESCONTO]]</f>
        <v>3.49</v>
      </c>
      <c r="L3308" s="53">
        <f>Tabela6[[#This Row],[CUSTO TOTAL]]/Tabela6[[#This Row],[CONSUMO]]</f>
        <v>3.49</v>
      </c>
      <c r="M3308" s="50"/>
    </row>
    <row r="3309" spans="1:14" x14ac:dyDescent="0.25">
      <c r="A3309" s="47">
        <v>8741</v>
      </c>
      <c r="B3309" s="78">
        <v>45268</v>
      </c>
      <c r="C3309" s="47" t="s">
        <v>354</v>
      </c>
      <c r="D3309" s="49" t="s">
        <v>299</v>
      </c>
      <c r="E3309" s="47">
        <v>7954</v>
      </c>
      <c r="G3309" s="50" t="s">
        <v>89</v>
      </c>
      <c r="H3309" s="51">
        <v>272</v>
      </c>
      <c r="J3309" s="51">
        <v>5.4</v>
      </c>
      <c r="K3309" s="74">
        <f>Tabela6[[#This Row],[CONSUMO]]*Tabela6[[#This Row],[VALOR UNIT]]-Tabela6[[#This Row],[DESCONTO]]</f>
        <v>1468.8000000000002</v>
      </c>
      <c r="L3309" s="53">
        <f>Tabela6[[#This Row],[CUSTO TOTAL]]/Tabela6[[#This Row],[CONSUMO]]</f>
        <v>5.4</v>
      </c>
      <c r="M3309" s="50">
        <f>Tabela6[[#This Row],[KM ATUAL]]-E3203</f>
        <v>-86632</v>
      </c>
      <c r="N3309" s="51">
        <f>Tabela6[[#This Row],[KM Rodados ]]/Tabela6[[#This Row],[CONSUMO]]</f>
        <v>-318.5</v>
      </c>
    </row>
    <row r="3310" spans="1:14" x14ac:dyDescent="0.25">
      <c r="A3310" s="47">
        <v>226298</v>
      </c>
      <c r="B3310" s="78">
        <v>45268</v>
      </c>
      <c r="C3310" s="47" t="s">
        <v>354</v>
      </c>
      <c r="D3310" s="49" t="s">
        <v>262</v>
      </c>
      <c r="E3310" s="47">
        <v>7950</v>
      </c>
      <c r="G3310" s="50" t="s">
        <v>241</v>
      </c>
      <c r="H3310" s="51">
        <v>25.085999999999999</v>
      </c>
      <c r="I3310" s="49">
        <v>9.0299999999999994</v>
      </c>
      <c r="J3310" s="51">
        <v>3.69</v>
      </c>
      <c r="K3310" s="74">
        <f>Tabela6[[#This Row],[CONSUMO]]*Tabela6[[#This Row],[VALOR UNIT]]-Tabela6[[#This Row],[DESCONTO]]</f>
        <v>83.537339999999986</v>
      </c>
      <c r="L3310" s="53">
        <f>Tabela6[[#This Row],[CUSTO TOTAL]]/Tabela6[[#This Row],[CONSUMO]]</f>
        <v>3.3300382683568519</v>
      </c>
      <c r="M3310" s="50"/>
    </row>
    <row r="3311" spans="1:14" x14ac:dyDescent="0.25">
      <c r="A3311" s="47">
        <v>240221</v>
      </c>
      <c r="B3311" s="78">
        <v>45269</v>
      </c>
      <c r="C3311" s="47" t="s">
        <v>301</v>
      </c>
      <c r="D3311" s="49" t="s">
        <v>329</v>
      </c>
      <c r="E3311" s="47">
        <v>1070520</v>
      </c>
      <c r="G3311" s="50" t="s">
        <v>89</v>
      </c>
      <c r="H3311" s="51">
        <v>270</v>
      </c>
      <c r="J3311" s="51">
        <v>5.84</v>
      </c>
      <c r="K3311" s="74">
        <f>Tabela6[[#This Row],[CONSUMO]]*Tabela6[[#This Row],[VALOR UNIT]]-Tabela6[[#This Row],[DESCONTO]]</f>
        <v>1576.8</v>
      </c>
      <c r="L3311" s="53">
        <f>Tabela6[[#This Row],[CUSTO TOTAL]]/Tabela6[[#This Row],[CONSUMO]]</f>
        <v>5.84</v>
      </c>
      <c r="M3311" s="50">
        <f>Tabela6[[#This Row],[KM ATUAL]]-E3286</f>
        <v>401229</v>
      </c>
      <c r="N3311" s="51">
        <f>Tabela6[[#This Row],[KM Rodados ]]/Tabela6[[#This Row],[CONSUMO]]</f>
        <v>1486.0333333333333</v>
      </c>
    </row>
    <row r="3312" spans="1:14" x14ac:dyDescent="0.25">
      <c r="A3312" s="47">
        <v>587884</v>
      </c>
      <c r="B3312" s="78">
        <v>45269</v>
      </c>
      <c r="C3312" s="47"/>
      <c r="D3312" s="49" t="s">
        <v>255</v>
      </c>
      <c r="E3312" s="47">
        <v>174879</v>
      </c>
      <c r="G3312" s="50" t="s">
        <v>244</v>
      </c>
      <c r="H3312" s="51">
        <v>45.47</v>
      </c>
      <c r="J3312" s="51">
        <v>5.84</v>
      </c>
      <c r="K3312" s="74">
        <f>Tabela6[[#This Row],[CONSUMO]]*Tabela6[[#This Row],[VALOR UNIT]]-Tabela6[[#This Row],[DESCONTO]]</f>
        <v>265.54480000000001</v>
      </c>
      <c r="L3312" s="53">
        <f>Tabela6[[#This Row],[CUSTO TOTAL]]/Tabela6[[#This Row],[CONSUMO]]</f>
        <v>5.8400000000000007</v>
      </c>
      <c r="M3312" s="53" t="e" cm="1">
        <f t="array" ref="M3312">SE</f>
        <v>#NAME?</v>
      </c>
      <c r="N3312" s="49" t="e">
        <f>Tabela6[[#This Row],[KM Rodados ]]/Tabela6[[#This Row],[CONSUMO]]</f>
        <v>#NAME?</v>
      </c>
    </row>
    <row r="3313" spans="1:14" x14ac:dyDescent="0.25">
      <c r="A3313" s="47">
        <v>270886</v>
      </c>
      <c r="B3313" s="78">
        <v>45270</v>
      </c>
      <c r="C3313" s="47" t="s">
        <v>9</v>
      </c>
      <c r="D3313" s="49" t="s">
        <v>273</v>
      </c>
      <c r="E3313" s="47">
        <v>638255</v>
      </c>
      <c r="G3313" s="50" t="s">
        <v>89</v>
      </c>
      <c r="H3313" s="51">
        <v>113</v>
      </c>
      <c r="J3313" s="51">
        <v>5.84</v>
      </c>
      <c r="K3313" s="74">
        <f>Tabela6[[#This Row],[CONSUMO]]*Tabela6[[#This Row],[VALOR UNIT]]-Tabela6[[#This Row],[DESCONTO]]</f>
        <v>659.92</v>
      </c>
      <c r="L3313" s="53">
        <f>Tabela6[[#This Row],[CUSTO TOTAL]]/Tabela6[[#This Row],[CONSUMO]]</f>
        <v>5.84</v>
      </c>
      <c r="M3313" s="50">
        <f>Tabela6[[#This Row],[KM ATUAL]]-E3259</f>
        <v>254427</v>
      </c>
      <c r="N3313" s="51">
        <f>Tabela6[[#This Row],[KM Rodados ]]/Tabela6[[#This Row],[CONSUMO]]</f>
        <v>2251.5663716814161</v>
      </c>
    </row>
    <row r="3314" spans="1:14" x14ac:dyDescent="0.25">
      <c r="A3314" s="47">
        <v>471602</v>
      </c>
      <c r="B3314" s="78">
        <v>45270</v>
      </c>
      <c r="C3314" s="47" t="s">
        <v>301</v>
      </c>
      <c r="D3314" s="49" t="s">
        <v>347</v>
      </c>
      <c r="E3314" s="47">
        <v>1071296</v>
      </c>
      <c r="G3314" s="50" t="s">
        <v>89</v>
      </c>
      <c r="H3314" s="51">
        <v>430.07</v>
      </c>
      <c r="J3314" s="51">
        <v>5.79</v>
      </c>
      <c r="K3314" s="74">
        <f>Tabela6[[#This Row],[CONSUMO]]*Tabela6[[#This Row],[VALOR UNIT]]-Tabela6[[#This Row],[DESCONTO]]</f>
        <v>2490.1053000000002</v>
      </c>
      <c r="L3314" s="53">
        <f>Tabela6[[#This Row],[CUSTO TOTAL]]/Tabela6[[#This Row],[CONSUMO]]</f>
        <v>5.7900000000000009</v>
      </c>
      <c r="M3314" s="50">
        <f>Tabela6[[#This Row],[KM ATUAL]]-E3312</f>
        <v>896417</v>
      </c>
      <c r="N3314" s="51">
        <f>Tabela6[[#This Row],[KM Rodados ]]/Tabela6[[#This Row],[CONSUMO]]</f>
        <v>2084.3513846583114</v>
      </c>
    </row>
    <row r="3315" spans="1:14" x14ac:dyDescent="0.25">
      <c r="A3315" s="47">
        <v>753609</v>
      </c>
      <c r="B3315" s="78">
        <v>45270</v>
      </c>
      <c r="C3315" s="47" t="s">
        <v>16</v>
      </c>
      <c r="D3315" s="49" t="s">
        <v>390</v>
      </c>
      <c r="E3315" s="47">
        <v>309753</v>
      </c>
      <c r="G3315" s="50" t="s">
        <v>89</v>
      </c>
      <c r="H3315" s="51">
        <v>93.010999999999996</v>
      </c>
      <c r="J3315" s="51">
        <v>5.53</v>
      </c>
      <c r="K3315" s="74">
        <f>Tabela6[[#This Row],[CONSUMO]]*Tabela6[[#This Row],[VALOR UNIT]]-Tabela6[[#This Row],[DESCONTO]]</f>
        <v>514.35082999999997</v>
      </c>
      <c r="L3315" s="53">
        <f>Tabela6[[#This Row],[CUSTO TOTAL]]/Tabela6[[#This Row],[CONSUMO]]</f>
        <v>5.53</v>
      </c>
      <c r="M3315" s="50">
        <f>Tabela6[[#This Row],[KM ATUAL]]-E2153</f>
        <v>-186740</v>
      </c>
      <c r="N3315" s="51">
        <f>Tabela6[[#This Row],[KM Rodados ]]/Tabela6[[#This Row],[CONSUMO]]</f>
        <v>-2007.719517046371</v>
      </c>
    </row>
    <row r="3316" spans="1:14" x14ac:dyDescent="0.25">
      <c r="A3316" s="47">
        <v>356975</v>
      </c>
      <c r="B3316" s="78">
        <v>45271</v>
      </c>
      <c r="C3316" s="47" t="s">
        <v>43</v>
      </c>
      <c r="D3316" s="49" t="s">
        <v>276</v>
      </c>
      <c r="E3316" s="47">
        <v>164693</v>
      </c>
      <c r="G3316" s="50" t="s">
        <v>89</v>
      </c>
      <c r="H3316" s="51">
        <v>38.478999999999999</v>
      </c>
      <c r="J3316" s="51">
        <v>6.09</v>
      </c>
      <c r="K3316" s="74">
        <f>Tabela6[[#This Row],[CONSUMO]]*Tabela6[[#This Row],[VALOR UNIT]]-Tabela6[[#This Row],[DESCONTO]]</f>
        <v>234.33711</v>
      </c>
      <c r="L3316" s="53">
        <f>Tabela6[[#This Row],[CUSTO TOTAL]]/Tabela6[[#This Row],[CONSUMO]]</f>
        <v>6.09</v>
      </c>
      <c r="M3316" s="50">
        <f>Tabela6[[#This Row],[KM ATUAL]]-E3308</f>
        <v>155404</v>
      </c>
      <c r="N3316" s="51">
        <f>Tabela6[[#This Row],[KM Rodados ]]/Tabela6[[#This Row],[CONSUMO]]</f>
        <v>4038.6704436185973</v>
      </c>
    </row>
    <row r="3317" spans="1:14" x14ac:dyDescent="0.25">
      <c r="A3317" s="47">
        <v>606833</v>
      </c>
      <c r="B3317" s="78">
        <v>45271</v>
      </c>
      <c r="C3317" s="47" t="s">
        <v>43</v>
      </c>
      <c r="D3317" s="49" t="s">
        <v>393</v>
      </c>
      <c r="E3317" s="47">
        <v>164923</v>
      </c>
      <c r="G3317" s="50" t="s">
        <v>89</v>
      </c>
      <c r="H3317" s="51">
        <v>33.774000000000001</v>
      </c>
      <c r="J3317" s="51">
        <v>6.19</v>
      </c>
      <c r="K3317" s="74">
        <f>Tabela6[[#This Row],[CONSUMO]]*Tabela6[[#This Row],[VALOR UNIT]]-Tabela6[[#This Row],[DESCONTO]]</f>
        <v>209.06106000000003</v>
      </c>
      <c r="L3317" s="53">
        <f>Tabela6[[#This Row],[CUSTO TOTAL]]/Tabela6[[#This Row],[CONSUMO]]</f>
        <v>6.19</v>
      </c>
      <c r="M3317" s="50">
        <f>Tabela6[[#This Row],[KM ATUAL]]-E3316</f>
        <v>230</v>
      </c>
      <c r="N3317" s="51">
        <f>Tabela6[[#This Row],[KM Rodados ]]/Tabela6[[#This Row],[CONSUMO]]</f>
        <v>6.8099721679398355</v>
      </c>
    </row>
    <row r="3318" spans="1:14" x14ac:dyDescent="0.25">
      <c r="A3318" s="47">
        <v>9811</v>
      </c>
      <c r="B3318" s="78">
        <v>45271</v>
      </c>
      <c r="C3318" s="47" t="s">
        <v>43</v>
      </c>
      <c r="D3318" s="49" t="s">
        <v>391</v>
      </c>
      <c r="E3318" s="47">
        <v>165135</v>
      </c>
      <c r="G3318" s="50" t="s">
        <v>89</v>
      </c>
      <c r="H3318" s="51">
        <v>30.291</v>
      </c>
      <c r="J3318" s="51">
        <v>6.34</v>
      </c>
      <c r="K3318" s="74">
        <f>Tabela6[[#This Row],[CONSUMO]]*Tabela6[[#This Row],[VALOR UNIT]]-Tabela6[[#This Row],[DESCONTO]]</f>
        <v>192.04494</v>
      </c>
      <c r="L3318" s="53">
        <f>Tabela6[[#This Row],[CUSTO TOTAL]]/Tabela6[[#This Row],[CONSUMO]]</f>
        <v>6.34</v>
      </c>
      <c r="M3318" s="50">
        <f>Tabela6[[#This Row],[KM ATUAL]]-E3317</f>
        <v>212</v>
      </c>
      <c r="N3318" s="51">
        <f>Tabela6[[#This Row],[KM Rodados ]]/Tabela6[[#This Row],[CONSUMO]]</f>
        <v>6.9987785150704829</v>
      </c>
    </row>
    <row r="3319" spans="1:14" x14ac:dyDescent="0.25">
      <c r="A3319" s="47">
        <v>8741</v>
      </c>
      <c r="B3319" s="78">
        <v>45271</v>
      </c>
      <c r="C3319" s="47" t="s">
        <v>222</v>
      </c>
      <c r="D3319" s="49" t="s">
        <v>299</v>
      </c>
      <c r="E3319" s="47">
        <v>532566</v>
      </c>
      <c r="G3319" s="50" t="s">
        <v>89</v>
      </c>
      <c r="H3319" s="51">
        <v>225</v>
      </c>
      <c r="J3319" s="51">
        <v>5.4</v>
      </c>
      <c r="K3319" s="74">
        <f>Tabela6[[#This Row],[CONSUMO]]*Tabela6[[#This Row],[VALOR UNIT]]-Tabela6[[#This Row],[DESCONTO]]</f>
        <v>1215</v>
      </c>
      <c r="L3319" s="53">
        <f>Tabela6[[#This Row],[CUSTO TOTAL]]/Tabela6[[#This Row],[CONSUMO]]</f>
        <v>5.4</v>
      </c>
      <c r="M3319" s="50">
        <f>Tabela6[[#This Row],[KM ATUAL]]-E3299</f>
        <v>286734</v>
      </c>
      <c r="N3319" s="51">
        <f>Tabela6[[#This Row],[KM Rodados ]]/Tabela6[[#This Row],[CONSUMO]]</f>
        <v>1274.3733333333332</v>
      </c>
    </row>
    <row r="3320" spans="1:14" x14ac:dyDescent="0.25">
      <c r="A3320" s="47">
        <v>8741</v>
      </c>
      <c r="B3320" s="78">
        <v>45271</v>
      </c>
      <c r="C3320" s="47" t="s">
        <v>22</v>
      </c>
      <c r="D3320" s="49" t="s">
        <v>299</v>
      </c>
      <c r="E3320" s="47">
        <v>344551</v>
      </c>
      <c r="G3320" s="50" t="s">
        <v>89</v>
      </c>
      <c r="H3320" s="51">
        <v>80</v>
      </c>
      <c r="J3320" s="51">
        <v>5.4</v>
      </c>
      <c r="K3320" s="74">
        <f>Tabela6[[#This Row],[CONSUMO]]*Tabela6[[#This Row],[VALOR UNIT]]-Tabela6[[#This Row],[DESCONTO]]</f>
        <v>432</v>
      </c>
      <c r="L3320" s="53">
        <f>Tabela6[[#This Row],[CUSTO TOTAL]]/Tabela6[[#This Row],[CONSUMO]]</f>
        <v>5.4</v>
      </c>
      <c r="M3320" s="50">
        <f>Tabela6[[#This Row],[KM ATUAL]]-E3262</f>
        <v>248603</v>
      </c>
      <c r="N3320" s="51">
        <f>Tabela6[[#This Row],[KM Rodados ]]/Tabela6[[#This Row],[CONSUMO]]</f>
        <v>3107.5374999999999</v>
      </c>
    </row>
    <row r="3321" spans="1:14" x14ac:dyDescent="0.25">
      <c r="A3321" s="47">
        <v>357763</v>
      </c>
      <c r="B3321" s="78">
        <v>45271</v>
      </c>
      <c r="C3321" s="47" t="s">
        <v>70</v>
      </c>
      <c r="D3321" s="49" t="s">
        <v>345</v>
      </c>
      <c r="E3321" s="47">
        <v>246187</v>
      </c>
      <c r="G3321" s="50" t="s">
        <v>89</v>
      </c>
      <c r="H3321" s="51">
        <v>100.03</v>
      </c>
      <c r="J3321" s="51">
        <v>5.46</v>
      </c>
      <c r="K3321" s="74">
        <f>Tabela6[[#This Row],[CONSUMO]]*Tabela6[[#This Row],[VALOR UNIT]]-Tabela6[[#This Row],[DESCONTO]]</f>
        <v>546.16380000000004</v>
      </c>
      <c r="L3321" s="53">
        <f>Tabela6[[#This Row],[CUSTO TOTAL]]/Tabela6[[#This Row],[CONSUMO]]</f>
        <v>5.46</v>
      </c>
      <c r="M3321" s="50">
        <f>Tabela6[[#This Row],[KM ATUAL]]-E3300</f>
        <v>118579</v>
      </c>
      <c r="N3321" s="51">
        <f>Tabela6[[#This Row],[KM Rodados ]]/Tabela6[[#This Row],[CONSUMO]]</f>
        <v>1185.4343696890933</v>
      </c>
    </row>
    <row r="3322" spans="1:14" x14ac:dyDescent="0.25">
      <c r="A3322" s="47">
        <v>588578</v>
      </c>
      <c r="B3322" s="78">
        <v>45271</v>
      </c>
      <c r="C3322" s="47" t="s">
        <v>203</v>
      </c>
      <c r="D3322" s="49" t="s">
        <v>255</v>
      </c>
      <c r="E3322" s="47">
        <v>128097</v>
      </c>
      <c r="G3322" s="50" t="s">
        <v>244</v>
      </c>
      <c r="H3322" s="51">
        <v>41.521000000000001</v>
      </c>
      <c r="J3322" s="51">
        <v>5.84</v>
      </c>
      <c r="K3322" s="74">
        <f>Tabela6[[#This Row],[CONSUMO]]*Tabela6[[#This Row],[VALOR UNIT]]-Tabela6[[#This Row],[DESCONTO]]</f>
        <v>242.48264</v>
      </c>
      <c r="L3322" s="53">
        <f>Tabela6[[#This Row],[CUSTO TOTAL]]/Tabela6[[#This Row],[CONSUMO]]</f>
        <v>5.84</v>
      </c>
      <c r="M3322" s="50">
        <f>Tabela6[[#This Row],[KM ATUAL]]-E3285</f>
        <v>-941901</v>
      </c>
      <c r="N3322" s="51">
        <f>Tabela6[[#This Row],[KM Rodados ]]/Tabela6[[#This Row],[CONSUMO]]</f>
        <v>-22684.930517087738</v>
      </c>
    </row>
    <row r="3323" spans="1:14" x14ac:dyDescent="0.25">
      <c r="A3323" s="47">
        <v>588381</v>
      </c>
      <c r="B3323" s="78">
        <v>45271</v>
      </c>
      <c r="C3323" s="47" t="s">
        <v>64</v>
      </c>
      <c r="D3323" s="49" t="s">
        <v>255</v>
      </c>
      <c r="E3323" s="47">
        <v>107044</v>
      </c>
      <c r="G3323" s="50" t="s">
        <v>89</v>
      </c>
      <c r="H3323" s="51">
        <v>207.37100000000001</v>
      </c>
      <c r="J3323" s="51">
        <v>6.69</v>
      </c>
      <c r="K3323" s="74">
        <f>Tabela6[[#This Row],[CONSUMO]]*Tabela6[[#This Row],[VALOR UNIT]]-Tabela6[[#This Row],[DESCONTO]]</f>
        <v>1387.3119900000002</v>
      </c>
      <c r="L3323" s="53">
        <f>Tabela6[[#This Row],[CUSTO TOTAL]]/Tabela6[[#This Row],[CONSUMO]]</f>
        <v>6.69</v>
      </c>
      <c r="M3323" s="50">
        <f>Tabela6[[#This Row],[KM ATUAL]]-E3266</f>
        <v>-270990</v>
      </c>
      <c r="N3323" s="51">
        <f>Tabela6[[#This Row],[KM Rodados ]]/Tabela6[[#This Row],[CONSUMO]]</f>
        <v>-1306.7883165920018</v>
      </c>
    </row>
    <row r="3324" spans="1:14" x14ac:dyDescent="0.25">
      <c r="A3324" s="47">
        <v>8741</v>
      </c>
      <c r="B3324" s="78">
        <v>45271</v>
      </c>
      <c r="C3324" s="47" t="s">
        <v>41</v>
      </c>
      <c r="D3324" s="49" t="s">
        <v>299</v>
      </c>
      <c r="E3324" s="47">
        <v>688287</v>
      </c>
      <c r="G3324" s="50" t="s">
        <v>89</v>
      </c>
      <c r="H3324" s="51">
        <v>110</v>
      </c>
      <c r="J3324" s="51">
        <v>5.4</v>
      </c>
      <c r="K3324" s="74">
        <f>Tabela6[[#This Row],[CONSUMO]]*Tabela6[[#This Row],[VALOR UNIT]]-Tabela6[[#This Row],[DESCONTO]]</f>
        <v>594</v>
      </c>
      <c r="L3324" s="53">
        <f>Tabela6[[#This Row],[CUSTO TOTAL]]/Tabela6[[#This Row],[CONSUMO]]</f>
        <v>5.4</v>
      </c>
      <c r="M3324" s="50">
        <f>Tabela6[[#This Row],[KM ATUAL]]-E3260</f>
        <v>344851</v>
      </c>
      <c r="N3324" s="51">
        <f>Tabela6[[#This Row],[KM Rodados ]]/Tabela6[[#This Row],[CONSUMO]]</f>
        <v>3135.0090909090909</v>
      </c>
    </row>
    <row r="3325" spans="1:14" x14ac:dyDescent="0.25">
      <c r="A3325" s="47">
        <v>112715</v>
      </c>
      <c r="B3325" s="78">
        <v>45271</v>
      </c>
      <c r="C3325" s="47" t="s">
        <v>12</v>
      </c>
      <c r="D3325" s="49" t="s">
        <v>253</v>
      </c>
      <c r="E3325" s="119">
        <v>327452</v>
      </c>
      <c r="G3325" s="50" t="s">
        <v>89</v>
      </c>
      <c r="H3325" s="51">
        <v>101.58</v>
      </c>
      <c r="J3325" s="51">
        <v>6.29</v>
      </c>
      <c r="K3325" s="74">
        <f>Tabela6[[#This Row],[CONSUMO]]*Tabela6[[#This Row],[VALOR UNIT]]-Tabela6[[#This Row],[DESCONTO]]</f>
        <v>638.93819999999994</v>
      </c>
      <c r="L3325" s="53">
        <f>Tabela6[[#This Row],[CUSTO TOTAL]]/Tabela6[[#This Row],[CONSUMO]]</f>
        <v>6.2899999999999991</v>
      </c>
      <c r="M3325" s="50">
        <f>Tabela6[[#This Row],[KM ATUAL]]-E3224</f>
        <v>202371</v>
      </c>
      <c r="N3325" s="51">
        <f>Tabela6[[#This Row],[KM Rodados ]]/Tabela6[[#This Row],[CONSUMO]]</f>
        <v>1992.2327229769639</v>
      </c>
    </row>
    <row r="3326" spans="1:14" x14ac:dyDescent="0.25">
      <c r="A3326" s="47">
        <v>112715</v>
      </c>
      <c r="B3326" s="78">
        <v>45271</v>
      </c>
      <c r="C3326" s="47" t="s">
        <v>12</v>
      </c>
      <c r="D3326" s="49" t="s">
        <v>253</v>
      </c>
      <c r="E3326" s="119">
        <v>327452</v>
      </c>
      <c r="G3326" s="50" t="s">
        <v>241</v>
      </c>
      <c r="H3326" s="51">
        <v>15.089</v>
      </c>
      <c r="J3326" s="51">
        <v>3.49</v>
      </c>
      <c r="K3326" s="74">
        <f>Tabela6[[#This Row],[CONSUMO]]*Tabela6[[#This Row],[VALOR UNIT]]-Tabela6[[#This Row],[DESCONTO]]</f>
        <v>52.660610000000005</v>
      </c>
      <c r="L3326" s="53">
        <f>Tabela6[[#This Row],[CUSTO TOTAL]]/Tabela6[[#This Row],[CONSUMO]]</f>
        <v>3.49</v>
      </c>
      <c r="M3326" s="50"/>
      <c r="N3326" s="49"/>
    </row>
    <row r="3327" spans="1:14" x14ac:dyDescent="0.25">
      <c r="A3327" s="47">
        <v>8741</v>
      </c>
      <c r="B3327" s="78">
        <v>45271</v>
      </c>
      <c r="C3327" s="47" t="s">
        <v>13</v>
      </c>
      <c r="D3327" s="49" t="s">
        <v>299</v>
      </c>
      <c r="E3327" s="47">
        <v>669648</v>
      </c>
      <c r="G3327" s="50" t="s">
        <v>89</v>
      </c>
      <c r="H3327" s="51">
        <v>78</v>
      </c>
      <c r="J3327" s="51">
        <v>5.4</v>
      </c>
      <c r="K3327" s="74">
        <f>Tabela6[[#This Row],[CONSUMO]]*Tabela6[[#This Row],[VALOR UNIT]]-Tabela6[[#This Row],[DESCONTO]]</f>
        <v>421.20000000000005</v>
      </c>
      <c r="L3327" s="53">
        <f>Tabela6[[#This Row],[CUSTO TOTAL]]/Tabela6[[#This Row],[CONSUMO]]</f>
        <v>5.4</v>
      </c>
      <c r="M3327" s="50">
        <f>Tabela6[[#This Row],[KM ATUAL]]-E3282</f>
        <v>138773</v>
      </c>
      <c r="N3327" s="51">
        <f>Tabela6[[#This Row],[KM Rodados ]]/Tabela6[[#This Row],[CONSUMO]]</f>
        <v>1779.1410256410256</v>
      </c>
    </row>
    <row r="3328" spans="1:14" x14ac:dyDescent="0.25">
      <c r="A3328" s="47">
        <v>226897</v>
      </c>
      <c r="B3328" s="78">
        <v>45271</v>
      </c>
      <c r="C3328" s="47" t="s">
        <v>14</v>
      </c>
      <c r="D3328" s="49" t="s">
        <v>262</v>
      </c>
      <c r="E3328" s="47">
        <v>305767</v>
      </c>
      <c r="G3328" s="50" t="s">
        <v>244</v>
      </c>
      <c r="H3328" s="51">
        <v>22.02</v>
      </c>
      <c r="J3328" s="51">
        <v>5.59</v>
      </c>
      <c r="K3328" s="74">
        <f>Tabela6[[#This Row],[CONSUMO]]*Tabela6[[#This Row],[VALOR UNIT]]-Tabela6[[#This Row],[DESCONTO]]</f>
        <v>123.09179999999999</v>
      </c>
      <c r="L3328" s="53">
        <f>Tabela6[[#This Row],[CUSTO TOTAL]]/Tabela6[[#This Row],[CONSUMO]]</f>
        <v>5.59</v>
      </c>
      <c r="M3328" s="50">
        <f>Tabela6[[#This Row],[KM ATUAL]]-E3286</f>
        <v>-363524</v>
      </c>
      <c r="N3328" s="51">
        <f>Tabela6[[#This Row],[KM Rodados ]]/Tabela6[[#This Row],[CONSUMO]]</f>
        <v>-16508.810172570389</v>
      </c>
    </row>
    <row r="3329" spans="1:14" x14ac:dyDescent="0.25">
      <c r="A3329" s="47">
        <v>322211</v>
      </c>
      <c r="B3329" s="78">
        <v>45271</v>
      </c>
      <c r="C3329" s="47" t="s">
        <v>16</v>
      </c>
      <c r="D3329" s="49" t="s">
        <v>392</v>
      </c>
      <c r="E3329" s="47">
        <v>310378</v>
      </c>
      <c r="G3329" s="50" t="s">
        <v>89</v>
      </c>
      <c r="H3329" s="51">
        <v>104.34099999999999</v>
      </c>
      <c r="J3329" s="51">
        <v>5.99</v>
      </c>
      <c r="K3329" s="74">
        <f>Tabela6[[#This Row],[CONSUMO]]*Tabela6[[#This Row],[VALOR UNIT]]-Tabela6[[#This Row],[DESCONTO]]</f>
        <v>625.00258999999994</v>
      </c>
      <c r="L3329" s="53">
        <f>Tabela6[[#This Row],[CUSTO TOTAL]]/Tabela6[[#This Row],[CONSUMO]]</f>
        <v>5.99</v>
      </c>
      <c r="M3329" s="50">
        <f>Tabela6[[#This Row],[KM ATUAL]]-E3324</f>
        <v>-377909</v>
      </c>
      <c r="N3329" s="51">
        <f>Tabela6[[#This Row],[KM Rodados ]]/Tabela6[[#This Row],[CONSUMO]]</f>
        <v>-3621.8648469920745</v>
      </c>
    </row>
    <row r="3330" spans="1:14" x14ac:dyDescent="0.25">
      <c r="A3330" s="47">
        <v>8741</v>
      </c>
      <c r="B3330" s="78">
        <v>45271</v>
      </c>
      <c r="C3330" s="47" t="s">
        <v>17</v>
      </c>
      <c r="D3330" s="49" t="s">
        <v>299</v>
      </c>
      <c r="E3330" s="47">
        <v>384759</v>
      </c>
      <c r="G3330" s="50" t="s">
        <v>89</v>
      </c>
      <c r="H3330" s="51">
        <v>88</v>
      </c>
      <c r="J3330" s="51">
        <v>5.4</v>
      </c>
      <c r="K3330" s="74">
        <f>Tabela6[[#This Row],[CONSUMO]]*Tabela6[[#This Row],[VALOR UNIT]]-Tabela6[[#This Row],[DESCONTO]]</f>
        <v>475.20000000000005</v>
      </c>
      <c r="L3330" s="53">
        <f>Tabela6[[#This Row],[CUSTO TOTAL]]/Tabela6[[#This Row],[CONSUMO]]</f>
        <v>5.4</v>
      </c>
      <c r="M3330" s="50">
        <f>Tabela6[[#This Row],[KM ATUAL]]-E3295</f>
        <v>-494294</v>
      </c>
      <c r="N3330" s="51">
        <f>Tabela6[[#This Row],[KM Rodados ]]/Tabela6[[#This Row],[CONSUMO]]</f>
        <v>-5616.977272727273</v>
      </c>
    </row>
    <row r="3331" spans="1:14" x14ac:dyDescent="0.25">
      <c r="A3331" s="47">
        <v>8741</v>
      </c>
      <c r="B3331" s="78">
        <v>45271</v>
      </c>
      <c r="C3331" s="47" t="s">
        <v>19</v>
      </c>
      <c r="D3331" s="49" t="s">
        <v>299</v>
      </c>
      <c r="E3331" s="47">
        <v>344213</v>
      </c>
      <c r="G3331" s="50" t="s">
        <v>89</v>
      </c>
      <c r="H3331" s="51">
        <v>90</v>
      </c>
      <c r="J3331" s="51">
        <v>5.4</v>
      </c>
      <c r="K3331" s="74">
        <f>Tabela6[[#This Row],[CONSUMO]]*Tabela6[[#This Row],[VALOR UNIT]]-Tabela6[[#This Row],[DESCONTO]]</f>
        <v>486.00000000000006</v>
      </c>
      <c r="L3331" s="53">
        <f>Tabela6[[#This Row],[CUSTO TOTAL]]/Tabela6[[#This Row],[CONSUMO]]</f>
        <v>5.4</v>
      </c>
      <c r="M3331" s="50">
        <f>Tabela6[[#This Row],[KM ATUAL]]-E3287</f>
        <v>38748</v>
      </c>
      <c r="N3331" s="51">
        <f>Tabela6[[#This Row],[KM Rodados ]]/Tabela6[[#This Row],[CONSUMO]]</f>
        <v>430.53333333333336</v>
      </c>
    </row>
    <row r="3332" spans="1:14" x14ac:dyDescent="0.25">
      <c r="A3332" s="47">
        <v>588343</v>
      </c>
      <c r="B3332" s="78">
        <v>45271</v>
      </c>
      <c r="C3332" s="47" t="s">
        <v>38</v>
      </c>
      <c r="D3332" s="49" t="s">
        <v>255</v>
      </c>
      <c r="E3332" s="47">
        <v>140463</v>
      </c>
      <c r="G3332" s="50" t="s">
        <v>244</v>
      </c>
      <c r="H3332" s="51">
        <v>50.73</v>
      </c>
      <c r="J3332" s="51">
        <v>5.84</v>
      </c>
      <c r="K3332" s="74">
        <f>Tabela6[[#This Row],[CONSUMO]]*Tabela6[[#This Row],[VALOR UNIT]]-Tabela6[[#This Row],[DESCONTO]]</f>
        <v>296.26319999999998</v>
      </c>
      <c r="L3332" s="53">
        <f>Tabela6[[#This Row],[CUSTO TOTAL]]/Tabela6[[#This Row],[CONSUMO]]</f>
        <v>5.84</v>
      </c>
      <c r="M3332" s="50">
        <f>Tabela6[[#This Row],[KM ATUAL]]-E3209</f>
        <v>-203327</v>
      </c>
      <c r="N3332" s="51">
        <f>Tabela6[[#This Row],[KM Rodados ]]/Tabela6[[#This Row],[CONSUMO]]</f>
        <v>-4008.0228661541496</v>
      </c>
    </row>
    <row r="3333" spans="1:14" x14ac:dyDescent="0.25">
      <c r="A3333" s="47">
        <v>8741</v>
      </c>
      <c r="B3333" s="78">
        <v>45271</v>
      </c>
      <c r="C3333" s="47" t="s">
        <v>23</v>
      </c>
      <c r="D3333" s="49" t="s">
        <v>299</v>
      </c>
      <c r="E3333" s="47">
        <v>259938</v>
      </c>
      <c r="G3333" s="50" t="s">
        <v>89</v>
      </c>
      <c r="H3333" s="51">
        <v>105</v>
      </c>
      <c r="J3333" s="51">
        <v>5.4</v>
      </c>
      <c r="K3333" s="74">
        <f>Tabela6[[#This Row],[CONSUMO]]*Tabela6[[#This Row],[VALOR UNIT]]-Tabela6[[#This Row],[DESCONTO]]</f>
        <v>567</v>
      </c>
      <c r="L3333" s="53">
        <f>Tabela6[[#This Row],[CUSTO TOTAL]]/Tabela6[[#This Row],[CONSUMO]]</f>
        <v>5.4</v>
      </c>
      <c r="M3333" s="50">
        <f>Tabela6[[#This Row],[KM ATUAL]]-E3282</f>
        <v>-270937</v>
      </c>
      <c r="N3333" s="51">
        <f>Tabela6[[#This Row],[KM Rodados ]]/Tabela6[[#This Row],[CONSUMO]]</f>
        <v>-2580.3523809523808</v>
      </c>
    </row>
    <row r="3334" spans="1:14" x14ac:dyDescent="0.25">
      <c r="A3334" s="47">
        <v>8741</v>
      </c>
      <c r="B3334" s="78">
        <v>45271</v>
      </c>
      <c r="C3334" s="47" t="s">
        <v>74</v>
      </c>
      <c r="D3334" s="49" t="s">
        <v>299</v>
      </c>
      <c r="E3334" s="47">
        <v>97547</v>
      </c>
      <c r="G3334" s="50" t="s">
        <v>89</v>
      </c>
      <c r="H3334" s="51">
        <v>75</v>
      </c>
      <c r="J3334" s="51">
        <v>5.4</v>
      </c>
      <c r="K3334" s="74">
        <f>Tabela6[[#This Row],[CONSUMO]]*Tabela6[[#This Row],[VALOR UNIT]]-Tabela6[[#This Row],[DESCONTO]]</f>
        <v>405</v>
      </c>
      <c r="L3334" s="53">
        <f>Tabela6[[#This Row],[CUSTO TOTAL]]/Tabela6[[#This Row],[CONSUMO]]</f>
        <v>5.4</v>
      </c>
      <c r="M3334" s="50">
        <f>Tabela6[[#This Row],[KM ATUAL]]-E3291</f>
        <v>-188849</v>
      </c>
      <c r="N3334" s="51">
        <f>Tabela6[[#This Row],[KM Rodados ]]/Tabela6[[#This Row],[CONSUMO]]</f>
        <v>-2517.9866666666667</v>
      </c>
    </row>
    <row r="3335" spans="1:14" x14ac:dyDescent="0.25">
      <c r="A3335" s="47">
        <v>8741</v>
      </c>
      <c r="B3335" s="78">
        <v>45272</v>
      </c>
      <c r="C3335" s="47" t="s">
        <v>43</v>
      </c>
      <c r="D3335" s="49" t="s">
        <v>299</v>
      </c>
      <c r="E3335" s="102">
        <v>165358</v>
      </c>
      <c r="G3335" s="50" t="s">
        <v>89</v>
      </c>
      <c r="H3335" s="51">
        <v>32</v>
      </c>
      <c r="J3335" s="51">
        <v>5.4</v>
      </c>
      <c r="K3335" s="74">
        <f>Tabela6[[#This Row],[CONSUMO]]*Tabela6[[#This Row],[VALOR UNIT]]-Tabela6[[#This Row],[DESCONTO]]</f>
        <v>172.8</v>
      </c>
      <c r="L3335" s="53">
        <f>Tabela6[[#This Row],[CUSTO TOTAL]]/Tabela6[[#This Row],[CONSUMO]]</f>
        <v>5.4</v>
      </c>
      <c r="M3335" s="50">
        <f>Tabela6[[#This Row],[KM ATUAL]]-E3310</f>
        <v>157408</v>
      </c>
      <c r="N3335" s="51">
        <f>Tabela6[[#This Row],[KM Rodados ]]/Tabela6[[#This Row],[CONSUMO]]</f>
        <v>4919</v>
      </c>
    </row>
    <row r="3336" spans="1:14" x14ac:dyDescent="0.25">
      <c r="A3336" s="47">
        <v>1101</v>
      </c>
      <c r="B3336" s="78">
        <v>45272</v>
      </c>
      <c r="C3336" s="47" t="s">
        <v>394</v>
      </c>
      <c r="D3336" s="49" t="s">
        <v>324</v>
      </c>
      <c r="E3336" s="102">
        <v>879464</v>
      </c>
      <c r="G3336" s="50" t="s">
        <v>89</v>
      </c>
      <c r="H3336" s="51">
        <v>87.92</v>
      </c>
      <c r="J3336" s="51">
        <v>5.69</v>
      </c>
      <c r="K3336" s="74">
        <f>Tabela6[[#This Row],[CONSUMO]]*Tabela6[[#This Row],[VALOR UNIT]]-Tabela6[[#This Row],[DESCONTO]]</f>
        <v>500.26480000000004</v>
      </c>
      <c r="L3336" s="53">
        <f>Tabela6[[#This Row],[CUSTO TOTAL]]/Tabela6[[#This Row],[CONSUMO]]</f>
        <v>5.69</v>
      </c>
      <c r="M3336" s="51">
        <f>Tabela6[[#This Row],[KM ATUAL]]-E3304</f>
        <v>143678</v>
      </c>
      <c r="N3336" s="101">
        <f>Tabela6[[#This Row],[KM Rodados ]]/Tabela6[[#This Row],[CONSUMO]]</f>
        <v>1634.1901728844405</v>
      </c>
    </row>
    <row r="3337" spans="1:14" x14ac:dyDescent="0.25">
      <c r="A3337" s="47">
        <v>271228</v>
      </c>
      <c r="B3337" s="78">
        <v>45272</v>
      </c>
      <c r="C3337" s="47" t="s">
        <v>9</v>
      </c>
      <c r="D3337" s="49" t="s">
        <v>273</v>
      </c>
      <c r="E3337" s="102">
        <v>638754</v>
      </c>
      <c r="G3337" s="50" t="s">
        <v>89</v>
      </c>
      <c r="H3337" s="51">
        <v>121</v>
      </c>
      <c r="J3337" s="51">
        <v>5.69</v>
      </c>
      <c r="K3337" s="74">
        <f>Tabela6[[#This Row],[CONSUMO]]*Tabela6[[#This Row],[VALOR UNIT]]-Tabela6[[#This Row],[DESCONTO]]</f>
        <v>688.49</v>
      </c>
      <c r="L3337" s="53">
        <f>Tabela6[[#This Row],[CUSTO TOTAL]]/Tabela6[[#This Row],[CONSUMO]]</f>
        <v>5.69</v>
      </c>
      <c r="M3337" s="50">
        <f>Tabela6[[#This Row],[KM ATUAL]]-E3311</f>
        <v>-431766</v>
      </c>
      <c r="N3337" s="51">
        <f>Tabela6[[#This Row],[KM Rodados ]]/Tabela6[[#This Row],[CONSUMO]]</f>
        <v>-3568.3140495867769</v>
      </c>
    </row>
    <row r="3338" spans="1:14" x14ac:dyDescent="0.25">
      <c r="A3338" s="47">
        <v>8741</v>
      </c>
      <c r="B3338" s="78">
        <v>45272</v>
      </c>
      <c r="C3338" s="47" t="s">
        <v>67</v>
      </c>
      <c r="D3338" s="49" t="s">
        <v>299</v>
      </c>
      <c r="E3338" s="102">
        <v>693270</v>
      </c>
      <c r="G3338" s="50" t="s">
        <v>89</v>
      </c>
      <c r="H3338" s="51">
        <v>98</v>
      </c>
      <c r="J3338" s="51">
        <v>5.4</v>
      </c>
      <c r="K3338" s="74">
        <f>Tabela6[[#This Row],[CONSUMO]]*Tabela6[[#This Row],[VALOR UNIT]]-Tabela6[[#This Row],[DESCONTO]]</f>
        <v>529.20000000000005</v>
      </c>
      <c r="L3338" s="53">
        <f>Tabela6[[#This Row],[CUSTO TOTAL]]/Tabela6[[#This Row],[CONSUMO]]</f>
        <v>5.4</v>
      </c>
      <c r="M3338" s="50">
        <f>Tabela6[[#This Row],[KM ATUAL]]-E3292</f>
        <v>434247</v>
      </c>
      <c r="N3338" s="51">
        <f>Tabela6[[#This Row],[KM Rodados ]]/Tabela6[[#This Row],[CONSUMO]]</f>
        <v>4431.091836734694</v>
      </c>
    </row>
    <row r="3339" spans="1:14" x14ac:dyDescent="0.25">
      <c r="A3339" s="47">
        <v>113597</v>
      </c>
      <c r="B3339" s="78">
        <v>45272</v>
      </c>
      <c r="C3339" s="47" t="s">
        <v>39</v>
      </c>
      <c r="D3339" s="49" t="s">
        <v>253</v>
      </c>
      <c r="E3339" s="102">
        <v>114208</v>
      </c>
      <c r="G3339" s="50" t="s">
        <v>241</v>
      </c>
      <c r="H3339" s="51">
        <v>10.705</v>
      </c>
      <c r="J3339" s="51">
        <v>3.49</v>
      </c>
      <c r="K3339" s="74">
        <f>Tabela6[[#This Row],[CONSUMO]]*Tabela6[[#This Row],[VALOR UNIT]]-Tabela6[[#This Row],[DESCONTO]]</f>
        <v>37.36045</v>
      </c>
      <c r="L3339" s="53">
        <f>Tabela6[[#This Row],[CUSTO TOTAL]]/Tabela6[[#This Row],[CONSUMO]]</f>
        <v>3.49</v>
      </c>
      <c r="M3339" s="50"/>
    </row>
    <row r="3340" spans="1:14" x14ac:dyDescent="0.25">
      <c r="A3340" s="47">
        <v>8741</v>
      </c>
      <c r="B3340" s="78">
        <v>45272</v>
      </c>
      <c r="C3340" s="47" t="s">
        <v>73</v>
      </c>
      <c r="D3340" s="49" t="s">
        <v>299</v>
      </c>
      <c r="E3340" s="102">
        <v>168250</v>
      </c>
      <c r="G3340" s="50" t="s">
        <v>89</v>
      </c>
      <c r="H3340" s="51">
        <v>127</v>
      </c>
      <c r="J3340" s="51">
        <v>5.4</v>
      </c>
      <c r="K3340" s="74">
        <f>Tabela6[[#This Row],[CONSUMO]]*Tabela6[[#This Row],[VALOR UNIT]]-Tabela6[[#This Row],[DESCONTO]]</f>
        <v>685.80000000000007</v>
      </c>
      <c r="L3340" s="53">
        <f>Tabela6[[#This Row],[CUSTO TOTAL]]/Tabela6[[#This Row],[CONSUMO]]</f>
        <v>5.4</v>
      </c>
      <c r="M3340" s="50">
        <f>Tabela6[[#This Row],[KM ATUAL]]-E3304</f>
        <v>-567536</v>
      </c>
      <c r="N3340" s="51">
        <f>Tabela6[[#This Row],[KM Rodados ]]/Tabela6[[#This Row],[CONSUMO]]</f>
        <v>-4468.787401574803</v>
      </c>
    </row>
    <row r="3341" spans="1:14" x14ac:dyDescent="0.25">
      <c r="A3341" s="47">
        <v>8741</v>
      </c>
      <c r="B3341" s="78">
        <v>45272</v>
      </c>
      <c r="C3341" s="47" t="s">
        <v>41</v>
      </c>
      <c r="D3341" s="49" t="s">
        <v>299</v>
      </c>
      <c r="E3341" s="102">
        <v>688603</v>
      </c>
      <c r="G3341" s="50" t="s">
        <v>89</v>
      </c>
      <c r="H3341" s="51">
        <v>70</v>
      </c>
      <c r="J3341" s="51">
        <v>5.4</v>
      </c>
      <c r="K3341" s="74">
        <f>Tabela6[[#This Row],[CONSUMO]]*Tabela6[[#This Row],[VALOR UNIT]]-Tabela6[[#This Row],[DESCONTO]]</f>
        <v>378</v>
      </c>
      <c r="L3341" s="53">
        <f>Tabela6[[#This Row],[CUSTO TOTAL]]/Tabela6[[#This Row],[CONSUMO]]</f>
        <v>5.4</v>
      </c>
      <c r="M3341" s="50">
        <f>Tabela6[[#This Row],[KM ATUAL]]-E3324</f>
        <v>316</v>
      </c>
      <c r="N3341" s="51">
        <f>Tabela6[[#This Row],[KM Rodados ]]/Tabela6[[#This Row],[CONSUMO]]</f>
        <v>4.5142857142857142</v>
      </c>
    </row>
    <row r="3342" spans="1:14" x14ac:dyDescent="0.25">
      <c r="A3342" s="47">
        <v>8741</v>
      </c>
      <c r="B3342" s="78">
        <v>45272</v>
      </c>
      <c r="C3342" s="47" t="s">
        <v>10</v>
      </c>
      <c r="D3342" s="49" t="s">
        <v>299</v>
      </c>
      <c r="E3342" s="102">
        <v>736320</v>
      </c>
      <c r="G3342" s="50" t="s">
        <v>89</v>
      </c>
      <c r="H3342" s="51">
        <v>145</v>
      </c>
      <c r="J3342" s="51">
        <v>5.4</v>
      </c>
      <c r="K3342" s="74">
        <f>Tabela6[[#This Row],[CONSUMO]]*Tabela6[[#This Row],[VALOR UNIT]]-Tabela6[[#This Row],[DESCONTO]]</f>
        <v>783</v>
      </c>
      <c r="L3342" s="53">
        <f>Tabela6[[#This Row],[CUSTO TOTAL]]/Tabela6[[#This Row],[CONSUMO]]</f>
        <v>5.4</v>
      </c>
      <c r="M3342" s="50">
        <f>Tabela6[[#This Row],[KM ATUAL]]-E3293</f>
        <v>639495</v>
      </c>
      <c r="N3342" s="51">
        <f>Tabela6[[#This Row],[KM Rodados ]]/Tabela6[[#This Row],[CONSUMO]]</f>
        <v>4410.3103448275861</v>
      </c>
    </row>
    <row r="3343" spans="1:14" x14ac:dyDescent="0.25">
      <c r="A3343" s="47">
        <v>791850</v>
      </c>
      <c r="B3343" s="78">
        <v>45272</v>
      </c>
      <c r="C3343" s="47" t="s">
        <v>13</v>
      </c>
      <c r="D3343" s="49" t="s">
        <v>264</v>
      </c>
      <c r="E3343" s="102">
        <v>670132</v>
      </c>
      <c r="G3343" s="50" t="s">
        <v>89</v>
      </c>
      <c r="H3343" s="51">
        <v>105.741</v>
      </c>
      <c r="J3343" s="51">
        <v>5.69</v>
      </c>
      <c r="K3343" s="74">
        <f>Tabela6[[#This Row],[CONSUMO]]*Tabela6[[#This Row],[VALOR UNIT]]-Tabela6[[#This Row],[DESCONTO]]</f>
        <v>601.66629</v>
      </c>
      <c r="L3343" s="53">
        <f>Tabela6[[#This Row],[CUSTO TOTAL]]/Tabela6[[#This Row],[CONSUMO]]</f>
        <v>5.69</v>
      </c>
      <c r="M3343" s="50">
        <f>Tabela6[[#This Row],[KM ATUAL]]-E3332</f>
        <v>529669</v>
      </c>
      <c r="N3343" s="51">
        <f>Tabela6[[#This Row],[KM Rodados ]]/Tabela6[[#This Row],[CONSUMO]]</f>
        <v>5009.1166151256375</v>
      </c>
    </row>
    <row r="3344" spans="1:14" x14ac:dyDescent="0.25">
      <c r="A3344" s="47">
        <v>227139</v>
      </c>
      <c r="B3344" s="78">
        <v>45272</v>
      </c>
      <c r="C3344" s="47" t="s">
        <v>14</v>
      </c>
      <c r="D3344" s="49" t="s">
        <v>262</v>
      </c>
      <c r="E3344" s="102">
        <v>306282</v>
      </c>
      <c r="G3344" s="50" t="s">
        <v>244</v>
      </c>
      <c r="H3344" s="51">
        <v>35.85</v>
      </c>
      <c r="J3344" s="51">
        <v>5.59</v>
      </c>
      <c r="K3344" s="74">
        <f>Tabela6[[#This Row],[CONSUMO]]*Tabela6[[#This Row],[VALOR UNIT]]-Tabela6[[#This Row],[DESCONTO]]</f>
        <v>200.4015</v>
      </c>
      <c r="L3344" s="53">
        <f>Tabela6[[#This Row],[CUSTO TOTAL]]/Tabela6[[#This Row],[CONSUMO]]</f>
        <v>5.59</v>
      </c>
      <c r="M3344" s="50">
        <f>Tabela6[[#This Row],[KM ATUAL]]-E3342</f>
        <v>-430038</v>
      </c>
      <c r="N3344" s="51">
        <f>Tabela6[[#This Row],[KM Rodados ]]/Tabela6[[#This Row],[CONSUMO]]</f>
        <v>-11995.481171548117</v>
      </c>
    </row>
    <row r="3345" spans="1:14" x14ac:dyDescent="0.25">
      <c r="A3345" s="47">
        <v>8741</v>
      </c>
      <c r="B3345" s="78">
        <v>45272</v>
      </c>
      <c r="C3345" s="47" t="s">
        <v>15</v>
      </c>
      <c r="D3345" s="49" t="s">
        <v>299</v>
      </c>
      <c r="E3345" s="119">
        <v>404071</v>
      </c>
      <c r="G3345" s="50" t="s">
        <v>89</v>
      </c>
      <c r="H3345" s="51">
        <v>70</v>
      </c>
      <c r="J3345" s="51">
        <v>5.4</v>
      </c>
      <c r="K3345" s="74">
        <f>Tabela6[[#This Row],[CONSUMO]]*Tabela6[[#This Row],[VALOR UNIT]]-Tabela6[[#This Row],[DESCONTO]]</f>
        <v>378</v>
      </c>
      <c r="L3345" s="53">
        <f>Tabela6[[#This Row],[CUSTO TOTAL]]/Tabela6[[#This Row],[CONSUMO]]</f>
        <v>5.4</v>
      </c>
      <c r="M3345" s="50">
        <f>Tabela6[[#This Row],[KM ATUAL]]-E3288</f>
        <v>452</v>
      </c>
      <c r="N3345" s="51">
        <f>Tabela6[[#This Row],[KM Rodados ]]/Tabela6[[#This Row],[CONSUMO]]</f>
        <v>6.4571428571428573</v>
      </c>
    </row>
    <row r="3346" spans="1:14" x14ac:dyDescent="0.25">
      <c r="A3346" s="47">
        <v>227096</v>
      </c>
      <c r="B3346" s="78">
        <v>45272</v>
      </c>
      <c r="C3346" s="47" t="s">
        <v>20</v>
      </c>
      <c r="D3346" s="49" t="s">
        <v>262</v>
      </c>
      <c r="E3346" s="119">
        <v>287022</v>
      </c>
      <c r="G3346" s="50" t="s">
        <v>89</v>
      </c>
      <c r="H3346" s="51">
        <v>53.84</v>
      </c>
      <c r="J3346" s="51">
        <v>5.99</v>
      </c>
      <c r="K3346" s="74">
        <f>Tabela6[[#This Row],[CONSUMO]]*Tabela6[[#This Row],[VALOR UNIT]]-Tabela6[[#This Row],[DESCONTO]]</f>
        <v>322.50160000000005</v>
      </c>
      <c r="L3346" s="53">
        <f>Tabela6[[#This Row],[CUSTO TOTAL]]/Tabela6[[#This Row],[CONSUMO]]</f>
        <v>5.99</v>
      </c>
      <c r="M3346" s="50">
        <f>Tabela6[[#This Row],[KM ATUAL]]-E3319</f>
        <v>-245544</v>
      </c>
      <c r="N3346" s="51">
        <f>Tabela6[[#This Row],[KM Rodados ]]/Tabela6[[#This Row],[CONSUMO]]</f>
        <v>-4560.624071322437</v>
      </c>
    </row>
    <row r="3347" spans="1:14" x14ac:dyDescent="0.25">
      <c r="A3347" s="47">
        <v>357248</v>
      </c>
      <c r="B3347" s="78">
        <v>45272</v>
      </c>
      <c r="C3347" s="47" t="s">
        <v>40</v>
      </c>
      <c r="D3347" s="49" t="s">
        <v>276</v>
      </c>
      <c r="E3347" s="47">
        <v>175315</v>
      </c>
      <c r="G3347" s="50" t="s">
        <v>244</v>
      </c>
      <c r="H3347" s="51">
        <v>32.520000000000003</v>
      </c>
      <c r="J3347" s="51">
        <v>5.69</v>
      </c>
      <c r="K3347" s="74">
        <f>Tabela6[[#This Row],[CONSUMO]]*Tabela6[[#This Row],[VALOR UNIT]]-Tabela6[[#This Row],[DESCONTO]]</f>
        <v>185.03880000000004</v>
      </c>
      <c r="L3347" s="53">
        <f>Tabela6[[#This Row],[CUSTO TOTAL]]/Tabela6[[#This Row],[CONSUMO]]</f>
        <v>5.69</v>
      </c>
      <c r="M3347" s="50">
        <f>Tabela6[[#This Row],[KM ATUAL]]-E3247</f>
        <v>-82650</v>
      </c>
      <c r="N3347" s="51">
        <f>Tabela6[[#This Row],[KM Rodados ]]/Tabela6[[#This Row],[CONSUMO]]</f>
        <v>-2541.5129151291512</v>
      </c>
    </row>
    <row r="3348" spans="1:14" x14ac:dyDescent="0.25">
      <c r="A3348" s="47">
        <v>8741</v>
      </c>
      <c r="B3348" s="78">
        <v>45273</v>
      </c>
      <c r="C3348" s="47" t="s">
        <v>394</v>
      </c>
      <c r="D3348" s="49" t="s">
        <v>299</v>
      </c>
      <c r="E3348" s="47">
        <v>880031</v>
      </c>
      <c r="G3348" s="50" t="s">
        <v>89</v>
      </c>
      <c r="H3348" s="51">
        <v>108</v>
      </c>
      <c r="J3348" s="51">
        <v>5.4</v>
      </c>
      <c r="K3348" s="74">
        <f>Tabela6[[#This Row],[CONSUMO]]*Tabela6[[#This Row],[VALOR UNIT]]-Tabela6[[#This Row],[DESCONTO]]</f>
        <v>583.20000000000005</v>
      </c>
      <c r="L3348" s="53">
        <f>Tabela6[[#This Row],[CUSTO TOTAL]]/Tabela6[[#This Row],[CONSUMO]]</f>
        <v>5.4</v>
      </c>
      <c r="M3348" s="51">
        <f>Tabela6[[#This Row],[KM ATUAL]]-E3326</f>
        <v>552579</v>
      </c>
      <c r="N3348" s="101">
        <f>Tabela6[[#This Row],[KM Rodados ]]/Tabela6[[#This Row],[CONSUMO]]</f>
        <v>5116.4722222222226</v>
      </c>
    </row>
    <row r="3349" spans="1:14" x14ac:dyDescent="0.25">
      <c r="A3349" s="47">
        <v>8741</v>
      </c>
      <c r="B3349" s="78">
        <v>45273</v>
      </c>
      <c r="C3349" s="47" t="s">
        <v>222</v>
      </c>
      <c r="D3349" s="49" t="s">
        <v>299</v>
      </c>
      <c r="E3349" s="47">
        <v>533136</v>
      </c>
      <c r="G3349" s="50" t="s">
        <v>89</v>
      </c>
      <c r="H3349" s="51">
        <v>203</v>
      </c>
      <c r="J3349" s="51">
        <v>5.4</v>
      </c>
      <c r="K3349" s="74">
        <f>Tabela6[[#This Row],[CONSUMO]]*Tabela6[[#This Row],[VALOR UNIT]]-Tabela6[[#This Row],[DESCONTO]]</f>
        <v>1096.2</v>
      </c>
      <c r="L3349" s="53">
        <f>Tabela6[[#This Row],[CUSTO TOTAL]]/Tabela6[[#This Row],[CONSUMO]]</f>
        <v>5.4</v>
      </c>
      <c r="M3349" s="50">
        <f>Tabela6[[#This Row],[KM ATUAL]]-E3318</f>
        <v>368001</v>
      </c>
      <c r="N3349" s="51">
        <f>Tabela6[[#This Row],[KM Rodados ]]/Tabela6[[#This Row],[CONSUMO]]</f>
        <v>1812.8128078817733</v>
      </c>
    </row>
    <row r="3350" spans="1:14" x14ac:dyDescent="0.25">
      <c r="A3350" s="47">
        <v>420520</v>
      </c>
      <c r="B3350" s="78">
        <v>45273</v>
      </c>
      <c r="C3350" s="47" t="s">
        <v>203</v>
      </c>
      <c r="D3350" s="49" t="s">
        <v>309</v>
      </c>
      <c r="E3350" s="47">
        <v>128708</v>
      </c>
      <c r="G3350" s="50" t="s">
        <v>244</v>
      </c>
      <c r="H3350" s="51">
        <v>50</v>
      </c>
      <c r="J3350" s="51">
        <v>5.4</v>
      </c>
      <c r="K3350" s="74">
        <f>Tabela6[[#This Row],[CONSUMO]]*Tabela6[[#This Row],[VALOR UNIT]]-Tabela6[[#This Row],[DESCONTO]]</f>
        <v>270</v>
      </c>
      <c r="L3350" s="53">
        <f>Tabela6[[#This Row],[CUSTO TOTAL]]/Tabela6[[#This Row],[CONSUMO]]</f>
        <v>5.4</v>
      </c>
      <c r="M3350" s="50">
        <f>Tabela6[[#This Row],[KM ATUAL]]-E3323</f>
        <v>21664</v>
      </c>
      <c r="N3350" s="49">
        <f>Tabela6[[#This Row],[KM Rodados ]]/Tabela6[[#This Row],[CONSUMO]]</f>
        <v>433.28</v>
      </c>
    </row>
    <row r="3351" spans="1:14" x14ac:dyDescent="0.25">
      <c r="A3351" s="47">
        <v>8741</v>
      </c>
      <c r="B3351" s="78">
        <v>45273</v>
      </c>
      <c r="C3351" s="47" t="s">
        <v>72</v>
      </c>
      <c r="D3351" s="49" t="s">
        <v>299</v>
      </c>
      <c r="E3351" s="47">
        <v>431246</v>
      </c>
      <c r="G3351" s="50" t="s">
        <v>89</v>
      </c>
      <c r="H3351" s="51">
        <v>20</v>
      </c>
      <c r="J3351" s="51">
        <v>5.4</v>
      </c>
      <c r="K3351" s="74">
        <f>Tabela6[[#This Row],[CONSUMO]]*Tabela6[[#This Row],[VALOR UNIT]]-Tabela6[[#This Row],[DESCONTO]]</f>
        <v>108</v>
      </c>
      <c r="L3351" s="53">
        <f>Tabela6[[#This Row],[CUSTO TOTAL]]/Tabela6[[#This Row],[CONSUMO]]</f>
        <v>5.4</v>
      </c>
      <c r="M3351" s="50">
        <f>Tabela6[[#This Row],[KM ATUAL]]-E3305</f>
        <v>24292</v>
      </c>
      <c r="N3351" s="51">
        <f>Tabela6[[#This Row],[KM Rodados ]]/Tabela6[[#This Row],[CONSUMO]]</f>
        <v>1214.5999999999999</v>
      </c>
    </row>
    <row r="3352" spans="1:14" x14ac:dyDescent="0.25">
      <c r="A3352" s="47">
        <v>589038</v>
      </c>
      <c r="B3352" s="78">
        <v>45273</v>
      </c>
      <c r="C3352" s="47" t="s">
        <v>64</v>
      </c>
      <c r="D3352" s="49" t="s">
        <v>255</v>
      </c>
      <c r="E3352" s="47">
        <v>107677</v>
      </c>
      <c r="G3352" s="50" t="s">
        <v>89</v>
      </c>
      <c r="H3352" s="51">
        <v>189.68100000000001</v>
      </c>
      <c r="J3352" s="51">
        <v>6.69</v>
      </c>
      <c r="K3352" s="74">
        <f>Tabela6[[#This Row],[CONSUMO]]*Tabela6[[#This Row],[VALOR UNIT]]-Tabela6[[#This Row],[DESCONTO]]</f>
        <v>1268.9658900000002</v>
      </c>
      <c r="L3352" s="53">
        <f>Tabela6[[#This Row],[CUSTO TOTAL]]/Tabela6[[#This Row],[CONSUMO]]</f>
        <v>6.69</v>
      </c>
      <c r="M3352" s="50">
        <f>Tabela6[[#This Row],[KM ATUAL]]-E3318</f>
        <v>-57458</v>
      </c>
      <c r="N3352" s="51">
        <f>Tabela6[[#This Row],[KM Rodados ]]/Tabela6[[#This Row],[CONSUMO]]</f>
        <v>-302.91911156098922</v>
      </c>
    </row>
    <row r="3353" spans="1:14" x14ac:dyDescent="0.25">
      <c r="A3353" s="47">
        <v>11149</v>
      </c>
      <c r="B3353" s="78">
        <v>45273</v>
      </c>
      <c r="C3353" s="47" t="s">
        <v>41</v>
      </c>
      <c r="D3353" s="49" t="s">
        <v>264</v>
      </c>
      <c r="E3353" s="47">
        <v>589188</v>
      </c>
      <c r="G3353" s="50" t="s">
        <v>89</v>
      </c>
      <c r="H3353" s="51">
        <v>142.19</v>
      </c>
      <c r="J3353" s="51">
        <v>5.91</v>
      </c>
      <c r="K3353" s="74">
        <f>Tabela6[[#This Row],[CONSUMO]]*Tabela6[[#This Row],[VALOR UNIT]]-Tabela6[[#This Row],[DESCONTO]]</f>
        <v>840.34289999999999</v>
      </c>
      <c r="L3353" s="53">
        <f>Tabela6[[#This Row],[CUSTO TOTAL]]/Tabela6[[#This Row],[CONSUMO]]</f>
        <v>5.91</v>
      </c>
      <c r="M3353" s="53" t="e">
        <f t="array" ref="M3353">SE</f>
        <v>#NAME?</v>
      </c>
      <c r="N3353" s="49" t="e">
        <f>Tabela6[[#This Row],[KM Rodados ]]/Tabela6[[#This Row],[CONSUMO]]</f>
        <v>#NAME?</v>
      </c>
    </row>
    <row r="3354" spans="1:14" x14ac:dyDescent="0.25">
      <c r="A3354" s="47">
        <v>8741</v>
      </c>
      <c r="B3354" s="78">
        <v>45273</v>
      </c>
      <c r="C3354" s="47" t="s">
        <v>13</v>
      </c>
      <c r="D3354" s="49" t="s">
        <v>299</v>
      </c>
      <c r="E3354" s="47">
        <v>670554</v>
      </c>
      <c r="G3354" s="50" t="s">
        <v>89</v>
      </c>
      <c r="H3354" s="51">
        <v>90</v>
      </c>
      <c r="J3354" s="51">
        <v>5.4</v>
      </c>
      <c r="K3354" s="74">
        <f>Tabela6[[#This Row],[CONSUMO]]*Tabela6[[#This Row],[VALOR UNIT]]-Tabela6[[#This Row],[DESCONTO]]</f>
        <v>486.00000000000006</v>
      </c>
      <c r="L3354" s="53">
        <f>Tabela6[[#This Row],[CUSTO TOTAL]]/Tabela6[[#This Row],[CONSUMO]]</f>
        <v>5.4</v>
      </c>
      <c r="M3354" s="50">
        <f>Tabela6[[#This Row],[KM ATUAL]]-E3336</f>
        <v>-208910</v>
      </c>
      <c r="N3354" s="51">
        <f>Tabela6[[#This Row],[KM Rodados ]]/Tabela6[[#This Row],[CONSUMO]]</f>
        <v>-2321.2222222222222</v>
      </c>
    </row>
    <row r="3355" spans="1:14" x14ac:dyDescent="0.25">
      <c r="A3355" s="47">
        <v>8741</v>
      </c>
      <c r="B3355" s="78">
        <v>45273</v>
      </c>
      <c r="C3355" s="47" t="s">
        <v>17</v>
      </c>
      <c r="D3355" s="49" t="s">
        <v>299</v>
      </c>
      <c r="E3355" s="47">
        <v>385222</v>
      </c>
      <c r="G3355" s="50" t="s">
        <v>89</v>
      </c>
      <c r="H3355" s="51">
        <v>114</v>
      </c>
      <c r="J3355" s="51">
        <v>5.4</v>
      </c>
      <c r="K3355" s="74">
        <f>Tabela6[[#This Row],[CONSUMO]]*Tabela6[[#This Row],[VALOR UNIT]]-Tabela6[[#This Row],[DESCONTO]]</f>
        <v>615.6</v>
      </c>
      <c r="L3355" s="53">
        <f>Tabela6[[#This Row],[CUSTO TOTAL]]/Tabela6[[#This Row],[CONSUMO]]</f>
        <v>5.4</v>
      </c>
      <c r="M3355" s="50">
        <f>Tabela6[[#This Row],[KM ATUAL]]-E3327</f>
        <v>-284426</v>
      </c>
      <c r="N3355" s="51">
        <f>Tabela6[[#This Row],[KM Rodados ]]/Tabela6[[#This Row],[CONSUMO]]</f>
        <v>-2494.9649122807018</v>
      </c>
    </row>
    <row r="3356" spans="1:14" x14ac:dyDescent="0.25">
      <c r="A3356" s="47">
        <v>8741</v>
      </c>
      <c r="B3356" s="78">
        <v>45273</v>
      </c>
      <c r="C3356" s="47" t="s">
        <v>20</v>
      </c>
      <c r="D3356" s="49" t="s">
        <v>299</v>
      </c>
      <c r="E3356" s="47">
        <v>287356</v>
      </c>
      <c r="G3356" s="50" t="s">
        <v>89</v>
      </c>
      <c r="H3356" s="51">
        <v>36</v>
      </c>
      <c r="J3356" s="51">
        <v>5.4</v>
      </c>
      <c r="K3356" s="74">
        <f>Tabela6[[#This Row],[CONSUMO]]*Tabela6[[#This Row],[VALOR UNIT]]-Tabela6[[#This Row],[DESCONTO]]</f>
        <v>194.4</v>
      </c>
      <c r="L3356" s="53">
        <f>Tabela6[[#This Row],[CUSTO TOTAL]]/Tabela6[[#This Row],[CONSUMO]]</f>
        <v>5.4</v>
      </c>
      <c r="M3356" s="50">
        <f>Tabela6[[#This Row],[KM ATUAL]]-E3339</f>
        <v>173148</v>
      </c>
      <c r="N3356" s="51">
        <f>Tabela6[[#This Row],[KM Rodados ]]/Tabela6[[#This Row],[CONSUMO]]</f>
        <v>4809.666666666667</v>
      </c>
    </row>
    <row r="3357" spans="1:14" x14ac:dyDescent="0.25">
      <c r="A3357" s="47">
        <v>227350</v>
      </c>
      <c r="B3357" s="78">
        <v>45273</v>
      </c>
      <c r="C3357" s="47" t="s">
        <v>23</v>
      </c>
      <c r="D3357" s="49" t="s">
        <v>262</v>
      </c>
      <c r="E3357" s="47">
        <v>260110</v>
      </c>
      <c r="G3357" s="50" t="s">
        <v>241</v>
      </c>
      <c r="H3357" s="51">
        <v>18.178999999999998</v>
      </c>
      <c r="I3357" s="49">
        <v>6.54</v>
      </c>
      <c r="J3357" s="51">
        <v>3.69</v>
      </c>
      <c r="K3357" s="74">
        <f>Tabela6[[#This Row],[CONSUMO]]*Tabela6[[#This Row],[VALOR UNIT]]-Tabela6[[#This Row],[DESCONTO]]</f>
        <v>60.54050999999999</v>
      </c>
      <c r="L3357" s="53">
        <f>Tabela6[[#This Row],[CUSTO TOTAL]]/Tabela6[[#This Row],[CONSUMO]]</f>
        <v>3.3302442378568675</v>
      </c>
      <c r="M3357" s="50"/>
    </row>
    <row r="3358" spans="1:14" x14ac:dyDescent="0.25">
      <c r="A3358" s="47">
        <v>8741</v>
      </c>
      <c r="B3358" s="78">
        <v>45273</v>
      </c>
      <c r="C3358" s="47" t="s">
        <v>23</v>
      </c>
      <c r="D3358" s="49" t="s">
        <v>299</v>
      </c>
      <c r="E3358" s="47">
        <v>260107</v>
      </c>
      <c r="G3358" s="50" t="s">
        <v>89</v>
      </c>
      <c r="H3358" s="51">
        <v>35</v>
      </c>
      <c r="J3358" s="51">
        <v>5.4</v>
      </c>
      <c r="K3358" s="74">
        <f>Tabela6[[#This Row],[CONSUMO]]*Tabela6[[#This Row],[VALOR UNIT]]-Tabela6[[#This Row],[DESCONTO]]</f>
        <v>189</v>
      </c>
      <c r="L3358" s="53">
        <f>Tabela6[[#This Row],[CUSTO TOTAL]]/Tabela6[[#This Row],[CONSUMO]]</f>
        <v>5.4</v>
      </c>
      <c r="M3358" s="50">
        <f>Tabela6[[#This Row],[KM ATUAL]]-E3334</f>
        <v>162560</v>
      </c>
      <c r="N3358" s="51">
        <f>Tabela6[[#This Row],[KM Rodados ]]/Tabela6[[#This Row],[CONSUMO]]</f>
        <v>4644.5714285714284</v>
      </c>
    </row>
    <row r="3359" spans="1:14" x14ac:dyDescent="0.25">
      <c r="A3359" s="47">
        <v>114325</v>
      </c>
      <c r="B3359" s="78">
        <v>45273</v>
      </c>
      <c r="C3359" s="47" t="s">
        <v>315</v>
      </c>
      <c r="D3359" s="49" t="s">
        <v>253</v>
      </c>
      <c r="E3359" s="47">
        <v>9997</v>
      </c>
      <c r="G3359" s="50" t="s">
        <v>89</v>
      </c>
      <c r="H3359" s="51">
        <v>51.19</v>
      </c>
      <c r="J3359" s="51">
        <v>6.09</v>
      </c>
      <c r="K3359" s="74">
        <f>Tabela6[[#This Row],[CONSUMO]]*Tabela6[[#This Row],[VALOR UNIT]]-Tabela6[[#This Row],[DESCONTO]]</f>
        <v>311.74709999999999</v>
      </c>
      <c r="L3359" s="53">
        <f>Tabela6[[#This Row],[CUSTO TOTAL]]/Tabela6[[#This Row],[CONSUMO]]</f>
        <v>6.09</v>
      </c>
      <c r="M3359" s="50">
        <f>Tabela6[[#This Row],[KM ATUAL]]-E3303</f>
        <v>-157752</v>
      </c>
      <c r="N3359" s="51">
        <f>Tabela6[[#This Row],[KM Rodados ]]/Tabela6[[#This Row],[CONSUMO]]</f>
        <v>-3081.6956436804066</v>
      </c>
    </row>
    <row r="3360" spans="1:14" x14ac:dyDescent="0.25">
      <c r="A3360" s="47">
        <v>8741</v>
      </c>
      <c r="B3360" s="78">
        <v>45274</v>
      </c>
      <c r="C3360" s="47" t="s">
        <v>68</v>
      </c>
      <c r="D3360" s="49" t="s">
        <v>299</v>
      </c>
      <c r="E3360" s="47">
        <v>939625</v>
      </c>
      <c r="G3360" s="50" t="s">
        <v>89</v>
      </c>
      <c r="H3360" s="51">
        <v>509</v>
      </c>
      <c r="J3360" s="51">
        <v>5.4</v>
      </c>
      <c r="K3360" s="74">
        <f>Tabela6[[#This Row],[CONSUMO]]*Tabela6[[#This Row],[VALOR UNIT]]-Tabela6[[#This Row],[DESCONTO]]</f>
        <v>2748.6000000000004</v>
      </c>
      <c r="L3360" s="53">
        <f>Tabela6[[#This Row],[CUSTO TOTAL]]/Tabela6[[#This Row],[CONSUMO]]</f>
        <v>5.4</v>
      </c>
      <c r="M3360" s="50">
        <f>Tabela6[[#This Row],[KM ATUAL]]-E3274</f>
        <v>204222</v>
      </c>
      <c r="N3360" s="51">
        <f>Tabela6[[#This Row],[KM Rodados ]]/Tabela6[[#This Row],[CONSUMO]]</f>
        <v>401.22200392927306</v>
      </c>
    </row>
    <row r="3361" spans="1:14" x14ac:dyDescent="0.25">
      <c r="A3361" s="47">
        <v>8741</v>
      </c>
      <c r="B3361" s="78">
        <v>45274</v>
      </c>
      <c r="C3361" s="47" t="s">
        <v>43</v>
      </c>
      <c r="D3361" s="49" t="s">
        <v>299</v>
      </c>
      <c r="E3361" s="47">
        <v>166366</v>
      </c>
      <c r="G3361" s="50" t="s">
        <v>89</v>
      </c>
      <c r="H3361" s="51">
        <v>17</v>
      </c>
      <c r="J3361" s="51">
        <v>5.4</v>
      </c>
      <c r="K3361" s="74">
        <f>Tabela6[[#This Row],[CONSUMO]]*Tabela6[[#This Row],[VALOR UNIT]]-Tabela6[[#This Row],[DESCONTO]]</f>
        <v>91.800000000000011</v>
      </c>
      <c r="L3361" s="53">
        <f>Tabela6[[#This Row],[CUSTO TOTAL]]/Tabela6[[#This Row],[CONSUMO]]</f>
        <v>5.4</v>
      </c>
      <c r="M3361" s="50">
        <f>Tabela6[[#This Row],[KM ATUAL]]-E3329</f>
        <v>-144012</v>
      </c>
      <c r="N3361" s="51">
        <f>Tabela6[[#This Row],[KM Rodados ]]/Tabela6[[#This Row],[CONSUMO]]</f>
        <v>-8471.2941176470595</v>
      </c>
    </row>
    <row r="3362" spans="1:14" x14ac:dyDescent="0.25">
      <c r="A3362" s="47">
        <v>271640</v>
      </c>
      <c r="B3362" s="78">
        <v>45274</v>
      </c>
      <c r="C3362" s="47" t="s">
        <v>9</v>
      </c>
      <c r="D3362" s="49" t="s">
        <v>273</v>
      </c>
      <c r="E3362" s="47">
        <v>639241</v>
      </c>
      <c r="G3362" s="50" t="s">
        <v>89</v>
      </c>
      <c r="H3362" s="51">
        <v>122.06</v>
      </c>
      <c r="J3362" s="51">
        <v>5.69</v>
      </c>
      <c r="K3362" s="74">
        <f>Tabela6[[#This Row],[CONSUMO]]*Tabela6[[#This Row],[VALOR UNIT]]-Tabela6[[#This Row],[DESCONTO]]</f>
        <v>694.52140000000009</v>
      </c>
      <c r="L3362" s="53">
        <f>Tabela6[[#This Row],[CUSTO TOTAL]]/Tabela6[[#This Row],[CONSUMO]]</f>
        <v>5.69</v>
      </c>
      <c r="M3362" s="50">
        <f>Tabela6[[#This Row],[KM ATUAL]]-E3341</f>
        <v>-49362</v>
      </c>
      <c r="N3362" s="51">
        <f>Tabela6[[#This Row],[KM Rodados ]]/Tabela6[[#This Row],[CONSUMO]]</f>
        <v>-404.40766835982305</v>
      </c>
    </row>
    <row r="3363" spans="1:14" x14ac:dyDescent="0.25">
      <c r="A3363" s="47">
        <v>8741</v>
      </c>
      <c r="B3363" s="78">
        <v>45274</v>
      </c>
      <c r="C3363" s="47" t="s">
        <v>42</v>
      </c>
      <c r="D3363" s="49" t="s">
        <v>299</v>
      </c>
      <c r="E3363" s="47">
        <v>378235</v>
      </c>
      <c r="G3363" s="50" t="s">
        <v>89</v>
      </c>
      <c r="H3363" s="51">
        <v>30</v>
      </c>
      <c r="J3363" s="51">
        <v>5.4</v>
      </c>
      <c r="K3363" s="74">
        <f>Tabela6[[#This Row],[CONSUMO]]*Tabela6[[#This Row],[VALOR UNIT]]-Tabela6[[#This Row],[DESCONTO]]</f>
        <v>162</v>
      </c>
      <c r="L3363" s="53">
        <f>Tabela6[[#This Row],[CUSTO TOTAL]]/Tabela6[[#This Row],[CONSUMO]]</f>
        <v>5.4</v>
      </c>
      <c r="M3363" s="50">
        <f>Tabela6[[#This Row],[KM ATUAL]]-E3261</f>
        <v>204520</v>
      </c>
      <c r="N3363" s="51">
        <f>Tabela6[[#This Row],[KM Rodados ]]/Tabela6[[#This Row],[CONSUMO]]</f>
        <v>6817.333333333333</v>
      </c>
    </row>
    <row r="3364" spans="1:14" x14ac:dyDescent="0.25">
      <c r="A3364" s="47">
        <v>8741</v>
      </c>
      <c r="B3364" s="78">
        <v>45274</v>
      </c>
      <c r="C3364" s="47" t="s">
        <v>67</v>
      </c>
      <c r="D3364" s="49" t="s">
        <v>299</v>
      </c>
      <c r="E3364" s="47">
        <v>693671</v>
      </c>
      <c r="G3364" s="50" t="s">
        <v>89</v>
      </c>
      <c r="H3364" s="51">
        <v>100</v>
      </c>
      <c r="J3364" s="51">
        <v>5.4</v>
      </c>
      <c r="K3364" s="74">
        <f>Tabela6[[#This Row],[CONSUMO]]*Tabela6[[#This Row],[VALOR UNIT]]-Tabela6[[#This Row],[DESCONTO]]</f>
        <v>540</v>
      </c>
      <c r="L3364" s="53">
        <f>Tabela6[[#This Row],[CUSTO TOTAL]]/Tabela6[[#This Row],[CONSUMO]]</f>
        <v>5.4</v>
      </c>
      <c r="M3364" s="50">
        <f>Tabela6[[#This Row],[KM ATUAL]]-E3338</f>
        <v>401</v>
      </c>
      <c r="N3364" s="49">
        <f>Tabela6[[#This Row],[KM Rodados ]]/Tabela6[[#This Row],[CONSUMO]]</f>
        <v>4.01</v>
      </c>
    </row>
    <row r="3365" spans="1:14" x14ac:dyDescent="0.25">
      <c r="A3365" s="47">
        <v>227663</v>
      </c>
      <c r="B3365" s="78">
        <v>45274</v>
      </c>
      <c r="C3365" s="47" t="s">
        <v>215</v>
      </c>
      <c r="D3365" s="49" t="s">
        <v>262</v>
      </c>
      <c r="E3365" s="47">
        <v>231568</v>
      </c>
      <c r="G3365" s="50" t="s">
        <v>244</v>
      </c>
      <c r="H3365" s="51">
        <v>40.340000000000003</v>
      </c>
      <c r="J3365" s="51">
        <v>5.59</v>
      </c>
      <c r="K3365" s="74">
        <f>Tabela6[[#This Row],[CONSUMO]]*Tabela6[[#This Row],[VALOR UNIT]]-Tabela6[[#This Row],[DESCONTO]]</f>
        <v>225.50060000000002</v>
      </c>
      <c r="L3365" s="53">
        <f>Tabela6[[#This Row],[CUSTO TOTAL]]/Tabela6[[#This Row],[CONSUMO]]</f>
        <v>5.59</v>
      </c>
      <c r="M3365" s="50">
        <f>Tabela6[[#This Row],[KM ATUAL]]-E3116</f>
        <v>-51039</v>
      </c>
      <c r="N3365" s="51">
        <f>Tabela6[[#This Row],[KM Rodados ]]/Tabela6[[#This Row],[CONSUMO]]</f>
        <v>-1265.2206246901337</v>
      </c>
    </row>
    <row r="3366" spans="1:14" x14ac:dyDescent="0.25">
      <c r="A3366" s="47">
        <v>8741</v>
      </c>
      <c r="B3366" s="78">
        <v>45274</v>
      </c>
      <c r="C3366" s="47" t="s">
        <v>22</v>
      </c>
      <c r="D3366" s="49" t="s">
        <v>299</v>
      </c>
      <c r="E3366" s="47">
        <v>344923</v>
      </c>
      <c r="G3366" s="50" t="s">
        <v>89</v>
      </c>
      <c r="H3366" s="51">
        <v>93</v>
      </c>
      <c r="J3366" s="51">
        <v>5.4</v>
      </c>
      <c r="K3366" s="74">
        <f>Tabela6[[#This Row],[CONSUMO]]*Tabela6[[#This Row],[VALOR UNIT]]-Tabela6[[#This Row],[DESCONTO]]</f>
        <v>502.20000000000005</v>
      </c>
      <c r="L3366" s="53">
        <f>Tabela6[[#This Row],[CUSTO TOTAL]]/Tabela6[[#This Row],[CONSUMO]]</f>
        <v>5.4</v>
      </c>
      <c r="M3366" s="50">
        <f>Tabela6[[#This Row],[KM ATUAL]]-E3322</f>
        <v>216826</v>
      </c>
      <c r="N3366" s="51">
        <f>Tabela6[[#This Row],[KM Rodados ]]/Tabela6[[#This Row],[CONSUMO]]</f>
        <v>2331.4623655913979</v>
      </c>
    </row>
    <row r="3367" spans="1:14" x14ac:dyDescent="0.25">
      <c r="A3367" s="47">
        <v>115826</v>
      </c>
      <c r="B3367" s="78">
        <v>45274</v>
      </c>
      <c r="C3367" s="47" t="s">
        <v>39</v>
      </c>
      <c r="D3367" s="49" t="s">
        <v>253</v>
      </c>
      <c r="E3367" s="47">
        <v>114641</v>
      </c>
      <c r="G3367" s="50" t="s">
        <v>89</v>
      </c>
      <c r="H3367" s="51">
        <v>71.62</v>
      </c>
      <c r="J3367" s="51">
        <v>6.09</v>
      </c>
      <c r="K3367" s="74">
        <f>Tabela6[[#This Row],[CONSUMO]]*Tabela6[[#This Row],[VALOR UNIT]]-Tabela6[[#This Row],[DESCONTO]]</f>
        <v>436.16579999999999</v>
      </c>
      <c r="L3367" s="53">
        <f>Tabela6[[#This Row],[CUSTO TOTAL]]/Tabela6[[#This Row],[CONSUMO]]</f>
        <v>6.09</v>
      </c>
      <c r="M3367" s="50">
        <f>Tabela6[[#This Row],[KM ATUAL]]-E3345</f>
        <v>-289430</v>
      </c>
      <c r="N3367" s="51">
        <f>Tabela6[[#This Row],[KM Rodados ]]/Tabela6[[#This Row],[CONSUMO]]</f>
        <v>-4041.1896118402678</v>
      </c>
    </row>
    <row r="3368" spans="1:14" x14ac:dyDescent="0.25">
      <c r="A3368" s="47">
        <v>8741</v>
      </c>
      <c r="B3368" s="78">
        <v>45274</v>
      </c>
      <c r="C3368" s="47" t="s">
        <v>70</v>
      </c>
      <c r="D3368" s="49" t="s">
        <v>299</v>
      </c>
      <c r="E3368" s="47">
        <v>246912</v>
      </c>
      <c r="G3368" s="50" t="s">
        <v>89</v>
      </c>
      <c r="H3368" s="51">
        <v>525</v>
      </c>
      <c r="J3368" s="51">
        <v>5.4</v>
      </c>
      <c r="K3368" s="74">
        <f>Tabela6[[#This Row],[CONSUMO]]*Tabela6[[#This Row],[VALOR UNIT]]-Tabela6[[#This Row],[DESCONTO]]</f>
        <v>2835</v>
      </c>
      <c r="L3368" s="53">
        <f>Tabela6[[#This Row],[CUSTO TOTAL]]/Tabela6[[#This Row],[CONSUMO]]</f>
        <v>5.4</v>
      </c>
      <c r="M3368" s="50">
        <f>Tabela6[[#This Row],[KM ATUAL]]-E3315</f>
        <v>-62841</v>
      </c>
      <c r="N3368" s="51">
        <f>Tabela6[[#This Row],[KM Rodados ]]/Tabela6[[#This Row],[CONSUMO]]</f>
        <v>-119.69714285714285</v>
      </c>
    </row>
    <row r="3369" spans="1:14" x14ac:dyDescent="0.25">
      <c r="A3369" s="47">
        <v>8741</v>
      </c>
      <c r="B3369" s="78">
        <v>45274</v>
      </c>
      <c r="C3369" s="47" t="s">
        <v>72</v>
      </c>
      <c r="D3369" s="49" t="s">
        <v>299</v>
      </c>
      <c r="E3369" s="47">
        <v>431749</v>
      </c>
      <c r="G3369" s="50" t="s">
        <v>89</v>
      </c>
      <c r="H3369" s="51">
        <v>52</v>
      </c>
      <c r="J3369" s="51">
        <v>5.4</v>
      </c>
      <c r="K3369" s="74">
        <f>Tabela6[[#This Row],[CONSUMO]]*Tabela6[[#This Row],[VALOR UNIT]]-Tabela6[[#This Row],[DESCONTO]]</f>
        <v>280.8</v>
      </c>
      <c r="L3369" s="53">
        <f>Tabela6[[#This Row],[CUSTO TOTAL]]/Tabela6[[#This Row],[CONSUMO]]</f>
        <v>5.4</v>
      </c>
      <c r="M3369" s="50">
        <f>Tabela6[[#This Row],[KM ATUAL]]-E3344</f>
        <v>125467</v>
      </c>
      <c r="N3369" s="51">
        <f>Tabela6[[#This Row],[KM Rodados ]]/Tabela6[[#This Row],[CONSUMO]]</f>
        <v>2412.8269230769229</v>
      </c>
    </row>
    <row r="3370" spans="1:14" x14ac:dyDescent="0.25">
      <c r="A3370" s="47">
        <v>8741</v>
      </c>
      <c r="B3370" s="78">
        <v>45274</v>
      </c>
      <c r="C3370" s="47" t="s">
        <v>73</v>
      </c>
      <c r="D3370" s="49" t="s">
        <v>299</v>
      </c>
      <c r="E3370" s="47">
        <v>168713</v>
      </c>
      <c r="G3370" s="50" t="s">
        <v>89</v>
      </c>
      <c r="H3370" s="51">
        <v>118</v>
      </c>
      <c r="J3370" s="51">
        <v>5.4</v>
      </c>
      <c r="K3370" s="74">
        <f>Tabela6[[#This Row],[CONSUMO]]*Tabela6[[#This Row],[VALOR UNIT]]-Tabela6[[#This Row],[DESCONTO]]</f>
        <v>637.20000000000005</v>
      </c>
      <c r="L3370" s="53">
        <f>Tabela6[[#This Row],[CUSTO TOTAL]]/Tabela6[[#This Row],[CONSUMO]]</f>
        <v>5.4</v>
      </c>
      <c r="M3370" s="50">
        <f>Tabela6[[#This Row],[KM ATUAL]]-E3334</f>
        <v>71166</v>
      </c>
      <c r="N3370" s="51">
        <f>Tabela6[[#This Row],[KM Rodados ]]/Tabela6[[#This Row],[CONSUMO]]</f>
        <v>603.10169491525426</v>
      </c>
    </row>
    <row r="3371" spans="1:14" x14ac:dyDescent="0.25">
      <c r="A3371" s="47">
        <v>8741</v>
      </c>
      <c r="B3371" s="78">
        <v>45274</v>
      </c>
      <c r="C3371" s="47" t="s">
        <v>41</v>
      </c>
      <c r="D3371" s="49" t="s">
        <v>299</v>
      </c>
      <c r="E3371" s="47">
        <v>689574</v>
      </c>
      <c r="G3371" s="50" t="s">
        <v>89</v>
      </c>
      <c r="H3371" s="51">
        <v>86</v>
      </c>
      <c r="J3371" s="51">
        <v>5.4</v>
      </c>
      <c r="K3371" s="74">
        <f>Tabela6[[#This Row],[CONSUMO]]*Tabela6[[#This Row],[VALOR UNIT]]-Tabela6[[#This Row],[DESCONTO]]</f>
        <v>464.40000000000003</v>
      </c>
      <c r="L3371" s="53">
        <f>Tabela6[[#This Row],[CUSTO TOTAL]]/Tabela6[[#This Row],[CONSUMO]]</f>
        <v>5.4</v>
      </c>
      <c r="M3371" s="50">
        <f>Tabela6[[#This Row],[KM ATUAL]]-E3339</f>
        <v>575366</v>
      </c>
      <c r="N3371" s="51">
        <f>Tabela6[[#This Row],[KM Rodados ]]/Tabela6[[#This Row],[CONSUMO]]</f>
        <v>6690.3023255813951</v>
      </c>
    </row>
    <row r="3372" spans="1:14" x14ac:dyDescent="0.25">
      <c r="A3372" s="47">
        <v>8741</v>
      </c>
      <c r="B3372" s="78">
        <v>45274</v>
      </c>
      <c r="C3372" s="47" t="s">
        <v>10</v>
      </c>
      <c r="D3372" s="49" t="s">
        <v>299</v>
      </c>
      <c r="E3372" s="47">
        <v>736734</v>
      </c>
      <c r="G3372" s="50" t="s">
        <v>89</v>
      </c>
      <c r="H3372" s="51">
        <v>105</v>
      </c>
      <c r="J3372" s="51">
        <v>5.4</v>
      </c>
      <c r="K3372" s="74">
        <f>Tabela6[[#This Row],[CONSUMO]]*Tabela6[[#This Row],[VALOR UNIT]]-Tabela6[[#This Row],[DESCONTO]]</f>
        <v>567</v>
      </c>
      <c r="L3372" s="53">
        <f>Tabela6[[#This Row],[CUSTO TOTAL]]/Tabela6[[#This Row],[CONSUMO]]</f>
        <v>5.4</v>
      </c>
      <c r="M3372" s="50">
        <f>Tabela6[[#This Row],[KM ATUAL]]-E3346</f>
        <v>449712</v>
      </c>
      <c r="N3372" s="51">
        <f>Tabela6[[#This Row],[KM Rodados ]]/Tabela6[[#This Row],[CONSUMO]]</f>
        <v>4282.971428571429</v>
      </c>
    </row>
    <row r="3373" spans="1:14" x14ac:dyDescent="0.25">
      <c r="A3373" s="47">
        <v>1170</v>
      </c>
      <c r="B3373" s="78">
        <v>45274</v>
      </c>
      <c r="C3373" s="47" t="s">
        <v>10</v>
      </c>
      <c r="D3373" s="49" t="s">
        <v>324</v>
      </c>
      <c r="E3373" s="47">
        <v>737022</v>
      </c>
      <c r="G3373" s="50" t="s">
        <v>89</v>
      </c>
      <c r="H3373" s="51">
        <v>65.34</v>
      </c>
      <c r="J3373" s="51">
        <v>5.69</v>
      </c>
      <c r="K3373" s="74">
        <f>Tabela6[[#This Row],[CONSUMO]]*Tabela6[[#This Row],[VALOR UNIT]]-Tabela6[[#This Row],[DESCONTO]]</f>
        <v>371.78460000000007</v>
      </c>
      <c r="L3373" s="53">
        <f>Tabela6[[#This Row],[CUSTO TOTAL]]/Tabela6[[#This Row],[CONSUMO]]</f>
        <v>5.69</v>
      </c>
      <c r="M3373" s="50">
        <f>Tabela6[[#This Row],[KM ATUAL]]-E3366</f>
        <v>392099</v>
      </c>
      <c r="N3373" s="51">
        <f>Tabela6[[#This Row],[KM Rodados ]]/Tabela6[[#This Row],[CONSUMO]]</f>
        <v>6000.9029690847874</v>
      </c>
    </row>
    <row r="3374" spans="1:14" x14ac:dyDescent="0.25">
      <c r="A3374" s="47">
        <v>34501</v>
      </c>
      <c r="B3374" s="78">
        <v>45274</v>
      </c>
      <c r="C3374" s="47" t="s">
        <v>301</v>
      </c>
      <c r="D3374" s="49" t="s">
        <v>332</v>
      </c>
      <c r="E3374" s="47">
        <v>1072266</v>
      </c>
      <c r="G3374" s="50" t="s">
        <v>89</v>
      </c>
      <c r="H3374" s="51">
        <v>407.52300000000002</v>
      </c>
      <c r="J3374" s="51">
        <v>5.49</v>
      </c>
      <c r="K3374" s="74">
        <f>Tabela6[[#This Row],[CONSUMO]]*Tabela6[[#This Row],[VALOR UNIT]]-Tabela6[[#This Row],[DESCONTO]]</f>
        <v>2237.3012700000004</v>
      </c>
      <c r="L3374" s="53">
        <f>Tabela6[[#This Row],[CUSTO TOTAL]]/Tabela6[[#This Row],[CONSUMO]]</f>
        <v>5.49</v>
      </c>
      <c r="M3374" s="50">
        <f>Tabela6[[#This Row],[KM ATUAL]]-E3320</f>
        <v>727715</v>
      </c>
      <c r="N3374" s="51">
        <f>Tabela6[[#This Row],[KM Rodados ]]/Tabela6[[#This Row],[CONSUMO]]</f>
        <v>1785.7028928428579</v>
      </c>
    </row>
    <row r="3375" spans="1:14" x14ac:dyDescent="0.25">
      <c r="A3375" s="47">
        <v>176280</v>
      </c>
      <c r="B3375" s="78">
        <v>45274</v>
      </c>
      <c r="C3375" s="47" t="s">
        <v>301</v>
      </c>
      <c r="D3375" s="49" t="s">
        <v>331</v>
      </c>
      <c r="E3375" s="47">
        <v>1072742</v>
      </c>
      <c r="G3375" s="50" t="s">
        <v>89</v>
      </c>
      <c r="H3375" s="51">
        <v>164.44</v>
      </c>
      <c r="J3375" s="51">
        <v>5.59</v>
      </c>
      <c r="K3375" s="74">
        <f>Tabela6[[#This Row],[CONSUMO]]*Tabela6[[#This Row],[VALOR UNIT]]-Tabela6[[#This Row],[DESCONTO]]</f>
        <v>919.21960000000001</v>
      </c>
      <c r="L3375" s="53">
        <f>Tabela6[[#This Row],[CUSTO TOTAL]]/Tabela6[[#This Row],[CONSUMO]]</f>
        <v>5.59</v>
      </c>
      <c r="M3375" s="50">
        <f>Tabela6[[#This Row],[KM ATUAL]]-E3374</f>
        <v>476</v>
      </c>
      <c r="N3375" s="51">
        <f>Tabela6[[#This Row],[KM Rodados ]]/Tabela6[[#This Row],[CONSUMO]]</f>
        <v>2.8946728289953785</v>
      </c>
    </row>
    <row r="3376" spans="1:14" x14ac:dyDescent="0.25">
      <c r="A3376" s="47">
        <v>900363</v>
      </c>
      <c r="B3376" s="78">
        <v>45274</v>
      </c>
      <c r="C3376" s="47" t="s">
        <v>13</v>
      </c>
      <c r="D3376" s="49" t="s">
        <v>335</v>
      </c>
      <c r="E3376" s="47">
        <v>670870</v>
      </c>
      <c r="G3376" s="50" t="s">
        <v>241</v>
      </c>
      <c r="H3376" s="51">
        <v>19.96</v>
      </c>
      <c r="J3376" s="51">
        <v>2.4500000000000002</v>
      </c>
      <c r="K3376" s="74">
        <f>Tabela6[[#This Row],[CONSUMO]]*Tabela6[[#This Row],[VALOR UNIT]]-Tabela6[[#This Row],[DESCONTO]]</f>
        <v>48.902000000000008</v>
      </c>
      <c r="L3376" s="53">
        <f>Tabela6[[#This Row],[CUSTO TOTAL]]/Tabela6[[#This Row],[CONSUMO]]</f>
        <v>2.4500000000000002</v>
      </c>
      <c r="M3376" s="50"/>
      <c r="N3376" s="49"/>
    </row>
    <row r="3377" spans="1:14" x14ac:dyDescent="0.25">
      <c r="A3377" s="47">
        <v>37988</v>
      </c>
      <c r="B3377" s="78">
        <v>45274</v>
      </c>
      <c r="C3377" s="47" t="s">
        <v>13</v>
      </c>
      <c r="D3377" s="49" t="s">
        <v>335</v>
      </c>
      <c r="E3377" s="47">
        <v>670870</v>
      </c>
      <c r="G3377" s="50" t="s">
        <v>89</v>
      </c>
      <c r="H3377" s="51">
        <v>75</v>
      </c>
      <c r="J3377" s="51">
        <v>5.96</v>
      </c>
      <c r="K3377" s="74">
        <f>Tabela6[[#This Row],[CONSUMO]]*Tabela6[[#This Row],[VALOR UNIT]]-Tabela6[[#This Row],[DESCONTO]]</f>
        <v>447</v>
      </c>
      <c r="L3377" s="53">
        <f>Tabela6[[#This Row],[CUSTO TOTAL]]/Tabela6[[#This Row],[CONSUMO]]</f>
        <v>5.96</v>
      </c>
      <c r="M3377" s="50">
        <f>Tabela6[[#This Row],[KM ATUAL]]-E3373</f>
        <v>-66152</v>
      </c>
      <c r="N3377" s="51">
        <f>Tabela6[[#This Row],[KM Rodados ]]/Tabela6[[#This Row],[CONSUMO]]</f>
        <v>-882.02666666666664</v>
      </c>
    </row>
    <row r="3378" spans="1:14" x14ac:dyDescent="0.25">
      <c r="A3378" s="47">
        <v>8741</v>
      </c>
      <c r="B3378" s="78">
        <v>45274</v>
      </c>
      <c r="C3378" s="47" t="s">
        <v>23</v>
      </c>
      <c r="D3378" s="49" t="s">
        <v>299</v>
      </c>
      <c r="E3378" s="47">
        <v>260530</v>
      </c>
      <c r="G3378" s="50" t="s">
        <v>89</v>
      </c>
      <c r="H3378" s="51">
        <v>79</v>
      </c>
      <c r="J3378" s="51">
        <v>5.4</v>
      </c>
      <c r="K3378" s="74">
        <f>Tabela6[[#This Row],[CONSUMO]]*Tabela6[[#This Row],[VALOR UNIT]]-Tabela6[[#This Row],[DESCONTO]]</f>
        <v>426.6</v>
      </c>
      <c r="L3378" s="53">
        <f>Tabela6[[#This Row],[CUSTO TOTAL]]/Tabela6[[#This Row],[CONSUMO]]</f>
        <v>5.4</v>
      </c>
      <c r="M3378" s="50">
        <f>Tabela6[[#This Row],[KM ATUAL]]-E3355</f>
        <v>-124692</v>
      </c>
      <c r="N3378" s="51">
        <f>Tabela6[[#This Row],[KM Rodados ]]/Tabela6[[#This Row],[CONSUMO]]</f>
        <v>-1578.379746835443</v>
      </c>
    </row>
    <row r="3379" spans="1:14" x14ac:dyDescent="0.25">
      <c r="A3379" s="47">
        <v>227460</v>
      </c>
      <c r="B3379" s="78">
        <v>45274</v>
      </c>
      <c r="C3379" s="47" t="s">
        <v>74</v>
      </c>
      <c r="D3379" s="49" t="s">
        <v>262</v>
      </c>
      <c r="E3379" s="47">
        <v>98248</v>
      </c>
      <c r="G3379" s="50" t="s">
        <v>89</v>
      </c>
      <c r="H3379" s="51">
        <v>79.471000000000004</v>
      </c>
      <c r="J3379" s="51">
        <v>5.99</v>
      </c>
      <c r="K3379" s="74">
        <f>Tabela6[[#This Row],[CONSUMO]]*Tabela6[[#This Row],[VALOR UNIT]]-Tabela6[[#This Row],[DESCONTO]]</f>
        <v>476.03129000000001</v>
      </c>
      <c r="L3379" s="53">
        <f>Tabela6[[#This Row],[CUSTO TOTAL]]/Tabela6[[#This Row],[CONSUMO]]</f>
        <v>5.99</v>
      </c>
      <c r="M3379" s="50">
        <f>Tabela6[[#This Row],[KM ATUAL]]-E3345</f>
        <v>-305823</v>
      </c>
      <c r="N3379" s="51">
        <f>Tabela6[[#This Row],[KM Rodados ]]/Tabela6[[#This Row],[CONSUMO]]</f>
        <v>-3848.2339469743679</v>
      </c>
    </row>
    <row r="3380" spans="1:14" x14ac:dyDescent="0.25">
      <c r="A3380" s="47">
        <v>227460</v>
      </c>
      <c r="B3380" s="78">
        <v>45274</v>
      </c>
      <c r="C3380" s="47" t="s">
        <v>74</v>
      </c>
      <c r="D3380" s="49" t="s">
        <v>262</v>
      </c>
      <c r="E3380" s="47">
        <v>98248</v>
      </c>
      <c r="G3380" s="50" t="s">
        <v>241</v>
      </c>
      <c r="H3380" s="51">
        <v>12.036</v>
      </c>
      <c r="I3380" s="49">
        <v>4.3</v>
      </c>
      <c r="J3380" s="51">
        <v>3.69</v>
      </c>
      <c r="K3380" s="74">
        <f>Tabela6[[#This Row],[CONSUMO]]*Tabela6[[#This Row],[VALOR UNIT]]-Tabela6[[#This Row],[DESCONTO]]</f>
        <v>40.112839999999998</v>
      </c>
      <c r="L3380" s="53">
        <f>Tabela6[[#This Row],[CUSTO TOTAL]]/Tabela6[[#This Row],[CONSUMO]]</f>
        <v>3.3327384513127285</v>
      </c>
      <c r="M3380" s="50"/>
    </row>
    <row r="3381" spans="1:14" x14ac:dyDescent="0.25">
      <c r="A3381" s="47">
        <v>1232733</v>
      </c>
      <c r="B3381" s="78">
        <v>45275</v>
      </c>
      <c r="C3381" s="47" t="s">
        <v>43</v>
      </c>
      <c r="D3381" s="49" t="s">
        <v>263</v>
      </c>
      <c r="E3381" s="47">
        <v>166578</v>
      </c>
      <c r="G3381" s="50" t="s">
        <v>89</v>
      </c>
      <c r="H3381" s="51">
        <v>21.890999999999998</v>
      </c>
      <c r="I3381" s="49">
        <v>2.19</v>
      </c>
      <c r="J3381" s="51">
        <v>5.94</v>
      </c>
      <c r="K3381" s="74">
        <f>Tabela6[[#This Row],[CONSUMO]]*Tabela6[[#This Row],[VALOR UNIT]]-Tabela6[[#This Row],[DESCONTO]]</f>
        <v>127.84254000000001</v>
      </c>
      <c r="L3381" s="53">
        <f>Tabela6[[#This Row],[CUSTO TOTAL]]/Tabela6[[#This Row],[CONSUMO]]</f>
        <v>5.8399588872139248</v>
      </c>
      <c r="M3381" s="50">
        <f>Tabela6[[#This Row],[KM ATUAL]]-E3365</f>
        <v>-64990</v>
      </c>
      <c r="N3381" s="51">
        <f>Tabela6[[#This Row],[KM Rodados ]]/Tabela6[[#This Row],[CONSUMO]]</f>
        <v>-2968.7999634553016</v>
      </c>
    </row>
    <row r="3382" spans="1:14" x14ac:dyDescent="0.25">
      <c r="A3382" s="47">
        <v>8741</v>
      </c>
      <c r="B3382" s="78">
        <v>45275</v>
      </c>
      <c r="C3382" s="47" t="s">
        <v>394</v>
      </c>
      <c r="D3382" s="49" t="s">
        <v>299</v>
      </c>
      <c r="E3382" s="47">
        <v>880146</v>
      </c>
      <c r="G3382" s="50" t="s">
        <v>89</v>
      </c>
      <c r="H3382" s="51">
        <v>35</v>
      </c>
      <c r="J3382" s="51">
        <v>5.4</v>
      </c>
      <c r="K3382" s="74">
        <f>Tabela6[[#This Row],[CONSUMO]]*Tabela6[[#This Row],[VALOR UNIT]]-Tabela6[[#This Row],[DESCONTO]]</f>
        <v>189</v>
      </c>
      <c r="L3382" s="53">
        <f>Tabela6[[#This Row],[CUSTO TOTAL]]/Tabela6[[#This Row],[CONSUMO]]</f>
        <v>5.4</v>
      </c>
      <c r="M3382" s="51">
        <f>Tabela6[[#This Row],[KM ATUAL]]-E3357</f>
        <v>620036</v>
      </c>
      <c r="N3382" s="101">
        <f>Tabela6[[#This Row],[KM Rodados ]]/Tabela6[[#This Row],[CONSUMO]]</f>
        <v>17715.314285714285</v>
      </c>
    </row>
    <row r="3383" spans="1:14" x14ac:dyDescent="0.25">
      <c r="A3383" s="47">
        <v>1152169</v>
      </c>
      <c r="B3383" s="78">
        <v>45275</v>
      </c>
      <c r="C3383" s="47" t="s">
        <v>203</v>
      </c>
      <c r="D3383" s="49" t="s">
        <v>318</v>
      </c>
      <c r="E3383" s="47">
        <v>129470</v>
      </c>
      <c r="G3383" s="50" t="s">
        <v>244</v>
      </c>
      <c r="H3383" s="51">
        <v>34.1</v>
      </c>
      <c r="J3383" s="51">
        <v>5.69</v>
      </c>
      <c r="K3383" s="74">
        <f>Tabela6[[#This Row],[CONSUMO]]*Tabela6[[#This Row],[VALOR UNIT]]-Tabela6[[#This Row],[DESCONTO]]</f>
        <v>194.02900000000002</v>
      </c>
      <c r="L3383" s="53">
        <f>Tabela6[[#This Row],[CUSTO TOTAL]]/Tabela6[[#This Row],[CONSUMO]]</f>
        <v>5.69</v>
      </c>
      <c r="M3383" s="51" t="e" cm="1">
        <f t="array" ref="M3383">SE</f>
        <v>#NAME?</v>
      </c>
      <c r="N3383" s="101" t="e">
        <f>Tabela6[[#This Row],[KM Rodados ]]/Tabela6[[#This Row],[CONSUMO]]</f>
        <v>#NAME?</v>
      </c>
    </row>
    <row r="3384" spans="1:14" x14ac:dyDescent="0.25">
      <c r="A3384" s="47">
        <v>421735</v>
      </c>
      <c r="B3384" s="78">
        <v>45275</v>
      </c>
      <c r="C3384" s="47" t="s">
        <v>203</v>
      </c>
      <c r="D3384" s="49" t="s">
        <v>309</v>
      </c>
      <c r="E3384" s="47">
        <v>129034</v>
      </c>
      <c r="G3384" s="50" t="s">
        <v>244</v>
      </c>
      <c r="H3384" s="51">
        <v>25.58</v>
      </c>
      <c r="J3384" s="51">
        <v>5.4</v>
      </c>
      <c r="K3384" s="74">
        <f>Tabela6[[#This Row],[CONSUMO]]*Tabela6[[#This Row],[VALOR UNIT]]-Tabela6[[#This Row],[DESCONTO]]</f>
        <v>138.13200000000001</v>
      </c>
      <c r="L3384" s="53">
        <f>Tabela6[[#This Row],[CUSTO TOTAL]]/Tabela6[[#This Row],[CONSUMO]]</f>
        <v>5.4</v>
      </c>
      <c r="M3384" s="51" t="e" cm="1">
        <f t="array" ref="M3384">SE</f>
        <v>#NAME?</v>
      </c>
      <c r="N3384" s="101" t="e">
        <f>Tabela6[[#This Row],[KM Rodados ]]/Tabela6[[#This Row],[CONSUMO]]</f>
        <v>#NAME?</v>
      </c>
    </row>
    <row r="3385" spans="1:14" x14ac:dyDescent="0.25">
      <c r="A3385" s="47">
        <v>8741</v>
      </c>
      <c r="B3385" s="78">
        <v>45275</v>
      </c>
      <c r="C3385" s="47" t="s">
        <v>41</v>
      </c>
      <c r="D3385" s="49" t="s">
        <v>299</v>
      </c>
      <c r="E3385" s="47">
        <v>689966</v>
      </c>
      <c r="G3385" s="50" t="s">
        <v>89</v>
      </c>
      <c r="H3385" s="51">
        <v>86</v>
      </c>
      <c r="J3385" s="51">
        <v>5.4</v>
      </c>
      <c r="K3385" s="74">
        <f>Tabela6[[#This Row],[CONSUMO]]*Tabela6[[#This Row],[VALOR UNIT]]-Tabela6[[#This Row],[DESCONTO]]</f>
        <v>464.40000000000003</v>
      </c>
      <c r="L3385" s="53">
        <f>Tabela6[[#This Row],[CUSTO TOTAL]]/Tabela6[[#This Row],[CONSUMO]]</f>
        <v>5.4</v>
      </c>
      <c r="M3385" s="50">
        <f>Tabela6[[#This Row],[KM ATUAL]]-E3373</f>
        <v>-47056</v>
      </c>
      <c r="N3385" s="51">
        <f>Tabela6[[#This Row],[KM Rodados ]]/Tabela6[[#This Row],[CONSUMO]]</f>
        <v>-547.16279069767438</v>
      </c>
    </row>
    <row r="3386" spans="1:14" x14ac:dyDescent="0.25">
      <c r="A3386" s="47" t="s">
        <v>314</v>
      </c>
      <c r="B3386" s="78">
        <v>45275</v>
      </c>
      <c r="C3386" s="47" t="s">
        <v>11</v>
      </c>
      <c r="E3386" s="47">
        <v>407465</v>
      </c>
      <c r="G3386" s="50" t="s">
        <v>89</v>
      </c>
      <c r="H3386" s="51">
        <v>107.23</v>
      </c>
      <c r="K3386" s="74">
        <f>Tabela6[[#This Row],[CONSUMO]]*Tabela6[[#This Row],[VALOR UNIT]]-Tabela6[[#This Row],[DESCONTO]]</f>
        <v>0</v>
      </c>
      <c r="L3386" s="53">
        <f>Tabela6[[#This Row],[CUSTO TOTAL]]/Tabela6[[#This Row],[CONSUMO]]</f>
        <v>0</v>
      </c>
      <c r="M3386" s="50">
        <f>Tabela6[[#This Row],[KM ATUAL]]-E3201</f>
        <v>123307</v>
      </c>
      <c r="N3386" s="51">
        <f>Tabela6[[#This Row],[KM Rodados ]]/Tabela6[[#This Row],[CONSUMO]]</f>
        <v>1149.9300568870651</v>
      </c>
    </row>
    <row r="3387" spans="1:14" x14ac:dyDescent="0.25">
      <c r="A3387" s="47">
        <v>8889</v>
      </c>
      <c r="B3387" s="78">
        <v>45275</v>
      </c>
      <c r="C3387" s="47" t="s">
        <v>13</v>
      </c>
      <c r="D3387" s="49" t="s">
        <v>299</v>
      </c>
      <c r="E3387" s="47">
        <v>671411</v>
      </c>
      <c r="G3387" s="50" t="s">
        <v>89</v>
      </c>
      <c r="H3387" s="51">
        <v>107</v>
      </c>
      <c r="J3387" s="51">
        <v>5.3</v>
      </c>
      <c r="K3387" s="74">
        <f>Tabela6[[#This Row],[CONSUMO]]*Tabela6[[#This Row],[VALOR UNIT]]-Tabela6[[#This Row],[DESCONTO]]</f>
        <v>567.1</v>
      </c>
      <c r="L3387" s="53">
        <f>Tabela6[[#This Row],[CUSTO TOTAL]]/Tabela6[[#This Row],[CONSUMO]]</f>
        <v>5.3</v>
      </c>
      <c r="M3387" s="50">
        <f>Tabela6[[#This Row],[KM ATUAL]]-E3359</f>
        <v>661414</v>
      </c>
      <c r="N3387" s="51">
        <f>Tabela6[[#This Row],[KM Rodados ]]/Tabela6[[#This Row],[CONSUMO]]</f>
        <v>6181.4392523364486</v>
      </c>
    </row>
    <row r="3388" spans="1:14" x14ac:dyDescent="0.25">
      <c r="A3388" s="47">
        <v>8741</v>
      </c>
      <c r="B3388" s="78">
        <v>45275</v>
      </c>
      <c r="C3388" s="47" t="s">
        <v>15</v>
      </c>
      <c r="D3388" s="49" t="s">
        <v>299</v>
      </c>
      <c r="E3388" s="47">
        <v>404616</v>
      </c>
      <c r="G3388" s="50" t="s">
        <v>89</v>
      </c>
      <c r="H3388" s="51">
        <v>97</v>
      </c>
      <c r="J3388" s="51">
        <v>5.4</v>
      </c>
      <c r="K3388" s="74">
        <f>Tabela6[[#This Row],[CONSUMO]]*Tabela6[[#This Row],[VALOR UNIT]]-Tabela6[[#This Row],[DESCONTO]]</f>
        <v>523.80000000000007</v>
      </c>
      <c r="L3388" s="53">
        <f>Tabela6[[#This Row],[CUSTO TOTAL]]/Tabela6[[#This Row],[CONSUMO]]</f>
        <v>5.4</v>
      </c>
      <c r="M3388" s="50">
        <f>Tabela6[[#This Row],[KM ATUAL]]-E3342</f>
        <v>-331704</v>
      </c>
      <c r="N3388" s="51">
        <f>Tabela6[[#This Row],[KM Rodados ]]/Tabela6[[#This Row],[CONSUMO]]</f>
        <v>-3419.6288659793813</v>
      </c>
    </row>
    <row r="3389" spans="1:14" x14ac:dyDescent="0.25">
      <c r="A3389" s="47">
        <v>8741</v>
      </c>
      <c r="B3389" s="78">
        <v>45275</v>
      </c>
      <c r="C3389" s="47" t="s">
        <v>17</v>
      </c>
      <c r="D3389" s="49" t="s">
        <v>299</v>
      </c>
      <c r="E3389" s="47">
        <v>385675</v>
      </c>
      <c r="G3389" s="50" t="s">
        <v>89</v>
      </c>
      <c r="H3389" s="51">
        <v>111</v>
      </c>
      <c r="J3389" s="51">
        <v>5.4</v>
      </c>
      <c r="K3389" s="74">
        <f>Tabela6[[#This Row],[CONSUMO]]*Tabela6[[#This Row],[VALOR UNIT]]-Tabela6[[#This Row],[DESCONTO]]</f>
        <v>599.40000000000009</v>
      </c>
      <c r="L3389" s="53">
        <f>Tabela6[[#This Row],[CUSTO TOTAL]]/Tabela6[[#This Row],[CONSUMO]]</f>
        <v>5.4000000000000012</v>
      </c>
      <c r="M3389" s="50">
        <f>Tabela6[[#This Row],[KM ATUAL]]-E3356</f>
        <v>98319</v>
      </c>
      <c r="N3389" s="51">
        <f>Tabela6[[#This Row],[KM Rodados ]]/Tabela6[[#This Row],[CONSUMO]]</f>
        <v>885.75675675675677</v>
      </c>
    </row>
    <row r="3390" spans="1:14" x14ac:dyDescent="0.25">
      <c r="A3390" s="47" t="s">
        <v>314</v>
      </c>
      <c r="B3390" s="78">
        <v>45275</v>
      </c>
      <c r="C3390" s="47" t="s">
        <v>20</v>
      </c>
      <c r="E3390" s="47">
        <v>287952</v>
      </c>
      <c r="G3390" s="50" t="s">
        <v>89</v>
      </c>
      <c r="H3390" s="51">
        <v>58</v>
      </c>
      <c r="K3390" s="74">
        <f>Tabela6[[#This Row],[CONSUMO]]*Tabela6[[#This Row],[VALOR UNIT]]-Tabela6[[#This Row],[DESCONTO]]</f>
        <v>0</v>
      </c>
      <c r="L3390" s="53">
        <f>Tabela6[[#This Row],[CUSTO TOTAL]]/Tabela6[[#This Row],[CONSUMO]]</f>
        <v>0</v>
      </c>
      <c r="M3390" s="50">
        <f>Tabela6[[#This Row],[KM ATUAL]]-E3321</f>
        <v>41765</v>
      </c>
      <c r="N3390" s="51">
        <f>Tabela6[[#This Row],[KM Rodados ]]/Tabela6[[#This Row],[CONSUMO]]</f>
        <v>720.08620689655174</v>
      </c>
    </row>
    <row r="3391" spans="1:14" x14ac:dyDescent="0.25">
      <c r="A3391" s="47">
        <v>8741</v>
      </c>
      <c r="B3391" s="78">
        <v>45275</v>
      </c>
      <c r="C3391" s="47" t="s">
        <v>74</v>
      </c>
      <c r="D3391" s="49" t="s">
        <v>299</v>
      </c>
      <c r="E3391" s="47">
        <v>98716</v>
      </c>
      <c r="G3391" s="50" t="s">
        <v>89</v>
      </c>
      <c r="H3391" s="51">
        <v>47</v>
      </c>
      <c r="J3391" s="51">
        <v>5.4</v>
      </c>
      <c r="K3391" s="74">
        <f>Tabela6[[#This Row],[CONSUMO]]*Tabela6[[#This Row],[VALOR UNIT]]-Tabela6[[#This Row],[DESCONTO]]</f>
        <v>253.8</v>
      </c>
      <c r="L3391" s="53">
        <f>Tabela6[[#This Row],[CUSTO TOTAL]]/Tabela6[[#This Row],[CONSUMO]]</f>
        <v>5.4</v>
      </c>
      <c r="M3391" s="50">
        <f>Tabela6[[#This Row],[KM ATUAL]]-E3367</f>
        <v>-15925</v>
      </c>
      <c r="N3391" s="51">
        <f>Tabela6[[#This Row],[KM Rodados ]]/Tabela6[[#This Row],[CONSUMO]]</f>
        <v>-338.82978723404256</v>
      </c>
    </row>
    <row r="3392" spans="1:14" x14ac:dyDescent="0.25">
      <c r="A3392" s="47">
        <v>1168777</v>
      </c>
      <c r="B3392" s="78">
        <v>45275</v>
      </c>
      <c r="C3392" s="47" t="s">
        <v>315</v>
      </c>
      <c r="D3392" s="49" t="s">
        <v>253</v>
      </c>
      <c r="E3392" s="47">
        <v>10441</v>
      </c>
      <c r="G3392" s="50" t="s">
        <v>89</v>
      </c>
      <c r="H3392" s="51">
        <v>37.71</v>
      </c>
      <c r="J3392" s="51">
        <v>6.09</v>
      </c>
      <c r="K3392" s="74">
        <f>Tabela6[[#This Row],[CONSUMO]]*Tabela6[[#This Row],[VALOR UNIT]]-Tabela6[[#This Row],[DESCONTO]]</f>
        <v>229.65389999999999</v>
      </c>
      <c r="L3392" s="53">
        <f>Tabela6[[#This Row],[CUSTO TOTAL]]/Tabela6[[#This Row],[CONSUMO]]</f>
        <v>6.09</v>
      </c>
      <c r="M3392" s="50">
        <f>Tabela6[[#This Row],[KM ATUAL]]-E3355</f>
        <v>-374781</v>
      </c>
      <c r="N3392" s="51">
        <f>Tabela6[[#This Row],[KM Rodados ]]/Tabela6[[#This Row],[CONSUMO]]</f>
        <v>-9938.5043754972157</v>
      </c>
    </row>
    <row r="3393" spans="1:14" x14ac:dyDescent="0.25">
      <c r="A3393" s="47" t="s">
        <v>314</v>
      </c>
      <c r="B3393" s="78">
        <v>45275</v>
      </c>
      <c r="C3393" s="47" t="s">
        <v>315</v>
      </c>
      <c r="E3393" s="47">
        <v>10523</v>
      </c>
      <c r="G3393" s="50" t="s">
        <v>89</v>
      </c>
      <c r="H3393" s="51">
        <v>50</v>
      </c>
      <c r="K3393" s="74">
        <f>Tabela6[[#This Row],[CONSUMO]]*Tabela6[[#This Row],[VALOR UNIT]]-Tabela6[[#This Row],[DESCONTO]]</f>
        <v>0</v>
      </c>
      <c r="L3393" s="53">
        <f>Tabela6[[#This Row],[CUSTO TOTAL]]/Tabela6[[#This Row],[CONSUMO]]</f>
        <v>0</v>
      </c>
      <c r="M3393" s="50">
        <f>Tabela6[[#This Row],[KM ATUAL]]-E3364</f>
        <v>-683148</v>
      </c>
      <c r="N3393" s="49">
        <f>Tabela6[[#This Row],[KM Rodados ]]/Tabela6[[#This Row],[CONSUMO]]</f>
        <v>-13662.96</v>
      </c>
    </row>
    <row r="3394" spans="1:14" x14ac:dyDescent="0.25">
      <c r="A3394" s="47">
        <v>8741</v>
      </c>
      <c r="B3394" s="78">
        <v>45275</v>
      </c>
      <c r="C3394" s="47" t="s">
        <v>354</v>
      </c>
      <c r="D3394" s="49" t="s">
        <v>299</v>
      </c>
      <c r="E3394" s="47">
        <v>10615</v>
      </c>
      <c r="G3394" s="50" t="s">
        <v>89</v>
      </c>
      <c r="H3394" s="51">
        <v>272</v>
      </c>
      <c r="J3394" s="51">
        <v>5.4</v>
      </c>
      <c r="K3394" s="74">
        <f>Tabela6[[#This Row],[CONSUMO]]*Tabela6[[#This Row],[VALOR UNIT]]-Tabela6[[#This Row],[DESCONTO]]</f>
        <v>1468.8000000000002</v>
      </c>
      <c r="L3394" s="53">
        <f>Tabela6[[#This Row],[CUSTO TOTAL]]/Tabela6[[#This Row],[CONSUMO]]</f>
        <v>5.4</v>
      </c>
      <c r="M3394" s="50">
        <f>Tabela6[[#This Row],[KM ATUAL]]-E3310</f>
        <v>2665</v>
      </c>
      <c r="N3394" s="51">
        <f>Tabela6[[#This Row],[KM Rodados ]]/Tabela6[[#This Row],[CONSUMO]]</f>
        <v>9.797794117647058</v>
      </c>
    </row>
    <row r="3395" spans="1:14" x14ac:dyDescent="0.25">
      <c r="A3395" s="47">
        <v>227785</v>
      </c>
      <c r="B3395" s="78">
        <v>45275</v>
      </c>
      <c r="C3395" s="47" t="s">
        <v>354</v>
      </c>
      <c r="D3395" s="49" t="s">
        <v>262</v>
      </c>
      <c r="E3395" s="47">
        <v>10619</v>
      </c>
      <c r="G3395" s="50" t="s">
        <v>241</v>
      </c>
      <c r="H3395" s="51">
        <v>18.669</v>
      </c>
      <c r="I3395" s="49">
        <v>6.72</v>
      </c>
      <c r="J3395" s="51">
        <v>3.69</v>
      </c>
      <c r="K3395" s="74">
        <f>Tabela6[[#This Row],[CONSUMO]]*Tabela6[[#This Row],[VALOR UNIT]]-Tabela6[[#This Row],[DESCONTO]]</f>
        <v>62.168610000000001</v>
      </c>
      <c r="L3395" s="53">
        <f>Tabela6[[#This Row],[CUSTO TOTAL]]/Tabela6[[#This Row],[CONSUMO]]</f>
        <v>3.3300449943757031</v>
      </c>
      <c r="M3395" s="50"/>
      <c r="N3395" s="49"/>
    </row>
    <row r="3396" spans="1:14" x14ac:dyDescent="0.25">
      <c r="A3396" s="47">
        <v>368910</v>
      </c>
      <c r="B3396" s="78">
        <v>45276</v>
      </c>
      <c r="C3396" s="47" t="s">
        <v>222</v>
      </c>
      <c r="D3396" s="49" t="s">
        <v>361</v>
      </c>
      <c r="E3396" s="47">
        <v>533708</v>
      </c>
      <c r="G3396" s="50" t="s">
        <v>89</v>
      </c>
      <c r="H3396" s="51">
        <v>282.78100000000001</v>
      </c>
      <c r="J3396" s="51">
        <v>5.74</v>
      </c>
      <c r="K3396" s="74">
        <f>Tabela6[[#This Row],[CONSUMO]]*Tabela6[[#This Row],[VALOR UNIT]]-Tabela6[[#This Row],[DESCONTO]]</f>
        <v>1623.1629400000002</v>
      </c>
      <c r="L3396" s="53">
        <f>Tabela6[[#This Row],[CUSTO TOTAL]]/Tabela6[[#This Row],[CONSUMO]]</f>
        <v>5.74</v>
      </c>
      <c r="M3396" s="50">
        <f>Tabela6[[#This Row],[KM ATUAL]]-E3359</f>
        <v>523711</v>
      </c>
      <c r="N3396" s="51">
        <f>Tabela6[[#This Row],[KM Rodados ]]/Tabela6[[#This Row],[CONSUMO]]</f>
        <v>1852.0020793476224</v>
      </c>
    </row>
    <row r="3397" spans="1:14" x14ac:dyDescent="0.25">
      <c r="A3397" s="47">
        <v>368912</v>
      </c>
      <c r="B3397" s="78">
        <v>45276</v>
      </c>
      <c r="C3397" s="47" t="s">
        <v>222</v>
      </c>
      <c r="D3397" s="49" t="s">
        <v>361</v>
      </c>
      <c r="E3397" s="47">
        <v>533708</v>
      </c>
      <c r="G3397" s="50" t="s">
        <v>241</v>
      </c>
      <c r="H3397" s="51">
        <v>32.69</v>
      </c>
      <c r="J3397" s="51">
        <v>2.99</v>
      </c>
      <c r="K3397" s="74">
        <f>Tabela6[[#This Row],[CONSUMO]]*Tabela6[[#This Row],[VALOR UNIT]]-Tabela6[[#This Row],[DESCONTO]]</f>
        <v>97.743099999999998</v>
      </c>
      <c r="L3397" s="53">
        <f>Tabela6[[#This Row],[CUSTO TOTAL]]/Tabela6[[#This Row],[CONSUMO]]</f>
        <v>2.99</v>
      </c>
      <c r="M3397" s="50"/>
      <c r="N3397" s="49"/>
    </row>
    <row r="3398" spans="1:14" x14ac:dyDescent="0.25">
      <c r="A3398" s="47">
        <v>1119482</v>
      </c>
      <c r="B3398" s="78">
        <v>45276</v>
      </c>
      <c r="C3398" s="47" t="s">
        <v>203</v>
      </c>
      <c r="D3398" s="49" t="s">
        <v>387</v>
      </c>
      <c r="E3398" s="47">
        <v>129895</v>
      </c>
      <c r="G3398" s="50" t="s">
        <v>244</v>
      </c>
      <c r="H3398" s="51">
        <v>34.17</v>
      </c>
      <c r="J3398" s="51">
        <v>5.49</v>
      </c>
      <c r="K3398" s="74">
        <f>Tabela6[[#This Row],[CONSUMO]]*Tabela6[[#This Row],[VALOR UNIT]]-Tabela6[[#This Row],[DESCONTO]]</f>
        <v>187.59330000000003</v>
      </c>
      <c r="L3398" s="53">
        <f>Tabela6[[#This Row],[CUSTO TOTAL]]/Tabela6[[#This Row],[CONSUMO]]</f>
        <v>5.49</v>
      </c>
      <c r="M3398" s="50" t="e" cm="1">
        <f t="array" ref="M3398">SE</f>
        <v>#NAME?</v>
      </c>
      <c r="N3398" s="49" t="e">
        <f>Tabela6[[#This Row],[KM Rodados ]]/Tabela6[[#This Row],[CONSUMO]]</f>
        <v>#NAME?</v>
      </c>
    </row>
    <row r="3399" spans="1:14" x14ac:dyDescent="0.25">
      <c r="A3399" s="47">
        <v>589804</v>
      </c>
      <c r="B3399" s="78">
        <v>45276</v>
      </c>
      <c r="C3399" s="47" t="s">
        <v>64</v>
      </c>
      <c r="D3399" s="49" t="s">
        <v>255</v>
      </c>
      <c r="E3399" s="47">
        <v>108172</v>
      </c>
      <c r="G3399" s="50" t="s">
        <v>89</v>
      </c>
      <c r="H3399" s="51">
        <v>138.74100000000001</v>
      </c>
      <c r="J3399" s="51">
        <v>6.44</v>
      </c>
      <c r="K3399" s="74">
        <f>Tabela6[[#This Row],[CONSUMO]]*Tabela6[[#This Row],[VALOR UNIT]]-Tabela6[[#This Row],[DESCONTO]]</f>
        <v>893.49204000000009</v>
      </c>
      <c r="L3399" s="53">
        <f>Tabela6[[#This Row],[CUSTO TOTAL]]/Tabela6[[#This Row],[CONSUMO]]</f>
        <v>6.44</v>
      </c>
      <c r="M3399" s="50">
        <f>Tabela6[[#This Row],[KM ATUAL]]-E3360</f>
        <v>-831453</v>
      </c>
      <c r="N3399" s="51">
        <f>Tabela6[[#This Row],[KM Rodados ]]/Tabela6[[#This Row],[CONSUMO]]</f>
        <v>-5992.8427789910693</v>
      </c>
    </row>
    <row r="3400" spans="1:14" x14ac:dyDescent="0.25">
      <c r="A3400" s="47">
        <v>227964</v>
      </c>
      <c r="B3400" s="78">
        <v>45276</v>
      </c>
      <c r="C3400" s="47" t="s">
        <v>14</v>
      </c>
      <c r="D3400" s="49" t="s">
        <v>262</v>
      </c>
      <c r="E3400" s="47">
        <v>306856</v>
      </c>
      <c r="G3400" s="50" t="s">
        <v>244</v>
      </c>
      <c r="H3400" s="51">
        <v>40.429000000000002</v>
      </c>
      <c r="J3400" s="51">
        <v>5.59</v>
      </c>
      <c r="K3400" s="74">
        <f>Tabela6[[#This Row],[CONSUMO]]*Tabela6[[#This Row],[VALOR UNIT]]-Tabela6[[#This Row],[DESCONTO]]</f>
        <v>225.99811</v>
      </c>
      <c r="L3400" s="53">
        <f>Tabela6[[#This Row],[CUSTO TOTAL]]/Tabela6[[#This Row],[CONSUMO]]</f>
        <v>5.59</v>
      </c>
      <c r="M3400" s="50">
        <f>Tabela6[[#This Row],[KM ATUAL]]-E3338</f>
        <v>-386414</v>
      </c>
      <c r="N3400" s="51">
        <f>Tabela6[[#This Row],[KM Rodados ]]/Tabela6[[#This Row],[CONSUMO]]</f>
        <v>-9557.8421430161507</v>
      </c>
    </row>
    <row r="3401" spans="1:14" x14ac:dyDescent="0.25">
      <c r="A3401" s="47" t="s">
        <v>314</v>
      </c>
      <c r="B3401" s="78">
        <v>45277</v>
      </c>
      <c r="C3401" s="47" t="s">
        <v>394</v>
      </c>
      <c r="E3401" s="47">
        <v>880492</v>
      </c>
      <c r="G3401" s="50" t="s">
        <v>89</v>
      </c>
      <c r="H3401" s="51">
        <v>85</v>
      </c>
      <c r="K3401" s="74">
        <f>Tabela6[[#This Row],[CONSUMO]]*Tabela6[[#This Row],[VALOR UNIT]]-Tabela6[[#This Row],[DESCONTO]]</f>
        <v>0</v>
      </c>
      <c r="L3401" s="53">
        <f>Tabela6[[#This Row],[CUSTO TOTAL]]/Tabela6[[#This Row],[CONSUMO]]</f>
        <v>0</v>
      </c>
      <c r="M3401" s="51">
        <f>Tabela6[[#This Row],[KM ATUAL]]-E3349</f>
        <v>347356</v>
      </c>
      <c r="N3401" s="51">
        <f>Tabela6[[#This Row],[KM Rodados ]]/Tabela6[[#This Row],[CONSUMO]]</f>
        <v>4086.5411764705882</v>
      </c>
    </row>
    <row r="3402" spans="1:14" x14ac:dyDescent="0.25">
      <c r="A3402" s="47">
        <v>437826</v>
      </c>
      <c r="B3402" s="78">
        <v>45277</v>
      </c>
      <c r="C3402" s="47" t="s">
        <v>222</v>
      </c>
      <c r="D3402" s="49" t="s">
        <v>333</v>
      </c>
      <c r="E3402" s="47">
        <v>534413</v>
      </c>
      <c r="G3402" s="50" t="s">
        <v>89</v>
      </c>
      <c r="H3402" s="51">
        <v>376.00700000000001</v>
      </c>
      <c r="J3402" s="51">
        <v>5.59</v>
      </c>
      <c r="K3402" s="74">
        <f>Tabela6[[#This Row],[CONSUMO]]*Tabela6[[#This Row],[VALOR UNIT]]-Tabela6[[#This Row],[DESCONTO]]</f>
        <v>2101.8791299999998</v>
      </c>
      <c r="L3402" s="53">
        <f>Tabela6[[#This Row],[CUSTO TOTAL]]/Tabela6[[#This Row],[CONSUMO]]</f>
        <v>5.589999999999999</v>
      </c>
      <c r="M3402" s="50">
        <f>Tabela6[[#This Row],[KM ATUAL]]-E3398</f>
        <v>404518</v>
      </c>
      <c r="N3402" s="51">
        <f>Tabela6[[#This Row],[KM Rodados ]]/Tabela6[[#This Row],[CONSUMO]]</f>
        <v>1075.8257160106061</v>
      </c>
    </row>
    <row r="3403" spans="1:14" x14ac:dyDescent="0.25">
      <c r="A3403" s="47" t="s">
        <v>314</v>
      </c>
      <c r="B3403" s="78">
        <v>45277</v>
      </c>
      <c r="C3403" s="47" t="s">
        <v>13</v>
      </c>
      <c r="E3403" s="47">
        <v>671872</v>
      </c>
      <c r="G3403" s="50" t="s">
        <v>89</v>
      </c>
      <c r="H3403" s="51">
        <v>82</v>
      </c>
      <c r="K3403" s="74">
        <f>Tabela6[[#This Row],[CONSUMO]]*Tabela6[[#This Row],[VALOR UNIT]]-Tabela6[[#This Row],[DESCONTO]]</f>
        <v>0</v>
      </c>
      <c r="L3403" s="53">
        <f>Tabela6[[#This Row],[CUSTO TOTAL]]/Tabela6[[#This Row],[CONSUMO]]</f>
        <v>0</v>
      </c>
      <c r="M3403" s="50">
        <f>Tabela6[[#This Row],[KM ATUAL]]-E3398</f>
        <v>541977</v>
      </c>
      <c r="N3403" s="51">
        <f>Tabela6[[#This Row],[KM Rodados ]]/Tabela6[[#This Row],[CONSUMO]]</f>
        <v>6609.4756097560976</v>
      </c>
    </row>
    <row r="3404" spans="1:14" x14ac:dyDescent="0.25">
      <c r="A3404" s="47">
        <v>8889</v>
      </c>
      <c r="B3404" s="78">
        <v>45278</v>
      </c>
      <c r="C3404" s="47" t="s">
        <v>43</v>
      </c>
      <c r="D3404" s="49" t="s">
        <v>299</v>
      </c>
      <c r="E3404" s="47">
        <v>167045</v>
      </c>
      <c r="G3404" s="50" t="s">
        <v>89</v>
      </c>
      <c r="H3404" s="51">
        <v>28</v>
      </c>
      <c r="J3404" s="51">
        <v>5.3</v>
      </c>
      <c r="K3404" s="74">
        <f>Tabela6[[#This Row],[CONSUMO]]*Tabela6[[#This Row],[VALOR UNIT]]-Tabela6[[#This Row],[DESCONTO]]</f>
        <v>148.4</v>
      </c>
      <c r="L3404" s="53">
        <f>Tabela6[[#This Row],[CUSTO TOTAL]]/Tabela6[[#This Row],[CONSUMO]]</f>
        <v>5.3</v>
      </c>
      <c r="M3404" s="50">
        <f>Tabela6[[#This Row],[KM ATUAL]]-E3388</f>
        <v>-237571</v>
      </c>
      <c r="N3404" s="51">
        <f>Tabela6[[#This Row],[KM Rodados ]]/Tabela6[[#This Row],[CONSUMO]]</f>
        <v>-8484.6785714285706</v>
      </c>
    </row>
    <row r="3405" spans="1:14" x14ac:dyDescent="0.25">
      <c r="A3405" s="47">
        <v>709617</v>
      </c>
      <c r="B3405" s="78">
        <v>45278</v>
      </c>
      <c r="C3405" s="47" t="s">
        <v>43</v>
      </c>
      <c r="D3405" s="49" t="s">
        <v>271</v>
      </c>
      <c r="E3405" s="47">
        <v>167196</v>
      </c>
      <c r="G3405" s="50" t="s">
        <v>89</v>
      </c>
      <c r="H3405" s="51">
        <v>20.32</v>
      </c>
      <c r="J3405" s="51">
        <v>5.79</v>
      </c>
      <c r="K3405" s="74">
        <f>Tabela6[[#This Row],[CONSUMO]]*Tabela6[[#This Row],[VALOR UNIT]]-Tabela6[[#This Row],[DESCONTO]]</f>
        <v>117.6528</v>
      </c>
      <c r="L3405" s="53">
        <f>Tabela6[[#This Row],[CUSTO TOTAL]]/Tabela6[[#This Row],[CONSUMO]]</f>
        <v>5.79</v>
      </c>
      <c r="M3405" s="50">
        <f>Tabela6[[#This Row],[KM ATUAL]]-E3399</f>
        <v>59024</v>
      </c>
      <c r="N3405" s="51">
        <f>Tabela6[[#This Row],[KM Rodados ]]/Tabela6[[#This Row],[CONSUMO]]</f>
        <v>2904.7244094488187</v>
      </c>
    </row>
    <row r="3406" spans="1:14" x14ac:dyDescent="0.25">
      <c r="A3406" s="47">
        <v>1232733</v>
      </c>
      <c r="B3406" s="78">
        <v>45278</v>
      </c>
      <c r="C3406" s="47" t="s">
        <v>42</v>
      </c>
      <c r="D3406" s="49" t="s">
        <v>263</v>
      </c>
      <c r="E3406" s="47">
        <v>378452</v>
      </c>
      <c r="G3406" s="50" t="s">
        <v>89</v>
      </c>
      <c r="H3406" s="51">
        <v>37.720999999999997</v>
      </c>
      <c r="I3406" s="49">
        <v>3.77</v>
      </c>
      <c r="J3406" s="51">
        <v>5.94</v>
      </c>
      <c r="K3406" s="74">
        <f>Tabela6[[#This Row],[CONSUMO]]*Tabela6[[#This Row],[VALOR UNIT]]-Tabela6[[#This Row],[DESCONTO]]</f>
        <v>220.29273999999998</v>
      </c>
      <c r="L3406" s="53">
        <f>Tabela6[[#This Row],[CUSTO TOTAL]]/Tabela6[[#This Row],[CONSUMO]]</f>
        <v>5.840055671906895</v>
      </c>
      <c r="M3406" s="50">
        <f>Tabela6[[#This Row],[KM ATUAL]]-E3363</f>
        <v>217</v>
      </c>
      <c r="N3406" s="51">
        <f>Tabela6[[#This Row],[KM Rodados ]]/Tabela6[[#This Row],[CONSUMO]]</f>
        <v>5.7527637125208777</v>
      </c>
    </row>
    <row r="3407" spans="1:14" x14ac:dyDescent="0.25">
      <c r="A3407" s="47">
        <v>358829</v>
      </c>
      <c r="B3407" s="78">
        <v>45278</v>
      </c>
      <c r="C3407" s="47" t="s">
        <v>222</v>
      </c>
      <c r="D3407" s="49" t="s">
        <v>345</v>
      </c>
      <c r="E3407" s="47">
        <v>535099</v>
      </c>
      <c r="G3407" s="50" t="s">
        <v>89</v>
      </c>
      <c r="H3407" s="51">
        <v>100</v>
      </c>
      <c r="J3407" s="51">
        <v>5.36</v>
      </c>
      <c r="K3407" s="74">
        <f>Tabela6[[#This Row],[CONSUMO]]*Tabela6[[#This Row],[VALOR UNIT]]-Tabela6[[#This Row],[DESCONTO]]</f>
        <v>536</v>
      </c>
      <c r="L3407" s="53">
        <f>Tabela6[[#This Row],[CUSTO TOTAL]]/Tabela6[[#This Row],[CONSUMO]]</f>
        <v>5.36</v>
      </c>
      <c r="M3407" s="50"/>
      <c r="N3407" s="51">
        <f>Tabela6[[#This Row],[KM Rodados ]]/Tabela6[[#This Row],[CONSUMO]]</f>
        <v>0</v>
      </c>
    </row>
    <row r="3408" spans="1:14" x14ac:dyDescent="0.25">
      <c r="A3408" s="47">
        <v>347729</v>
      </c>
      <c r="B3408" s="78">
        <v>45278</v>
      </c>
      <c r="C3408" s="47" t="s">
        <v>222</v>
      </c>
      <c r="D3408" s="49" t="s">
        <v>332</v>
      </c>
      <c r="E3408" s="47">
        <v>535276</v>
      </c>
      <c r="G3408" s="50" t="s">
        <v>89</v>
      </c>
      <c r="H3408" s="51">
        <v>262.005</v>
      </c>
      <c r="J3408" s="51">
        <v>5.39</v>
      </c>
      <c r="K3408" s="74">
        <f>Tabela6[[#This Row],[CONSUMO]]*Tabela6[[#This Row],[VALOR UNIT]]-Tabela6[[#This Row],[DESCONTO]]</f>
        <v>1412.2069499999998</v>
      </c>
      <c r="L3408" s="53">
        <f>Tabela6[[#This Row],[CUSTO TOTAL]]/Tabela6[[#This Row],[CONSUMO]]</f>
        <v>5.39</v>
      </c>
      <c r="M3408" s="50">
        <f>Tabela6[[#This Row],[KM ATUAL]]-E3405</f>
        <v>368080</v>
      </c>
      <c r="N3408" s="51">
        <f>Tabela6[[#This Row],[KM Rodados ]]/Tabela6[[#This Row],[CONSUMO]]</f>
        <v>1404.8586859029408</v>
      </c>
    </row>
    <row r="3409" spans="1:14" x14ac:dyDescent="0.25">
      <c r="A3409" s="47">
        <v>347730</v>
      </c>
      <c r="B3409" s="78">
        <v>45278</v>
      </c>
      <c r="C3409" s="47" t="s">
        <v>222</v>
      </c>
      <c r="D3409" s="49" t="s">
        <v>332</v>
      </c>
      <c r="E3409" s="47">
        <v>535276</v>
      </c>
      <c r="G3409" s="50" t="s">
        <v>241</v>
      </c>
      <c r="H3409" s="51">
        <v>33.659999999999997</v>
      </c>
      <c r="J3409" s="51">
        <v>2.99</v>
      </c>
      <c r="K3409" s="74">
        <f>Tabela6[[#This Row],[CONSUMO]]*Tabela6[[#This Row],[VALOR UNIT]]-Tabela6[[#This Row],[DESCONTO]]</f>
        <v>100.6434</v>
      </c>
      <c r="L3409" s="53">
        <f>Tabela6[[#This Row],[CUSTO TOTAL]]/Tabela6[[#This Row],[CONSUMO]]</f>
        <v>2.99</v>
      </c>
      <c r="M3409" s="50"/>
      <c r="N3409" s="49"/>
    </row>
    <row r="3410" spans="1:14" x14ac:dyDescent="0.25">
      <c r="A3410" s="47">
        <v>8889</v>
      </c>
      <c r="B3410" s="78">
        <v>45278</v>
      </c>
      <c r="C3410" s="47" t="s">
        <v>67</v>
      </c>
      <c r="D3410" s="49" t="s">
        <v>299</v>
      </c>
      <c r="E3410" s="47">
        <v>694062</v>
      </c>
      <c r="G3410" s="50" t="s">
        <v>89</v>
      </c>
      <c r="H3410" s="51">
        <v>99</v>
      </c>
      <c r="J3410" s="51">
        <v>5.3</v>
      </c>
      <c r="K3410" s="74">
        <f>Tabela6[[#This Row],[CONSUMO]]*Tabela6[[#This Row],[VALOR UNIT]]-Tabela6[[#This Row],[DESCONTO]]</f>
        <v>524.69999999999993</v>
      </c>
      <c r="L3410" s="53">
        <f>Tabela6[[#This Row],[CUSTO TOTAL]]/Tabela6[[#This Row],[CONSUMO]]</f>
        <v>5.2999999999999989</v>
      </c>
      <c r="M3410" s="50">
        <f>Tabela6[[#This Row],[KM ATUAL]]-E3375</f>
        <v>-378680</v>
      </c>
      <c r="N3410" s="51">
        <f>Tabela6[[#This Row],[KM Rodados ]]/Tabela6[[#This Row],[CONSUMO]]</f>
        <v>-3825.0505050505049</v>
      </c>
    </row>
    <row r="3411" spans="1:14" x14ac:dyDescent="0.25">
      <c r="A3411" s="47">
        <v>228585</v>
      </c>
      <c r="B3411" s="78">
        <v>45278</v>
      </c>
      <c r="C3411" s="47" t="s">
        <v>203</v>
      </c>
      <c r="D3411" s="49" t="s">
        <v>262</v>
      </c>
      <c r="E3411" s="47">
        <v>130415</v>
      </c>
      <c r="G3411" s="50" t="s">
        <v>244</v>
      </c>
      <c r="H3411" s="51">
        <v>9.66</v>
      </c>
      <c r="J3411" s="51">
        <v>5.59</v>
      </c>
      <c r="K3411" s="74">
        <f>Tabela6[[#This Row],[CONSUMO]]*Tabela6[[#This Row],[VALOR UNIT]]-Tabela6[[#This Row],[DESCONTO]]</f>
        <v>53.999400000000001</v>
      </c>
      <c r="L3411" s="53">
        <f>Tabela6[[#This Row],[CUSTO TOTAL]]/Tabela6[[#This Row],[CONSUMO]]</f>
        <v>5.59</v>
      </c>
      <c r="M3411" s="50" t="e" cm="1">
        <f t="array" ref="M3411">SE</f>
        <v>#NAME?</v>
      </c>
      <c r="N3411" s="51" t="e">
        <f>Tabela6[[#This Row],[KM Rodados ]]/Tabela6[[#This Row],[CONSUMO]]</f>
        <v>#NAME?</v>
      </c>
    </row>
    <row r="3412" spans="1:14" x14ac:dyDescent="0.25">
      <c r="A3412" s="47">
        <v>8889</v>
      </c>
      <c r="B3412" s="78">
        <v>45278</v>
      </c>
      <c r="C3412" s="47" t="s">
        <v>73</v>
      </c>
      <c r="D3412" s="49" t="s">
        <v>299</v>
      </c>
      <c r="E3412" s="47">
        <v>169198</v>
      </c>
      <c r="G3412" s="50" t="s">
        <v>89</v>
      </c>
      <c r="H3412" s="51">
        <v>132</v>
      </c>
      <c r="J3412" s="51">
        <v>5.3</v>
      </c>
      <c r="K3412" s="74">
        <f>Tabela6[[#This Row],[CONSUMO]]*Tabela6[[#This Row],[VALOR UNIT]]-Tabela6[[#This Row],[DESCONTO]]</f>
        <v>699.6</v>
      </c>
      <c r="L3412" s="53">
        <f>Tabela6[[#This Row],[CUSTO TOTAL]]/Tabela6[[#This Row],[CONSUMO]]</f>
        <v>5.3</v>
      </c>
      <c r="M3412" s="50">
        <f>Tabela6[[#This Row],[KM ATUAL]]-E3381</f>
        <v>2620</v>
      </c>
      <c r="N3412" s="51">
        <f>Tabela6[[#This Row],[KM Rodados ]]/Tabela6[[#This Row],[CONSUMO]]</f>
        <v>19.848484848484848</v>
      </c>
    </row>
    <row r="3413" spans="1:14" x14ac:dyDescent="0.25">
      <c r="A3413" s="47">
        <v>119491</v>
      </c>
      <c r="B3413" s="78">
        <v>45278</v>
      </c>
      <c r="C3413" s="47" t="s">
        <v>64</v>
      </c>
      <c r="D3413" s="49" t="s">
        <v>253</v>
      </c>
      <c r="E3413" s="47">
        <v>108479</v>
      </c>
      <c r="G3413" s="50" t="s">
        <v>89</v>
      </c>
      <c r="H3413" s="51">
        <v>85.93</v>
      </c>
      <c r="J3413" s="51">
        <v>6.09</v>
      </c>
      <c r="K3413" s="74">
        <f>Tabela6[[#This Row],[CONSUMO]]*Tabela6[[#This Row],[VALOR UNIT]]-Tabela6[[#This Row],[DESCONTO]]</f>
        <v>523.31370000000004</v>
      </c>
      <c r="L3413" s="53">
        <f>Tabela6[[#This Row],[CUSTO TOTAL]]/Tabela6[[#This Row],[CONSUMO]]</f>
        <v>6.09</v>
      </c>
      <c r="M3413" s="50">
        <f>Tabela6[[#This Row],[KM ATUAL]]-E3406</f>
        <v>-269973</v>
      </c>
      <c r="N3413" s="51">
        <f>Tabela6[[#This Row],[KM Rodados ]]/Tabela6[[#This Row],[CONSUMO]]</f>
        <v>-3141.7781915512624</v>
      </c>
    </row>
    <row r="3414" spans="1:14" x14ac:dyDescent="0.25">
      <c r="A3414" s="47">
        <v>8889</v>
      </c>
      <c r="B3414" s="78">
        <v>45278</v>
      </c>
      <c r="C3414" s="47" t="s">
        <v>10</v>
      </c>
      <c r="D3414" s="49" t="s">
        <v>299</v>
      </c>
      <c r="E3414" s="47">
        <v>737540</v>
      </c>
      <c r="G3414" s="50" t="s">
        <v>89</v>
      </c>
      <c r="H3414" s="51">
        <v>111</v>
      </c>
      <c r="J3414" s="51">
        <v>5.3</v>
      </c>
      <c r="K3414" s="74">
        <f>Tabela6[[#This Row],[CONSUMO]]*Tabela6[[#This Row],[VALOR UNIT]]-Tabela6[[#This Row],[DESCONTO]]</f>
        <v>588.29999999999995</v>
      </c>
      <c r="L3414" s="53">
        <f>Tabela6[[#This Row],[CUSTO TOTAL]]/Tabela6[[#This Row],[CONSUMO]]</f>
        <v>5.3</v>
      </c>
      <c r="M3414" s="50">
        <f>Tabela6[[#This Row],[KM ATUAL]]-E3387</f>
        <v>66129</v>
      </c>
      <c r="N3414" s="51">
        <f>Tabela6[[#This Row],[KM Rodados ]]/Tabela6[[#This Row],[CONSUMO]]</f>
        <v>595.75675675675677</v>
      </c>
    </row>
    <row r="3415" spans="1:14" x14ac:dyDescent="0.25">
      <c r="A3415" s="47">
        <v>8889</v>
      </c>
      <c r="B3415" s="78">
        <v>45278</v>
      </c>
      <c r="C3415" s="47" t="s">
        <v>206</v>
      </c>
      <c r="D3415" s="49" t="s">
        <v>299</v>
      </c>
      <c r="E3415" s="47">
        <v>986155</v>
      </c>
      <c r="G3415" s="50" t="s">
        <v>89</v>
      </c>
      <c r="H3415" s="51">
        <v>360</v>
      </c>
      <c r="J3415" s="51">
        <v>5.3</v>
      </c>
      <c r="K3415" s="74">
        <f>Tabela6[[#This Row],[CONSUMO]]*Tabela6[[#This Row],[VALOR UNIT]]-Tabela6[[#This Row],[DESCONTO]]</f>
        <v>1908</v>
      </c>
      <c r="L3415" s="53">
        <f>Tabela6[[#This Row],[CUSTO TOTAL]]/Tabela6[[#This Row],[CONSUMO]]</f>
        <v>5.3</v>
      </c>
      <c r="M3415" s="50">
        <f>Tabela6[[#This Row],[KM ATUAL]]-E3285</f>
        <v>-83843</v>
      </c>
      <c r="N3415" s="51">
        <f>Tabela6[[#This Row],[KM Rodados ]]/Tabela6[[#This Row],[CONSUMO]]</f>
        <v>-232.89722222222221</v>
      </c>
    </row>
    <row r="3416" spans="1:14" x14ac:dyDescent="0.25">
      <c r="A3416" s="47">
        <v>119059</v>
      </c>
      <c r="B3416" s="78">
        <v>45278</v>
      </c>
      <c r="C3416" s="47" t="s">
        <v>12</v>
      </c>
      <c r="D3416" s="49" t="s">
        <v>253</v>
      </c>
      <c r="E3416" s="119">
        <v>327938</v>
      </c>
      <c r="G3416" s="50" t="s">
        <v>89</v>
      </c>
      <c r="H3416" s="51">
        <v>97.4</v>
      </c>
      <c r="J3416" s="51">
        <v>6.09</v>
      </c>
      <c r="K3416" s="74">
        <f>Tabela6[[#This Row],[CONSUMO]]*Tabela6[[#This Row],[VALOR UNIT]]-Tabela6[[#This Row],[DESCONTO]]</f>
        <v>593.16600000000005</v>
      </c>
      <c r="L3416" s="53">
        <f>Tabela6[[#This Row],[CUSTO TOTAL]]/Tabela6[[#This Row],[CONSUMO]]</f>
        <v>6.09</v>
      </c>
      <c r="M3416" s="50">
        <f>Tabela6[[#This Row],[KM ATUAL]]-E3326</f>
        <v>486</v>
      </c>
      <c r="N3416" s="51">
        <f>Tabela6[[#This Row],[KM Rodados ]]/Tabela6[[#This Row],[CONSUMO]]</f>
        <v>4.9897330595482545</v>
      </c>
    </row>
    <row r="3417" spans="1:14" x14ac:dyDescent="0.25">
      <c r="A3417" s="47">
        <v>8889</v>
      </c>
      <c r="B3417" s="78">
        <v>45278</v>
      </c>
      <c r="C3417" s="47" t="s">
        <v>19</v>
      </c>
      <c r="D3417" s="49" t="s">
        <v>299</v>
      </c>
      <c r="E3417" s="47">
        <v>344960</v>
      </c>
      <c r="G3417" s="50" t="s">
        <v>89</v>
      </c>
      <c r="H3417" s="51">
        <v>160</v>
      </c>
      <c r="J3417" s="51">
        <v>5.3</v>
      </c>
      <c r="K3417" s="74">
        <f>Tabela6[[#This Row],[CONSUMO]]*Tabela6[[#This Row],[VALOR UNIT]]-Tabela6[[#This Row],[DESCONTO]]</f>
        <v>848</v>
      </c>
      <c r="L3417" s="53">
        <f>Tabela6[[#This Row],[CUSTO TOTAL]]/Tabela6[[#This Row],[CONSUMO]]</f>
        <v>5.3</v>
      </c>
      <c r="M3417" s="50">
        <f>Tabela6[[#This Row],[KM ATUAL]]-E3342</f>
        <v>-391360</v>
      </c>
      <c r="N3417" s="51">
        <f>Tabela6[[#This Row],[KM Rodados ]]/Tabela6[[#This Row],[CONSUMO]]</f>
        <v>-2446</v>
      </c>
    </row>
    <row r="3418" spans="1:14" x14ac:dyDescent="0.25">
      <c r="A3418" s="47">
        <v>1034424</v>
      </c>
      <c r="B3418" s="78">
        <v>45278</v>
      </c>
      <c r="C3418" s="47" t="s">
        <v>40</v>
      </c>
      <c r="D3418" s="49" t="s">
        <v>268</v>
      </c>
      <c r="G3418" s="50" t="s">
        <v>244</v>
      </c>
      <c r="H3418" s="51">
        <v>41.59</v>
      </c>
      <c r="J3418" s="51">
        <v>5.29</v>
      </c>
      <c r="K3418" s="74">
        <f>Tabela6[[#This Row],[CONSUMO]]*Tabela6[[#This Row],[VALOR UNIT]]-Tabela6[[#This Row],[DESCONTO]]</f>
        <v>220.01110000000003</v>
      </c>
      <c r="L3418" s="53">
        <f>Tabela6[[#This Row],[CUSTO TOTAL]]/Tabela6[[#This Row],[CONSUMO]]</f>
        <v>5.29</v>
      </c>
      <c r="M3418" s="50">
        <f>Tabela6[[#This Row],[KM ATUAL]]-E3370</f>
        <v>-168713</v>
      </c>
      <c r="N3418" s="49">
        <f>Tabela6[[#This Row],[KM Rodados ]]/Tabela6[[#This Row],[CONSUMO]]</f>
        <v>-4056.5761000240441</v>
      </c>
    </row>
    <row r="3419" spans="1:14" x14ac:dyDescent="0.25">
      <c r="A3419" s="47">
        <v>8889</v>
      </c>
      <c r="B3419" s="78">
        <v>45278</v>
      </c>
      <c r="C3419" s="47" t="s">
        <v>74</v>
      </c>
      <c r="D3419" s="49" t="s">
        <v>299</v>
      </c>
      <c r="E3419" s="47">
        <v>99182</v>
      </c>
      <c r="G3419" s="50" t="s">
        <v>89</v>
      </c>
      <c r="H3419" s="51">
        <v>45</v>
      </c>
      <c r="J3419" s="51">
        <v>5.3</v>
      </c>
      <c r="K3419" s="74">
        <f>Tabela6[[#This Row],[CONSUMO]]*Tabela6[[#This Row],[VALOR UNIT]]-Tabela6[[#This Row],[DESCONTO]]</f>
        <v>238.5</v>
      </c>
      <c r="L3419" s="53">
        <f>Tabela6[[#This Row],[CUSTO TOTAL]]/Tabela6[[#This Row],[CONSUMO]]</f>
        <v>5.3</v>
      </c>
      <c r="M3419" s="50">
        <f>Tabela6[[#This Row],[KM ATUAL]]-E3399</f>
        <v>-8990</v>
      </c>
      <c r="N3419" s="51">
        <f>Tabela6[[#This Row],[KM Rodados ]]/Tabela6[[#This Row],[CONSUMO]]</f>
        <v>-199.77777777777777</v>
      </c>
    </row>
    <row r="3420" spans="1:14" x14ac:dyDescent="0.25">
      <c r="A3420" s="47">
        <v>183917</v>
      </c>
      <c r="B3420" s="78">
        <v>45279</v>
      </c>
      <c r="C3420" s="47" t="s">
        <v>43</v>
      </c>
      <c r="D3420" s="49" t="s">
        <v>263</v>
      </c>
      <c r="E3420" s="47">
        <v>167726</v>
      </c>
      <c r="G3420" s="50" t="s">
        <v>89</v>
      </c>
      <c r="H3420" s="51">
        <v>36.691000000000003</v>
      </c>
      <c r="J3420" s="51">
        <v>5.94</v>
      </c>
      <c r="K3420" s="74">
        <f>Tabela6[[#This Row],[CONSUMO]]*Tabela6[[#This Row],[VALOR UNIT]]-Tabela6[[#This Row],[DESCONTO]]</f>
        <v>217.94454000000002</v>
      </c>
      <c r="L3420" s="53">
        <f>Tabela6[[#This Row],[CUSTO TOTAL]]/Tabela6[[#This Row],[CONSUMO]]</f>
        <v>5.94</v>
      </c>
      <c r="M3420" s="50">
        <f>Tabela6[[#This Row],[KM ATUAL]]-E3414</f>
        <v>-569814</v>
      </c>
      <c r="N3420" s="51">
        <f>Tabela6[[#This Row],[KM Rodados ]]/Tabela6[[#This Row],[CONSUMO]]</f>
        <v>-15530.075495353083</v>
      </c>
    </row>
    <row r="3421" spans="1:14" x14ac:dyDescent="0.25">
      <c r="A3421" s="47">
        <v>8889</v>
      </c>
      <c r="B3421" s="78">
        <v>45279</v>
      </c>
      <c r="C3421" s="47" t="s">
        <v>42</v>
      </c>
      <c r="D3421" s="49" t="s">
        <v>299</v>
      </c>
      <c r="E3421" s="47">
        <v>378739</v>
      </c>
      <c r="G3421" s="50" t="s">
        <v>89</v>
      </c>
      <c r="H3421" s="51">
        <v>40</v>
      </c>
      <c r="J3421" s="51">
        <v>5.3</v>
      </c>
      <c r="K3421" s="74">
        <f>Tabela6[[#This Row],[CONSUMO]]*Tabela6[[#This Row],[VALOR UNIT]]-Tabela6[[#This Row],[DESCONTO]]</f>
        <v>212</v>
      </c>
      <c r="L3421" s="53">
        <f>Tabela6[[#This Row],[CUSTO TOTAL]]/Tabela6[[#This Row],[CONSUMO]]</f>
        <v>5.3</v>
      </c>
      <c r="M3421" s="50">
        <f>Tabela6[[#This Row],[KM ATUAL]]-E3409</f>
        <v>-156537</v>
      </c>
      <c r="N3421" s="51">
        <f>Tabela6[[#This Row],[KM Rodados ]]/Tabela6[[#This Row],[CONSUMO]]</f>
        <v>-3913.4250000000002</v>
      </c>
    </row>
    <row r="3422" spans="1:14" x14ac:dyDescent="0.25">
      <c r="A3422" s="47">
        <v>149499</v>
      </c>
      <c r="B3422" s="78">
        <v>45279</v>
      </c>
      <c r="C3422" s="47" t="s">
        <v>222</v>
      </c>
      <c r="D3422" s="49" t="s">
        <v>362</v>
      </c>
      <c r="E3422" s="47">
        <v>536137</v>
      </c>
      <c r="G3422" s="50" t="s">
        <v>89</v>
      </c>
      <c r="H3422" s="51">
        <v>250.02</v>
      </c>
      <c r="J3422" s="51">
        <v>5.7</v>
      </c>
      <c r="K3422" s="74">
        <f>Tabela6[[#This Row],[CONSUMO]]*Tabela6[[#This Row],[VALOR UNIT]]-Tabela6[[#This Row],[DESCONTO]]</f>
        <v>1425.114</v>
      </c>
      <c r="L3422" s="53">
        <f>Tabela6[[#This Row],[CUSTO TOTAL]]/Tabela6[[#This Row],[CONSUMO]]</f>
        <v>5.7</v>
      </c>
      <c r="M3422" s="50">
        <f>Tabela6[[#This Row],[KM ATUAL]]-E3414</f>
        <v>-201403</v>
      </c>
      <c r="N3422" s="51">
        <f>Tabela6[[#This Row],[KM Rodados ]]/Tabela6[[#This Row],[CONSUMO]]</f>
        <v>-805.54755619550428</v>
      </c>
    </row>
    <row r="3423" spans="1:14" x14ac:dyDescent="0.25">
      <c r="A3423" s="47">
        <v>8889</v>
      </c>
      <c r="B3423" s="78">
        <v>45279</v>
      </c>
      <c r="C3423" s="47" t="s">
        <v>67</v>
      </c>
      <c r="D3423" s="49" t="s">
        <v>299</v>
      </c>
      <c r="E3423" s="47">
        <v>694422</v>
      </c>
      <c r="G3423" s="50" t="s">
        <v>89</v>
      </c>
      <c r="H3423" s="51">
        <v>65</v>
      </c>
      <c r="J3423" s="51">
        <v>5.3</v>
      </c>
      <c r="K3423" s="74">
        <f>Tabela6[[#This Row],[CONSUMO]]*Tabela6[[#This Row],[VALOR UNIT]]-Tabela6[[#This Row],[DESCONTO]]</f>
        <v>344.5</v>
      </c>
      <c r="L3423" s="53">
        <f>Tabela6[[#This Row],[CUSTO TOTAL]]/Tabela6[[#This Row],[CONSUMO]]</f>
        <v>5.3</v>
      </c>
      <c r="M3423" s="50">
        <f>Tabela6[[#This Row],[KM ATUAL]]-E3401</f>
        <v>-186070</v>
      </c>
      <c r="N3423" s="51">
        <f>Tabela6[[#This Row],[KM Rodados ]]/Tabela6[[#This Row],[CONSUMO]]</f>
        <v>-2862.6153846153848</v>
      </c>
    </row>
    <row r="3424" spans="1:14" x14ac:dyDescent="0.25">
      <c r="A3424" s="47">
        <v>8889</v>
      </c>
      <c r="B3424" s="78">
        <v>45279</v>
      </c>
      <c r="C3424" s="47" t="s">
        <v>22</v>
      </c>
      <c r="D3424" s="49" t="s">
        <v>299</v>
      </c>
      <c r="E3424" s="47">
        <v>345463</v>
      </c>
      <c r="G3424" s="50" t="s">
        <v>89</v>
      </c>
      <c r="H3424" s="51">
        <v>120</v>
      </c>
      <c r="J3424" s="51">
        <v>5.3</v>
      </c>
      <c r="K3424" s="74">
        <f>Tabela6[[#This Row],[CONSUMO]]*Tabela6[[#This Row],[VALOR UNIT]]-Tabela6[[#This Row],[DESCONTO]]</f>
        <v>636</v>
      </c>
      <c r="L3424" s="53">
        <f>Tabela6[[#This Row],[CUSTO TOTAL]]/Tabela6[[#This Row],[CONSUMO]]</f>
        <v>5.3</v>
      </c>
      <c r="M3424" s="50">
        <f>Tabela6[[#This Row],[KM ATUAL]]-E3372</f>
        <v>-391271</v>
      </c>
      <c r="N3424" s="49">
        <f>Tabela6[[#This Row],[KM Rodados ]]/Tabela6[[#This Row],[CONSUMO]]</f>
        <v>-3260.5916666666667</v>
      </c>
    </row>
    <row r="3425" spans="1:14" x14ac:dyDescent="0.25">
      <c r="A3425" s="47">
        <v>8889</v>
      </c>
      <c r="B3425" s="78">
        <v>45279</v>
      </c>
      <c r="C3425" s="47" t="s">
        <v>41</v>
      </c>
      <c r="D3425" s="49" t="s">
        <v>299</v>
      </c>
      <c r="E3425" s="47">
        <v>690935</v>
      </c>
      <c r="G3425" s="50" t="s">
        <v>89</v>
      </c>
      <c r="H3425" s="51">
        <v>56</v>
      </c>
      <c r="J3425" s="51">
        <v>5.3</v>
      </c>
      <c r="K3425" s="74">
        <f>Tabela6[[#This Row],[CONSUMO]]*Tabela6[[#This Row],[VALOR UNIT]]-Tabela6[[#This Row],[DESCONTO]]</f>
        <v>296.8</v>
      </c>
      <c r="L3425" s="53">
        <f>Tabela6[[#This Row],[CUSTO TOTAL]]/Tabela6[[#This Row],[CONSUMO]]</f>
        <v>5.3</v>
      </c>
      <c r="M3425" s="50">
        <f>Tabela6[[#This Row],[KM ATUAL]]-E3384</f>
        <v>561901</v>
      </c>
      <c r="N3425" s="51">
        <f>Tabela6[[#This Row],[KM Rodados ]]/Tabela6[[#This Row],[CONSUMO]]</f>
        <v>10033.946428571429</v>
      </c>
    </row>
    <row r="3426" spans="1:14" x14ac:dyDescent="0.25">
      <c r="A3426" s="47">
        <v>796515</v>
      </c>
      <c r="B3426" s="78">
        <v>45279</v>
      </c>
      <c r="C3426" s="47" t="s">
        <v>13</v>
      </c>
      <c r="D3426" s="49" t="s">
        <v>264</v>
      </c>
      <c r="E3426" s="47">
        <v>671835</v>
      </c>
      <c r="G3426" s="50" t="s">
        <v>89</v>
      </c>
      <c r="H3426" s="51">
        <v>104.467</v>
      </c>
      <c r="J3426" s="51">
        <v>5.83</v>
      </c>
      <c r="K3426" s="74">
        <f>Tabela6[[#This Row],[CONSUMO]]*Tabela6[[#This Row],[VALOR UNIT]]-Tabela6[[#This Row],[DESCONTO]]</f>
        <v>609.04260999999997</v>
      </c>
      <c r="L3426" s="53">
        <f>Tabela6[[#This Row],[CUSTO TOTAL]]/Tabela6[[#This Row],[CONSUMO]]</f>
        <v>5.83</v>
      </c>
      <c r="M3426" s="50">
        <f>Tabela6[[#This Row],[KM ATUAL]]-E3393</f>
        <v>661312</v>
      </c>
      <c r="N3426" s="51">
        <f>Tabela6[[#This Row],[KM Rodados ]]/Tabela6[[#This Row],[CONSUMO]]</f>
        <v>6330.3435534666451</v>
      </c>
    </row>
    <row r="3427" spans="1:14" x14ac:dyDescent="0.25">
      <c r="A3427" s="47">
        <v>8889</v>
      </c>
      <c r="B3427" s="78">
        <v>45279</v>
      </c>
      <c r="C3427" s="47" t="s">
        <v>13</v>
      </c>
      <c r="D3427" s="49" t="s">
        <v>299</v>
      </c>
      <c r="E3427" s="47">
        <v>672213</v>
      </c>
      <c r="G3427" s="50" t="s">
        <v>89</v>
      </c>
      <c r="H3427" s="51">
        <v>78</v>
      </c>
      <c r="J3427" s="51">
        <v>5.3</v>
      </c>
      <c r="K3427" s="74">
        <f>Tabela6[[#This Row],[CONSUMO]]*Tabela6[[#This Row],[VALOR UNIT]]-Tabela6[[#This Row],[DESCONTO]]</f>
        <v>413.4</v>
      </c>
      <c r="L3427" s="53">
        <f>Tabela6[[#This Row],[CUSTO TOTAL]]/Tabela6[[#This Row],[CONSUMO]]</f>
        <v>5.3</v>
      </c>
      <c r="M3427" s="50">
        <f>Tabela6[[#This Row],[KM ATUAL]]-E3426</f>
        <v>378</v>
      </c>
      <c r="N3427" s="51">
        <f>Tabela6[[#This Row],[KM Rodados ]]/Tabela6[[#This Row],[CONSUMO]]</f>
        <v>4.8461538461538458</v>
      </c>
    </row>
    <row r="3428" spans="1:14" x14ac:dyDescent="0.25">
      <c r="A3428" s="47">
        <v>228687</v>
      </c>
      <c r="B3428" s="78">
        <v>45279</v>
      </c>
      <c r="C3428" s="47" t="s">
        <v>14</v>
      </c>
      <c r="D3428" s="49" t="s">
        <v>262</v>
      </c>
      <c r="E3428" s="47">
        <v>307210</v>
      </c>
      <c r="G3428" s="50" t="s">
        <v>244</v>
      </c>
      <c r="H3428" s="51">
        <v>29.93</v>
      </c>
      <c r="J3428" s="51">
        <v>5.59</v>
      </c>
      <c r="K3428" s="74">
        <f>Tabela6[[#This Row],[CONSUMO]]*Tabela6[[#This Row],[VALOR UNIT]]-Tabela6[[#This Row],[DESCONTO]]</f>
        <v>167.30869999999999</v>
      </c>
      <c r="L3428" s="53">
        <f>Tabela6[[#This Row],[CUSTO TOTAL]]/Tabela6[[#This Row],[CONSUMO]]</f>
        <v>5.59</v>
      </c>
      <c r="M3428" s="50" t="e" cm="1">
        <f t="array" ref="M3428">SE</f>
        <v>#NAME?</v>
      </c>
      <c r="N3428" s="49" t="e">
        <f>Tabela6[[#This Row],[KM Rodados ]]/Tabela6[[#This Row],[CONSUMO]]</f>
        <v>#NAME?</v>
      </c>
    </row>
    <row r="3429" spans="1:14" x14ac:dyDescent="0.25">
      <c r="A3429" s="47">
        <v>359505</v>
      </c>
      <c r="B3429" s="78">
        <v>45279</v>
      </c>
      <c r="C3429" s="47" t="s">
        <v>14</v>
      </c>
      <c r="D3429" s="49" t="s">
        <v>276</v>
      </c>
      <c r="E3429" s="47">
        <v>307586</v>
      </c>
      <c r="G3429" s="50" t="s">
        <v>244</v>
      </c>
      <c r="H3429" s="51">
        <v>30.58</v>
      </c>
      <c r="J3429" s="51">
        <v>5.69</v>
      </c>
      <c r="K3429" s="74">
        <f>Tabela6[[#This Row],[CONSUMO]]*Tabela6[[#This Row],[VALOR UNIT]]-Tabela6[[#This Row],[DESCONTO]]</f>
        <v>174.00020000000001</v>
      </c>
      <c r="L3429" s="53">
        <f>Tabela6[[#This Row],[CUSTO TOTAL]]/Tabela6[[#This Row],[CONSUMO]]</f>
        <v>5.69</v>
      </c>
      <c r="M3429" s="50" t="e" cm="1">
        <f t="array" ref="M3429">SE</f>
        <v>#NAME?</v>
      </c>
      <c r="N3429" s="49" t="e">
        <f>Tabela6[[#This Row],[KM Rodados ]]/Tabela6[[#This Row],[CONSUMO]]</f>
        <v>#NAME?</v>
      </c>
    </row>
    <row r="3430" spans="1:14" x14ac:dyDescent="0.25">
      <c r="A3430" s="47">
        <v>8889</v>
      </c>
      <c r="B3430" s="78">
        <v>45279</v>
      </c>
      <c r="C3430" s="47" t="s">
        <v>15</v>
      </c>
      <c r="D3430" s="49" t="s">
        <v>299</v>
      </c>
      <c r="E3430" s="47">
        <v>404989</v>
      </c>
      <c r="G3430" s="50" t="s">
        <v>89</v>
      </c>
      <c r="H3430" s="51">
        <v>69</v>
      </c>
      <c r="J3430" s="51">
        <v>5.3</v>
      </c>
      <c r="K3430" s="74">
        <f>Tabela6[[#This Row],[CONSUMO]]*Tabela6[[#This Row],[VALOR UNIT]]-Tabela6[[#This Row],[DESCONTO]]</f>
        <v>365.7</v>
      </c>
      <c r="L3430" s="53">
        <f>Tabela6[[#This Row],[CUSTO TOTAL]]/Tabela6[[#This Row],[CONSUMO]]</f>
        <v>5.3</v>
      </c>
      <c r="M3430" s="50">
        <f>Tabela6[[#This Row],[KM ATUAL]]-E3389</f>
        <v>19314</v>
      </c>
      <c r="N3430" s="51">
        <f>Tabela6[[#This Row],[KM Rodados ]]/Tabela6[[#This Row],[CONSUMO]]</f>
        <v>279.91304347826087</v>
      </c>
    </row>
    <row r="3431" spans="1:14" x14ac:dyDescent="0.25">
      <c r="A3431" s="47">
        <v>228702</v>
      </c>
      <c r="B3431" s="78">
        <v>45279</v>
      </c>
      <c r="C3431" s="47" t="s">
        <v>17</v>
      </c>
      <c r="D3431" s="49" t="s">
        <v>262</v>
      </c>
      <c r="G3431" s="50" t="s">
        <v>241</v>
      </c>
      <c r="H3431" s="51">
        <v>25.952999999999999</v>
      </c>
      <c r="I3431" s="49">
        <v>9.35</v>
      </c>
      <c r="J3431" s="51">
        <v>3.69</v>
      </c>
      <c r="K3431" s="74">
        <f>Tabela6[[#This Row],[CONSUMO]]*Tabela6[[#This Row],[VALOR UNIT]]-Tabela6[[#This Row],[DESCONTO]]</f>
        <v>86.416570000000007</v>
      </c>
      <c r="L3431" s="53">
        <f>Tabela6[[#This Row],[CUSTO TOTAL]]/Tabela6[[#This Row],[CONSUMO]]</f>
        <v>3.3297333641582867</v>
      </c>
      <c r="M3431" s="50"/>
      <c r="N3431" s="49"/>
    </row>
    <row r="3432" spans="1:14" x14ac:dyDescent="0.25">
      <c r="A3432" s="47">
        <v>8889</v>
      </c>
      <c r="B3432" s="78">
        <v>45279</v>
      </c>
      <c r="C3432" s="47" t="s">
        <v>20</v>
      </c>
      <c r="D3432" s="49" t="s">
        <v>299</v>
      </c>
      <c r="E3432" s="47">
        <v>288502</v>
      </c>
      <c r="G3432" s="50" t="s">
        <v>89</v>
      </c>
      <c r="H3432" s="51">
        <v>57</v>
      </c>
      <c r="J3432" s="51">
        <v>5.3</v>
      </c>
      <c r="K3432" s="74">
        <f>Tabela6[[#This Row],[CONSUMO]]*Tabela6[[#This Row],[VALOR UNIT]]-Tabela6[[#This Row],[DESCONTO]]</f>
        <v>302.09999999999997</v>
      </c>
      <c r="L3432" s="53">
        <f>Tabela6[[#This Row],[CUSTO TOTAL]]/Tabela6[[#This Row],[CONSUMO]]</f>
        <v>5.3</v>
      </c>
      <c r="M3432" s="50">
        <f>Tabela6[[#This Row],[KM ATUAL]]-E3430</f>
        <v>-116487</v>
      </c>
      <c r="N3432" s="51">
        <f>Tabela6[[#This Row],[KM Rodados ]]/Tabela6[[#This Row],[CONSUMO]]</f>
        <v>-2043.6315789473683</v>
      </c>
    </row>
    <row r="3433" spans="1:14" x14ac:dyDescent="0.25">
      <c r="A3433" s="47">
        <v>590635</v>
      </c>
      <c r="B3433" s="78">
        <v>45279</v>
      </c>
      <c r="C3433" s="47" t="s">
        <v>38</v>
      </c>
      <c r="D3433" s="49" t="s">
        <v>255</v>
      </c>
      <c r="E3433" s="47">
        <v>140889</v>
      </c>
      <c r="G3433" s="50" t="s">
        <v>244</v>
      </c>
      <c r="H3433" s="51">
        <v>51.250999999999998</v>
      </c>
      <c r="J3433" s="51">
        <v>5.74</v>
      </c>
      <c r="K3433" s="74">
        <f>Tabela6[[#This Row],[CONSUMO]]*Tabela6[[#This Row],[VALOR UNIT]]-Tabela6[[#This Row],[DESCONTO]]</f>
        <v>294.18074000000001</v>
      </c>
      <c r="L3433" s="53">
        <f>Tabela6[[#This Row],[CUSTO TOTAL]]/Tabela6[[#This Row],[CONSUMO]]</f>
        <v>5.74</v>
      </c>
      <c r="M3433" s="50" t="e" cm="1">
        <f t="array" ref="M3433">SE</f>
        <v>#NAME?</v>
      </c>
      <c r="N3433" s="49" t="e">
        <f>Tabela6[[#This Row],[KM Rodados ]]/Tabela6[[#This Row],[CONSUMO]]</f>
        <v>#NAME?</v>
      </c>
    </row>
    <row r="3434" spans="1:14" x14ac:dyDescent="0.25">
      <c r="A3434" s="47">
        <v>120533</v>
      </c>
      <c r="B3434" s="78">
        <v>45279</v>
      </c>
      <c r="C3434" s="47" t="s">
        <v>315</v>
      </c>
      <c r="D3434" s="49" t="s">
        <v>253</v>
      </c>
      <c r="E3434" s="47">
        <v>11048</v>
      </c>
      <c r="G3434" s="50" t="s">
        <v>89</v>
      </c>
      <c r="H3434" s="51">
        <v>48.53</v>
      </c>
      <c r="J3434" s="51">
        <v>6.09</v>
      </c>
      <c r="K3434" s="74">
        <f>Tabela6[[#This Row],[CONSUMO]]*Tabela6[[#This Row],[VALOR UNIT]]-Tabela6[[#This Row],[DESCONTO]]</f>
        <v>295.54770000000002</v>
      </c>
      <c r="L3434" s="53">
        <f>Tabela6[[#This Row],[CUSTO TOTAL]]/Tabela6[[#This Row],[CONSUMO]]</f>
        <v>6.09</v>
      </c>
      <c r="M3434" s="50">
        <f>Tabela6[[#This Row],[KM ATUAL]]-E3433</f>
        <v>-129841</v>
      </c>
      <c r="N3434" s="51">
        <f>Tabela6[[#This Row],[KM Rodados ]]/Tabela6[[#This Row],[CONSUMO]]</f>
        <v>-2675.4790851019989</v>
      </c>
    </row>
    <row r="3435" spans="1:14" x14ac:dyDescent="0.25">
      <c r="A3435" s="47">
        <v>8889</v>
      </c>
      <c r="B3435" s="78">
        <v>45280</v>
      </c>
      <c r="C3435" s="47" t="s">
        <v>68</v>
      </c>
      <c r="D3435" s="49" t="s">
        <v>299</v>
      </c>
      <c r="E3435" s="47">
        <v>940805</v>
      </c>
      <c r="G3435" s="50" t="s">
        <v>89</v>
      </c>
      <c r="H3435" s="51">
        <v>504</v>
      </c>
      <c r="J3435" s="51">
        <v>5.3</v>
      </c>
      <c r="K3435" s="74">
        <f>Tabela6[[#This Row],[CONSUMO]]*Tabela6[[#This Row],[VALOR UNIT]]-Tabela6[[#This Row],[DESCONTO]]</f>
        <v>2671.2</v>
      </c>
      <c r="L3435" s="53">
        <f>Tabela6[[#This Row],[CUSTO TOTAL]]/Tabela6[[#This Row],[CONSUMO]]</f>
        <v>5.3</v>
      </c>
      <c r="M3435" s="50">
        <f>Tabela6[[#This Row],[KM ATUAL]]-E3365</f>
        <v>709237</v>
      </c>
      <c r="N3435" s="51">
        <f>Tabela6[[#This Row],[KM Rodados ]]/Tabela6[[#This Row],[CONSUMO]]</f>
        <v>1407.2162698412699</v>
      </c>
    </row>
    <row r="3436" spans="1:14" x14ac:dyDescent="0.25">
      <c r="A3436" s="47">
        <v>8889</v>
      </c>
      <c r="B3436" s="78">
        <v>45280</v>
      </c>
      <c r="C3436" s="47" t="s">
        <v>394</v>
      </c>
      <c r="D3436" s="49" t="s">
        <v>299</v>
      </c>
      <c r="E3436" s="47">
        <v>880783</v>
      </c>
      <c r="G3436" s="50" t="s">
        <v>89</v>
      </c>
      <c r="H3436" s="51">
        <v>76</v>
      </c>
      <c r="J3436" s="51">
        <v>5.3</v>
      </c>
      <c r="K3436" s="74">
        <f>Tabela6[[#This Row],[CONSUMO]]*Tabela6[[#This Row],[VALOR UNIT]]-Tabela6[[#This Row],[DESCONTO]]</f>
        <v>402.8</v>
      </c>
      <c r="L3436" s="53">
        <f>Tabela6[[#This Row],[CUSTO TOTAL]]/Tabela6[[#This Row],[CONSUMO]]</f>
        <v>5.3</v>
      </c>
      <c r="M3436" s="51">
        <f>Tabela6[[#This Row],[KM ATUAL]]-E3434</f>
        <v>869735</v>
      </c>
      <c r="N3436" s="51">
        <f>Tabela6[[#This Row],[KM Rodados ]]/Tabela6[[#This Row],[CONSUMO]]</f>
        <v>11443.881578947368</v>
      </c>
    </row>
    <row r="3437" spans="1:14" x14ac:dyDescent="0.25">
      <c r="A3437" s="47">
        <v>272836</v>
      </c>
      <c r="B3437" s="78">
        <v>45280</v>
      </c>
      <c r="C3437" s="47" t="s">
        <v>9</v>
      </c>
      <c r="D3437" s="49" t="s">
        <v>273</v>
      </c>
      <c r="E3437" s="47">
        <v>639922</v>
      </c>
      <c r="G3437" s="50" t="s">
        <v>89</v>
      </c>
      <c r="H3437" s="51">
        <v>159.41</v>
      </c>
      <c r="J3437" s="51">
        <v>5.69</v>
      </c>
      <c r="K3437" s="74">
        <f>Tabela6[[#This Row],[CONSUMO]]*Tabela6[[#This Row],[VALOR UNIT]]-Tabela6[[#This Row],[DESCONTO]]</f>
        <v>907.04290000000003</v>
      </c>
      <c r="L3437" s="53">
        <f>Tabela6[[#This Row],[CUSTO TOTAL]]/Tabela6[[#This Row],[CONSUMO]]</f>
        <v>5.69</v>
      </c>
      <c r="M3437" s="50">
        <f>Tabela6[[#This Row],[KM ATUAL]]-E3357</f>
        <v>379812</v>
      </c>
      <c r="N3437" s="51">
        <f>Tabela6[[#This Row],[KM Rodados ]]/Tabela6[[#This Row],[CONSUMO]]</f>
        <v>2382.6108776111914</v>
      </c>
    </row>
    <row r="3438" spans="1:14" x14ac:dyDescent="0.25">
      <c r="A3438" s="47">
        <v>587595</v>
      </c>
      <c r="B3438" s="78">
        <v>45280</v>
      </c>
      <c r="C3438" s="47" t="s">
        <v>203</v>
      </c>
      <c r="D3438" s="49" t="s">
        <v>318</v>
      </c>
      <c r="E3438" s="47">
        <v>131304</v>
      </c>
      <c r="G3438" s="50" t="s">
        <v>244</v>
      </c>
      <c r="H3438" s="51">
        <v>35.58</v>
      </c>
      <c r="J3438" s="51">
        <v>5.69</v>
      </c>
      <c r="K3438" s="74">
        <f>Tabela6[[#This Row],[CONSUMO]]*Tabela6[[#This Row],[VALOR UNIT]]-Tabela6[[#This Row],[DESCONTO]]</f>
        <v>202.4502</v>
      </c>
      <c r="L3438" s="53">
        <f>Tabela6[[#This Row],[CUSTO TOTAL]]/Tabela6[[#This Row],[CONSUMO]]</f>
        <v>5.69</v>
      </c>
      <c r="M3438" s="50" t="e" cm="1">
        <f t="array" ref="M3438">SE</f>
        <v>#NAME?</v>
      </c>
      <c r="N3438" s="49" t="e">
        <f>Tabela6[[#This Row],[KM Rodados ]]/Tabela6[[#This Row],[CONSUMO]]</f>
        <v>#NAME?</v>
      </c>
    </row>
    <row r="3439" spans="1:14" x14ac:dyDescent="0.25">
      <c r="A3439" s="47">
        <v>425169</v>
      </c>
      <c r="B3439" s="78">
        <v>45280</v>
      </c>
      <c r="C3439" s="47" t="s">
        <v>203</v>
      </c>
      <c r="D3439" s="49" t="s">
        <v>309</v>
      </c>
      <c r="E3439" s="47">
        <v>130877</v>
      </c>
      <c r="G3439" s="50" t="s">
        <v>244</v>
      </c>
      <c r="H3439" s="51">
        <v>35.44</v>
      </c>
      <c r="J3439" s="51">
        <v>5.35</v>
      </c>
      <c r="K3439" s="74">
        <f>Tabela6[[#This Row],[CONSUMO]]*Tabela6[[#This Row],[VALOR UNIT]]-Tabela6[[#This Row],[DESCONTO]]</f>
        <v>189.60399999999998</v>
      </c>
      <c r="L3439" s="53">
        <f>Tabela6[[#This Row],[CUSTO TOTAL]]/Tabela6[[#This Row],[CONSUMO]]</f>
        <v>5.35</v>
      </c>
      <c r="M3439" s="50" t="e" cm="1">
        <f t="array" ref="M3439">SE</f>
        <v>#NAME?</v>
      </c>
      <c r="N3439" s="49" t="e">
        <f>Tabela6[[#This Row],[KM Rodados ]]/Tabela6[[#This Row],[CONSUMO]]</f>
        <v>#NAME?</v>
      </c>
    </row>
    <row r="3440" spans="1:14" x14ac:dyDescent="0.25">
      <c r="A3440" s="47">
        <v>28895</v>
      </c>
      <c r="B3440" s="78">
        <v>45280</v>
      </c>
      <c r="C3440" s="47" t="s">
        <v>72</v>
      </c>
      <c r="D3440" s="49" t="s">
        <v>262</v>
      </c>
      <c r="E3440" s="47">
        <v>432466</v>
      </c>
      <c r="G3440" s="50" t="s">
        <v>89</v>
      </c>
      <c r="H3440" s="51">
        <v>18.381</v>
      </c>
      <c r="J3440" s="51">
        <v>5.99</v>
      </c>
      <c r="K3440" s="74">
        <f>Tabela6[[#This Row],[CONSUMO]]*Tabela6[[#This Row],[VALOR UNIT]]-Tabela6[[#This Row],[DESCONTO]]</f>
        <v>110.10219000000001</v>
      </c>
      <c r="L3440" s="53">
        <f>Tabela6[[#This Row],[CUSTO TOTAL]]/Tabela6[[#This Row],[CONSUMO]]</f>
        <v>5.99</v>
      </c>
      <c r="M3440" s="50">
        <f>Tabela6[[#This Row],[KM ATUAL]]-E3371</f>
        <v>-257108</v>
      </c>
      <c r="N3440" s="51">
        <f>Tabela6[[#This Row],[KM Rodados ]]/Tabela6[[#This Row],[CONSUMO]]</f>
        <v>-13987.704695065557</v>
      </c>
    </row>
    <row r="3441" spans="1:14" x14ac:dyDescent="0.25">
      <c r="A3441" s="47">
        <v>359929</v>
      </c>
      <c r="B3441" s="78">
        <v>45280</v>
      </c>
      <c r="C3441" s="47" t="s">
        <v>72</v>
      </c>
      <c r="D3441" s="49" t="s">
        <v>276</v>
      </c>
      <c r="E3441" s="47">
        <v>432987</v>
      </c>
      <c r="G3441" s="50" t="s">
        <v>89</v>
      </c>
      <c r="H3441" s="51">
        <v>57.97</v>
      </c>
      <c r="J3441" s="51">
        <v>6.09</v>
      </c>
      <c r="K3441" s="74">
        <f>Tabela6[[#This Row],[CONSUMO]]*Tabela6[[#This Row],[VALOR UNIT]]-Tabela6[[#This Row],[DESCONTO]]</f>
        <v>353.03729999999996</v>
      </c>
      <c r="L3441" s="53">
        <f>Tabela6[[#This Row],[CUSTO TOTAL]]/Tabela6[[#This Row],[CONSUMO]]</f>
        <v>6.09</v>
      </c>
      <c r="M3441" s="50">
        <f>Tabela6[[#This Row],[KM ATUAL]]-E3440</f>
        <v>521</v>
      </c>
      <c r="N3441" s="51">
        <f>Tabela6[[#This Row],[KM Rodados ]]/Tabela6[[#This Row],[CONSUMO]]</f>
        <v>8.9874072796273943</v>
      </c>
    </row>
    <row r="3442" spans="1:14" x14ac:dyDescent="0.25">
      <c r="A3442" s="47">
        <v>8889</v>
      </c>
      <c r="B3442" s="78">
        <v>45280</v>
      </c>
      <c r="C3442" s="47" t="s">
        <v>73</v>
      </c>
      <c r="D3442" s="49" t="s">
        <v>299</v>
      </c>
      <c r="E3442" s="47">
        <v>169831</v>
      </c>
      <c r="G3442" s="50" t="s">
        <v>89</v>
      </c>
      <c r="H3442" s="51">
        <v>161</v>
      </c>
      <c r="J3442" s="51">
        <v>5.3</v>
      </c>
      <c r="K3442" s="74">
        <f>Tabela6[[#This Row],[CONSUMO]]*Tabela6[[#This Row],[VALOR UNIT]]-Tabela6[[#This Row],[DESCONTO]]</f>
        <v>853.3</v>
      </c>
      <c r="L3442" s="53">
        <f>Tabela6[[#This Row],[CUSTO TOTAL]]/Tabela6[[#This Row],[CONSUMO]]</f>
        <v>5.3</v>
      </c>
      <c r="M3442" s="50">
        <f>Tabela6[[#This Row],[KM ATUAL]]-E3409</f>
        <v>-365445</v>
      </c>
      <c r="N3442" s="51">
        <f>Tabela6[[#This Row],[KM Rodados ]]/Tabela6[[#This Row],[CONSUMO]]</f>
        <v>-2269.8447204968943</v>
      </c>
    </row>
    <row r="3443" spans="1:14" x14ac:dyDescent="0.25">
      <c r="A3443" s="47">
        <v>121530</v>
      </c>
      <c r="B3443" s="78">
        <v>45280</v>
      </c>
      <c r="C3443" s="47" t="s">
        <v>64</v>
      </c>
      <c r="D3443" s="49" t="s">
        <v>253</v>
      </c>
      <c r="E3443" s="47">
        <v>108996</v>
      </c>
      <c r="G3443" s="50" t="s">
        <v>89</v>
      </c>
      <c r="H3443" s="51">
        <v>167.61</v>
      </c>
      <c r="J3443" s="51">
        <v>6.09</v>
      </c>
      <c r="K3443" s="74">
        <f>Tabela6[[#This Row],[CONSUMO]]*Tabela6[[#This Row],[VALOR UNIT]]-Tabela6[[#This Row],[DESCONTO]]</f>
        <v>1020.7449</v>
      </c>
      <c r="L3443" s="53">
        <f>Tabela6[[#This Row],[CUSTO TOTAL]]/Tabela6[[#This Row],[CONSUMO]]</f>
        <v>6.09</v>
      </c>
      <c r="M3443" s="50">
        <f>Tabela6[[#This Row],[KM ATUAL]]-E3404</f>
        <v>-58049</v>
      </c>
      <c r="N3443" s="51">
        <f>Tabela6[[#This Row],[KM Rodados ]]/Tabela6[[#This Row],[CONSUMO]]</f>
        <v>-346.33375096951255</v>
      </c>
    </row>
    <row r="3444" spans="1:14" x14ac:dyDescent="0.25">
      <c r="A3444" s="47">
        <v>8889</v>
      </c>
      <c r="B3444" s="78">
        <v>45280</v>
      </c>
      <c r="C3444" s="47" t="s">
        <v>301</v>
      </c>
      <c r="D3444" s="49" t="s">
        <v>299</v>
      </c>
      <c r="E3444" s="47">
        <v>1073934</v>
      </c>
      <c r="G3444" s="50" t="s">
        <v>89</v>
      </c>
      <c r="H3444" s="51">
        <v>445</v>
      </c>
      <c r="J3444" s="51">
        <v>5.3</v>
      </c>
      <c r="K3444" s="74">
        <f>Tabela6[[#This Row],[CONSUMO]]*Tabela6[[#This Row],[VALOR UNIT]]-Tabela6[[#This Row],[DESCONTO]]</f>
        <v>2358.5</v>
      </c>
      <c r="L3444" s="53">
        <f>Tabela6[[#This Row],[CUSTO TOTAL]]/Tabela6[[#This Row],[CONSUMO]]</f>
        <v>5.3</v>
      </c>
      <c r="M3444" s="50">
        <f>Tabela6[[#This Row],[KM ATUAL]]-E3364</f>
        <v>380263</v>
      </c>
      <c r="N3444" s="51">
        <f>Tabela6[[#This Row],[KM Rodados ]]/Tabela6[[#This Row],[CONSUMO]]</f>
        <v>854.523595505618</v>
      </c>
    </row>
    <row r="3445" spans="1:14" x14ac:dyDescent="0.25">
      <c r="A3445" s="47">
        <v>682890</v>
      </c>
      <c r="B3445" s="78">
        <v>45280</v>
      </c>
      <c r="C3445" s="47" t="s">
        <v>13</v>
      </c>
      <c r="D3445" s="49" t="s">
        <v>317</v>
      </c>
      <c r="E3445" s="47">
        <v>672817</v>
      </c>
      <c r="G3445" s="50" t="s">
        <v>89</v>
      </c>
      <c r="H3445" s="51">
        <v>112.61</v>
      </c>
      <c r="J3445" s="51">
        <v>7.51</v>
      </c>
      <c r="K3445" s="74">
        <f>Tabela6[[#This Row],[CONSUMO]]*Tabela6[[#This Row],[VALOR UNIT]]-Tabela6[[#This Row],[DESCONTO]]</f>
        <v>845.7011</v>
      </c>
      <c r="L3445" s="53">
        <f>Tabela6[[#This Row],[CUSTO TOTAL]]/Tabela6[[#This Row],[CONSUMO]]</f>
        <v>7.51</v>
      </c>
      <c r="M3445" s="50">
        <f>Tabela6[[#This Row],[KM ATUAL]]-E3431</f>
        <v>672817</v>
      </c>
      <c r="N3445" s="51">
        <f>Tabela6[[#This Row],[KM Rodados ]]/Tabela6[[#This Row],[CONSUMO]]</f>
        <v>5974.7535742829232</v>
      </c>
    </row>
    <row r="3446" spans="1:14" x14ac:dyDescent="0.25">
      <c r="A3446" s="47" t="s">
        <v>314</v>
      </c>
      <c r="B3446" s="78">
        <v>45280</v>
      </c>
      <c r="C3446" s="47" t="s">
        <v>20</v>
      </c>
      <c r="E3446" s="47">
        <v>288912</v>
      </c>
      <c r="G3446" s="50" t="s">
        <v>89</v>
      </c>
      <c r="H3446" s="51">
        <v>40</v>
      </c>
      <c r="K3446" s="74">
        <f>Tabela6[[#This Row],[CONSUMO]]*Tabela6[[#This Row],[VALOR UNIT]]-Tabela6[[#This Row],[DESCONTO]]</f>
        <v>0</v>
      </c>
      <c r="L3446" s="53">
        <f>Tabela6[[#This Row],[CUSTO TOTAL]]/Tabela6[[#This Row],[CONSUMO]]</f>
        <v>0</v>
      </c>
      <c r="M3446" s="50">
        <f>Tabela6[[#This Row],[KM ATUAL]]-E3411</f>
        <v>158497</v>
      </c>
      <c r="N3446" s="51">
        <f>Tabela6[[#This Row],[KM Rodados ]]/Tabela6[[#This Row],[CONSUMO]]</f>
        <v>3962.4250000000002</v>
      </c>
    </row>
    <row r="3447" spans="1:14" x14ac:dyDescent="0.25">
      <c r="A3447" s="47">
        <v>228923</v>
      </c>
      <c r="B3447" s="78">
        <v>45280</v>
      </c>
      <c r="C3447" s="47" t="s">
        <v>40</v>
      </c>
      <c r="D3447" s="49" t="s">
        <v>262</v>
      </c>
      <c r="E3447" s="47">
        <v>176356</v>
      </c>
      <c r="G3447" s="50" t="s">
        <v>244</v>
      </c>
      <c r="H3447" s="51">
        <v>48.22</v>
      </c>
      <c r="J3447" s="51">
        <v>5.59</v>
      </c>
      <c r="K3447" s="74">
        <f>Tabela6[[#This Row],[CONSUMO]]*Tabela6[[#This Row],[VALOR UNIT]]-Tabela6[[#This Row],[DESCONTO]]</f>
        <v>269.5498</v>
      </c>
      <c r="L3447" s="53">
        <f>Tabela6[[#This Row],[CUSTO TOTAL]]/Tabela6[[#This Row],[CONSUMO]]</f>
        <v>5.59</v>
      </c>
      <c r="M3447" s="50" t="e" cm="1">
        <f t="array" ref="M3447">SE</f>
        <v>#NAME?</v>
      </c>
      <c r="N3447" s="49" t="e">
        <f>Tabela6[[#This Row],[KM Rodados ]]/Tabela6[[#This Row],[CONSUMO]]</f>
        <v>#NAME?</v>
      </c>
    </row>
    <row r="3448" spans="1:14" x14ac:dyDescent="0.25">
      <c r="A3448" s="47">
        <v>8889</v>
      </c>
      <c r="B3448" s="78">
        <v>45280</v>
      </c>
      <c r="C3448" s="47" t="s">
        <v>74</v>
      </c>
      <c r="D3448" s="49" t="s">
        <v>299</v>
      </c>
      <c r="E3448" s="47">
        <v>100055</v>
      </c>
      <c r="G3448" s="50" t="s">
        <v>89</v>
      </c>
      <c r="H3448" s="51">
        <v>98</v>
      </c>
      <c r="J3448" s="51">
        <v>5.3</v>
      </c>
      <c r="K3448" s="74">
        <f>Tabela6[[#This Row],[CONSUMO]]*Tabela6[[#This Row],[VALOR UNIT]]-Tabela6[[#This Row],[DESCONTO]]</f>
        <v>519.4</v>
      </c>
      <c r="L3448" s="53">
        <f>Tabela6[[#This Row],[CUSTO TOTAL]]/Tabela6[[#This Row],[CONSUMO]]</f>
        <v>5.3</v>
      </c>
      <c r="M3448" s="50">
        <f>Tabela6[[#This Row],[KM ATUAL]]-E3420</f>
        <v>-67671</v>
      </c>
      <c r="N3448" s="51">
        <f>Tabela6[[#This Row],[KM Rodados ]]/Tabela6[[#This Row],[CONSUMO]]</f>
        <v>-690.5204081632653</v>
      </c>
    </row>
    <row r="3449" spans="1:14" x14ac:dyDescent="0.25">
      <c r="A3449" s="47">
        <v>360200</v>
      </c>
      <c r="B3449" s="78">
        <v>45281</v>
      </c>
      <c r="C3449" s="47" t="s">
        <v>43</v>
      </c>
      <c r="D3449" s="49" t="s">
        <v>276</v>
      </c>
      <c r="E3449" s="47">
        <v>168438</v>
      </c>
      <c r="G3449" s="50" t="s">
        <v>89</v>
      </c>
      <c r="H3449" s="51">
        <v>42.87</v>
      </c>
      <c r="J3449" s="51">
        <v>6.09</v>
      </c>
      <c r="K3449" s="74">
        <f>Tabela6[[#This Row],[CONSUMO]]*Tabela6[[#This Row],[VALOR UNIT]]-Tabela6[[#This Row],[DESCONTO]]</f>
        <v>261.07829999999996</v>
      </c>
      <c r="L3449" s="53">
        <f>Tabela6[[#This Row],[CUSTO TOTAL]]/Tabela6[[#This Row],[CONSUMO]]</f>
        <v>6.089999999999999</v>
      </c>
      <c r="M3449" s="50">
        <f>Tabela6[[#This Row],[KM ATUAL]]-E3411</f>
        <v>38023</v>
      </c>
      <c r="N3449" s="51">
        <f>Tabela6[[#This Row],[KM Rodados ]]/Tabela6[[#This Row],[CONSUMO]]</f>
        <v>886.93725215768609</v>
      </c>
    </row>
    <row r="3450" spans="1:14" x14ac:dyDescent="0.25">
      <c r="A3450" s="47">
        <v>229116</v>
      </c>
      <c r="B3450" s="78">
        <v>45281</v>
      </c>
      <c r="C3450" s="119" t="s">
        <v>394</v>
      </c>
      <c r="D3450" s="49" t="s">
        <v>262</v>
      </c>
      <c r="E3450" s="119">
        <v>880966</v>
      </c>
      <c r="G3450" s="50" t="s">
        <v>89</v>
      </c>
      <c r="H3450" s="51">
        <v>34.619</v>
      </c>
      <c r="J3450" s="51">
        <v>5.99</v>
      </c>
      <c r="K3450" s="74">
        <f>Tabela6[[#This Row],[CONSUMO]]*Tabela6[[#This Row],[VALOR UNIT]]-Tabela6[[#This Row],[DESCONTO]]</f>
        <v>207.36781000000002</v>
      </c>
      <c r="L3450" s="53">
        <f>Tabela6[[#This Row],[CUSTO TOTAL]]/Tabela6[[#This Row],[CONSUMO]]</f>
        <v>5.99</v>
      </c>
      <c r="M3450" s="51">
        <f>Tabela6[[#This Row],[KM ATUAL]]-E3427</f>
        <v>208753</v>
      </c>
      <c r="N3450" s="51">
        <f>Tabela6[[#This Row],[KM Rodados ]]/Tabela6[[#This Row],[CONSUMO]]</f>
        <v>6030.0124209249252</v>
      </c>
    </row>
    <row r="3451" spans="1:14" x14ac:dyDescent="0.25">
      <c r="A3451" s="47">
        <v>8889</v>
      </c>
      <c r="B3451" s="78">
        <v>45281</v>
      </c>
      <c r="C3451" s="47" t="s">
        <v>222</v>
      </c>
      <c r="D3451" s="49" t="s">
        <v>299</v>
      </c>
      <c r="E3451" s="47">
        <v>537076</v>
      </c>
      <c r="G3451" s="50" t="s">
        <v>89</v>
      </c>
      <c r="H3451" s="51">
        <v>273</v>
      </c>
      <c r="J3451" s="51">
        <v>5.3</v>
      </c>
      <c r="K3451" s="74">
        <f>Tabela6[[#This Row],[CONSUMO]]*Tabela6[[#This Row],[VALOR UNIT]]-Tabela6[[#This Row],[DESCONTO]]</f>
        <v>1446.8999999999999</v>
      </c>
      <c r="L3451" s="53">
        <f>Tabela6[[#This Row],[CUSTO TOTAL]]/Tabela6[[#This Row],[CONSUMO]]</f>
        <v>5.3</v>
      </c>
      <c r="M3451" s="50">
        <f>Tabela6[[#This Row],[KM ATUAL]]-E3418</f>
        <v>537076</v>
      </c>
      <c r="N3451" s="51">
        <f>Tabela6[[#This Row],[KM Rodados ]]/Tabela6[[#This Row],[CONSUMO]]</f>
        <v>1967.3113553113553</v>
      </c>
    </row>
    <row r="3452" spans="1:14" x14ac:dyDescent="0.25">
      <c r="A3452" s="47">
        <v>8889</v>
      </c>
      <c r="B3452" s="78">
        <v>45281</v>
      </c>
      <c r="C3452" s="47" t="s">
        <v>67</v>
      </c>
      <c r="D3452" s="49" t="s">
        <v>299</v>
      </c>
      <c r="E3452" s="47">
        <v>694811</v>
      </c>
      <c r="G3452" s="50" t="s">
        <v>89</v>
      </c>
      <c r="H3452" s="51">
        <v>115</v>
      </c>
      <c r="J3452" s="51">
        <v>5.3</v>
      </c>
      <c r="K3452" s="74">
        <f>Tabela6[[#This Row],[CONSUMO]]*Tabela6[[#This Row],[VALOR UNIT]]-Tabela6[[#This Row],[DESCONTO]]</f>
        <v>609.5</v>
      </c>
      <c r="L3452" s="53">
        <f>Tabela6[[#This Row],[CUSTO TOTAL]]/Tabela6[[#This Row],[CONSUMO]]</f>
        <v>5.3</v>
      </c>
      <c r="M3452" s="50">
        <f>Tabela6[[#This Row],[KM ATUAL]]-E3425</f>
        <v>3876</v>
      </c>
      <c r="N3452" s="51">
        <f>Tabela6[[#This Row],[KM Rodados ]]/Tabela6[[#This Row],[CONSUMO]]</f>
        <v>33.704347826086959</v>
      </c>
    </row>
    <row r="3453" spans="1:14" x14ac:dyDescent="0.25">
      <c r="A3453" s="47">
        <v>8889</v>
      </c>
      <c r="B3453" s="78">
        <v>45281</v>
      </c>
      <c r="C3453" s="47" t="s">
        <v>22</v>
      </c>
      <c r="D3453" s="49" t="s">
        <v>299</v>
      </c>
      <c r="E3453" s="47">
        <v>346049</v>
      </c>
      <c r="G3453" s="50" t="s">
        <v>89</v>
      </c>
      <c r="H3453" s="51">
        <v>144</v>
      </c>
      <c r="J3453" s="51">
        <v>5.3</v>
      </c>
      <c r="K3453" s="74">
        <f>Tabela6[[#This Row],[CONSUMO]]*Tabela6[[#This Row],[VALOR UNIT]]-Tabela6[[#This Row],[DESCONTO]]</f>
        <v>763.19999999999993</v>
      </c>
      <c r="L3453" s="53">
        <f>Tabela6[[#This Row],[CUSTO TOTAL]]/Tabela6[[#This Row],[CONSUMO]]</f>
        <v>5.3</v>
      </c>
      <c r="M3453" s="50">
        <f>Tabela6[[#This Row],[KM ATUAL]]-E3424</f>
        <v>586</v>
      </c>
      <c r="N3453" s="51">
        <f>Tabela6[[#This Row],[KM Rodados ]]/Tabela6[[#This Row],[CONSUMO]]</f>
        <v>4.0694444444444446</v>
      </c>
    </row>
    <row r="3454" spans="1:14" x14ac:dyDescent="0.25">
      <c r="A3454" s="47">
        <v>122488</v>
      </c>
      <c r="B3454" s="78">
        <v>45281</v>
      </c>
      <c r="C3454" s="47" t="s">
        <v>39</v>
      </c>
      <c r="D3454" s="49" t="s">
        <v>253</v>
      </c>
      <c r="E3454" s="47">
        <v>115174</v>
      </c>
      <c r="G3454" s="50" t="s">
        <v>89</v>
      </c>
      <c r="H3454" s="51">
        <v>97.21</v>
      </c>
      <c r="J3454" s="51">
        <v>6.09</v>
      </c>
      <c r="K3454" s="74">
        <f>Tabela6[[#This Row],[CONSUMO]]*Tabela6[[#This Row],[VALOR UNIT]]-Tabela6[[#This Row],[DESCONTO]]</f>
        <v>592.00889999999993</v>
      </c>
      <c r="L3454" s="53">
        <f>Tabela6[[#This Row],[CUSTO TOTAL]]/Tabela6[[#This Row],[CONSUMO]]</f>
        <v>6.09</v>
      </c>
      <c r="M3454" s="50">
        <f>Tabela6[[#This Row],[KM ATUAL]]-E3368</f>
        <v>-131738</v>
      </c>
      <c r="N3454" s="51">
        <f>Tabela6[[#This Row],[KM Rodados ]]/Tabela6[[#This Row],[CONSUMO]]</f>
        <v>-1355.1897952885506</v>
      </c>
    </row>
    <row r="3455" spans="1:14" x14ac:dyDescent="0.25">
      <c r="A3455" s="47">
        <v>1368775</v>
      </c>
      <c r="B3455" s="78">
        <v>45281</v>
      </c>
      <c r="C3455" s="119" t="s">
        <v>203</v>
      </c>
      <c r="D3455" s="49" t="s">
        <v>274</v>
      </c>
      <c r="E3455" s="119">
        <v>131819</v>
      </c>
      <c r="G3455" s="50" t="s">
        <v>244</v>
      </c>
      <c r="H3455" s="51">
        <v>38</v>
      </c>
      <c r="J3455" s="51">
        <v>5.39</v>
      </c>
      <c r="K3455" s="74">
        <f>Tabela6[[#This Row],[CONSUMO]]*Tabela6[[#This Row],[VALOR UNIT]]-Tabela6[[#This Row],[DESCONTO]]</f>
        <v>204.82</v>
      </c>
      <c r="L3455" s="53">
        <f>Tabela6[[#This Row],[CUSTO TOTAL]]/Tabela6[[#This Row],[CONSUMO]]</f>
        <v>5.39</v>
      </c>
      <c r="M3455" s="50" t="e" cm="1">
        <f t="array" ref="M3455">SE</f>
        <v>#NAME?</v>
      </c>
      <c r="N3455" s="51" t="e">
        <f>Tabela6[[#This Row],[KM Rodados ]]/Tabela6[[#This Row],[CONSUMO]]</f>
        <v>#NAME?</v>
      </c>
    </row>
    <row r="3456" spans="1:14" x14ac:dyDescent="0.25">
      <c r="A3456" s="47">
        <v>8889</v>
      </c>
      <c r="B3456" s="78">
        <v>45281</v>
      </c>
      <c r="C3456" s="47" t="s">
        <v>10</v>
      </c>
      <c r="D3456" s="49" t="s">
        <v>299</v>
      </c>
      <c r="E3456" s="47">
        <v>738315</v>
      </c>
      <c r="G3456" s="50" t="s">
        <v>89</v>
      </c>
      <c r="H3456" s="51">
        <v>200</v>
      </c>
      <c r="J3456" s="51">
        <v>5.3</v>
      </c>
      <c r="K3456" s="74">
        <f>Tabela6[[#This Row],[CONSUMO]]*Tabela6[[#This Row],[VALOR UNIT]]-Tabela6[[#This Row],[DESCONTO]]</f>
        <v>1060</v>
      </c>
      <c r="L3456" s="53">
        <f>Tabela6[[#This Row],[CUSTO TOTAL]]/Tabela6[[#This Row],[CONSUMO]]</f>
        <v>5.3</v>
      </c>
      <c r="M3456" s="50">
        <f>Tabela6[[#This Row],[KM ATUAL]]-E3409</f>
        <v>203039</v>
      </c>
      <c r="N3456" s="51">
        <f>Tabela6[[#This Row],[KM Rodados ]]/Tabela6[[#This Row],[CONSUMO]]</f>
        <v>1015.1950000000001</v>
      </c>
    </row>
    <row r="3457" spans="1:14" x14ac:dyDescent="0.25">
      <c r="A3457" s="47">
        <v>8889</v>
      </c>
      <c r="B3457" s="78">
        <v>45281</v>
      </c>
      <c r="C3457" s="47" t="s">
        <v>15</v>
      </c>
      <c r="D3457" s="49" t="s">
        <v>299</v>
      </c>
      <c r="E3457" s="47">
        <v>405541</v>
      </c>
      <c r="G3457" s="50" t="s">
        <v>89</v>
      </c>
      <c r="H3457" s="51">
        <v>84</v>
      </c>
      <c r="J3457" s="51">
        <v>5.3</v>
      </c>
      <c r="K3457" s="74">
        <f>Tabela6[[#This Row],[CONSUMO]]*Tabela6[[#This Row],[VALOR UNIT]]-Tabela6[[#This Row],[DESCONTO]]</f>
        <v>445.2</v>
      </c>
      <c r="L3457" s="53">
        <f>Tabela6[[#This Row],[CUSTO TOTAL]]/Tabela6[[#This Row],[CONSUMO]]</f>
        <v>5.3</v>
      </c>
      <c r="M3457" s="50">
        <f>Tabela6[[#This Row],[KM ATUAL]]-E3430</f>
        <v>552</v>
      </c>
      <c r="N3457" s="51">
        <f>Tabela6[[#This Row],[KM Rodados ]]/Tabela6[[#This Row],[CONSUMO]]</f>
        <v>6.5714285714285712</v>
      </c>
    </row>
    <row r="3458" spans="1:14" x14ac:dyDescent="0.25">
      <c r="A3458" s="47">
        <v>1230178</v>
      </c>
      <c r="B3458" s="78">
        <v>45281</v>
      </c>
      <c r="C3458" s="102" t="s">
        <v>17</v>
      </c>
      <c r="D3458" s="49" t="s">
        <v>396</v>
      </c>
      <c r="E3458" s="102">
        <v>387003</v>
      </c>
      <c r="G3458" s="50" t="s">
        <v>89</v>
      </c>
      <c r="H3458" s="51">
        <v>204.357</v>
      </c>
      <c r="J3458" s="51">
        <v>5.89</v>
      </c>
      <c r="K3458" s="74">
        <f>Tabela6[[#This Row],[CONSUMO]]*Tabela6[[#This Row],[VALOR UNIT]]-Tabela6[[#This Row],[DESCONTO]]</f>
        <v>1203.66273</v>
      </c>
      <c r="L3458" s="53">
        <f>Tabela6[[#This Row],[CUSTO TOTAL]]/Tabela6[[#This Row],[CONSUMO]]</f>
        <v>5.89</v>
      </c>
      <c r="M3458" s="50">
        <f>Tabela6[[#This Row],[KM ATUAL]]-E3387</f>
        <v>-284408</v>
      </c>
      <c r="N3458" s="51">
        <f>Tabela6[[#This Row],[KM Rodados ]]/Tabela6[[#This Row],[CONSUMO]]</f>
        <v>-1391.7213503819296</v>
      </c>
    </row>
    <row r="3459" spans="1:14" x14ac:dyDescent="0.25">
      <c r="A3459" s="47">
        <v>9006</v>
      </c>
      <c r="B3459" s="78">
        <v>45281</v>
      </c>
      <c r="C3459" s="102" t="s">
        <v>74</v>
      </c>
      <c r="D3459" s="49" t="s">
        <v>299</v>
      </c>
      <c r="E3459" s="102">
        <v>100691</v>
      </c>
      <c r="G3459" s="50" t="s">
        <v>89</v>
      </c>
      <c r="H3459" s="51">
        <v>65</v>
      </c>
      <c r="J3459" s="51">
        <v>5.3</v>
      </c>
      <c r="K3459" s="74">
        <f>Tabela6[[#This Row],[CONSUMO]]*Tabela6[[#This Row],[VALOR UNIT]]-Tabela6[[#This Row],[DESCONTO]]</f>
        <v>344.5</v>
      </c>
      <c r="L3459" s="53">
        <f>Tabela6[[#This Row],[CUSTO TOTAL]]/Tabela6[[#This Row],[CONSUMO]]</f>
        <v>5.3</v>
      </c>
      <c r="M3459" s="50">
        <f>Tabela6[[#This Row],[KM ATUAL]]-E3440</f>
        <v>-331775</v>
      </c>
      <c r="N3459" s="51">
        <f>Tabela6[[#This Row],[KM Rodados ]]/Tabela6[[#This Row],[CONSUMO]]</f>
        <v>-5104.2307692307695</v>
      </c>
    </row>
    <row r="3460" spans="1:14" x14ac:dyDescent="0.25">
      <c r="A3460" s="47">
        <v>9006</v>
      </c>
      <c r="B3460" s="78">
        <v>45282</v>
      </c>
      <c r="C3460" s="47" t="s">
        <v>394</v>
      </c>
      <c r="D3460" s="49" t="s">
        <v>299</v>
      </c>
      <c r="E3460" s="47">
        <v>881367</v>
      </c>
      <c r="G3460" s="50" t="s">
        <v>89</v>
      </c>
      <c r="H3460" s="51">
        <v>112</v>
      </c>
      <c r="J3460" s="51">
        <v>5.3</v>
      </c>
      <c r="K3460" s="74">
        <f>Tabela6[[#This Row],[CONSUMO]]*Tabela6[[#This Row],[VALOR UNIT]]-Tabela6[[#This Row],[DESCONTO]]</f>
        <v>593.6</v>
      </c>
      <c r="L3460" s="53">
        <f>Tabela6[[#This Row],[CUSTO TOTAL]]/Tabela6[[#This Row],[CONSUMO]]</f>
        <v>5.3</v>
      </c>
      <c r="M3460" s="51">
        <f>Tabela6[[#This Row],[KM ATUAL]]-E3457</f>
        <v>475826</v>
      </c>
      <c r="N3460" s="51">
        <f>Tabela6[[#This Row],[KM Rodados ]]/Tabela6[[#This Row],[CONSUMO]]</f>
        <v>4248.4464285714284</v>
      </c>
    </row>
    <row r="3461" spans="1:14" x14ac:dyDescent="0.25">
      <c r="A3461" s="47">
        <v>153732</v>
      </c>
      <c r="B3461" s="78">
        <v>45282</v>
      </c>
      <c r="C3461" s="47" t="s">
        <v>203</v>
      </c>
      <c r="D3461" s="49" t="s">
        <v>260</v>
      </c>
      <c r="E3461" s="47">
        <v>132096</v>
      </c>
      <c r="G3461" s="50" t="s">
        <v>244</v>
      </c>
      <c r="H3461" s="51">
        <v>20.86</v>
      </c>
      <c r="J3461" s="51">
        <v>5.59</v>
      </c>
      <c r="K3461" s="74">
        <f>Tabela6[[#This Row],[CONSUMO]]*Tabela6[[#This Row],[VALOR UNIT]]-Tabela6[[#This Row],[DESCONTO]]</f>
        <v>116.6074</v>
      </c>
      <c r="L3461" s="53">
        <f>Tabela6[[#This Row],[CUSTO TOTAL]]/Tabela6[[#This Row],[CONSUMO]]</f>
        <v>5.59</v>
      </c>
      <c r="M3461" s="50" t="e" cm="1">
        <f t="array" ref="M3461">SE</f>
        <v>#NAME?</v>
      </c>
      <c r="N3461" s="51" t="e">
        <f>Tabela6[[#This Row],[KM Rodados ]]/Tabela6[[#This Row],[CONSUMO]]</f>
        <v>#NAME?</v>
      </c>
    </row>
    <row r="3462" spans="1:14" x14ac:dyDescent="0.25">
      <c r="A3462" s="47">
        <v>331348</v>
      </c>
      <c r="B3462" s="78">
        <v>45282</v>
      </c>
      <c r="C3462" s="47" t="s">
        <v>206</v>
      </c>
      <c r="D3462" s="49" t="s">
        <v>270</v>
      </c>
      <c r="E3462" s="47">
        <v>987007</v>
      </c>
      <c r="G3462" s="50" t="s">
        <v>89</v>
      </c>
      <c r="H3462" s="51">
        <v>278.75</v>
      </c>
      <c r="J3462" s="51">
        <v>5.74</v>
      </c>
      <c r="K3462" s="74">
        <f>Tabela6[[#This Row],[CONSUMO]]*Tabela6[[#This Row],[VALOR UNIT]]-Tabela6[[#This Row],[DESCONTO]]</f>
        <v>1600.0250000000001</v>
      </c>
      <c r="L3462" s="53">
        <f>Tabela6[[#This Row],[CUSTO TOTAL]]/Tabela6[[#This Row],[CONSUMO]]</f>
        <v>5.74</v>
      </c>
      <c r="M3462" s="50">
        <f>Tabela6[[#This Row],[KM ATUAL]]-E3399</f>
        <v>878835</v>
      </c>
      <c r="N3462" s="51">
        <f>Tabela6[[#This Row],[KM Rodados ]]/Tabela6[[#This Row],[CONSUMO]]</f>
        <v>3152.7713004484303</v>
      </c>
    </row>
    <row r="3463" spans="1:14" x14ac:dyDescent="0.25">
      <c r="A3463" s="47">
        <v>287762</v>
      </c>
      <c r="B3463" s="78">
        <v>45282</v>
      </c>
      <c r="C3463" s="47" t="s">
        <v>15</v>
      </c>
      <c r="D3463" s="49" t="s">
        <v>397</v>
      </c>
      <c r="E3463" s="47">
        <v>406088</v>
      </c>
      <c r="G3463" s="50" t="s">
        <v>89</v>
      </c>
      <c r="H3463" s="51">
        <v>93.8</v>
      </c>
      <c r="J3463" s="51">
        <v>6.49</v>
      </c>
      <c r="K3463" s="74">
        <f>Tabela6[[#This Row],[CONSUMO]]*Tabela6[[#This Row],[VALOR UNIT]]-Tabela6[[#This Row],[DESCONTO]]</f>
        <v>608.76200000000006</v>
      </c>
      <c r="L3463" s="53">
        <f>Tabela6[[#This Row],[CUSTO TOTAL]]/Tabela6[[#This Row],[CONSUMO]]</f>
        <v>6.4900000000000011</v>
      </c>
      <c r="M3463" s="50">
        <f>Tabela6[[#This Row],[KM ATUAL]]-E3450</f>
        <v>-474878</v>
      </c>
      <c r="N3463" s="51">
        <f>Tabela6[[#This Row],[KM Rodados ]]/Tabela6[[#This Row],[CONSUMO]]</f>
        <v>-5062.6652452025592</v>
      </c>
    </row>
    <row r="3464" spans="1:14" x14ac:dyDescent="0.25">
      <c r="A3464" s="47">
        <v>9006</v>
      </c>
      <c r="B3464" s="78">
        <v>45282</v>
      </c>
      <c r="C3464" s="47" t="s">
        <v>20</v>
      </c>
      <c r="D3464" s="49" t="s">
        <v>299</v>
      </c>
      <c r="E3464" s="47">
        <v>289214</v>
      </c>
      <c r="G3464" s="50" t="s">
        <v>89</v>
      </c>
      <c r="H3464" s="51">
        <v>35</v>
      </c>
      <c r="J3464" s="51">
        <v>5.3</v>
      </c>
      <c r="K3464" s="74">
        <f>Tabela6[[#This Row],[CONSUMO]]*Tabela6[[#This Row],[VALOR UNIT]]-Tabela6[[#This Row],[DESCONTO]]</f>
        <v>185.5</v>
      </c>
      <c r="L3464" s="53">
        <f>Tabela6[[#This Row],[CUSTO TOTAL]]/Tabela6[[#This Row],[CONSUMO]]</f>
        <v>5.3</v>
      </c>
      <c r="M3464" s="50">
        <f>Tabela6[[#This Row],[KM ATUAL]]-E3463</f>
        <v>-116874</v>
      </c>
      <c r="N3464" s="51">
        <f>Tabela6[[#This Row],[KM Rodados ]]/Tabela6[[#This Row],[CONSUMO]]</f>
        <v>-3339.2571428571428</v>
      </c>
    </row>
    <row r="3465" spans="1:14" x14ac:dyDescent="0.25">
      <c r="A3465" s="47">
        <v>123379</v>
      </c>
      <c r="B3465" s="78">
        <v>45282</v>
      </c>
      <c r="C3465" s="47" t="s">
        <v>315</v>
      </c>
      <c r="D3465" s="49" t="s">
        <v>253</v>
      </c>
      <c r="E3465" s="47">
        <v>11428</v>
      </c>
      <c r="G3465" s="50" t="s">
        <v>89</v>
      </c>
      <c r="H3465" s="51">
        <v>33.590000000000003</v>
      </c>
      <c r="J3465" s="51">
        <v>6.09</v>
      </c>
      <c r="K3465" s="74">
        <f>Tabela6[[#This Row],[CONSUMO]]*Tabela6[[#This Row],[VALOR UNIT]]-Tabela6[[#This Row],[DESCONTO]]</f>
        <v>204.56310000000002</v>
      </c>
      <c r="L3465" s="53">
        <f>Tabela6[[#This Row],[CUSTO TOTAL]]/Tabela6[[#This Row],[CONSUMO]]</f>
        <v>6.09</v>
      </c>
      <c r="M3465" s="50">
        <f>Tabela6[[#This Row],[KM ATUAL]]-E3418</f>
        <v>11428</v>
      </c>
      <c r="N3465" s="51">
        <f>Tabela6[[#This Row],[KM Rodados ]]/Tabela6[[#This Row],[CONSUMO]]</f>
        <v>340.22030366180405</v>
      </c>
    </row>
    <row r="3466" spans="1:14" x14ac:dyDescent="0.25">
      <c r="A3466" s="47">
        <v>123379</v>
      </c>
      <c r="B3466" s="78">
        <v>45282</v>
      </c>
      <c r="C3466" s="47" t="s">
        <v>315</v>
      </c>
      <c r="D3466" s="49" t="s">
        <v>253</v>
      </c>
      <c r="E3466" s="47">
        <v>11428</v>
      </c>
      <c r="G3466" s="50" t="s">
        <v>241</v>
      </c>
      <c r="H3466" s="51">
        <v>3.2349999999999999</v>
      </c>
      <c r="J3466" s="51">
        <v>3.49</v>
      </c>
      <c r="K3466" s="74">
        <f>Tabela6[[#This Row],[CONSUMO]]*Tabela6[[#This Row],[VALOR UNIT]]-Tabela6[[#This Row],[DESCONTO]]</f>
        <v>11.290150000000001</v>
      </c>
      <c r="L3466" s="53">
        <f>Tabela6[[#This Row],[CUSTO TOTAL]]/Tabela6[[#This Row],[CONSUMO]]</f>
        <v>3.49</v>
      </c>
      <c r="M3466" s="50"/>
    </row>
    <row r="3467" spans="1:14" x14ac:dyDescent="0.25">
      <c r="A3467" s="47" t="s">
        <v>314</v>
      </c>
      <c r="B3467" s="78">
        <v>45282</v>
      </c>
      <c r="C3467" s="47" t="s">
        <v>315</v>
      </c>
      <c r="E3467" s="47">
        <v>11534</v>
      </c>
      <c r="G3467" s="50" t="s">
        <v>89</v>
      </c>
      <c r="H3467" s="51">
        <v>44</v>
      </c>
      <c r="K3467" s="74">
        <f>Tabela6[[#This Row],[CONSUMO]]*Tabela6[[#This Row],[VALOR UNIT]]-Tabela6[[#This Row],[DESCONTO]]</f>
        <v>0</v>
      </c>
      <c r="L3467" s="53">
        <f>Tabela6[[#This Row],[CUSTO TOTAL]]/Tabela6[[#This Row],[CONSUMO]]</f>
        <v>0</v>
      </c>
      <c r="M3467" s="50">
        <f>Tabela6[[#This Row],[KM ATUAL]]-E3429</f>
        <v>-296052</v>
      </c>
      <c r="N3467" s="51">
        <f>Tabela6[[#This Row],[KM Rodados ]]/Tabela6[[#This Row],[CONSUMO]]</f>
        <v>-6728.454545454545</v>
      </c>
    </row>
    <row r="3468" spans="1:14" x14ac:dyDescent="0.25">
      <c r="A3468" s="47" t="s">
        <v>314</v>
      </c>
      <c r="B3468" s="78">
        <v>45283</v>
      </c>
      <c r="C3468" s="47" t="s">
        <v>9</v>
      </c>
      <c r="E3468" s="47">
        <v>640421</v>
      </c>
      <c r="G3468" s="50" t="s">
        <v>89</v>
      </c>
      <c r="H3468" s="51">
        <v>125</v>
      </c>
      <c r="K3468" s="74">
        <f>Tabela6[[#This Row],[CONSUMO]]*Tabela6[[#This Row],[VALOR UNIT]]-Tabela6[[#This Row],[DESCONTO]]</f>
        <v>0</v>
      </c>
      <c r="L3468" s="53">
        <f>Tabela6[[#This Row],[CUSTO TOTAL]]/Tabela6[[#This Row],[CONSUMO]]</f>
        <v>0</v>
      </c>
      <c r="M3468" s="50">
        <f>Tabela6[[#This Row],[KM ATUAL]]-E3437</f>
        <v>499</v>
      </c>
      <c r="N3468" s="51">
        <f>Tabela6[[#This Row],[KM Rodados ]]/Tabela6[[#This Row],[CONSUMO]]</f>
        <v>3.992</v>
      </c>
    </row>
    <row r="3469" spans="1:14" x14ac:dyDescent="0.25">
      <c r="A3469" s="47">
        <v>371855</v>
      </c>
      <c r="B3469" s="78">
        <v>45284</v>
      </c>
      <c r="C3469" s="47" t="s">
        <v>222</v>
      </c>
      <c r="D3469" s="49" t="s">
        <v>361</v>
      </c>
      <c r="E3469" s="47">
        <v>537624</v>
      </c>
      <c r="G3469" s="50" t="s">
        <v>241</v>
      </c>
      <c r="H3469" s="51">
        <v>36.79</v>
      </c>
      <c r="J3469" s="51">
        <v>2.99</v>
      </c>
      <c r="K3469" s="74">
        <f>Tabela6[[#This Row],[CONSUMO]]*Tabela6[[#This Row],[VALOR UNIT]]-Tabela6[[#This Row],[DESCONTO]]</f>
        <v>110.0021</v>
      </c>
      <c r="L3469" s="53">
        <f>Tabela6[[#This Row],[CUSTO TOTAL]]/Tabela6[[#This Row],[CONSUMO]]</f>
        <v>2.99</v>
      </c>
      <c r="M3469" s="50"/>
    </row>
    <row r="3470" spans="1:14" x14ac:dyDescent="0.25">
      <c r="A3470" s="47">
        <v>371854</v>
      </c>
      <c r="B3470" s="78">
        <v>45284</v>
      </c>
      <c r="C3470" s="47" t="s">
        <v>222</v>
      </c>
      <c r="D3470" s="49" t="s">
        <v>361</v>
      </c>
      <c r="E3470" s="47">
        <v>537629</v>
      </c>
      <c r="G3470" s="50" t="s">
        <v>89</v>
      </c>
      <c r="H3470" s="51">
        <v>277</v>
      </c>
      <c r="J3470" s="51">
        <v>5.69</v>
      </c>
      <c r="K3470" s="74">
        <f>Tabela6[[#This Row],[CONSUMO]]*Tabela6[[#This Row],[VALOR UNIT]]-Tabela6[[#This Row],[DESCONTO]]</f>
        <v>1576.13</v>
      </c>
      <c r="L3470" s="53">
        <f>Tabela6[[#This Row],[CUSTO TOTAL]]/Tabela6[[#This Row],[CONSUMO]]</f>
        <v>5.69</v>
      </c>
      <c r="M3470" s="50">
        <f>Tabela6[[#This Row],[KM ATUAL]]-E3453</f>
        <v>191580</v>
      </c>
      <c r="N3470" s="51">
        <f>Tabela6[[#This Row],[KM Rodados ]]/Tabela6[[#This Row],[CONSUMO]]</f>
        <v>691.62454873646209</v>
      </c>
    </row>
    <row r="3471" spans="1:14" x14ac:dyDescent="0.25">
      <c r="A3471" s="47">
        <v>273628</v>
      </c>
      <c r="B3471" s="78">
        <v>45285</v>
      </c>
      <c r="C3471" s="119" t="s">
        <v>9</v>
      </c>
      <c r="D3471" s="49" t="s">
        <v>273</v>
      </c>
      <c r="E3471" s="119">
        <v>640967</v>
      </c>
      <c r="G3471" s="50" t="s">
        <v>89</v>
      </c>
      <c r="H3471" s="51">
        <v>122.15</v>
      </c>
      <c r="J3471" s="51">
        <v>5.69</v>
      </c>
      <c r="K3471" s="74">
        <f>Tabela6[[#This Row],[CONSUMO]]*Tabela6[[#This Row],[VALOR UNIT]]-Tabela6[[#This Row],[DESCONTO]]</f>
        <v>695.03350000000012</v>
      </c>
      <c r="L3471" s="53">
        <f>Tabela6[[#This Row],[CUSTO TOTAL]]/Tabela6[[#This Row],[CONSUMO]]</f>
        <v>5.69</v>
      </c>
      <c r="M3471" s="50">
        <f>Tabela6[[#This Row],[KM ATUAL]]-E3470</f>
        <v>103338</v>
      </c>
      <c r="N3471" s="51">
        <f>Tabela6[[#This Row],[KM Rodados ]]/Tabela6[[#This Row],[CONSUMO]]</f>
        <v>845.99263200982398</v>
      </c>
    </row>
    <row r="3472" spans="1:14" x14ac:dyDescent="0.25">
      <c r="A3472" s="47">
        <v>440288</v>
      </c>
      <c r="B3472" s="78">
        <v>45285</v>
      </c>
      <c r="C3472" s="102" t="s">
        <v>222</v>
      </c>
      <c r="D3472" s="49" t="s">
        <v>333</v>
      </c>
      <c r="E3472" s="102">
        <v>538332</v>
      </c>
      <c r="G3472" s="50" t="s">
        <v>89</v>
      </c>
      <c r="H3472" s="51">
        <v>355.00700000000001</v>
      </c>
      <c r="J3472" s="51">
        <v>5.49</v>
      </c>
      <c r="K3472" s="74">
        <f>Tabela6[[#This Row],[CONSUMO]]*Tabela6[[#This Row],[VALOR UNIT]]-Tabela6[[#This Row],[DESCONTO]]</f>
        <v>1948.9884300000001</v>
      </c>
      <c r="L3472" s="53">
        <f>Tabela6[[#This Row],[CUSTO TOTAL]]/Tabela6[[#This Row],[CONSUMO]]</f>
        <v>5.49</v>
      </c>
      <c r="M3472" s="50">
        <f>Tabela6[[#This Row],[KM ATUAL]]-E3470</f>
        <v>703</v>
      </c>
      <c r="N3472" s="51">
        <f>Tabela6[[#This Row],[KM Rodados ]]/Tabela6[[#This Row],[CONSUMO]]</f>
        <v>1.980242643102812</v>
      </c>
    </row>
    <row r="3473" spans="1:14" x14ac:dyDescent="0.25">
      <c r="A3473" s="47">
        <v>256803</v>
      </c>
      <c r="B3473" s="78">
        <v>45285</v>
      </c>
      <c r="C3473" s="102" t="s">
        <v>301</v>
      </c>
      <c r="D3473" s="49" t="s">
        <v>269</v>
      </c>
      <c r="E3473" s="102">
        <v>1074833</v>
      </c>
      <c r="G3473" s="50" t="s">
        <v>89</v>
      </c>
      <c r="H3473" s="51">
        <v>449.20100000000002</v>
      </c>
      <c r="J3473" s="51">
        <v>5.69</v>
      </c>
      <c r="K3473" s="74">
        <f>Tabela6[[#This Row],[CONSUMO]]*Tabela6[[#This Row],[VALOR UNIT]]-Tabela6[[#This Row],[DESCONTO]]</f>
        <v>2555.9536900000003</v>
      </c>
      <c r="L3473" s="53">
        <f>Tabela6[[#This Row],[CUSTO TOTAL]]/Tabela6[[#This Row],[CONSUMO]]</f>
        <v>5.69</v>
      </c>
      <c r="M3473" s="50">
        <f>Tabela6[[#This Row],[KM ATUAL]]-E3451</f>
        <v>537757</v>
      </c>
      <c r="N3473" s="51">
        <f>Tabela6[[#This Row],[KM Rodados ]]/Tabela6[[#This Row],[CONSUMO]]</f>
        <v>1197.141146168419</v>
      </c>
    </row>
    <row r="3474" spans="1:14" x14ac:dyDescent="0.25">
      <c r="A3474" s="47">
        <v>348529</v>
      </c>
      <c r="B3474" s="78">
        <v>45286</v>
      </c>
      <c r="C3474" s="47" t="s">
        <v>222</v>
      </c>
      <c r="D3474" s="49" t="s">
        <v>332</v>
      </c>
      <c r="E3474" s="47">
        <v>539197</v>
      </c>
      <c r="G3474" s="50" t="s">
        <v>241</v>
      </c>
      <c r="H3474" s="51">
        <v>33.950000000000003</v>
      </c>
      <c r="J3474" s="51">
        <v>2.99</v>
      </c>
      <c r="K3474" s="74">
        <f>Tabela6[[#This Row],[CONSUMO]]*Tabela6[[#This Row],[VALOR UNIT]]-Tabela6[[#This Row],[DESCONTO]]</f>
        <v>101.51050000000002</v>
      </c>
      <c r="L3474" s="53">
        <f>Tabela6[[#This Row],[CUSTO TOTAL]]/Tabela6[[#This Row],[CONSUMO]]</f>
        <v>2.99</v>
      </c>
      <c r="M3474" s="50"/>
    </row>
    <row r="3475" spans="1:14" x14ac:dyDescent="0.25">
      <c r="A3475" s="47">
        <v>348528</v>
      </c>
      <c r="B3475" s="78">
        <v>45286</v>
      </c>
      <c r="C3475" s="47" t="s">
        <v>222</v>
      </c>
      <c r="D3475" s="49" t="s">
        <v>332</v>
      </c>
      <c r="E3475" s="47">
        <v>539197</v>
      </c>
      <c r="G3475" s="50" t="s">
        <v>89</v>
      </c>
      <c r="H3475" s="51">
        <v>378.84899999999999</v>
      </c>
      <c r="J3475" s="51">
        <v>5.39</v>
      </c>
      <c r="K3475" s="74">
        <f>Tabela6[[#This Row],[CONSUMO]]*Tabela6[[#This Row],[VALOR UNIT]]-Tabela6[[#This Row],[DESCONTO]]</f>
        <v>2041.9961099999998</v>
      </c>
      <c r="L3475" s="53">
        <f>Tabela6[[#This Row],[CUSTO TOTAL]]/Tabela6[[#This Row],[CONSUMO]]</f>
        <v>5.39</v>
      </c>
      <c r="M3475" s="50">
        <f>Tabela6[[#This Row],[KM ATUAL]]-E3469</f>
        <v>1573</v>
      </c>
      <c r="N3475" s="51">
        <f>Tabela6[[#This Row],[KM Rodados ]]/Tabela6[[#This Row],[CONSUMO]]</f>
        <v>4.1520500252079326</v>
      </c>
    </row>
    <row r="3476" spans="1:14" x14ac:dyDescent="0.25">
      <c r="A3476" s="49">
        <v>9006</v>
      </c>
      <c r="B3476" s="78">
        <v>45286</v>
      </c>
      <c r="C3476" s="47" t="s">
        <v>70</v>
      </c>
      <c r="D3476" s="49" t="s">
        <v>299</v>
      </c>
      <c r="E3476" s="47">
        <v>247535</v>
      </c>
      <c r="G3476" s="50" t="s">
        <v>89</v>
      </c>
      <c r="H3476" s="51">
        <v>460</v>
      </c>
      <c r="J3476" s="51">
        <v>5.3</v>
      </c>
      <c r="K3476" s="74">
        <f>Tabela6[[#This Row],[CONSUMO]]*Tabela6[[#This Row],[VALOR UNIT]]-Tabela6[[#This Row],[DESCONTO]]</f>
        <v>2438</v>
      </c>
      <c r="L3476" s="53">
        <f>Tabela6[[#This Row],[CUSTO TOTAL]]/Tabela6[[#This Row],[CONSUMO]]</f>
        <v>5.3</v>
      </c>
      <c r="M3476" s="50">
        <f>Tabela6[[#This Row],[KM ATUAL]]-E3375</f>
        <v>-825207</v>
      </c>
      <c r="N3476" s="51">
        <f>Tabela6[[#This Row],[KM Rodados ]]/Tabela6[[#This Row],[CONSUMO]]</f>
        <v>-1793.9282608695653</v>
      </c>
    </row>
    <row r="3477" spans="1:14" x14ac:dyDescent="0.25">
      <c r="A3477" s="47">
        <v>230531</v>
      </c>
      <c r="B3477" s="78">
        <v>45286</v>
      </c>
      <c r="C3477" s="47" t="s">
        <v>70</v>
      </c>
      <c r="D3477" s="49" t="s">
        <v>262</v>
      </c>
      <c r="E3477" s="47">
        <v>247538</v>
      </c>
      <c r="G3477" s="50" t="s">
        <v>241</v>
      </c>
      <c r="H3477" s="51">
        <v>64.222999999999999</v>
      </c>
      <c r="I3477" s="49">
        <v>23.12</v>
      </c>
      <c r="J3477" s="51">
        <v>3.69</v>
      </c>
      <c r="K3477" s="74">
        <f>Tabela6[[#This Row],[CONSUMO]]*Tabela6[[#This Row],[VALOR UNIT]]-Tabela6[[#This Row],[DESCONTO]]</f>
        <v>213.86286999999999</v>
      </c>
      <c r="L3477" s="53">
        <f>Tabela6[[#This Row],[CUSTO TOTAL]]/Tabela6[[#This Row],[CONSUMO]]</f>
        <v>3.3300043598087909</v>
      </c>
      <c r="M3477" s="50"/>
    </row>
    <row r="3478" spans="1:14" x14ac:dyDescent="0.25">
      <c r="A3478" s="47">
        <v>13575</v>
      </c>
      <c r="B3478" s="78">
        <v>45286</v>
      </c>
      <c r="C3478" s="47" t="s">
        <v>301</v>
      </c>
      <c r="D3478" s="49" t="s">
        <v>395</v>
      </c>
      <c r="E3478" s="47">
        <v>1076474</v>
      </c>
      <c r="G3478" s="50" t="s">
        <v>89</v>
      </c>
      <c r="H3478" s="51">
        <v>521.34</v>
      </c>
      <c r="J3478" s="51">
        <v>5.74</v>
      </c>
      <c r="K3478" s="74">
        <f>Tabela6[[#This Row],[CONSUMO]]*Tabela6[[#This Row],[VALOR UNIT]]-Tabela6[[#This Row],[DESCONTO]]</f>
        <v>2992.4916000000003</v>
      </c>
      <c r="L3478" s="53">
        <f>Tabela6[[#This Row],[CUSTO TOTAL]]/Tabela6[[#This Row],[CONSUMO]]</f>
        <v>5.74</v>
      </c>
      <c r="M3478" s="50">
        <f>Tabela6[[#This Row],[KM ATUAL]]-E3470</f>
        <v>538845</v>
      </c>
      <c r="N3478" s="51">
        <f>Tabela6[[#This Row],[KM Rodados ]]/Tabela6[[#This Row],[CONSUMO]]</f>
        <v>1033.5769363563124</v>
      </c>
    </row>
    <row r="3479" spans="1:14" x14ac:dyDescent="0.25">
      <c r="A3479" s="47">
        <v>226459</v>
      </c>
      <c r="B3479" s="78">
        <v>45286</v>
      </c>
      <c r="C3479" s="47" t="s">
        <v>301</v>
      </c>
      <c r="D3479" s="49" t="s">
        <v>374</v>
      </c>
      <c r="E3479" s="47">
        <v>1075697</v>
      </c>
      <c r="G3479" s="50" t="s">
        <v>89</v>
      </c>
      <c r="H3479" s="51">
        <v>27.03</v>
      </c>
      <c r="J3479" s="51">
        <v>5.39</v>
      </c>
      <c r="K3479" s="74">
        <f>Tabela6[[#This Row],[CONSUMO]]*Tabela6[[#This Row],[VALOR UNIT]]-Tabela6[[#This Row],[DESCONTO]]</f>
        <v>145.6917</v>
      </c>
      <c r="L3479" s="53">
        <f>Tabela6[[#This Row],[CUSTO TOTAL]]/Tabela6[[#This Row],[CONSUMO]]</f>
        <v>5.39</v>
      </c>
      <c r="M3479" s="50">
        <f>Tabela6[[#This Row],[KM ATUAL]]-E3476</f>
        <v>828162</v>
      </c>
      <c r="N3479" s="51">
        <f>Tabela6[[#This Row],[KM Rodados ]]/Tabela6[[#This Row],[CONSUMO]]</f>
        <v>30638.623751387346</v>
      </c>
    </row>
    <row r="3480" spans="1:14" x14ac:dyDescent="0.25">
      <c r="A3480" s="47">
        <v>230446</v>
      </c>
      <c r="B3480" s="78">
        <v>45286</v>
      </c>
      <c r="C3480" s="47" t="s">
        <v>14</v>
      </c>
      <c r="D3480" s="49" t="s">
        <v>262</v>
      </c>
      <c r="E3480" s="47">
        <v>308802</v>
      </c>
      <c r="G3480" s="50" t="s">
        <v>244</v>
      </c>
      <c r="H3480" s="51">
        <v>42.970999999999997</v>
      </c>
      <c r="J3480" s="51">
        <v>5.49</v>
      </c>
      <c r="K3480" s="74">
        <f>Tabela6[[#This Row],[CONSUMO]]*Tabela6[[#This Row],[VALOR UNIT]]-Tabela6[[#This Row],[DESCONTO]]</f>
        <v>235.91078999999999</v>
      </c>
      <c r="L3480" s="53">
        <f>Tabela6[[#This Row],[CUSTO TOTAL]]/Tabela6[[#This Row],[CONSUMO]]</f>
        <v>5.49</v>
      </c>
      <c r="M3480" s="50" t="e" cm="1">
        <f t="array" ref="M3480">SE</f>
        <v>#NAME?</v>
      </c>
      <c r="N3480" s="51" t="e">
        <f>Tabela6[[#This Row],[KM Rodados ]]/Tabela6[[#This Row],[CONSUMO]]</f>
        <v>#NAME?</v>
      </c>
    </row>
    <row r="3481" spans="1:14" x14ac:dyDescent="0.25">
      <c r="A3481" s="49">
        <v>9006</v>
      </c>
      <c r="B3481" s="78">
        <v>45286</v>
      </c>
      <c r="C3481" s="47" t="s">
        <v>17</v>
      </c>
      <c r="D3481" s="49" t="s">
        <v>299</v>
      </c>
      <c r="E3481" s="47">
        <v>387536</v>
      </c>
      <c r="G3481" s="50" t="s">
        <v>89</v>
      </c>
      <c r="H3481" s="51">
        <v>111</v>
      </c>
      <c r="J3481" s="51">
        <v>5.3</v>
      </c>
      <c r="K3481" s="74">
        <f>Tabela6[[#This Row],[CONSUMO]]*Tabela6[[#This Row],[VALOR UNIT]]-Tabela6[[#This Row],[DESCONTO]]</f>
        <v>588.29999999999995</v>
      </c>
      <c r="L3481" s="53">
        <f>Tabela6[[#This Row],[CUSTO TOTAL]]/Tabela6[[#This Row],[CONSUMO]]</f>
        <v>5.3</v>
      </c>
      <c r="M3481" s="50">
        <f>Tabela6[[#This Row],[KM ATUAL]]-E3463</f>
        <v>-18552</v>
      </c>
      <c r="N3481" s="51">
        <f>Tabela6[[#This Row],[KM Rodados ]]/Tabela6[[#This Row],[CONSUMO]]</f>
        <v>-167.13513513513513</v>
      </c>
    </row>
    <row r="3482" spans="1:14" x14ac:dyDescent="0.25">
      <c r="A3482" s="49">
        <v>9006</v>
      </c>
      <c r="B3482" s="54">
        <v>45287</v>
      </c>
      <c r="C3482" s="102" t="s">
        <v>73</v>
      </c>
      <c r="D3482" s="49" t="s">
        <v>299</v>
      </c>
      <c r="E3482" s="102">
        <v>170570</v>
      </c>
      <c r="G3482" s="103" t="s">
        <v>89</v>
      </c>
      <c r="H3482" s="51">
        <v>178</v>
      </c>
      <c r="J3482" s="51">
        <v>5.3</v>
      </c>
      <c r="K3482" s="74">
        <f>Tabela6[[#This Row],[CONSUMO]]*Tabela6[[#This Row],[VALOR UNIT]]-Tabela6[[#This Row],[DESCONTO]]</f>
        <v>943.4</v>
      </c>
      <c r="L3482" s="53">
        <f>Tabela6[[#This Row],[CUSTO TOTAL]]/Tabela6[[#This Row],[CONSUMO]]</f>
        <v>5.3</v>
      </c>
      <c r="M3482" s="50">
        <f>Tabela6[[#This Row],[KM ATUAL]]-E3435</f>
        <v>-770235</v>
      </c>
      <c r="N3482" s="51">
        <f>Tabela6[[#This Row],[KM Rodados ]]/Tabela6[[#This Row],[CONSUMO]]</f>
        <v>-4327.1629213483147</v>
      </c>
    </row>
    <row r="3483" spans="1:14" x14ac:dyDescent="0.25">
      <c r="A3483" s="47">
        <v>126583</v>
      </c>
      <c r="B3483" s="78">
        <v>45287</v>
      </c>
      <c r="C3483" s="102" t="s">
        <v>11</v>
      </c>
      <c r="D3483" s="49" t="s">
        <v>253</v>
      </c>
      <c r="E3483" s="102">
        <v>408112</v>
      </c>
      <c r="G3483" s="103" t="s">
        <v>89</v>
      </c>
      <c r="H3483" s="51">
        <v>98.14</v>
      </c>
      <c r="J3483" s="51">
        <v>6.09</v>
      </c>
      <c r="K3483" s="74">
        <f>Tabela6[[#This Row],[CONSUMO]]*Tabela6[[#This Row],[VALOR UNIT]]-Tabela6[[#This Row],[DESCONTO]]</f>
        <v>597.67259999999999</v>
      </c>
      <c r="L3483" s="53">
        <f>Tabela6[[#This Row],[CUSTO TOTAL]]/Tabela6[[#This Row],[CONSUMO]]</f>
        <v>6.09</v>
      </c>
      <c r="M3483" s="50">
        <f>Tabela6[[#This Row],[KM ATUAL]]-E3482</f>
        <v>237542</v>
      </c>
      <c r="N3483" s="51">
        <f>Tabela6[[#This Row],[KM Rodados ]]/Tabela6[[#This Row],[CONSUMO]]</f>
        <v>2420.4401874872633</v>
      </c>
    </row>
    <row r="3484" spans="1:14" x14ac:dyDescent="0.25">
      <c r="A3484" s="47">
        <v>126576</v>
      </c>
      <c r="B3484" s="78">
        <v>45287</v>
      </c>
      <c r="C3484" s="102" t="s">
        <v>12</v>
      </c>
      <c r="D3484" s="49" t="s">
        <v>253</v>
      </c>
      <c r="E3484" s="102">
        <v>328474</v>
      </c>
      <c r="G3484" s="103" t="s">
        <v>89</v>
      </c>
      <c r="H3484" s="51">
        <v>94.63</v>
      </c>
      <c r="J3484" s="51">
        <v>6.09</v>
      </c>
      <c r="K3484" s="74">
        <f>Tabela6[[#This Row],[CONSUMO]]*Tabela6[[#This Row],[VALOR UNIT]]-Tabela6[[#This Row],[DESCONTO]]</f>
        <v>576.29669999999999</v>
      </c>
      <c r="L3484" s="53">
        <f>Tabela6[[#This Row],[CUSTO TOTAL]]/Tabela6[[#This Row],[CONSUMO]]</f>
        <v>6.09</v>
      </c>
      <c r="M3484" s="50">
        <f>Tabela6[[#This Row],[KM ATUAL]]-E3413</f>
        <v>219995</v>
      </c>
      <c r="N3484" s="51">
        <f>Tabela6[[#This Row],[KM Rodados ]]/Tabela6[[#This Row],[CONSUMO]]</f>
        <v>2324.791292401987</v>
      </c>
    </row>
    <row r="3485" spans="1:14" x14ac:dyDescent="0.25">
      <c r="A3485" s="49">
        <v>9006</v>
      </c>
      <c r="B3485" s="54">
        <v>45288</v>
      </c>
      <c r="C3485" s="102" t="s">
        <v>43</v>
      </c>
      <c r="D3485" s="49" t="s">
        <v>299</v>
      </c>
      <c r="E3485" s="102">
        <v>168562</v>
      </c>
      <c r="G3485" s="103" t="s">
        <v>89</v>
      </c>
      <c r="H3485" s="51">
        <v>19</v>
      </c>
      <c r="J3485" s="51">
        <v>5.3</v>
      </c>
      <c r="K3485" s="74">
        <f>Tabela6[[#This Row],[CONSUMO]]*Tabela6[[#This Row],[VALOR UNIT]]-Tabela6[[#This Row],[DESCONTO]]</f>
        <v>100.7</v>
      </c>
      <c r="L3485" s="53">
        <f>Tabela6[[#This Row],[CUSTO TOTAL]]/Tabela6[[#This Row],[CONSUMO]]</f>
        <v>5.3</v>
      </c>
      <c r="M3485" s="50">
        <f>Tabela6[[#This Row],[KM ATUAL]]-E3451</f>
        <v>-368514</v>
      </c>
      <c r="N3485" s="51">
        <f>Tabela6[[#This Row],[KM Rodados ]]/Tabela6[[#This Row],[CONSUMO]]</f>
        <v>-19395.473684210527</v>
      </c>
    </row>
    <row r="3486" spans="1:14" x14ac:dyDescent="0.25">
      <c r="A3486" s="49">
        <v>9006</v>
      </c>
      <c r="B3486" s="54">
        <v>45288</v>
      </c>
      <c r="C3486" s="47" t="s">
        <v>394</v>
      </c>
      <c r="D3486" s="49" t="s">
        <v>299</v>
      </c>
      <c r="E3486" s="102">
        <v>881494</v>
      </c>
      <c r="G3486" s="103" t="s">
        <v>89</v>
      </c>
      <c r="H3486" s="51">
        <v>30</v>
      </c>
      <c r="J3486" s="51">
        <v>5.3</v>
      </c>
      <c r="K3486" s="74">
        <f>Tabela6[[#This Row],[CONSUMO]]*Tabela6[[#This Row],[VALOR UNIT]]-Tabela6[[#This Row],[DESCONTO]]</f>
        <v>159</v>
      </c>
      <c r="L3486" s="53">
        <f>Tabela6[[#This Row],[CUSTO TOTAL]]/Tabela6[[#This Row],[CONSUMO]]</f>
        <v>5.3</v>
      </c>
      <c r="M3486" s="51">
        <f>Tabela6[[#This Row],[KM ATUAL]]-E3458</f>
        <v>494491</v>
      </c>
      <c r="N3486" s="51">
        <f>Tabela6[[#This Row],[KM Rodados ]]/Tabela6[[#This Row],[CONSUMO]]</f>
        <v>16483.033333333333</v>
      </c>
    </row>
    <row r="3487" spans="1:14" x14ac:dyDescent="0.25">
      <c r="A3487" s="49">
        <v>9006</v>
      </c>
      <c r="B3487" s="54">
        <v>45288</v>
      </c>
      <c r="C3487" s="47" t="s">
        <v>42</v>
      </c>
      <c r="D3487" s="49" t="s">
        <v>299</v>
      </c>
      <c r="E3487" s="102">
        <v>379386</v>
      </c>
      <c r="G3487" s="103" t="s">
        <v>89</v>
      </c>
      <c r="H3487" s="51">
        <v>60</v>
      </c>
      <c r="J3487" s="51">
        <v>5.3</v>
      </c>
      <c r="K3487" s="74">
        <f>Tabela6[[#This Row],[CONSUMO]]*Tabela6[[#This Row],[VALOR UNIT]]-Tabela6[[#This Row],[DESCONTO]]</f>
        <v>318</v>
      </c>
      <c r="L3487" s="53">
        <f>Tabela6[[#This Row],[CUSTO TOTAL]]/Tabela6[[#This Row],[CONSUMO]]</f>
        <v>5.3</v>
      </c>
      <c r="M3487" s="50">
        <f>Tabela6[[#This Row],[KM ATUAL]]-E3416</f>
        <v>51448</v>
      </c>
      <c r="N3487" s="51">
        <f>Tabela6[[#This Row],[KM Rodados ]]/Tabela6[[#This Row],[CONSUMO]]</f>
        <v>857.4666666666667</v>
      </c>
    </row>
    <row r="3488" spans="1:14" x14ac:dyDescent="0.25">
      <c r="A3488" s="49">
        <v>9006</v>
      </c>
      <c r="B3488" s="54">
        <v>45288</v>
      </c>
      <c r="C3488" s="47" t="s">
        <v>222</v>
      </c>
      <c r="D3488" s="49" t="s">
        <v>299</v>
      </c>
      <c r="E3488" s="102">
        <v>540873</v>
      </c>
      <c r="G3488" s="103" t="s">
        <v>89</v>
      </c>
      <c r="H3488" s="51">
        <v>140</v>
      </c>
      <c r="J3488" s="51">
        <v>5.3</v>
      </c>
      <c r="K3488" s="74">
        <f>Tabela6[[#This Row],[CONSUMO]]*Tabela6[[#This Row],[VALOR UNIT]]-Tabela6[[#This Row],[DESCONTO]]</f>
        <v>742</v>
      </c>
      <c r="L3488" s="53">
        <f>Tabela6[[#This Row],[CUSTO TOTAL]]/Tabela6[[#This Row],[CONSUMO]]</f>
        <v>5.3</v>
      </c>
      <c r="M3488" s="50">
        <f>Tabela6[[#This Row],[KM ATUAL]]-E3466</f>
        <v>529445</v>
      </c>
      <c r="N3488" s="51">
        <f>Tabela6[[#This Row],[KM Rodados ]]/Tabela6[[#This Row],[CONSUMO]]</f>
        <v>3781.75</v>
      </c>
    </row>
    <row r="3489" spans="1:14" x14ac:dyDescent="0.25">
      <c r="A3489" s="47">
        <v>586706</v>
      </c>
      <c r="B3489" s="78">
        <v>45288</v>
      </c>
      <c r="C3489" s="47" t="s">
        <v>222</v>
      </c>
      <c r="D3489" s="49" t="s">
        <v>378</v>
      </c>
      <c r="E3489" s="102">
        <v>540345</v>
      </c>
      <c r="G3489" s="103" t="s">
        <v>89</v>
      </c>
      <c r="H3489" s="51">
        <v>343</v>
      </c>
      <c r="J3489" s="51">
        <v>5.65</v>
      </c>
      <c r="K3489" s="74">
        <f>Tabela6[[#This Row],[CONSUMO]]*Tabela6[[#This Row],[VALOR UNIT]]-Tabela6[[#This Row],[DESCONTO]]</f>
        <v>1937.95</v>
      </c>
      <c r="L3489" s="53">
        <f>Tabela6[[#This Row],[CUSTO TOTAL]]/Tabela6[[#This Row],[CONSUMO]]</f>
        <v>5.65</v>
      </c>
      <c r="M3489" s="50">
        <f>Tabela6[[#This Row],[KM ATUAL]]-E3483</f>
        <v>132233</v>
      </c>
      <c r="N3489" s="51">
        <f>Tabela6[[#This Row],[KM Rodados ]]/Tabela6[[#This Row],[CONSUMO]]</f>
        <v>385.51895043731781</v>
      </c>
    </row>
    <row r="3490" spans="1:14" x14ac:dyDescent="0.25">
      <c r="A3490" s="49">
        <v>9006</v>
      </c>
      <c r="B3490" s="54">
        <v>45288</v>
      </c>
      <c r="C3490" s="47" t="s">
        <v>22</v>
      </c>
      <c r="D3490" s="49" t="s">
        <v>299</v>
      </c>
      <c r="E3490" s="102">
        <v>346405</v>
      </c>
      <c r="G3490" s="103" t="s">
        <v>89</v>
      </c>
      <c r="H3490" s="51">
        <v>83</v>
      </c>
      <c r="J3490" s="51">
        <v>5.3</v>
      </c>
      <c r="K3490" s="74">
        <f>Tabela6[[#This Row],[CONSUMO]]*Tabela6[[#This Row],[VALOR UNIT]]-Tabela6[[#This Row],[DESCONTO]]</f>
        <v>439.9</v>
      </c>
      <c r="L3490" s="53">
        <f>Tabela6[[#This Row],[CUSTO TOTAL]]/Tabela6[[#This Row],[CONSUMO]]</f>
        <v>5.3</v>
      </c>
      <c r="M3490" s="50">
        <f>Tabela6[[#This Row],[KM ATUAL]]-E3447</f>
        <v>170049</v>
      </c>
      <c r="N3490" s="51">
        <f>Tabela6[[#This Row],[KM Rodados ]]/Tabela6[[#This Row],[CONSUMO]]</f>
        <v>2048.7831325301204</v>
      </c>
    </row>
    <row r="3491" spans="1:14" x14ac:dyDescent="0.25">
      <c r="A3491" s="47">
        <v>450042</v>
      </c>
      <c r="B3491" s="78">
        <v>45288</v>
      </c>
      <c r="C3491" s="47" t="s">
        <v>70</v>
      </c>
      <c r="D3491" s="49" t="s">
        <v>273</v>
      </c>
      <c r="E3491" s="102">
        <v>243529</v>
      </c>
      <c r="G3491" s="103" t="s">
        <v>89</v>
      </c>
      <c r="H3491" s="51">
        <v>590.01099999999997</v>
      </c>
      <c r="J3491" s="51">
        <v>5.99</v>
      </c>
      <c r="K3491" s="74">
        <f>Tabela6[[#This Row],[CONSUMO]]*Tabela6[[#This Row],[VALOR UNIT]]-Tabela6[[#This Row],[DESCONTO]]</f>
        <v>3534.1658899999998</v>
      </c>
      <c r="L3491" s="53">
        <f>Tabela6[[#This Row],[CUSTO TOTAL]]/Tabela6[[#This Row],[CONSUMO]]</f>
        <v>5.99</v>
      </c>
      <c r="M3491" s="50">
        <f>Tabela6[[#This Row],[KM ATUAL]]-E3461</f>
        <v>111433</v>
      </c>
      <c r="N3491" s="51">
        <f>Tabela6[[#This Row],[KM Rodados ]]/Tabela6[[#This Row],[CONSUMO]]</f>
        <v>188.86597029546908</v>
      </c>
    </row>
    <row r="3492" spans="1:14" x14ac:dyDescent="0.25">
      <c r="A3492" s="49">
        <v>9006</v>
      </c>
      <c r="B3492" s="54">
        <v>45288</v>
      </c>
      <c r="C3492" s="47" t="s">
        <v>72</v>
      </c>
      <c r="D3492" s="49" t="s">
        <v>299</v>
      </c>
      <c r="E3492" s="102">
        <v>433238</v>
      </c>
      <c r="G3492" s="103" t="s">
        <v>89</v>
      </c>
      <c r="H3492" s="51">
        <v>33</v>
      </c>
      <c r="J3492" s="51">
        <v>5.3</v>
      </c>
      <c r="K3492" s="74">
        <f>Tabela6[[#This Row],[CONSUMO]]*Tabela6[[#This Row],[VALOR UNIT]]-Tabela6[[#This Row],[DESCONTO]]</f>
        <v>174.9</v>
      </c>
      <c r="L3492" s="53">
        <f>Tabela6[[#This Row],[CUSTO TOTAL]]/Tabela6[[#This Row],[CONSUMO]]</f>
        <v>5.3</v>
      </c>
      <c r="M3492" s="50">
        <f>Tabela6[[#This Row],[KM ATUAL]]-E3443</f>
        <v>324242</v>
      </c>
      <c r="N3492" s="51">
        <f>Tabela6[[#This Row],[KM Rodados ]]/Tabela6[[#This Row],[CONSUMO]]</f>
        <v>9825.515151515152</v>
      </c>
    </row>
    <row r="3493" spans="1:14" x14ac:dyDescent="0.25">
      <c r="A3493" s="49">
        <v>9006</v>
      </c>
      <c r="B3493" s="54">
        <v>45288</v>
      </c>
      <c r="C3493" s="47" t="s">
        <v>71</v>
      </c>
      <c r="D3493" s="49" t="s">
        <v>299</v>
      </c>
      <c r="E3493" s="102">
        <v>142660</v>
      </c>
      <c r="G3493" s="103" t="s">
        <v>89</v>
      </c>
      <c r="H3493" s="51">
        <v>486</v>
      </c>
      <c r="J3493" s="51">
        <v>5.3</v>
      </c>
      <c r="K3493" s="74">
        <f>Tabela6[[#This Row],[CONSUMO]]*Tabela6[[#This Row],[VALOR UNIT]]-Tabela6[[#This Row],[DESCONTO]]</f>
        <v>2575.7999999999997</v>
      </c>
      <c r="L3493" s="53">
        <f>Tabela6[[#This Row],[CUSTO TOTAL]]/Tabela6[[#This Row],[CONSUMO]]</f>
        <v>5.3</v>
      </c>
      <c r="M3493" s="50">
        <f>Tabela6[[#This Row],[KM ATUAL]]-E3118</f>
        <v>49966</v>
      </c>
      <c r="N3493" s="51">
        <f>Tabela6[[#This Row],[KM Rodados ]]/Tabela6[[#This Row],[CONSUMO]]</f>
        <v>102.81069958847736</v>
      </c>
    </row>
    <row r="3494" spans="1:14" x14ac:dyDescent="0.25">
      <c r="A3494" s="49">
        <v>9006</v>
      </c>
      <c r="B3494" s="54">
        <v>45288</v>
      </c>
      <c r="C3494" s="47" t="s">
        <v>41</v>
      </c>
      <c r="D3494" s="49" t="s">
        <v>299</v>
      </c>
      <c r="E3494" s="102">
        <v>692225</v>
      </c>
      <c r="G3494" s="103" t="s">
        <v>89</v>
      </c>
      <c r="H3494" s="51">
        <v>135</v>
      </c>
      <c r="J3494" s="51">
        <v>5.3</v>
      </c>
      <c r="K3494" s="74">
        <f>Tabela6[[#This Row],[CONSUMO]]*Tabela6[[#This Row],[VALOR UNIT]]-Tabela6[[#This Row],[DESCONTO]]</f>
        <v>715.5</v>
      </c>
      <c r="L3494" s="53">
        <f>Tabela6[[#This Row],[CUSTO TOTAL]]/Tabela6[[#This Row],[CONSUMO]]</f>
        <v>5.3</v>
      </c>
      <c r="M3494" s="50">
        <f>Tabela6[[#This Row],[KM ATUAL]]-E3434</f>
        <v>681177</v>
      </c>
      <c r="N3494" s="51">
        <f>Tabela6[[#This Row],[KM Rodados ]]/Tabela6[[#This Row],[CONSUMO]]</f>
        <v>5045.7555555555555</v>
      </c>
    </row>
    <row r="3495" spans="1:14" x14ac:dyDescent="0.25">
      <c r="A3495" s="49">
        <v>9006</v>
      </c>
      <c r="B3495" s="54">
        <v>45288</v>
      </c>
      <c r="C3495" s="47" t="s">
        <v>10</v>
      </c>
      <c r="D3495" s="49" t="s">
        <v>299</v>
      </c>
      <c r="E3495" s="102">
        <v>738671</v>
      </c>
      <c r="G3495" s="103" t="s">
        <v>89</v>
      </c>
      <c r="H3495" s="51">
        <v>93</v>
      </c>
      <c r="J3495" s="51">
        <v>5.3</v>
      </c>
      <c r="K3495" s="74">
        <f>Tabela6[[#This Row],[CONSUMO]]*Tabela6[[#This Row],[VALOR UNIT]]-Tabela6[[#This Row],[DESCONTO]]</f>
        <v>492.9</v>
      </c>
      <c r="L3495" s="53">
        <f>Tabela6[[#This Row],[CUSTO TOTAL]]/Tabela6[[#This Row],[CONSUMO]]</f>
        <v>5.3</v>
      </c>
      <c r="M3495" s="50">
        <f>Tabela6[[#This Row],[KM ATUAL]]-E3456</f>
        <v>356</v>
      </c>
      <c r="N3495" s="51">
        <f>Tabela6[[#This Row],[KM Rodados ]]/Tabela6[[#This Row],[CONSUMO]]</f>
        <v>3.827956989247312</v>
      </c>
    </row>
    <row r="3496" spans="1:14" x14ac:dyDescent="0.25">
      <c r="A3496" s="47">
        <v>441083</v>
      </c>
      <c r="B3496" s="78">
        <v>45288</v>
      </c>
      <c r="C3496" s="47" t="s">
        <v>301</v>
      </c>
      <c r="D3496" s="49" t="s">
        <v>333</v>
      </c>
      <c r="E3496" s="102">
        <v>1077283</v>
      </c>
      <c r="G3496" s="103" t="s">
        <v>89</v>
      </c>
      <c r="H3496" s="51">
        <v>475.78199999999998</v>
      </c>
      <c r="J3496" s="51">
        <v>5.49</v>
      </c>
      <c r="K3496" s="74">
        <f>Tabela6[[#This Row],[CONSUMO]]*Tabela6[[#This Row],[VALOR UNIT]]-Tabela6[[#This Row],[DESCONTO]]</f>
        <v>2612.0431800000001</v>
      </c>
      <c r="L3496" s="53">
        <f>Tabela6[[#This Row],[CUSTO TOTAL]]/Tabela6[[#This Row],[CONSUMO]]</f>
        <v>5.49</v>
      </c>
      <c r="M3496" s="50">
        <f>Tabela6[[#This Row],[KM ATUAL]]-E3476</f>
        <v>829748</v>
      </c>
      <c r="N3496" s="51">
        <f>Tabela6[[#This Row],[KM Rodados ]]/Tabela6[[#This Row],[CONSUMO]]</f>
        <v>1743.9667746993371</v>
      </c>
    </row>
    <row r="3497" spans="1:14" x14ac:dyDescent="0.25">
      <c r="A3497" s="49">
        <v>9006</v>
      </c>
      <c r="B3497" s="54">
        <v>45288</v>
      </c>
      <c r="C3497" s="47" t="s">
        <v>13</v>
      </c>
      <c r="D3497" s="49" t="s">
        <v>299</v>
      </c>
      <c r="E3497" s="102">
        <v>673090</v>
      </c>
      <c r="G3497" s="103" t="s">
        <v>89</v>
      </c>
      <c r="H3497" s="51">
        <v>65</v>
      </c>
      <c r="J3497" s="51">
        <v>5.3</v>
      </c>
      <c r="K3497" s="74">
        <f>Tabela6[[#This Row],[CONSUMO]]*Tabela6[[#This Row],[VALOR UNIT]]-Tabela6[[#This Row],[DESCONTO]]</f>
        <v>344.5</v>
      </c>
      <c r="L3497" s="53">
        <f>Tabela6[[#This Row],[CUSTO TOTAL]]/Tabela6[[#This Row],[CONSUMO]]</f>
        <v>5.3</v>
      </c>
      <c r="M3497" s="50">
        <f>Tabela6[[#This Row],[KM ATUAL]]-E3452</f>
        <v>-21721</v>
      </c>
      <c r="N3497" s="51">
        <f>Tabela6[[#This Row],[KM Rodados ]]/Tabela6[[#This Row],[CONSUMO]]</f>
        <v>-334.16923076923075</v>
      </c>
    </row>
    <row r="3498" spans="1:14" x14ac:dyDescent="0.25">
      <c r="A3498" s="47">
        <v>231095</v>
      </c>
      <c r="B3498" s="78">
        <v>45288</v>
      </c>
      <c r="C3498" s="47" t="s">
        <v>14</v>
      </c>
      <c r="D3498" s="49" t="s">
        <v>262</v>
      </c>
      <c r="E3498" s="47">
        <v>309089</v>
      </c>
      <c r="G3498" s="50" t="s">
        <v>244</v>
      </c>
      <c r="H3498" s="51">
        <v>21.209</v>
      </c>
      <c r="J3498" s="51">
        <v>5.49</v>
      </c>
      <c r="K3498" s="74">
        <f>Tabela6[[#This Row],[CONSUMO]]*Tabela6[[#This Row],[VALOR UNIT]]-Tabela6[[#This Row],[DESCONTO]]</f>
        <v>116.43741</v>
      </c>
      <c r="L3498" s="53">
        <f>Tabela6[[#This Row],[CUSTO TOTAL]]/Tabela6[[#This Row],[CONSUMO]]</f>
        <v>5.49</v>
      </c>
      <c r="M3498" s="53" t="e" cm="1">
        <f t="array" ref="M3498">SE</f>
        <v>#NAME?</v>
      </c>
      <c r="N3498" s="49" t="e">
        <f>Tabela6[[#This Row],[KM Rodados ]]/Tabela6[[#This Row],[CONSUMO]]</f>
        <v>#NAME?</v>
      </c>
    </row>
    <row r="3499" spans="1:14" x14ac:dyDescent="0.25">
      <c r="A3499" s="49">
        <v>9006</v>
      </c>
      <c r="B3499" s="54">
        <v>45288</v>
      </c>
      <c r="C3499" s="47" t="s">
        <v>15</v>
      </c>
      <c r="D3499" s="49" t="s">
        <v>299</v>
      </c>
      <c r="E3499" s="119">
        <v>406579</v>
      </c>
      <c r="G3499" s="120" t="s">
        <v>89</v>
      </c>
      <c r="H3499" s="51">
        <v>78</v>
      </c>
      <c r="J3499" s="51">
        <v>5.3</v>
      </c>
      <c r="K3499" s="74">
        <f>Tabela6[[#This Row],[CONSUMO]]*Tabela6[[#This Row],[VALOR UNIT]]-Tabela6[[#This Row],[DESCONTO]]</f>
        <v>413.4</v>
      </c>
      <c r="L3499" s="53">
        <f>Tabela6[[#This Row],[CUSTO TOTAL]]/Tabela6[[#This Row],[CONSUMO]]</f>
        <v>5.3</v>
      </c>
      <c r="M3499" s="50">
        <f>Tabela6[[#This Row],[KM ATUAL]]-E3468</f>
        <v>-233842</v>
      </c>
      <c r="N3499" s="51">
        <f>Tabela6[[#This Row],[KM Rodados ]]/Tabela6[[#This Row],[CONSUMO]]</f>
        <v>-2997.9743589743589</v>
      </c>
    </row>
    <row r="3500" spans="1:14" x14ac:dyDescent="0.25">
      <c r="A3500" s="49">
        <v>9006</v>
      </c>
      <c r="B3500" s="54">
        <v>45288</v>
      </c>
      <c r="C3500" s="47" t="s">
        <v>19</v>
      </c>
      <c r="D3500" s="49" t="s">
        <v>299</v>
      </c>
      <c r="E3500" s="119">
        <v>346830</v>
      </c>
      <c r="G3500" s="120" t="s">
        <v>89</v>
      </c>
      <c r="H3500" s="51">
        <v>80</v>
      </c>
      <c r="J3500" s="51">
        <v>5.3</v>
      </c>
      <c r="K3500" s="74">
        <f>Tabela6[[#This Row],[CONSUMO]]*Tabela6[[#This Row],[VALOR UNIT]]-Tabela6[[#This Row],[DESCONTO]]</f>
        <v>424</v>
      </c>
      <c r="L3500" s="53">
        <f>Tabela6[[#This Row],[CUSTO TOTAL]]/Tabela6[[#This Row],[CONSUMO]]</f>
        <v>5.3</v>
      </c>
      <c r="M3500" s="50">
        <f>Tabela6[[#This Row],[KM ATUAL]]-E3415</f>
        <v>-639325</v>
      </c>
      <c r="N3500" s="51">
        <f>Tabela6[[#This Row],[KM Rodados ]]/Tabela6[[#This Row],[CONSUMO]]</f>
        <v>-7991.5625</v>
      </c>
    </row>
    <row r="3501" spans="1:14" x14ac:dyDescent="0.25">
      <c r="A3501" s="47">
        <v>714664</v>
      </c>
      <c r="B3501" s="78">
        <v>45288</v>
      </c>
      <c r="C3501" s="47" t="s">
        <v>40</v>
      </c>
      <c r="D3501" s="49" t="s">
        <v>271</v>
      </c>
      <c r="E3501" s="47">
        <v>177269</v>
      </c>
      <c r="G3501" s="50" t="s">
        <v>244</v>
      </c>
      <c r="H3501" s="51">
        <v>36.26</v>
      </c>
      <c r="J3501" s="51">
        <v>5.49</v>
      </c>
      <c r="K3501" s="74">
        <f>Tabela6[[#This Row],[CONSUMO]]*Tabela6[[#This Row],[VALOR UNIT]]-Tabela6[[#This Row],[DESCONTO]]</f>
        <v>199.06739999999999</v>
      </c>
      <c r="L3501" s="53">
        <f>Tabela6[[#This Row],[CUSTO TOTAL]]/Tabela6[[#This Row],[CONSUMO]]</f>
        <v>5.49</v>
      </c>
      <c r="M3501" s="53" t="e" cm="1">
        <f t="array" ref="M3501">SE</f>
        <v>#NAME?</v>
      </c>
      <c r="N3501" s="49" t="e">
        <f>Tabela6[[#This Row],[KM Rodados ]]/Tabela6[[#This Row],[CONSUMO]]</f>
        <v>#NAME?</v>
      </c>
    </row>
    <row r="3502" spans="1:14" x14ac:dyDescent="0.25">
      <c r="A3502" s="49">
        <v>9006</v>
      </c>
      <c r="B3502" s="54">
        <v>45288</v>
      </c>
      <c r="C3502" s="119" t="s">
        <v>74</v>
      </c>
      <c r="D3502" s="49" t="s">
        <v>299</v>
      </c>
      <c r="E3502" s="119">
        <v>101590</v>
      </c>
      <c r="G3502" s="120" t="s">
        <v>89</v>
      </c>
      <c r="H3502" s="51">
        <v>100</v>
      </c>
      <c r="J3502" s="51">
        <v>5.3</v>
      </c>
      <c r="K3502" s="74">
        <f>Tabela6[[#This Row],[CONSUMO]]*Tabela6[[#This Row],[VALOR UNIT]]-Tabela6[[#This Row],[DESCONTO]]</f>
        <v>530</v>
      </c>
      <c r="L3502" s="53">
        <f>Tabela6[[#This Row],[CUSTO TOTAL]]/Tabela6[[#This Row],[CONSUMO]]</f>
        <v>5.3</v>
      </c>
      <c r="M3502" s="50">
        <f>Tabela6[[#This Row],[KM ATUAL]]-E3472</f>
        <v>-436742</v>
      </c>
      <c r="N3502" s="51">
        <f>Tabela6[[#This Row],[KM Rodados ]]/Tabela6[[#This Row],[CONSUMO]]</f>
        <v>-4367.42</v>
      </c>
    </row>
    <row r="3503" spans="1:14" x14ac:dyDescent="0.25">
      <c r="A3503" s="47">
        <v>127296</v>
      </c>
      <c r="B3503" s="78">
        <v>45288</v>
      </c>
      <c r="C3503" s="47" t="s">
        <v>315</v>
      </c>
      <c r="D3503" s="49" t="s">
        <v>253</v>
      </c>
      <c r="E3503" s="47">
        <v>12041</v>
      </c>
      <c r="G3503" s="50" t="s">
        <v>89</v>
      </c>
      <c r="H3503" s="51">
        <v>40.58</v>
      </c>
      <c r="J3503" s="51">
        <v>6.09</v>
      </c>
      <c r="K3503" s="74">
        <f>Tabela6[[#This Row],[CONSUMO]]*Tabela6[[#This Row],[VALOR UNIT]]-Tabela6[[#This Row],[DESCONTO]]</f>
        <v>247.13219999999998</v>
      </c>
      <c r="L3503" s="53">
        <f>Tabela6[[#This Row],[CUSTO TOTAL]]/Tabela6[[#This Row],[CONSUMO]]</f>
        <v>6.09</v>
      </c>
      <c r="M3503" s="50">
        <f>Tabela6[[#This Row],[KM ATUAL]]-E3502</f>
        <v>-89549</v>
      </c>
      <c r="N3503" s="51">
        <f>Tabela6[[#This Row],[KM Rodados ]]/Tabela6[[#This Row],[CONSUMO]]</f>
        <v>-2206.7274519467719</v>
      </c>
    </row>
    <row r="3504" spans="1:14" x14ac:dyDescent="0.25">
      <c r="A3504" s="49">
        <v>9006</v>
      </c>
      <c r="B3504" s="54">
        <v>45288</v>
      </c>
      <c r="C3504" s="47" t="s">
        <v>354</v>
      </c>
      <c r="D3504" s="49" t="s">
        <v>299</v>
      </c>
      <c r="E3504" s="119">
        <v>13312</v>
      </c>
      <c r="G3504" s="120" t="s">
        <v>89</v>
      </c>
      <c r="H3504" s="51">
        <v>273</v>
      </c>
      <c r="J3504" s="51">
        <v>5.3</v>
      </c>
      <c r="K3504" s="74">
        <f>Tabela6[[#This Row],[CONSUMO]]*Tabela6[[#This Row],[VALOR UNIT]]-Tabela6[[#This Row],[DESCONTO]]</f>
        <v>1446.8999999999999</v>
      </c>
      <c r="L3504" s="53">
        <f>Tabela6[[#This Row],[CUSTO TOTAL]]/Tabela6[[#This Row],[CONSUMO]]</f>
        <v>5.3</v>
      </c>
      <c r="M3504" s="50">
        <f>Tabela6[[#This Row],[KM ATUAL]]-E3397</f>
        <v>-520396</v>
      </c>
      <c r="N3504" s="51">
        <f>Tabela6[[#This Row],[KM Rodados ]]/Tabela6[[#This Row],[CONSUMO]]</f>
        <v>-1906.2124542124543</v>
      </c>
    </row>
    <row r="3505" spans="1:14" x14ac:dyDescent="0.25">
      <c r="A3505" s="49">
        <v>9006</v>
      </c>
      <c r="B3505" s="54">
        <v>45288</v>
      </c>
      <c r="C3505" s="47" t="s">
        <v>401</v>
      </c>
      <c r="D3505" s="49" t="s">
        <v>299</v>
      </c>
      <c r="E3505" s="119">
        <v>476</v>
      </c>
      <c r="G3505" s="120" t="s">
        <v>89</v>
      </c>
      <c r="H3505" s="51">
        <v>130</v>
      </c>
      <c r="J3505" s="51">
        <v>5.3</v>
      </c>
      <c r="K3505" s="74">
        <f>Tabela6[[#This Row],[CONSUMO]]*Tabela6[[#This Row],[VALOR UNIT]]-Tabela6[[#This Row],[DESCONTO]]</f>
        <v>689</v>
      </c>
      <c r="L3505" s="53">
        <f>Tabela6[[#This Row],[CUSTO TOTAL]]/Tabela6[[#This Row],[CONSUMO]]</f>
        <v>5.3</v>
      </c>
      <c r="M3505" s="50"/>
      <c r="N3505" s="51">
        <f>Tabela6[[#This Row],[KM Rodados ]]/Tabela6[[#This Row],[CONSUMO]]</f>
        <v>0</v>
      </c>
    </row>
    <row r="3506" spans="1:14" x14ac:dyDescent="0.25">
      <c r="A3506" s="47">
        <v>328498</v>
      </c>
      <c r="B3506" s="78">
        <v>45289</v>
      </c>
      <c r="C3506" s="47" t="s">
        <v>14</v>
      </c>
      <c r="D3506" s="49" t="s">
        <v>268</v>
      </c>
      <c r="E3506" s="47">
        <v>309533</v>
      </c>
      <c r="G3506" s="50" t="s">
        <v>244</v>
      </c>
      <c r="H3506" s="51">
        <v>44.59</v>
      </c>
      <c r="J3506" s="51">
        <v>5.49</v>
      </c>
      <c r="K3506" s="74">
        <f>Tabela6[[#This Row],[CONSUMO]]*Tabela6[[#This Row],[VALOR UNIT]]-Tabela6[[#This Row],[DESCONTO]]</f>
        <v>244.79910000000004</v>
      </c>
      <c r="L3506" s="53">
        <f>Tabela6[[#This Row],[CUSTO TOTAL]]/Tabela6[[#This Row],[CONSUMO]]</f>
        <v>5.49</v>
      </c>
      <c r="M3506" s="53" t="e" cm="1">
        <f t="array" ref="M3506">SE</f>
        <v>#NAME?</v>
      </c>
      <c r="N3506" s="49" t="e">
        <f>Tabela6[[#This Row],[KM Rodados ]]/Tabela6[[#This Row],[CONSUMO]]</f>
        <v>#NAME?</v>
      </c>
    </row>
    <row r="3507" spans="1:14" x14ac:dyDescent="0.25">
      <c r="A3507" s="47">
        <v>128144</v>
      </c>
      <c r="B3507" s="78">
        <v>45289</v>
      </c>
      <c r="C3507" s="47" t="s">
        <v>315</v>
      </c>
      <c r="D3507" s="49" t="s">
        <v>253</v>
      </c>
      <c r="E3507" s="47">
        <v>12195</v>
      </c>
      <c r="G3507" s="50" t="s">
        <v>89</v>
      </c>
      <c r="H3507" s="51">
        <v>16.29</v>
      </c>
      <c r="J3507" s="51">
        <v>6.09</v>
      </c>
      <c r="K3507" s="74">
        <f>Tabela6[[#This Row],[CONSUMO]]*Tabela6[[#This Row],[VALOR UNIT]]-Tabela6[[#This Row],[DESCONTO]]</f>
        <v>99.206099999999992</v>
      </c>
      <c r="L3507" s="53">
        <f>Tabela6[[#This Row],[CUSTO TOTAL]]/Tabela6[[#This Row],[CONSUMO]]</f>
        <v>6.09</v>
      </c>
      <c r="M3507" s="50">
        <f>Tabela6[[#This Row],[KM ATUAL]]-E3502</f>
        <v>-89395</v>
      </c>
      <c r="N3507" s="51">
        <f>Tabela6[[#This Row],[KM Rodados ]]/Tabela6[[#This Row],[CONSUMO]]</f>
        <v>-5487.7225291589939</v>
      </c>
    </row>
    <row r="3508" spans="1:14" x14ac:dyDescent="0.25">
      <c r="A3508" s="47">
        <v>274791</v>
      </c>
      <c r="B3508" s="78">
        <v>45292</v>
      </c>
      <c r="C3508" s="47" t="s">
        <v>9</v>
      </c>
      <c r="D3508" s="49" t="s">
        <v>273</v>
      </c>
      <c r="E3508" s="47">
        <v>641504</v>
      </c>
      <c r="G3508" s="50" t="s">
        <v>89</v>
      </c>
      <c r="H3508" s="51">
        <v>124</v>
      </c>
      <c r="J3508" s="51">
        <v>5.59</v>
      </c>
      <c r="K3508" s="74">
        <f>Tabela6[[#This Row],[CONSUMO]]*Tabela6[[#This Row],[VALOR UNIT]]-Tabela6[[#This Row],[DESCONTO]]</f>
        <v>693.16</v>
      </c>
      <c r="L3508" s="53">
        <f>Tabela6[[#This Row],[CUSTO TOTAL]]/Tabela6[[#This Row],[CONSUMO]]</f>
        <v>5.59</v>
      </c>
      <c r="M3508" s="50">
        <f>Tabela6[[#This Row],[KM ATUAL]]-E3471</f>
        <v>537</v>
      </c>
      <c r="N3508" s="51">
        <f>Tabela6[[#This Row],[KM Rodados ]]/Tabela6[[#This Row],[CONSUMO]]</f>
        <v>4.330645161290323</v>
      </c>
    </row>
    <row r="3509" spans="1:14" x14ac:dyDescent="0.25">
      <c r="A3509" s="47">
        <v>3744312</v>
      </c>
      <c r="B3509" s="78">
        <v>45292</v>
      </c>
      <c r="C3509" s="47" t="s">
        <v>70</v>
      </c>
      <c r="D3509" s="49" t="s">
        <v>361</v>
      </c>
      <c r="E3509" s="47">
        <v>248788</v>
      </c>
      <c r="G3509" s="50" t="s">
        <v>89</v>
      </c>
      <c r="H3509" s="51">
        <v>567.01099999999997</v>
      </c>
      <c r="J3509" s="51">
        <v>5.65</v>
      </c>
      <c r="K3509" s="74">
        <f>Tabela6[[#This Row],[CONSUMO]]*Tabela6[[#This Row],[VALOR UNIT]]-Tabela6[[#This Row],[DESCONTO]]</f>
        <v>3203.6121499999999</v>
      </c>
      <c r="L3509" s="53">
        <f>Tabela6[[#This Row],[CUSTO TOTAL]]/Tabela6[[#This Row],[CONSUMO]]</f>
        <v>5.65</v>
      </c>
      <c r="M3509" s="50">
        <f>Tabela6[[#This Row],[KM ATUAL]]-E3504</f>
        <v>235476</v>
      </c>
      <c r="N3509" s="51">
        <f>Tabela6[[#This Row],[KM Rodados ]]/Tabela6[[#This Row],[CONSUMO]]</f>
        <v>415.29353046060839</v>
      </c>
    </row>
    <row r="3510" spans="1:14" x14ac:dyDescent="0.25">
      <c r="A3510" s="49">
        <v>9109</v>
      </c>
      <c r="B3510" s="54">
        <v>45293</v>
      </c>
      <c r="C3510" s="47" t="s">
        <v>68</v>
      </c>
      <c r="D3510" s="49" t="s">
        <v>299</v>
      </c>
      <c r="E3510" s="47">
        <v>943551</v>
      </c>
      <c r="G3510" s="50" t="s">
        <v>89</v>
      </c>
      <c r="H3510" s="51">
        <v>463</v>
      </c>
      <c r="J3510" s="51">
        <v>5.15</v>
      </c>
      <c r="K3510" s="74">
        <f>Tabela6[[#This Row],[CONSUMO]]*Tabela6[[#This Row],[VALOR UNIT]]-Tabela6[[#This Row],[DESCONTO]]</f>
        <v>2384.4500000000003</v>
      </c>
      <c r="L3510" s="53">
        <f>Tabela6[[#This Row],[CUSTO TOTAL]]/Tabela6[[#This Row],[CONSUMO]]</f>
        <v>5.15</v>
      </c>
      <c r="M3510" s="50">
        <f>Tabela6[[#This Row],[KM ATUAL]]-E3434</f>
        <v>932503</v>
      </c>
      <c r="N3510" s="51">
        <f>Tabela6[[#This Row],[KM Rodados ]]/Tabela6[[#This Row],[CONSUMO]]</f>
        <v>2014.0453563714902</v>
      </c>
    </row>
    <row r="3511" spans="1:14" x14ac:dyDescent="0.25">
      <c r="A3511" s="49">
        <v>9109</v>
      </c>
      <c r="B3511" s="54">
        <v>45293</v>
      </c>
      <c r="C3511" s="47" t="s">
        <v>43</v>
      </c>
      <c r="D3511" s="49" t="s">
        <v>299</v>
      </c>
      <c r="E3511" s="47">
        <v>168906</v>
      </c>
      <c r="G3511" s="50" t="s">
        <v>89</v>
      </c>
      <c r="H3511" s="51">
        <v>38</v>
      </c>
      <c r="J3511" s="51">
        <v>5.15</v>
      </c>
      <c r="K3511" s="74">
        <f>Tabela6[[#This Row],[CONSUMO]]*Tabela6[[#This Row],[VALOR UNIT]]-Tabela6[[#This Row],[DESCONTO]]</f>
        <v>195.70000000000002</v>
      </c>
      <c r="L3511" s="53">
        <f>Tabela6[[#This Row],[CUSTO TOTAL]]/Tabela6[[#This Row],[CONSUMO]]</f>
        <v>5.15</v>
      </c>
      <c r="M3511" s="50">
        <f>Tabela6[[#This Row],[KM ATUAL]]-E3490</f>
        <v>-177499</v>
      </c>
      <c r="N3511" s="51">
        <f>Tabela6[[#This Row],[KM Rodados ]]/Tabela6[[#This Row],[CONSUMO]]</f>
        <v>-4671.0263157894733</v>
      </c>
    </row>
    <row r="3512" spans="1:14" x14ac:dyDescent="0.25">
      <c r="A3512" s="47">
        <v>129885</v>
      </c>
      <c r="B3512" s="78">
        <v>45293</v>
      </c>
      <c r="C3512" s="47" t="s">
        <v>39</v>
      </c>
      <c r="D3512" s="49" t="s">
        <v>253</v>
      </c>
      <c r="E3512" s="47">
        <v>115520</v>
      </c>
      <c r="G3512" s="50" t="s">
        <v>89</v>
      </c>
      <c r="H3512" s="51">
        <v>52.26</v>
      </c>
      <c r="J3512" s="51">
        <v>6.09</v>
      </c>
      <c r="K3512" s="74">
        <f>Tabela6[[#This Row],[CONSUMO]]*Tabela6[[#This Row],[VALOR UNIT]]-Tabela6[[#This Row],[DESCONTO]]</f>
        <v>318.26339999999999</v>
      </c>
      <c r="L3512" s="53">
        <f>Tabela6[[#This Row],[CUSTO TOTAL]]/Tabela6[[#This Row],[CONSUMO]]</f>
        <v>6.09</v>
      </c>
      <c r="M3512" s="50">
        <f>Tabela6[[#This Row],[KM ATUAL]]-E3444</f>
        <v>-958414</v>
      </c>
      <c r="N3512" s="51">
        <f>Tabela6[[#This Row],[KM Rodados ]]/Tabela6[[#This Row],[CONSUMO]]</f>
        <v>-18339.341752774588</v>
      </c>
    </row>
    <row r="3513" spans="1:14" x14ac:dyDescent="0.25">
      <c r="A3513" s="47">
        <v>442655</v>
      </c>
      <c r="B3513" s="78">
        <v>45293</v>
      </c>
      <c r="C3513" s="47" t="s">
        <v>70</v>
      </c>
      <c r="D3513" s="49" t="s">
        <v>333</v>
      </c>
      <c r="E3513" s="47">
        <v>249550</v>
      </c>
      <c r="G3513" s="50" t="s">
        <v>89</v>
      </c>
      <c r="H3513" s="51">
        <v>422.03300000000002</v>
      </c>
      <c r="J3513" s="51">
        <v>5.49</v>
      </c>
      <c r="K3513" s="74">
        <f>Tabela6[[#This Row],[CONSUMO]]*Tabela6[[#This Row],[VALOR UNIT]]-Tabela6[[#This Row],[DESCONTO]]</f>
        <v>2316.96117</v>
      </c>
      <c r="L3513" s="53">
        <f>Tabela6[[#This Row],[CUSTO TOTAL]]/Tabela6[[#This Row],[CONSUMO]]</f>
        <v>5.49</v>
      </c>
      <c r="M3513" s="50">
        <f>Tabela6[[#This Row],[KM ATUAL]]-E3507</f>
        <v>237355</v>
      </c>
      <c r="N3513" s="51">
        <f>Tabela6[[#This Row],[KM Rodados ]]/Tabela6[[#This Row],[CONSUMO]]</f>
        <v>562.40862681354304</v>
      </c>
    </row>
    <row r="3514" spans="1:14" x14ac:dyDescent="0.25">
      <c r="A3514" s="47">
        <v>9109</v>
      </c>
      <c r="B3514" s="78">
        <v>45293</v>
      </c>
      <c r="C3514" s="47" t="s">
        <v>301</v>
      </c>
      <c r="D3514" s="49" t="s">
        <v>299</v>
      </c>
      <c r="E3514" s="47">
        <v>1078479</v>
      </c>
      <c r="G3514" s="50" t="s">
        <v>89</v>
      </c>
      <c r="H3514" s="51">
        <v>364</v>
      </c>
      <c r="J3514" s="51">
        <v>5.3</v>
      </c>
      <c r="K3514" s="74">
        <f>Tabela6[[#This Row],[CONSUMO]]*Tabela6[[#This Row],[VALOR UNIT]]-Tabela6[[#This Row],[DESCONTO]]</f>
        <v>1929.2</v>
      </c>
      <c r="L3514" s="53">
        <f>Tabela6[[#This Row],[CUSTO TOTAL]]/Tabela6[[#This Row],[CONSUMO]]</f>
        <v>5.3</v>
      </c>
      <c r="M3514" s="50">
        <f>Tabela6[[#This Row],[KM ATUAL]]-E3503</f>
        <v>1066438</v>
      </c>
      <c r="N3514" s="51">
        <f>Tabela6[[#This Row],[KM Rodados ]]/Tabela6[[#This Row],[CONSUMO]]</f>
        <v>2929.7747252747254</v>
      </c>
    </row>
    <row r="3515" spans="1:14" x14ac:dyDescent="0.25">
      <c r="A3515" s="49">
        <v>9109</v>
      </c>
      <c r="B3515" s="54">
        <v>45293</v>
      </c>
      <c r="C3515" s="47" t="s">
        <v>18</v>
      </c>
      <c r="D3515" s="49" t="s">
        <v>299</v>
      </c>
      <c r="E3515" s="47">
        <v>341099</v>
      </c>
      <c r="G3515" s="50" t="s">
        <v>89</v>
      </c>
      <c r="H3515" s="51">
        <v>73</v>
      </c>
      <c r="J3515" s="51">
        <v>5.15</v>
      </c>
      <c r="K3515" s="74">
        <f>Tabela6[[#This Row],[CONSUMO]]*Tabela6[[#This Row],[VALOR UNIT]]-Tabela6[[#This Row],[DESCONTO]]</f>
        <v>375.95000000000005</v>
      </c>
      <c r="L3515" s="53">
        <f>Tabela6[[#This Row],[CUSTO TOTAL]]/Tabela6[[#This Row],[CONSUMO]]</f>
        <v>5.15</v>
      </c>
      <c r="M3515" s="50">
        <f>Tabela6[[#This Row],[KM ATUAL]]-E2962</f>
        <v>334971</v>
      </c>
      <c r="N3515" s="51">
        <f>Tabela6[[#This Row],[KM Rodados ]]/Tabela6[[#This Row],[CONSUMO]]</f>
        <v>4588.6438356164381</v>
      </c>
    </row>
    <row r="3516" spans="1:14" x14ac:dyDescent="0.25">
      <c r="A3516" s="47">
        <v>593900</v>
      </c>
      <c r="B3516" s="78">
        <v>45293</v>
      </c>
      <c r="C3516" s="47" t="s">
        <v>38</v>
      </c>
      <c r="D3516" s="49" t="s">
        <v>255</v>
      </c>
      <c r="E3516" s="47">
        <v>141397</v>
      </c>
      <c r="G3516" s="50" t="s">
        <v>244</v>
      </c>
      <c r="H3516" s="51">
        <v>19.771000000000001</v>
      </c>
      <c r="J3516" s="51">
        <v>5.74</v>
      </c>
      <c r="K3516" s="74">
        <f>Tabela6[[#This Row],[CONSUMO]]*Tabela6[[#This Row],[VALOR UNIT]]-Tabela6[[#This Row],[DESCONTO]]</f>
        <v>113.48554000000001</v>
      </c>
      <c r="L3516" s="53">
        <f>Tabela6[[#This Row],[CUSTO TOTAL]]/Tabela6[[#This Row],[CONSUMO]]</f>
        <v>5.74</v>
      </c>
      <c r="M3516" s="53" t="e" cm="1">
        <f t="array" ref="M3516">SE</f>
        <v>#NAME?</v>
      </c>
      <c r="N3516" s="49" t="e">
        <f>Tabela6[[#This Row],[KM Rodados ]]/Tabela6[[#This Row],[CONSUMO]]</f>
        <v>#NAME?</v>
      </c>
    </row>
    <row r="3517" spans="1:14" x14ac:dyDescent="0.25">
      <c r="A3517" s="47">
        <v>36723</v>
      </c>
      <c r="B3517" s="78">
        <v>45294</v>
      </c>
      <c r="C3517" s="47" t="s">
        <v>70</v>
      </c>
      <c r="D3517" s="49" t="s">
        <v>332</v>
      </c>
      <c r="E3517" s="47">
        <v>250205</v>
      </c>
      <c r="G3517" s="50" t="s">
        <v>89</v>
      </c>
      <c r="H3517" s="51">
        <v>362.85399999999998</v>
      </c>
      <c r="J3517" s="51">
        <v>5.69</v>
      </c>
      <c r="K3517" s="74">
        <f>Tabela6[[#This Row],[CONSUMO]]*Tabela6[[#This Row],[VALOR UNIT]]-Tabela6[[#This Row],[DESCONTO]]</f>
        <v>2064.6392599999999</v>
      </c>
      <c r="L3517" s="53">
        <f>Tabela6[[#This Row],[CUSTO TOTAL]]/Tabela6[[#This Row],[CONSUMO]]</f>
        <v>5.69</v>
      </c>
      <c r="M3517" s="50">
        <f>Tabela6[[#This Row],[KM ATUAL]]-E3513</f>
        <v>655</v>
      </c>
      <c r="N3517" s="51">
        <f>Tabela6[[#This Row],[KM Rodados ]]/Tabela6[[#This Row],[CONSUMO]]</f>
        <v>1.8051337452529117</v>
      </c>
    </row>
    <row r="3518" spans="1:14" x14ac:dyDescent="0.25">
      <c r="A3518" s="47">
        <v>232846</v>
      </c>
      <c r="B3518" s="78">
        <v>45294</v>
      </c>
      <c r="C3518" s="47" t="s">
        <v>72</v>
      </c>
      <c r="D3518" s="49" t="s">
        <v>262</v>
      </c>
      <c r="E3518" s="47">
        <v>433876</v>
      </c>
      <c r="G3518" s="50" t="s">
        <v>89</v>
      </c>
      <c r="H3518" s="51">
        <v>28.92</v>
      </c>
      <c r="J3518" s="51">
        <v>5.99</v>
      </c>
      <c r="K3518" s="74">
        <f>Tabela6[[#This Row],[CONSUMO]]*Tabela6[[#This Row],[VALOR UNIT]]-Tabela6[[#This Row],[DESCONTO]]</f>
        <v>173.23080000000002</v>
      </c>
      <c r="L3518" s="53">
        <f>Tabela6[[#This Row],[CUSTO TOTAL]]/Tabela6[[#This Row],[CONSUMO]]</f>
        <v>5.99</v>
      </c>
      <c r="M3518" s="50">
        <f>Tabela6[[#This Row],[KM ATUAL]]-E3495</f>
        <v>-304795</v>
      </c>
      <c r="N3518" s="51">
        <f>Tabela6[[#This Row],[KM Rodados ]]/Tabela6[[#This Row],[CONSUMO]]</f>
        <v>-10539.246196403872</v>
      </c>
    </row>
    <row r="3519" spans="1:14" x14ac:dyDescent="0.25">
      <c r="A3519" s="47">
        <v>187479</v>
      </c>
      <c r="B3519" s="78">
        <v>45294</v>
      </c>
      <c r="C3519" s="47" t="s">
        <v>72</v>
      </c>
      <c r="D3519" s="49" t="s">
        <v>263</v>
      </c>
      <c r="E3519" s="47">
        <v>433652</v>
      </c>
      <c r="G3519" s="50" t="s">
        <v>89</v>
      </c>
      <c r="H3519" s="51">
        <v>43.070999999999998</v>
      </c>
      <c r="J3519" s="51">
        <v>5.94</v>
      </c>
      <c r="K3519" s="74">
        <f>Tabela6[[#This Row],[CONSUMO]]*Tabela6[[#This Row],[VALOR UNIT]]-Tabela6[[#This Row],[DESCONTO]]</f>
        <v>255.84174000000002</v>
      </c>
      <c r="L3519" s="53">
        <f>Tabela6[[#This Row],[CUSTO TOTAL]]/Tabela6[[#This Row],[CONSUMO]]</f>
        <v>5.94</v>
      </c>
      <c r="M3519" s="50">
        <f>Tabela6[[#This Row],[KM ATUAL]]-E3518</f>
        <v>-224</v>
      </c>
      <c r="N3519" s="51">
        <f>Tabela6[[#This Row],[KM Rodados ]]/Tabela6[[#This Row],[CONSUMO]]</f>
        <v>-5.20071509832602</v>
      </c>
    </row>
    <row r="3520" spans="1:14" x14ac:dyDescent="0.25">
      <c r="A3520" s="47">
        <v>232817</v>
      </c>
      <c r="B3520" s="78">
        <v>45294</v>
      </c>
      <c r="C3520" s="47" t="s">
        <v>207</v>
      </c>
      <c r="D3520" s="49" t="s">
        <v>262</v>
      </c>
      <c r="E3520" s="47">
        <v>64730</v>
      </c>
      <c r="G3520" s="50" t="s">
        <v>244</v>
      </c>
      <c r="H3520" s="51">
        <v>10.420999999999999</v>
      </c>
      <c r="J3520" s="51">
        <v>5.49</v>
      </c>
      <c r="K3520" s="74">
        <f>Tabela6[[#This Row],[CONSUMO]]*Tabela6[[#This Row],[VALOR UNIT]]-Tabela6[[#This Row],[DESCONTO]]</f>
        <v>57.211289999999998</v>
      </c>
      <c r="L3520" s="53">
        <f>Tabela6[[#This Row],[CUSTO TOTAL]]/Tabela6[[#This Row],[CONSUMO]]</f>
        <v>5.49</v>
      </c>
      <c r="M3520" s="53" t="e" cm="1">
        <f t="array" ref="M3520">SE</f>
        <v>#NAME?</v>
      </c>
      <c r="N3520" s="49" t="e">
        <f>Tabela6[[#This Row],[KM Rodados ]]/Tabela6[[#This Row],[CONSUMO]]</f>
        <v>#NAME?</v>
      </c>
    </row>
    <row r="3521" spans="1:14" x14ac:dyDescent="0.25">
      <c r="A3521" s="49">
        <v>9109</v>
      </c>
      <c r="B3521" s="54">
        <v>45295</v>
      </c>
      <c r="C3521" s="47" t="s">
        <v>43</v>
      </c>
      <c r="D3521" s="49" t="s">
        <v>299</v>
      </c>
      <c r="E3521" s="47">
        <v>169254</v>
      </c>
      <c r="G3521" s="50" t="s">
        <v>89</v>
      </c>
      <c r="H3521" s="51">
        <v>38</v>
      </c>
      <c r="J3521" s="51">
        <v>5.15</v>
      </c>
      <c r="K3521" s="74">
        <f>Tabela6[[#This Row],[CONSUMO]]*Tabela6[[#This Row],[VALOR UNIT]]-Tabela6[[#This Row],[DESCONTO]]</f>
        <v>195.70000000000002</v>
      </c>
      <c r="L3521" s="53">
        <f>Tabela6[[#This Row],[CUSTO TOTAL]]/Tabela6[[#This Row],[CONSUMO]]</f>
        <v>5.15</v>
      </c>
      <c r="M3521" s="50">
        <f>Tabela6[[#This Row],[KM ATUAL]]-E3508</f>
        <v>-472250</v>
      </c>
      <c r="N3521" s="51">
        <f>Tabela6[[#This Row],[KM Rodados ]]/Tabela6[[#This Row],[CONSUMO]]</f>
        <v>-12427.631578947368</v>
      </c>
    </row>
    <row r="3522" spans="1:14" x14ac:dyDescent="0.25">
      <c r="A3522" s="49">
        <v>9109</v>
      </c>
      <c r="B3522" s="54">
        <v>45295</v>
      </c>
      <c r="C3522" s="47" t="s">
        <v>43</v>
      </c>
      <c r="D3522" s="49" t="s">
        <v>299</v>
      </c>
      <c r="E3522" s="119">
        <v>169372</v>
      </c>
      <c r="G3522" s="50" t="s">
        <v>89</v>
      </c>
      <c r="H3522" s="51">
        <v>13</v>
      </c>
      <c r="J3522" s="51">
        <v>5.15</v>
      </c>
      <c r="K3522" s="74">
        <f>Tabela6[[#This Row],[CONSUMO]]*Tabela6[[#This Row],[VALOR UNIT]]-Tabela6[[#This Row],[DESCONTO]]</f>
        <v>66.95</v>
      </c>
      <c r="L3522" s="53">
        <f>Tabela6[[#This Row],[CUSTO TOTAL]]/Tabela6[[#This Row],[CONSUMO]]</f>
        <v>5.15</v>
      </c>
      <c r="M3522" s="50">
        <f>Tabela6[[#This Row],[KM ATUAL]]-E3520</f>
        <v>104642</v>
      </c>
      <c r="N3522" s="51">
        <f>Tabela6[[#This Row],[KM Rodados ]]/Tabela6[[#This Row],[CONSUMO]]</f>
        <v>8049.3846153846152</v>
      </c>
    </row>
    <row r="3523" spans="1:14" x14ac:dyDescent="0.25">
      <c r="A3523" s="49">
        <v>9109</v>
      </c>
      <c r="B3523" s="54">
        <v>45295</v>
      </c>
      <c r="C3523" s="47" t="s">
        <v>394</v>
      </c>
      <c r="D3523" s="49" t="s">
        <v>299</v>
      </c>
      <c r="E3523" s="102">
        <v>881571</v>
      </c>
      <c r="G3523" s="50" t="s">
        <v>89</v>
      </c>
      <c r="H3523" s="51">
        <v>16</v>
      </c>
      <c r="J3523" s="51">
        <v>5.15</v>
      </c>
      <c r="K3523" s="74">
        <f>Tabela6[[#This Row],[CONSUMO]]*Tabela6[[#This Row],[VALOR UNIT]]-Tabela6[[#This Row],[DESCONTO]]</f>
        <v>82.4</v>
      </c>
      <c r="L3523" s="53">
        <f>Tabela6[[#This Row],[CUSTO TOTAL]]/Tabela6[[#This Row],[CONSUMO]]</f>
        <v>5.15</v>
      </c>
      <c r="M3523" s="51">
        <f>Tabela6[[#This Row],[KM ATUAL]]-E3484</f>
        <v>553097</v>
      </c>
      <c r="N3523" s="51">
        <f>Tabela6[[#This Row],[KM Rodados ]]/Tabela6[[#This Row],[CONSUMO]]</f>
        <v>34568.5625</v>
      </c>
    </row>
    <row r="3524" spans="1:14" x14ac:dyDescent="0.25">
      <c r="A3524" s="47">
        <v>275419</v>
      </c>
      <c r="B3524" s="78">
        <v>45295</v>
      </c>
      <c r="C3524" s="47" t="s">
        <v>9</v>
      </c>
      <c r="D3524" s="49" t="s">
        <v>273</v>
      </c>
      <c r="E3524" s="102">
        <v>642110</v>
      </c>
      <c r="G3524" s="50" t="s">
        <v>89</v>
      </c>
      <c r="H3524" s="51">
        <v>134.31</v>
      </c>
      <c r="J3524" s="51">
        <v>5.79</v>
      </c>
      <c r="K3524" s="74">
        <f>Tabela6[[#This Row],[CONSUMO]]*Tabela6[[#This Row],[VALOR UNIT]]-Tabela6[[#This Row],[DESCONTO]]</f>
        <v>777.6549</v>
      </c>
      <c r="L3524" s="53">
        <f>Tabela6[[#This Row],[CUSTO TOTAL]]/Tabela6[[#This Row],[CONSUMO]]</f>
        <v>5.79</v>
      </c>
      <c r="M3524" s="50">
        <f>Tabela6[[#This Row],[KM ATUAL]]-E3509</f>
        <v>393322</v>
      </c>
      <c r="N3524" s="51">
        <f>Tabela6[[#This Row],[KM Rodados ]]/Tabela6[[#This Row],[CONSUMO]]</f>
        <v>2928.4640011912738</v>
      </c>
    </row>
    <row r="3525" spans="1:14" x14ac:dyDescent="0.25">
      <c r="A3525" s="49">
        <v>9109</v>
      </c>
      <c r="B3525" s="54">
        <v>45295</v>
      </c>
      <c r="C3525" s="47" t="s">
        <v>42</v>
      </c>
      <c r="D3525" s="49" t="s">
        <v>299</v>
      </c>
      <c r="E3525" s="102">
        <v>379835</v>
      </c>
      <c r="G3525" s="50" t="s">
        <v>89</v>
      </c>
      <c r="H3525" s="51">
        <v>71</v>
      </c>
      <c r="J3525" s="51">
        <v>5.15</v>
      </c>
      <c r="K3525" s="74">
        <f>Tabela6[[#This Row],[CONSUMO]]*Tabela6[[#This Row],[VALOR UNIT]]-Tabela6[[#This Row],[DESCONTO]]</f>
        <v>365.65000000000003</v>
      </c>
      <c r="L3525" s="53">
        <f>Tabela6[[#This Row],[CUSTO TOTAL]]/Tabela6[[#This Row],[CONSUMO]]</f>
        <v>5.15</v>
      </c>
      <c r="M3525" s="50">
        <f>Tabela6[[#This Row],[KM ATUAL]]-E3496</f>
        <v>-697448</v>
      </c>
      <c r="N3525" s="51">
        <f>Tabela6[[#This Row],[KM Rodados ]]/Tabela6[[#This Row],[CONSUMO]]</f>
        <v>-9823.2112676056331</v>
      </c>
    </row>
    <row r="3526" spans="1:14" x14ac:dyDescent="0.25">
      <c r="A3526" s="47">
        <v>233148</v>
      </c>
      <c r="B3526" s="78">
        <v>45295</v>
      </c>
      <c r="C3526" s="47" t="s">
        <v>42</v>
      </c>
      <c r="D3526" s="49" t="s">
        <v>262</v>
      </c>
      <c r="E3526" s="102">
        <v>379952</v>
      </c>
      <c r="G3526" s="50" t="s">
        <v>89</v>
      </c>
      <c r="H3526" s="51">
        <v>16.829999999999998</v>
      </c>
      <c r="J3526" s="51">
        <v>5.99</v>
      </c>
      <c r="K3526" s="74">
        <f>Tabela6[[#This Row],[CONSUMO]]*Tabela6[[#This Row],[VALOR UNIT]]-Tabela6[[#This Row],[DESCONTO]]</f>
        <v>100.81169999999999</v>
      </c>
      <c r="L3526" s="53">
        <f>Tabela6[[#This Row],[CUSTO TOTAL]]/Tabela6[[#This Row],[CONSUMO]]</f>
        <v>5.99</v>
      </c>
      <c r="M3526" s="50">
        <f>Tabela6[[#This Row],[KM ATUAL]]-E3518</f>
        <v>-53924</v>
      </c>
      <c r="N3526" s="51">
        <f>Tabela6[[#This Row],[KM Rodados ]]/Tabela6[[#This Row],[CONSUMO]]</f>
        <v>-3204.0404040404042</v>
      </c>
    </row>
    <row r="3527" spans="1:14" x14ac:dyDescent="0.25">
      <c r="A3527" s="47">
        <v>1075086</v>
      </c>
      <c r="B3527" s="78">
        <v>45295</v>
      </c>
      <c r="C3527" s="47" t="s">
        <v>22</v>
      </c>
      <c r="D3527" s="49" t="s">
        <v>399</v>
      </c>
      <c r="E3527" s="47">
        <v>346971</v>
      </c>
      <c r="G3527" s="50" t="s">
        <v>89</v>
      </c>
      <c r="H3527" s="51">
        <v>136.20099999999999</v>
      </c>
      <c r="J3527" s="51">
        <v>5.94</v>
      </c>
      <c r="K3527" s="74">
        <f>Tabela6[[#This Row],[CONSUMO]]*Tabela6[[#This Row],[VALOR UNIT]]-Tabela6[[#This Row],[DESCONTO]]</f>
        <v>809.03394000000003</v>
      </c>
      <c r="L3527" s="53">
        <f>Tabela6[[#This Row],[CUSTO TOTAL]]/Tabela6[[#This Row],[CONSUMO]]</f>
        <v>5.94</v>
      </c>
      <c r="M3527" s="50">
        <f>Tabela6[[#This Row],[KM ATUAL]]-E3489</f>
        <v>-193374</v>
      </c>
      <c r="N3527" s="51">
        <f>Tabela6[[#This Row],[KM Rodados ]]/Tabela6[[#This Row],[CONSUMO]]</f>
        <v>-1419.7693115322209</v>
      </c>
    </row>
    <row r="3528" spans="1:14" x14ac:dyDescent="0.25">
      <c r="A3528" s="47">
        <v>228943</v>
      </c>
      <c r="B3528" s="78">
        <v>45295</v>
      </c>
      <c r="C3528" s="47" t="s">
        <v>70</v>
      </c>
      <c r="D3528" s="49" t="s">
        <v>374</v>
      </c>
      <c r="E3528" s="47">
        <v>250991</v>
      </c>
      <c r="G3528" s="50" t="s">
        <v>241</v>
      </c>
      <c r="H3528" s="51">
        <v>67.599999999999994</v>
      </c>
      <c r="J3528" s="51">
        <v>2.99</v>
      </c>
      <c r="K3528" s="74">
        <f>Tabela6[[#This Row],[CONSUMO]]*Tabela6[[#This Row],[VALOR UNIT]]-Tabela6[[#This Row],[DESCONTO]]</f>
        <v>202.124</v>
      </c>
      <c r="L3528" s="53">
        <f>Tabela6[[#This Row],[CUSTO TOTAL]]/Tabela6[[#This Row],[CONSUMO]]</f>
        <v>2.99</v>
      </c>
      <c r="M3528" s="53"/>
      <c r="N3528" s="49"/>
    </row>
    <row r="3529" spans="1:14" x14ac:dyDescent="0.25">
      <c r="A3529" s="47">
        <v>228942</v>
      </c>
      <c r="B3529" s="78">
        <v>45295</v>
      </c>
      <c r="C3529" s="47" t="s">
        <v>70</v>
      </c>
      <c r="D3529" s="49" t="s">
        <v>374</v>
      </c>
      <c r="E3529" s="47">
        <v>250991</v>
      </c>
      <c r="G3529" s="50" t="s">
        <v>89</v>
      </c>
      <c r="H3529" s="51">
        <v>249.02099999999999</v>
      </c>
      <c r="J3529" s="51">
        <v>5.79</v>
      </c>
      <c r="K3529" s="74">
        <f>Tabela6[[#This Row],[CONSUMO]]*Tabela6[[#This Row],[VALOR UNIT]]-Tabela6[[#This Row],[DESCONTO]]</f>
        <v>1441.83159</v>
      </c>
      <c r="L3529" s="53">
        <f>Tabela6[[#This Row],[CUSTO TOTAL]]/Tabela6[[#This Row],[CONSUMO]]</f>
        <v>5.79</v>
      </c>
      <c r="M3529" s="50">
        <f>Tabela6[[#This Row],[KM ATUAL]]-E3516</f>
        <v>109594</v>
      </c>
      <c r="N3529" s="51">
        <f>Tabela6[[#This Row],[KM Rodados ]]/Tabela6[[#This Row],[CONSUMO]]</f>
        <v>440.09942936539488</v>
      </c>
    </row>
    <row r="3530" spans="1:14" x14ac:dyDescent="0.25">
      <c r="A3530" s="47">
        <v>40437</v>
      </c>
      <c r="B3530" s="78">
        <v>45295</v>
      </c>
      <c r="C3530" s="47" t="s">
        <v>301</v>
      </c>
      <c r="D3530" s="49" t="s">
        <v>281</v>
      </c>
      <c r="E3530" s="47">
        <v>1079310</v>
      </c>
      <c r="G3530" s="50" t="s">
        <v>89</v>
      </c>
      <c r="H3530" s="51">
        <v>340.78300000000002</v>
      </c>
      <c r="I3530" s="49">
        <v>320.33</v>
      </c>
      <c r="J3530" s="51">
        <v>6.9</v>
      </c>
      <c r="K3530" s="74">
        <f>Tabela6[[#This Row],[CONSUMO]]*Tabela6[[#This Row],[VALOR UNIT]]-Tabela6[[#This Row],[DESCONTO]]</f>
        <v>2031.0727000000002</v>
      </c>
      <c r="L3530" s="53">
        <f>Tabela6[[#This Row],[CUSTO TOTAL]]/Tabela6[[#This Row],[CONSUMO]]</f>
        <v>5.9600176652004357</v>
      </c>
      <c r="M3530" s="50">
        <f>Tabela6[[#This Row],[KM ATUAL]]-E3519</f>
        <v>645658</v>
      </c>
      <c r="N3530" s="51">
        <f>Tabela6[[#This Row],[KM Rodados ]]/Tabela6[[#This Row],[CONSUMO]]</f>
        <v>1894.630894146715</v>
      </c>
    </row>
    <row r="3531" spans="1:14" x14ac:dyDescent="0.25">
      <c r="A3531" s="47">
        <v>1035220</v>
      </c>
      <c r="B3531" s="78">
        <v>45295</v>
      </c>
      <c r="C3531" s="47" t="s">
        <v>301</v>
      </c>
      <c r="D3531" s="49" t="s">
        <v>398</v>
      </c>
      <c r="E3531" s="47">
        <v>1079250</v>
      </c>
      <c r="G3531" s="50" t="s">
        <v>89</v>
      </c>
      <c r="H3531" s="51">
        <v>100</v>
      </c>
      <c r="J3531" s="51">
        <v>5.75</v>
      </c>
      <c r="K3531" s="74">
        <f>Tabela6[[#This Row],[CONSUMO]]*Tabela6[[#This Row],[VALOR UNIT]]-Tabela6[[#This Row],[DESCONTO]]</f>
        <v>575</v>
      </c>
      <c r="L3531" s="53">
        <f>Tabela6[[#This Row],[CUSTO TOTAL]]/Tabela6[[#This Row],[CONSUMO]]</f>
        <v>5.75</v>
      </c>
      <c r="M3531" s="50">
        <f>Tabela6[[#This Row],[KM ATUAL]]-E3530</f>
        <v>-60</v>
      </c>
      <c r="N3531" s="51">
        <f>Tabela6[[#This Row],[KM Rodados ]]/Tabela6[[#This Row],[CONSUMO]]</f>
        <v>-0.6</v>
      </c>
    </row>
    <row r="3532" spans="1:14" x14ac:dyDescent="0.25">
      <c r="A3532" s="47">
        <v>232915</v>
      </c>
      <c r="B3532" s="78">
        <v>45295</v>
      </c>
      <c r="C3532" s="47" t="s">
        <v>206</v>
      </c>
      <c r="D3532" s="49" t="s">
        <v>262</v>
      </c>
      <c r="E3532" s="119">
        <v>987763</v>
      </c>
      <c r="G3532" s="50" t="s">
        <v>241</v>
      </c>
      <c r="H3532" s="51">
        <v>34.496000000000002</v>
      </c>
      <c r="I3532" s="49">
        <v>12.42</v>
      </c>
      <c r="J3532" s="51">
        <v>3.69</v>
      </c>
      <c r="K3532" s="74">
        <f>Tabela6[[#This Row],[CONSUMO]]*Tabela6[[#This Row],[VALOR UNIT]]-Tabela6[[#This Row],[DESCONTO]]</f>
        <v>114.87024000000001</v>
      </c>
      <c r="L3532" s="53">
        <f>Tabela6[[#This Row],[CUSTO TOTAL]]/Tabela6[[#This Row],[CONSUMO]]</f>
        <v>3.3299582560296845</v>
      </c>
      <c r="M3532" s="53"/>
      <c r="N3532" s="49"/>
    </row>
    <row r="3533" spans="1:14" x14ac:dyDescent="0.25">
      <c r="A3533" s="47">
        <v>233185</v>
      </c>
      <c r="B3533" s="78">
        <v>45296</v>
      </c>
      <c r="C3533" s="47" t="s">
        <v>43</v>
      </c>
      <c r="D3533" s="49" t="s">
        <v>262</v>
      </c>
      <c r="E3533" s="47">
        <v>169491</v>
      </c>
      <c r="G3533" s="50" t="s">
        <v>89</v>
      </c>
      <c r="H3533" s="51">
        <v>15.669</v>
      </c>
      <c r="J3533" s="51">
        <v>5.99</v>
      </c>
      <c r="K3533" s="74">
        <f>Tabela6[[#This Row],[CONSUMO]]*Tabela6[[#This Row],[VALOR UNIT]]-Tabela6[[#This Row],[DESCONTO]]</f>
        <v>93.857310000000012</v>
      </c>
      <c r="L3533" s="53">
        <f>Tabela6[[#This Row],[CUSTO TOTAL]]/Tabela6[[#This Row],[CONSUMO]]</f>
        <v>5.99</v>
      </c>
      <c r="M3533" s="50">
        <f>Tabela6[[#This Row],[KM ATUAL]]-E3514</f>
        <v>-908988</v>
      </c>
      <c r="N3533" s="51">
        <f>Tabela6[[#This Row],[KM Rodados ]]/Tabela6[[#This Row],[CONSUMO]]</f>
        <v>-58011.870572467931</v>
      </c>
    </row>
    <row r="3534" spans="1:14" x14ac:dyDescent="0.25">
      <c r="A3534" s="47">
        <v>364411</v>
      </c>
      <c r="B3534" s="78">
        <v>45296</v>
      </c>
      <c r="C3534" s="47" t="s">
        <v>42</v>
      </c>
      <c r="D3534" s="49" t="s">
        <v>276</v>
      </c>
      <c r="E3534" s="47">
        <v>380318</v>
      </c>
      <c r="G3534" s="50" t="s">
        <v>89</v>
      </c>
      <c r="H3534" s="51">
        <v>62.511000000000003</v>
      </c>
      <c r="J3534" s="51">
        <v>6.09</v>
      </c>
      <c r="K3534" s="74">
        <f>Tabela6[[#This Row],[CONSUMO]]*Tabela6[[#This Row],[VALOR UNIT]]-Tabela6[[#This Row],[DESCONTO]]</f>
        <v>380.69199000000003</v>
      </c>
      <c r="L3534" s="53">
        <f>Tabela6[[#This Row],[CUSTO TOTAL]]/Tabela6[[#This Row],[CONSUMO]]</f>
        <v>6.09</v>
      </c>
      <c r="M3534" s="50">
        <f>Tabela6[[#This Row],[KM ATUAL]]-E3525</f>
        <v>483</v>
      </c>
      <c r="N3534" s="51">
        <f>Tabela6[[#This Row],[KM Rodados ]]/Tabela6[[#This Row],[CONSUMO]]</f>
        <v>7.7266401113404042</v>
      </c>
    </row>
    <row r="3535" spans="1:14" x14ac:dyDescent="0.25">
      <c r="A3535" s="47">
        <v>364411</v>
      </c>
      <c r="B3535" s="78">
        <v>45296</v>
      </c>
      <c r="C3535" s="47" t="s">
        <v>42</v>
      </c>
      <c r="D3535" s="49" t="s">
        <v>276</v>
      </c>
      <c r="E3535" s="47">
        <v>380318</v>
      </c>
      <c r="G3535" s="50" t="s">
        <v>89</v>
      </c>
      <c r="H3535" s="51">
        <v>62.511000000000003</v>
      </c>
      <c r="J3535" s="51">
        <v>6.09</v>
      </c>
      <c r="K3535" s="74">
        <f>Tabela6[[#This Row],[CONSUMO]]*Tabela6[[#This Row],[VALOR UNIT]]-Tabela6[[#This Row],[DESCONTO]]</f>
        <v>380.69199000000003</v>
      </c>
      <c r="L3535" s="53">
        <f>Tabela6[[#This Row],[CUSTO TOTAL]]/Tabela6[[#This Row],[CONSUMO]]</f>
        <v>6.09</v>
      </c>
      <c r="M3535" s="53" t="e">
        <f t="array" ref="M3535">SE</f>
        <v>#NAME?</v>
      </c>
      <c r="N3535" s="49" t="e">
        <f>Tabela6[[#This Row],[KM Rodados ]]/Tabela6[[#This Row],[CONSUMO]]</f>
        <v>#NAME?</v>
      </c>
    </row>
    <row r="3536" spans="1:14" x14ac:dyDescent="0.25">
      <c r="A3536" s="47">
        <v>233289</v>
      </c>
      <c r="B3536" s="78">
        <v>45296</v>
      </c>
      <c r="C3536" s="47" t="s">
        <v>215</v>
      </c>
      <c r="D3536" s="49" t="s">
        <v>262</v>
      </c>
      <c r="E3536" s="47">
        <v>232559</v>
      </c>
      <c r="G3536" s="50" t="s">
        <v>244</v>
      </c>
      <c r="H3536" s="51">
        <v>36.49</v>
      </c>
      <c r="J3536" s="51">
        <v>5.49</v>
      </c>
      <c r="K3536" s="74">
        <f>Tabela6[[#This Row],[CONSUMO]]*Tabela6[[#This Row],[VALOR UNIT]]-Tabela6[[#This Row],[DESCONTO]]</f>
        <v>200.33010000000002</v>
      </c>
      <c r="L3536" s="53">
        <f>Tabela6[[#This Row],[CUSTO TOTAL]]/Tabela6[[#This Row],[CONSUMO]]</f>
        <v>5.49</v>
      </c>
      <c r="M3536" s="53" t="e" cm="1">
        <f t="array" ref="M3536">SE</f>
        <v>#NAME?</v>
      </c>
      <c r="N3536" s="49" t="e">
        <f>Tabela6[[#This Row],[KM Rodados ]]/Tabela6[[#This Row],[CONSUMO]]</f>
        <v>#NAME?</v>
      </c>
    </row>
    <row r="3537" spans="1:14" x14ac:dyDescent="0.25">
      <c r="A3537" s="49">
        <v>9109</v>
      </c>
      <c r="B3537" s="54">
        <v>45296</v>
      </c>
      <c r="C3537" s="47" t="s">
        <v>22</v>
      </c>
      <c r="D3537" s="49" t="s">
        <v>299</v>
      </c>
      <c r="E3537" s="47">
        <v>347377</v>
      </c>
      <c r="G3537" s="50" t="s">
        <v>89</v>
      </c>
      <c r="H3537" s="51">
        <v>90</v>
      </c>
      <c r="J3537" s="51">
        <v>5.15</v>
      </c>
      <c r="K3537" s="74">
        <f>Tabela6[[#This Row],[CONSUMO]]*Tabela6[[#This Row],[VALOR UNIT]]-Tabela6[[#This Row],[DESCONTO]]</f>
        <v>463.50000000000006</v>
      </c>
      <c r="L3537" s="53">
        <f>Tabela6[[#This Row],[CUSTO TOTAL]]/Tabela6[[#This Row],[CONSUMO]]</f>
        <v>5.15</v>
      </c>
      <c r="M3537" s="50">
        <f>Tabela6[[#This Row],[KM ATUAL]]-E3527</f>
        <v>406</v>
      </c>
      <c r="N3537" s="51">
        <f>Tabela6[[#This Row],[KM Rodados ]]/Tabela6[[#This Row],[CONSUMO]]</f>
        <v>4.5111111111111111</v>
      </c>
    </row>
    <row r="3538" spans="1:14" x14ac:dyDescent="0.25">
      <c r="A3538" s="47">
        <v>131768</v>
      </c>
      <c r="B3538" s="78">
        <v>45296</v>
      </c>
      <c r="C3538" s="47" t="s">
        <v>39</v>
      </c>
      <c r="D3538" s="49" t="s">
        <v>253</v>
      </c>
      <c r="E3538" s="47">
        <v>116013</v>
      </c>
      <c r="G3538" s="50" t="s">
        <v>89</v>
      </c>
      <c r="H3538" s="51">
        <v>85.1</v>
      </c>
      <c r="J3538" s="51">
        <v>6.09</v>
      </c>
      <c r="K3538" s="74">
        <f>Tabela6[[#This Row],[CONSUMO]]*Tabela6[[#This Row],[VALOR UNIT]]-Tabela6[[#This Row],[DESCONTO]]</f>
        <v>518.2589999999999</v>
      </c>
      <c r="L3538" s="53">
        <f>Tabela6[[#This Row],[CUSTO TOTAL]]/Tabela6[[#This Row],[CONSUMO]]</f>
        <v>6.089999999999999</v>
      </c>
      <c r="M3538" s="50">
        <f>Tabela6[[#This Row],[KM ATUAL]]-E3508</f>
        <v>-525491</v>
      </c>
      <c r="N3538" s="51">
        <f>Tabela6[[#This Row],[KM Rodados ]]/Tabela6[[#This Row],[CONSUMO]]</f>
        <v>-6174.9823736780263</v>
      </c>
    </row>
    <row r="3539" spans="1:14" x14ac:dyDescent="0.25">
      <c r="A3539" s="47">
        <v>131768</v>
      </c>
      <c r="B3539" s="78">
        <v>45296</v>
      </c>
      <c r="C3539" s="47" t="s">
        <v>39</v>
      </c>
      <c r="D3539" s="49" t="s">
        <v>253</v>
      </c>
      <c r="E3539" s="47">
        <v>116013</v>
      </c>
      <c r="G3539" s="50" t="s">
        <v>241</v>
      </c>
      <c r="H3539" s="51">
        <v>5.383</v>
      </c>
      <c r="J3539" s="51">
        <v>3.49</v>
      </c>
      <c r="K3539" s="74">
        <f>Tabela6[[#This Row],[CONSUMO]]*Tabela6[[#This Row],[VALOR UNIT]]-Tabela6[[#This Row],[DESCONTO]]</f>
        <v>18.786670000000001</v>
      </c>
      <c r="L3539" s="53">
        <f>Tabela6[[#This Row],[CUSTO TOTAL]]/Tabela6[[#This Row],[CONSUMO]]</f>
        <v>3.49</v>
      </c>
      <c r="M3539" s="53"/>
      <c r="N3539" s="49"/>
    </row>
    <row r="3540" spans="1:14" x14ac:dyDescent="0.25">
      <c r="A3540" s="47">
        <v>233447</v>
      </c>
      <c r="B3540" s="78">
        <v>45296</v>
      </c>
      <c r="C3540" s="47" t="s">
        <v>203</v>
      </c>
      <c r="D3540" s="49" t="s">
        <v>262</v>
      </c>
      <c r="E3540" s="47">
        <v>132652</v>
      </c>
      <c r="G3540" s="50" t="s">
        <v>244</v>
      </c>
      <c r="H3540" s="51">
        <v>4.9000000000000004</v>
      </c>
      <c r="J3540" s="51">
        <v>5.49</v>
      </c>
      <c r="K3540" s="74">
        <f>Tabela6[[#This Row],[CONSUMO]]*Tabela6[[#This Row],[VALOR UNIT]]-Tabela6[[#This Row],[DESCONTO]]</f>
        <v>26.901000000000003</v>
      </c>
      <c r="L3540" s="53">
        <f>Tabela6[[#This Row],[CUSTO TOTAL]]/Tabela6[[#This Row],[CONSUMO]]</f>
        <v>5.49</v>
      </c>
      <c r="M3540" s="53" t="e" cm="1">
        <f t="array" ref="M3540">SE</f>
        <v>#NAME?</v>
      </c>
      <c r="N3540" s="49" t="e">
        <f>Tabela6[[#This Row],[KM Rodados ]]/Tabela6[[#This Row],[CONSUMO]]</f>
        <v>#NAME?</v>
      </c>
    </row>
    <row r="3541" spans="1:14" x14ac:dyDescent="0.25">
      <c r="A3541" s="49">
        <v>9109</v>
      </c>
      <c r="B3541" s="54">
        <v>45296</v>
      </c>
      <c r="C3541" s="47" t="s">
        <v>73</v>
      </c>
      <c r="D3541" s="49" t="s">
        <v>299</v>
      </c>
      <c r="E3541" s="47">
        <v>171406</v>
      </c>
      <c r="G3541" s="50" t="s">
        <v>89</v>
      </c>
      <c r="H3541" s="51">
        <v>201</v>
      </c>
      <c r="J3541" s="51">
        <v>5.15</v>
      </c>
      <c r="K3541" s="74">
        <f>Tabela6[[#This Row],[CONSUMO]]*Tabela6[[#This Row],[VALOR UNIT]]-Tabela6[[#This Row],[DESCONTO]]</f>
        <v>1035.1500000000001</v>
      </c>
      <c r="L3541" s="53">
        <f>Tabela6[[#This Row],[CUSTO TOTAL]]/Tabela6[[#This Row],[CONSUMO]]</f>
        <v>5.15</v>
      </c>
      <c r="M3541" s="50">
        <f>Tabela6[[#This Row],[KM ATUAL]]-E3486</f>
        <v>-710088</v>
      </c>
      <c r="N3541" s="51">
        <f>Tabela6[[#This Row],[KM Rodados ]]/Tabela6[[#This Row],[CONSUMO]]</f>
        <v>-3532.7761194029849</v>
      </c>
    </row>
    <row r="3542" spans="1:14" x14ac:dyDescent="0.25">
      <c r="A3542" s="47">
        <v>718889</v>
      </c>
      <c r="B3542" s="78">
        <v>45296</v>
      </c>
      <c r="C3542" s="47" t="s">
        <v>71</v>
      </c>
      <c r="D3542" s="49" t="s">
        <v>271</v>
      </c>
      <c r="E3542" s="47">
        <v>143515</v>
      </c>
      <c r="G3542" s="50" t="s">
        <v>89</v>
      </c>
      <c r="H3542" s="51">
        <v>354</v>
      </c>
      <c r="J3542" s="51">
        <v>5.85</v>
      </c>
      <c r="K3542" s="74">
        <f>Tabela6[[#This Row],[CONSUMO]]*Tabela6[[#This Row],[VALOR UNIT]]-Tabela6[[#This Row],[DESCONTO]]</f>
        <v>2070.9</v>
      </c>
      <c r="L3542" s="53">
        <f>Tabela6[[#This Row],[CUSTO TOTAL]]/Tabela6[[#This Row],[CONSUMO]]</f>
        <v>5.8500000000000005</v>
      </c>
      <c r="M3542" s="50">
        <f>Tabela6[[#This Row],[KM ATUAL]]-E3506</f>
        <v>-166018</v>
      </c>
      <c r="N3542" s="51">
        <f>Tabela6[[#This Row],[KM Rodados ]]/Tabela6[[#This Row],[CONSUMO]]</f>
        <v>-468.97740112994353</v>
      </c>
    </row>
    <row r="3543" spans="1:14" x14ac:dyDescent="0.25">
      <c r="A3543" s="49">
        <v>9109</v>
      </c>
      <c r="B3543" s="54">
        <v>45296</v>
      </c>
      <c r="C3543" s="47" t="s">
        <v>206</v>
      </c>
      <c r="D3543" s="49" t="s">
        <v>299</v>
      </c>
      <c r="E3543" s="47">
        <v>988435</v>
      </c>
      <c r="G3543" s="50" t="s">
        <v>89</v>
      </c>
      <c r="H3543" s="51">
        <v>466</v>
      </c>
      <c r="J3543" s="51">
        <v>5.15</v>
      </c>
      <c r="K3543" s="74">
        <f>Tabela6[[#This Row],[CONSUMO]]*Tabela6[[#This Row],[VALOR UNIT]]-Tabela6[[#This Row],[DESCONTO]]</f>
        <v>2399.9</v>
      </c>
      <c r="L3543" s="53">
        <f>Tabela6[[#This Row],[CUSTO TOTAL]]/Tabela6[[#This Row],[CONSUMO]]</f>
        <v>5.15</v>
      </c>
      <c r="M3543" s="50">
        <f>Tabela6[[#This Row],[KM ATUAL]]-E3469</f>
        <v>450811</v>
      </c>
      <c r="N3543" s="51">
        <f>Tabela6[[#This Row],[KM Rodados ]]/Tabela6[[#This Row],[CONSUMO]]</f>
        <v>967.40557939914163</v>
      </c>
    </row>
    <row r="3544" spans="1:14" x14ac:dyDescent="0.25">
      <c r="A3544" s="47">
        <v>131756</v>
      </c>
      <c r="B3544" s="78">
        <v>45296</v>
      </c>
      <c r="C3544" s="47" t="s">
        <v>12</v>
      </c>
      <c r="D3544" s="49" t="s">
        <v>253</v>
      </c>
      <c r="E3544" s="47">
        <v>329089</v>
      </c>
      <c r="G3544" s="50" t="s">
        <v>89</v>
      </c>
      <c r="H3544" s="51">
        <v>101.73</v>
      </c>
      <c r="J3544" s="51">
        <v>6.09</v>
      </c>
      <c r="K3544" s="74">
        <f>Tabela6[[#This Row],[CONSUMO]]*Tabela6[[#This Row],[VALOR UNIT]]-Tabela6[[#This Row],[DESCONTO]]</f>
        <v>619.53570000000002</v>
      </c>
      <c r="L3544" s="53">
        <f>Tabela6[[#This Row],[CUSTO TOTAL]]/Tabela6[[#This Row],[CONSUMO]]</f>
        <v>6.09</v>
      </c>
      <c r="M3544" s="50">
        <f>Tabela6[[#This Row],[KM ATUAL]]-E3476</f>
        <v>81554</v>
      </c>
      <c r="N3544" s="51">
        <f>Tabela6[[#This Row],[KM Rodados ]]/Tabela6[[#This Row],[CONSUMO]]</f>
        <v>801.67109014056814</v>
      </c>
    </row>
    <row r="3545" spans="1:14" x14ac:dyDescent="0.25">
      <c r="A3545" s="47">
        <v>233181</v>
      </c>
      <c r="B3545" s="78">
        <v>45296</v>
      </c>
      <c r="C3545" s="47" t="s">
        <v>13</v>
      </c>
      <c r="D3545" s="49" t="s">
        <v>262</v>
      </c>
      <c r="E3545" s="47">
        <v>673133</v>
      </c>
      <c r="G3545" s="50" t="s">
        <v>241</v>
      </c>
      <c r="H3545" s="51">
        <v>16.706</v>
      </c>
      <c r="I3545" s="49">
        <v>6.02</v>
      </c>
      <c r="J3545" s="51">
        <v>3.69</v>
      </c>
      <c r="K3545" s="74">
        <f>Tabela6[[#This Row],[CONSUMO]]*Tabela6[[#This Row],[VALOR UNIT]]-Tabela6[[#This Row],[DESCONTO]]</f>
        <v>55.625140000000002</v>
      </c>
      <c r="L3545" s="53">
        <f>Tabela6[[#This Row],[CUSTO TOTAL]]/Tabela6[[#This Row],[CONSUMO]]</f>
        <v>3.3296504249970074</v>
      </c>
      <c r="M3545" s="53"/>
      <c r="N3545" s="49"/>
    </row>
    <row r="3546" spans="1:14" x14ac:dyDescent="0.25">
      <c r="A3546" s="47">
        <v>233186</v>
      </c>
      <c r="B3546" s="78">
        <v>45296</v>
      </c>
      <c r="C3546" s="47" t="s">
        <v>14</v>
      </c>
      <c r="D3546" s="49" t="s">
        <v>262</v>
      </c>
      <c r="E3546" s="47">
        <v>309900</v>
      </c>
      <c r="G3546" s="50" t="s">
        <v>244</v>
      </c>
      <c r="H3546" s="51">
        <v>25.12</v>
      </c>
      <c r="J3546" s="51">
        <v>5.49</v>
      </c>
      <c r="K3546" s="74">
        <f>Tabela6[[#This Row],[CONSUMO]]*Tabela6[[#This Row],[VALOR UNIT]]-Tabela6[[#This Row],[DESCONTO]]</f>
        <v>137.90880000000001</v>
      </c>
      <c r="L3546" s="53">
        <f>Tabela6[[#This Row],[CUSTO TOTAL]]/Tabela6[[#This Row],[CONSUMO]]</f>
        <v>5.49</v>
      </c>
      <c r="M3546" s="53" t="e" cm="1">
        <f t="array" ref="M3546">SE</f>
        <v>#NAME?</v>
      </c>
      <c r="N3546" s="49" t="e">
        <f>Tabela6[[#This Row],[KM Rodados ]]/Tabela6[[#This Row],[CONSUMO]]</f>
        <v>#NAME?</v>
      </c>
    </row>
    <row r="3547" spans="1:14" x14ac:dyDescent="0.25">
      <c r="A3547" s="47">
        <v>233217</v>
      </c>
      <c r="B3547" s="78">
        <v>45296</v>
      </c>
      <c r="C3547" s="47" t="s">
        <v>40</v>
      </c>
      <c r="D3547" s="49" t="s">
        <v>262</v>
      </c>
      <c r="E3547" s="47">
        <v>177667</v>
      </c>
      <c r="G3547" s="50" t="s">
        <v>244</v>
      </c>
      <c r="H3547" s="51">
        <v>38.590000000000003</v>
      </c>
      <c r="J3547" s="51">
        <v>5.49</v>
      </c>
      <c r="K3547" s="74">
        <f>Tabela6[[#This Row],[CONSUMO]]*Tabela6[[#This Row],[VALOR UNIT]]-Tabela6[[#This Row],[DESCONTO]]</f>
        <v>211.85910000000004</v>
      </c>
      <c r="L3547" s="53">
        <f>Tabela6[[#This Row],[CUSTO TOTAL]]/Tabela6[[#This Row],[CONSUMO]]</f>
        <v>5.49</v>
      </c>
      <c r="M3547" s="53" t="e" cm="1">
        <f t="array" ref="M3547">SE</f>
        <v>#NAME?</v>
      </c>
      <c r="N3547" s="49" t="e">
        <f>Tabela6[[#This Row],[KM Rodados ]]/Tabela6[[#This Row],[CONSUMO]]</f>
        <v>#NAME?</v>
      </c>
    </row>
    <row r="3548" spans="1:14" x14ac:dyDescent="0.25">
      <c r="A3548" s="47">
        <v>131754</v>
      </c>
      <c r="B3548" s="78">
        <v>45296</v>
      </c>
      <c r="C3548" s="47" t="s">
        <v>315</v>
      </c>
      <c r="D3548" s="49" t="s">
        <v>253</v>
      </c>
      <c r="E3548" s="47">
        <v>12843</v>
      </c>
      <c r="G3548" s="50" t="s">
        <v>89</v>
      </c>
      <c r="H3548" s="51">
        <v>44.2</v>
      </c>
      <c r="J3548" s="51">
        <v>6.09</v>
      </c>
      <c r="K3548" s="74">
        <f>Tabela6[[#This Row],[CONSUMO]]*Tabela6[[#This Row],[VALOR UNIT]]-Tabela6[[#This Row],[DESCONTO]]</f>
        <v>269.178</v>
      </c>
      <c r="L3548" s="53">
        <f>Tabela6[[#This Row],[CUSTO TOTAL]]/Tabela6[[#This Row],[CONSUMO]]</f>
        <v>6.09</v>
      </c>
      <c r="M3548" s="50">
        <f>Tabela6[[#This Row],[KM ATUAL]]-E3506</f>
        <v>-296690</v>
      </c>
      <c r="N3548" s="51">
        <f>Tabela6[[#This Row],[KM Rodados ]]/Tabela6[[#This Row],[CONSUMO]]</f>
        <v>-6712.443438914027</v>
      </c>
    </row>
    <row r="3549" spans="1:14" x14ac:dyDescent="0.25">
      <c r="A3549" s="47">
        <v>233253</v>
      </c>
      <c r="B3549" s="78">
        <v>45296</v>
      </c>
      <c r="C3549" s="47" t="s">
        <v>354</v>
      </c>
      <c r="D3549" s="49" t="s">
        <v>262</v>
      </c>
      <c r="E3549" s="47">
        <v>13315</v>
      </c>
      <c r="G3549" s="50" t="s">
        <v>241</v>
      </c>
      <c r="H3549" s="51">
        <v>19.585000000000001</v>
      </c>
      <c r="I3549" s="49">
        <v>7.05</v>
      </c>
      <c r="J3549" s="51">
        <v>3.69</v>
      </c>
      <c r="K3549" s="74">
        <f>Tabela6[[#This Row],[CONSUMO]]*Tabela6[[#This Row],[VALOR UNIT]]-Tabela6[[#This Row],[DESCONTO]]</f>
        <v>65.218650000000011</v>
      </c>
      <c r="L3549" s="53">
        <f>Tabela6[[#This Row],[CUSTO TOTAL]]/Tabela6[[#This Row],[CONSUMO]]</f>
        <v>3.33003063569058</v>
      </c>
      <c r="M3549" s="53"/>
      <c r="N3549" s="49"/>
    </row>
    <row r="3550" spans="1:14" x14ac:dyDescent="0.25">
      <c r="A3550" s="47">
        <v>364497</v>
      </c>
      <c r="B3550" s="78">
        <v>45297</v>
      </c>
      <c r="C3550" s="47" t="s">
        <v>14</v>
      </c>
      <c r="D3550" s="49" t="s">
        <v>276</v>
      </c>
      <c r="E3550" s="47">
        <v>310358</v>
      </c>
      <c r="G3550" s="50" t="s">
        <v>244</v>
      </c>
      <c r="H3550" s="51">
        <v>29.158999999999999</v>
      </c>
      <c r="J3550" s="51">
        <v>5.59</v>
      </c>
      <c r="K3550" s="74">
        <f>Tabela6[[#This Row],[CONSUMO]]*Tabela6[[#This Row],[VALOR UNIT]]-Tabela6[[#This Row],[DESCONTO]]</f>
        <v>162.99880999999999</v>
      </c>
      <c r="L3550" s="53">
        <f>Tabela6[[#This Row],[CUSTO TOTAL]]/Tabela6[[#This Row],[CONSUMO]]</f>
        <v>5.59</v>
      </c>
      <c r="M3550" s="53" t="e" cm="1">
        <f t="array" ref="M3550">SE</f>
        <v>#NAME?</v>
      </c>
      <c r="N3550" s="49" t="e">
        <f>Tabela6[[#This Row],[KM Rodados ]]/Tabela6[[#This Row],[CONSUMO]]</f>
        <v>#NAME?</v>
      </c>
    </row>
    <row r="3551" spans="1:14" x14ac:dyDescent="0.25">
      <c r="A3551" s="47">
        <v>364780</v>
      </c>
      <c r="B3551" s="78">
        <v>45298</v>
      </c>
      <c r="C3551" s="47" t="s">
        <v>73</v>
      </c>
      <c r="D3551" s="49" t="s">
        <v>276</v>
      </c>
      <c r="E3551" s="47">
        <v>171527</v>
      </c>
      <c r="G3551" s="50" t="s">
        <v>241</v>
      </c>
      <c r="H3551" s="51">
        <v>25.411000000000001</v>
      </c>
      <c r="J3551" s="51">
        <v>3.69</v>
      </c>
      <c r="K3551" s="74">
        <f>Tabela6[[#This Row],[CONSUMO]]*Tabela6[[#This Row],[VALOR UNIT]]-Tabela6[[#This Row],[DESCONTO]]</f>
        <v>93.766590000000008</v>
      </c>
      <c r="L3551" s="53">
        <f>Tabela6[[#This Row],[CUSTO TOTAL]]/Tabela6[[#This Row],[CONSUMO]]</f>
        <v>3.69</v>
      </c>
      <c r="M3551" s="53" t="e">
        <f t="array" ref="M3551">SE</f>
        <v>#NAME?</v>
      </c>
      <c r="N3551" s="49" t="e">
        <f>Tabela6[[#This Row],[KM Rodados ]]/Tabela6[[#This Row],[CONSUMO]]</f>
        <v>#NAME?</v>
      </c>
    </row>
    <row r="3552" spans="1:14" x14ac:dyDescent="0.25">
      <c r="A3552" s="47">
        <v>405675</v>
      </c>
      <c r="B3552" s="78">
        <v>45298</v>
      </c>
      <c r="C3552" s="47" t="s">
        <v>301</v>
      </c>
      <c r="D3552" s="49" t="s">
        <v>281</v>
      </c>
      <c r="E3552" s="47">
        <v>1080550</v>
      </c>
      <c r="G3552" s="50" t="s">
        <v>89</v>
      </c>
      <c r="H3552" s="51">
        <v>291.74700000000001</v>
      </c>
      <c r="I3552" s="49">
        <v>294.66000000000003</v>
      </c>
      <c r="J3552" s="51">
        <v>6.9</v>
      </c>
      <c r="K3552" s="74">
        <f>Tabela6[[#This Row],[CONSUMO]]*Tabela6[[#This Row],[VALOR UNIT]]-Tabela6[[#This Row],[DESCONTO]]</f>
        <v>1718.3943000000002</v>
      </c>
      <c r="L3552" s="53">
        <f>Tabela6[[#This Row],[CUSTO TOTAL]]/Tabela6[[#This Row],[CONSUMO]]</f>
        <v>5.8900153214943085</v>
      </c>
      <c r="M3552" s="50">
        <f>Tabela6[[#This Row],[KM ATUAL]]-E3521</f>
        <v>911296</v>
      </c>
      <c r="N3552" s="51">
        <f>Tabela6[[#This Row],[KM Rodados ]]/Tabela6[[#This Row],[CONSUMO]]</f>
        <v>3123.5831045392069</v>
      </c>
    </row>
    <row r="3553" spans="1:14" x14ac:dyDescent="0.25">
      <c r="A3553" s="47">
        <v>651539</v>
      </c>
      <c r="B3553" s="78">
        <v>45298</v>
      </c>
      <c r="C3553" s="47" t="s">
        <v>301</v>
      </c>
      <c r="D3553" s="49" t="s">
        <v>275</v>
      </c>
      <c r="E3553" s="47">
        <v>1080370</v>
      </c>
      <c r="G3553" s="50" t="s">
        <v>89</v>
      </c>
      <c r="H3553" s="51">
        <v>235.01</v>
      </c>
      <c r="J3553" s="51">
        <v>5.87</v>
      </c>
      <c r="K3553" s="74">
        <f>Tabela6[[#This Row],[CONSUMO]]*Tabela6[[#This Row],[VALOR UNIT]]-Tabela6[[#This Row],[DESCONTO]]</f>
        <v>1379.5086999999999</v>
      </c>
      <c r="L3553" s="53">
        <f>Tabela6[[#This Row],[CUSTO TOTAL]]/Tabela6[[#This Row],[CONSUMO]]</f>
        <v>5.8699999999999992</v>
      </c>
      <c r="M3553" s="50">
        <f>Tabela6[[#This Row],[KM ATUAL]]-E3552</f>
        <v>-180</v>
      </c>
      <c r="N3553" s="51">
        <f>Tabela6[[#This Row],[KM Rodados ]]/Tabela6[[#This Row],[CONSUMO]]</f>
        <v>-0.76592485426152079</v>
      </c>
    </row>
    <row r="3554" spans="1:14" x14ac:dyDescent="0.25">
      <c r="A3554" s="47">
        <v>9109</v>
      </c>
      <c r="B3554" s="78">
        <v>45299</v>
      </c>
      <c r="C3554" s="47" t="s">
        <v>68</v>
      </c>
      <c r="D3554" s="49" t="s">
        <v>299</v>
      </c>
      <c r="E3554" s="47">
        <v>944753</v>
      </c>
      <c r="G3554" s="50" t="s">
        <v>89</v>
      </c>
      <c r="H3554" s="51">
        <v>475</v>
      </c>
      <c r="J3554" s="51">
        <v>5.15</v>
      </c>
      <c r="K3554" s="74">
        <f>Tabela6[[#This Row],[CONSUMO]]*Tabela6[[#This Row],[VALOR UNIT]]-Tabela6[[#This Row],[DESCONTO]]</f>
        <v>2446.25</v>
      </c>
      <c r="L3554" s="53">
        <f>Tabela6[[#This Row],[CUSTO TOTAL]]/Tabela6[[#This Row],[CONSUMO]]</f>
        <v>5.15</v>
      </c>
      <c r="M3554" s="50">
        <f>Tabela6[[#This Row],[KM ATUAL]]-E3497</f>
        <v>271663</v>
      </c>
      <c r="N3554" s="51">
        <f>Tabela6[[#This Row],[KM Rodados ]]/Tabela6[[#This Row],[CONSUMO]]</f>
        <v>571.92210526315785</v>
      </c>
    </row>
    <row r="3555" spans="1:14" x14ac:dyDescent="0.25">
      <c r="A3555" s="47">
        <v>9109</v>
      </c>
      <c r="B3555" s="78">
        <v>45299</v>
      </c>
      <c r="C3555" s="47" t="s">
        <v>43</v>
      </c>
      <c r="D3555" s="49" t="s">
        <v>299</v>
      </c>
      <c r="E3555" s="47">
        <v>170100</v>
      </c>
      <c r="G3555" s="50" t="s">
        <v>89</v>
      </c>
      <c r="H3555" s="51">
        <v>32</v>
      </c>
      <c r="J3555" s="51">
        <v>5.15</v>
      </c>
      <c r="K3555" s="74">
        <f>Tabela6[[#This Row],[CONSUMO]]*Tabela6[[#This Row],[VALOR UNIT]]-Tabela6[[#This Row],[DESCONTO]]</f>
        <v>164.8</v>
      </c>
      <c r="L3555" s="53">
        <f>Tabela6[[#This Row],[CUSTO TOTAL]]/Tabela6[[#This Row],[CONSUMO]]</f>
        <v>5.15</v>
      </c>
      <c r="M3555" s="50">
        <f>Tabela6[[#This Row],[KM ATUAL]]-E3540</f>
        <v>37448</v>
      </c>
      <c r="N3555" s="49">
        <f>Tabela6[[#This Row],[KM Rodados ]]/Tabela6[[#This Row],[CONSUMO]]</f>
        <v>1170.25</v>
      </c>
    </row>
    <row r="3556" spans="1:14" x14ac:dyDescent="0.25">
      <c r="A3556" s="47">
        <v>234307</v>
      </c>
      <c r="B3556" s="78">
        <v>45299</v>
      </c>
      <c r="C3556" s="47" t="s">
        <v>43</v>
      </c>
      <c r="D3556" s="49" t="s">
        <v>262</v>
      </c>
      <c r="E3556" s="47">
        <v>170216</v>
      </c>
      <c r="G3556" s="50" t="s">
        <v>89</v>
      </c>
      <c r="H3556" s="51">
        <v>19.28</v>
      </c>
      <c r="J3556" s="51">
        <v>5.99</v>
      </c>
      <c r="K3556" s="74">
        <f>Tabela6[[#This Row],[CONSUMO]]*Tabela6[[#This Row],[VALOR UNIT]]-Tabela6[[#This Row],[DESCONTO]]</f>
        <v>115.48720000000002</v>
      </c>
      <c r="L3556" s="53">
        <f>Tabela6[[#This Row],[CUSTO TOTAL]]/Tabela6[[#This Row],[CONSUMO]]</f>
        <v>5.99</v>
      </c>
      <c r="M3556" s="50">
        <f>Tabela6[[#This Row],[KM ATUAL]]-E3555</f>
        <v>116</v>
      </c>
      <c r="N3556" s="51">
        <f>Tabela6[[#This Row],[KM Rodados ]]/Tabela6[[#This Row],[CONSUMO]]</f>
        <v>6.0165975103734439</v>
      </c>
    </row>
    <row r="3557" spans="1:14" x14ac:dyDescent="0.25">
      <c r="A3557" s="47">
        <v>9109</v>
      </c>
      <c r="B3557" s="78">
        <v>45299</v>
      </c>
      <c r="C3557" s="47" t="s">
        <v>394</v>
      </c>
      <c r="D3557" s="49" t="s">
        <v>299</v>
      </c>
      <c r="E3557" s="47">
        <v>881955</v>
      </c>
      <c r="G3557" s="50" t="s">
        <v>89</v>
      </c>
      <c r="H3557" s="51">
        <v>107</v>
      </c>
      <c r="J3557" s="51">
        <v>5.15</v>
      </c>
      <c r="K3557" s="74">
        <f>Tabela6[[#This Row],[CONSUMO]]*Tabela6[[#This Row],[VALOR UNIT]]-Tabela6[[#This Row],[DESCONTO]]</f>
        <v>551.05000000000007</v>
      </c>
      <c r="L3557" s="53">
        <f>Tabela6[[#This Row],[CUSTO TOTAL]]/Tabela6[[#This Row],[CONSUMO]]</f>
        <v>5.15</v>
      </c>
      <c r="M3557" s="51">
        <f>Tabela6[[#This Row],[KM ATUAL]]-E3512</f>
        <v>766435</v>
      </c>
      <c r="N3557" s="51">
        <f>Tabela6[[#This Row],[KM Rodados ]]/Tabela6[[#This Row],[CONSUMO]]</f>
        <v>7162.9439252336451</v>
      </c>
    </row>
    <row r="3558" spans="1:14" x14ac:dyDescent="0.25">
      <c r="A3558" s="47">
        <v>12180</v>
      </c>
      <c r="B3558" s="78">
        <v>45299</v>
      </c>
      <c r="C3558" s="47" t="s">
        <v>9</v>
      </c>
      <c r="D3558" s="49" t="s">
        <v>300</v>
      </c>
      <c r="E3558" s="47">
        <v>642651</v>
      </c>
      <c r="G3558" s="50" t="s">
        <v>89</v>
      </c>
      <c r="H3558" s="51">
        <v>134.24</v>
      </c>
      <c r="J3558" s="51">
        <v>5.79</v>
      </c>
      <c r="K3558" s="74">
        <f>Tabela6[[#This Row],[CONSUMO]]*Tabela6[[#This Row],[VALOR UNIT]]-Tabela6[[#This Row],[DESCONTO]]</f>
        <v>777.2496000000001</v>
      </c>
      <c r="L3558" s="53">
        <f>Tabela6[[#This Row],[CUSTO TOTAL]]/Tabela6[[#This Row],[CONSUMO]]</f>
        <v>5.79</v>
      </c>
      <c r="M3558" s="50">
        <f>Tabela6[[#This Row],[KM ATUAL]]-E3515</f>
        <v>301552</v>
      </c>
      <c r="N3558" s="51">
        <f>Tabela6[[#This Row],[KM Rodados ]]/Tabela6[[#This Row],[CONSUMO]]</f>
        <v>2246.3647199046482</v>
      </c>
    </row>
    <row r="3559" spans="1:14" x14ac:dyDescent="0.25">
      <c r="A3559" s="47">
        <v>9109</v>
      </c>
      <c r="B3559" s="78">
        <v>45299</v>
      </c>
      <c r="C3559" s="47" t="s">
        <v>72</v>
      </c>
      <c r="D3559" s="49" t="s">
        <v>299</v>
      </c>
      <c r="E3559" s="47">
        <v>434692</v>
      </c>
      <c r="G3559" s="50" t="s">
        <v>89</v>
      </c>
      <c r="H3559" s="51">
        <v>41</v>
      </c>
      <c r="J3559" s="51">
        <v>5.15</v>
      </c>
      <c r="K3559" s="74">
        <f>Tabela6[[#This Row],[CONSUMO]]*Tabela6[[#This Row],[VALOR UNIT]]-Tabela6[[#This Row],[DESCONTO]]</f>
        <v>211.15</v>
      </c>
      <c r="L3559" s="53">
        <f>Tabela6[[#This Row],[CUSTO TOTAL]]/Tabela6[[#This Row],[CONSUMO]]</f>
        <v>5.15</v>
      </c>
      <c r="M3559" s="50">
        <f>Tabela6[[#This Row],[KM ATUAL]]-E3513</f>
        <v>185142</v>
      </c>
      <c r="N3559" s="51">
        <f>Tabela6[[#This Row],[KM Rodados ]]/Tabela6[[#This Row],[CONSUMO]]</f>
        <v>4515.6585365853662</v>
      </c>
    </row>
    <row r="3560" spans="1:14" x14ac:dyDescent="0.25">
      <c r="A3560" s="47">
        <v>1258323</v>
      </c>
      <c r="B3560" s="78">
        <v>45299</v>
      </c>
      <c r="C3560" s="47" t="s">
        <v>73</v>
      </c>
      <c r="D3560" s="49" t="s">
        <v>403</v>
      </c>
      <c r="E3560" s="47">
        <v>171587</v>
      </c>
      <c r="G3560" s="50" t="s">
        <v>89</v>
      </c>
      <c r="H3560" s="51">
        <v>357.44</v>
      </c>
      <c r="J3560" s="51">
        <v>5.28</v>
      </c>
      <c r="K3560" s="74">
        <f>Tabela6[[#This Row],[CONSUMO]]*Tabela6[[#This Row],[VALOR UNIT]]-Tabela6[[#This Row],[DESCONTO]]</f>
        <v>1887.2832000000001</v>
      </c>
      <c r="L3560" s="53">
        <f>Tabela6[[#This Row],[CUSTO TOTAL]]/Tabela6[[#This Row],[CONSUMO]]</f>
        <v>5.28</v>
      </c>
      <c r="M3560" s="50">
        <f>Tabela6[[#This Row],[KM ATUAL]]-E3536</f>
        <v>-60972</v>
      </c>
      <c r="N3560" s="51">
        <f>Tabela6[[#This Row],[KM Rodados ]]/Tabela6[[#This Row],[CONSUMO]]</f>
        <v>-170.57967770814682</v>
      </c>
    </row>
    <row r="3561" spans="1:14" x14ac:dyDescent="0.25">
      <c r="A3561" s="47">
        <v>1258323</v>
      </c>
      <c r="B3561" s="78">
        <v>45299</v>
      </c>
      <c r="C3561" s="47" t="s">
        <v>73</v>
      </c>
      <c r="D3561" s="49" t="s">
        <v>403</v>
      </c>
      <c r="E3561" s="47">
        <v>14887</v>
      </c>
      <c r="G3561" s="50" t="s">
        <v>241</v>
      </c>
      <c r="H3561" s="51">
        <v>22.51</v>
      </c>
      <c r="J3561" s="51">
        <v>2.85</v>
      </c>
      <c r="K3561" s="74">
        <f>Tabela6[[#This Row],[CONSUMO]]*Tabela6[[#This Row],[VALOR UNIT]]-Tabela6[[#This Row],[DESCONTO]]</f>
        <v>64.153500000000008</v>
      </c>
      <c r="L3561" s="53">
        <f>Tabela6[[#This Row],[CUSTO TOTAL]]/Tabela6[[#This Row],[CONSUMO]]</f>
        <v>2.85</v>
      </c>
      <c r="M3561" s="53"/>
      <c r="N3561" s="49"/>
    </row>
    <row r="3562" spans="1:14" x14ac:dyDescent="0.25">
      <c r="A3562" s="47">
        <v>9109</v>
      </c>
      <c r="B3562" s="78">
        <v>45299</v>
      </c>
      <c r="C3562" s="47" t="s">
        <v>73</v>
      </c>
      <c r="D3562" s="49" t="s">
        <v>299</v>
      </c>
      <c r="E3562" s="47">
        <v>171834</v>
      </c>
      <c r="G3562" s="50" t="s">
        <v>89</v>
      </c>
      <c r="H3562" s="51">
        <v>103</v>
      </c>
      <c r="J3562" s="51">
        <v>5.15</v>
      </c>
      <c r="K3562" s="74">
        <f>Tabela6[[#This Row],[CONSUMO]]*Tabela6[[#This Row],[VALOR UNIT]]-Tabela6[[#This Row],[DESCONTO]]</f>
        <v>530.45000000000005</v>
      </c>
      <c r="L3562" s="53">
        <f>Tabela6[[#This Row],[CUSTO TOTAL]]/Tabela6[[#This Row],[CONSUMO]]</f>
        <v>5.15</v>
      </c>
      <c r="M3562" s="50">
        <f>Tabela6[[#This Row],[KM ATUAL]]-E3553</f>
        <v>-908536</v>
      </c>
      <c r="N3562" s="51">
        <f>Tabela6[[#This Row],[KM Rodados ]]/Tabela6[[#This Row],[CONSUMO]]</f>
        <v>-8820.7378640776697</v>
      </c>
    </row>
    <row r="3563" spans="1:14" x14ac:dyDescent="0.25">
      <c r="A3563" s="47">
        <v>9541</v>
      </c>
      <c r="B3563" s="78">
        <v>45299</v>
      </c>
      <c r="C3563" s="47" t="s">
        <v>41</v>
      </c>
      <c r="D3563" s="49" t="s">
        <v>396</v>
      </c>
      <c r="E3563" s="47">
        <v>692939</v>
      </c>
      <c r="G3563" s="50" t="s">
        <v>89</v>
      </c>
      <c r="H3563" s="51">
        <v>178.1</v>
      </c>
      <c r="J3563" s="51">
        <v>6.08</v>
      </c>
      <c r="K3563" s="74">
        <f>Tabela6[[#This Row],[CONSUMO]]*Tabela6[[#This Row],[VALOR UNIT]]-Tabela6[[#This Row],[DESCONTO]]</f>
        <v>1082.848</v>
      </c>
      <c r="L3563" s="53">
        <f>Tabela6[[#This Row],[CUSTO TOTAL]]/Tabela6[[#This Row],[CONSUMO]]</f>
        <v>6.08</v>
      </c>
      <c r="M3563" s="53" t="e">
        <f t="array" ref="M3563">SE</f>
        <v>#NAME?</v>
      </c>
      <c r="N3563" s="49" t="e">
        <f>Tabela6[[#This Row],[KM Rodados ]]/Tabela6[[#This Row],[CONSUMO]]</f>
        <v>#NAME?</v>
      </c>
    </row>
    <row r="3564" spans="1:14" x14ac:dyDescent="0.25">
      <c r="A3564" s="47">
        <v>2914663</v>
      </c>
      <c r="B3564" s="78">
        <v>45299</v>
      </c>
      <c r="C3564" s="47" t="s">
        <v>301</v>
      </c>
      <c r="D3564" s="49" t="s">
        <v>400</v>
      </c>
      <c r="E3564" s="47">
        <v>1081012</v>
      </c>
      <c r="G3564" s="50" t="s">
        <v>89</v>
      </c>
      <c r="H3564" s="51">
        <v>100</v>
      </c>
      <c r="I3564" s="49">
        <v>91</v>
      </c>
      <c r="J3564" s="51">
        <v>6.9</v>
      </c>
      <c r="K3564" s="74">
        <f>Tabela6[[#This Row],[CONSUMO]]*Tabela6[[#This Row],[VALOR UNIT]]-Tabela6[[#This Row],[DESCONTO]]</f>
        <v>599</v>
      </c>
      <c r="L3564" s="53">
        <f>Tabela6[[#This Row],[CUSTO TOTAL]]/Tabela6[[#This Row],[CONSUMO]]</f>
        <v>5.99</v>
      </c>
      <c r="M3564" s="50">
        <f>Tabela6[[#This Row],[KM ATUAL]]-E3562</f>
        <v>909178</v>
      </c>
      <c r="N3564" s="51">
        <f>Tabela6[[#This Row],[KM Rodados ]]/Tabela6[[#This Row],[CONSUMO]]</f>
        <v>9091.7800000000007</v>
      </c>
    </row>
    <row r="3565" spans="1:14" x14ac:dyDescent="0.25">
      <c r="A3565" s="47">
        <v>9109</v>
      </c>
      <c r="B3565" s="78">
        <v>45299</v>
      </c>
      <c r="C3565" s="47" t="s">
        <v>13</v>
      </c>
      <c r="D3565" s="49" t="s">
        <v>299</v>
      </c>
      <c r="E3565" s="47">
        <v>673504</v>
      </c>
      <c r="G3565" s="50" t="s">
        <v>89</v>
      </c>
      <c r="H3565" s="51">
        <v>88</v>
      </c>
      <c r="J3565" s="51">
        <v>5.15</v>
      </c>
      <c r="K3565" s="74">
        <f>Tabela6[[#This Row],[CONSUMO]]*Tabela6[[#This Row],[VALOR UNIT]]-Tabela6[[#This Row],[DESCONTO]]</f>
        <v>453.20000000000005</v>
      </c>
      <c r="L3565" s="53">
        <f>Tabela6[[#This Row],[CUSTO TOTAL]]/Tabela6[[#This Row],[CONSUMO]]</f>
        <v>5.15</v>
      </c>
      <c r="M3565" s="50">
        <f>Tabela6[[#This Row],[KM ATUAL]]-E3479</f>
        <v>-402193</v>
      </c>
      <c r="N3565" s="51">
        <f>Tabela6[[#This Row],[KM Rodados ]]/Tabela6[[#This Row],[CONSUMO]]</f>
        <v>-4570.375</v>
      </c>
    </row>
    <row r="3566" spans="1:14" x14ac:dyDescent="0.25">
      <c r="B3566" s="78">
        <v>45299</v>
      </c>
      <c r="C3566" s="47" t="s">
        <v>14</v>
      </c>
      <c r="D3566" s="49" t="s">
        <v>262</v>
      </c>
      <c r="E3566" s="47">
        <v>310716</v>
      </c>
      <c r="G3566" s="50" t="s">
        <v>244</v>
      </c>
      <c r="H3566" s="51">
        <v>30.811</v>
      </c>
      <c r="J3566" s="51">
        <v>5.49</v>
      </c>
      <c r="K3566" s="74">
        <f>Tabela6[[#This Row],[CONSUMO]]*Tabela6[[#This Row],[VALOR UNIT]]-Tabela6[[#This Row],[DESCONTO]]</f>
        <v>169.15239</v>
      </c>
      <c r="L3566" s="53">
        <f>Tabela6[[#This Row],[CUSTO TOTAL]]/Tabela6[[#This Row],[CONSUMO]]</f>
        <v>5.49</v>
      </c>
      <c r="M3566" s="53" t="e" cm="1">
        <f t="array" ref="M3566">SE</f>
        <v>#NAME?</v>
      </c>
      <c r="N3566" s="49" t="e">
        <f>Tabela6[[#This Row],[KM Rodados ]]/Tabela6[[#This Row],[CONSUMO]]</f>
        <v>#NAME?</v>
      </c>
    </row>
    <row r="3567" spans="1:14" x14ac:dyDescent="0.25">
      <c r="A3567" s="47">
        <v>595386</v>
      </c>
      <c r="B3567" s="78">
        <v>45299</v>
      </c>
      <c r="C3567" s="47" t="s">
        <v>16</v>
      </c>
      <c r="D3567" s="49" t="s">
        <v>255</v>
      </c>
      <c r="E3567" s="47">
        <v>312779</v>
      </c>
      <c r="G3567" s="50" t="s">
        <v>89</v>
      </c>
      <c r="H3567" s="51">
        <v>114.19</v>
      </c>
      <c r="J3567" s="51">
        <v>6.16</v>
      </c>
      <c r="K3567" s="74">
        <f>Tabela6[[#This Row],[CONSUMO]]*Tabela6[[#This Row],[VALOR UNIT]]-Tabela6[[#This Row],[DESCONTO]]</f>
        <v>703.41039999999998</v>
      </c>
      <c r="L3567" s="53">
        <f>Tabela6[[#This Row],[CUSTO TOTAL]]/Tabela6[[#This Row],[CONSUMO]]</f>
        <v>6.16</v>
      </c>
      <c r="M3567" s="53" t="e">
        <f t="array" ref="M3567">SE</f>
        <v>#NAME?</v>
      </c>
      <c r="N3567" s="49" t="e">
        <f>Tabela6[[#This Row],[KM Rodados ]]/Tabela6[[#This Row],[CONSUMO]]</f>
        <v>#NAME?</v>
      </c>
    </row>
    <row r="3568" spans="1:14" x14ac:dyDescent="0.25">
      <c r="A3568" s="47">
        <v>234118</v>
      </c>
      <c r="B3568" s="78">
        <v>45299</v>
      </c>
      <c r="C3568" s="47" t="s">
        <v>17</v>
      </c>
      <c r="D3568" s="49" t="s">
        <v>262</v>
      </c>
      <c r="E3568" s="47">
        <v>388565</v>
      </c>
      <c r="G3568" s="50" t="s">
        <v>241</v>
      </c>
      <c r="H3568" s="51">
        <v>25.414000000000001</v>
      </c>
      <c r="I3568" s="49">
        <v>9.15</v>
      </c>
      <c r="J3568" s="51">
        <v>3.69</v>
      </c>
      <c r="K3568" s="74">
        <f>Tabela6[[#This Row],[CONSUMO]]*Tabela6[[#This Row],[VALOR UNIT]]-Tabela6[[#This Row],[DESCONTO]]</f>
        <v>84.627659999999992</v>
      </c>
      <c r="L3568" s="53">
        <f>Tabela6[[#This Row],[CUSTO TOTAL]]/Tabela6[[#This Row],[CONSUMO]]</f>
        <v>3.3299622255449748</v>
      </c>
      <c r="M3568" s="53"/>
      <c r="N3568" s="49"/>
    </row>
    <row r="3569" spans="1:14" x14ac:dyDescent="0.25">
      <c r="A3569" s="47">
        <v>9109</v>
      </c>
      <c r="B3569" s="78">
        <v>45299</v>
      </c>
      <c r="C3569" s="47" t="s">
        <v>17</v>
      </c>
      <c r="D3569" s="49" t="s">
        <v>299</v>
      </c>
      <c r="E3569" s="47">
        <v>388560</v>
      </c>
      <c r="G3569" s="50" t="s">
        <v>89</v>
      </c>
      <c r="H3569" s="51">
        <v>232</v>
      </c>
      <c r="J3569" s="51">
        <v>5.15</v>
      </c>
      <c r="K3569" s="74">
        <f>Tabela6[[#This Row],[CONSUMO]]*Tabela6[[#This Row],[VALOR UNIT]]-Tabela6[[#This Row],[DESCONTO]]</f>
        <v>1194.8000000000002</v>
      </c>
      <c r="L3569" s="53">
        <f>Tabela6[[#This Row],[CUSTO TOTAL]]/Tabela6[[#This Row],[CONSUMO]]</f>
        <v>5.15</v>
      </c>
      <c r="M3569" s="50">
        <f>Tabela6[[#This Row],[KM ATUAL]]-E3473</f>
        <v>-686273</v>
      </c>
      <c r="N3569" s="51">
        <f>Tabela6[[#This Row],[KM Rodados ]]/Tabela6[[#This Row],[CONSUMO]]</f>
        <v>-2958.0732758620688</v>
      </c>
    </row>
    <row r="3570" spans="1:14" x14ac:dyDescent="0.25">
      <c r="A3570" s="47">
        <v>595343</v>
      </c>
      <c r="B3570" s="78">
        <v>45299</v>
      </c>
      <c r="C3570" s="47" t="s">
        <v>18</v>
      </c>
      <c r="D3570" s="49" t="s">
        <v>255</v>
      </c>
      <c r="E3570" s="47">
        <v>341579</v>
      </c>
      <c r="G3570" s="50" t="s">
        <v>89</v>
      </c>
      <c r="H3570" s="51">
        <v>55.720999999999997</v>
      </c>
      <c r="J3570" s="51">
        <v>6.26</v>
      </c>
      <c r="K3570" s="74">
        <f>Tabela6[[#This Row],[CONSUMO]]*Tabela6[[#This Row],[VALOR UNIT]]-Tabela6[[#This Row],[DESCONTO]]</f>
        <v>348.81345999999996</v>
      </c>
      <c r="L3570" s="53">
        <f>Tabela6[[#This Row],[CUSTO TOTAL]]/Tabela6[[#This Row],[CONSUMO]]</f>
        <v>6.26</v>
      </c>
      <c r="M3570" s="50">
        <f>Tabela6[[#This Row],[KM ATUAL]]-E3514</f>
        <v>-736900</v>
      </c>
      <c r="N3570" s="51">
        <f>Tabela6[[#This Row],[KM Rodados ]]/Tabela6[[#This Row],[CONSUMO]]</f>
        <v>-13224.816496473502</v>
      </c>
    </row>
    <row r="3571" spans="1:14" x14ac:dyDescent="0.25">
      <c r="A3571" s="47">
        <v>234090</v>
      </c>
      <c r="B3571" s="78">
        <v>45299</v>
      </c>
      <c r="C3571" s="47" t="s">
        <v>20</v>
      </c>
      <c r="D3571" s="49" t="s">
        <v>262</v>
      </c>
      <c r="E3571" s="47">
        <v>290222</v>
      </c>
      <c r="G3571" s="50" t="s">
        <v>89</v>
      </c>
      <c r="H3571" s="51">
        <v>55.441000000000003</v>
      </c>
      <c r="J3571" s="51">
        <v>5.99</v>
      </c>
      <c r="K3571" s="74">
        <f>Tabela6[[#This Row],[CONSUMO]]*Tabela6[[#This Row],[VALOR UNIT]]-Tabela6[[#This Row],[DESCONTO]]</f>
        <v>332.09159000000005</v>
      </c>
      <c r="L3571" s="53">
        <f>Tabela6[[#This Row],[CUSTO TOTAL]]/Tabela6[[#This Row],[CONSUMO]]</f>
        <v>5.9900000000000011</v>
      </c>
      <c r="M3571" s="50">
        <f>Tabela6[[#This Row],[KM ATUAL]]-E3473</f>
        <v>-784611</v>
      </c>
      <c r="N3571" s="51">
        <f>Tabela6[[#This Row],[KM Rodados ]]/Tabela6[[#This Row],[CONSUMO]]</f>
        <v>-14152.179794736747</v>
      </c>
    </row>
    <row r="3572" spans="1:14" x14ac:dyDescent="0.25">
      <c r="A3572" s="47">
        <v>234109</v>
      </c>
      <c r="B3572" s="78">
        <v>45299</v>
      </c>
      <c r="C3572" s="47" t="s">
        <v>40</v>
      </c>
      <c r="D3572" s="49" t="s">
        <v>262</v>
      </c>
      <c r="E3572" s="47">
        <v>178041</v>
      </c>
      <c r="G3572" s="50" t="s">
        <v>244</v>
      </c>
      <c r="H3572" s="51">
        <v>30.96</v>
      </c>
      <c r="J3572" s="51">
        <v>5.49</v>
      </c>
      <c r="K3572" s="74">
        <f>Tabela6[[#This Row],[CONSUMO]]*Tabela6[[#This Row],[VALOR UNIT]]-Tabela6[[#This Row],[DESCONTO]]</f>
        <v>169.97040000000001</v>
      </c>
      <c r="L3572" s="53">
        <f>Tabela6[[#This Row],[CUSTO TOTAL]]/Tabela6[[#This Row],[CONSUMO]]</f>
        <v>5.49</v>
      </c>
      <c r="M3572" s="53" t="e" cm="1">
        <f t="array" ref="M3572">SE</f>
        <v>#NAME?</v>
      </c>
      <c r="N3572" s="49" t="e">
        <f>Tabela6[[#This Row],[KM Rodados ]]/Tabela6[[#This Row],[CONSUMO]]</f>
        <v>#NAME?</v>
      </c>
    </row>
    <row r="3573" spans="1:14" x14ac:dyDescent="0.25">
      <c r="A3573" s="47">
        <v>698124</v>
      </c>
      <c r="B3573" s="78">
        <v>45300</v>
      </c>
      <c r="C3573" s="47" t="s">
        <v>43</v>
      </c>
      <c r="D3573" s="49" t="s">
        <v>233</v>
      </c>
      <c r="E3573" s="47">
        <v>170386</v>
      </c>
      <c r="G3573" s="50" t="s">
        <v>89</v>
      </c>
      <c r="H3573" s="51">
        <v>20.280999999999999</v>
      </c>
      <c r="J3573" s="51">
        <v>6.09</v>
      </c>
      <c r="K3573" s="74">
        <f>Tabela6[[#This Row],[CONSUMO]]*Tabela6[[#This Row],[VALOR UNIT]]-Tabela6[[#This Row],[DESCONTO]]</f>
        <v>123.51128999999999</v>
      </c>
      <c r="L3573" s="53">
        <f>Tabela6[[#This Row],[CUSTO TOTAL]]/Tabela6[[#This Row],[CONSUMO]]</f>
        <v>6.09</v>
      </c>
      <c r="M3573" s="50">
        <f>Tabela6[[#This Row],[KM ATUAL]]-E3558</f>
        <v>-472265</v>
      </c>
      <c r="N3573" s="51">
        <f>Tabela6[[#This Row],[KM Rodados ]]/Tabela6[[#This Row],[CONSUMO]]</f>
        <v>-23286.08056801933</v>
      </c>
    </row>
    <row r="3574" spans="1:14" x14ac:dyDescent="0.25">
      <c r="A3574" s="47">
        <v>1034424</v>
      </c>
      <c r="B3574" s="78">
        <v>45300</v>
      </c>
      <c r="C3574" s="47" t="s">
        <v>43</v>
      </c>
      <c r="D3574" s="49" t="s">
        <v>268</v>
      </c>
      <c r="E3574" s="47">
        <v>170654</v>
      </c>
      <c r="G3574" s="50" t="s">
        <v>89</v>
      </c>
      <c r="H3574" s="51">
        <v>8.65</v>
      </c>
      <c r="J3574" s="51">
        <v>5.79</v>
      </c>
      <c r="K3574" s="74">
        <f>Tabela6[[#This Row],[CONSUMO]]*Tabela6[[#This Row],[VALOR UNIT]]-Tabela6[[#This Row],[DESCONTO]]</f>
        <v>50.083500000000001</v>
      </c>
      <c r="L3574" s="53">
        <f>Tabela6[[#This Row],[CUSTO TOTAL]]/Tabela6[[#This Row],[CONSUMO]]</f>
        <v>5.79</v>
      </c>
      <c r="M3574" s="50">
        <f>Tabela6[[#This Row],[KM ATUAL]]-E3573</f>
        <v>268</v>
      </c>
      <c r="N3574" s="51">
        <f>Tabela6[[#This Row],[KM Rodados ]]/Tabela6[[#This Row],[CONSUMO]]</f>
        <v>30.98265895953757</v>
      </c>
    </row>
    <row r="3575" spans="1:14" x14ac:dyDescent="0.25">
      <c r="A3575" s="47">
        <v>9109</v>
      </c>
      <c r="B3575" s="78">
        <v>45300</v>
      </c>
      <c r="C3575" s="47" t="s">
        <v>394</v>
      </c>
      <c r="D3575" s="49" t="s">
        <v>299</v>
      </c>
      <c r="E3575" s="47">
        <v>882374</v>
      </c>
      <c r="G3575" s="50" t="s">
        <v>89</v>
      </c>
      <c r="H3575" s="51">
        <v>101</v>
      </c>
      <c r="J3575" s="51">
        <v>5.15</v>
      </c>
      <c r="K3575" s="74">
        <f>Tabela6[[#This Row],[CONSUMO]]*Tabela6[[#This Row],[VALOR UNIT]]-Tabela6[[#This Row],[DESCONTO]]</f>
        <v>520.15000000000009</v>
      </c>
      <c r="L3575" s="53">
        <f>Tabela6[[#This Row],[CUSTO TOTAL]]/Tabela6[[#This Row],[CONSUMO]]</f>
        <v>5.1500000000000012</v>
      </c>
      <c r="M3575" s="51">
        <f>Tabela6[[#This Row],[KM ATUAL]]-E3564</f>
        <v>-198638</v>
      </c>
      <c r="N3575" s="51">
        <f>Tabela6[[#This Row],[KM Rodados ]]/Tabela6[[#This Row],[CONSUMO]]</f>
        <v>-1966.7128712871288</v>
      </c>
    </row>
    <row r="3576" spans="1:14" x14ac:dyDescent="0.25">
      <c r="A3576" s="47">
        <v>234551</v>
      </c>
      <c r="B3576" s="78">
        <v>45300</v>
      </c>
      <c r="C3576" s="47" t="s">
        <v>22</v>
      </c>
      <c r="D3576" s="49" t="s">
        <v>262</v>
      </c>
      <c r="E3576" s="47">
        <v>348013</v>
      </c>
      <c r="G3576" s="50" t="s">
        <v>89</v>
      </c>
      <c r="H3576" s="51">
        <v>151.39099999999999</v>
      </c>
      <c r="J3576" s="51">
        <v>5.99</v>
      </c>
      <c r="K3576" s="74">
        <f>Tabela6[[#This Row],[CONSUMO]]*Tabela6[[#This Row],[VALOR UNIT]]-Tabela6[[#This Row],[DESCONTO]]</f>
        <v>906.83208999999999</v>
      </c>
      <c r="L3576" s="53">
        <f>Tabela6[[#This Row],[CUSTO TOTAL]]/Tabela6[[#This Row],[CONSUMO]]</f>
        <v>5.99</v>
      </c>
      <c r="M3576" s="50">
        <f>Tabela6[[#This Row],[KM ATUAL]]-E3537</f>
        <v>636</v>
      </c>
      <c r="N3576" s="51">
        <f>Tabela6[[#This Row],[KM Rodados ]]/Tabela6[[#This Row],[CONSUMO]]</f>
        <v>4.2010423340885525</v>
      </c>
    </row>
    <row r="3577" spans="1:14" x14ac:dyDescent="0.25">
      <c r="A3577" s="47">
        <v>134465</v>
      </c>
      <c r="B3577" s="78">
        <v>45300</v>
      </c>
      <c r="C3577" s="47" t="s">
        <v>10</v>
      </c>
      <c r="D3577" s="49" t="s">
        <v>253</v>
      </c>
      <c r="E3577" s="47">
        <v>739312</v>
      </c>
      <c r="G3577" s="50" t="s">
        <v>89</v>
      </c>
      <c r="H3577" s="51">
        <v>170.53</v>
      </c>
      <c r="J3577" s="51">
        <v>6.09</v>
      </c>
      <c r="K3577" s="74">
        <f>Tabela6[[#This Row],[CONSUMO]]*Tabela6[[#This Row],[VALOR UNIT]]-Tabela6[[#This Row],[DESCONTO]]</f>
        <v>1038.5277000000001</v>
      </c>
      <c r="L3577" s="53">
        <f>Tabela6[[#This Row],[CUSTO TOTAL]]/Tabela6[[#This Row],[CONSUMO]]</f>
        <v>6.0900000000000007</v>
      </c>
      <c r="M3577" s="50">
        <f>Tabela6[[#This Row],[KM ATUAL]]-E3488</f>
        <v>198439</v>
      </c>
      <c r="N3577" s="51">
        <f>Tabela6[[#This Row],[KM Rodados ]]/Tabela6[[#This Row],[CONSUMO]]</f>
        <v>1163.6603530170644</v>
      </c>
    </row>
    <row r="3578" spans="1:14" x14ac:dyDescent="0.25">
      <c r="A3578" s="47">
        <v>9109</v>
      </c>
      <c r="B3578" s="78">
        <v>45300</v>
      </c>
      <c r="C3578" s="47" t="s">
        <v>17</v>
      </c>
      <c r="D3578" s="49" t="s">
        <v>299</v>
      </c>
      <c r="E3578" s="47">
        <v>389263</v>
      </c>
      <c r="G3578" s="50" t="s">
        <v>89</v>
      </c>
      <c r="H3578" s="51">
        <v>163</v>
      </c>
      <c r="J3578" s="51">
        <v>5.15</v>
      </c>
      <c r="K3578" s="74">
        <f>Tabela6[[#This Row],[CONSUMO]]*Tabela6[[#This Row],[VALOR UNIT]]-Tabela6[[#This Row],[DESCONTO]]</f>
        <v>839.45</v>
      </c>
      <c r="L3578" s="53">
        <f>Tabela6[[#This Row],[CUSTO TOTAL]]/Tabela6[[#This Row],[CONSUMO]]</f>
        <v>5.15</v>
      </c>
      <c r="M3578" s="50">
        <f>Tabela6[[#This Row],[KM ATUAL]]-E3561</f>
        <v>374376</v>
      </c>
      <c r="N3578" s="51">
        <f>Tabela6[[#This Row],[KM Rodados ]]/Tabela6[[#This Row],[CONSUMO]]</f>
        <v>2296.7852760736196</v>
      </c>
    </row>
    <row r="3579" spans="1:14" x14ac:dyDescent="0.25">
      <c r="A3579" s="47">
        <v>234390</v>
      </c>
      <c r="B3579" s="78">
        <v>45300</v>
      </c>
      <c r="C3579" s="47" t="s">
        <v>19</v>
      </c>
      <c r="D3579" s="49" t="s">
        <v>262</v>
      </c>
      <c r="E3579" s="47">
        <v>347682</v>
      </c>
      <c r="G3579" s="50" t="s">
        <v>241</v>
      </c>
      <c r="H3579" s="51">
        <v>19.367999999999999</v>
      </c>
      <c r="I3579" s="49">
        <v>6.97</v>
      </c>
      <c r="J3579" s="51">
        <v>3.69</v>
      </c>
      <c r="K3579" s="74">
        <f>Tabela6[[#This Row],[CONSUMO]]*Tabela6[[#This Row],[VALOR UNIT]]-Tabela6[[#This Row],[DESCONTO]]</f>
        <v>64.497919999999993</v>
      </c>
      <c r="L3579" s="53">
        <f>Tabela6[[#This Row],[CUSTO TOTAL]]/Tabela6[[#This Row],[CONSUMO]]</f>
        <v>3.330128046261875</v>
      </c>
      <c r="M3579" s="53"/>
      <c r="N3579" s="49"/>
    </row>
    <row r="3580" spans="1:14" x14ac:dyDescent="0.25">
      <c r="A3580" s="47">
        <v>9109</v>
      </c>
      <c r="B3580" s="78">
        <v>45300</v>
      </c>
      <c r="C3580" s="47" t="s">
        <v>19</v>
      </c>
      <c r="D3580" s="49" t="s">
        <v>299</v>
      </c>
      <c r="E3580" s="47">
        <v>347682</v>
      </c>
      <c r="G3580" s="50" t="s">
        <v>89</v>
      </c>
      <c r="H3580" s="51">
        <v>152</v>
      </c>
      <c r="J3580" s="51">
        <v>5.15</v>
      </c>
      <c r="K3580" s="74">
        <f>Tabela6[[#This Row],[CONSUMO]]*Tabela6[[#This Row],[VALOR UNIT]]-Tabela6[[#This Row],[DESCONTO]]</f>
        <v>782.80000000000007</v>
      </c>
      <c r="L3580" s="53">
        <f>Tabela6[[#This Row],[CUSTO TOTAL]]/Tabela6[[#This Row],[CONSUMO]]</f>
        <v>5.15</v>
      </c>
      <c r="M3580" s="50">
        <f>Tabela6[[#This Row],[KM ATUAL]]-E3481</f>
        <v>-39854</v>
      </c>
      <c r="N3580" s="51">
        <f>Tabela6[[#This Row],[KM Rodados ]]/Tabela6[[#This Row],[CONSUMO]]</f>
        <v>-262.19736842105266</v>
      </c>
    </row>
    <row r="3581" spans="1:14" x14ac:dyDescent="0.25">
      <c r="A3581" s="47">
        <v>9109</v>
      </c>
      <c r="B3581" s="78">
        <v>45300</v>
      </c>
      <c r="C3581" s="47" t="s">
        <v>20</v>
      </c>
      <c r="D3581" s="49" t="s">
        <v>299</v>
      </c>
      <c r="E3581" s="47">
        <v>290687</v>
      </c>
      <c r="G3581" s="50" t="s">
        <v>89</v>
      </c>
      <c r="H3581" s="51">
        <v>45</v>
      </c>
      <c r="J3581" s="51">
        <v>5.15</v>
      </c>
      <c r="K3581" s="74">
        <f>Tabela6[[#This Row],[CONSUMO]]*Tabela6[[#This Row],[VALOR UNIT]]-Tabela6[[#This Row],[DESCONTO]]</f>
        <v>231.75000000000003</v>
      </c>
      <c r="L3581" s="53">
        <f>Tabela6[[#This Row],[CUSTO TOTAL]]/Tabela6[[#This Row],[CONSUMO]]</f>
        <v>5.15</v>
      </c>
      <c r="M3581" s="50">
        <f>Tabela6[[#This Row],[KM ATUAL]]-E3554</f>
        <v>-654066</v>
      </c>
      <c r="N3581" s="51">
        <f>Tabela6[[#This Row],[KM Rodados ]]/Tabela6[[#This Row],[CONSUMO]]</f>
        <v>-14534.8</v>
      </c>
    </row>
    <row r="3582" spans="1:14" x14ac:dyDescent="0.25">
      <c r="A3582" s="47">
        <v>134328</v>
      </c>
      <c r="B3582" s="78">
        <v>45300</v>
      </c>
      <c r="C3582" s="47" t="s">
        <v>315</v>
      </c>
      <c r="D3582" s="49" t="s">
        <v>253</v>
      </c>
      <c r="E3582" s="47">
        <v>13495</v>
      </c>
      <c r="G3582" s="50" t="s">
        <v>89</v>
      </c>
      <c r="H3582" s="51">
        <v>45.74</v>
      </c>
      <c r="J3582" s="51">
        <v>6.09</v>
      </c>
      <c r="K3582" s="74">
        <f>Tabela6[[#This Row],[CONSUMO]]*Tabela6[[#This Row],[VALOR UNIT]]-Tabela6[[#This Row],[DESCONTO]]</f>
        <v>278.5566</v>
      </c>
      <c r="L3582" s="53">
        <f>Tabela6[[#This Row],[CUSTO TOTAL]]/Tabela6[[#This Row],[CONSUMO]]</f>
        <v>6.09</v>
      </c>
      <c r="M3582" s="50">
        <f>Tabela6[[#This Row],[KM ATUAL]]-E3549</f>
        <v>180</v>
      </c>
      <c r="N3582" s="51">
        <f>Tabela6[[#This Row],[KM Rodados ]]/Tabela6[[#This Row],[CONSUMO]]</f>
        <v>3.9352864013992126</v>
      </c>
    </row>
    <row r="3583" spans="1:14" x14ac:dyDescent="0.25">
      <c r="A3583" s="47">
        <v>134328</v>
      </c>
      <c r="B3583" s="78">
        <v>45300</v>
      </c>
      <c r="C3583" s="47" t="s">
        <v>315</v>
      </c>
      <c r="D3583" s="49" t="s">
        <v>253</v>
      </c>
      <c r="E3583" s="47">
        <v>13495</v>
      </c>
      <c r="G3583" s="50" t="s">
        <v>241</v>
      </c>
      <c r="H3583" s="51">
        <v>2.3639999999999999</v>
      </c>
      <c r="J3583" s="51">
        <v>3.49</v>
      </c>
      <c r="K3583" s="74">
        <f>Tabela6[[#This Row],[CONSUMO]]*Tabela6[[#This Row],[VALOR UNIT]]-Tabela6[[#This Row],[DESCONTO]]</f>
        <v>8.2503600000000006</v>
      </c>
      <c r="L3583" s="53">
        <f>Tabela6[[#This Row],[CUSTO TOTAL]]/Tabela6[[#This Row],[CONSUMO]]</f>
        <v>3.49</v>
      </c>
      <c r="M3583" s="53"/>
      <c r="N3583" s="49"/>
    </row>
    <row r="3584" spans="1:14" x14ac:dyDescent="0.25">
      <c r="A3584" s="47">
        <v>22084</v>
      </c>
      <c r="B3584" s="78">
        <v>45301</v>
      </c>
      <c r="C3584" s="47" t="s">
        <v>43</v>
      </c>
      <c r="D3584" s="49" t="s">
        <v>271</v>
      </c>
      <c r="E3584" s="47">
        <v>170434</v>
      </c>
      <c r="G3584" s="50" t="s">
        <v>89</v>
      </c>
      <c r="H3584" s="51">
        <v>17.78</v>
      </c>
      <c r="J3584" s="51">
        <v>5.85</v>
      </c>
      <c r="K3584" s="74">
        <f>Tabela6[[#This Row],[CONSUMO]]*Tabela6[[#This Row],[VALOR UNIT]]-Tabela6[[#This Row],[DESCONTO]]</f>
        <v>104.01300000000001</v>
      </c>
      <c r="L3584" s="53">
        <f>Tabela6[[#This Row],[CUSTO TOTAL]]/Tabela6[[#This Row],[CONSUMO]]</f>
        <v>5.85</v>
      </c>
      <c r="M3584" s="50">
        <f>Tabela6[[#This Row],[KM ATUAL]]-E3583</f>
        <v>156939</v>
      </c>
      <c r="N3584" s="51">
        <f>Tabela6[[#This Row],[KM Rodados ]]/Tabela6[[#This Row],[CONSUMO]]</f>
        <v>8826.7154105736772</v>
      </c>
    </row>
    <row r="3585" spans="1:14" x14ac:dyDescent="0.25">
      <c r="A3585" s="47">
        <v>9109</v>
      </c>
      <c r="B3585" s="78">
        <v>45301</v>
      </c>
      <c r="C3585" s="47" t="s">
        <v>43</v>
      </c>
      <c r="D3585" s="49" t="s">
        <v>299</v>
      </c>
      <c r="E3585" s="47">
        <v>170741</v>
      </c>
      <c r="G3585" s="50" t="s">
        <v>89</v>
      </c>
      <c r="H3585" s="51">
        <v>35</v>
      </c>
      <c r="J3585" s="51">
        <v>5.15</v>
      </c>
      <c r="K3585" s="74">
        <f>Tabela6[[#This Row],[CONSUMO]]*Tabela6[[#This Row],[VALOR UNIT]]-Tabela6[[#This Row],[DESCONTO]]</f>
        <v>180.25</v>
      </c>
      <c r="L3585" s="53">
        <f>Tabela6[[#This Row],[CUSTO TOTAL]]/Tabela6[[#This Row],[CONSUMO]]</f>
        <v>5.15</v>
      </c>
      <c r="M3585" s="50">
        <f>Tabela6[[#This Row],[KM ATUAL]]-E3568</f>
        <v>-217824</v>
      </c>
      <c r="N3585" s="51">
        <f>Tabela6[[#This Row],[KM Rodados ]]/Tabela6[[#This Row],[CONSUMO]]</f>
        <v>-6223.5428571428574</v>
      </c>
    </row>
    <row r="3586" spans="1:14" x14ac:dyDescent="0.25">
      <c r="A3586" s="47">
        <v>276890</v>
      </c>
      <c r="B3586" s="78">
        <v>45301</v>
      </c>
      <c r="C3586" s="47" t="s">
        <v>9</v>
      </c>
      <c r="D3586" s="49" t="s">
        <v>273</v>
      </c>
      <c r="E3586" s="47">
        <v>643111</v>
      </c>
      <c r="G3586" s="50" t="s">
        <v>89</v>
      </c>
      <c r="H3586" s="51">
        <v>120</v>
      </c>
      <c r="J3586" s="51">
        <v>5.65</v>
      </c>
      <c r="K3586" s="74">
        <f>Tabela6[[#This Row],[CONSUMO]]*Tabela6[[#This Row],[VALOR UNIT]]-Tabela6[[#This Row],[DESCONTO]]</f>
        <v>678</v>
      </c>
      <c r="L3586" s="53">
        <f>Tabela6[[#This Row],[CUSTO TOTAL]]/Tabela6[[#This Row],[CONSUMO]]</f>
        <v>5.65</v>
      </c>
      <c r="M3586" s="50">
        <f>Tabela6[[#This Row],[KM ATUAL]]-E3563</f>
        <v>-49828</v>
      </c>
      <c r="N3586" s="51">
        <f>Tabela6[[#This Row],[KM Rodados ]]/Tabela6[[#This Row],[CONSUMO]]</f>
        <v>-415.23333333333335</v>
      </c>
    </row>
    <row r="3587" spans="1:14" x14ac:dyDescent="0.25">
      <c r="A3587" s="47">
        <v>9109</v>
      </c>
      <c r="B3587" s="78">
        <v>45301</v>
      </c>
      <c r="C3587" s="47" t="s">
        <v>42</v>
      </c>
      <c r="D3587" s="49" t="s">
        <v>299</v>
      </c>
      <c r="E3587" s="47">
        <v>380909</v>
      </c>
      <c r="G3587" s="50" t="s">
        <v>89</v>
      </c>
      <c r="H3587" s="51">
        <v>87</v>
      </c>
      <c r="J3587" s="51">
        <v>5.15</v>
      </c>
      <c r="K3587" s="74">
        <f>Tabela6[[#This Row],[CONSUMO]]*Tabela6[[#This Row],[VALOR UNIT]]-Tabela6[[#This Row],[DESCONTO]]</f>
        <v>448.05</v>
      </c>
      <c r="L3587" s="53">
        <f>Tabela6[[#This Row],[CUSTO TOTAL]]/Tabela6[[#This Row],[CONSUMO]]</f>
        <v>5.15</v>
      </c>
      <c r="M3587" s="50">
        <f>Tabela6[[#This Row],[KM ATUAL]]-E3537</f>
        <v>33532</v>
      </c>
      <c r="N3587" s="51">
        <f>Tabela6[[#This Row],[KM Rodados ]]/Tabela6[[#This Row],[CONSUMO]]</f>
        <v>385.42528735632186</v>
      </c>
    </row>
    <row r="3588" spans="1:14" x14ac:dyDescent="0.25">
      <c r="A3588" s="47">
        <v>335137</v>
      </c>
      <c r="B3588" s="78">
        <v>45301</v>
      </c>
      <c r="C3588" s="47" t="s">
        <v>70</v>
      </c>
      <c r="D3588" s="49" t="s">
        <v>268</v>
      </c>
      <c r="E3588" s="47">
        <v>252478</v>
      </c>
      <c r="G3588" s="50" t="s">
        <v>89</v>
      </c>
      <c r="H3588" s="51">
        <v>577</v>
      </c>
      <c r="J3588" s="51">
        <v>5.79</v>
      </c>
      <c r="K3588" s="74">
        <f>Tabela6[[#This Row],[CONSUMO]]*Tabela6[[#This Row],[VALOR UNIT]]-Tabela6[[#This Row],[DESCONTO]]</f>
        <v>3340.83</v>
      </c>
      <c r="L3588" s="53">
        <f>Tabela6[[#This Row],[CUSTO TOTAL]]/Tabela6[[#This Row],[CONSUMO]]</f>
        <v>5.79</v>
      </c>
      <c r="M3588" s="50">
        <f>Tabela6[[#This Row],[KM ATUAL]]-E3533</f>
        <v>82987</v>
      </c>
      <c r="N3588" s="51">
        <f>Tabela6[[#This Row],[KM Rodados ]]/Tabela6[[#This Row],[CONSUMO]]</f>
        <v>143.82495667244368</v>
      </c>
    </row>
    <row r="3589" spans="1:14" x14ac:dyDescent="0.25">
      <c r="A3589" s="47">
        <v>439122</v>
      </c>
      <c r="B3589" s="78">
        <v>45301</v>
      </c>
      <c r="C3589" s="47" t="s">
        <v>203</v>
      </c>
      <c r="D3589" s="49" t="s">
        <v>309</v>
      </c>
      <c r="E3589" s="47">
        <v>133299</v>
      </c>
      <c r="G3589" s="50" t="s">
        <v>244</v>
      </c>
      <c r="H3589" s="51">
        <v>21.170999999999999</v>
      </c>
      <c r="J3589" s="51">
        <v>5.35</v>
      </c>
      <c r="K3589" s="74">
        <f>Tabela6[[#This Row],[CONSUMO]]*Tabela6[[#This Row],[VALOR UNIT]]-Tabela6[[#This Row],[DESCONTO]]</f>
        <v>113.26485</v>
      </c>
      <c r="L3589" s="53">
        <f>Tabela6[[#This Row],[CUSTO TOTAL]]/Tabela6[[#This Row],[CONSUMO]]</f>
        <v>5.35</v>
      </c>
      <c r="M3589" s="53" t="e" cm="1">
        <f t="array" ref="M3589">SE</f>
        <v>#NAME?</v>
      </c>
      <c r="N3589" s="49" t="e">
        <f>Tabela6[[#This Row],[KM Rodados ]]/Tabela6[[#This Row],[CONSUMO]]</f>
        <v>#NAME?</v>
      </c>
    </row>
    <row r="3590" spans="1:14" x14ac:dyDescent="0.25">
      <c r="A3590" s="47">
        <v>9109</v>
      </c>
      <c r="B3590" s="78">
        <v>45301</v>
      </c>
      <c r="C3590" s="47" t="s">
        <v>301</v>
      </c>
      <c r="D3590" s="49" t="s">
        <v>299</v>
      </c>
      <c r="E3590" s="47">
        <v>1081597</v>
      </c>
      <c r="G3590" s="50" t="s">
        <v>89</v>
      </c>
      <c r="H3590" s="51">
        <v>303</v>
      </c>
      <c r="J3590" s="51">
        <v>5.15</v>
      </c>
      <c r="K3590" s="74">
        <f>Tabela6[[#This Row],[CONSUMO]]*Tabela6[[#This Row],[VALOR UNIT]]-Tabela6[[#This Row],[DESCONTO]]</f>
        <v>1560.45</v>
      </c>
      <c r="L3590" s="53">
        <f>Tabela6[[#This Row],[CUSTO TOTAL]]/Tabela6[[#This Row],[CONSUMO]]</f>
        <v>5.15</v>
      </c>
      <c r="M3590" s="50">
        <f>Tabela6[[#This Row],[KM ATUAL]]-E3550</f>
        <v>771239</v>
      </c>
      <c r="N3590" s="51">
        <f>Tabela6[[#This Row],[KM Rodados ]]/Tabela6[[#This Row],[CONSUMO]]</f>
        <v>2545.3432343234322</v>
      </c>
    </row>
    <row r="3591" spans="1:14" x14ac:dyDescent="0.25">
      <c r="A3591" s="47">
        <v>9109</v>
      </c>
      <c r="B3591" s="78">
        <v>45301</v>
      </c>
      <c r="C3591" s="47" t="s">
        <v>409</v>
      </c>
      <c r="D3591" s="49" t="s">
        <v>299</v>
      </c>
      <c r="E3591" s="47">
        <v>67</v>
      </c>
      <c r="G3591" s="50" t="s">
        <v>89</v>
      </c>
      <c r="H3591" s="51">
        <v>90</v>
      </c>
      <c r="J3591" s="51">
        <v>5.15</v>
      </c>
      <c r="K3591" s="74">
        <f>Tabela6[[#This Row],[CONSUMO]]*Tabela6[[#This Row],[VALOR UNIT]]-Tabela6[[#This Row],[DESCONTO]]</f>
        <v>463.50000000000006</v>
      </c>
      <c r="L3591" s="53">
        <f>Tabela6[[#This Row],[CUSTO TOTAL]]/Tabela6[[#This Row],[CONSUMO]]</f>
        <v>5.15</v>
      </c>
      <c r="M3591" s="53" t="e" cm="1">
        <f t="array" ref="M3591">SE</f>
        <v>#NAME?</v>
      </c>
      <c r="N3591" s="49" t="e">
        <f>Tabela6[[#This Row],[KM Rodados ]]/Tabela6[[#This Row],[CONSUMO]]</f>
        <v>#NAME?</v>
      </c>
    </row>
    <row r="3592" spans="1:14" x14ac:dyDescent="0.25">
      <c r="A3592" s="47">
        <v>135277</v>
      </c>
      <c r="B3592" s="78">
        <v>45301</v>
      </c>
      <c r="C3592" s="47" t="s">
        <v>40</v>
      </c>
      <c r="D3592" s="49" t="s">
        <v>253</v>
      </c>
      <c r="E3592" s="47">
        <v>178635</v>
      </c>
      <c r="G3592" s="50" t="s">
        <v>244</v>
      </c>
      <c r="H3592" s="51">
        <v>44.69</v>
      </c>
      <c r="J3592" s="51">
        <v>5.67</v>
      </c>
      <c r="K3592" s="74">
        <f>Tabela6[[#This Row],[CONSUMO]]*Tabela6[[#This Row],[VALOR UNIT]]-Tabela6[[#This Row],[DESCONTO]]</f>
        <v>253.39229999999998</v>
      </c>
      <c r="L3592" s="53">
        <f>Tabela6[[#This Row],[CUSTO TOTAL]]/Tabela6[[#This Row],[CONSUMO]]</f>
        <v>5.67</v>
      </c>
      <c r="M3592" s="53" t="e" cm="1">
        <f t="array" ref="M3592">SE</f>
        <v>#NAME?</v>
      </c>
      <c r="N3592" s="49" t="e">
        <f>Tabela6[[#This Row],[KM Rodados ]]/Tabela6[[#This Row],[CONSUMO]]</f>
        <v>#NAME?</v>
      </c>
    </row>
    <row r="3593" spans="1:14" x14ac:dyDescent="0.25">
      <c r="A3593" s="47">
        <v>234664</v>
      </c>
      <c r="B3593" s="78">
        <v>45301</v>
      </c>
      <c r="C3593" s="47" t="s">
        <v>74</v>
      </c>
      <c r="D3593" s="49" t="s">
        <v>262</v>
      </c>
      <c r="E3593" s="47">
        <v>102196</v>
      </c>
      <c r="G3593" s="50" t="s">
        <v>241</v>
      </c>
      <c r="H3593" s="51">
        <v>14.682</v>
      </c>
      <c r="I3593" s="49">
        <v>5.29</v>
      </c>
      <c r="J3593" s="51">
        <v>3.69</v>
      </c>
      <c r="K3593" s="74">
        <f>Tabela6[[#This Row],[CONSUMO]]*Tabela6[[#This Row],[VALOR UNIT]]-Tabela6[[#This Row],[DESCONTO]]</f>
        <v>48.886580000000002</v>
      </c>
      <c r="L3593" s="53">
        <f>Tabela6[[#This Row],[CUSTO TOTAL]]/Tabela6[[#This Row],[CONSUMO]]</f>
        <v>3.3296948644598827</v>
      </c>
      <c r="M3593" s="53"/>
      <c r="N3593" s="49"/>
    </row>
    <row r="3594" spans="1:14" x14ac:dyDescent="0.25">
      <c r="A3594" s="47">
        <v>9109</v>
      </c>
      <c r="B3594" s="78">
        <v>45301</v>
      </c>
      <c r="C3594" s="47" t="s">
        <v>74</v>
      </c>
      <c r="D3594" s="49" t="s">
        <v>299</v>
      </c>
      <c r="E3594" s="47">
        <v>102201</v>
      </c>
      <c r="G3594" s="50" t="s">
        <v>89</v>
      </c>
      <c r="H3594" s="51">
        <v>63</v>
      </c>
      <c r="J3594" s="51">
        <v>5.15</v>
      </c>
      <c r="K3594" s="74">
        <f>Tabela6[[#This Row],[CONSUMO]]*Tabela6[[#This Row],[VALOR UNIT]]-Tabela6[[#This Row],[DESCONTO]]</f>
        <v>324.45000000000005</v>
      </c>
      <c r="L3594" s="53">
        <f>Tabela6[[#This Row],[CUSTO TOTAL]]/Tabela6[[#This Row],[CONSUMO]]</f>
        <v>5.15</v>
      </c>
      <c r="M3594" s="50">
        <f>Tabela6[[#This Row],[KM ATUAL]]-E3484</f>
        <v>-226273</v>
      </c>
      <c r="N3594" s="51">
        <f>Tabela6[[#This Row],[KM Rodados ]]/Tabela6[[#This Row],[CONSUMO]]</f>
        <v>-3591.6349206349205</v>
      </c>
    </row>
    <row r="3595" spans="1:14" x14ac:dyDescent="0.25">
      <c r="A3595" s="47">
        <v>136137</v>
      </c>
      <c r="B3595" s="78">
        <v>45302</v>
      </c>
      <c r="C3595" s="47" t="s">
        <v>43</v>
      </c>
      <c r="D3595" s="49" t="s">
        <v>253</v>
      </c>
      <c r="E3595" s="47">
        <v>171127</v>
      </c>
      <c r="G3595" s="50" t="s">
        <v>89</v>
      </c>
      <c r="H3595" s="51">
        <v>30.8</v>
      </c>
      <c r="J3595" s="51">
        <v>6.09</v>
      </c>
      <c r="K3595" s="74">
        <f>Tabela6[[#This Row],[CONSUMO]]*Tabela6[[#This Row],[VALOR UNIT]]-Tabela6[[#This Row],[DESCONTO]]</f>
        <v>187.572</v>
      </c>
      <c r="L3595" s="53">
        <f>Tabela6[[#This Row],[CUSTO TOTAL]]/Tabela6[[#This Row],[CONSUMO]]</f>
        <v>6.09</v>
      </c>
      <c r="M3595" s="50">
        <f>Tabela6[[#This Row],[KM ATUAL]]-E3587</f>
        <v>-209782</v>
      </c>
      <c r="N3595" s="51">
        <f>Tabela6[[#This Row],[KM Rodados ]]/Tabela6[[#This Row],[CONSUMO]]</f>
        <v>-6811.1038961038957</v>
      </c>
    </row>
    <row r="3596" spans="1:14" x14ac:dyDescent="0.25">
      <c r="A3596" s="47">
        <v>9278</v>
      </c>
      <c r="B3596" s="78">
        <v>45302</v>
      </c>
      <c r="C3596" s="47" t="s">
        <v>394</v>
      </c>
      <c r="D3596" s="49" t="s">
        <v>299</v>
      </c>
      <c r="E3596" s="47">
        <v>882775</v>
      </c>
      <c r="G3596" s="50" t="s">
        <v>89</v>
      </c>
      <c r="H3596" s="51">
        <v>110</v>
      </c>
      <c r="J3596" s="51">
        <v>5.25</v>
      </c>
      <c r="K3596" s="74">
        <f>Tabela6[[#This Row],[CONSUMO]]*Tabela6[[#This Row],[VALOR UNIT]]-Tabela6[[#This Row],[DESCONTO]]</f>
        <v>577.5</v>
      </c>
      <c r="L3596" s="53">
        <f>Tabela6[[#This Row],[CUSTO TOTAL]]/Tabela6[[#This Row],[CONSUMO]]</f>
        <v>5.25</v>
      </c>
      <c r="M3596" s="51">
        <f>Tabela6[[#This Row],[KM ATUAL]]-E3567</f>
        <v>569996</v>
      </c>
      <c r="N3596" s="51">
        <f>Tabela6[[#This Row],[KM Rodados ]]/Tabela6[[#This Row],[CONSUMO]]</f>
        <v>5181.7818181818184</v>
      </c>
    </row>
    <row r="3597" spans="1:14" x14ac:dyDescent="0.25">
      <c r="A3597" s="47">
        <v>9109</v>
      </c>
      <c r="B3597" s="78">
        <v>45302</v>
      </c>
      <c r="C3597" s="47" t="s">
        <v>42</v>
      </c>
      <c r="D3597" s="49" t="s">
        <v>299</v>
      </c>
      <c r="E3597" s="47">
        <v>381343</v>
      </c>
      <c r="G3597" s="50" t="s">
        <v>89</v>
      </c>
      <c r="H3597" s="51">
        <v>64</v>
      </c>
      <c r="J3597" s="51">
        <v>5.15</v>
      </c>
      <c r="K3597" s="74">
        <f>Tabela6[[#This Row],[CONSUMO]]*Tabela6[[#This Row],[VALOR UNIT]]-Tabela6[[#This Row],[DESCONTO]]</f>
        <v>329.6</v>
      </c>
      <c r="L3597" s="53">
        <f>Tabela6[[#This Row],[CUSTO TOTAL]]/Tabela6[[#This Row],[CONSUMO]]</f>
        <v>5.15</v>
      </c>
      <c r="M3597" s="50">
        <f>Tabela6[[#This Row],[KM ATUAL]]-E3580</f>
        <v>33661</v>
      </c>
      <c r="N3597" s="51">
        <f>Tabela6[[#This Row],[KM Rodados ]]/Tabela6[[#This Row],[CONSUMO]]</f>
        <v>525.953125</v>
      </c>
    </row>
    <row r="3598" spans="1:14" x14ac:dyDescent="0.25">
      <c r="A3598" s="47">
        <v>9109</v>
      </c>
      <c r="B3598" s="78">
        <v>45302</v>
      </c>
      <c r="C3598" s="47" t="s">
        <v>67</v>
      </c>
      <c r="D3598" s="49" t="s">
        <v>299</v>
      </c>
      <c r="E3598" s="47">
        <v>695262</v>
      </c>
      <c r="G3598" s="50" t="s">
        <v>89</v>
      </c>
      <c r="H3598" s="51">
        <v>107</v>
      </c>
      <c r="J3598" s="51">
        <v>5.15</v>
      </c>
      <c r="K3598" s="74">
        <f>Tabela6[[#This Row],[CONSUMO]]*Tabela6[[#This Row],[VALOR UNIT]]-Tabela6[[#This Row],[DESCONTO]]</f>
        <v>551.05000000000007</v>
      </c>
      <c r="L3598" s="53">
        <f>Tabela6[[#This Row],[CUSTO TOTAL]]/Tabela6[[#This Row],[CONSUMO]]</f>
        <v>5.15</v>
      </c>
      <c r="M3598" s="50">
        <f>Tabela6[[#This Row],[KM ATUAL]]-E3445</f>
        <v>22445</v>
      </c>
      <c r="N3598" s="51">
        <f>Tabela6[[#This Row],[KM Rodados ]]/Tabela6[[#This Row],[CONSUMO]]</f>
        <v>209.7663551401869</v>
      </c>
    </row>
    <row r="3599" spans="1:14" x14ac:dyDescent="0.25">
      <c r="A3599" s="47">
        <v>9109</v>
      </c>
      <c r="B3599" s="78">
        <v>45302</v>
      </c>
      <c r="C3599" s="47" t="s">
        <v>22</v>
      </c>
      <c r="D3599" s="49" t="s">
        <v>299</v>
      </c>
      <c r="E3599" s="47">
        <v>348481</v>
      </c>
      <c r="G3599" s="50" t="s">
        <v>89</v>
      </c>
      <c r="H3599" s="51">
        <v>114</v>
      </c>
      <c r="J3599" s="51">
        <v>5.15</v>
      </c>
      <c r="K3599" s="74">
        <f>Tabela6[[#This Row],[CONSUMO]]*Tabela6[[#This Row],[VALOR UNIT]]-Tabela6[[#This Row],[DESCONTO]]</f>
        <v>587.1</v>
      </c>
      <c r="L3599" s="53">
        <f>Tabela6[[#This Row],[CUSTO TOTAL]]/Tabela6[[#This Row],[CONSUMO]]</f>
        <v>5.15</v>
      </c>
      <c r="M3599" s="50">
        <f>Tabela6[[#This Row],[KM ATUAL]]-E3567</f>
        <v>35702</v>
      </c>
      <c r="N3599" s="51">
        <f>Tabela6[[#This Row],[KM Rodados ]]/Tabela6[[#This Row],[CONSUMO]]</f>
        <v>313.17543859649123</v>
      </c>
    </row>
    <row r="3600" spans="1:14" x14ac:dyDescent="0.25">
      <c r="A3600" s="47">
        <v>697542</v>
      </c>
      <c r="B3600" s="78">
        <v>45302</v>
      </c>
      <c r="C3600" s="47" t="s">
        <v>203</v>
      </c>
      <c r="D3600" s="49" t="s">
        <v>257</v>
      </c>
      <c r="E3600" s="47">
        <v>133806</v>
      </c>
      <c r="G3600" s="50" t="s">
        <v>244</v>
      </c>
      <c r="H3600" s="51">
        <v>38.69</v>
      </c>
      <c r="J3600" s="51">
        <v>5.79</v>
      </c>
      <c r="K3600" s="74">
        <f>Tabela6[[#This Row],[CONSUMO]]*Tabela6[[#This Row],[VALOR UNIT]]-Tabela6[[#This Row],[DESCONTO]]</f>
        <v>224.01509999999999</v>
      </c>
      <c r="L3600" s="53">
        <f>Tabela6[[#This Row],[CUSTO TOTAL]]/Tabela6[[#This Row],[CONSUMO]]</f>
        <v>5.79</v>
      </c>
      <c r="M3600" s="53" t="e" cm="1">
        <f t="array" ref="M3600">SE</f>
        <v>#NAME?</v>
      </c>
      <c r="N3600" s="49" t="e">
        <f>Tabela6[[#This Row],[KM Rodados ]]/Tabela6[[#This Row],[CONSUMO]]</f>
        <v>#NAME?</v>
      </c>
    </row>
    <row r="3601" spans="1:14" x14ac:dyDescent="0.25">
      <c r="A3601" s="47">
        <v>9109</v>
      </c>
      <c r="B3601" s="78">
        <v>45302</v>
      </c>
      <c r="C3601" s="47" t="s">
        <v>73</v>
      </c>
      <c r="D3601" s="49" t="s">
        <v>299</v>
      </c>
      <c r="E3601" s="47">
        <v>172286</v>
      </c>
      <c r="G3601" s="50" t="s">
        <v>89</v>
      </c>
      <c r="H3601" s="51">
        <v>114</v>
      </c>
      <c r="J3601" s="51">
        <v>5.15</v>
      </c>
      <c r="K3601" s="74">
        <f>Tabela6[[#This Row],[CONSUMO]]*Tabela6[[#This Row],[VALOR UNIT]]-Tabela6[[#This Row],[DESCONTO]]</f>
        <v>587.1</v>
      </c>
      <c r="L3601" s="53">
        <f>Tabela6[[#This Row],[CUSTO TOTAL]]/Tabela6[[#This Row],[CONSUMO]]</f>
        <v>5.15</v>
      </c>
      <c r="M3601" s="50">
        <f>Tabela6[[#This Row],[KM ATUAL]]-E3564</f>
        <v>-908726</v>
      </c>
      <c r="N3601" s="51">
        <f>Tabela6[[#This Row],[KM Rodados ]]/Tabela6[[#This Row],[CONSUMO]]</f>
        <v>-7971.2807017543855</v>
      </c>
    </row>
    <row r="3602" spans="1:14" x14ac:dyDescent="0.25">
      <c r="A3602" s="47">
        <v>2918416</v>
      </c>
      <c r="B3602" s="78">
        <v>45302</v>
      </c>
      <c r="C3602" s="47" t="s">
        <v>301</v>
      </c>
      <c r="D3602" s="49" t="s">
        <v>400</v>
      </c>
      <c r="E3602" s="47">
        <v>1082260</v>
      </c>
      <c r="G3602" s="50" t="s">
        <v>89</v>
      </c>
      <c r="H3602" s="51">
        <v>100</v>
      </c>
      <c r="I3602" s="49">
        <v>101</v>
      </c>
      <c r="J3602" s="51">
        <v>6.9</v>
      </c>
      <c r="K3602" s="74">
        <f>Tabela6[[#This Row],[CONSUMO]]*Tabela6[[#This Row],[VALOR UNIT]]-Tabela6[[#This Row],[DESCONTO]]</f>
        <v>589</v>
      </c>
      <c r="L3602" s="53">
        <f>Tabela6[[#This Row],[CUSTO TOTAL]]/Tabela6[[#This Row],[CONSUMO]]</f>
        <v>5.89</v>
      </c>
      <c r="M3602" s="50">
        <f>Tabela6[[#This Row],[KM ATUAL]]-E3596</f>
        <v>199485</v>
      </c>
      <c r="N3602" s="51">
        <f>Tabela6[[#This Row],[KM Rodados ]]/Tabela6[[#This Row],[CONSUMO]]</f>
        <v>1994.85</v>
      </c>
    </row>
    <row r="3603" spans="1:14" x14ac:dyDescent="0.25">
      <c r="A3603" s="47">
        <v>9109</v>
      </c>
      <c r="B3603" s="78">
        <v>45302</v>
      </c>
      <c r="C3603" s="47" t="s">
        <v>13</v>
      </c>
      <c r="D3603" s="49" t="s">
        <v>299</v>
      </c>
      <c r="E3603" s="47">
        <v>673798</v>
      </c>
      <c r="G3603" s="50" t="s">
        <v>89</v>
      </c>
      <c r="H3603" s="51">
        <v>72</v>
      </c>
      <c r="J3603" s="51">
        <v>5.15</v>
      </c>
      <c r="K3603" s="74">
        <f>Tabela6[[#This Row],[CONSUMO]]*Tabela6[[#This Row],[VALOR UNIT]]-Tabela6[[#This Row],[DESCONTO]]</f>
        <v>370.8</v>
      </c>
      <c r="L3603" s="53">
        <f>Tabela6[[#This Row],[CUSTO TOTAL]]/Tabela6[[#This Row],[CONSUMO]]</f>
        <v>5.15</v>
      </c>
      <c r="M3603" s="50">
        <f>Tabela6[[#This Row],[KM ATUAL]]-E3571</f>
        <v>383576</v>
      </c>
      <c r="N3603" s="51">
        <f>Tabela6[[#This Row],[KM Rodados ]]/Tabela6[[#This Row],[CONSUMO]]</f>
        <v>5327.4444444444443</v>
      </c>
    </row>
    <row r="3604" spans="1:14" x14ac:dyDescent="0.25">
      <c r="A3604" s="47">
        <v>234771</v>
      </c>
      <c r="B3604" s="78">
        <v>45302</v>
      </c>
      <c r="C3604" s="47" t="s">
        <v>14</v>
      </c>
      <c r="D3604" s="49" t="s">
        <v>262</v>
      </c>
      <c r="E3604" s="47">
        <v>310962</v>
      </c>
      <c r="G3604" s="50" t="s">
        <v>244</v>
      </c>
      <c r="H3604" s="51">
        <v>21.55</v>
      </c>
      <c r="J3604" s="51">
        <v>5.49</v>
      </c>
      <c r="K3604" s="74">
        <f>Tabela6[[#This Row],[CONSUMO]]*Tabela6[[#This Row],[VALOR UNIT]]-Tabela6[[#This Row],[DESCONTO]]</f>
        <v>118.30950000000001</v>
      </c>
      <c r="L3604" s="53">
        <f>Tabela6[[#This Row],[CUSTO TOTAL]]/Tabela6[[#This Row],[CONSUMO]]</f>
        <v>5.49</v>
      </c>
      <c r="M3604" s="53" t="e" cm="1">
        <f t="array" ref="M3604">SE</f>
        <v>#NAME?</v>
      </c>
      <c r="N3604" s="49" t="e">
        <f>Tabela6[[#This Row],[KM Rodados ]]/Tabela6[[#This Row],[CONSUMO]]</f>
        <v>#NAME?</v>
      </c>
    </row>
    <row r="3605" spans="1:14" x14ac:dyDescent="0.25">
      <c r="A3605" s="47">
        <v>9109</v>
      </c>
      <c r="B3605" s="78">
        <v>45302</v>
      </c>
      <c r="C3605" s="47" t="s">
        <v>15</v>
      </c>
      <c r="D3605" s="49" t="s">
        <v>299</v>
      </c>
      <c r="E3605" s="47">
        <v>407887</v>
      </c>
      <c r="G3605" s="50" t="s">
        <v>89</v>
      </c>
      <c r="H3605" s="51">
        <v>100</v>
      </c>
      <c r="J3605" s="51">
        <v>5.15</v>
      </c>
      <c r="K3605" s="74">
        <f>Tabela6[[#This Row],[CONSUMO]]*Tabela6[[#This Row],[VALOR UNIT]]-Tabela6[[#This Row],[DESCONTO]]</f>
        <v>515</v>
      </c>
      <c r="L3605" s="53">
        <f>Tabela6[[#This Row],[CUSTO TOTAL]]/Tabela6[[#This Row],[CONSUMO]]</f>
        <v>5.15</v>
      </c>
      <c r="M3605" s="50">
        <f>Tabela6[[#This Row],[KM ATUAL]]-E3493</f>
        <v>265227</v>
      </c>
      <c r="N3605" s="49">
        <f>Tabela6[[#This Row],[KM Rodados ]]/Tabela6[[#This Row],[CONSUMO]]</f>
        <v>2652.27</v>
      </c>
    </row>
    <row r="3606" spans="1:14" x14ac:dyDescent="0.25">
      <c r="A3606" s="47">
        <v>596285</v>
      </c>
      <c r="B3606" s="78">
        <v>45302</v>
      </c>
      <c r="C3606" s="47" t="s">
        <v>18</v>
      </c>
      <c r="D3606" s="49" t="s">
        <v>255</v>
      </c>
      <c r="E3606" s="47">
        <v>142268</v>
      </c>
      <c r="G3606" s="50" t="s">
        <v>89</v>
      </c>
      <c r="H3606" s="51">
        <v>90.69</v>
      </c>
      <c r="J3606" s="51">
        <v>6.16</v>
      </c>
      <c r="K3606" s="74">
        <f>Tabela6[[#This Row],[CONSUMO]]*Tabela6[[#This Row],[VALOR UNIT]]-Tabela6[[#This Row],[DESCONTO]]</f>
        <v>558.65039999999999</v>
      </c>
      <c r="L3606" s="53">
        <f>Tabela6[[#This Row],[CUSTO TOTAL]]/Tabela6[[#This Row],[CONSUMO]]</f>
        <v>6.16</v>
      </c>
      <c r="M3606" s="53" t="e">
        <f t="array" ref="M3606">SE</f>
        <v>#NAME?</v>
      </c>
      <c r="N3606" s="49" t="e">
        <f>Tabela6[[#This Row],[KM Rodados ]]/Tabela6[[#This Row],[CONSUMO]]</f>
        <v>#NAME?</v>
      </c>
    </row>
    <row r="3607" spans="1:14" x14ac:dyDescent="0.25">
      <c r="A3607" s="47">
        <v>407198</v>
      </c>
      <c r="B3607" s="78">
        <v>45302</v>
      </c>
      <c r="C3607" s="47" t="s">
        <v>19</v>
      </c>
      <c r="D3607" s="49" t="s">
        <v>237</v>
      </c>
      <c r="E3607" s="47">
        <v>348938</v>
      </c>
      <c r="G3607" s="50" t="s">
        <v>89</v>
      </c>
      <c r="H3607" s="51">
        <v>50.104999999999997</v>
      </c>
      <c r="I3607" s="49">
        <v>50.6</v>
      </c>
      <c r="J3607" s="51">
        <v>6.9</v>
      </c>
      <c r="K3607" s="74">
        <f>Tabela6[[#This Row],[CONSUMO]]*Tabela6[[#This Row],[VALOR UNIT]]-Tabela6[[#This Row],[DESCONTO]]</f>
        <v>295.12449999999995</v>
      </c>
      <c r="L3607" s="53">
        <f>Tabela6[[#This Row],[CUSTO TOTAL]]/Tabela6[[#This Row],[CONSUMO]]</f>
        <v>5.8901207464324914</v>
      </c>
      <c r="M3607" s="50">
        <f>Tabela6[[#This Row],[KM ATUAL]]-E3592</f>
        <v>170303</v>
      </c>
      <c r="N3607" s="51">
        <f>Tabela6[[#This Row],[KM Rodados ]]/Tabela6[[#This Row],[CONSUMO]]</f>
        <v>3398.922263247181</v>
      </c>
    </row>
    <row r="3608" spans="1:14" x14ac:dyDescent="0.25">
      <c r="A3608" s="47">
        <v>9109</v>
      </c>
      <c r="B3608" s="78">
        <v>45302</v>
      </c>
      <c r="C3608" s="47" t="s">
        <v>19</v>
      </c>
      <c r="D3608" s="49" t="s">
        <v>299</v>
      </c>
      <c r="E3608" s="47">
        <v>348698</v>
      </c>
      <c r="G3608" s="50" t="s">
        <v>89</v>
      </c>
      <c r="H3608" s="51">
        <v>160</v>
      </c>
      <c r="J3608" s="51">
        <v>5.15</v>
      </c>
      <c r="K3608" s="74">
        <f>Tabela6[[#This Row],[CONSUMO]]*Tabela6[[#This Row],[VALOR UNIT]]-Tabela6[[#This Row],[DESCONTO]]</f>
        <v>824</v>
      </c>
      <c r="L3608" s="53">
        <f>Tabela6[[#This Row],[CUSTO TOTAL]]/Tabela6[[#This Row],[CONSUMO]]</f>
        <v>5.15</v>
      </c>
      <c r="M3608" s="50">
        <f>Tabela6[[#This Row],[KM ATUAL]]-E3598</f>
        <v>-346564</v>
      </c>
      <c r="N3608" s="51">
        <f>Tabela6[[#This Row],[KM Rodados ]]/Tabela6[[#This Row],[CONSUMO]]</f>
        <v>-2166.0250000000001</v>
      </c>
    </row>
    <row r="3609" spans="1:14" x14ac:dyDescent="0.25">
      <c r="A3609" s="47">
        <v>9109</v>
      </c>
      <c r="B3609" s="78">
        <v>45302</v>
      </c>
      <c r="C3609" s="47" t="s">
        <v>20</v>
      </c>
      <c r="D3609" s="49" t="s">
        <v>299</v>
      </c>
      <c r="E3609" s="47">
        <v>291306</v>
      </c>
      <c r="G3609" s="50" t="s">
        <v>89</v>
      </c>
      <c r="H3609" s="51">
        <v>68</v>
      </c>
      <c r="J3609" s="51">
        <v>5.15</v>
      </c>
      <c r="K3609" s="74">
        <f>Tabela6[[#This Row],[CONSUMO]]*Tabela6[[#This Row],[VALOR UNIT]]-Tabela6[[#This Row],[DESCONTO]]</f>
        <v>350.20000000000005</v>
      </c>
      <c r="L3609" s="53">
        <f>Tabela6[[#This Row],[CUSTO TOTAL]]/Tabela6[[#This Row],[CONSUMO]]</f>
        <v>5.15</v>
      </c>
      <c r="M3609" s="50">
        <f>Tabela6[[#This Row],[KM ATUAL]]-E3589</f>
        <v>158007</v>
      </c>
      <c r="N3609" s="51">
        <f>Tabela6[[#This Row],[KM Rodados ]]/Tabela6[[#This Row],[CONSUMO]]</f>
        <v>2323.6323529411766</v>
      </c>
    </row>
    <row r="3610" spans="1:14" x14ac:dyDescent="0.25">
      <c r="A3610" s="47">
        <v>234996</v>
      </c>
      <c r="B3610" s="78">
        <v>45302</v>
      </c>
      <c r="C3610" s="47" t="s">
        <v>40</v>
      </c>
      <c r="D3610" s="49" t="s">
        <v>262</v>
      </c>
      <c r="E3610" s="47">
        <v>178970</v>
      </c>
      <c r="G3610" s="50" t="s">
        <v>244</v>
      </c>
      <c r="H3610" s="51">
        <v>26.84</v>
      </c>
      <c r="J3610" s="51">
        <v>5.49</v>
      </c>
      <c r="K3610" s="74">
        <f>Tabela6[[#This Row],[CONSUMO]]*Tabela6[[#This Row],[VALOR UNIT]]-Tabela6[[#This Row],[DESCONTO]]</f>
        <v>147.35160000000002</v>
      </c>
      <c r="L3610" s="53">
        <f>Tabela6[[#This Row],[CUSTO TOTAL]]/Tabela6[[#This Row],[CONSUMO]]</f>
        <v>5.4900000000000011</v>
      </c>
      <c r="M3610" s="53" t="e" cm="1">
        <f t="array" ref="M3610">SE</f>
        <v>#NAME?</v>
      </c>
      <c r="N3610" s="49" t="e">
        <f>Tabela6[[#This Row],[KM Rodados ]]/Tabela6[[#This Row],[CONSUMO]]</f>
        <v>#NAME?</v>
      </c>
    </row>
    <row r="3611" spans="1:14" x14ac:dyDescent="0.25">
      <c r="A3611" s="47">
        <v>234788</v>
      </c>
      <c r="B3611" s="78">
        <v>45302</v>
      </c>
      <c r="C3611" s="47" t="s">
        <v>74</v>
      </c>
      <c r="D3611" s="49" t="s">
        <v>262</v>
      </c>
      <c r="G3611" s="50" t="s">
        <v>241</v>
      </c>
      <c r="H3611" s="51">
        <v>15.02</v>
      </c>
      <c r="I3611" s="49">
        <v>5.4</v>
      </c>
      <c r="J3611" s="51">
        <v>3.69</v>
      </c>
      <c r="K3611" s="74">
        <f>Tabela6[[#This Row],[CONSUMO]]*Tabela6[[#This Row],[VALOR UNIT]]-Tabela6[[#This Row],[DESCONTO]]</f>
        <v>50.023800000000001</v>
      </c>
      <c r="L3611" s="53">
        <f>Tabela6[[#This Row],[CUSTO TOTAL]]/Tabela6[[#This Row],[CONSUMO]]</f>
        <v>3.3304793608521974</v>
      </c>
      <c r="M3611" s="53"/>
      <c r="N3611" s="49"/>
    </row>
    <row r="3612" spans="1:14" x14ac:dyDescent="0.25">
      <c r="A3612" s="47">
        <v>9278</v>
      </c>
      <c r="B3612" s="78">
        <v>45303</v>
      </c>
      <c r="C3612" s="47" t="s">
        <v>68</v>
      </c>
      <c r="D3612" s="49" t="s">
        <v>299</v>
      </c>
      <c r="E3612" s="47">
        <v>946065</v>
      </c>
      <c r="G3612" s="50" t="s">
        <v>89</v>
      </c>
      <c r="H3612" s="51">
        <v>496</v>
      </c>
      <c r="J3612" s="51">
        <v>5.25</v>
      </c>
      <c r="K3612" s="74">
        <f>Tabela6[[#This Row],[CONSUMO]]*Tabela6[[#This Row],[VALOR UNIT]]-Tabela6[[#This Row],[DESCONTO]]</f>
        <v>2604</v>
      </c>
      <c r="L3612" s="53">
        <f>Tabela6[[#This Row],[CUSTO TOTAL]]/Tabela6[[#This Row],[CONSUMO]]</f>
        <v>5.25</v>
      </c>
      <c r="M3612" s="50">
        <f>Tabela6[[#This Row],[KM ATUAL]]-E3557</f>
        <v>64110</v>
      </c>
      <c r="N3612" s="51">
        <f>Tabela6[[#This Row],[KM Rodados ]]/Tabela6[[#This Row],[CONSUMO]]</f>
        <v>129.25403225806451</v>
      </c>
    </row>
    <row r="3613" spans="1:14" x14ac:dyDescent="0.25">
      <c r="A3613" s="47">
        <v>9278</v>
      </c>
      <c r="B3613" s="78">
        <v>45303</v>
      </c>
      <c r="C3613" s="47" t="s">
        <v>42</v>
      </c>
      <c r="D3613" s="49" t="s">
        <v>299</v>
      </c>
      <c r="E3613" s="47">
        <v>381461</v>
      </c>
      <c r="G3613" s="50" t="s">
        <v>89</v>
      </c>
      <c r="H3613" s="51">
        <v>16</v>
      </c>
      <c r="J3613" s="51">
        <v>5.25</v>
      </c>
      <c r="K3613" s="74">
        <f>Tabela6[[#This Row],[CONSUMO]]*Tabela6[[#This Row],[VALOR UNIT]]-Tabela6[[#This Row],[DESCONTO]]</f>
        <v>84</v>
      </c>
      <c r="L3613" s="53">
        <f>Tabela6[[#This Row],[CUSTO TOTAL]]/Tabela6[[#This Row],[CONSUMO]]</f>
        <v>5.25</v>
      </c>
      <c r="M3613" s="50">
        <f>Tabela6[[#This Row],[KM ATUAL]]-E3600</f>
        <v>247655</v>
      </c>
      <c r="N3613" s="51">
        <f>Tabela6[[#This Row],[KM Rodados ]]/Tabela6[[#This Row],[CONSUMO]]</f>
        <v>15478.4375</v>
      </c>
    </row>
    <row r="3614" spans="1:14" x14ac:dyDescent="0.25">
      <c r="A3614" s="47">
        <v>9278</v>
      </c>
      <c r="B3614" s="78">
        <v>45303</v>
      </c>
      <c r="C3614" s="47" t="s">
        <v>222</v>
      </c>
      <c r="D3614" s="49" t="s">
        <v>299</v>
      </c>
      <c r="E3614" s="47">
        <v>542104</v>
      </c>
      <c r="G3614" s="50" t="s">
        <v>89</v>
      </c>
      <c r="H3614" s="51">
        <v>384</v>
      </c>
      <c r="J3614" s="51">
        <v>5.25</v>
      </c>
      <c r="K3614" s="74">
        <f>Tabela6[[#This Row],[CONSUMO]]*Tabela6[[#This Row],[VALOR UNIT]]-Tabela6[[#This Row],[DESCONTO]]</f>
        <v>2016</v>
      </c>
      <c r="L3614" s="53">
        <f>Tabela6[[#This Row],[CUSTO TOTAL]]/Tabela6[[#This Row],[CONSUMO]]</f>
        <v>5.25</v>
      </c>
      <c r="M3614" s="50">
        <f>Tabela6[[#This Row],[KM ATUAL]]-E3493</f>
        <v>399444</v>
      </c>
      <c r="N3614" s="51">
        <f>Tabela6[[#This Row],[KM Rodados ]]/Tabela6[[#This Row],[CONSUMO]]</f>
        <v>1040.21875</v>
      </c>
    </row>
    <row r="3615" spans="1:14" x14ac:dyDescent="0.25">
      <c r="A3615" s="47">
        <v>136832</v>
      </c>
      <c r="B3615" s="78">
        <v>45303</v>
      </c>
      <c r="C3615" s="47" t="s">
        <v>39</v>
      </c>
      <c r="D3615" s="49" t="s">
        <v>253</v>
      </c>
      <c r="E3615" s="47">
        <v>116493</v>
      </c>
      <c r="G3615" s="50" t="s">
        <v>89</v>
      </c>
      <c r="H3615" s="51">
        <v>89.11</v>
      </c>
      <c r="J3615" s="51">
        <v>6.09</v>
      </c>
      <c r="K3615" s="74">
        <f>Tabela6[[#This Row],[CONSUMO]]*Tabela6[[#This Row],[VALOR UNIT]]-Tabela6[[#This Row],[DESCONTO]]</f>
        <v>542.67989999999998</v>
      </c>
      <c r="L3615" s="53">
        <f>Tabela6[[#This Row],[CUSTO TOTAL]]/Tabela6[[#This Row],[CONSUMO]]</f>
        <v>6.09</v>
      </c>
      <c r="M3615" s="50">
        <f>Tabela6[[#This Row],[KM ATUAL]]-E3545</f>
        <v>-556640</v>
      </c>
      <c r="N3615" s="51">
        <f>Tabela6[[#This Row],[KM Rodados ]]/Tabela6[[#This Row],[CONSUMO]]</f>
        <v>-6246.6614296936368</v>
      </c>
    </row>
    <row r="3616" spans="1:14" x14ac:dyDescent="0.25">
      <c r="A3616" s="47">
        <v>136820</v>
      </c>
      <c r="B3616" s="78">
        <v>45303</v>
      </c>
      <c r="C3616" s="47" t="s">
        <v>72</v>
      </c>
      <c r="D3616" s="49" t="s">
        <v>253</v>
      </c>
      <c r="E3616" s="47">
        <v>434996</v>
      </c>
      <c r="G3616" s="50" t="s">
        <v>89</v>
      </c>
      <c r="H3616" s="51">
        <v>38.85</v>
      </c>
      <c r="J3616" s="51">
        <v>6.09</v>
      </c>
      <c r="K3616" s="74">
        <f>Tabela6[[#This Row],[CONSUMO]]*Tabela6[[#This Row],[VALOR UNIT]]-Tabela6[[#This Row],[DESCONTO]]</f>
        <v>236.59649999999999</v>
      </c>
      <c r="L3616" s="53">
        <f>Tabela6[[#This Row],[CUSTO TOTAL]]/Tabela6[[#This Row],[CONSUMO]]</f>
        <v>6.09</v>
      </c>
      <c r="M3616" s="50">
        <f>Tabela6[[#This Row],[KM ATUAL]]-E3577</f>
        <v>-304316</v>
      </c>
      <c r="N3616" s="51">
        <f>Tabela6[[#This Row],[KM Rodados ]]/Tabela6[[#This Row],[CONSUMO]]</f>
        <v>-7833.1016731016725</v>
      </c>
    </row>
    <row r="3617" spans="1:14" x14ac:dyDescent="0.25">
      <c r="A3617" s="47">
        <v>9278</v>
      </c>
      <c r="B3617" s="78">
        <v>45303</v>
      </c>
      <c r="C3617" s="47" t="s">
        <v>72</v>
      </c>
      <c r="D3617" s="49" t="s">
        <v>299</v>
      </c>
      <c r="E3617" s="47">
        <v>435255</v>
      </c>
      <c r="G3617" s="50" t="s">
        <v>89</v>
      </c>
      <c r="H3617" s="51">
        <v>26</v>
      </c>
      <c r="J3617" s="51">
        <v>5.25</v>
      </c>
      <c r="K3617" s="74">
        <f>Tabela6[[#This Row],[CONSUMO]]*Tabela6[[#This Row],[VALOR UNIT]]-Tabela6[[#This Row],[DESCONTO]]</f>
        <v>136.5</v>
      </c>
      <c r="L3617" s="53">
        <f>Tabela6[[#This Row],[CUSTO TOTAL]]/Tabela6[[#This Row],[CONSUMO]]</f>
        <v>5.25</v>
      </c>
      <c r="M3617" s="50">
        <f>Tabela6[[#This Row],[KM ATUAL]]-E3601</f>
        <v>262969</v>
      </c>
      <c r="N3617" s="51">
        <f>Tabela6[[#This Row],[KM Rodados ]]/Tabela6[[#This Row],[CONSUMO]]</f>
        <v>10114.192307692309</v>
      </c>
    </row>
    <row r="3618" spans="1:14" x14ac:dyDescent="0.25">
      <c r="A3618" s="47">
        <v>124675</v>
      </c>
      <c r="B3618" s="78">
        <v>45303</v>
      </c>
      <c r="C3618" s="47" t="s">
        <v>71</v>
      </c>
      <c r="D3618" s="49" t="s">
        <v>300</v>
      </c>
      <c r="E3618" s="47">
        <v>144933</v>
      </c>
      <c r="G3618" s="50" t="s">
        <v>89</v>
      </c>
      <c r="H3618" s="51">
        <v>558</v>
      </c>
      <c r="J3618" s="51">
        <v>5.79</v>
      </c>
      <c r="K3618" s="74">
        <f>Tabela6[[#This Row],[CONSUMO]]*Tabela6[[#This Row],[VALOR UNIT]]-Tabela6[[#This Row],[DESCONTO]]</f>
        <v>3230.82</v>
      </c>
      <c r="L3618" s="53">
        <f>Tabela6[[#This Row],[CUSTO TOTAL]]/Tabela6[[#This Row],[CONSUMO]]</f>
        <v>5.79</v>
      </c>
      <c r="M3618" s="50">
        <f>Tabela6[[#This Row],[KM ATUAL]]-E3534</f>
        <v>-235385</v>
      </c>
      <c r="N3618" s="51">
        <f>Tabela6[[#This Row],[KM Rodados ]]/Tabela6[[#This Row],[CONSUMO]]</f>
        <v>-421.83691756272401</v>
      </c>
    </row>
    <row r="3619" spans="1:14" x14ac:dyDescent="0.25">
      <c r="A3619" s="47">
        <v>124674</v>
      </c>
      <c r="B3619" s="78">
        <v>45303</v>
      </c>
      <c r="C3619" s="47" t="s">
        <v>71</v>
      </c>
      <c r="D3619" s="49" t="s">
        <v>300</v>
      </c>
      <c r="E3619" s="47">
        <v>144933</v>
      </c>
      <c r="G3619" s="50" t="s">
        <v>241</v>
      </c>
      <c r="H3619" s="51">
        <v>30.71</v>
      </c>
      <c r="J3619" s="51">
        <v>2.99</v>
      </c>
      <c r="K3619" s="74">
        <f>Tabela6[[#This Row],[CONSUMO]]*Tabela6[[#This Row],[VALOR UNIT]]-Tabela6[[#This Row],[DESCONTO]]</f>
        <v>91.822900000000004</v>
      </c>
      <c r="L3619" s="53">
        <f>Tabela6[[#This Row],[CUSTO TOTAL]]/Tabela6[[#This Row],[CONSUMO]]</f>
        <v>2.99</v>
      </c>
      <c r="M3619" s="53"/>
      <c r="N3619" s="49"/>
    </row>
    <row r="3620" spans="1:14" x14ac:dyDescent="0.25">
      <c r="A3620" s="47">
        <v>9278</v>
      </c>
      <c r="B3620" s="78">
        <v>45303</v>
      </c>
      <c r="C3620" s="47" t="s">
        <v>10</v>
      </c>
      <c r="D3620" s="49" t="s">
        <v>299</v>
      </c>
      <c r="E3620" s="47">
        <v>740061</v>
      </c>
      <c r="G3620" s="50" t="s">
        <v>89</v>
      </c>
      <c r="H3620" s="51">
        <v>192</v>
      </c>
      <c r="J3620" s="51">
        <v>5.25</v>
      </c>
      <c r="K3620" s="74">
        <f>Tabela6[[#This Row],[CONSUMO]]*Tabela6[[#This Row],[VALOR UNIT]]-Tabela6[[#This Row],[DESCONTO]]</f>
        <v>1008</v>
      </c>
      <c r="L3620" s="53">
        <f>Tabela6[[#This Row],[CUSTO TOTAL]]/Tabela6[[#This Row],[CONSUMO]]</f>
        <v>5.25</v>
      </c>
      <c r="M3620" s="50">
        <f>Tabela6[[#This Row],[KM ATUAL]]-E3574</f>
        <v>569407</v>
      </c>
      <c r="N3620" s="51">
        <f>Tabela6[[#This Row],[KM Rodados ]]/Tabela6[[#This Row],[CONSUMO]]</f>
        <v>2965.6614583333335</v>
      </c>
    </row>
    <row r="3621" spans="1:14" x14ac:dyDescent="0.25">
      <c r="A3621" s="47">
        <v>9278</v>
      </c>
      <c r="B3621" s="78">
        <v>45303</v>
      </c>
      <c r="C3621" s="47" t="s">
        <v>206</v>
      </c>
      <c r="D3621" s="49" t="s">
        <v>299</v>
      </c>
      <c r="E3621" s="47">
        <v>989795</v>
      </c>
      <c r="G3621" s="50" t="s">
        <v>89</v>
      </c>
      <c r="H3621" s="51">
        <v>447</v>
      </c>
      <c r="J3621" s="51">
        <v>5.25</v>
      </c>
      <c r="K3621" s="74">
        <f>Tabela6[[#This Row],[CONSUMO]]*Tabela6[[#This Row],[VALOR UNIT]]-Tabela6[[#This Row],[DESCONTO]]</f>
        <v>2346.75</v>
      </c>
      <c r="L3621" s="53">
        <f>Tabela6[[#This Row],[CUSTO TOTAL]]/Tabela6[[#This Row],[CONSUMO]]</f>
        <v>5.25</v>
      </c>
      <c r="M3621" s="50">
        <f>Tabela6[[#This Row],[KM ATUAL]]-E3539</f>
        <v>873782</v>
      </c>
      <c r="N3621" s="51">
        <f>Tabela6[[#This Row],[KM Rodados ]]/Tabela6[[#This Row],[CONSUMO]]</f>
        <v>1954.7695749440716</v>
      </c>
    </row>
    <row r="3622" spans="1:14" x14ac:dyDescent="0.25">
      <c r="A3622" s="47">
        <v>235094</v>
      </c>
      <c r="B3622" s="78">
        <v>45303</v>
      </c>
      <c r="C3622" s="47" t="s">
        <v>14</v>
      </c>
      <c r="D3622" s="49" t="s">
        <v>262</v>
      </c>
      <c r="E3622" s="47">
        <v>311439</v>
      </c>
      <c r="G3622" s="50" t="s">
        <v>244</v>
      </c>
      <c r="H3622" s="51">
        <v>31.92</v>
      </c>
      <c r="J3622" s="51">
        <v>5.49</v>
      </c>
      <c r="K3622" s="74">
        <f>Tabela6[[#This Row],[CONSUMO]]*Tabela6[[#This Row],[VALOR UNIT]]-Tabela6[[#This Row],[DESCONTO]]</f>
        <v>175.24080000000001</v>
      </c>
      <c r="L3622" s="53">
        <f>Tabela6[[#This Row],[CUSTO TOTAL]]/Tabela6[[#This Row],[CONSUMO]]</f>
        <v>5.49</v>
      </c>
      <c r="M3622" s="53" t="e" cm="1">
        <f t="array" ref="M3622">SE</f>
        <v>#NAME?</v>
      </c>
      <c r="N3622" s="49" t="e">
        <f>Tabela6[[#This Row],[KM Rodados ]]/Tabela6[[#This Row],[CONSUMO]]</f>
        <v>#NAME?</v>
      </c>
    </row>
    <row r="3623" spans="1:14" x14ac:dyDescent="0.25">
      <c r="A3623" s="47">
        <v>9278</v>
      </c>
      <c r="B3623" s="78">
        <v>45303</v>
      </c>
      <c r="C3623" s="47" t="s">
        <v>17</v>
      </c>
      <c r="D3623" s="49" t="s">
        <v>299</v>
      </c>
      <c r="E3623" s="47">
        <v>390065</v>
      </c>
      <c r="G3623" s="50" t="s">
        <v>89</v>
      </c>
      <c r="H3623" s="51">
        <v>175</v>
      </c>
      <c r="J3623" s="51">
        <v>5.25</v>
      </c>
      <c r="K3623" s="74">
        <f>Tabela6[[#This Row],[CONSUMO]]*Tabela6[[#This Row],[VALOR UNIT]]-Tabela6[[#This Row],[DESCONTO]]</f>
        <v>918.75</v>
      </c>
      <c r="L3623" s="53">
        <f>Tabela6[[#This Row],[CUSTO TOTAL]]/Tabela6[[#This Row],[CONSUMO]]</f>
        <v>5.25</v>
      </c>
      <c r="M3623" s="50">
        <f>Tabela6[[#This Row],[KM ATUAL]]-E3586</f>
        <v>-253046</v>
      </c>
      <c r="N3623" s="51">
        <f>Tabela6[[#This Row],[KM Rodados ]]/Tabela6[[#This Row],[CONSUMO]]</f>
        <v>-1445.9771428571428</v>
      </c>
    </row>
    <row r="3624" spans="1:14" x14ac:dyDescent="0.25">
      <c r="A3624" s="47">
        <v>366184</v>
      </c>
      <c r="B3624" s="78">
        <v>45303</v>
      </c>
      <c r="C3624" s="47" t="s">
        <v>40</v>
      </c>
      <c r="D3624" s="49" t="s">
        <v>276</v>
      </c>
      <c r="E3624" s="47">
        <v>179355</v>
      </c>
      <c r="G3624" s="50" t="s">
        <v>244</v>
      </c>
      <c r="H3624" s="51">
        <v>28.309000000000001</v>
      </c>
      <c r="J3624" s="51">
        <v>5.59</v>
      </c>
      <c r="K3624" s="74">
        <f>Tabela6[[#This Row],[CONSUMO]]*Tabela6[[#This Row],[VALOR UNIT]]-Tabela6[[#This Row],[DESCONTO]]</f>
        <v>158.24731</v>
      </c>
      <c r="L3624" s="53">
        <f>Tabela6[[#This Row],[CUSTO TOTAL]]/Tabela6[[#This Row],[CONSUMO]]</f>
        <v>5.59</v>
      </c>
      <c r="M3624" s="53" t="e">
        <f t="array" ref="M3624">SE</f>
        <v>#NAME?</v>
      </c>
      <c r="N3624" s="49" t="e">
        <f>Tabela6[[#This Row],[KM Rodados ]]/Tabela6[[#This Row],[CONSUMO]]</f>
        <v>#NAME?</v>
      </c>
    </row>
    <row r="3625" spans="1:14" x14ac:dyDescent="0.25">
      <c r="A3625" s="47">
        <v>136845</v>
      </c>
      <c r="B3625" s="78">
        <v>45303</v>
      </c>
      <c r="C3625" s="47" t="s">
        <v>315</v>
      </c>
      <c r="D3625" s="49" t="s">
        <v>253</v>
      </c>
      <c r="E3625" s="47">
        <v>13947</v>
      </c>
      <c r="G3625" s="50" t="s">
        <v>89</v>
      </c>
      <c r="H3625" s="51">
        <v>35.1</v>
      </c>
      <c r="J3625" s="51">
        <v>6.09</v>
      </c>
      <c r="K3625" s="74">
        <f>Tabela6[[#This Row],[CONSUMO]]*Tabela6[[#This Row],[VALOR UNIT]]-Tabela6[[#This Row],[DESCONTO]]</f>
        <v>213.75900000000001</v>
      </c>
      <c r="L3625" s="53">
        <f>Tabela6[[#This Row],[CUSTO TOTAL]]/Tabela6[[#This Row],[CONSUMO]]</f>
        <v>6.09</v>
      </c>
      <c r="M3625" s="50">
        <f>Tabela6[[#This Row],[KM ATUAL]]-E3589</f>
        <v>-119352</v>
      </c>
      <c r="N3625" s="51">
        <f>Tabela6[[#This Row],[KM Rodados ]]/Tabela6[[#This Row],[CONSUMO]]</f>
        <v>-3400.3418803418804</v>
      </c>
    </row>
    <row r="3626" spans="1:14" x14ac:dyDescent="0.25">
      <c r="A3626" s="47">
        <v>235091</v>
      </c>
      <c r="B3626" s="78">
        <v>45303</v>
      </c>
      <c r="C3626" s="47" t="s">
        <v>354</v>
      </c>
      <c r="D3626" s="49" t="s">
        <v>262</v>
      </c>
      <c r="E3626" s="47">
        <v>16066</v>
      </c>
      <c r="G3626" s="50" t="s">
        <v>241</v>
      </c>
      <c r="H3626" s="51">
        <v>23.016999999999999</v>
      </c>
      <c r="I3626" s="49">
        <v>8.2799999999999994</v>
      </c>
      <c r="J3626" s="51">
        <v>3.69</v>
      </c>
      <c r="K3626" s="74">
        <f>Tabela6[[#This Row],[CONSUMO]]*Tabela6[[#This Row],[VALOR UNIT]]-Tabela6[[#This Row],[DESCONTO]]</f>
        <v>76.652729999999991</v>
      </c>
      <c r="L3626" s="53">
        <f>Tabela6[[#This Row],[CUSTO TOTAL]]/Tabela6[[#This Row],[CONSUMO]]</f>
        <v>3.3302658904288132</v>
      </c>
      <c r="M3626" s="53"/>
      <c r="N3626" s="49"/>
    </row>
    <row r="3627" spans="1:14" x14ac:dyDescent="0.25">
      <c r="A3627" s="47">
        <v>9278</v>
      </c>
      <c r="B3627" s="78">
        <v>45303</v>
      </c>
      <c r="C3627" s="47" t="s">
        <v>354</v>
      </c>
      <c r="D3627" s="49" t="s">
        <v>299</v>
      </c>
      <c r="E3627" s="47">
        <v>16071</v>
      </c>
      <c r="G3627" s="50" t="s">
        <v>89</v>
      </c>
      <c r="H3627" s="51">
        <v>325</v>
      </c>
      <c r="J3627" s="51">
        <v>5.25</v>
      </c>
      <c r="K3627" s="74">
        <f>Tabela6[[#This Row],[CONSUMO]]*Tabela6[[#This Row],[VALOR UNIT]]-Tabela6[[#This Row],[DESCONTO]]</f>
        <v>1706.25</v>
      </c>
      <c r="L3627" s="53">
        <f>Tabela6[[#This Row],[CUSTO TOTAL]]/Tabela6[[#This Row],[CONSUMO]]</f>
        <v>5.25</v>
      </c>
      <c r="M3627" s="50">
        <f>Tabela6[[#This Row],[KM ATUAL]]-E3493</f>
        <v>-126589</v>
      </c>
      <c r="N3627" s="51">
        <f>Tabela6[[#This Row],[KM Rodados ]]/Tabela6[[#This Row],[CONSUMO]]</f>
        <v>-389.50461538461536</v>
      </c>
    </row>
    <row r="3628" spans="1:14" x14ac:dyDescent="0.25">
      <c r="A3628" s="47">
        <v>669996</v>
      </c>
      <c r="B3628" s="78">
        <v>45303</v>
      </c>
      <c r="C3628" s="47" t="s">
        <v>401</v>
      </c>
      <c r="D3628" s="49" t="s">
        <v>402</v>
      </c>
      <c r="E3628" s="47">
        <v>1200</v>
      </c>
      <c r="G3628" s="50" t="s">
        <v>89</v>
      </c>
      <c r="H3628" s="51">
        <v>50.082999999999998</v>
      </c>
      <c r="J3628" s="51">
        <v>5.99</v>
      </c>
      <c r="K3628" s="74">
        <f>Tabela6[[#This Row],[CONSUMO]]*Tabela6[[#This Row],[VALOR UNIT]]-Tabela6[[#This Row],[DESCONTO]]</f>
        <v>299.99716999999998</v>
      </c>
      <c r="L3628" s="53">
        <f>Tabela6[[#This Row],[CUSTO TOTAL]]/Tabela6[[#This Row],[CONSUMO]]</f>
        <v>5.99</v>
      </c>
      <c r="M3628" s="50" t="e">
        <f>Tabela6[[#This Row],[KM ATUAL]]-#REF!</f>
        <v>#REF!</v>
      </c>
      <c r="N3628" s="51" t="e">
        <f>Tabela6[[#This Row],[KM Rodados ]]/Tabela6[[#This Row],[CONSUMO]]</f>
        <v>#REF!</v>
      </c>
    </row>
    <row r="3629" spans="1:14" x14ac:dyDescent="0.25">
      <c r="A3629" s="47">
        <v>124809</v>
      </c>
      <c r="B3629" s="78">
        <v>45304</v>
      </c>
      <c r="C3629" s="47" t="s">
        <v>73</v>
      </c>
      <c r="D3629" s="49" t="s">
        <v>360</v>
      </c>
      <c r="E3629" s="47">
        <v>172795</v>
      </c>
      <c r="G3629" s="50" t="s">
        <v>89</v>
      </c>
      <c r="H3629" s="51">
        <v>40</v>
      </c>
      <c r="J3629" s="51">
        <v>5.79</v>
      </c>
      <c r="K3629" s="74">
        <f>Tabela6[[#This Row],[CONSUMO]]*Tabela6[[#This Row],[VALOR UNIT]]-Tabela6[[#This Row],[DESCONTO]]</f>
        <v>231.6</v>
      </c>
      <c r="L3629" s="53">
        <f>Tabela6[[#This Row],[CUSTO TOTAL]]/Tabela6[[#This Row],[CONSUMO]]</f>
        <v>5.79</v>
      </c>
      <c r="M3629" s="50">
        <f>Tabela6[[#This Row],[KM ATUAL]]-E3607</f>
        <v>-176143</v>
      </c>
      <c r="N3629" s="51">
        <f>Tabela6[[#This Row],[KM Rodados ]]/Tabela6[[#This Row],[CONSUMO]]</f>
        <v>-4403.5749999999998</v>
      </c>
    </row>
    <row r="3630" spans="1:14" x14ac:dyDescent="0.25">
      <c r="A3630" s="47">
        <v>385058</v>
      </c>
      <c r="B3630" s="78">
        <v>45304</v>
      </c>
      <c r="C3630" s="47" t="s">
        <v>301</v>
      </c>
      <c r="D3630" s="49" t="s">
        <v>270</v>
      </c>
      <c r="E3630" s="47">
        <v>1082730</v>
      </c>
      <c r="G3630" s="50" t="s">
        <v>89</v>
      </c>
      <c r="H3630" s="51">
        <v>416.04</v>
      </c>
      <c r="J3630" s="51">
        <v>5.79</v>
      </c>
      <c r="K3630" s="74">
        <f>Tabela6[[#This Row],[CONSUMO]]*Tabela6[[#This Row],[VALOR UNIT]]-Tabela6[[#This Row],[DESCONTO]]</f>
        <v>2408.8715999999999</v>
      </c>
      <c r="L3630" s="53">
        <f>Tabela6[[#This Row],[CUSTO TOTAL]]/Tabela6[[#This Row],[CONSUMO]]</f>
        <v>5.7899999999999991</v>
      </c>
      <c r="M3630" s="50">
        <f>Tabela6[[#This Row],[KM ATUAL]]-E3601</f>
        <v>910444</v>
      </c>
      <c r="N3630" s="51">
        <f>Tabela6[[#This Row],[KM Rodados ]]/Tabela6[[#This Row],[CONSUMO]]</f>
        <v>2188.3568887606962</v>
      </c>
    </row>
    <row r="3631" spans="1:14" x14ac:dyDescent="0.25">
      <c r="A3631" s="47">
        <v>277738</v>
      </c>
      <c r="B3631" s="78">
        <v>45305</v>
      </c>
      <c r="C3631" s="47" t="s">
        <v>9</v>
      </c>
      <c r="D3631" s="49" t="s">
        <v>273</v>
      </c>
      <c r="E3631" s="47">
        <v>643710</v>
      </c>
      <c r="G3631" s="50" t="s">
        <v>89</v>
      </c>
      <c r="H3631" s="51">
        <v>127.1</v>
      </c>
      <c r="J3631" s="51">
        <v>5.65</v>
      </c>
      <c r="K3631" s="74">
        <f>Tabela6[[#This Row],[CONSUMO]]*Tabela6[[#This Row],[VALOR UNIT]]-Tabela6[[#This Row],[DESCONTO]]</f>
        <v>718.11500000000001</v>
      </c>
      <c r="L3631" s="53">
        <f>Tabela6[[#This Row],[CUSTO TOTAL]]/Tabela6[[#This Row],[CONSUMO]]</f>
        <v>5.65</v>
      </c>
      <c r="M3631" s="50">
        <f>Tabela6[[#This Row],[KM ATUAL]]-E3585</f>
        <v>472969</v>
      </c>
      <c r="N3631" s="51">
        <f>Tabela6[[#This Row],[KM Rodados ]]/Tabela6[[#This Row],[CONSUMO]]</f>
        <v>3721.2352478363496</v>
      </c>
    </row>
    <row r="3632" spans="1:14" x14ac:dyDescent="0.25">
      <c r="A3632" s="47">
        <v>178787</v>
      </c>
      <c r="B3632" s="78">
        <v>45305</v>
      </c>
      <c r="C3632" s="47" t="s">
        <v>70</v>
      </c>
      <c r="D3632" s="49" t="s">
        <v>404</v>
      </c>
      <c r="E3632" s="47">
        <v>263760</v>
      </c>
      <c r="G3632" s="50" t="s">
        <v>241</v>
      </c>
      <c r="H3632" s="51">
        <v>6.09</v>
      </c>
      <c r="J3632" s="51">
        <v>2.99</v>
      </c>
      <c r="K3632" s="74">
        <f>Tabela6[[#This Row],[CONSUMO]]*Tabela6[[#This Row],[VALOR UNIT]]-Tabela6[[#This Row],[DESCONTO]]</f>
        <v>18.209099999999999</v>
      </c>
      <c r="L3632" s="53">
        <f>Tabela6[[#This Row],[CUSTO TOTAL]]/Tabela6[[#This Row],[CONSUMO]]</f>
        <v>2.9899999999999998</v>
      </c>
      <c r="M3632" s="53"/>
      <c r="N3632" s="49"/>
    </row>
    <row r="3633" spans="1:14" x14ac:dyDescent="0.25">
      <c r="A3633" s="47">
        <v>178786</v>
      </c>
      <c r="B3633" s="78">
        <v>45305</v>
      </c>
      <c r="C3633" s="47" t="s">
        <v>70</v>
      </c>
      <c r="D3633" s="49" t="s">
        <v>404</v>
      </c>
      <c r="E3633" s="47">
        <v>263760</v>
      </c>
      <c r="G3633" s="50" t="s">
        <v>89</v>
      </c>
      <c r="H3633" s="51">
        <v>663</v>
      </c>
      <c r="J3633" s="51">
        <v>5.69</v>
      </c>
      <c r="K3633" s="74">
        <f>Tabela6[[#This Row],[CONSUMO]]*Tabela6[[#This Row],[VALOR UNIT]]-Tabela6[[#This Row],[DESCONTO]]</f>
        <v>3772.4700000000003</v>
      </c>
      <c r="L3633" s="53">
        <f>Tabela6[[#This Row],[CUSTO TOTAL]]/Tabela6[[#This Row],[CONSUMO]]</f>
        <v>5.69</v>
      </c>
      <c r="M3633" s="50">
        <f>Tabela6[[#This Row],[KM ATUAL]]-E3587</f>
        <v>-117149</v>
      </c>
      <c r="N3633" s="51">
        <f>Tabela6[[#This Row],[KM Rodados ]]/Tabela6[[#This Row],[CONSUMO]]</f>
        <v>-176.69532428355959</v>
      </c>
    </row>
    <row r="3634" spans="1:14" x14ac:dyDescent="0.25">
      <c r="A3634" s="47">
        <v>1083262</v>
      </c>
      <c r="B3634" s="78">
        <v>45305</v>
      </c>
      <c r="C3634" s="47" t="s">
        <v>203</v>
      </c>
      <c r="D3634" s="49" t="s">
        <v>237</v>
      </c>
      <c r="E3634" s="47">
        <v>134183</v>
      </c>
      <c r="G3634" s="50" t="s">
        <v>244</v>
      </c>
      <c r="H3634" s="51">
        <v>29.26</v>
      </c>
      <c r="J3634" s="51">
        <v>5.29</v>
      </c>
      <c r="K3634" s="74">
        <f>Tabela6[[#This Row],[CONSUMO]]*Tabela6[[#This Row],[VALOR UNIT]]-Tabela6[[#This Row],[DESCONTO]]</f>
        <v>154.78540000000001</v>
      </c>
      <c r="L3634" s="53">
        <f>Tabela6[[#This Row],[CUSTO TOTAL]]/Tabela6[[#This Row],[CONSUMO]]</f>
        <v>5.29</v>
      </c>
      <c r="M3634" s="53" t="e" cm="1">
        <f t="array" ref="M3634">SE</f>
        <v>#NAME?</v>
      </c>
      <c r="N3634" s="49" t="e">
        <f>Tabela6[[#This Row],[KM Rodados ]]/Tabela6[[#This Row],[CONSUMO]]</f>
        <v>#NAME?</v>
      </c>
    </row>
    <row r="3635" spans="1:14" x14ac:dyDescent="0.25">
      <c r="A3635" s="47">
        <v>231959</v>
      </c>
      <c r="B3635" s="78">
        <v>45305</v>
      </c>
      <c r="C3635" s="47" t="s">
        <v>301</v>
      </c>
      <c r="D3635" s="49" t="s">
        <v>374</v>
      </c>
      <c r="E3635" s="47">
        <v>1083810</v>
      </c>
      <c r="G3635" s="50" t="s">
        <v>89</v>
      </c>
      <c r="H3635" s="51">
        <v>414</v>
      </c>
      <c r="J3635" s="51">
        <v>5.65</v>
      </c>
      <c r="K3635" s="74">
        <f>Tabela6[[#This Row],[CONSUMO]]*Tabela6[[#This Row],[VALOR UNIT]]-Tabela6[[#This Row],[DESCONTO]]</f>
        <v>2339.1000000000004</v>
      </c>
      <c r="L3635" s="53">
        <f>Tabela6[[#This Row],[CUSTO TOTAL]]/Tabela6[[#This Row],[CONSUMO]]</f>
        <v>5.6500000000000012</v>
      </c>
      <c r="M3635" s="50">
        <f>Tabela6[[#This Row],[KM ATUAL]]-E3632</f>
        <v>820050</v>
      </c>
      <c r="N3635" s="51">
        <f>Tabela6[[#This Row],[KM Rodados ]]/Tabela6[[#This Row],[CONSUMO]]</f>
        <v>1980.7971014492753</v>
      </c>
    </row>
    <row r="3636" spans="1:14" x14ac:dyDescent="0.25">
      <c r="A3636" s="47">
        <v>9278</v>
      </c>
      <c r="B3636" s="78">
        <v>45306</v>
      </c>
      <c r="C3636" s="47" t="s">
        <v>43</v>
      </c>
      <c r="D3636" s="49" t="s">
        <v>299</v>
      </c>
      <c r="E3636" s="47">
        <v>171371</v>
      </c>
      <c r="G3636" s="50" t="s">
        <v>89</v>
      </c>
      <c r="H3636" s="51">
        <v>32</v>
      </c>
      <c r="J3636" s="51">
        <v>5.25</v>
      </c>
      <c r="K3636" s="74">
        <f>Tabela6[[#This Row],[CONSUMO]]*Tabela6[[#This Row],[VALOR UNIT]]-Tabela6[[#This Row],[DESCONTO]]</f>
        <v>168</v>
      </c>
      <c r="L3636" s="53">
        <f>Tabela6[[#This Row],[CUSTO TOTAL]]/Tabela6[[#This Row],[CONSUMO]]</f>
        <v>5.25</v>
      </c>
      <c r="M3636" s="50">
        <f>Tabela6[[#This Row],[KM ATUAL]]-E3584</f>
        <v>937</v>
      </c>
      <c r="N3636" s="51">
        <f>Tabela6[[#This Row],[KM Rodados ]]/Tabela6[[#This Row],[CONSUMO]]</f>
        <v>29.28125</v>
      </c>
    </row>
    <row r="3637" spans="1:14" x14ac:dyDescent="0.25">
      <c r="A3637" s="47">
        <v>9278</v>
      </c>
      <c r="B3637" s="78">
        <v>45306</v>
      </c>
      <c r="C3637" s="47" t="s">
        <v>394</v>
      </c>
      <c r="D3637" s="49" t="s">
        <v>299</v>
      </c>
      <c r="E3637" s="47">
        <v>883379</v>
      </c>
      <c r="G3637" s="50" t="s">
        <v>89</v>
      </c>
      <c r="H3637" s="51">
        <v>140</v>
      </c>
      <c r="J3637" s="51">
        <v>5.25</v>
      </c>
      <c r="K3637" s="74">
        <f>Tabela6[[#This Row],[CONSUMO]]*Tabela6[[#This Row],[VALOR UNIT]]-Tabela6[[#This Row],[DESCONTO]]</f>
        <v>735</v>
      </c>
      <c r="L3637" s="53">
        <f>Tabela6[[#This Row],[CUSTO TOTAL]]/Tabela6[[#This Row],[CONSUMO]]</f>
        <v>5.25</v>
      </c>
      <c r="M3637" s="51">
        <f>Tabela6[[#This Row],[KM ATUAL]]-E3595</f>
        <v>712252</v>
      </c>
      <c r="N3637" s="51">
        <f>Tabela6[[#This Row],[KM Rodados ]]/Tabela6[[#This Row],[CONSUMO]]</f>
        <v>5087.5142857142855</v>
      </c>
    </row>
    <row r="3638" spans="1:14" x14ac:dyDescent="0.25">
      <c r="A3638" s="47">
        <v>126385</v>
      </c>
      <c r="B3638" s="78">
        <v>45306</v>
      </c>
      <c r="C3638" s="47" t="s">
        <v>9</v>
      </c>
      <c r="D3638" s="49" t="s">
        <v>300</v>
      </c>
      <c r="E3638" s="47">
        <v>644043</v>
      </c>
      <c r="G3638" s="50" t="s">
        <v>89</v>
      </c>
      <c r="H3638" s="51">
        <v>97</v>
      </c>
      <c r="J3638" s="51">
        <v>5.79</v>
      </c>
      <c r="K3638" s="74">
        <f>Tabela6[[#This Row],[CONSUMO]]*Tabela6[[#This Row],[VALOR UNIT]]-Tabela6[[#This Row],[DESCONTO]]</f>
        <v>561.63</v>
      </c>
      <c r="L3638" s="53">
        <f>Tabela6[[#This Row],[CUSTO TOTAL]]/Tabela6[[#This Row],[CONSUMO]]</f>
        <v>5.79</v>
      </c>
      <c r="M3638" s="50">
        <f>Tabela6[[#This Row],[KM ATUAL]]-E3633</f>
        <v>380283</v>
      </c>
      <c r="N3638" s="51">
        <f>Tabela6[[#This Row],[KM Rodados ]]/Tabela6[[#This Row],[CONSUMO]]</f>
        <v>3920.4432989690722</v>
      </c>
    </row>
    <row r="3639" spans="1:14" x14ac:dyDescent="0.25">
      <c r="A3639" s="47">
        <v>9278</v>
      </c>
      <c r="B3639" s="78">
        <v>45306</v>
      </c>
      <c r="C3639" s="47" t="s">
        <v>67</v>
      </c>
      <c r="D3639" s="49" t="s">
        <v>299</v>
      </c>
      <c r="E3639" s="47">
        <v>695742</v>
      </c>
      <c r="G3639" s="50" t="s">
        <v>89</v>
      </c>
      <c r="H3639" s="51">
        <v>127</v>
      </c>
      <c r="J3639" s="51">
        <v>5.25</v>
      </c>
      <c r="K3639" s="74">
        <f>Tabela6[[#This Row],[CONSUMO]]*Tabela6[[#This Row],[VALOR UNIT]]-Tabela6[[#This Row],[DESCONTO]]</f>
        <v>666.75</v>
      </c>
      <c r="L3639" s="53">
        <f>Tabela6[[#This Row],[CUSTO TOTAL]]/Tabela6[[#This Row],[CONSUMO]]</f>
        <v>5.25</v>
      </c>
      <c r="M3639" s="50">
        <f>Tabela6[[#This Row],[KM ATUAL]]-E3595</f>
        <v>524615</v>
      </c>
      <c r="N3639" s="51">
        <f>Tabela6[[#This Row],[KM Rodados ]]/Tabela6[[#This Row],[CONSUMO]]</f>
        <v>4130.8267716535429</v>
      </c>
    </row>
    <row r="3640" spans="1:14" x14ac:dyDescent="0.25">
      <c r="A3640" s="47">
        <v>235831</v>
      </c>
      <c r="B3640" s="78">
        <v>45306</v>
      </c>
      <c r="C3640" s="47" t="s">
        <v>215</v>
      </c>
      <c r="D3640" s="49" t="s">
        <v>262</v>
      </c>
      <c r="E3640" s="47">
        <v>233014</v>
      </c>
      <c r="G3640" s="50" t="s">
        <v>244</v>
      </c>
      <c r="H3640" s="51">
        <v>36.96</v>
      </c>
      <c r="J3640" s="51">
        <v>5.49</v>
      </c>
      <c r="K3640" s="74">
        <f>Tabela6[[#This Row],[CONSUMO]]*Tabela6[[#This Row],[VALOR UNIT]]-Tabela6[[#This Row],[DESCONTO]]</f>
        <v>202.91040000000001</v>
      </c>
      <c r="L3640" s="53">
        <f>Tabela6[[#This Row],[CUSTO TOTAL]]/Tabela6[[#This Row],[CONSUMO]]</f>
        <v>5.49</v>
      </c>
      <c r="M3640" s="53" t="e" cm="1">
        <f t="array" ref="M3640">SE</f>
        <v>#NAME?</v>
      </c>
      <c r="N3640" s="49" t="e">
        <f>Tabela6[[#This Row],[KM Rodados ]]/Tabela6[[#This Row],[CONSUMO]]</f>
        <v>#NAME?</v>
      </c>
    </row>
    <row r="3641" spans="1:14" x14ac:dyDescent="0.25">
      <c r="A3641" s="47">
        <v>178904</v>
      </c>
      <c r="B3641" s="78">
        <v>45306</v>
      </c>
      <c r="C3641" s="47" t="s">
        <v>70</v>
      </c>
      <c r="D3641" s="49" t="s">
        <v>404</v>
      </c>
      <c r="E3641" s="47">
        <v>255021</v>
      </c>
      <c r="G3641" s="50" t="s">
        <v>89</v>
      </c>
      <c r="H3641" s="51">
        <v>522.22</v>
      </c>
      <c r="J3641" s="51">
        <v>5.69</v>
      </c>
      <c r="K3641" s="74">
        <f>Tabela6[[#This Row],[CONSUMO]]*Tabela6[[#This Row],[VALOR UNIT]]-Tabela6[[#This Row],[DESCONTO]]</f>
        <v>2971.4318000000003</v>
      </c>
      <c r="L3641" s="53">
        <f>Tabela6[[#This Row],[CUSTO TOTAL]]/Tabela6[[#This Row],[CONSUMO]]</f>
        <v>5.69</v>
      </c>
      <c r="M3641" s="50">
        <f>Tabela6[[#This Row],[KM ATUAL]]-E3632</f>
        <v>-8739</v>
      </c>
      <c r="N3641" s="51">
        <f>Tabela6[[#This Row],[KM Rodados ]]/Tabela6[[#This Row],[CONSUMO]]</f>
        <v>-16.73432652904906</v>
      </c>
    </row>
    <row r="3642" spans="1:14" x14ac:dyDescent="0.25">
      <c r="A3642" s="47">
        <v>339534</v>
      </c>
      <c r="B3642" s="78">
        <v>45306</v>
      </c>
      <c r="C3642" s="47" t="s">
        <v>203</v>
      </c>
      <c r="D3642" s="49" t="s">
        <v>296</v>
      </c>
      <c r="E3642" s="47">
        <v>134682</v>
      </c>
      <c r="G3642" s="50" t="s">
        <v>244</v>
      </c>
      <c r="H3642" s="51">
        <v>40.44</v>
      </c>
      <c r="J3642" s="51">
        <v>5.59</v>
      </c>
      <c r="K3642" s="74">
        <f>Tabela6[[#This Row],[CONSUMO]]*Tabela6[[#This Row],[VALOR UNIT]]-Tabela6[[#This Row],[DESCONTO]]</f>
        <v>226.05959999999999</v>
      </c>
      <c r="L3642" s="53">
        <f>Tabela6[[#This Row],[CUSTO TOTAL]]/Tabela6[[#This Row],[CONSUMO]]</f>
        <v>5.59</v>
      </c>
      <c r="M3642" s="53" t="e" cm="1">
        <f t="array" ref="M3642">SE</f>
        <v>#NAME?</v>
      </c>
      <c r="N3642" s="49" t="e">
        <f>Tabela6[[#This Row],[KM Rodados ]]/Tabela6[[#This Row],[CONSUMO]]</f>
        <v>#NAME?</v>
      </c>
    </row>
    <row r="3643" spans="1:14" x14ac:dyDescent="0.25">
      <c r="A3643" s="47">
        <v>9278</v>
      </c>
      <c r="B3643" s="78">
        <v>45306</v>
      </c>
      <c r="C3643" s="47" t="s">
        <v>72</v>
      </c>
      <c r="D3643" s="49" t="s">
        <v>299</v>
      </c>
      <c r="E3643" s="47">
        <v>435802</v>
      </c>
      <c r="G3643" s="50" t="s">
        <v>89</v>
      </c>
      <c r="H3643" s="51">
        <v>21</v>
      </c>
      <c r="J3643" s="51">
        <v>5.25</v>
      </c>
      <c r="K3643" s="74">
        <f>Tabela6[[#This Row],[CONSUMO]]*Tabela6[[#This Row],[VALOR UNIT]]-Tabela6[[#This Row],[DESCONTO]]</f>
        <v>110.25</v>
      </c>
      <c r="L3643" s="53">
        <f>Tabela6[[#This Row],[CUSTO TOTAL]]/Tabela6[[#This Row],[CONSUMO]]</f>
        <v>5.25</v>
      </c>
      <c r="M3643" s="50">
        <f>Tabela6[[#This Row],[KM ATUAL]]-E3617</f>
        <v>547</v>
      </c>
      <c r="N3643" s="51">
        <f>Tabela6[[#This Row],[KM Rodados ]]/Tabela6[[#This Row],[CONSUMO]]</f>
        <v>26.047619047619047</v>
      </c>
    </row>
    <row r="3644" spans="1:14" x14ac:dyDescent="0.25">
      <c r="A3644" s="47">
        <v>9278</v>
      </c>
      <c r="B3644" s="78">
        <v>45306</v>
      </c>
      <c r="C3644" s="47" t="s">
        <v>73</v>
      </c>
      <c r="D3644" s="49" t="s">
        <v>299</v>
      </c>
      <c r="E3644" s="47">
        <v>173073</v>
      </c>
      <c r="G3644" s="50" t="s">
        <v>89</v>
      </c>
      <c r="H3644" s="51">
        <v>190</v>
      </c>
      <c r="J3644" s="51">
        <v>5.25</v>
      </c>
      <c r="K3644" s="74">
        <f>Tabela6[[#This Row],[CONSUMO]]*Tabela6[[#This Row],[VALOR UNIT]]-Tabela6[[#This Row],[DESCONTO]]</f>
        <v>997.5</v>
      </c>
      <c r="L3644" s="53">
        <f>Tabela6[[#This Row],[CUSTO TOTAL]]/Tabela6[[#This Row],[CONSUMO]]</f>
        <v>5.25</v>
      </c>
      <c r="M3644" s="50">
        <f>Tabela6[[#This Row],[KM ATUAL]]-E3626</f>
        <v>157007</v>
      </c>
      <c r="N3644" s="51">
        <f>Tabela6[[#This Row],[KM Rodados ]]/Tabela6[[#This Row],[CONSUMO]]</f>
        <v>826.35263157894735</v>
      </c>
    </row>
    <row r="3645" spans="1:14" x14ac:dyDescent="0.25">
      <c r="A3645" s="47">
        <v>9278</v>
      </c>
      <c r="B3645" s="78">
        <v>45306</v>
      </c>
      <c r="C3645" s="47" t="s">
        <v>41</v>
      </c>
      <c r="D3645" s="49" t="s">
        <v>299</v>
      </c>
      <c r="E3645" s="47">
        <v>694347</v>
      </c>
      <c r="G3645" s="50" t="s">
        <v>89</v>
      </c>
      <c r="H3645" s="51">
        <v>151</v>
      </c>
      <c r="J3645" s="51">
        <v>5.25</v>
      </c>
      <c r="K3645" s="74">
        <f>Tabela6[[#This Row],[CONSUMO]]*Tabela6[[#This Row],[VALOR UNIT]]-Tabela6[[#This Row],[DESCONTO]]</f>
        <v>792.75</v>
      </c>
      <c r="L3645" s="53">
        <f>Tabela6[[#This Row],[CUSTO TOTAL]]/Tabela6[[#This Row],[CONSUMO]]</f>
        <v>5.25</v>
      </c>
      <c r="M3645" s="50">
        <f>Tabela6[[#This Row],[KM ATUAL]]-E3483</f>
        <v>286235</v>
      </c>
      <c r="N3645" s="51">
        <f>Tabela6[[#This Row],[KM Rodados ]]/Tabela6[[#This Row],[CONSUMO]]</f>
        <v>1895.5960264900662</v>
      </c>
    </row>
    <row r="3646" spans="1:14" x14ac:dyDescent="0.25">
      <c r="A3646" s="47">
        <v>46413</v>
      </c>
      <c r="B3646" s="78">
        <v>45306</v>
      </c>
      <c r="C3646" s="47" t="s">
        <v>301</v>
      </c>
      <c r="D3646" s="49" t="s">
        <v>343</v>
      </c>
      <c r="E3646" s="47">
        <v>1084280</v>
      </c>
      <c r="G3646" s="50" t="s">
        <v>89</v>
      </c>
      <c r="H3646" s="51">
        <v>440.1</v>
      </c>
      <c r="J3646" s="51">
        <v>5.59</v>
      </c>
      <c r="K3646" s="74">
        <f>Tabela6[[#This Row],[CONSUMO]]*Tabela6[[#This Row],[VALOR UNIT]]-Tabela6[[#This Row],[DESCONTO]]</f>
        <v>2460.1590000000001</v>
      </c>
      <c r="L3646" s="53">
        <f>Tabela6[[#This Row],[CUSTO TOTAL]]/Tabela6[[#This Row],[CONSUMO]]</f>
        <v>5.59</v>
      </c>
      <c r="M3646" s="50">
        <f>Tabela6[[#This Row],[KM ATUAL]]-E3637</f>
        <v>200901</v>
      </c>
      <c r="N3646" s="51">
        <f>Tabela6[[#This Row],[KM Rodados ]]/Tabela6[[#This Row],[CONSUMO]]</f>
        <v>456.48943421949554</v>
      </c>
    </row>
    <row r="3647" spans="1:14" x14ac:dyDescent="0.25">
      <c r="A3647" s="47">
        <v>9278</v>
      </c>
      <c r="B3647" s="78">
        <v>45306</v>
      </c>
      <c r="C3647" s="47" t="s">
        <v>13</v>
      </c>
      <c r="D3647" s="49" t="s">
        <v>299</v>
      </c>
      <c r="E3647" s="47">
        <v>674246</v>
      </c>
      <c r="G3647" s="50" t="s">
        <v>89</v>
      </c>
      <c r="H3647" s="51">
        <v>92</v>
      </c>
      <c r="J3647" s="51">
        <v>5.25</v>
      </c>
      <c r="K3647" s="74">
        <f>Tabela6[[#This Row],[CONSUMO]]*Tabela6[[#This Row],[VALOR UNIT]]-Tabela6[[#This Row],[DESCONTO]]</f>
        <v>483</v>
      </c>
      <c r="L3647" s="53">
        <f>Tabela6[[#This Row],[CUSTO TOTAL]]/Tabela6[[#This Row],[CONSUMO]]</f>
        <v>5.25</v>
      </c>
      <c r="M3647" s="50">
        <f>Tabela6[[#This Row],[KM ATUAL]]-E3605</f>
        <v>266359</v>
      </c>
      <c r="N3647" s="51">
        <f>Tabela6[[#This Row],[KM Rodados ]]/Tabela6[[#This Row],[CONSUMO]]</f>
        <v>2895.2065217391305</v>
      </c>
    </row>
    <row r="3648" spans="1:14" x14ac:dyDescent="0.25">
      <c r="A3648" s="47">
        <v>235904</v>
      </c>
      <c r="B3648" s="78">
        <v>45306</v>
      </c>
      <c r="C3648" s="47" t="s">
        <v>14</v>
      </c>
      <c r="D3648" s="49" t="s">
        <v>262</v>
      </c>
      <c r="E3648" s="47">
        <v>312053</v>
      </c>
      <c r="G3648" s="50" t="s">
        <v>244</v>
      </c>
      <c r="H3648" s="51">
        <v>25.29</v>
      </c>
      <c r="J3648" s="51">
        <v>5.49</v>
      </c>
      <c r="K3648" s="74">
        <f>Tabela6[[#This Row],[CONSUMO]]*Tabela6[[#This Row],[VALOR UNIT]]-Tabela6[[#This Row],[DESCONTO]]</f>
        <v>138.84209999999999</v>
      </c>
      <c r="L3648" s="53">
        <f>Tabela6[[#This Row],[CUSTO TOTAL]]/Tabela6[[#This Row],[CONSUMO]]</f>
        <v>5.4899999999999993</v>
      </c>
      <c r="M3648" s="53" t="e" cm="1">
        <f t="array" ref="M3648">SE</f>
        <v>#NAME?</v>
      </c>
      <c r="N3648" s="49" t="e">
        <f>Tabela6[[#This Row],[KM Rodados ]]/Tabela6[[#This Row],[CONSUMO]]</f>
        <v>#NAME?</v>
      </c>
    </row>
    <row r="3649" spans="1:14" x14ac:dyDescent="0.25">
      <c r="A3649" s="47">
        <v>1232733</v>
      </c>
      <c r="B3649" s="78">
        <v>45306</v>
      </c>
      <c r="C3649" s="47" t="s">
        <v>14</v>
      </c>
      <c r="D3649" s="49" t="s">
        <v>263</v>
      </c>
      <c r="E3649" s="47">
        <v>311658</v>
      </c>
      <c r="G3649" s="50" t="s">
        <v>244</v>
      </c>
      <c r="H3649" s="51">
        <v>17.791</v>
      </c>
      <c r="J3649" s="51">
        <v>5.64</v>
      </c>
      <c r="K3649" s="74">
        <f>Tabela6[[#This Row],[CONSUMO]]*Tabela6[[#This Row],[VALOR UNIT]]-Tabela6[[#This Row],[DESCONTO]]</f>
        <v>100.34124</v>
      </c>
      <c r="L3649" s="53">
        <f>Tabela6[[#This Row],[CUSTO TOTAL]]/Tabela6[[#This Row],[CONSUMO]]</f>
        <v>5.64</v>
      </c>
      <c r="M3649" s="53" t="e" cm="1">
        <f t="array" ref="M3649">SE</f>
        <v>#NAME?</v>
      </c>
      <c r="N3649" s="49" t="e">
        <f>Tabela6[[#This Row],[KM Rodados ]]/Tabela6[[#This Row],[CONSUMO]]</f>
        <v>#NAME?</v>
      </c>
    </row>
    <row r="3650" spans="1:14" x14ac:dyDescent="0.25">
      <c r="A3650" s="47">
        <v>9278</v>
      </c>
      <c r="B3650" s="78">
        <v>45306</v>
      </c>
      <c r="C3650" s="47" t="s">
        <v>15</v>
      </c>
      <c r="D3650" s="49" t="s">
        <v>299</v>
      </c>
      <c r="E3650" s="47">
        <v>408340</v>
      </c>
      <c r="G3650" s="50" t="s">
        <v>89</v>
      </c>
      <c r="H3650" s="51">
        <v>70</v>
      </c>
      <c r="J3650" s="51">
        <v>5.25</v>
      </c>
      <c r="K3650" s="74">
        <f>Tabela6[[#This Row],[CONSUMO]]*Tabela6[[#This Row],[VALOR UNIT]]-Tabela6[[#This Row],[DESCONTO]]</f>
        <v>367.5</v>
      </c>
      <c r="L3650" s="53">
        <f>Tabela6[[#This Row],[CUSTO TOTAL]]/Tabela6[[#This Row],[CONSUMO]]</f>
        <v>5.25</v>
      </c>
      <c r="M3650" s="50">
        <f>Tabela6[[#This Row],[KM ATUAL]]-E3611</f>
        <v>408340</v>
      </c>
      <c r="N3650" s="51">
        <f>Tabela6[[#This Row],[KM Rodados ]]/Tabela6[[#This Row],[CONSUMO]]</f>
        <v>5833.4285714285716</v>
      </c>
    </row>
    <row r="3651" spans="1:14" x14ac:dyDescent="0.25">
      <c r="A3651" s="47">
        <v>9278</v>
      </c>
      <c r="B3651" s="78">
        <v>45306</v>
      </c>
      <c r="C3651" s="47" t="s">
        <v>19</v>
      </c>
      <c r="D3651" s="49" t="s">
        <v>299</v>
      </c>
      <c r="E3651" s="47">
        <v>349610</v>
      </c>
      <c r="G3651" s="50" t="s">
        <v>89</v>
      </c>
      <c r="H3651" s="51">
        <v>128</v>
      </c>
      <c r="J3651" s="51">
        <v>5.25</v>
      </c>
      <c r="K3651" s="74">
        <f>Tabela6[[#This Row],[CONSUMO]]*Tabela6[[#This Row],[VALOR UNIT]]-Tabela6[[#This Row],[DESCONTO]]</f>
        <v>672</v>
      </c>
      <c r="L3651" s="53">
        <f>Tabela6[[#This Row],[CUSTO TOTAL]]/Tabela6[[#This Row],[CONSUMO]]</f>
        <v>5.25</v>
      </c>
      <c r="M3651" s="50">
        <f>Tabela6[[#This Row],[KM ATUAL]]-E3612</f>
        <v>-596455</v>
      </c>
      <c r="N3651" s="51">
        <f>Tabela6[[#This Row],[KM Rodados ]]/Tabela6[[#This Row],[CONSUMO]]</f>
        <v>-4659.8046875</v>
      </c>
    </row>
    <row r="3652" spans="1:14" x14ac:dyDescent="0.25">
      <c r="A3652" s="47">
        <v>367175</v>
      </c>
      <c r="B3652" s="78">
        <v>45306</v>
      </c>
      <c r="C3652" s="47" t="s">
        <v>38</v>
      </c>
      <c r="D3652" s="49" t="s">
        <v>276</v>
      </c>
      <c r="E3652" s="47">
        <v>142376</v>
      </c>
      <c r="G3652" s="50" t="s">
        <v>244</v>
      </c>
      <c r="H3652" s="51">
        <v>41.56</v>
      </c>
      <c r="J3652" s="51">
        <v>5.59</v>
      </c>
      <c r="K3652" s="74">
        <f>Tabela6[[#This Row],[CONSUMO]]*Tabela6[[#This Row],[VALOR UNIT]]-Tabela6[[#This Row],[DESCONTO]]</f>
        <v>232.32040000000001</v>
      </c>
      <c r="L3652" s="53">
        <f>Tabela6[[#This Row],[CUSTO TOTAL]]/Tabela6[[#This Row],[CONSUMO]]</f>
        <v>5.59</v>
      </c>
      <c r="M3652" s="53" t="e" cm="1">
        <f t="array" ref="M3652">SE</f>
        <v>#NAME?</v>
      </c>
      <c r="N3652" s="49" t="e">
        <f>Tabela6[[#This Row],[KM Rodados ]]/Tabela6[[#This Row],[CONSUMO]]</f>
        <v>#NAME?</v>
      </c>
    </row>
    <row r="3653" spans="1:14" x14ac:dyDescent="0.25">
      <c r="A3653" s="47">
        <v>367175</v>
      </c>
      <c r="B3653" s="78">
        <v>45306</v>
      </c>
      <c r="C3653" s="47" t="s">
        <v>38</v>
      </c>
      <c r="D3653" s="49" t="s">
        <v>276</v>
      </c>
      <c r="E3653" s="47">
        <v>142376</v>
      </c>
      <c r="G3653" s="50" t="s">
        <v>244</v>
      </c>
      <c r="H3653" s="51">
        <v>41.56</v>
      </c>
      <c r="J3653" s="51">
        <v>5.59</v>
      </c>
      <c r="K3653" s="74">
        <f>Tabela6[[#This Row],[CONSUMO]]*Tabela6[[#This Row],[VALOR UNIT]]-Tabela6[[#This Row],[DESCONTO]]</f>
        <v>232.32040000000001</v>
      </c>
      <c r="L3653" s="53">
        <f>Tabela6[[#This Row],[CUSTO TOTAL]]/Tabela6[[#This Row],[CONSUMO]]</f>
        <v>5.59</v>
      </c>
      <c r="M3653" s="53" t="e">
        <f t="array" ref="M3653">SE</f>
        <v>#NAME?</v>
      </c>
      <c r="N3653" s="49" t="e">
        <f>Tabela6[[#This Row],[KM Rodados ]]/Tabela6[[#This Row],[CONSUMO]]</f>
        <v>#NAME?</v>
      </c>
    </row>
    <row r="3654" spans="1:14" x14ac:dyDescent="0.25">
      <c r="A3654" s="47">
        <v>597090</v>
      </c>
      <c r="B3654" s="78">
        <v>45306</v>
      </c>
      <c r="C3654" s="47" t="s">
        <v>38</v>
      </c>
      <c r="D3654" s="49" t="s">
        <v>255</v>
      </c>
      <c r="E3654" s="47">
        <v>141870</v>
      </c>
      <c r="G3654" s="50" t="s">
        <v>244</v>
      </c>
      <c r="H3654" s="51">
        <v>51.170999999999999</v>
      </c>
      <c r="J3654" s="51">
        <v>5.74</v>
      </c>
      <c r="K3654" s="74">
        <f>Tabela6[[#This Row],[CONSUMO]]*Tabela6[[#This Row],[VALOR UNIT]]-Tabela6[[#This Row],[DESCONTO]]</f>
        <v>293.72154</v>
      </c>
      <c r="L3654" s="53">
        <f>Tabela6[[#This Row],[CUSTO TOTAL]]/Tabela6[[#This Row],[CONSUMO]]</f>
        <v>5.74</v>
      </c>
      <c r="M3654" s="53" t="e">
        <f t="array" ref="M3654">SE</f>
        <v>#NAME?</v>
      </c>
      <c r="N3654" s="49" t="e">
        <f>Tabela6[[#This Row],[KM Rodados ]]/Tabela6[[#This Row],[CONSUMO]]</f>
        <v>#NAME?</v>
      </c>
    </row>
    <row r="3655" spans="1:14" x14ac:dyDescent="0.25">
      <c r="A3655" s="47">
        <v>235773</v>
      </c>
      <c r="B3655" s="78">
        <v>45306</v>
      </c>
      <c r="C3655" s="47" t="s">
        <v>40</v>
      </c>
      <c r="D3655" s="49" t="s">
        <v>262</v>
      </c>
      <c r="E3655" s="47">
        <v>179907</v>
      </c>
      <c r="G3655" s="50" t="s">
        <v>244</v>
      </c>
      <c r="H3655" s="51">
        <v>38.020000000000003</v>
      </c>
      <c r="J3655" s="51">
        <v>5.49</v>
      </c>
      <c r="K3655" s="74">
        <f>Tabela6[[#This Row],[CONSUMO]]*Tabela6[[#This Row],[VALOR UNIT]]-Tabela6[[#This Row],[DESCONTO]]</f>
        <v>208.72980000000001</v>
      </c>
      <c r="L3655" s="53">
        <f>Tabela6[[#This Row],[CUSTO TOTAL]]/Tabela6[[#This Row],[CONSUMO]]</f>
        <v>5.49</v>
      </c>
      <c r="M3655" s="53" t="e" cm="1">
        <f t="array" ref="M3655">SE</f>
        <v>#NAME?</v>
      </c>
      <c r="N3655" s="49" t="e">
        <f>Tabela6[[#This Row],[KM Rodados ]]/Tabela6[[#This Row],[CONSUMO]]</f>
        <v>#NAME?</v>
      </c>
    </row>
    <row r="3656" spans="1:14" x14ac:dyDescent="0.25">
      <c r="A3656" s="47">
        <v>9278</v>
      </c>
      <c r="B3656" s="78">
        <v>45306</v>
      </c>
      <c r="C3656" s="47" t="s">
        <v>74</v>
      </c>
      <c r="D3656" s="49" t="s">
        <v>299</v>
      </c>
      <c r="E3656" s="47">
        <v>102842</v>
      </c>
      <c r="G3656" s="50" t="s">
        <v>89</v>
      </c>
      <c r="H3656" s="51">
        <v>69</v>
      </c>
      <c r="J3656" s="51">
        <v>5.25</v>
      </c>
      <c r="K3656" s="74">
        <f>Tabela6[[#This Row],[CONSUMO]]*Tabela6[[#This Row],[VALOR UNIT]]-Tabela6[[#This Row],[DESCONTO]]</f>
        <v>362.25</v>
      </c>
      <c r="L3656" s="53">
        <f>Tabela6[[#This Row],[CUSTO TOTAL]]/Tabela6[[#This Row],[CONSUMO]]</f>
        <v>5.25</v>
      </c>
      <c r="M3656" s="50">
        <f>Tabela6[[#This Row],[KM ATUAL]]-E3598</f>
        <v>-592420</v>
      </c>
      <c r="N3656" s="51">
        <f>Tabela6[[#This Row],[KM Rodados ]]/Tabela6[[#This Row],[CONSUMO]]</f>
        <v>-8585.7971014492759</v>
      </c>
    </row>
    <row r="3657" spans="1:14" x14ac:dyDescent="0.25">
      <c r="A3657" s="47">
        <v>9278</v>
      </c>
      <c r="B3657" s="78">
        <v>45307</v>
      </c>
      <c r="C3657" s="47" t="s">
        <v>39</v>
      </c>
      <c r="D3657" s="49" t="s">
        <v>299</v>
      </c>
      <c r="E3657" s="47">
        <v>116807</v>
      </c>
      <c r="G3657" s="50" t="s">
        <v>89</v>
      </c>
      <c r="H3657" s="51">
        <v>60</v>
      </c>
      <c r="J3657" s="51">
        <v>5.25</v>
      </c>
      <c r="K3657" s="74">
        <f>Tabela6[[#This Row],[CONSUMO]]*Tabela6[[#This Row],[VALOR UNIT]]-Tabela6[[#This Row],[DESCONTO]]</f>
        <v>315</v>
      </c>
      <c r="L3657" s="53">
        <f>Tabela6[[#This Row],[CUSTO TOTAL]]/Tabela6[[#This Row],[CONSUMO]]</f>
        <v>5.25</v>
      </c>
      <c r="M3657" s="50">
        <f>Tabela6[[#This Row],[KM ATUAL]]-E3604</f>
        <v>-194155</v>
      </c>
      <c r="N3657" s="51">
        <f>Tabela6[[#This Row],[KM Rodados ]]/Tabela6[[#This Row],[CONSUMO]]</f>
        <v>-3235.9166666666665</v>
      </c>
    </row>
    <row r="3658" spans="1:14" x14ac:dyDescent="0.25">
      <c r="A3658" s="47">
        <v>157357</v>
      </c>
      <c r="B3658" s="78">
        <v>45307</v>
      </c>
      <c r="C3658" s="47" t="s">
        <v>203</v>
      </c>
      <c r="D3658" s="49" t="s">
        <v>260</v>
      </c>
      <c r="E3658" s="47">
        <v>135174</v>
      </c>
      <c r="G3658" s="50" t="s">
        <v>244</v>
      </c>
      <c r="H3658" s="51">
        <v>37.950000000000003</v>
      </c>
      <c r="J3658" s="51">
        <v>5.59</v>
      </c>
      <c r="K3658" s="74">
        <f>Tabela6[[#This Row],[CONSUMO]]*Tabela6[[#This Row],[VALOR UNIT]]-Tabela6[[#This Row],[DESCONTO]]</f>
        <v>212.1405</v>
      </c>
      <c r="L3658" s="53">
        <f>Tabela6[[#This Row],[CUSTO TOTAL]]/Tabela6[[#This Row],[CONSUMO]]</f>
        <v>5.59</v>
      </c>
      <c r="M3658" s="53" t="e" cm="1">
        <f t="array" ref="M3658">SE</f>
        <v>#NAME?</v>
      </c>
      <c r="N3658" s="49" t="e">
        <f>Tabela6[[#This Row],[KM Rodados ]]/Tabela6[[#This Row],[CONSUMO]]</f>
        <v>#NAME?</v>
      </c>
    </row>
    <row r="3659" spans="1:14" x14ac:dyDescent="0.25">
      <c r="A3659" s="47">
        <v>337014</v>
      </c>
      <c r="B3659" s="78">
        <v>45307</v>
      </c>
      <c r="C3659" s="47" t="s">
        <v>72</v>
      </c>
      <c r="D3659" s="49" t="s">
        <v>270</v>
      </c>
      <c r="E3659" s="47">
        <v>436297</v>
      </c>
      <c r="G3659" s="50" t="s">
        <v>89</v>
      </c>
      <c r="H3659" s="51">
        <v>38.18</v>
      </c>
      <c r="J3659" s="51">
        <v>5.79</v>
      </c>
      <c r="K3659" s="74">
        <f>Tabela6[[#This Row],[CONSUMO]]*Tabela6[[#This Row],[VALOR UNIT]]-Tabela6[[#This Row],[DESCONTO]]</f>
        <v>221.06219999999999</v>
      </c>
      <c r="L3659" s="53">
        <f>Tabela6[[#This Row],[CUSTO TOTAL]]/Tabela6[[#This Row],[CONSUMO]]</f>
        <v>5.79</v>
      </c>
      <c r="M3659" s="50">
        <f>Tabela6[[#This Row],[KM ATUAL]]-E3651</f>
        <v>86687</v>
      </c>
      <c r="N3659" s="51">
        <f>Tabela6[[#This Row],[KM Rodados ]]/Tabela6[[#This Row],[CONSUMO]]</f>
        <v>2270.4819277108436</v>
      </c>
    </row>
    <row r="3660" spans="1:14" x14ac:dyDescent="0.25">
      <c r="A3660" s="47">
        <v>367363</v>
      </c>
      <c r="B3660" s="78">
        <v>45307</v>
      </c>
      <c r="C3660" s="47" t="s">
        <v>73</v>
      </c>
      <c r="D3660" s="49" t="s">
        <v>276</v>
      </c>
      <c r="E3660" s="47">
        <v>173406</v>
      </c>
      <c r="G3660" s="50" t="s">
        <v>241</v>
      </c>
      <c r="H3660" s="51">
        <v>26.707000000000001</v>
      </c>
      <c r="J3660" s="51">
        <v>3.69</v>
      </c>
      <c r="K3660" s="74">
        <f>Tabela6[[#This Row],[CONSUMO]]*Tabela6[[#This Row],[VALOR UNIT]]-Tabela6[[#This Row],[DESCONTO]]</f>
        <v>98.548829999999995</v>
      </c>
      <c r="L3660" s="53">
        <f>Tabela6[[#This Row],[CUSTO TOTAL]]/Tabela6[[#This Row],[CONSUMO]]</f>
        <v>3.6899999999999995</v>
      </c>
      <c r="M3660" s="53"/>
      <c r="N3660" s="49"/>
    </row>
    <row r="3661" spans="1:14" x14ac:dyDescent="0.25">
      <c r="A3661" s="47">
        <v>139672</v>
      </c>
      <c r="B3661" s="78">
        <v>45307</v>
      </c>
      <c r="C3661" s="47" t="s">
        <v>11</v>
      </c>
      <c r="D3661" s="49" t="s">
        <v>253</v>
      </c>
      <c r="E3661" s="47">
        <v>409279</v>
      </c>
      <c r="G3661" s="50" t="s">
        <v>89</v>
      </c>
      <c r="H3661" s="51">
        <v>113.18</v>
      </c>
      <c r="J3661" s="51">
        <v>6.09</v>
      </c>
      <c r="K3661" s="74">
        <f>Tabela6[[#This Row],[CONSUMO]]*Tabela6[[#This Row],[VALOR UNIT]]-Tabela6[[#This Row],[DESCONTO]]</f>
        <v>689.26620000000003</v>
      </c>
      <c r="L3661" s="53">
        <f>Tabela6[[#This Row],[CUSTO TOTAL]]/Tabela6[[#This Row],[CONSUMO]]</f>
        <v>6.09</v>
      </c>
      <c r="M3661" s="50">
        <f>Tabela6[[#This Row],[KM ATUAL]]-E3477</f>
        <v>161741</v>
      </c>
      <c r="N3661" s="51">
        <f>Tabela6[[#This Row],[KM Rodados ]]/Tabela6[[#This Row],[CONSUMO]]</f>
        <v>1429.0599045767804</v>
      </c>
    </row>
    <row r="3662" spans="1:14" x14ac:dyDescent="0.25">
      <c r="A3662" s="47">
        <v>390233</v>
      </c>
      <c r="B3662" s="78">
        <v>45307</v>
      </c>
      <c r="C3662" s="47" t="s">
        <v>301</v>
      </c>
      <c r="D3662" s="49" t="s">
        <v>343</v>
      </c>
      <c r="E3662" s="47">
        <v>1085040</v>
      </c>
      <c r="G3662" s="50" t="s">
        <v>89</v>
      </c>
      <c r="H3662" s="51">
        <v>415.77300000000002</v>
      </c>
      <c r="J3662" s="51">
        <v>5.59</v>
      </c>
      <c r="K3662" s="74">
        <f>Tabela6[[#This Row],[CONSUMO]]*Tabela6[[#This Row],[VALOR UNIT]]-Tabela6[[#This Row],[DESCONTO]]</f>
        <v>2324.1710699999999</v>
      </c>
      <c r="L3662" s="53">
        <f>Tabela6[[#This Row],[CUSTO TOTAL]]/Tabela6[[#This Row],[CONSUMO]]</f>
        <v>5.589999999999999</v>
      </c>
      <c r="M3662" s="50">
        <f>Tabela6[[#This Row],[KM ATUAL]]-E3644</f>
        <v>911967</v>
      </c>
      <c r="N3662" s="51">
        <f>Tabela6[[#This Row],[KM Rodados ]]/Tabela6[[#This Row],[CONSUMO]]</f>
        <v>2193.4252584944188</v>
      </c>
    </row>
    <row r="3663" spans="1:14" x14ac:dyDescent="0.25">
      <c r="A3663" s="47">
        <v>139610</v>
      </c>
      <c r="B3663" s="78">
        <v>45307</v>
      </c>
      <c r="C3663" s="47" t="s">
        <v>12</v>
      </c>
      <c r="D3663" s="49" t="s">
        <v>253</v>
      </c>
      <c r="E3663" s="47">
        <v>329736</v>
      </c>
      <c r="G3663" s="50" t="s">
        <v>89</v>
      </c>
      <c r="H3663" s="51">
        <v>98.8</v>
      </c>
      <c r="J3663" s="51">
        <v>6.09</v>
      </c>
      <c r="K3663" s="74">
        <f>Tabela6[[#This Row],[CONSUMO]]*Tabela6[[#This Row],[VALOR UNIT]]-Tabela6[[#This Row],[DESCONTO]]</f>
        <v>601.69200000000001</v>
      </c>
      <c r="L3663" s="53">
        <f>Tabela6[[#This Row],[CUSTO TOTAL]]/Tabela6[[#This Row],[CONSUMO]]</f>
        <v>6.09</v>
      </c>
      <c r="M3663" s="50">
        <f>Tabela6[[#This Row],[KM ATUAL]]-E3547</f>
        <v>152069</v>
      </c>
      <c r="N3663" s="51">
        <f>Tabela6[[#This Row],[KM Rodados ]]/Tabela6[[#This Row],[CONSUMO]]</f>
        <v>1539.15991902834</v>
      </c>
    </row>
    <row r="3664" spans="1:14" x14ac:dyDescent="0.25">
      <c r="A3664" s="47">
        <v>236056</v>
      </c>
      <c r="B3664" s="78">
        <v>45307</v>
      </c>
      <c r="C3664" s="47" t="s">
        <v>15</v>
      </c>
      <c r="D3664" s="49" t="s">
        <v>262</v>
      </c>
      <c r="E3664" s="47">
        <v>408880</v>
      </c>
      <c r="G3664" s="50" t="s">
        <v>241</v>
      </c>
      <c r="H3664" s="51">
        <v>16.420000000000002</v>
      </c>
      <c r="I3664" s="49">
        <v>5.81</v>
      </c>
      <c r="J3664" s="51">
        <v>3.69</v>
      </c>
      <c r="K3664" s="74">
        <f>Tabela6[[#This Row],[CONSUMO]]*Tabela6[[#This Row],[VALOR UNIT]]-Tabela6[[#This Row],[DESCONTO]]</f>
        <v>54.779800000000002</v>
      </c>
      <c r="L3664" s="53">
        <f>Tabela6[[#This Row],[CUSTO TOTAL]]/Tabela6[[#This Row],[CONSUMO]]</f>
        <v>3.3361632155907426</v>
      </c>
      <c r="M3664" s="53"/>
      <c r="N3664" s="49"/>
    </row>
    <row r="3665" spans="1:14" x14ac:dyDescent="0.25">
      <c r="A3665" s="47">
        <v>9278</v>
      </c>
      <c r="B3665" s="78">
        <v>45307</v>
      </c>
      <c r="C3665" s="47" t="s">
        <v>15</v>
      </c>
      <c r="D3665" s="49" t="s">
        <v>299</v>
      </c>
      <c r="E3665" s="47">
        <v>408878</v>
      </c>
      <c r="G3665" s="50" t="s">
        <v>89</v>
      </c>
      <c r="H3665" s="51">
        <v>100</v>
      </c>
      <c r="J3665" s="51">
        <v>5.25</v>
      </c>
      <c r="K3665" s="74">
        <f>Tabela6[[#This Row],[CONSUMO]]*Tabela6[[#This Row],[VALOR UNIT]]-Tabela6[[#This Row],[DESCONTO]]</f>
        <v>525</v>
      </c>
      <c r="L3665" s="53">
        <f>Tabela6[[#This Row],[CUSTO TOTAL]]/Tabela6[[#This Row],[CONSUMO]]</f>
        <v>5.25</v>
      </c>
      <c r="M3665" s="50">
        <f>Tabela6[[#This Row],[KM ATUAL]]-E3643</f>
        <v>-26924</v>
      </c>
      <c r="N3665" s="51">
        <f>Tabela6[[#This Row],[KM Rodados ]]/Tabela6[[#This Row],[CONSUMO]]</f>
        <v>-269.24</v>
      </c>
    </row>
    <row r="3666" spans="1:14" x14ac:dyDescent="0.25">
      <c r="A3666" s="47">
        <v>597458</v>
      </c>
      <c r="B3666" s="78">
        <v>45307</v>
      </c>
      <c r="C3666" s="47" t="s">
        <v>16</v>
      </c>
      <c r="D3666" s="49" t="s">
        <v>255</v>
      </c>
      <c r="E3666" s="47">
        <v>313239</v>
      </c>
      <c r="G3666" s="50" t="s">
        <v>89</v>
      </c>
      <c r="H3666" s="51">
        <v>101.75</v>
      </c>
      <c r="J3666" s="51">
        <v>6.16</v>
      </c>
      <c r="K3666" s="74">
        <f>Tabela6[[#This Row],[CONSUMO]]*Tabela6[[#This Row],[VALOR UNIT]]-Tabela6[[#This Row],[DESCONTO]]</f>
        <v>626.78</v>
      </c>
      <c r="L3666" s="53">
        <f>Tabela6[[#This Row],[CUSTO TOTAL]]/Tabela6[[#This Row],[CONSUMO]]</f>
        <v>6.16</v>
      </c>
      <c r="M3666" s="53" t="e">
        <f t="array" ref="M3666">SE</f>
        <v>#NAME?</v>
      </c>
      <c r="N3666" s="49" t="e">
        <f>Tabela6[[#This Row],[KM Rodados ]]/Tabela6[[#This Row],[CONSUMO]]</f>
        <v>#NAME?</v>
      </c>
    </row>
    <row r="3667" spans="1:14" x14ac:dyDescent="0.25">
      <c r="A3667" s="47">
        <v>9278</v>
      </c>
      <c r="B3667" s="78">
        <v>45307</v>
      </c>
      <c r="C3667" s="47" t="s">
        <v>17</v>
      </c>
      <c r="D3667" s="49" t="s">
        <v>299</v>
      </c>
      <c r="E3667" s="47">
        <v>390627</v>
      </c>
      <c r="G3667" s="50" t="s">
        <v>89</v>
      </c>
      <c r="H3667" s="51">
        <v>150</v>
      </c>
      <c r="J3667" s="51">
        <v>5.25</v>
      </c>
      <c r="K3667" s="74">
        <f>Tabela6[[#This Row],[CONSUMO]]*Tabela6[[#This Row],[VALOR UNIT]]-Tabela6[[#This Row],[DESCONTO]]</f>
        <v>787.5</v>
      </c>
      <c r="L3667" s="53">
        <f>Tabela6[[#This Row],[CUSTO TOTAL]]/Tabela6[[#This Row],[CONSUMO]]</f>
        <v>5.25</v>
      </c>
      <c r="M3667" s="50">
        <f>Tabela6[[#This Row],[KM ATUAL]]-E3623</f>
        <v>562</v>
      </c>
      <c r="N3667" s="51">
        <f>Tabela6[[#This Row],[KM Rodados ]]/Tabela6[[#This Row],[CONSUMO]]</f>
        <v>3.7466666666666666</v>
      </c>
    </row>
    <row r="3668" spans="1:14" x14ac:dyDescent="0.25">
      <c r="A3668" s="47">
        <v>597327</v>
      </c>
      <c r="B3668" s="78">
        <v>45307</v>
      </c>
      <c r="C3668" s="47" t="s">
        <v>18</v>
      </c>
      <c r="D3668" s="49" t="s">
        <v>255</v>
      </c>
      <c r="E3668" s="47">
        <v>342807</v>
      </c>
      <c r="G3668" s="50" t="s">
        <v>89</v>
      </c>
      <c r="H3668" s="51">
        <v>78.040999999999997</v>
      </c>
      <c r="J3668" s="51">
        <v>6.16</v>
      </c>
      <c r="K3668" s="74">
        <f>Tabela6[[#This Row],[CONSUMO]]*Tabela6[[#This Row],[VALOR UNIT]]-Tabela6[[#This Row],[DESCONTO]]</f>
        <v>480.73255999999998</v>
      </c>
      <c r="L3668" s="53">
        <f>Tabela6[[#This Row],[CUSTO TOTAL]]/Tabela6[[#This Row],[CONSUMO]]</f>
        <v>6.16</v>
      </c>
      <c r="M3668" s="53" t="e">
        <f t="array" ref="M3668">SE</f>
        <v>#NAME?</v>
      </c>
      <c r="N3668" s="49" t="e">
        <f>Tabela6[[#This Row],[KM Rodados ]]/Tabela6[[#This Row],[CONSUMO]]</f>
        <v>#NAME?</v>
      </c>
    </row>
    <row r="3669" spans="1:14" x14ac:dyDescent="0.25">
      <c r="A3669" s="47">
        <v>9278</v>
      </c>
      <c r="B3669" s="78">
        <v>45307</v>
      </c>
      <c r="C3669" s="47" t="s">
        <v>20</v>
      </c>
      <c r="D3669" s="49" t="s">
        <v>299</v>
      </c>
      <c r="E3669" s="47">
        <v>292455</v>
      </c>
      <c r="G3669" s="50" t="s">
        <v>89</v>
      </c>
      <c r="H3669" s="51">
        <v>45</v>
      </c>
      <c r="J3669" s="51">
        <v>5.25</v>
      </c>
      <c r="K3669" s="74">
        <f>Tabela6[[#This Row],[CONSUMO]]*Tabela6[[#This Row],[VALOR UNIT]]-Tabela6[[#This Row],[DESCONTO]]</f>
        <v>236.25</v>
      </c>
      <c r="L3669" s="53">
        <f>Tabela6[[#This Row],[CUSTO TOTAL]]/Tabela6[[#This Row],[CONSUMO]]</f>
        <v>5.25</v>
      </c>
      <c r="M3669" s="50">
        <f>Tabela6[[#This Row],[KM ATUAL]]-E3603</f>
        <v>-381343</v>
      </c>
      <c r="N3669" s="51">
        <f>Tabela6[[#This Row],[KM Rodados ]]/Tabela6[[#This Row],[CONSUMO]]</f>
        <v>-8474.2888888888883</v>
      </c>
    </row>
    <row r="3670" spans="1:14" x14ac:dyDescent="0.25">
      <c r="A3670" s="47">
        <v>139691</v>
      </c>
      <c r="B3670" s="78">
        <v>45307</v>
      </c>
      <c r="C3670" s="47" t="s">
        <v>315</v>
      </c>
      <c r="D3670" s="49" t="s">
        <v>253</v>
      </c>
      <c r="E3670" s="47">
        <v>14507</v>
      </c>
      <c r="G3670" s="50" t="s">
        <v>89</v>
      </c>
      <c r="H3670" s="51">
        <v>19.7</v>
      </c>
      <c r="J3670" s="51">
        <v>6.09</v>
      </c>
      <c r="K3670" s="74">
        <f>Tabela6[[#This Row],[CONSUMO]]*Tabela6[[#This Row],[VALOR UNIT]]-Tabela6[[#This Row],[DESCONTO]]</f>
        <v>119.973</v>
      </c>
      <c r="L3670" s="53">
        <f>Tabela6[[#This Row],[CUSTO TOTAL]]/Tabela6[[#This Row],[CONSUMO]]</f>
        <v>6.09</v>
      </c>
      <c r="M3670" s="50">
        <f>Tabela6[[#This Row],[KM ATUAL]]-E3623</f>
        <v>-375558</v>
      </c>
      <c r="N3670" s="51">
        <f>Tabela6[[#This Row],[KM Rodados ]]/Tabela6[[#This Row],[CONSUMO]]</f>
        <v>-19063.857868020306</v>
      </c>
    </row>
    <row r="3671" spans="1:14" x14ac:dyDescent="0.25">
      <c r="A3671" s="47">
        <v>667320</v>
      </c>
      <c r="B3671" s="78">
        <v>45307</v>
      </c>
      <c r="C3671" s="47" t="s">
        <v>401</v>
      </c>
      <c r="D3671" s="49" t="s">
        <v>357</v>
      </c>
      <c r="E3671" s="47">
        <v>1582</v>
      </c>
      <c r="G3671" s="50" t="s">
        <v>89</v>
      </c>
      <c r="H3671" s="51">
        <v>109.81</v>
      </c>
      <c r="J3671" s="51">
        <v>5.88</v>
      </c>
      <c r="K3671" s="74">
        <f>Tabela6[[#This Row],[CONSUMO]]*Tabela6[[#This Row],[VALOR UNIT]]-Tabela6[[#This Row],[DESCONTO]]</f>
        <v>645.68280000000004</v>
      </c>
      <c r="L3671" s="53">
        <f>Tabela6[[#This Row],[CUSTO TOTAL]]/Tabela6[[#This Row],[CONSUMO]]</f>
        <v>5.88</v>
      </c>
      <c r="M3671" s="50">
        <f>Tabela6[[#This Row],[KM ATUAL]]-E3632</f>
        <v>-262178</v>
      </c>
      <c r="N3671" s="51">
        <f>Tabela6[[#This Row],[KM Rodados ]]/Tabela6[[#This Row],[CONSUMO]]</f>
        <v>-2387.5603314816499</v>
      </c>
    </row>
    <row r="3672" spans="1:14" x14ac:dyDescent="0.25">
      <c r="A3672" s="47">
        <v>236111</v>
      </c>
      <c r="B3672" s="78">
        <v>45307</v>
      </c>
      <c r="C3672" s="47" t="s">
        <v>401</v>
      </c>
      <c r="D3672" s="49" t="s">
        <v>262</v>
      </c>
      <c r="E3672" s="47">
        <v>2233</v>
      </c>
      <c r="G3672" s="50" t="s">
        <v>241</v>
      </c>
      <c r="H3672" s="51">
        <v>27.908000000000001</v>
      </c>
      <c r="I3672" s="49">
        <v>10.050000000000001</v>
      </c>
      <c r="J3672" s="51">
        <v>3.69</v>
      </c>
      <c r="K3672" s="74">
        <f>Tabela6[[#This Row],[CONSUMO]]*Tabela6[[#This Row],[VALOR UNIT]]-Tabela6[[#This Row],[DESCONTO]]</f>
        <v>92.930520000000001</v>
      </c>
      <c r="L3672" s="53">
        <f>Tabela6[[#This Row],[CUSTO TOTAL]]/Tabela6[[#This Row],[CONSUMO]]</f>
        <v>3.3298882040991828</v>
      </c>
      <c r="M3672" s="53"/>
      <c r="N3672" s="49"/>
    </row>
    <row r="3673" spans="1:14" x14ac:dyDescent="0.25">
      <c r="A3673" s="47">
        <v>9366</v>
      </c>
      <c r="B3673" s="78">
        <v>45308</v>
      </c>
      <c r="C3673" s="47" t="s">
        <v>394</v>
      </c>
      <c r="D3673" s="49" t="s">
        <v>299</v>
      </c>
      <c r="E3673" s="47">
        <v>883850</v>
      </c>
      <c r="G3673" s="50" t="s">
        <v>89</v>
      </c>
      <c r="H3673" s="51">
        <v>150</v>
      </c>
      <c r="J3673" s="51">
        <v>5.21</v>
      </c>
      <c r="K3673" s="74">
        <f>Tabela6[[#This Row],[CONSUMO]]*Tabela6[[#This Row],[VALOR UNIT]]-Tabela6[[#This Row],[DESCONTO]]</f>
        <v>781.5</v>
      </c>
      <c r="L3673" s="53">
        <f>Tabela6[[#This Row],[CUSTO TOTAL]]/Tabela6[[#This Row],[CONSUMO]]</f>
        <v>5.21</v>
      </c>
      <c r="M3673" s="51">
        <f>Tabela6[[#This Row],[KM ATUAL]]-E3647</f>
        <v>209604</v>
      </c>
      <c r="N3673" s="51">
        <f>Tabela6[[#This Row],[KM Rodados ]]/Tabela6[[#This Row],[CONSUMO]]</f>
        <v>1397.36</v>
      </c>
    </row>
    <row r="3674" spans="1:14" x14ac:dyDescent="0.25">
      <c r="A3674" s="47">
        <v>2278367</v>
      </c>
      <c r="B3674" s="78">
        <v>45308</v>
      </c>
      <c r="C3674" s="47" t="s">
        <v>9</v>
      </c>
      <c r="D3674" s="49" t="s">
        <v>273</v>
      </c>
      <c r="E3674" s="47">
        <v>644093</v>
      </c>
      <c r="G3674" s="50" t="s">
        <v>89</v>
      </c>
      <c r="H3674" s="51">
        <v>148</v>
      </c>
      <c r="J3674" s="51">
        <v>5.59</v>
      </c>
      <c r="K3674" s="74">
        <f>Tabela6[[#This Row],[CONSUMO]]*Tabela6[[#This Row],[VALOR UNIT]]-Tabela6[[#This Row],[DESCONTO]]</f>
        <v>827.31999999999994</v>
      </c>
      <c r="L3674" s="53">
        <f>Tabela6[[#This Row],[CUSTO TOTAL]]/Tabela6[[#This Row],[CONSUMO]]</f>
        <v>5.59</v>
      </c>
      <c r="M3674" s="50">
        <f>Tabela6[[#This Row],[KM ATUAL]]-E3639</f>
        <v>-51649</v>
      </c>
      <c r="N3674" s="51">
        <f>Tabela6[[#This Row],[KM Rodados ]]/Tabela6[[#This Row],[CONSUMO]]</f>
        <v>-348.97972972972974</v>
      </c>
    </row>
    <row r="3675" spans="1:14" x14ac:dyDescent="0.25">
      <c r="A3675" s="47">
        <v>236271</v>
      </c>
      <c r="B3675" s="78">
        <v>45308</v>
      </c>
      <c r="C3675" s="47" t="s">
        <v>67</v>
      </c>
      <c r="D3675" s="49" t="s">
        <v>262</v>
      </c>
      <c r="G3675" s="50" t="s">
        <v>241</v>
      </c>
      <c r="H3675" s="51">
        <v>24.138000000000002</v>
      </c>
      <c r="I3675" s="49">
        <v>8.69</v>
      </c>
      <c r="J3675" s="51">
        <v>3.69</v>
      </c>
      <c r="K3675" s="74">
        <f>Tabela6[[#This Row],[CONSUMO]]*Tabela6[[#This Row],[VALOR UNIT]]-Tabela6[[#This Row],[DESCONTO]]</f>
        <v>80.379220000000004</v>
      </c>
      <c r="L3675" s="53">
        <f>Tabela6[[#This Row],[CUSTO TOTAL]]/Tabela6[[#This Row],[CONSUMO]]</f>
        <v>3.3299867428950201</v>
      </c>
      <c r="M3675" s="53"/>
      <c r="N3675" s="49"/>
    </row>
    <row r="3676" spans="1:14" x14ac:dyDescent="0.25">
      <c r="A3676" s="47">
        <v>9366</v>
      </c>
      <c r="B3676" s="78">
        <v>45308</v>
      </c>
      <c r="C3676" s="47" t="s">
        <v>67</v>
      </c>
      <c r="D3676" s="49" t="s">
        <v>299</v>
      </c>
      <c r="E3676" s="47">
        <v>696171</v>
      </c>
      <c r="G3676" s="50" t="s">
        <v>89</v>
      </c>
      <c r="H3676" s="51">
        <v>105</v>
      </c>
      <c r="J3676" s="51">
        <v>5.21</v>
      </c>
      <c r="K3676" s="74">
        <f>Tabela6[[#This Row],[CONSUMO]]*Tabela6[[#This Row],[VALOR UNIT]]-Tabela6[[#This Row],[DESCONTO]]</f>
        <v>547.04999999999995</v>
      </c>
      <c r="L3676" s="53">
        <f>Tabela6[[#This Row],[CUSTO TOTAL]]/Tabela6[[#This Row],[CONSUMO]]</f>
        <v>5.21</v>
      </c>
      <c r="M3676" s="50">
        <f>Tabela6[[#This Row],[KM ATUAL]]-E3641</f>
        <v>441150</v>
      </c>
      <c r="N3676" s="51">
        <f>Tabela6[[#This Row],[KM Rodados ]]/Tabela6[[#This Row],[CONSUMO]]</f>
        <v>4201.4285714285716</v>
      </c>
    </row>
    <row r="3677" spans="1:14" x14ac:dyDescent="0.25">
      <c r="A3677" s="47">
        <v>9366</v>
      </c>
      <c r="B3677" s="78">
        <v>45308</v>
      </c>
      <c r="C3677" s="47" t="s">
        <v>22</v>
      </c>
      <c r="D3677" s="49" t="s">
        <v>299</v>
      </c>
      <c r="E3677" s="47">
        <v>348834</v>
      </c>
      <c r="G3677" s="50" t="s">
        <v>89</v>
      </c>
      <c r="H3677" s="51">
        <v>101</v>
      </c>
      <c r="J3677" s="51">
        <v>5.21</v>
      </c>
      <c r="K3677" s="74">
        <f>Tabela6[[#This Row],[CONSUMO]]*Tabela6[[#This Row],[VALOR UNIT]]-Tabela6[[#This Row],[DESCONTO]]</f>
        <v>526.21</v>
      </c>
      <c r="L3677" s="53">
        <f>Tabela6[[#This Row],[CUSTO TOTAL]]/Tabela6[[#This Row],[CONSUMO]]</f>
        <v>5.21</v>
      </c>
      <c r="M3677" s="50">
        <f>Tabela6[[#This Row],[KM ATUAL]]-E3602</f>
        <v>-733426</v>
      </c>
      <c r="N3677" s="51">
        <f>Tabela6[[#This Row],[KM Rodados ]]/Tabela6[[#This Row],[CONSUMO]]</f>
        <v>-7261.6435643564355</v>
      </c>
    </row>
    <row r="3678" spans="1:14" x14ac:dyDescent="0.25">
      <c r="A3678" s="47">
        <v>278276</v>
      </c>
      <c r="B3678" s="78">
        <v>45308</v>
      </c>
      <c r="C3678" s="47" t="s">
        <v>70</v>
      </c>
      <c r="D3678" s="49" t="s">
        <v>273</v>
      </c>
      <c r="E3678" s="47">
        <v>256226</v>
      </c>
      <c r="G3678" s="50" t="s">
        <v>89</v>
      </c>
      <c r="H3678" s="51">
        <v>409.09</v>
      </c>
      <c r="J3678" s="51">
        <v>5.59</v>
      </c>
      <c r="K3678" s="74">
        <f>Tabela6[[#This Row],[CONSUMO]]*Tabela6[[#This Row],[VALOR UNIT]]-Tabela6[[#This Row],[DESCONTO]]</f>
        <v>2286.8130999999998</v>
      </c>
      <c r="L3678" s="53">
        <f>Tabela6[[#This Row],[CUSTO TOTAL]]/Tabela6[[#This Row],[CONSUMO]]</f>
        <v>5.59</v>
      </c>
      <c r="M3678" s="50">
        <f>Tabela6[[#This Row],[KM ATUAL]]-E3641</f>
        <v>1205</v>
      </c>
      <c r="N3678" s="51">
        <f>Tabela6[[#This Row],[KM Rodados ]]/Tabela6[[#This Row],[CONSUMO]]</f>
        <v>2.9455621012491142</v>
      </c>
    </row>
    <row r="3679" spans="1:14" x14ac:dyDescent="0.25">
      <c r="A3679" s="47">
        <v>443303</v>
      </c>
      <c r="B3679" s="78">
        <v>45308</v>
      </c>
      <c r="C3679" s="47" t="s">
        <v>203</v>
      </c>
      <c r="D3679" s="49" t="s">
        <v>309</v>
      </c>
      <c r="E3679" s="47">
        <v>135467</v>
      </c>
      <c r="G3679" s="50" t="s">
        <v>244</v>
      </c>
      <c r="H3679" s="51">
        <v>25.92</v>
      </c>
      <c r="J3679" s="51">
        <v>5.35</v>
      </c>
      <c r="K3679" s="74">
        <f>Tabela6[[#This Row],[CONSUMO]]*Tabela6[[#This Row],[VALOR UNIT]]-Tabela6[[#This Row],[DESCONTO]]</f>
        <v>138.672</v>
      </c>
      <c r="L3679" s="53">
        <f>Tabela6[[#This Row],[CUSTO TOTAL]]/Tabela6[[#This Row],[CONSUMO]]</f>
        <v>5.35</v>
      </c>
      <c r="M3679" s="53" t="e" cm="1">
        <f t="array" ref="M3679">SE</f>
        <v>#NAME?</v>
      </c>
      <c r="N3679" s="49" t="e">
        <f>Tabela6[[#This Row],[KM Rodados ]]/Tabela6[[#This Row],[CONSUMO]]</f>
        <v>#NAME?</v>
      </c>
    </row>
    <row r="3680" spans="1:14" x14ac:dyDescent="0.25">
      <c r="A3680" s="47">
        <v>9366</v>
      </c>
      <c r="B3680" s="78">
        <v>45308</v>
      </c>
      <c r="C3680" s="47" t="s">
        <v>73</v>
      </c>
      <c r="D3680" s="49" t="s">
        <v>299</v>
      </c>
      <c r="E3680" s="47">
        <v>173525</v>
      </c>
      <c r="G3680" s="50" t="s">
        <v>89</v>
      </c>
      <c r="H3680" s="51">
        <v>120</v>
      </c>
      <c r="J3680" s="51">
        <v>5.21</v>
      </c>
      <c r="K3680" s="74">
        <f>Tabela6[[#This Row],[CONSUMO]]*Tabela6[[#This Row],[VALOR UNIT]]-Tabela6[[#This Row],[DESCONTO]]</f>
        <v>625.20000000000005</v>
      </c>
      <c r="L3680" s="53">
        <f>Tabela6[[#This Row],[CUSTO TOTAL]]/Tabela6[[#This Row],[CONSUMO]]</f>
        <v>5.21</v>
      </c>
      <c r="M3680" s="50">
        <f>Tabela6[[#This Row],[KM ATUAL]]-E3645</f>
        <v>-520822</v>
      </c>
      <c r="N3680" s="51">
        <f>Tabela6[[#This Row],[KM Rodados ]]/Tabela6[[#This Row],[CONSUMO]]</f>
        <v>-4340.1833333333334</v>
      </c>
    </row>
    <row r="3681" spans="1:14" x14ac:dyDescent="0.25">
      <c r="A3681" s="47">
        <v>236388</v>
      </c>
      <c r="B3681" s="78">
        <v>45308</v>
      </c>
      <c r="C3681" s="47" t="s">
        <v>207</v>
      </c>
      <c r="D3681" s="49" t="s">
        <v>262</v>
      </c>
      <c r="G3681" s="50" t="s">
        <v>244</v>
      </c>
      <c r="H3681" s="51">
        <v>9.84</v>
      </c>
      <c r="J3681" s="51">
        <v>5.49</v>
      </c>
      <c r="K3681" s="74">
        <f>Tabela6[[#This Row],[CONSUMO]]*Tabela6[[#This Row],[VALOR UNIT]]-Tabela6[[#This Row],[DESCONTO]]</f>
        <v>54.021599999999999</v>
      </c>
      <c r="L3681" s="53">
        <f>Tabela6[[#This Row],[CUSTO TOTAL]]/Tabela6[[#This Row],[CONSUMO]]</f>
        <v>5.49</v>
      </c>
      <c r="M3681" s="53" t="e" cm="1">
        <f t="array" ref="M3681">SE</f>
        <v>#NAME?</v>
      </c>
      <c r="N3681" s="49" t="e">
        <f>Tabela6[[#This Row],[KM Rodados ]]/Tabela6[[#This Row],[CONSUMO]]</f>
        <v>#NAME?</v>
      </c>
    </row>
    <row r="3682" spans="1:14" x14ac:dyDescent="0.25">
      <c r="A3682" s="47">
        <v>9366</v>
      </c>
      <c r="B3682" s="78">
        <v>45308</v>
      </c>
      <c r="C3682" s="47" t="s">
        <v>10</v>
      </c>
      <c r="D3682" s="49" t="s">
        <v>299</v>
      </c>
      <c r="E3682" s="47">
        <v>740559</v>
      </c>
      <c r="G3682" s="50" t="s">
        <v>89</v>
      </c>
      <c r="H3682" s="51">
        <v>135</v>
      </c>
      <c r="J3682" s="51">
        <v>5.21</v>
      </c>
      <c r="K3682" s="74">
        <f>Tabela6[[#This Row],[CONSUMO]]*Tabela6[[#This Row],[VALOR UNIT]]-Tabela6[[#This Row],[DESCONTO]]</f>
        <v>703.35</v>
      </c>
      <c r="L3682" s="53">
        <f>Tabela6[[#This Row],[CUSTO TOTAL]]/Tabela6[[#This Row],[CONSUMO]]</f>
        <v>5.21</v>
      </c>
      <c r="M3682" s="50">
        <f>Tabela6[[#This Row],[KM ATUAL]]-E3624</f>
        <v>561204</v>
      </c>
      <c r="N3682" s="51">
        <f>Tabela6[[#This Row],[KM Rodados ]]/Tabela6[[#This Row],[CONSUMO]]</f>
        <v>4157.0666666666666</v>
      </c>
    </row>
    <row r="3683" spans="1:14" x14ac:dyDescent="0.25">
      <c r="A3683" s="47">
        <v>263226</v>
      </c>
      <c r="B3683" s="78">
        <v>45308</v>
      </c>
      <c r="C3683" s="47" t="s">
        <v>14</v>
      </c>
      <c r="D3683" s="49" t="s">
        <v>262</v>
      </c>
      <c r="E3683" s="47">
        <v>312463</v>
      </c>
      <c r="G3683" s="50" t="s">
        <v>244</v>
      </c>
      <c r="H3683" s="51">
        <v>35.880000000000003</v>
      </c>
      <c r="J3683" s="51">
        <v>5.49</v>
      </c>
      <c r="K3683" s="74">
        <f>Tabela6[[#This Row],[CONSUMO]]*Tabela6[[#This Row],[VALOR UNIT]]-Tabela6[[#This Row],[DESCONTO]]</f>
        <v>196.98120000000003</v>
      </c>
      <c r="L3683" s="53">
        <f>Tabela6[[#This Row],[CUSTO TOTAL]]/Tabela6[[#This Row],[CONSUMO]]</f>
        <v>5.49</v>
      </c>
      <c r="M3683" s="53" t="e" cm="1">
        <f t="array" ref="M3683">SE</f>
        <v>#NAME?</v>
      </c>
      <c r="N3683" s="49" t="e">
        <f>Tabela6[[#This Row],[KM Rodados ]]/Tabela6[[#This Row],[CONSUMO]]</f>
        <v>#NAME?</v>
      </c>
    </row>
    <row r="3684" spans="1:14" x14ac:dyDescent="0.25">
      <c r="A3684" s="47">
        <v>9366</v>
      </c>
      <c r="B3684" s="78">
        <v>45308</v>
      </c>
      <c r="C3684" s="47" t="s">
        <v>19</v>
      </c>
      <c r="D3684" s="49" t="s">
        <v>299</v>
      </c>
      <c r="E3684" s="47">
        <v>350422</v>
      </c>
      <c r="G3684" s="50" t="s">
        <v>89</v>
      </c>
      <c r="H3684" s="51">
        <v>160</v>
      </c>
      <c r="J3684" s="51">
        <v>5.21</v>
      </c>
      <c r="K3684" s="74">
        <f>Tabela6[[#This Row],[CONSUMO]]*Tabela6[[#This Row],[VALOR UNIT]]-Tabela6[[#This Row],[DESCONTO]]</f>
        <v>833.6</v>
      </c>
      <c r="L3684" s="53">
        <f>Tabela6[[#This Row],[CUSTO TOTAL]]/Tabela6[[#This Row],[CONSUMO]]</f>
        <v>5.21</v>
      </c>
      <c r="M3684" s="50">
        <f>Tabela6[[#This Row],[KM ATUAL]]-E3651</f>
        <v>812</v>
      </c>
      <c r="N3684" s="51">
        <f>Tabela6[[#This Row],[KM Rodados ]]/Tabela6[[#This Row],[CONSUMO]]</f>
        <v>5.0750000000000002</v>
      </c>
    </row>
    <row r="3685" spans="1:14" x14ac:dyDescent="0.25">
      <c r="A3685" s="47">
        <v>236230</v>
      </c>
      <c r="B3685" s="78">
        <v>45308</v>
      </c>
      <c r="C3685" s="47" t="s">
        <v>40</v>
      </c>
      <c r="D3685" s="49" t="s">
        <v>262</v>
      </c>
      <c r="E3685" s="47">
        <v>180393</v>
      </c>
      <c r="G3685" s="50" t="s">
        <v>244</v>
      </c>
      <c r="H3685" s="51">
        <v>42.18</v>
      </c>
      <c r="J3685" s="51">
        <v>5.49</v>
      </c>
      <c r="K3685" s="74">
        <f>Tabela6[[#This Row],[CONSUMO]]*Tabela6[[#This Row],[VALOR UNIT]]-Tabela6[[#This Row],[DESCONTO]]</f>
        <v>231.56820000000002</v>
      </c>
      <c r="L3685" s="53">
        <f>Tabela6[[#This Row],[CUSTO TOTAL]]/Tabela6[[#This Row],[CONSUMO]]</f>
        <v>5.49</v>
      </c>
      <c r="M3685" s="53" t="e" cm="1">
        <f t="array" ref="M3685">SE</f>
        <v>#NAME?</v>
      </c>
      <c r="N3685" s="49" t="e">
        <f>Tabela6[[#This Row],[KM Rodados ]]/Tabela6[[#This Row],[CONSUMO]]</f>
        <v>#NAME?</v>
      </c>
    </row>
    <row r="3686" spans="1:14" x14ac:dyDescent="0.25">
      <c r="A3686" s="47">
        <v>9366</v>
      </c>
      <c r="B3686" s="78">
        <v>45308</v>
      </c>
      <c r="C3686" s="47" t="s">
        <v>401</v>
      </c>
      <c r="D3686" s="49" t="s">
        <v>299</v>
      </c>
      <c r="E3686" s="47">
        <v>2247</v>
      </c>
      <c r="G3686" s="50" t="s">
        <v>89</v>
      </c>
      <c r="H3686" s="51">
        <v>80</v>
      </c>
      <c r="J3686" s="51">
        <v>5.21</v>
      </c>
      <c r="K3686" s="74">
        <f>Tabela6[[#This Row],[CONSUMO]]*Tabela6[[#This Row],[VALOR UNIT]]-Tabela6[[#This Row],[DESCONTO]]</f>
        <v>416.8</v>
      </c>
      <c r="L3686" s="53">
        <f>Tabela6[[#This Row],[CUSTO TOTAL]]/Tabela6[[#This Row],[CONSUMO]]</f>
        <v>5.21</v>
      </c>
      <c r="M3686" s="50">
        <f>Tabela6[[#This Row],[KM ATUAL]]-E3664</f>
        <v>-406633</v>
      </c>
      <c r="N3686" s="51">
        <f>Tabela6[[#This Row],[KM Rodados ]]/Tabela6[[#This Row],[CONSUMO]]</f>
        <v>-5082.9125000000004</v>
      </c>
    </row>
    <row r="3687" spans="1:14" x14ac:dyDescent="0.25">
      <c r="A3687" s="47">
        <v>9366</v>
      </c>
      <c r="B3687" s="78">
        <v>45309</v>
      </c>
      <c r="C3687" s="47" t="s">
        <v>68</v>
      </c>
      <c r="D3687" s="49" t="s">
        <v>299</v>
      </c>
      <c r="E3687" s="47">
        <v>947348</v>
      </c>
      <c r="G3687" s="50" t="s">
        <v>89</v>
      </c>
      <c r="H3687" s="51">
        <v>536</v>
      </c>
      <c r="J3687" s="51">
        <v>5.21</v>
      </c>
      <c r="K3687" s="74">
        <f>Tabela6[[#This Row],[CONSUMO]]*Tabela6[[#This Row],[VALOR UNIT]]-Tabela6[[#This Row],[DESCONTO]]</f>
        <v>2792.56</v>
      </c>
      <c r="L3687" s="53">
        <f>Tabela6[[#This Row],[CUSTO TOTAL]]/Tabela6[[#This Row],[CONSUMO]]</f>
        <v>5.21</v>
      </c>
      <c r="M3687" s="50">
        <f>Tabela6[[#This Row],[KM ATUAL]]-E3620</f>
        <v>207287</v>
      </c>
      <c r="N3687" s="51">
        <f>Tabela6[[#This Row],[KM Rodados ]]/Tabela6[[#This Row],[CONSUMO]]</f>
        <v>386.7294776119403</v>
      </c>
    </row>
    <row r="3688" spans="1:14" x14ac:dyDescent="0.25">
      <c r="A3688" s="47">
        <v>9366</v>
      </c>
      <c r="B3688" s="78">
        <v>45309</v>
      </c>
      <c r="C3688" s="47" t="s">
        <v>43</v>
      </c>
      <c r="D3688" s="49" t="s">
        <v>299</v>
      </c>
      <c r="E3688" s="47">
        <v>172137</v>
      </c>
      <c r="G3688" s="50" t="s">
        <v>89</v>
      </c>
      <c r="H3688" s="51">
        <v>21</v>
      </c>
      <c r="J3688" s="51">
        <v>5.21</v>
      </c>
      <c r="K3688" s="74">
        <f>Tabela6[[#This Row],[CONSUMO]]*Tabela6[[#This Row],[VALOR UNIT]]-Tabela6[[#This Row],[DESCONTO]]</f>
        <v>109.41</v>
      </c>
      <c r="L3688" s="53">
        <f>Tabela6[[#This Row],[CUSTO TOTAL]]/Tabela6[[#This Row],[CONSUMO]]</f>
        <v>5.21</v>
      </c>
      <c r="M3688" s="50">
        <f>Tabela6[[#This Row],[KM ATUAL]]-E3667</f>
        <v>-218490</v>
      </c>
      <c r="N3688" s="51">
        <f>Tabela6[[#This Row],[KM Rodados ]]/Tabela6[[#This Row],[CONSUMO]]</f>
        <v>-10404.285714285714</v>
      </c>
    </row>
    <row r="3689" spans="1:14" x14ac:dyDescent="0.25">
      <c r="A3689" s="47">
        <v>9366</v>
      </c>
      <c r="B3689" s="78">
        <v>45309</v>
      </c>
      <c r="C3689" s="47" t="s">
        <v>42</v>
      </c>
      <c r="D3689" s="49" t="s">
        <v>299</v>
      </c>
      <c r="E3689" s="47">
        <v>382068</v>
      </c>
      <c r="G3689" s="50" t="s">
        <v>89</v>
      </c>
      <c r="H3689" s="51">
        <v>96</v>
      </c>
      <c r="J3689" s="51">
        <v>5.21</v>
      </c>
      <c r="K3689" s="74">
        <f>Tabela6[[#This Row],[CONSUMO]]*Tabela6[[#This Row],[VALOR UNIT]]-Tabela6[[#This Row],[DESCONTO]]</f>
        <v>500.15999999999997</v>
      </c>
      <c r="L3689" s="53">
        <f>Tabela6[[#This Row],[CUSTO TOTAL]]/Tabela6[[#This Row],[CONSUMO]]</f>
        <v>5.21</v>
      </c>
      <c r="M3689" s="50">
        <f>Tabela6[[#This Row],[KM ATUAL]]-E3620</f>
        <v>-357993</v>
      </c>
      <c r="N3689" s="51">
        <f>Tabela6[[#This Row],[KM Rodados ]]/Tabela6[[#This Row],[CONSUMO]]</f>
        <v>-3729.09375</v>
      </c>
    </row>
    <row r="3690" spans="1:14" x14ac:dyDescent="0.25">
      <c r="A3690" s="47">
        <v>141792</v>
      </c>
      <c r="B3690" s="78">
        <v>45309</v>
      </c>
      <c r="C3690" s="47" t="s">
        <v>222</v>
      </c>
      <c r="D3690" s="49" t="s">
        <v>405</v>
      </c>
      <c r="E3690" s="47">
        <v>546935</v>
      </c>
      <c r="G3690" s="50" t="s">
        <v>89</v>
      </c>
      <c r="H3690" s="51">
        <v>376</v>
      </c>
      <c r="J3690" s="51">
        <v>6.79</v>
      </c>
      <c r="K3690" s="74">
        <f>Tabela6[[#This Row],[CONSUMO]]*Tabela6[[#This Row],[VALOR UNIT]]-Tabela6[[#This Row],[DESCONTO]]</f>
        <v>2553.04</v>
      </c>
      <c r="L3690" s="53">
        <f>Tabela6[[#This Row],[CUSTO TOTAL]]/Tabela6[[#This Row],[CONSUMO]]</f>
        <v>6.79</v>
      </c>
      <c r="M3690" s="50">
        <f>Tabela6[[#This Row],[KM ATUAL]]-E3626</f>
        <v>530869</v>
      </c>
      <c r="N3690" s="51">
        <f>Tabela6[[#This Row],[KM Rodados ]]/Tabela6[[#This Row],[CONSUMO]]</f>
        <v>1411.8856382978724</v>
      </c>
    </row>
    <row r="3691" spans="1:14" x14ac:dyDescent="0.25">
      <c r="A3691" s="47">
        <v>9366</v>
      </c>
      <c r="B3691" s="78">
        <v>45309</v>
      </c>
      <c r="C3691" s="47" t="s">
        <v>222</v>
      </c>
      <c r="D3691" s="49" t="s">
        <v>299</v>
      </c>
      <c r="E3691" s="47">
        <v>545963</v>
      </c>
      <c r="G3691" s="50" t="s">
        <v>89</v>
      </c>
      <c r="H3691" s="51">
        <v>364</v>
      </c>
      <c r="J3691" s="51">
        <v>5.21</v>
      </c>
      <c r="K3691" s="74">
        <f>Tabela6[[#This Row],[CONSUMO]]*Tabela6[[#This Row],[VALOR UNIT]]-Tabela6[[#This Row],[DESCONTO]]</f>
        <v>1896.44</v>
      </c>
      <c r="L3691" s="53">
        <f>Tabela6[[#This Row],[CUSTO TOTAL]]/Tabela6[[#This Row],[CONSUMO]]</f>
        <v>5.21</v>
      </c>
      <c r="M3691" s="50">
        <f>Tabela6[[#This Row],[KM ATUAL]]-E3686</f>
        <v>543716</v>
      </c>
      <c r="N3691" s="51">
        <f>Tabela6[[#This Row],[KM Rodados ]]/Tabela6[[#This Row],[CONSUMO]]</f>
        <v>1493.7252747252746</v>
      </c>
    </row>
    <row r="3692" spans="1:14" x14ac:dyDescent="0.25">
      <c r="A3692" s="47">
        <v>157596</v>
      </c>
      <c r="B3692" s="78">
        <v>45309</v>
      </c>
      <c r="C3692" s="47" t="s">
        <v>203</v>
      </c>
      <c r="D3692" s="49" t="s">
        <v>260</v>
      </c>
      <c r="E3692" s="47">
        <v>135915</v>
      </c>
      <c r="G3692" s="50" t="s">
        <v>244</v>
      </c>
      <c r="H3692" s="51">
        <v>33.9</v>
      </c>
      <c r="J3692" s="51">
        <v>5.59</v>
      </c>
      <c r="K3692" s="74">
        <f>Tabela6[[#This Row],[CONSUMO]]*Tabela6[[#This Row],[VALOR UNIT]]-Tabela6[[#This Row],[DESCONTO]]</f>
        <v>189.50099999999998</v>
      </c>
      <c r="L3692" s="53">
        <f>Tabela6[[#This Row],[CUSTO TOTAL]]/Tabela6[[#This Row],[CONSUMO]]</f>
        <v>5.59</v>
      </c>
      <c r="M3692" s="53" t="e" cm="1">
        <f t="array" ref="M3692">SE</f>
        <v>#NAME?</v>
      </c>
      <c r="N3692" s="49" t="e">
        <f>Tabela6[[#This Row],[KM Rodados ]]/Tabela6[[#This Row],[CONSUMO]]</f>
        <v>#NAME?</v>
      </c>
    </row>
    <row r="3693" spans="1:14" x14ac:dyDescent="0.25">
      <c r="A3693" s="47">
        <v>9366</v>
      </c>
      <c r="B3693" s="78">
        <v>45309</v>
      </c>
      <c r="C3693" s="47" t="s">
        <v>206</v>
      </c>
      <c r="D3693" s="49" t="s">
        <v>299</v>
      </c>
      <c r="E3693" s="47">
        <v>990792</v>
      </c>
      <c r="G3693" s="50" t="s">
        <v>89</v>
      </c>
      <c r="H3693" s="51">
        <v>355</v>
      </c>
      <c r="J3693" s="51">
        <v>5.21</v>
      </c>
      <c r="K3693" s="74">
        <f>Tabela6[[#This Row],[CONSUMO]]*Tabela6[[#This Row],[VALOR UNIT]]-Tabela6[[#This Row],[DESCONTO]]</f>
        <v>1849.55</v>
      </c>
      <c r="L3693" s="53">
        <f>Tabela6[[#This Row],[CUSTO TOTAL]]/Tabela6[[#This Row],[CONSUMO]]</f>
        <v>5.21</v>
      </c>
      <c r="M3693" s="50">
        <f>Tabela6[[#This Row],[KM ATUAL]]-E3617</f>
        <v>555537</v>
      </c>
      <c r="N3693" s="51">
        <f>Tabela6[[#This Row],[KM Rodados ]]/Tabela6[[#This Row],[CONSUMO]]</f>
        <v>1564.8929577464789</v>
      </c>
    </row>
    <row r="3694" spans="1:14" x14ac:dyDescent="0.25">
      <c r="A3694" s="47">
        <v>437685</v>
      </c>
      <c r="B3694" s="78">
        <v>45309</v>
      </c>
      <c r="C3694" s="47" t="s">
        <v>14</v>
      </c>
      <c r="D3694" s="49" t="s">
        <v>269</v>
      </c>
      <c r="E3694" s="47">
        <v>312947</v>
      </c>
      <c r="G3694" s="50" t="s">
        <v>244</v>
      </c>
      <c r="H3694" s="51">
        <v>35.82</v>
      </c>
      <c r="J3694" s="51">
        <v>5.59</v>
      </c>
      <c r="K3694" s="74">
        <f>Tabela6[[#This Row],[CONSUMO]]*Tabela6[[#This Row],[VALOR UNIT]]-Tabela6[[#This Row],[DESCONTO]]</f>
        <v>200.2338</v>
      </c>
      <c r="L3694" s="53">
        <f>Tabela6[[#This Row],[CUSTO TOTAL]]/Tabela6[[#This Row],[CONSUMO]]</f>
        <v>5.59</v>
      </c>
      <c r="M3694" s="53" t="e" cm="1">
        <f t="array" ref="M3694">SE</f>
        <v>#NAME?</v>
      </c>
      <c r="N3694" s="49" t="e">
        <f>Tabela6[[#This Row],[KM Rodados ]]/Tabela6[[#This Row],[CONSUMO]]</f>
        <v>#NAME?</v>
      </c>
    </row>
    <row r="3695" spans="1:14" x14ac:dyDescent="0.25">
      <c r="A3695" s="47">
        <v>9366</v>
      </c>
      <c r="B3695" s="78">
        <v>45309</v>
      </c>
      <c r="C3695" s="47" t="s">
        <v>17</v>
      </c>
      <c r="D3695" s="49" t="s">
        <v>299</v>
      </c>
      <c r="E3695" s="47">
        <v>391081</v>
      </c>
      <c r="G3695" s="50" t="s">
        <v>89</v>
      </c>
      <c r="H3695" s="51">
        <v>121</v>
      </c>
      <c r="J3695" s="51">
        <v>5.21</v>
      </c>
      <c r="K3695" s="74">
        <f>Tabela6[[#This Row],[CONSUMO]]*Tabela6[[#This Row],[VALOR UNIT]]-Tabela6[[#This Row],[DESCONTO]]</f>
        <v>630.41</v>
      </c>
      <c r="L3695" s="53">
        <f>Tabela6[[#This Row],[CUSTO TOTAL]]/Tabela6[[#This Row],[CONSUMO]]</f>
        <v>5.21</v>
      </c>
      <c r="M3695" s="50">
        <f>Tabela6[[#This Row],[KM ATUAL]]-E3667</f>
        <v>454</v>
      </c>
      <c r="N3695" s="51">
        <f>Tabela6[[#This Row],[KM Rodados ]]/Tabela6[[#This Row],[CONSUMO]]</f>
        <v>3.7520661157024793</v>
      </c>
    </row>
    <row r="3696" spans="1:14" x14ac:dyDescent="0.25">
      <c r="A3696" s="47">
        <v>9366</v>
      </c>
      <c r="B3696" s="78">
        <v>45309</v>
      </c>
      <c r="C3696" s="47" t="s">
        <v>20</v>
      </c>
      <c r="D3696" s="49" t="s">
        <v>299</v>
      </c>
      <c r="E3696" s="47">
        <v>293148</v>
      </c>
      <c r="G3696" s="50" t="s">
        <v>89</v>
      </c>
      <c r="H3696" s="51">
        <v>68</v>
      </c>
      <c r="J3696" s="51">
        <v>5.21</v>
      </c>
      <c r="K3696" s="74">
        <f>Tabela6[[#This Row],[CONSUMO]]*Tabela6[[#This Row],[VALOR UNIT]]-Tabela6[[#This Row],[DESCONTO]]</f>
        <v>354.28</v>
      </c>
      <c r="L3696" s="53">
        <f>Tabela6[[#This Row],[CUSTO TOTAL]]/Tabela6[[#This Row],[CONSUMO]]</f>
        <v>5.21</v>
      </c>
      <c r="M3696" s="50">
        <f>Tabela6[[#This Row],[KM ATUAL]]-E3670</f>
        <v>278641</v>
      </c>
      <c r="N3696" s="51">
        <f>Tabela6[[#This Row],[KM Rodados ]]/Tabela6[[#This Row],[CONSUMO]]</f>
        <v>4097.661764705882</v>
      </c>
    </row>
    <row r="3697" spans="1:14" x14ac:dyDescent="0.25">
      <c r="A3697" s="47">
        <v>832614</v>
      </c>
      <c r="B3697" s="78">
        <v>45309</v>
      </c>
      <c r="C3697" s="47" t="s">
        <v>74</v>
      </c>
      <c r="D3697" s="49" t="s">
        <v>250</v>
      </c>
      <c r="E3697" s="47">
        <v>103544</v>
      </c>
      <c r="G3697" s="50" t="s">
        <v>89</v>
      </c>
      <c r="H3697" s="51">
        <v>82.01</v>
      </c>
      <c r="K3697" s="74">
        <f>Tabela6[[#This Row],[CONSUMO]]*Tabela6[[#This Row],[VALOR UNIT]]-Tabela6[[#This Row],[DESCONTO]]</f>
        <v>0</v>
      </c>
      <c r="L3697" s="53">
        <f>Tabela6[[#This Row],[CUSTO TOTAL]]/Tabela6[[#This Row],[CONSUMO]]</f>
        <v>0</v>
      </c>
      <c r="M3697" s="53" t="e">
        <f t="array" ref="M3697">SE</f>
        <v>#NAME?</v>
      </c>
      <c r="N3697" s="49" t="e">
        <f>Tabela6[[#This Row],[KM Rodados ]]/Tabela6[[#This Row],[CONSUMO]]</f>
        <v>#NAME?</v>
      </c>
    </row>
    <row r="3698" spans="1:14" x14ac:dyDescent="0.25">
      <c r="A3698" s="47">
        <v>9366</v>
      </c>
      <c r="B3698" s="78">
        <v>45309</v>
      </c>
      <c r="C3698" s="47" t="s">
        <v>401</v>
      </c>
      <c r="D3698" s="49" t="s">
        <v>299</v>
      </c>
      <c r="E3698" s="47">
        <v>3058</v>
      </c>
      <c r="G3698" s="50" t="s">
        <v>89</v>
      </c>
      <c r="H3698" s="51">
        <v>160</v>
      </c>
      <c r="J3698" s="51">
        <v>5.21</v>
      </c>
      <c r="K3698" s="74">
        <f>Tabela6[[#This Row],[CONSUMO]]*Tabela6[[#This Row],[VALOR UNIT]]-Tabela6[[#This Row],[DESCONTO]]</f>
        <v>833.6</v>
      </c>
      <c r="L3698" s="53">
        <f>Tabela6[[#This Row],[CUSTO TOTAL]]/Tabela6[[#This Row],[CONSUMO]]</f>
        <v>5.21</v>
      </c>
      <c r="M3698" s="50">
        <f>Tabela6[[#This Row],[KM ATUAL]]-E3685</f>
        <v>-177335</v>
      </c>
      <c r="N3698" s="51">
        <f>Tabela6[[#This Row],[KM Rodados ]]/Tabela6[[#This Row],[CONSUMO]]</f>
        <v>-1108.34375</v>
      </c>
    </row>
    <row r="3699" spans="1:14" x14ac:dyDescent="0.25">
      <c r="A3699" s="47">
        <v>191368</v>
      </c>
      <c r="B3699" s="78">
        <v>45310</v>
      </c>
      <c r="C3699" s="47" t="s">
        <v>43</v>
      </c>
      <c r="D3699" s="49" t="s">
        <v>263</v>
      </c>
      <c r="E3699" s="47">
        <v>172368</v>
      </c>
      <c r="G3699" s="50" t="s">
        <v>89</v>
      </c>
      <c r="H3699" s="51">
        <v>30.010999999999999</v>
      </c>
      <c r="I3699" s="49">
        <v>3</v>
      </c>
      <c r="J3699" s="51">
        <v>5.89</v>
      </c>
      <c r="K3699" s="74">
        <f>Tabela6[[#This Row],[CONSUMO]]*Tabela6[[#This Row],[VALOR UNIT]]-Tabela6[[#This Row],[DESCONTO]]</f>
        <v>173.76478999999998</v>
      </c>
      <c r="L3699" s="53">
        <f>Tabela6[[#This Row],[CUSTO TOTAL]]/Tabela6[[#This Row],[CONSUMO]]</f>
        <v>5.7900366532271494</v>
      </c>
      <c r="M3699" s="50">
        <f>Tabela6[[#This Row],[KM ATUAL]]-E3695</f>
        <v>-218713</v>
      </c>
      <c r="N3699" s="51">
        <f>Tabela6[[#This Row],[KM Rodados ]]/Tabela6[[#This Row],[CONSUMO]]</f>
        <v>-7287.7611542434443</v>
      </c>
    </row>
    <row r="3700" spans="1:14" x14ac:dyDescent="0.25">
      <c r="A3700" s="47">
        <v>9366</v>
      </c>
      <c r="B3700" s="78">
        <v>45310</v>
      </c>
      <c r="C3700" s="47" t="s">
        <v>43</v>
      </c>
      <c r="D3700" s="49" t="s">
        <v>299</v>
      </c>
      <c r="E3700" s="47">
        <v>172609</v>
      </c>
      <c r="G3700" s="50" t="s">
        <v>89</v>
      </c>
      <c r="H3700" s="51">
        <v>24</v>
      </c>
      <c r="J3700" s="51">
        <v>5.21</v>
      </c>
      <c r="K3700" s="74">
        <f>Tabela6[[#This Row],[CONSUMO]]*Tabela6[[#This Row],[VALOR UNIT]]-Tabela6[[#This Row],[DESCONTO]]</f>
        <v>125.03999999999999</v>
      </c>
      <c r="L3700" s="53">
        <f>Tabela6[[#This Row],[CUSTO TOTAL]]/Tabela6[[#This Row],[CONSUMO]]</f>
        <v>5.21</v>
      </c>
      <c r="M3700" s="50">
        <f>Tabela6[[#This Row],[KM ATUAL]]-E3691</f>
        <v>-373354</v>
      </c>
      <c r="N3700" s="51">
        <f>Tabela6[[#This Row],[KM Rodados ]]/Tabela6[[#This Row],[CONSUMO]]</f>
        <v>-15556.416666666666</v>
      </c>
    </row>
    <row r="3701" spans="1:14" x14ac:dyDescent="0.25">
      <c r="A3701" s="47">
        <v>9366</v>
      </c>
      <c r="B3701" s="78">
        <v>45310</v>
      </c>
      <c r="C3701" s="47" t="s">
        <v>43</v>
      </c>
      <c r="D3701" s="49" t="s">
        <v>299</v>
      </c>
      <c r="E3701" s="47">
        <v>172736</v>
      </c>
      <c r="G3701" s="50" t="s">
        <v>89</v>
      </c>
      <c r="H3701" s="51">
        <v>16</v>
      </c>
      <c r="J3701" s="51">
        <v>5.21</v>
      </c>
      <c r="K3701" s="74">
        <f>Tabela6[[#This Row],[CONSUMO]]*Tabela6[[#This Row],[VALOR UNIT]]-Tabela6[[#This Row],[DESCONTO]]</f>
        <v>83.36</v>
      </c>
      <c r="L3701" s="53">
        <f>Tabela6[[#This Row],[CUSTO TOTAL]]/Tabela6[[#This Row],[CONSUMO]]</f>
        <v>5.21</v>
      </c>
      <c r="M3701" s="50">
        <f>Tabela6[[#This Row],[KM ATUAL]]-E3697</f>
        <v>69192</v>
      </c>
      <c r="N3701" s="51">
        <f>Tabela6[[#This Row],[KM Rodados ]]/Tabela6[[#This Row],[CONSUMO]]</f>
        <v>4324.5</v>
      </c>
    </row>
    <row r="3702" spans="1:14" x14ac:dyDescent="0.25">
      <c r="A3702" s="47">
        <v>129003</v>
      </c>
      <c r="B3702" s="78">
        <v>45310</v>
      </c>
      <c r="C3702" s="47" t="s">
        <v>9</v>
      </c>
      <c r="D3702" s="49" t="s">
        <v>300</v>
      </c>
      <c r="E3702" s="47">
        <v>644695</v>
      </c>
      <c r="G3702" s="50" t="s">
        <v>89</v>
      </c>
      <c r="H3702" s="51">
        <v>73.040000000000006</v>
      </c>
      <c r="J3702" s="51">
        <v>5.69</v>
      </c>
      <c r="K3702" s="74">
        <f>Tabela6[[#This Row],[CONSUMO]]*Tabela6[[#This Row],[VALOR UNIT]]-Tabela6[[#This Row],[DESCONTO]]</f>
        <v>415.59760000000006</v>
      </c>
      <c r="L3702" s="53">
        <f>Tabela6[[#This Row],[CUSTO TOTAL]]/Tabela6[[#This Row],[CONSUMO]]</f>
        <v>5.69</v>
      </c>
      <c r="M3702" s="50">
        <f>Tabela6[[#This Row],[KM ATUAL]]-E3674</f>
        <v>602</v>
      </c>
      <c r="N3702" s="51">
        <f>Tabela6[[#This Row],[KM Rodados ]]/Tabela6[[#This Row],[CONSUMO]]</f>
        <v>8.2420591456736023</v>
      </c>
    </row>
    <row r="3703" spans="1:14" x14ac:dyDescent="0.25">
      <c r="A3703" s="47">
        <v>9366</v>
      </c>
      <c r="B3703" s="78">
        <v>45310</v>
      </c>
      <c r="C3703" s="47" t="s">
        <v>67</v>
      </c>
      <c r="D3703" s="49" t="s">
        <v>299</v>
      </c>
      <c r="E3703" s="47">
        <v>696623</v>
      </c>
      <c r="G3703" s="50" t="s">
        <v>89</v>
      </c>
      <c r="H3703" s="51">
        <v>110</v>
      </c>
      <c r="J3703" s="51">
        <v>5.21</v>
      </c>
      <c r="K3703" s="74">
        <f>Tabela6[[#This Row],[CONSUMO]]*Tabela6[[#This Row],[VALOR UNIT]]-Tabela6[[#This Row],[DESCONTO]]</f>
        <v>573.1</v>
      </c>
      <c r="L3703" s="53">
        <f>Tabela6[[#This Row],[CUSTO TOTAL]]/Tabela6[[#This Row],[CONSUMO]]</f>
        <v>5.21</v>
      </c>
      <c r="M3703" s="50">
        <f>Tabela6[[#This Row],[KM ATUAL]]-E3681</f>
        <v>696623</v>
      </c>
      <c r="N3703" s="51">
        <f>Tabela6[[#This Row],[KM Rodados ]]/Tabela6[[#This Row],[CONSUMO]]</f>
        <v>6332.9363636363632</v>
      </c>
    </row>
    <row r="3704" spans="1:14" x14ac:dyDescent="0.25">
      <c r="A3704" s="47">
        <v>9366</v>
      </c>
      <c r="B3704" s="78">
        <v>45310</v>
      </c>
      <c r="C3704" s="47" t="s">
        <v>22</v>
      </c>
      <c r="D3704" s="49" t="s">
        <v>299</v>
      </c>
      <c r="E3704" s="47">
        <v>349202</v>
      </c>
      <c r="G3704" s="50" t="s">
        <v>89</v>
      </c>
      <c r="H3704" s="51">
        <v>90</v>
      </c>
      <c r="J3704" s="51">
        <v>5.21</v>
      </c>
      <c r="K3704" s="74">
        <f>Tabela6[[#This Row],[CONSUMO]]*Tabela6[[#This Row],[VALOR UNIT]]-Tabela6[[#This Row],[DESCONTO]]</f>
        <v>468.9</v>
      </c>
      <c r="L3704" s="53">
        <f>Tabela6[[#This Row],[CUSTO TOTAL]]/Tabela6[[#This Row],[CONSUMO]]</f>
        <v>5.21</v>
      </c>
      <c r="M3704" s="50">
        <f>Tabela6[[#This Row],[KM ATUAL]]-E3680</f>
        <v>175677</v>
      </c>
      <c r="N3704" s="51">
        <f>Tabela6[[#This Row],[KM Rodados ]]/Tabela6[[#This Row],[CONSUMO]]</f>
        <v>1951.9666666666667</v>
      </c>
    </row>
    <row r="3705" spans="1:14" x14ac:dyDescent="0.25">
      <c r="A3705" s="47">
        <v>444733</v>
      </c>
      <c r="B3705" s="78">
        <v>45310</v>
      </c>
      <c r="C3705" s="47" t="s">
        <v>203</v>
      </c>
      <c r="D3705" s="49" t="s">
        <v>309</v>
      </c>
      <c r="E3705" s="47">
        <v>136306</v>
      </c>
      <c r="G3705" s="50" t="s">
        <v>244</v>
      </c>
      <c r="H3705" s="51">
        <v>30.881</v>
      </c>
      <c r="J3705" s="51">
        <v>5.35</v>
      </c>
      <c r="K3705" s="74">
        <f>Tabela6[[#This Row],[CONSUMO]]*Tabela6[[#This Row],[VALOR UNIT]]-Tabela6[[#This Row],[DESCONTO]]</f>
        <v>165.21334999999999</v>
      </c>
      <c r="L3705" s="53">
        <f>Tabela6[[#This Row],[CUSTO TOTAL]]/Tabela6[[#This Row],[CONSUMO]]</f>
        <v>5.35</v>
      </c>
      <c r="M3705" s="53" t="e" cm="1">
        <f t="array" ref="M3705">SE</f>
        <v>#NAME?</v>
      </c>
      <c r="N3705" s="49" t="e">
        <f>Tabela6[[#This Row],[KM Rodados ]]/Tabela6[[#This Row],[CONSUMO]]</f>
        <v>#NAME?</v>
      </c>
    </row>
    <row r="3706" spans="1:14" x14ac:dyDescent="0.25">
      <c r="A3706" s="47">
        <v>9366</v>
      </c>
      <c r="B3706" s="78">
        <v>45310</v>
      </c>
      <c r="C3706" s="47" t="s">
        <v>73</v>
      </c>
      <c r="D3706" s="49" t="s">
        <v>299</v>
      </c>
      <c r="E3706" s="47">
        <v>174579</v>
      </c>
      <c r="G3706" s="50" t="s">
        <v>89</v>
      </c>
      <c r="H3706" s="51">
        <v>243</v>
      </c>
      <c r="J3706" s="51">
        <v>5.21</v>
      </c>
      <c r="K3706" s="74">
        <f>Tabela6[[#This Row],[CONSUMO]]*Tabela6[[#This Row],[VALOR UNIT]]-Tabela6[[#This Row],[DESCONTO]]</f>
        <v>1266.03</v>
      </c>
      <c r="L3706" s="53">
        <f>Tabela6[[#This Row],[CUSTO TOTAL]]/Tabela6[[#This Row],[CONSUMO]]</f>
        <v>5.21</v>
      </c>
      <c r="M3706" s="50">
        <f>Tabela6[[#This Row],[KM ATUAL]]-E3675</f>
        <v>174579</v>
      </c>
      <c r="N3706" s="51">
        <f>Tabela6[[#This Row],[KM Rodados ]]/Tabela6[[#This Row],[CONSUMO]]</f>
        <v>718.4320987654321</v>
      </c>
    </row>
    <row r="3707" spans="1:14" x14ac:dyDescent="0.25">
      <c r="A3707" s="47">
        <v>129109</v>
      </c>
      <c r="B3707" s="78">
        <v>45310</v>
      </c>
      <c r="C3707" s="47" t="s">
        <v>71</v>
      </c>
      <c r="D3707" s="49" t="s">
        <v>300</v>
      </c>
      <c r="E3707" s="47">
        <v>146199</v>
      </c>
      <c r="G3707" s="50" t="s">
        <v>89</v>
      </c>
      <c r="H3707" s="51">
        <v>522.02</v>
      </c>
      <c r="J3707" s="51">
        <v>5.69</v>
      </c>
      <c r="K3707" s="74">
        <f>Tabela6[[#This Row],[CONSUMO]]*Tabela6[[#This Row],[VALOR UNIT]]-Tabela6[[#This Row],[DESCONTO]]</f>
        <v>2970.2937999999999</v>
      </c>
      <c r="L3707" s="53">
        <f>Tabela6[[#This Row],[CUSTO TOTAL]]/Tabela6[[#This Row],[CONSUMO]]</f>
        <v>5.69</v>
      </c>
      <c r="M3707" s="50">
        <f>Tabela6[[#This Row],[KM ATUAL]]-E3621</f>
        <v>-843596</v>
      </c>
      <c r="N3707" s="51">
        <f>Tabela6[[#This Row],[KM Rodados ]]/Tabela6[[#This Row],[CONSUMO]]</f>
        <v>-1616.022374621662</v>
      </c>
    </row>
    <row r="3708" spans="1:14" x14ac:dyDescent="0.25">
      <c r="A3708" s="47">
        <v>9366</v>
      </c>
      <c r="B3708" s="78">
        <v>45310</v>
      </c>
      <c r="C3708" s="47" t="s">
        <v>41</v>
      </c>
      <c r="D3708" s="49" t="s">
        <v>299</v>
      </c>
      <c r="E3708" s="47">
        <v>694975</v>
      </c>
      <c r="G3708" s="50" t="s">
        <v>89</v>
      </c>
      <c r="H3708" s="51">
        <v>150</v>
      </c>
      <c r="J3708" s="51">
        <v>5.21</v>
      </c>
      <c r="K3708" s="74">
        <f>Tabela6[[#This Row],[CONSUMO]]*Tabela6[[#This Row],[VALOR UNIT]]-Tabela6[[#This Row],[DESCONTO]]</f>
        <v>781.5</v>
      </c>
      <c r="L3708" s="53">
        <f>Tabela6[[#This Row],[CUSTO TOTAL]]/Tabela6[[#This Row],[CONSUMO]]</f>
        <v>5.21</v>
      </c>
      <c r="M3708" s="50">
        <f>Tabela6[[#This Row],[KM ATUAL]]-E3651</f>
        <v>345365</v>
      </c>
      <c r="N3708" s="51">
        <f>Tabela6[[#This Row],[KM Rodados ]]/Tabela6[[#This Row],[CONSUMO]]</f>
        <v>2302.4333333333334</v>
      </c>
    </row>
    <row r="3709" spans="1:14" x14ac:dyDescent="0.25">
      <c r="A3709" s="47">
        <v>9366</v>
      </c>
      <c r="B3709" s="78">
        <v>45310</v>
      </c>
      <c r="C3709" s="47" t="s">
        <v>10</v>
      </c>
      <c r="D3709" s="49" t="s">
        <v>299</v>
      </c>
      <c r="E3709" s="47">
        <v>741085</v>
      </c>
      <c r="G3709" s="50" t="s">
        <v>89</v>
      </c>
      <c r="H3709" s="51">
        <v>135</v>
      </c>
      <c r="J3709" s="51">
        <v>5.21</v>
      </c>
      <c r="K3709" s="74">
        <f>Tabela6[[#This Row],[CONSUMO]]*Tabela6[[#This Row],[VALOR UNIT]]-Tabela6[[#This Row],[DESCONTO]]</f>
        <v>703.35</v>
      </c>
      <c r="L3709" s="53">
        <f>Tabela6[[#This Row],[CUSTO TOTAL]]/Tabela6[[#This Row],[CONSUMO]]</f>
        <v>5.21</v>
      </c>
      <c r="M3709" s="50">
        <f>Tabela6[[#This Row],[KM ATUAL]]-E3681</f>
        <v>741085</v>
      </c>
      <c r="N3709" s="51">
        <f>Tabela6[[#This Row],[KM Rodados ]]/Tabela6[[#This Row],[CONSUMO]]</f>
        <v>5489.5185185185182</v>
      </c>
    </row>
    <row r="3710" spans="1:14" x14ac:dyDescent="0.25">
      <c r="A3710" s="47">
        <v>1907</v>
      </c>
      <c r="B3710" s="78">
        <v>45310</v>
      </c>
      <c r="C3710" s="47" t="s">
        <v>301</v>
      </c>
      <c r="D3710" s="49" t="s">
        <v>324</v>
      </c>
      <c r="E3710" s="47">
        <v>1086780</v>
      </c>
      <c r="G3710" s="50" t="s">
        <v>89</v>
      </c>
      <c r="H3710" s="51">
        <v>306.29000000000002</v>
      </c>
      <c r="J3710" s="51">
        <v>5.99</v>
      </c>
      <c r="K3710" s="74">
        <f>Tabela6[[#This Row],[CONSUMO]]*Tabela6[[#This Row],[VALOR UNIT]]-Tabela6[[#This Row],[DESCONTO]]</f>
        <v>1834.6771000000001</v>
      </c>
      <c r="L3710" s="53">
        <f>Tabela6[[#This Row],[CUSTO TOTAL]]/Tabela6[[#This Row],[CONSUMO]]</f>
        <v>5.99</v>
      </c>
      <c r="M3710" s="50">
        <f>Tabela6[[#This Row],[KM ATUAL]]-E3689</f>
        <v>704712</v>
      </c>
      <c r="N3710" s="51">
        <f>Tabela6[[#This Row],[KM Rodados ]]/Tabela6[[#This Row],[CONSUMO]]</f>
        <v>2300.79989552385</v>
      </c>
    </row>
    <row r="3711" spans="1:14" x14ac:dyDescent="0.25">
      <c r="A3711" s="47">
        <v>236692</v>
      </c>
      <c r="B3711" s="78">
        <v>45310</v>
      </c>
      <c r="C3711" s="47" t="s">
        <v>206</v>
      </c>
      <c r="D3711" s="49" t="s">
        <v>262</v>
      </c>
      <c r="E3711" s="47">
        <v>990795</v>
      </c>
      <c r="G3711" s="50" t="s">
        <v>241</v>
      </c>
      <c r="H3711" s="51">
        <v>30.196000000000002</v>
      </c>
      <c r="I3711" s="49">
        <v>10.87</v>
      </c>
      <c r="J3711" s="51">
        <v>3.69</v>
      </c>
      <c r="K3711" s="74">
        <f>Tabela6[[#This Row],[CONSUMO]]*Tabela6[[#This Row],[VALOR UNIT]]-Tabela6[[#This Row],[DESCONTO]]</f>
        <v>100.55324</v>
      </c>
      <c r="L3711" s="53">
        <f>Tabela6[[#This Row],[CUSTO TOTAL]]/Tabela6[[#This Row],[CONSUMO]]</f>
        <v>3.3300185455027154</v>
      </c>
      <c r="M3711" s="53"/>
      <c r="N3711" s="49"/>
    </row>
    <row r="3712" spans="1:14" x14ac:dyDescent="0.25">
      <c r="A3712" s="47">
        <v>9366</v>
      </c>
      <c r="B3712" s="78">
        <v>45310</v>
      </c>
      <c r="C3712" s="47" t="s">
        <v>13</v>
      </c>
      <c r="D3712" s="49" t="s">
        <v>299</v>
      </c>
      <c r="E3712" s="47">
        <v>674703</v>
      </c>
      <c r="G3712" s="50" t="s">
        <v>89</v>
      </c>
      <c r="H3712" s="51">
        <v>100</v>
      </c>
      <c r="J3712" s="51">
        <v>5.21</v>
      </c>
      <c r="K3712" s="74">
        <f>Tabela6[[#This Row],[CONSUMO]]*Tabela6[[#This Row],[VALOR UNIT]]-Tabela6[[#This Row],[DESCONTO]]</f>
        <v>521</v>
      </c>
      <c r="L3712" s="53">
        <f>Tabela6[[#This Row],[CUSTO TOTAL]]/Tabela6[[#This Row],[CONSUMO]]</f>
        <v>5.21</v>
      </c>
      <c r="M3712" s="50">
        <f>Tabela6[[#This Row],[KM ATUAL]]-E3653</f>
        <v>532327</v>
      </c>
      <c r="N3712" s="51">
        <f>Tabela6[[#This Row],[KM Rodados ]]/Tabela6[[#This Row],[CONSUMO]]</f>
        <v>5323.27</v>
      </c>
    </row>
    <row r="3713" spans="1:14" x14ac:dyDescent="0.25">
      <c r="A3713" s="47">
        <v>26828</v>
      </c>
      <c r="B3713" s="78">
        <v>45310</v>
      </c>
      <c r="C3713" s="47" t="s">
        <v>14</v>
      </c>
      <c r="D3713" s="49" t="s">
        <v>271</v>
      </c>
      <c r="E3713" s="119">
        <v>313166</v>
      </c>
      <c r="G3713" s="50" t="s">
        <v>244</v>
      </c>
      <c r="H3713" s="51">
        <v>23.97</v>
      </c>
      <c r="J3713" s="51">
        <v>5.49</v>
      </c>
      <c r="K3713" s="74">
        <f>Tabela6[[#This Row],[CONSUMO]]*Tabela6[[#This Row],[VALOR UNIT]]-Tabela6[[#This Row],[DESCONTO]]</f>
        <v>131.59530000000001</v>
      </c>
      <c r="L3713" s="53">
        <f>Tabela6[[#This Row],[CUSTO TOTAL]]/Tabela6[[#This Row],[CONSUMO]]</f>
        <v>5.49</v>
      </c>
      <c r="M3713" s="53" t="e" cm="1">
        <f t="array" ref="M3713">SE</f>
        <v>#NAME?</v>
      </c>
      <c r="N3713" s="49" t="e">
        <f>Tabela6[[#This Row],[KM Rodados ]]/Tabela6[[#This Row],[CONSUMO]]</f>
        <v>#NAME?</v>
      </c>
    </row>
    <row r="3714" spans="1:14" x14ac:dyDescent="0.25">
      <c r="A3714" s="47">
        <v>598109</v>
      </c>
      <c r="B3714" s="78">
        <v>45310</v>
      </c>
      <c r="C3714" s="47" t="s">
        <v>18</v>
      </c>
      <c r="D3714" s="49" t="s">
        <v>255</v>
      </c>
      <c r="E3714" s="47">
        <v>343435</v>
      </c>
      <c r="G3714" s="50" t="s">
        <v>89</v>
      </c>
      <c r="H3714" s="51">
        <v>82.82</v>
      </c>
      <c r="J3714" s="51">
        <v>6.16</v>
      </c>
      <c r="K3714" s="74">
        <f>Tabela6[[#This Row],[CONSUMO]]*Tabela6[[#This Row],[VALOR UNIT]]-Tabela6[[#This Row],[DESCONTO]]</f>
        <v>510.17119999999994</v>
      </c>
      <c r="L3714" s="53">
        <f>Tabela6[[#This Row],[CUSTO TOTAL]]/Tabela6[[#This Row],[CONSUMO]]</f>
        <v>6.16</v>
      </c>
      <c r="M3714" s="53" t="e">
        <f t="array" ref="M3714">SE</f>
        <v>#NAME?</v>
      </c>
      <c r="N3714" s="49" t="e">
        <f>Tabela6[[#This Row],[KM Rodados ]]/Tabela6[[#This Row],[CONSUMO]]</f>
        <v>#NAME?</v>
      </c>
    </row>
    <row r="3715" spans="1:14" x14ac:dyDescent="0.25">
      <c r="A3715" s="47">
        <v>9366</v>
      </c>
      <c r="B3715" s="78">
        <v>45310</v>
      </c>
      <c r="C3715" s="47" t="s">
        <v>20</v>
      </c>
      <c r="D3715" s="49" t="s">
        <v>299</v>
      </c>
      <c r="E3715" s="47">
        <v>293576</v>
      </c>
      <c r="G3715" s="50" t="s">
        <v>89</v>
      </c>
      <c r="H3715" s="51">
        <v>45</v>
      </c>
      <c r="J3715" s="51">
        <v>5.21</v>
      </c>
      <c r="K3715" s="74">
        <f>Tabela6[[#This Row],[CONSUMO]]*Tabela6[[#This Row],[VALOR UNIT]]-Tabela6[[#This Row],[DESCONTO]]</f>
        <v>234.45</v>
      </c>
      <c r="L3715" s="53">
        <f>Tabela6[[#This Row],[CUSTO TOTAL]]/Tabela6[[#This Row],[CONSUMO]]</f>
        <v>5.21</v>
      </c>
      <c r="M3715" s="50">
        <f>Tabela6[[#This Row],[KM ATUAL]]-E3698</f>
        <v>290518</v>
      </c>
      <c r="N3715" s="51">
        <f>Tabela6[[#This Row],[KM Rodados ]]/Tabela6[[#This Row],[CONSUMO]]</f>
        <v>6455.9555555555553</v>
      </c>
    </row>
    <row r="3716" spans="1:14" x14ac:dyDescent="0.25">
      <c r="A3716" s="47">
        <v>9366</v>
      </c>
      <c r="B3716" s="78">
        <v>45310</v>
      </c>
      <c r="C3716" s="47" t="s">
        <v>74</v>
      </c>
      <c r="D3716" s="49" t="s">
        <v>299</v>
      </c>
      <c r="E3716" s="47">
        <v>104005</v>
      </c>
      <c r="G3716" s="50" t="s">
        <v>89</v>
      </c>
      <c r="H3716" s="51">
        <v>45</v>
      </c>
      <c r="J3716" s="51">
        <v>5.21</v>
      </c>
      <c r="K3716" s="74">
        <f>Tabela6[[#This Row],[CONSUMO]]*Tabela6[[#This Row],[VALOR UNIT]]-Tabela6[[#This Row],[DESCONTO]]</f>
        <v>234.45</v>
      </c>
      <c r="L3716" s="53">
        <f>Tabela6[[#This Row],[CUSTO TOTAL]]/Tabela6[[#This Row],[CONSUMO]]</f>
        <v>5.21</v>
      </c>
      <c r="M3716" s="50">
        <f>Tabela6[[#This Row],[KM ATUAL]]-E3659</f>
        <v>-332292</v>
      </c>
      <c r="N3716" s="51">
        <f>Tabela6[[#This Row],[KM Rodados ]]/Tabela6[[#This Row],[CONSUMO]]</f>
        <v>-7384.2666666666664</v>
      </c>
    </row>
    <row r="3717" spans="1:14" x14ac:dyDescent="0.25">
      <c r="A3717" s="47">
        <v>236950</v>
      </c>
      <c r="B3717" s="78">
        <v>45311</v>
      </c>
      <c r="C3717" s="47" t="s">
        <v>72</v>
      </c>
      <c r="D3717" s="49" t="s">
        <v>262</v>
      </c>
      <c r="E3717" s="47">
        <v>436467</v>
      </c>
      <c r="G3717" s="50" t="s">
        <v>89</v>
      </c>
      <c r="H3717" s="51">
        <v>26.84</v>
      </c>
      <c r="J3717" s="51">
        <v>5.99</v>
      </c>
      <c r="K3717" s="74">
        <f>Tabela6[[#This Row],[CONSUMO]]*Tabela6[[#This Row],[VALOR UNIT]]-Tabela6[[#This Row],[DESCONTO]]</f>
        <v>160.77160000000001</v>
      </c>
      <c r="L3717" s="53">
        <f>Tabela6[[#This Row],[CUSTO TOTAL]]/Tabela6[[#This Row],[CONSUMO]]</f>
        <v>5.99</v>
      </c>
      <c r="M3717" s="50">
        <f>Tabela6[[#This Row],[KM ATUAL]]-E3716</f>
        <v>332462</v>
      </c>
      <c r="N3717" s="51">
        <f>Tabela6[[#This Row],[KM Rodados ]]/Tabela6[[#This Row],[CONSUMO]]</f>
        <v>12386.810730253354</v>
      </c>
    </row>
    <row r="3718" spans="1:14" x14ac:dyDescent="0.25">
      <c r="A3718" s="47">
        <v>129470</v>
      </c>
      <c r="B3718" s="78">
        <v>45311</v>
      </c>
      <c r="C3718" s="47" t="s">
        <v>72</v>
      </c>
      <c r="D3718" s="49" t="s">
        <v>300</v>
      </c>
      <c r="E3718" s="47">
        <v>436821</v>
      </c>
      <c r="G3718" s="50" t="s">
        <v>89</v>
      </c>
      <c r="H3718" s="51">
        <v>41</v>
      </c>
      <c r="J3718" s="51">
        <v>5.69</v>
      </c>
      <c r="K3718" s="74">
        <f>Tabela6[[#This Row],[CONSUMO]]*Tabela6[[#This Row],[VALOR UNIT]]-Tabela6[[#This Row],[DESCONTO]]</f>
        <v>233.29000000000002</v>
      </c>
      <c r="L3718" s="53">
        <f>Tabela6[[#This Row],[CUSTO TOTAL]]/Tabela6[[#This Row],[CONSUMO]]</f>
        <v>5.69</v>
      </c>
      <c r="M3718" s="50">
        <f>Tabela6[[#This Row],[KM ATUAL]]-E3665</f>
        <v>27943</v>
      </c>
      <c r="N3718" s="51">
        <f>Tabela6[[#This Row],[KM Rodados ]]/Tabela6[[#This Row],[CONSUMO]]</f>
        <v>681.53658536585363</v>
      </c>
    </row>
    <row r="3719" spans="1:14" x14ac:dyDescent="0.25">
      <c r="A3719" s="47">
        <v>320172</v>
      </c>
      <c r="B3719" s="78">
        <v>45312</v>
      </c>
      <c r="C3719" s="47" t="s">
        <v>222</v>
      </c>
      <c r="D3719" s="49" t="s">
        <v>405</v>
      </c>
      <c r="E3719" s="47">
        <v>546935</v>
      </c>
      <c r="G3719" s="50" t="s">
        <v>241</v>
      </c>
      <c r="H3719" s="51">
        <v>35.700000000000003</v>
      </c>
      <c r="J3719" s="51">
        <v>2.99</v>
      </c>
      <c r="K3719" s="74">
        <f>Tabela6[[#This Row],[CONSUMO]]*Tabela6[[#This Row],[VALOR UNIT]]-Tabela6[[#This Row],[DESCONTO]]</f>
        <v>106.74300000000001</v>
      </c>
      <c r="L3719" s="53">
        <f>Tabela6[[#This Row],[CUSTO TOTAL]]/Tabela6[[#This Row],[CONSUMO]]</f>
        <v>2.99</v>
      </c>
      <c r="M3719" s="50"/>
    </row>
    <row r="3720" spans="1:14" x14ac:dyDescent="0.25">
      <c r="A3720" s="47">
        <v>130687</v>
      </c>
      <c r="B3720" s="78">
        <v>45313</v>
      </c>
      <c r="C3720" s="47" t="s">
        <v>43</v>
      </c>
      <c r="D3720" s="49" t="s">
        <v>300</v>
      </c>
      <c r="E3720" s="47">
        <v>173043</v>
      </c>
      <c r="G3720" s="50" t="s">
        <v>89</v>
      </c>
      <c r="H3720" s="51">
        <v>33.33</v>
      </c>
      <c r="J3720" s="51">
        <v>189.65</v>
      </c>
      <c r="K3720" s="74">
        <f>Tabela6[[#This Row],[CONSUMO]]*Tabela6[[#This Row],[VALOR UNIT]]-Tabela6[[#This Row],[DESCONTO]]</f>
        <v>6321.0344999999998</v>
      </c>
      <c r="L3720" s="53">
        <f>Tabela6[[#This Row],[CUSTO TOTAL]]/Tabela6[[#This Row],[CONSUMO]]</f>
        <v>189.65</v>
      </c>
      <c r="M3720" s="50">
        <f>Tabela6[[#This Row],[KM ATUAL]]-E3709</f>
        <v>-568042</v>
      </c>
      <c r="N3720" s="51">
        <f>Tabela6[[#This Row],[KM Rodados ]]/Tabela6[[#This Row],[CONSUMO]]</f>
        <v>-17042.964296429644</v>
      </c>
    </row>
    <row r="3721" spans="1:14" x14ac:dyDescent="0.25">
      <c r="A3721" s="47">
        <v>9463</v>
      </c>
      <c r="B3721" s="78">
        <v>45313</v>
      </c>
      <c r="C3721" s="47" t="s">
        <v>9</v>
      </c>
      <c r="D3721" s="49" t="s">
        <v>299</v>
      </c>
      <c r="E3721" s="47">
        <v>645124</v>
      </c>
      <c r="G3721" s="50" t="s">
        <v>89</v>
      </c>
      <c r="H3721" s="51">
        <v>26</v>
      </c>
      <c r="J3721" s="51">
        <v>5.21</v>
      </c>
      <c r="K3721" s="74">
        <f>Tabela6[[#This Row],[CONSUMO]]*Tabela6[[#This Row],[VALOR UNIT]]-Tabela6[[#This Row],[DESCONTO]]</f>
        <v>135.46</v>
      </c>
      <c r="L3721" s="53">
        <f>Tabela6[[#This Row],[CUSTO TOTAL]]/Tabela6[[#This Row],[CONSUMO]]</f>
        <v>5.21</v>
      </c>
      <c r="M3721" s="50">
        <f>Tabela6[[#This Row],[KM ATUAL]]-E3691</f>
        <v>99161</v>
      </c>
      <c r="N3721" s="51">
        <f>Tabela6[[#This Row],[KM Rodados ]]/Tabela6[[#This Row],[CONSUMO]]</f>
        <v>3813.8846153846152</v>
      </c>
    </row>
    <row r="3722" spans="1:14" x14ac:dyDescent="0.25">
      <c r="A3722" s="47">
        <v>488837</v>
      </c>
      <c r="B3722" s="78">
        <v>45313</v>
      </c>
      <c r="C3722" s="47" t="s">
        <v>222</v>
      </c>
      <c r="D3722" s="49" t="s">
        <v>347</v>
      </c>
      <c r="E3722" s="47">
        <v>547865</v>
      </c>
      <c r="G3722" s="50" t="s">
        <v>89</v>
      </c>
      <c r="H3722" s="51">
        <v>366</v>
      </c>
      <c r="J3722" s="51">
        <v>5.79</v>
      </c>
      <c r="K3722" s="74">
        <f>Tabela6[[#This Row],[CONSUMO]]*Tabela6[[#This Row],[VALOR UNIT]]-Tabela6[[#This Row],[DESCONTO]]</f>
        <v>2119.14</v>
      </c>
      <c r="L3722" s="53">
        <f>Tabela6[[#This Row],[CUSTO TOTAL]]/Tabela6[[#This Row],[CONSUMO]]</f>
        <v>5.79</v>
      </c>
      <c r="M3722" s="50">
        <f>Tabela6[[#This Row],[KM ATUAL]]-E3694</f>
        <v>234918</v>
      </c>
      <c r="N3722" s="51">
        <f>Tabela6[[#This Row],[KM Rodados ]]/Tabela6[[#This Row],[CONSUMO]]</f>
        <v>641.85245901639348</v>
      </c>
    </row>
    <row r="3723" spans="1:14" x14ac:dyDescent="0.25">
      <c r="A3723" s="47">
        <v>237564</v>
      </c>
      <c r="B3723" s="78">
        <v>45313</v>
      </c>
      <c r="C3723" s="47" t="s">
        <v>67</v>
      </c>
      <c r="D3723" s="49" t="s">
        <v>262</v>
      </c>
      <c r="E3723" s="47">
        <v>696630</v>
      </c>
      <c r="G3723" s="50" t="s">
        <v>89</v>
      </c>
      <c r="H3723" s="51">
        <v>8.17</v>
      </c>
      <c r="J3723" s="51">
        <v>5.99</v>
      </c>
      <c r="K3723" s="74">
        <f>Tabela6[[#This Row],[CONSUMO]]*Tabela6[[#This Row],[VALOR UNIT]]-Tabela6[[#This Row],[DESCONTO]]</f>
        <v>48.938299999999998</v>
      </c>
      <c r="L3723" s="53">
        <f>Tabela6[[#This Row],[CUSTO TOTAL]]/Tabela6[[#This Row],[CONSUMO]]</f>
        <v>5.99</v>
      </c>
      <c r="M3723" s="50">
        <f>Tabela6[[#This Row],[KM ATUAL]]-E3706</f>
        <v>522051</v>
      </c>
      <c r="N3723" s="51">
        <f>Tabela6[[#This Row],[KM Rodados ]]/Tabela6[[#This Row],[CONSUMO]]</f>
        <v>63898.531211750305</v>
      </c>
    </row>
    <row r="3724" spans="1:14" x14ac:dyDescent="0.25">
      <c r="A3724" s="47">
        <v>237529</v>
      </c>
      <c r="B3724" s="78">
        <v>45313</v>
      </c>
      <c r="C3724" s="47" t="s">
        <v>215</v>
      </c>
      <c r="D3724" s="49" t="s">
        <v>262</v>
      </c>
      <c r="E3724" s="47">
        <v>233402</v>
      </c>
      <c r="G3724" s="50" t="s">
        <v>244</v>
      </c>
      <c r="H3724" s="51">
        <v>28.498999999999999</v>
      </c>
      <c r="J3724" s="51">
        <v>5.49</v>
      </c>
      <c r="K3724" s="74">
        <f>Tabela6[[#This Row],[CONSUMO]]*Tabela6[[#This Row],[VALOR UNIT]]-Tabela6[[#This Row],[DESCONTO]]</f>
        <v>156.45950999999999</v>
      </c>
      <c r="L3724" s="53">
        <f>Tabela6[[#This Row],[CUSTO TOTAL]]/Tabela6[[#This Row],[CONSUMO]]</f>
        <v>5.49</v>
      </c>
      <c r="M3724" s="53" t="e" cm="1">
        <f t="array" ref="M3724">SE</f>
        <v>#NAME?</v>
      </c>
      <c r="N3724" s="49" t="e">
        <f>Tabela6[[#This Row],[KM Rodados ]]/Tabela6[[#This Row],[CONSUMO]]</f>
        <v>#NAME?</v>
      </c>
    </row>
    <row r="3725" spans="1:14" x14ac:dyDescent="0.25">
      <c r="A3725" s="47">
        <v>144266</v>
      </c>
      <c r="B3725" s="78">
        <v>45313</v>
      </c>
      <c r="C3725" s="47" t="s">
        <v>39</v>
      </c>
      <c r="D3725" s="49" t="s">
        <v>253</v>
      </c>
      <c r="E3725" s="47">
        <v>117331</v>
      </c>
      <c r="G3725" s="50" t="s">
        <v>89</v>
      </c>
      <c r="H3725" s="51">
        <v>87.62</v>
      </c>
      <c r="J3725" s="51">
        <v>6.09</v>
      </c>
      <c r="K3725" s="74">
        <f>Tabela6[[#This Row],[CONSUMO]]*Tabela6[[#This Row],[VALOR UNIT]]-Tabela6[[#This Row],[DESCONTO]]</f>
        <v>533.60580000000004</v>
      </c>
      <c r="L3725" s="53">
        <f>Tabela6[[#This Row],[CUSTO TOTAL]]/Tabela6[[#This Row],[CONSUMO]]</f>
        <v>6.09</v>
      </c>
      <c r="M3725" s="50">
        <f>Tabela6[[#This Row],[KM ATUAL]]-E3674</f>
        <v>-526762</v>
      </c>
      <c r="N3725" s="51">
        <f>Tabela6[[#This Row],[KM Rodados ]]/Tabela6[[#This Row],[CONSUMO]]</f>
        <v>-6011.8922620406292</v>
      </c>
    </row>
    <row r="3726" spans="1:14" x14ac:dyDescent="0.25">
      <c r="A3726" s="47">
        <v>446003</v>
      </c>
      <c r="B3726" s="78">
        <v>45313</v>
      </c>
      <c r="C3726" s="47" t="s">
        <v>203</v>
      </c>
      <c r="D3726" s="49" t="s">
        <v>309</v>
      </c>
      <c r="E3726" s="47">
        <v>135740</v>
      </c>
      <c r="G3726" s="50" t="s">
        <v>244</v>
      </c>
      <c r="H3726" s="51">
        <v>34.850999999999999</v>
      </c>
      <c r="J3726" s="51">
        <v>5.35</v>
      </c>
      <c r="K3726" s="74">
        <f>Tabela6[[#This Row],[CONSUMO]]*Tabela6[[#This Row],[VALOR UNIT]]-Tabela6[[#This Row],[DESCONTO]]</f>
        <v>186.45284999999998</v>
      </c>
      <c r="L3726" s="53">
        <f>Tabela6[[#This Row],[CUSTO TOTAL]]/Tabela6[[#This Row],[CONSUMO]]</f>
        <v>5.35</v>
      </c>
      <c r="M3726" s="53" t="e" cm="1">
        <f t="array" ref="M3726">SE</f>
        <v>#NAME?</v>
      </c>
      <c r="N3726" s="49" t="e">
        <f>Tabela6[[#This Row],[KM Rodados ]]/Tabela6[[#This Row],[CONSUMO]]</f>
        <v>#NAME?</v>
      </c>
    </row>
    <row r="3727" spans="1:14" x14ac:dyDescent="0.25">
      <c r="A3727" s="47">
        <v>9366</v>
      </c>
      <c r="B3727" s="78">
        <v>45313</v>
      </c>
      <c r="C3727" s="47" t="s">
        <v>41</v>
      </c>
      <c r="D3727" s="49" t="s">
        <v>299</v>
      </c>
      <c r="E3727" s="47">
        <v>695398</v>
      </c>
      <c r="G3727" s="50" t="s">
        <v>89</v>
      </c>
      <c r="H3727" s="51">
        <v>84</v>
      </c>
      <c r="J3727" s="51">
        <v>5.21</v>
      </c>
      <c r="K3727" s="74">
        <f>Tabela6[[#This Row],[CONSUMO]]*Tabela6[[#This Row],[VALOR UNIT]]-Tabela6[[#This Row],[DESCONTO]]</f>
        <v>437.64</v>
      </c>
      <c r="L3727" s="53">
        <f>Tabela6[[#This Row],[CUSTO TOTAL]]/Tabela6[[#This Row],[CONSUMO]]</f>
        <v>5.21</v>
      </c>
      <c r="M3727" s="50">
        <f>Tabela6[[#This Row],[KM ATUAL]]-E3705</f>
        <v>559092</v>
      </c>
      <c r="N3727" s="51">
        <f>Tabela6[[#This Row],[KM Rodados ]]/Tabela6[[#This Row],[CONSUMO]]</f>
        <v>6655.8571428571431</v>
      </c>
    </row>
    <row r="3728" spans="1:14" x14ac:dyDescent="0.25">
      <c r="A3728" s="47">
        <v>9463</v>
      </c>
      <c r="B3728" s="78">
        <v>45313</v>
      </c>
      <c r="C3728" s="47" t="s">
        <v>301</v>
      </c>
      <c r="D3728" s="49" t="s">
        <v>299</v>
      </c>
      <c r="E3728" s="47">
        <v>1087568</v>
      </c>
      <c r="G3728" s="50" t="s">
        <v>89</v>
      </c>
      <c r="H3728" s="51">
        <v>301</v>
      </c>
      <c r="J3728" s="51">
        <v>5.21</v>
      </c>
      <c r="K3728" s="74">
        <f>Tabela6[[#This Row],[CONSUMO]]*Tabela6[[#This Row],[VALOR UNIT]]-Tabela6[[#This Row],[DESCONTO]]</f>
        <v>1568.21</v>
      </c>
      <c r="L3728" s="53">
        <f>Tabela6[[#This Row],[CUSTO TOTAL]]/Tabela6[[#This Row],[CONSUMO]]</f>
        <v>5.21</v>
      </c>
      <c r="M3728" s="50">
        <f>Tabela6[[#This Row],[KM ATUAL]]-E3696</f>
        <v>794420</v>
      </c>
      <c r="N3728" s="51">
        <f>Tabela6[[#This Row],[KM Rodados ]]/Tabela6[[#This Row],[CONSUMO]]</f>
        <v>2639.2691029900334</v>
      </c>
    </row>
    <row r="3729" spans="1:14" x14ac:dyDescent="0.25">
      <c r="A3729" s="47">
        <v>237497</v>
      </c>
      <c r="B3729" s="78">
        <v>45313</v>
      </c>
      <c r="C3729" s="47" t="s">
        <v>14</v>
      </c>
      <c r="D3729" s="49" t="s">
        <v>262</v>
      </c>
      <c r="E3729" s="47">
        <v>313856</v>
      </c>
      <c r="G3729" s="50" t="s">
        <v>244</v>
      </c>
      <c r="H3729" s="51">
        <v>38</v>
      </c>
      <c r="J3729" s="51">
        <v>5.49</v>
      </c>
      <c r="K3729" s="74">
        <f>Tabela6[[#This Row],[CONSUMO]]*Tabela6[[#This Row],[VALOR UNIT]]-Tabela6[[#This Row],[DESCONTO]]</f>
        <v>208.62</v>
      </c>
      <c r="L3729" s="53">
        <f>Tabela6[[#This Row],[CUSTO TOTAL]]/Tabela6[[#This Row],[CONSUMO]]</f>
        <v>5.49</v>
      </c>
      <c r="M3729" s="53" t="e" cm="1">
        <f t="array" ref="M3729">SE</f>
        <v>#NAME?</v>
      </c>
      <c r="N3729" s="49" t="e">
        <f>Tabela6[[#This Row],[KM Rodados ]]/Tabela6[[#This Row],[CONSUMO]]</f>
        <v>#NAME?</v>
      </c>
    </row>
    <row r="3730" spans="1:14" x14ac:dyDescent="0.25">
      <c r="A3730" s="47">
        <v>237614</v>
      </c>
      <c r="B3730" s="78">
        <v>45313</v>
      </c>
      <c r="C3730" s="47" t="s">
        <v>17</v>
      </c>
      <c r="D3730" s="49" t="s">
        <v>262</v>
      </c>
      <c r="E3730" s="47">
        <v>391530</v>
      </c>
      <c r="G3730" s="50" t="s">
        <v>241</v>
      </c>
      <c r="H3730" s="51">
        <v>22.21</v>
      </c>
      <c r="I3730" s="49">
        <v>7.99</v>
      </c>
      <c r="J3730" s="51">
        <v>3.69</v>
      </c>
      <c r="K3730" s="74">
        <f>Tabela6[[#This Row],[CONSUMO]]*Tabela6[[#This Row],[VALOR UNIT]]-Tabela6[[#This Row],[DESCONTO]]</f>
        <v>73.9649</v>
      </c>
      <c r="L3730" s="53">
        <f>Tabela6[[#This Row],[CUSTO TOTAL]]/Tabela6[[#This Row],[CONSUMO]]</f>
        <v>3.330252138676272</v>
      </c>
      <c r="M3730" s="53"/>
      <c r="N3730" s="49"/>
    </row>
    <row r="3731" spans="1:14" x14ac:dyDescent="0.25">
      <c r="A3731" s="47">
        <v>9463</v>
      </c>
      <c r="B3731" s="78">
        <v>45313</v>
      </c>
      <c r="C3731" s="47" t="s">
        <v>17</v>
      </c>
      <c r="D3731" s="49" t="s">
        <v>299</v>
      </c>
      <c r="E3731" s="47">
        <v>391535</v>
      </c>
      <c r="G3731" s="50" t="s">
        <v>89</v>
      </c>
      <c r="H3731" s="51">
        <v>113</v>
      </c>
      <c r="J3731" s="51">
        <v>5.21</v>
      </c>
      <c r="K3731" s="74">
        <f>Tabela6[[#This Row],[CONSUMO]]*Tabela6[[#This Row],[VALOR UNIT]]-Tabela6[[#This Row],[DESCONTO]]</f>
        <v>588.73</v>
      </c>
      <c r="L3731" s="53">
        <f>Tabela6[[#This Row],[CUSTO TOTAL]]/Tabela6[[#This Row],[CONSUMO]]</f>
        <v>5.21</v>
      </c>
      <c r="M3731" s="50">
        <f>Tabela6[[#This Row],[KM ATUAL]]-E3691</f>
        <v>-154428</v>
      </c>
      <c r="N3731" s="51">
        <f>Tabela6[[#This Row],[KM Rodados ]]/Tabela6[[#This Row],[CONSUMO]]</f>
        <v>-1366.6194690265486</v>
      </c>
    </row>
    <row r="3732" spans="1:14" x14ac:dyDescent="0.25">
      <c r="A3732" s="47">
        <v>9463</v>
      </c>
      <c r="B3732" s="78">
        <v>45313</v>
      </c>
      <c r="C3732" s="47" t="s">
        <v>19</v>
      </c>
      <c r="D3732" s="49" t="s">
        <v>299</v>
      </c>
      <c r="E3732" s="47">
        <v>350926</v>
      </c>
      <c r="G3732" s="50" t="s">
        <v>89</v>
      </c>
      <c r="H3732" s="51">
        <v>108</v>
      </c>
      <c r="J3732" s="51">
        <v>5.21</v>
      </c>
      <c r="K3732" s="74">
        <f>Tabela6[[#This Row],[CONSUMO]]*Tabela6[[#This Row],[VALOR UNIT]]-Tabela6[[#This Row],[DESCONTO]]</f>
        <v>562.67999999999995</v>
      </c>
      <c r="L3732" s="53">
        <f>Tabela6[[#This Row],[CUSTO TOTAL]]/Tabela6[[#This Row],[CONSUMO]]</f>
        <v>5.21</v>
      </c>
      <c r="M3732" s="50">
        <f>Tabela6[[#This Row],[KM ATUAL]]-E3682</f>
        <v>-389633</v>
      </c>
      <c r="N3732" s="51">
        <f>Tabela6[[#This Row],[KM Rodados ]]/Tabela6[[#This Row],[CONSUMO]]</f>
        <v>-3607.712962962963</v>
      </c>
    </row>
    <row r="3733" spans="1:14" x14ac:dyDescent="0.25">
      <c r="A3733" s="47">
        <v>369088</v>
      </c>
      <c r="B3733" s="78">
        <v>45313</v>
      </c>
      <c r="C3733" s="47" t="s">
        <v>20</v>
      </c>
      <c r="D3733" s="49" t="s">
        <v>276</v>
      </c>
      <c r="E3733" s="47">
        <v>294074</v>
      </c>
      <c r="G3733" s="50" t="s">
        <v>89</v>
      </c>
      <c r="H3733" s="51">
        <v>55.01</v>
      </c>
      <c r="J3733" s="51">
        <v>6.09</v>
      </c>
      <c r="K3733" s="74">
        <f>Tabela6[[#This Row],[CONSUMO]]*Tabela6[[#This Row],[VALOR UNIT]]-Tabela6[[#This Row],[DESCONTO]]</f>
        <v>335.01089999999999</v>
      </c>
      <c r="L3733" s="53">
        <f>Tabela6[[#This Row],[CUSTO TOTAL]]/Tabela6[[#This Row],[CONSUMO]]</f>
        <v>6.09</v>
      </c>
      <c r="M3733" s="50">
        <f>Tabela6[[#This Row],[KM ATUAL]]-E3719</f>
        <v>-252861</v>
      </c>
      <c r="N3733" s="51">
        <f>Tabela6[[#This Row],[KM Rodados ]]/Tabela6[[#This Row],[CONSUMO]]</f>
        <v>-4596.6369750954373</v>
      </c>
    </row>
    <row r="3734" spans="1:14" x14ac:dyDescent="0.25">
      <c r="A3734" s="47">
        <v>237480</v>
      </c>
      <c r="B3734" s="78">
        <v>45313</v>
      </c>
      <c r="C3734" s="47" t="s">
        <v>40</v>
      </c>
      <c r="D3734" s="49" t="s">
        <v>262</v>
      </c>
      <c r="E3734" s="47">
        <v>180899</v>
      </c>
      <c r="G3734" s="50" t="s">
        <v>244</v>
      </c>
      <c r="H3734" s="51">
        <v>39.460999999999999</v>
      </c>
      <c r="J3734" s="51">
        <v>5.49</v>
      </c>
      <c r="K3734" s="74">
        <f>Tabela6[[#This Row],[CONSUMO]]*Tabela6[[#This Row],[VALOR UNIT]]-Tabela6[[#This Row],[DESCONTO]]</f>
        <v>216.64089000000001</v>
      </c>
      <c r="L3734" s="53">
        <f>Tabela6[[#This Row],[CUSTO TOTAL]]/Tabela6[[#This Row],[CONSUMO]]</f>
        <v>5.49</v>
      </c>
      <c r="M3734" s="53" t="e" cm="1">
        <f t="array" ref="M3734">SE</f>
        <v>#NAME?</v>
      </c>
      <c r="N3734" s="49" t="e">
        <f>Tabela6[[#This Row],[KM Rodados ]]/Tabela6[[#This Row],[CONSUMO]]</f>
        <v>#NAME?</v>
      </c>
    </row>
    <row r="3735" spans="1:14" x14ac:dyDescent="0.25">
      <c r="A3735" s="47">
        <v>9463</v>
      </c>
      <c r="B3735" s="78">
        <v>45313</v>
      </c>
      <c r="C3735" s="47" t="s">
        <v>74</v>
      </c>
      <c r="D3735" s="49" t="s">
        <v>299</v>
      </c>
      <c r="E3735" s="47">
        <v>104466</v>
      </c>
      <c r="G3735" s="50" t="s">
        <v>89</v>
      </c>
      <c r="H3735" s="51">
        <v>50</v>
      </c>
      <c r="J3735" s="51">
        <v>5.21</v>
      </c>
      <c r="K3735" s="74">
        <f>Tabela6[[#This Row],[CONSUMO]]*Tabela6[[#This Row],[VALOR UNIT]]-Tabela6[[#This Row],[DESCONTO]]</f>
        <v>260.5</v>
      </c>
      <c r="L3735" s="53">
        <f>Tabela6[[#This Row],[CUSTO TOTAL]]/Tabela6[[#This Row],[CONSUMO]]</f>
        <v>5.21</v>
      </c>
      <c r="M3735" s="50">
        <f>Tabela6[[#This Row],[KM ATUAL]]-E3710</f>
        <v>-982314</v>
      </c>
      <c r="N3735" s="51">
        <f>Tabela6[[#This Row],[KM Rodados ]]/Tabela6[[#This Row],[CONSUMO]]</f>
        <v>-19646.28</v>
      </c>
    </row>
    <row r="3736" spans="1:14" x14ac:dyDescent="0.25">
      <c r="A3736" s="47">
        <v>697320</v>
      </c>
      <c r="B3736" s="78">
        <v>45313</v>
      </c>
      <c r="C3736" s="47" t="s">
        <v>401</v>
      </c>
      <c r="D3736" s="49" t="s">
        <v>357</v>
      </c>
      <c r="E3736" s="47">
        <v>3511</v>
      </c>
      <c r="G3736" s="50" t="s">
        <v>89</v>
      </c>
      <c r="H3736" s="51">
        <v>104.03</v>
      </c>
      <c r="J3736" s="51">
        <v>5.88</v>
      </c>
      <c r="K3736" s="74">
        <f>Tabela6[[#This Row],[CONSUMO]]*Tabela6[[#This Row],[VALOR UNIT]]-Tabela6[[#This Row],[DESCONTO]]</f>
        <v>611.69640000000004</v>
      </c>
      <c r="L3736" s="53">
        <f>Tabela6[[#This Row],[CUSTO TOTAL]]/Tabela6[[#This Row],[CONSUMO]]</f>
        <v>5.88</v>
      </c>
      <c r="M3736" s="50">
        <f>Tabela6[[#This Row],[KM ATUAL]]-E3705</f>
        <v>-132795</v>
      </c>
      <c r="N3736" s="51">
        <f>Tabela6[[#This Row],[KM Rodados ]]/Tabela6[[#This Row],[CONSUMO]]</f>
        <v>-1276.5067768912813</v>
      </c>
    </row>
    <row r="3737" spans="1:14" x14ac:dyDescent="0.25">
      <c r="A3737" s="47">
        <v>237797</v>
      </c>
      <c r="B3737" s="78">
        <v>45314</v>
      </c>
      <c r="C3737" s="47" t="s">
        <v>68</v>
      </c>
      <c r="D3737" s="49" t="s">
        <v>262</v>
      </c>
      <c r="E3737" s="47">
        <v>949211</v>
      </c>
      <c r="G3737" s="50" t="s">
        <v>89</v>
      </c>
      <c r="H3737" s="51">
        <v>640</v>
      </c>
      <c r="J3737" s="51">
        <v>5.99</v>
      </c>
      <c r="K3737" s="74">
        <f>Tabela6[[#This Row],[CONSUMO]]*Tabela6[[#This Row],[VALOR UNIT]]-Tabela6[[#This Row],[DESCONTO]]</f>
        <v>3833.6000000000004</v>
      </c>
      <c r="L3737" s="53">
        <f>Tabela6[[#This Row],[CUSTO TOTAL]]/Tabela6[[#This Row],[CONSUMO]]</f>
        <v>5.99</v>
      </c>
      <c r="M3737" s="50">
        <f>Tabela6[[#This Row],[KM ATUAL]]-E3690</f>
        <v>402276</v>
      </c>
      <c r="N3737" s="51">
        <f>Tabela6[[#This Row],[KM Rodados ]]/Tabela6[[#This Row],[CONSUMO]]</f>
        <v>628.55624999999998</v>
      </c>
    </row>
    <row r="3738" spans="1:14" x14ac:dyDescent="0.25">
      <c r="A3738" s="47">
        <v>9463</v>
      </c>
      <c r="B3738" s="78">
        <v>45314</v>
      </c>
      <c r="C3738" s="47" t="s">
        <v>22</v>
      </c>
      <c r="D3738" s="49" t="s">
        <v>299</v>
      </c>
      <c r="E3738" s="47">
        <v>349648</v>
      </c>
      <c r="G3738" s="50" t="s">
        <v>89</v>
      </c>
      <c r="H3738" s="51">
        <v>105</v>
      </c>
      <c r="J3738" s="51">
        <v>5.21</v>
      </c>
      <c r="K3738" s="74">
        <f>Tabela6[[#This Row],[CONSUMO]]*Tabela6[[#This Row],[VALOR UNIT]]-Tabela6[[#This Row],[DESCONTO]]</f>
        <v>547.04999999999995</v>
      </c>
      <c r="L3738" s="53">
        <f>Tabela6[[#This Row],[CUSTO TOTAL]]/Tabela6[[#This Row],[CONSUMO]]</f>
        <v>5.21</v>
      </c>
      <c r="M3738" s="50">
        <f>Tabela6[[#This Row],[KM ATUAL]]-E3708</f>
        <v>-345327</v>
      </c>
      <c r="N3738" s="51">
        <f>Tabela6[[#This Row],[KM Rodados ]]/Tabela6[[#This Row],[CONSUMO]]</f>
        <v>-3288.8285714285716</v>
      </c>
    </row>
    <row r="3739" spans="1:14" x14ac:dyDescent="0.25">
      <c r="A3739" s="47">
        <v>446731</v>
      </c>
      <c r="B3739" s="78">
        <v>45314</v>
      </c>
      <c r="C3739" s="47" t="s">
        <v>203</v>
      </c>
      <c r="D3739" s="49" t="s">
        <v>309</v>
      </c>
      <c r="E3739" s="47">
        <v>137207</v>
      </c>
      <c r="G3739" s="50" t="s">
        <v>244</v>
      </c>
      <c r="H3739" s="51">
        <v>35.191000000000003</v>
      </c>
      <c r="J3739" s="51">
        <v>5.35</v>
      </c>
      <c r="K3739" s="74">
        <f>Tabela6[[#This Row],[CONSUMO]]*Tabela6[[#This Row],[VALOR UNIT]]-Tabela6[[#This Row],[DESCONTO]]</f>
        <v>188.27185</v>
      </c>
      <c r="L3739" s="53">
        <f>Tabela6[[#This Row],[CUSTO TOTAL]]/Tabela6[[#This Row],[CONSUMO]]</f>
        <v>5.35</v>
      </c>
      <c r="M3739" s="53" t="e" cm="1">
        <f t="array" ref="M3739">SE</f>
        <v>#NAME?</v>
      </c>
      <c r="N3739" s="49" t="e">
        <f>Tabela6[[#This Row],[KM Rodados ]]/Tabela6[[#This Row],[CONSUMO]]</f>
        <v>#NAME?</v>
      </c>
    </row>
    <row r="3740" spans="1:14" x14ac:dyDescent="0.25">
      <c r="A3740" s="47">
        <v>369430</v>
      </c>
      <c r="B3740" s="78">
        <v>45314</v>
      </c>
      <c r="C3740" s="47" t="s">
        <v>72</v>
      </c>
      <c r="D3740" s="49" t="s">
        <v>276</v>
      </c>
      <c r="E3740" s="47">
        <v>437479</v>
      </c>
      <c r="G3740" s="50" t="s">
        <v>89</v>
      </c>
      <c r="H3740" s="51">
        <v>53.3</v>
      </c>
      <c r="J3740" s="51">
        <v>6.09</v>
      </c>
      <c r="K3740" s="74">
        <f>Tabela6[[#This Row],[CONSUMO]]*Tabela6[[#This Row],[VALOR UNIT]]-Tabela6[[#This Row],[DESCONTO]]</f>
        <v>324.59699999999998</v>
      </c>
      <c r="L3740" s="53">
        <f>Tabela6[[#This Row],[CUSTO TOTAL]]/Tabela6[[#This Row],[CONSUMO]]</f>
        <v>6.09</v>
      </c>
      <c r="M3740" s="50">
        <f>Tabela6[[#This Row],[KM ATUAL]]-E3720</f>
        <v>264436</v>
      </c>
      <c r="N3740" s="51">
        <f>Tabela6[[#This Row],[KM Rodados ]]/Tabela6[[#This Row],[CONSUMO]]</f>
        <v>4961.2757973733587</v>
      </c>
    </row>
    <row r="3741" spans="1:14" x14ac:dyDescent="0.25">
      <c r="A3741" s="47">
        <v>237694</v>
      </c>
      <c r="B3741" s="78">
        <v>45314</v>
      </c>
      <c r="C3741" s="47" t="s">
        <v>72</v>
      </c>
      <c r="D3741" s="49" t="s">
        <v>262</v>
      </c>
      <c r="E3741" s="47">
        <v>437018</v>
      </c>
      <c r="G3741" s="50" t="s">
        <v>89</v>
      </c>
      <c r="H3741" s="51">
        <v>27.99</v>
      </c>
      <c r="J3741" s="51">
        <v>5.99</v>
      </c>
      <c r="K3741" s="74">
        <f>Tabela6[[#This Row],[CONSUMO]]*Tabela6[[#This Row],[VALOR UNIT]]-Tabela6[[#This Row],[DESCONTO]]</f>
        <v>167.6601</v>
      </c>
      <c r="L3741" s="53">
        <f>Tabela6[[#This Row],[CUSTO TOTAL]]/Tabela6[[#This Row],[CONSUMO]]</f>
        <v>5.99</v>
      </c>
      <c r="M3741" s="50">
        <f>Tabela6[[#This Row],[KM ATUAL]]-E3737</f>
        <v>-512193</v>
      </c>
      <c r="N3741" s="51">
        <f>Tabela6[[#This Row],[KM Rodados ]]/Tabela6[[#This Row],[CONSUMO]]</f>
        <v>-18299.142550911041</v>
      </c>
    </row>
    <row r="3742" spans="1:14" x14ac:dyDescent="0.25">
      <c r="A3742" s="47">
        <v>145470</v>
      </c>
      <c r="B3742" s="78">
        <v>45314</v>
      </c>
      <c r="C3742" s="47" t="s">
        <v>21</v>
      </c>
      <c r="D3742" s="49" t="s">
        <v>253</v>
      </c>
      <c r="E3742" s="47">
        <v>695899</v>
      </c>
      <c r="G3742" s="50" t="s">
        <v>89</v>
      </c>
      <c r="H3742" s="51">
        <v>125.45</v>
      </c>
      <c r="J3742" s="51">
        <v>6.09</v>
      </c>
      <c r="K3742" s="74">
        <f>Tabela6[[#This Row],[CONSUMO]]*Tabela6[[#This Row],[VALOR UNIT]]-Tabela6[[#This Row],[DESCONTO]]</f>
        <v>763.9905</v>
      </c>
      <c r="L3742" s="53">
        <f>Tabela6[[#This Row],[CUSTO TOTAL]]/Tabela6[[#This Row],[CONSUMO]]</f>
        <v>6.09</v>
      </c>
      <c r="M3742" s="53" t="e">
        <f t="array" ref="M3742">SE</f>
        <v>#NAME?</v>
      </c>
      <c r="N3742" s="49" t="e">
        <f>Tabela6[[#This Row],[KM Rodados ]]/Tabela6[[#This Row],[CONSUMO]]</f>
        <v>#NAME?</v>
      </c>
    </row>
    <row r="3743" spans="1:14" x14ac:dyDescent="0.25">
      <c r="A3743" s="47">
        <v>145366</v>
      </c>
      <c r="B3743" s="78">
        <v>45314</v>
      </c>
      <c r="C3743" s="47" t="s">
        <v>11</v>
      </c>
      <c r="D3743" s="49" t="s">
        <v>253</v>
      </c>
      <c r="E3743" s="47">
        <v>409917</v>
      </c>
      <c r="G3743" s="50" t="s">
        <v>89</v>
      </c>
      <c r="H3743" s="51">
        <v>119.12</v>
      </c>
      <c r="J3743" s="51">
        <v>6.09</v>
      </c>
      <c r="K3743" s="74">
        <f>Tabela6[[#This Row],[CONSUMO]]*Tabela6[[#This Row],[VALOR UNIT]]-Tabela6[[#This Row],[DESCONTO]]</f>
        <v>725.44079999999997</v>
      </c>
      <c r="L3743" s="53">
        <f>Tabela6[[#This Row],[CUSTO TOTAL]]/Tabela6[[#This Row],[CONSUMO]]</f>
        <v>6.09</v>
      </c>
      <c r="M3743" s="50">
        <f>Tabela6[[#This Row],[KM ATUAL]]-E3666</f>
        <v>96678</v>
      </c>
      <c r="N3743" s="51">
        <f>Tabela6[[#This Row],[KM Rodados ]]/Tabela6[[#This Row],[CONSUMO]]</f>
        <v>811.60174613834783</v>
      </c>
    </row>
    <row r="3744" spans="1:14" x14ac:dyDescent="0.25">
      <c r="A3744" s="47">
        <v>145015</v>
      </c>
      <c r="B3744" s="78">
        <v>45314</v>
      </c>
      <c r="C3744" s="47" t="s">
        <v>12</v>
      </c>
      <c r="D3744" s="49" t="s">
        <v>253</v>
      </c>
      <c r="E3744" s="47">
        <v>330253</v>
      </c>
      <c r="G3744" s="50" t="s">
        <v>89</v>
      </c>
      <c r="H3744" s="51">
        <v>101.68</v>
      </c>
      <c r="J3744" s="51">
        <v>6.09</v>
      </c>
      <c r="K3744" s="74">
        <f>Tabela6[[#This Row],[CONSUMO]]*Tabela6[[#This Row],[VALOR UNIT]]-Tabela6[[#This Row],[DESCONTO]]</f>
        <v>619.23120000000006</v>
      </c>
      <c r="L3744" s="53">
        <f>Tabela6[[#This Row],[CUSTO TOTAL]]/Tabela6[[#This Row],[CONSUMO]]</f>
        <v>6.09</v>
      </c>
      <c r="M3744" s="50">
        <f>Tabela6[[#This Row],[KM ATUAL]]-E3672</f>
        <v>328020</v>
      </c>
      <c r="N3744" s="51">
        <f>Tabela6[[#This Row],[KM Rodados ]]/Tabela6[[#This Row],[CONSUMO]]</f>
        <v>3226.0031471282455</v>
      </c>
    </row>
    <row r="3745" spans="1:14" x14ac:dyDescent="0.25">
      <c r="A3745" s="47">
        <v>599063</v>
      </c>
      <c r="B3745" s="78">
        <v>45314</v>
      </c>
      <c r="C3745" s="47" t="s">
        <v>18</v>
      </c>
      <c r="D3745" s="49" t="s">
        <v>255</v>
      </c>
      <c r="E3745" s="47">
        <v>344036</v>
      </c>
      <c r="G3745" s="50" t="s">
        <v>89</v>
      </c>
      <c r="H3745" s="51">
        <v>75.709999999999994</v>
      </c>
      <c r="J3745" s="51">
        <v>6.16</v>
      </c>
      <c r="K3745" s="74">
        <f>Tabela6[[#This Row],[CONSUMO]]*Tabela6[[#This Row],[VALOR UNIT]]-Tabela6[[#This Row],[DESCONTO]]</f>
        <v>466.37359999999995</v>
      </c>
      <c r="L3745" s="53">
        <f>Tabela6[[#This Row],[CUSTO TOTAL]]/Tabela6[[#This Row],[CONSUMO]]</f>
        <v>6.16</v>
      </c>
      <c r="M3745" s="53" t="e">
        <f t="array" ref="M3745">SE</f>
        <v>#NAME?</v>
      </c>
      <c r="N3745" s="49" t="e">
        <f>Tabela6[[#This Row],[KM Rodados ]]/Tabela6[[#This Row],[CONSUMO]]</f>
        <v>#NAME?</v>
      </c>
    </row>
    <row r="3746" spans="1:14" x14ac:dyDescent="0.25">
      <c r="A3746" s="47">
        <v>237702</v>
      </c>
      <c r="B3746" s="78">
        <v>45314</v>
      </c>
      <c r="C3746" s="47" t="s">
        <v>19</v>
      </c>
      <c r="D3746" s="49" t="s">
        <v>262</v>
      </c>
      <c r="G3746" s="50" t="s">
        <v>241</v>
      </c>
      <c r="H3746" s="51">
        <v>26.029</v>
      </c>
      <c r="I3746" s="49">
        <v>9.3699999999999992</v>
      </c>
      <c r="J3746" s="51">
        <v>3.69</v>
      </c>
      <c r="K3746" s="74">
        <f>Tabela6[[#This Row],[CONSUMO]]*Tabela6[[#This Row],[VALOR UNIT]]-Tabela6[[#This Row],[DESCONTO]]</f>
        <v>86.677009999999996</v>
      </c>
      <c r="L3746" s="53">
        <f>Tabela6[[#This Row],[CUSTO TOTAL]]/Tabela6[[#This Row],[CONSUMO]]</f>
        <v>3.3300169042222136</v>
      </c>
      <c r="M3746" s="53"/>
      <c r="N3746" s="49"/>
    </row>
    <row r="3747" spans="1:14" x14ac:dyDescent="0.25">
      <c r="A3747" s="47">
        <v>180769</v>
      </c>
      <c r="B3747" s="78">
        <v>45314</v>
      </c>
      <c r="C3747" s="47" t="s">
        <v>354</v>
      </c>
      <c r="D3747" s="49" t="s">
        <v>261</v>
      </c>
      <c r="E3747" s="47">
        <v>17649</v>
      </c>
      <c r="G3747" s="50" t="s">
        <v>241</v>
      </c>
      <c r="H3747" s="51">
        <v>26.466000000000001</v>
      </c>
      <c r="J3747" s="51">
        <v>3.79</v>
      </c>
      <c r="K3747" s="74">
        <f>Tabela6[[#This Row],[CONSUMO]]*Tabela6[[#This Row],[VALOR UNIT]]-Tabela6[[#This Row],[DESCONTO]]</f>
        <v>100.30614</v>
      </c>
      <c r="L3747" s="53">
        <f>Tabela6[[#This Row],[CUSTO TOTAL]]/Tabela6[[#This Row],[CONSUMO]]</f>
        <v>3.79</v>
      </c>
      <c r="M3747" s="53"/>
      <c r="N3747" s="49"/>
    </row>
    <row r="3748" spans="1:14" x14ac:dyDescent="0.25">
      <c r="A3748" s="47">
        <v>9463</v>
      </c>
      <c r="B3748" s="78">
        <v>45315</v>
      </c>
      <c r="C3748" s="47" t="s">
        <v>43</v>
      </c>
      <c r="D3748" s="49" t="s">
        <v>299</v>
      </c>
      <c r="E3748" s="47">
        <v>173275</v>
      </c>
      <c r="G3748" s="50" t="s">
        <v>89</v>
      </c>
      <c r="H3748" s="51">
        <v>29</v>
      </c>
      <c r="J3748" s="51">
        <v>5.21</v>
      </c>
      <c r="K3748" s="74">
        <f>Tabela6[[#This Row],[CONSUMO]]*Tabela6[[#This Row],[VALOR UNIT]]-Tabela6[[#This Row],[DESCONTO]]</f>
        <v>151.09</v>
      </c>
      <c r="L3748" s="53">
        <f>Tabela6[[#This Row],[CUSTO TOTAL]]/Tabela6[[#This Row],[CONSUMO]]</f>
        <v>5.21</v>
      </c>
      <c r="M3748" s="50">
        <f>Tabela6[[#This Row],[KM ATUAL]]-E3715</f>
        <v>-120301</v>
      </c>
      <c r="N3748" s="51">
        <f>Tabela6[[#This Row],[KM Rodados ]]/Tabela6[[#This Row],[CONSUMO]]</f>
        <v>-4148.3103448275861</v>
      </c>
    </row>
    <row r="3749" spans="1:14" x14ac:dyDescent="0.25">
      <c r="A3749" s="47">
        <v>468085</v>
      </c>
      <c r="B3749" s="78">
        <v>45315</v>
      </c>
      <c r="C3749" s="47" t="s">
        <v>394</v>
      </c>
      <c r="D3749" s="49" t="s">
        <v>273</v>
      </c>
      <c r="E3749" s="47">
        <v>884323</v>
      </c>
      <c r="G3749" s="50" t="s">
        <v>89</v>
      </c>
      <c r="H3749" s="51">
        <v>95.18</v>
      </c>
      <c r="J3749" s="51">
        <v>5.59</v>
      </c>
      <c r="K3749" s="74">
        <f>Tabela6[[#This Row],[CONSUMO]]*Tabela6[[#This Row],[VALOR UNIT]]-Tabela6[[#This Row],[DESCONTO]]</f>
        <v>532.05619999999999</v>
      </c>
      <c r="L3749" s="53">
        <f>Tabela6[[#This Row],[CUSTO TOTAL]]/Tabela6[[#This Row],[CONSUMO]]</f>
        <v>5.59</v>
      </c>
      <c r="M3749" s="51">
        <f>Tabela6[[#This Row],[KM ATUAL]]-E3677</f>
        <v>535489</v>
      </c>
      <c r="N3749" s="51">
        <f>Tabela6[[#This Row],[KM Rodados ]]/Tabela6[[#This Row],[CONSUMO]]</f>
        <v>5626.0664005043072</v>
      </c>
    </row>
    <row r="3750" spans="1:14" x14ac:dyDescent="0.25">
      <c r="A3750" s="47">
        <v>9463</v>
      </c>
      <c r="B3750" s="78">
        <v>45315</v>
      </c>
      <c r="C3750" s="47" t="s">
        <v>9</v>
      </c>
      <c r="D3750" s="49" t="s">
        <v>299</v>
      </c>
      <c r="E3750" s="47">
        <v>645536</v>
      </c>
      <c r="G3750" s="50" t="s">
        <v>89</v>
      </c>
      <c r="H3750" s="51">
        <v>110</v>
      </c>
      <c r="J3750" s="51">
        <v>5.21</v>
      </c>
      <c r="K3750" s="74">
        <f>Tabela6[[#This Row],[CONSUMO]]*Tabela6[[#This Row],[VALOR UNIT]]-Tabela6[[#This Row],[DESCONTO]]</f>
        <v>573.1</v>
      </c>
      <c r="L3750" s="53">
        <f>Tabela6[[#This Row],[CUSTO TOTAL]]/Tabela6[[#This Row],[CONSUMO]]</f>
        <v>5.21</v>
      </c>
      <c r="M3750" s="50">
        <f>Tabela6[[#This Row],[KM ATUAL]]-E3728</f>
        <v>-442032</v>
      </c>
      <c r="N3750" s="51">
        <f>Tabela6[[#This Row],[KM Rodados ]]/Tabela6[[#This Row],[CONSUMO]]</f>
        <v>-4018.4727272727273</v>
      </c>
    </row>
    <row r="3751" spans="1:14" x14ac:dyDescent="0.25">
      <c r="A3751" s="47">
        <v>9463</v>
      </c>
      <c r="B3751" s="78">
        <v>45315</v>
      </c>
      <c r="C3751" s="47" t="s">
        <v>71</v>
      </c>
      <c r="D3751" s="49" t="s">
        <v>299</v>
      </c>
      <c r="E3751" s="47">
        <v>147033</v>
      </c>
      <c r="G3751" s="50" t="s">
        <v>89</v>
      </c>
      <c r="H3751" s="51">
        <v>321</v>
      </c>
      <c r="J3751" s="51">
        <v>5.21</v>
      </c>
      <c r="K3751" s="74">
        <f>Tabela6[[#This Row],[CONSUMO]]*Tabela6[[#This Row],[VALOR UNIT]]-Tabela6[[#This Row],[DESCONTO]]</f>
        <v>1672.41</v>
      </c>
      <c r="L3751" s="53">
        <f>Tabela6[[#This Row],[CUSTO TOTAL]]/Tabela6[[#This Row],[CONSUMO]]</f>
        <v>5.21</v>
      </c>
      <c r="M3751" s="50">
        <f>Tabela6[[#This Row],[KM ATUAL]]-E3697</f>
        <v>43489</v>
      </c>
      <c r="N3751" s="51">
        <f>Tabela6[[#This Row],[KM Rodados ]]/Tabela6[[#This Row],[CONSUMO]]</f>
        <v>135.4797507788162</v>
      </c>
    </row>
    <row r="3752" spans="1:14" x14ac:dyDescent="0.25">
      <c r="A3752" s="47">
        <v>146111</v>
      </c>
      <c r="B3752" s="78">
        <v>45315</v>
      </c>
      <c r="C3752" s="47" t="s">
        <v>10</v>
      </c>
      <c r="D3752" s="49" t="s">
        <v>253</v>
      </c>
      <c r="E3752" s="47">
        <v>741727</v>
      </c>
      <c r="G3752" s="50" t="s">
        <v>89</v>
      </c>
      <c r="H3752" s="51">
        <v>178.04</v>
      </c>
      <c r="J3752" s="51">
        <v>6.09</v>
      </c>
      <c r="K3752" s="74">
        <f>Tabela6[[#This Row],[CONSUMO]]*Tabela6[[#This Row],[VALOR UNIT]]-Tabela6[[#This Row],[DESCONTO]]</f>
        <v>1084.2636</v>
      </c>
      <c r="L3752" s="53">
        <f>Tabela6[[#This Row],[CUSTO TOTAL]]/Tabela6[[#This Row],[CONSUMO]]</f>
        <v>6.09</v>
      </c>
      <c r="M3752" s="50">
        <f>Tabela6[[#This Row],[KM ATUAL]]-E3716</f>
        <v>637722</v>
      </c>
      <c r="N3752" s="51">
        <f>Tabela6[[#This Row],[KM Rodados ]]/Tabela6[[#This Row],[CONSUMO]]</f>
        <v>3581.902943158841</v>
      </c>
    </row>
    <row r="3753" spans="1:14" x14ac:dyDescent="0.25">
      <c r="A3753" s="47">
        <v>2034</v>
      </c>
      <c r="B3753" s="78">
        <v>45315</v>
      </c>
      <c r="C3753" s="47" t="s">
        <v>301</v>
      </c>
      <c r="D3753" s="49" t="s">
        <v>324</v>
      </c>
      <c r="E3753" s="47">
        <v>1088410</v>
      </c>
      <c r="G3753" s="50" t="s">
        <v>89</v>
      </c>
      <c r="H3753" s="51">
        <v>443.83</v>
      </c>
      <c r="J3753" s="51">
        <v>5.69</v>
      </c>
      <c r="K3753" s="74">
        <f>Tabela6[[#This Row],[CONSUMO]]*Tabela6[[#This Row],[VALOR UNIT]]-Tabela6[[#This Row],[DESCONTO]]</f>
        <v>2525.3926999999999</v>
      </c>
      <c r="L3753" s="53">
        <f>Tabela6[[#This Row],[CUSTO TOTAL]]/Tabela6[[#This Row],[CONSUMO]]</f>
        <v>5.6899999999999995</v>
      </c>
      <c r="M3753" s="50">
        <f>Tabela6[[#This Row],[KM ATUAL]]-E3735</f>
        <v>983944</v>
      </c>
      <c r="N3753" s="51">
        <f>Tabela6[[#This Row],[KM Rodados ]]/Tabela6[[#This Row],[CONSUMO]]</f>
        <v>2216.9389180542098</v>
      </c>
    </row>
    <row r="3754" spans="1:14" x14ac:dyDescent="0.25">
      <c r="A3754" s="47">
        <v>237974</v>
      </c>
      <c r="B3754" s="78">
        <v>45315</v>
      </c>
      <c r="C3754" s="47" t="s">
        <v>206</v>
      </c>
      <c r="D3754" s="49" t="s">
        <v>262</v>
      </c>
      <c r="E3754" s="47">
        <v>991793</v>
      </c>
      <c r="G3754" s="50" t="s">
        <v>89</v>
      </c>
      <c r="H3754" s="51">
        <v>357.38099999999997</v>
      </c>
      <c r="J3754" s="51">
        <v>5.99</v>
      </c>
      <c r="K3754" s="74">
        <f>Tabela6[[#This Row],[CONSUMO]]*Tabela6[[#This Row],[VALOR UNIT]]-Tabela6[[#This Row],[DESCONTO]]</f>
        <v>2140.7121899999997</v>
      </c>
      <c r="L3754" s="53">
        <f>Tabela6[[#This Row],[CUSTO TOTAL]]/Tabela6[[#This Row],[CONSUMO]]</f>
        <v>5.9899999999999993</v>
      </c>
      <c r="M3754" s="50">
        <f>Tabela6[[#This Row],[KM ATUAL]]-E3705</f>
        <v>855487</v>
      </c>
      <c r="N3754" s="51">
        <f>Tabela6[[#This Row],[KM Rodados ]]/Tabela6[[#This Row],[CONSUMO]]</f>
        <v>2393.7674358737595</v>
      </c>
    </row>
    <row r="3755" spans="1:14" x14ac:dyDescent="0.25">
      <c r="A3755" s="47">
        <v>9463</v>
      </c>
      <c r="B3755" s="78">
        <v>45315</v>
      </c>
      <c r="C3755" s="47" t="s">
        <v>15</v>
      </c>
      <c r="D3755" s="49" t="s">
        <v>299</v>
      </c>
      <c r="E3755" s="47">
        <v>409483</v>
      </c>
      <c r="G3755" s="50" t="s">
        <v>89</v>
      </c>
      <c r="H3755" s="51">
        <v>106</v>
      </c>
      <c r="J3755" s="51">
        <v>5.21</v>
      </c>
      <c r="K3755" s="74">
        <f>Tabela6[[#This Row],[CONSUMO]]*Tabela6[[#This Row],[VALOR UNIT]]-Tabela6[[#This Row],[DESCONTO]]</f>
        <v>552.26</v>
      </c>
      <c r="L3755" s="53">
        <f>Tabela6[[#This Row],[CUSTO TOTAL]]/Tabela6[[#This Row],[CONSUMO]]</f>
        <v>5.21</v>
      </c>
      <c r="M3755" s="50">
        <f>Tabela6[[#This Row],[KM ATUAL]]-E3663</f>
        <v>79747</v>
      </c>
      <c r="N3755" s="51">
        <f>Tabela6[[#This Row],[KM Rodados ]]/Tabela6[[#This Row],[CONSUMO]]</f>
        <v>752.33018867924534</v>
      </c>
    </row>
    <row r="3756" spans="1:14" x14ac:dyDescent="0.25">
      <c r="A3756" s="47">
        <v>9463</v>
      </c>
      <c r="B3756" s="78">
        <v>45315</v>
      </c>
      <c r="C3756" s="47" t="s">
        <v>17</v>
      </c>
      <c r="D3756" s="49" t="s">
        <v>299</v>
      </c>
      <c r="E3756" s="47">
        <v>391980</v>
      </c>
      <c r="G3756" s="50" t="s">
        <v>89</v>
      </c>
      <c r="H3756" s="51">
        <v>110</v>
      </c>
      <c r="J3756" s="51">
        <v>5.21</v>
      </c>
      <c r="K3756" s="74">
        <f>Tabela6[[#This Row],[CONSUMO]]*Tabela6[[#This Row],[VALOR UNIT]]-Tabela6[[#This Row],[DESCONTO]]</f>
        <v>573.1</v>
      </c>
      <c r="L3756" s="53">
        <f>Tabela6[[#This Row],[CUSTO TOTAL]]/Tabela6[[#This Row],[CONSUMO]]</f>
        <v>5.21</v>
      </c>
      <c r="M3756" s="50">
        <f>Tabela6[[#This Row],[KM ATUAL]]-E3735</f>
        <v>287514</v>
      </c>
      <c r="N3756" s="51">
        <f>Tabela6[[#This Row],[KM Rodados ]]/Tabela6[[#This Row],[CONSUMO]]</f>
        <v>2613.7636363636366</v>
      </c>
    </row>
    <row r="3757" spans="1:14" x14ac:dyDescent="0.25">
      <c r="A3757" s="47">
        <v>9463</v>
      </c>
      <c r="B3757" s="78">
        <v>45315</v>
      </c>
      <c r="C3757" s="47" t="s">
        <v>19</v>
      </c>
      <c r="D3757" s="49" t="s">
        <v>299</v>
      </c>
      <c r="E3757" s="47">
        <v>351308</v>
      </c>
      <c r="G3757" s="50" t="s">
        <v>89</v>
      </c>
      <c r="H3757" s="51">
        <v>97</v>
      </c>
      <c r="J3757" s="51">
        <v>5.21</v>
      </c>
      <c r="K3757" s="74">
        <f>Tabela6[[#This Row],[CONSUMO]]*Tabela6[[#This Row],[VALOR UNIT]]-Tabela6[[#This Row],[DESCONTO]]</f>
        <v>505.37</v>
      </c>
      <c r="L3757" s="53">
        <f>Tabela6[[#This Row],[CUSTO TOTAL]]/Tabela6[[#This Row],[CONSUMO]]</f>
        <v>5.21</v>
      </c>
      <c r="M3757" s="50">
        <f>Tabela6[[#This Row],[KM ATUAL]]-E3728</f>
        <v>-736260</v>
      </c>
      <c r="N3757" s="51">
        <f>Tabela6[[#This Row],[KM Rodados ]]/Tabela6[[#This Row],[CONSUMO]]</f>
        <v>-7590.3092783505153</v>
      </c>
    </row>
    <row r="3758" spans="1:14" x14ac:dyDescent="0.25">
      <c r="A3758" s="47">
        <v>369686</v>
      </c>
      <c r="B3758" s="78">
        <v>45315</v>
      </c>
      <c r="C3758" s="47" t="s">
        <v>20</v>
      </c>
      <c r="D3758" s="49" t="s">
        <v>276</v>
      </c>
      <c r="E3758" s="47">
        <v>294552</v>
      </c>
      <c r="G3758" s="50" t="s">
        <v>89</v>
      </c>
      <c r="H3758" s="51">
        <v>55.34</v>
      </c>
      <c r="J3758" s="51">
        <v>6.09</v>
      </c>
      <c r="K3758" s="74">
        <f>Tabela6[[#This Row],[CONSUMO]]*Tabela6[[#This Row],[VALOR UNIT]]-Tabela6[[#This Row],[DESCONTO]]</f>
        <v>337.0206</v>
      </c>
      <c r="L3758" s="53">
        <f>Tabela6[[#This Row],[CUSTO TOTAL]]/Tabela6[[#This Row],[CONSUMO]]</f>
        <v>6.09</v>
      </c>
      <c r="M3758" s="50">
        <f>Tabela6[[#This Row],[KM ATUAL]]-E3738</f>
        <v>-55096</v>
      </c>
      <c r="N3758" s="51">
        <f>Tabela6[[#This Row],[KM Rodados ]]/Tabela6[[#This Row],[CONSUMO]]</f>
        <v>-995.59089266353442</v>
      </c>
    </row>
    <row r="3759" spans="1:14" x14ac:dyDescent="0.25">
      <c r="A3759" s="47">
        <v>343502</v>
      </c>
      <c r="B3759" s="78">
        <v>45315</v>
      </c>
      <c r="C3759" s="47" t="s">
        <v>40</v>
      </c>
      <c r="D3759" s="49" t="s">
        <v>268</v>
      </c>
      <c r="E3759" s="47">
        <v>181348</v>
      </c>
      <c r="G3759" s="50" t="s">
        <v>244</v>
      </c>
      <c r="H3759" s="51">
        <v>37.75</v>
      </c>
      <c r="J3759" s="51">
        <v>5.29</v>
      </c>
      <c r="K3759" s="74">
        <f>Tabela6[[#This Row],[CONSUMO]]*Tabela6[[#This Row],[VALOR UNIT]]-Tabela6[[#This Row],[DESCONTO]]</f>
        <v>199.69749999999999</v>
      </c>
      <c r="L3759" s="53">
        <f>Tabela6[[#This Row],[CUSTO TOTAL]]/Tabela6[[#This Row],[CONSUMO]]</f>
        <v>5.29</v>
      </c>
      <c r="M3759" s="50" t="e" cm="1">
        <f t="array" ref="M3759">SE</f>
        <v>#NAME?</v>
      </c>
      <c r="N3759" s="51" t="e">
        <f>Tabela6[[#This Row],[KM Rodados ]]/Tabela6[[#This Row],[CONSUMO]]</f>
        <v>#NAME?</v>
      </c>
    </row>
    <row r="3760" spans="1:14" x14ac:dyDescent="0.25">
      <c r="A3760" s="47">
        <v>9463</v>
      </c>
      <c r="B3760" s="78">
        <v>45315</v>
      </c>
      <c r="C3760" s="47" t="s">
        <v>354</v>
      </c>
      <c r="D3760" s="49" t="s">
        <v>299</v>
      </c>
      <c r="E3760" s="47">
        <v>17832</v>
      </c>
      <c r="G3760" s="50" t="s">
        <v>89</v>
      </c>
      <c r="H3760" s="51">
        <v>458</v>
      </c>
      <c r="J3760" s="51">
        <v>5.21</v>
      </c>
      <c r="K3760" s="74">
        <f>Tabela6[[#This Row],[CONSUMO]]*Tabela6[[#This Row],[VALOR UNIT]]-Tabela6[[#This Row],[DESCONTO]]</f>
        <v>2386.1799999999998</v>
      </c>
      <c r="L3760" s="53">
        <f>Tabela6[[#This Row],[CUSTO TOTAL]]/Tabela6[[#This Row],[CONSUMO]]</f>
        <v>5.21</v>
      </c>
      <c r="M3760" s="50">
        <f>Tabela6[[#This Row],[KM ATUAL]]-E3630</f>
        <v>-1064898</v>
      </c>
      <c r="N3760" s="51">
        <f>Tabela6[[#This Row],[KM Rodados ]]/Tabela6[[#This Row],[CONSUMO]]</f>
        <v>-2325.1048034934497</v>
      </c>
    </row>
    <row r="3761" spans="1:14" x14ac:dyDescent="0.25">
      <c r="A3761" s="47">
        <v>237897</v>
      </c>
      <c r="B3761" s="78">
        <v>45315</v>
      </c>
      <c r="C3761" s="47" t="s">
        <v>401</v>
      </c>
      <c r="D3761" s="49" t="s">
        <v>262</v>
      </c>
      <c r="E3761" s="47">
        <v>3926</v>
      </c>
      <c r="G3761" s="50" t="s">
        <v>89</v>
      </c>
      <c r="H3761" s="51">
        <v>60.16</v>
      </c>
      <c r="J3761" s="51">
        <v>5.99</v>
      </c>
      <c r="K3761" s="74">
        <f>Tabela6[[#This Row],[CONSUMO]]*Tabela6[[#This Row],[VALOR UNIT]]-Tabela6[[#This Row],[DESCONTO]]</f>
        <v>360.35840000000002</v>
      </c>
      <c r="L3761" s="53">
        <f>Tabela6[[#This Row],[CUSTO TOTAL]]/Tabela6[[#This Row],[CONSUMO]]</f>
        <v>5.99</v>
      </c>
      <c r="M3761" s="50">
        <f>Tabela6[[#This Row],[KM ATUAL]]-E3735</f>
        <v>-100540</v>
      </c>
      <c r="N3761" s="51">
        <f>Tabela6[[#This Row],[KM Rodados ]]/Tabela6[[#This Row],[CONSUMO]]</f>
        <v>-1671.2101063829789</v>
      </c>
    </row>
    <row r="3762" spans="1:14" x14ac:dyDescent="0.25">
      <c r="A3762" s="47">
        <v>237897</v>
      </c>
      <c r="B3762" s="78">
        <v>45315</v>
      </c>
      <c r="C3762" s="47" t="s">
        <v>401</v>
      </c>
      <c r="D3762" s="49" t="s">
        <v>262</v>
      </c>
      <c r="E3762" s="47">
        <v>3926</v>
      </c>
      <c r="G3762" s="50" t="s">
        <v>241</v>
      </c>
      <c r="H3762" s="51">
        <v>19.391999999999999</v>
      </c>
      <c r="I3762" s="49">
        <v>6.98</v>
      </c>
      <c r="J3762" s="51">
        <v>3.69</v>
      </c>
      <c r="K3762" s="74">
        <f>Tabela6[[#This Row],[CONSUMO]]*Tabela6[[#This Row],[VALOR UNIT]]-Tabela6[[#This Row],[DESCONTO]]</f>
        <v>64.576479999999989</v>
      </c>
      <c r="L3762" s="53">
        <f>Tabela6[[#This Row],[CUSTO TOTAL]]/Tabela6[[#This Row],[CONSUMO]]</f>
        <v>3.3300577557755773</v>
      </c>
      <c r="M3762" s="50"/>
    </row>
    <row r="3763" spans="1:14" x14ac:dyDescent="0.25">
      <c r="A3763" s="47">
        <v>697320</v>
      </c>
      <c r="B3763" s="78">
        <v>45315</v>
      </c>
      <c r="C3763" s="47" t="s">
        <v>401</v>
      </c>
      <c r="D3763" s="49" t="s">
        <v>357</v>
      </c>
      <c r="E3763" s="47">
        <v>4493</v>
      </c>
      <c r="G3763" s="50" t="s">
        <v>89</v>
      </c>
      <c r="H3763" s="51">
        <v>150.19999999999999</v>
      </c>
      <c r="J3763" s="51">
        <v>5.77</v>
      </c>
      <c r="K3763" s="74">
        <f>Tabela6[[#This Row],[CONSUMO]]*Tabela6[[#This Row],[VALOR UNIT]]-Tabela6[[#This Row],[DESCONTO]]</f>
        <v>866.65399999999988</v>
      </c>
      <c r="L3763" s="53">
        <f>Tabela6[[#This Row],[CUSTO TOTAL]]/Tabela6[[#This Row],[CONSUMO]]</f>
        <v>5.77</v>
      </c>
      <c r="M3763" s="51" t="e" cm="1">
        <f t="array" ref="M3763">SE</f>
        <v>#NAME?</v>
      </c>
      <c r="N3763" s="51" t="e">
        <f>Tabela6[[#This Row],[KM Rodados ]]/Tabela6[[#This Row],[CONSUMO]]</f>
        <v>#NAME?</v>
      </c>
    </row>
    <row r="3764" spans="1:14" x14ac:dyDescent="0.25">
      <c r="A3764" s="47">
        <v>369933</v>
      </c>
      <c r="B3764" s="78">
        <v>45316</v>
      </c>
      <c r="C3764" s="47" t="s">
        <v>43</v>
      </c>
      <c r="D3764" s="49" t="s">
        <v>276</v>
      </c>
      <c r="E3764" s="47">
        <v>173814</v>
      </c>
      <c r="G3764" s="50" t="s">
        <v>89</v>
      </c>
      <c r="H3764" s="51">
        <v>40.86</v>
      </c>
      <c r="J3764" s="51">
        <v>6.09</v>
      </c>
      <c r="K3764" s="74">
        <f>Tabela6[[#This Row],[CONSUMO]]*Tabela6[[#This Row],[VALOR UNIT]]-Tabela6[[#This Row],[DESCONTO]]</f>
        <v>248.8374</v>
      </c>
      <c r="L3764" s="53">
        <f>Tabela6[[#This Row],[CUSTO TOTAL]]/Tabela6[[#This Row],[CONSUMO]]</f>
        <v>6.09</v>
      </c>
      <c r="M3764" s="50">
        <f>Tabela6[[#This Row],[KM ATUAL]]-E3746</f>
        <v>173814</v>
      </c>
      <c r="N3764" s="51">
        <f>Tabela6[[#This Row],[KM Rodados ]]/Tabela6[[#This Row],[CONSUMO]]</f>
        <v>4253.8913362701905</v>
      </c>
    </row>
    <row r="3765" spans="1:14" x14ac:dyDescent="0.25">
      <c r="A3765" s="47">
        <v>238151</v>
      </c>
      <c r="B3765" s="78">
        <v>45316</v>
      </c>
      <c r="C3765" s="47" t="s">
        <v>43</v>
      </c>
      <c r="D3765" s="49" t="s">
        <v>262</v>
      </c>
      <c r="E3765" s="47">
        <v>173404</v>
      </c>
      <c r="G3765" s="50" t="s">
        <v>89</v>
      </c>
      <c r="H3765" s="51">
        <v>15.89</v>
      </c>
      <c r="J3765" s="51">
        <v>5.99</v>
      </c>
      <c r="K3765" s="74">
        <f>Tabela6[[#This Row],[CONSUMO]]*Tabela6[[#This Row],[VALOR UNIT]]-Tabela6[[#This Row],[DESCONTO]]</f>
        <v>95.181100000000001</v>
      </c>
      <c r="L3765" s="53">
        <f>Tabela6[[#This Row],[CUSTO TOTAL]]/Tabela6[[#This Row],[CONSUMO]]</f>
        <v>5.99</v>
      </c>
      <c r="M3765" s="50">
        <f>Tabela6[[#This Row],[KM ATUAL]]-E3764</f>
        <v>-410</v>
      </c>
      <c r="N3765" s="51">
        <f>Tabela6[[#This Row],[KM Rodados ]]/Tabela6[[#This Row],[CONSUMO]]</f>
        <v>-25.802391441157962</v>
      </c>
    </row>
    <row r="3766" spans="1:14" x14ac:dyDescent="0.25">
      <c r="A3766" s="47">
        <v>393511</v>
      </c>
      <c r="B3766" s="78">
        <v>45316</v>
      </c>
      <c r="C3766" s="47" t="s">
        <v>222</v>
      </c>
      <c r="D3766" s="49" t="s">
        <v>343</v>
      </c>
      <c r="E3766" s="47">
        <v>549157</v>
      </c>
      <c r="G3766" s="50" t="s">
        <v>241</v>
      </c>
      <c r="H3766" s="51">
        <v>45.85</v>
      </c>
      <c r="J3766" s="51">
        <v>2.99</v>
      </c>
      <c r="K3766" s="74">
        <f>Tabela6[[#This Row],[CONSUMO]]*Tabela6[[#This Row],[VALOR UNIT]]-Tabela6[[#This Row],[DESCONTO]]</f>
        <v>137.09150000000002</v>
      </c>
      <c r="L3766" s="53">
        <f>Tabela6[[#This Row],[CUSTO TOTAL]]/Tabela6[[#This Row],[CONSUMO]]</f>
        <v>2.9900000000000007</v>
      </c>
      <c r="M3766" s="53"/>
      <c r="N3766" s="49"/>
    </row>
    <row r="3767" spans="1:14" x14ac:dyDescent="0.25">
      <c r="A3767" s="47">
        <v>393510</v>
      </c>
      <c r="B3767" s="78">
        <v>45316</v>
      </c>
      <c r="C3767" s="47" t="s">
        <v>222</v>
      </c>
      <c r="D3767" s="49" t="s">
        <v>343</v>
      </c>
      <c r="E3767" s="47">
        <v>549157</v>
      </c>
      <c r="G3767" s="50" t="s">
        <v>89</v>
      </c>
      <c r="H3767" s="51">
        <v>493</v>
      </c>
      <c r="J3767" s="51">
        <v>5.64</v>
      </c>
      <c r="K3767" s="74">
        <f>Tabela6[[#This Row],[CONSUMO]]*Tabela6[[#This Row],[VALOR UNIT]]-Tabela6[[#This Row],[DESCONTO]]</f>
        <v>2780.52</v>
      </c>
      <c r="L3767" s="53">
        <f>Tabela6[[#This Row],[CUSTO TOTAL]]/Tabela6[[#This Row],[CONSUMO]]</f>
        <v>5.64</v>
      </c>
      <c r="M3767" s="50">
        <f>Tabela6[[#This Row],[KM ATUAL]]-E3712</f>
        <v>-125546</v>
      </c>
      <c r="N3767" s="51">
        <f>Tabela6[[#This Row],[KM Rodados ]]/Tabela6[[#This Row],[CONSUMO]]</f>
        <v>-254.65720081135902</v>
      </c>
    </row>
    <row r="3768" spans="1:14" x14ac:dyDescent="0.25">
      <c r="A3768" s="47">
        <v>279974</v>
      </c>
      <c r="B3768" s="78">
        <v>45316</v>
      </c>
      <c r="C3768" s="47" t="s">
        <v>67</v>
      </c>
      <c r="D3768" s="49" t="s">
        <v>273</v>
      </c>
      <c r="E3768" s="47">
        <v>697155</v>
      </c>
      <c r="G3768" s="50" t="s">
        <v>89</v>
      </c>
      <c r="H3768" s="51">
        <v>145</v>
      </c>
      <c r="J3768" s="51">
        <v>5.59</v>
      </c>
      <c r="K3768" s="74">
        <f>Tabela6[[#This Row],[CONSUMO]]*Tabela6[[#This Row],[VALOR UNIT]]-Tabela6[[#This Row],[DESCONTO]]</f>
        <v>810.55</v>
      </c>
      <c r="L3768" s="53">
        <f>Tabela6[[#This Row],[CUSTO TOTAL]]/Tabela6[[#This Row],[CONSUMO]]</f>
        <v>5.59</v>
      </c>
      <c r="M3768" s="50">
        <f>Tabela6[[#This Row],[KM ATUAL]]-E3721</f>
        <v>52031</v>
      </c>
      <c r="N3768" s="51">
        <f>Tabela6[[#This Row],[KM Rodados ]]/Tabela6[[#This Row],[CONSUMO]]</f>
        <v>358.83448275862071</v>
      </c>
    </row>
    <row r="3769" spans="1:14" x14ac:dyDescent="0.25">
      <c r="A3769" s="47">
        <v>269125</v>
      </c>
      <c r="B3769" s="78">
        <v>45316</v>
      </c>
      <c r="C3769" s="47" t="s">
        <v>22</v>
      </c>
      <c r="D3769" s="49" t="s">
        <v>269</v>
      </c>
      <c r="E3769" s="47">
        <v>350294</v>
      </c>
      <c r="G3769" s="50" t="s">
        <v>89</v>
      </c>
      <c r="H3769" s="51">
        <v>155.66999999999999</v>
      </c>
      <c r="J3769" s="51">
        <v>5.59</v>
      </c>
      <c r="K3769" s="74">
        <f>Tabela6[[#This Row],[CONSUMO]]*Tabela6[[#This Row],[VALOR UNIT]]-Tabela6[[#This Row],[DESCONTO]]</f>
        <v>870.19529999999986</v>
      </c>
      <c r="L3769" s="53">
        <f>Tabela6[[#This Row],[CUSTO TOTAL]]/Tabela6[[#This Row],[CONSUMO]]</f>
        <v>5.59</v>
      </c>
      <c r="M3769" s="50">
        <f>Tabela6[[#This Row],[KM ATUAL]]-E3747</f>
        <v>332645</v>
      </c>
      <c r="N3769" s="51">
        <f>Tabela6[[#This Row],[KM Rodados ]]/Tabela6[[#This Row],[CONSUMO]]</f>
        <v>2136.8600244106124</v>
      </c>
    </row>
    <row r="3770" spans="1:14" x14ac:dyDescent="0.25">
      <c r="A3770" s="47">
        <v>238254</v>
      </c>
      <c r="B3770" s="78">
        <v>45316</v>
      </c>
      <c r="C3770" s="47" t="s">
        <v>70</v>
      </c>
      <c r="D3770" s="49" t="s">
        <v>262</v>
      </c>
      <c r="G3770" s="50" t="s">
        <v>241</v>
      </c>
      <c r="H3770" s="51">
        <v>68.510999999999996</v>
      </c>
      <c r="I3770" s="49">
        <v>24.67</v>
      </c>
      <c r="J3770" s="51">
        <v>3.69</v>
      </c>
      <c r="K3770" s="74">
        <f>Tabela6[[#This Row],[CONSUMO]]*Tabela6[[#This Row],[VALOR UNIT]]-Tabela6[[#This Row],[DESCONTO]]</f>
        <v>228.13558999999998</v>
      </c>
      <c r="L3770" s="53">
        <f>Tabela6[[#This Row],[CUSTO TOTAL]]/Tabela6[[#This Row],[CONSUMO]]</f>
        <v>3.3299118389747631</v>
      </c>
      <c r="M3770" s="53"/>
      <c r="N3770" s="49"/>
    </row>
    <row r="3771" spans="1:14" x14ac:dyDescent="0.25">
      <c r="A3771" s="47">
        <v>9463</v>
      </c>
      <c r="B3771" s="78">
        <v>45316</v>
      </c>
      <c r="C3771" s="47" t="s">
        <v>70</v>
      </c>
      <c r="D3771" s="49" t="s">
        <v>299</v>
      </c>
      <c r="E3771" s="47">
        <v>257485</v>
      </c>
      <c r="G3771" s="50" t="s">
        <v>89</v>
      </c>
      <c r="H3771" s="51">
        <v>444</v>
      </c>
      <c r="J3771" s="51">
        <v>5.21</v>
      </c>
      <c r="K3771" s="74">
        <f>Tabela6[[#This Row],[CONSUMO]]*Tabela6[[#This Row],[VALOR UNIT]]-Tabela6[[#This Row],[DESCONTO]]</f>
        <v>2313.2399999999998</v>
      </c>
      <c r="L3771" s="53">
        <f>Tabela6[[#This Row],[CUSTO TOTAL]]/Tabela6[[#This Row],[CONSUMO]]</f>
        <v>5.2099999999999991</v>
      </c>
      <c r="M3771" s="50">
        <f>Tabela6[[#This Row],[KM ATUAL]]-E3668</f>
        <v>-85322</v>
      </c>
      <c r="N3771" s="51">
        <f>Tabela6[[#This Row],[KM Rodados ]]/Tabela6[[#This Row],[CONSUMO]]</f>
        <v>-192.16666666666666</v>
      </c>
    </row>
    <row r="3772" spans="1:14" x14ac:dyDescent="0.25">
      <c r="A3772" s="47">
        <v>238144</v>
      </c>
      <c r="B3772" s="78">
        <v>45316</v>
      </c>
      <c r="C3772" s="47" t="s">
        <v>72</v>
      </c>
      <c r="D3772" s="49" t="s">
        <v>262</v>
      </c>
      <c r="E3772" s="47">
        <v>437613</v>
      </c>
      <c r="G3772" s="50" t="s">
        <v>89</v>
      </c>
      <c r="H3772" s="51">
        <v>19.77</v>
      </c>
      <c r="J3772" s="51">
        <v>5.99</v>
      </c>
      <c r="K3772" s="74">
        <f>Tabela6[[#This Row],[CONSUMO]]*Tabela6[[#This Row],[VALOR UNIT]]-Tabela6[[#This Row],[DESCONTO]]</f>
        <v>118.42230000000001</v>
      </c>
      <c r="L3772" s="53">
        <f>Tabela6[[#This Row],[CUSTO TOTAL]]/Tabela6[[#This Row],[CONSUMO]]</f>
        <v>5.99</v>
      </c>
      <c r="M3772" s="50">
        <f>Tabela6[[#This Row],[KM ATUAL]]-E3740</f>
        <v>134</v>
      </c>
      <c r="N3772" s="51">
        <f>Tabela6[[#This Row],[KM Rodados ]]/Tabela6[[#This Row],[CONSUMO]]</f>
        <v>6.7779463834092057</v>
      </c>
    </row>
    <row r="3773" spans="1:14" x14ac:dyDescent="0.25">
      <c r="A3773" s="47">
        <v>9463</v>
      </c>
      <c r="B3773" s="78">
        <v>45316</v>
      </c>
      <c r="C3773" s="47" t="s">
        <v>72</v>
      </c>
      <c r="D3773" s="49" t="s">
        <v>299</v>
      </c>
      <c r="E3773" s="47">
        <v>437941</v>
      </c>
      <c r="G3773" s="50" t="s">
        <v>89</v>
      </c>
      <c r="H3773" s="51">
        <v>38</v>
      </c>
      <c r="J3773" s="51">
        <v>5.21</v>
      </c>
      <c r="K3773" s="74">
        <f>Tabela6[[#This Row],[CONSUMO]]*Tabela6[[#This Row],[VALOR UNIT]]-Tabela6[[#This Row],[DESCONTO]]</f>
        <v>197.98</v>
      </c>
      <c r="L3773" s="53">
        <f>Tabela6[[#This Row],[CUSTO TOTAL]]/Tabela6[[#This Row],[CONSUMO]]</f>
        <v>5.21</v>
      </c>
      <c r="M3773" s="50">
        <f>Tabela6[[#This Row],[KM ATUAL]]-E3763</f>
        <v>433448</v>
      </c>
      <c r="N3773" s="51">
        <f>Tabela6[[#This Row],[KM Rodados ]]/Tabela6[[#This Row],[CONSUMO]]</f>
        <v>11406.526315789473</v>
      </c>
    </row>
    <row r="3774" spans="1:14" x14ac:dyDescent="0.25">
      <c r="A3774" s="47">
        <v>9463</v>
      </c>
      <c r="B3774" s="78">
        <v>45316</v>
      </c>
      <c r="C3774" s="47" t="s">
        <v>73</v>
      </c>
      <c r="D3774" s="49" t="s">
        <v>299</v>
      </c>
      <c r="E3774" s="47">
        <v>175459</v>
      </c>
      <c r="G3774" s="50" t="s">
        <v>89</v>
      </c>
      <c r="H3774" s="51">
        <v>209</v>
      </c>
      <c r="J3774" s="51">
        <v>5.21</v>
      </c>
      <c r="K3774" s="74">
        <f>Tabela6[[#This Row],[CONSUMO]]*Tabela6[[#This Row],[VALOR UNIT]]-Tabela6[[#This Row],[DESCONTO]]</f>
        <v>1088.8900000000001</v>
      </c>
      <c r="L3774" s="53">
        <f>Tabela6[[#This Row],[CUSTO TOTAL]]/Tabela6[[#This Row],[CONSUMO]]</f>
        <v>5.2100000000000009</v>
      </c>
      <c r="M3774" s="50">
        <f>Tabela6[[#This Row],[KM ATUAL]]-E3708</f>
        <v>-519516</v>
      </c>
      <c r="N3774" s="51">
        <f>Tabela6[[#This Row],[KM Rodados ]]/Tabela6[[#This Row],[CONSUMO]]</f>
        <v>-2485.7224880382773</v>
      </c>
    </row>
    <row r="3775" spans="1:14" x14ac:dyDescent="0.25">
      <c r="A3775" s="47">
        <v>9463</v>
      </c>
      <c r="B3775" s="78">
        <v>45316</v>
      </c>
      <c r="C3775" s="47" t="s">
        <v>13</v>
      </c>
      <c r="D3775" s="49" t="s">
        <v>299</v>
      </c>
      <c r="E3775" s="47">
        <v>675216</v>
      </c>
      <c r="G3775" s="50" t="s">
        <v>89</v>
      </c>
      <c r="H3775" s="51">
        <v>116</v>
      </c>
      <c r="J3775" s="51">
        <v>5.21</v>
      </c>
      <c r="K3775" s="74">
        <f>Tabela6[[#This Row],[CONSUMO]]*Tabela6[[#This Row],[VALOR UNIT]]-Tabela6[[#This Row],[DESCONTO]]</f>
        <v>604.36</v>
      </c>
      <c r="L3775" s="53">
        <f>Tabela6[[#This Row],[CUSTO TOTAL]]/Tabela6[[#This Row],[CONSUMO]]</f>
        <v>5.21</v>
      </c>
      <c r="M3775" s="50">
        <f>Tabela6[[#This Row],[KM ATUAL]]-E3700</f>
        <v>502607</v>
      </c>
      <c r="N3775" s="51">
        <f>Tabela6[[#This Row],[KM Rodados ]]/Tabela6[[#This Row],[CONSUMO]]</f>
        <v>4332.8189655172409</v>
      </c>
    </row>
    <row r="3776" spans="1:14" x14ac:dyDescent="0.25">
      <c r="A3776" s="47">
        <v>9463</v>
      </c>
      <c r="B3776" s="78">
        <v>45316</v>
      </c>
      <c r="C3776" s="47" t="s">
        <v>15</v>
      </c>
      <c r="D3776" s="49" t="s">
        <v>299</v>
      </c>
      <c r="E3776" s="47">
        <v>409992</v>
      </c>
      <c r="G3776" s="50" t="s">
        <v>89</v>
      </c>
      <c r="H3776" s="51">
        <v>80</v>
      </c>
      <c r="J3776" s="51">
        <v>5.21</v>
      </c>
      <c r="K3776" s="74">
        <f>Tabela6[[#This Row],[CONSUMO]]*Tabela6[[#This Row],[VALOR UNIT]]-Tabela6[[#This Row],[DESCONTO]]</f>
        <v>416.8</v>
      </c>
      <c r="L3776" s="53">
        <f>Tabela6[[#This Row],[CUSTO TOTAL]]/Tabela6[[#This Row],[CONSUMO]]</f>
        <v>5.21</v>
      </c>
      <c r="M3776" s="50">
        <f>Tabela6[[#This Row],[KM ATUAL]]-E3752</f>
        <v>-331735</v>
      </c>
      <c r="N3776" s="51">
        <f>Tabela6[[#This Row],[KM Rodados ]]/Tabela6[[#This Row],[CONSUMO]]</f>
        <v>-4146.6875</v>
      </c>
    </row>
    <row r="3777" spans="1:14" x14ac:dyDescent="0.25">
      <c r="A3777" s="47">
        <v>599646</v>
      </c>
      <c r="B3777" s="78">
        <v>45316</v>
      </c>
      <c r="C3777" s="47" t="s">
        <v>38</v>
      </c>
      <c r="D3777" s="49" t="s">
        <v>255</v>
      </c>
      <c r="E3777" s="47">
        <v>142890</v>
      </c>
      <c r="G3777" s="50" t="s">
        <v>244</v>
      </c>
      <c r="H3777" s="51">
        <v>51.34</v>
      </c>
      <c r="J3777" s="51">
        <v>5.74</v>
      </c>
      <c r="K3777" s="74">
        <f>Tabela6[[#This Row],[CONSUMO]]*Tabela6[[#This Row],[VALOR UNIT]]-Tabela6[[#This Row],[DESCONTO]]</f>
        <v>294.69160000000005</v>
      </c>
      <c r="L3777" s="53">
        <f>Tabela6[[#This Row],[CUSTO TOTAL]]/Tabela6[[#This Row],[CONSUMO]]</f>
        <v>5.74</v>
      </c>
      <c r="M3777" s="53" t="e" cm="1">
        <f t="array" ref="M3777">SE</f>
        <v>#NAME?</v>
      </c>
      <c r="N3777" s="49" t="e">
        <f>Tabela6[[#This Row],[KM Rodados ]]/Tabela6[[#This Row],[CONSUMO]]</f>
        <v>#NAME?</v>
      </c>
    </row>
    <row r="3778" spans="1:14" x14ac:dyDescent="0.25">
      <c r="A3778" s="47">
        <v>9463</v>
      </c>
      <c r="B3778" s="78">
        <v>45316</v>
      </c>
      <c r="C3778" s="47" t="s">
        <v>74</v>
      </c>
      <c r="D3778" s="49" t="s">
        <v>299</v>
      </c>
      <c r="E3778" s="47">
        <v>105903</v>
      </c>
      <c r="G3778" s="50" t="s">
        <v>89</v>
      </c>
      <c r="H3778" s="51">
        <v>80</v>
      </c>
      <c r="J3778" s="51">
        <v>5.21</v>
      </c>
      <c r="K3778" s="74">
        <f>Tabela6[[#This Row],[CONSUMO]]*Tabela6[[#This Row],[VALOR UNIT]]-Tabela6[[#This Row],[DESCONTO]]</f>
        <v>416.8</v>
      </c>
      <c r="L3778" s="53">
        <f>Tabela6[[#This Row],[CUSTO TOTAL]]/Tabela6[[#This Row],[CONSUMO]]</f>
        <v>5.21</v>
      </c>
      <c r="M3778" s="50">
        <f>Tabela6[[#This Row],[KM ATUAL]]-E3727</f>
        <v>-589495</v>
      </c>
      <c r="N3778" s="51">
        <f>Tabela6[[#This Row],[KM Rodados ]]/Tabela6[[#This Row],[CONSUMO]]</f>
        <v>-7368.6875</v>
      </c>
    </row>
    <row r="3779" spans="1:14" x14ac:dyDescent="0.25">
      <c r="A3779" s="47">
        <v>146862</v>
      </c>
      <c r="B3779" s="78">
        <v>45316</v>
      </c>
      <c r="C3779" s="47" t="s">
        <v>315</v>
      </c>
      <c r="D3779" s="49" t="s">
        <v>253</v>
      </c>
      <c r="E3779" s="47">
        <v>15629</v>
      </c>
      <c r="G3779" s="50" t="s">
        <v>89</v>
      </c>
      <c r="H3779" s="51">
        <v>30.817</v>
      </c>
      <c r="J3779" s="51">
        <v>6.09</v>
      </c>
      <c r="K3779" s="74">
        <f>Tabela6[[#This Row],[CONSUMO]]*Tabela6[[#This Row],[VALOR UNIT]]-Tabela6[[#This Row],[DESCONTO]]</f>
        <v>187.67553000000001</v>
      </c>
      <c r="L3779" s="53">
        <f>Tabela6[[#This Row],[CUSTO TOTAL]]/Tabela6[[#This Row],[CONSUMO]]</f>
        <v>6.09</v>
      </c>
      <c r="M3779" s="50">
        <f>Tabela6[[#This Row],[KM ATUAL]]-E3669</f>
        <v>-276826</v>
      </c>
      <c r="N3779" s="51">
        <f>Tabela6[[#This Row],[KM Rodados ]]/Tabela6[[#This Row],[CONSUMO]]</f>
        <v>-8982.8990492260764</v>
      </c>
    </row>
    <row r="3780" spans="1:14" x14ac:dyDescent="0.25">
      <c r="A3780" s="47">
        <v>147214</v>
      </c>
      <c r="B3780" s="78">
        <v>45317</v>
      </c>
      <c r="C3780" s="47" t="s">
        <v>42</v>
      </c>
      <c r="D3780" s="49" t="s">
        <v>253</v>
      </c>
      <c r="E3780" s="47">
        <v>382764</v>
      </c>
      <c r="G3780" s="50" t="s">
        <v>89</v>
      </c>
      <c r="H3780" s="51">
        <v>107.2</v>
      </c>
      <c r="J3780" s="51">
        <v>6.09</v>
      </c>
      <c r="K3780" s="74">
        <f>Tabela6[[#This Row],[CONSUMO]]*Tabela6[[#This Row],[VALOR UNIT]]-Tabela6[[#This Row],[DESCONTO]]</f>
        <v>652.84799999999996</v>
      </c>
      <c r="L3780" s="53">
        <f>Tabela6[[#This Row],[CUSTO TOTAL]]/Tabela6[[#This Row],[CONSUMO]]</f>
        <v>6.09</v>
      </c>
      <c r="M3780" s="50">
        <f>Tabela6[[#This Row],[KM ATUAL]]-E3682</f>
        <v>-357795</v>
      </c>
      <c r="N3780" s="51">
        <f>Tabela6[[#This Row],[KM Rodados ]]/Tabela6[[#This Row],[CONSUMO]]</f>
        <v>-3337.6399253731342</v>
      </c>
    </row>
    <row r="3781" spans="1:14" x14ac:dyDescent="0.25">
      <c r="A3781" s="47">
        <v>448314</v>
      </c>
      <c r="B3781" s="78">
        <v>45317</v>
      </c>
      <c r="C3781" s="47" t="s">
        <v>203</v>
      </c>
      <c r="D3781" s="49" t="s">
        <v>309</v>
      </c>
      <c r="E3781" s="47">
        <v>137686</v>
      </c>
      <c r="G3781" s="50" t="s">
        <v>244</v>
      </c>
      <c r="H3781" s="51">
        <v>39.29</v>
      </c>
      <c r="J3781" s="51">
        <v>5.35</v>
      </c>
      <c r="K3781" s="74">
        <f>Tabela6[[#This Row],[CONSUMO]]*Tabela6[[#This Row],[VALOR UNIT]]-Tabela6[[#This Row],[DESCONTO]]</f>
        <v>210.20149999999998</v>
      </c>
      <c r="L3781" s="53">
        <f>Tabela6[[#This Row],[CUSTO TOTAL]]/Tabela6[[#This Row],[CONSUMO]]</f>
        <v>5.35</v>
      </c>
      <c r="M3781" s="50" t="e" cm="1">
        <f t="array" ref="M3781">SE</f>
        <v>#NAME?</v>
      </c>
      <c r="N3781" s="51" t="e">
        <f>Tabela6[[#This Row],[KM Rodados ]]/Tabela6[[#This Row],[CONSUMO]]</f>
        <v>#NAME?</v>
      </c>
    </row>
    <row r="3782" spans="1:14" x14ac:dyDescent="0.25">
      <c r="A3782" s="47">
        <v>9570</v>
      </c>
      <c r="B3782" s="78">
        <v>45317</v>
      </c>
      <c r="C3782" s="47" t="s">
        <v>73</v>
      </c>
      <c r="D3782" s="49" t="s">
        <v>299</v>
      </c>
      <c r="E3782" s="47">
        <v>175894</v>
      </c>
      <c r="G3782" s="50" t="s">
        <v>89</v>
      </c>
      <c r="H3782" s="51">
        <v>100</v>
      </c>
      <c r="J3782" s="51">
        <v>5.16</v>
      </c>
      <c r="K3782" s="74">
        <f>Tabela6[[#This Row],[CONSUMO]]*Tabela6[[#This Row],[VALOR UNIT]]-Tabela6[[#This Row],[DESCONTO]]</f>
        <v>516</v>
      </c>
      <c r="L3782" s="53">
        <f>Tabela6[[#This Row],[CUSTO TOTAL]]/Tabela6[[#This Row],[CONSUMO]]</f>
        <v>5.16</v>
      </c>
      <c r="M3782" s="50">
        <f>Tabela6[[#This Row],[KM ATUAL]]-E3766</f>
        <v>-373263</v>
      </c>
      <c r="N3782" s="51">
        <f>Tabela6[[#This Row],[KM Rodados ]]/Tabela6[[#This Row],[CONSUMO]]</f>
        <v>-3732.63</v>
      </c>
    </row>
    <row r="3783" spans="1:14" x14ac:dyDescent="0.25">
      <c r="A3783" s="47">
        <v>238539</v>
      </c>
      <c r="B3783" s="78">
        <v>45317</v>
      </c>
      <c r="C3783" s="47" t="s">
        <v>71</v>
      </c>
      <c r="D3783" s="49" t="s">
        <v>260</v>
      </c>
      <c r="E3783" s="47">
        <v>147796</v>
      </c>
      <c r="G3783" s="50" t="s">
        <v>241</v>
      </c>
      <c r="H3783" s="51">
        <v>64.945999999999998</v>
      </c>
      <c r="I3783" s="49">
        <v>23.38</v>
      </c>
      <c r="J3783" s="51">
        <v>3.69</v>
      </c>
      <c r="K3783" s="74">
        <f>Tabela6[[#This Row],[CONSUMO]]*Tabela6[[#This Row],[VALOR UNIT]]-Tabela6[[#This Row],[DESCONTO]]</f>
        <v>216.27073999999999</v>
      </c>
      <c r="L3783" s="53">
        <f>Tabela6[[#This Row],[CUSTO TOTAL]]/Tabela6[[#This Row],[CONSUMO]]</f>
        <v>3.3300086225479628</v>
      </c>
      <c r="M3783" s="53"/>
      <c r="N3783" s="49"/>
    </row>
    <row r="3784" spans="1:14" x14ac:dyDescent="0.25">
      <c r="A3784" s="47">
        <v>9463</v>
      </c>
      <c r="B3784" s="78">
        <v>45317</v>
      </c>
      <c r="C3784" s="47" t="s">
        <v>13</v>
      </c>
      <c r="D3784" s="49" t="s">
        <v>299</v>
      </c>
      <c r="E3784" s="47">
        <v>675332</v>
      </c>
      <c r="G3784" s="50" t="s">
        <v>89</v>
      </c>
      <c r="H3784" s="51">
        <v>15</v>
      </c>
      <c r="J3784" s="51">
        <v>5.21</v>
      </c>
      <c r="K3784" s="74">
        <f>Tabela6[[#This Row],[CONSUMO]]*Tabela6[[#This Row],[VALOR UNIT]]-Tabela6[[#This Row],[DESCONTO]]</f>
        <v>78.150000000000006</v>
      </c>
      <c r="L3784" s="53">
        <f>Tabela6[[#This Row],[CUSTO TOTAL]]/Tabela6[[#This Row],[CONSUMO]]</f>
        <v>5.21</v>
      </c>
      <c r="M3784" s="50">
        <f>Tabela6[[#This Row],[KM ATUAL]]-E3775</f>
        <v>116</v>
      </c>
      <c r="N3784" s="51">
        <f>Tabela6[[#This Row],[KM Rodados ]]/Tabela6[[#This Row],[CONSUMO]]</f>
        <v>7.7333333333333334</v>
      </c>
    </row>
    <row r="3785" spans="1:14" x14ac:dyDescent="0.25">
      <c r="A3785" s="47">
        <v>238550</v>
      </c>
      <c r="B3785" s="78">
        <v>45317</v>
      </c>
      <c r="C3785" s="47" t="s">
        <v>14</v>
      </c>
      <c r="D3785" s="49" t="s">
        <v>262</v>
      </c>
      <c r="E3785" s="47">
        <v>314150</v>
      </c>
      <c r="G3785" s="50" t="s">
        <v>244</v>
      </c>
      <c r="H3785" s="51">
        <v>27.39</v>
      </c>
      <c r="J3785" s="51">
        <v>5.49</v>
      </c>
      <c r="K3785" s="74">
        <f>Tabela6[[#This Row],[CONSUMO]]*Tabela6[[#This Row],[VALOR UNIT]]-Tabela6[[#This Row],[DESCONTO]]</f>
        <v>150.37110000000001</v>
      </c>
      <c r="L3785" s="53">
        <f>Tabela6[[#This Row],[CUSTO TOTAL]]/Tabela6[[#This Row],[CONSUMO]]</f>
        <v>5.49</v>
      </c>
      <c r="M3785" s="53" t="e" cm="1">
        <f t="array" ref="M3785">SE</f>
        <v>#NAME?</v>
      </c>
      <c r="N3785" s="49" t="e">
        <f>Tabela6[[#This Row],[KM Rodados ]]/Tabela6[[#This Row],[CONSUMO]]</f>
        <v>#NAME?</v>
      </c>
    </row>
    <row r="3786" spans="1:14" x14ac:dyDescent="0.25">
      <c r="A3786" s="47">
        <v>9570</v>
      </c>
      <c r="B3786" s="78">
        <v>45317</v>
      </c>
      <c r="C3786" s="47" t="s">
        <v>15</v>
      </c>
      <c r="D3786" s="49" t="s">
        <v>299</v>
      </c>
      <c r="E3786" s="47">
        <v>410507</v>
      </c>
      <c r="G3786" s="50" t="s">
        <v>89</v>
      </c>
      <c r="H3786" s="51">
        <v>70</v>
      </c>
      <c r="J3786" s="51">
        <v>5.16</v>
      </c>
      <c r="K3786" s="74">
        <f>Tabela6[[#This Row],[CONSUMO]]*Tabela6[[#This Row],[VALOR UNIT]]-Tabela6[[#This Row],[DESCONTO]]</f>
        <v>361.2</v>
      </c>
      <c r="L3786" s="53">
        <f>Tabela6[[#This Row],[CUSTO TOTAL]]/Tabela6[[#This Row],[CONSUMO]]</f>
        <v>5.16</v>
      </c>
      <c r="M3786" s="50">
        <f>Tabela6[[#This Row],[KM ATUAL]]-E3779</f>
        <v>394878</v>
      </c>
      <c r="N3786" s="51">
        <f>Tabela6[[#This Row],[KM Rodados ]]/Tabela6[[#This Row],[CONSUMO]]</f>
        <v>5641.1142857142859</v>
      </c>
    </row>
    <row r="3787" spans="1:14" x14ac:dyDescent="0.25">
      <c r="A3787" s="47">
        <v>9570</v>
      </c>
      <c r="B3787" s="78">
        <v>45317</v>
      </c>
      <c r="C3787" s="47" t="s">
        <v>19</v>
      </c>
      <c r="D3787" s="49" t="s">
        <v>299</v>
      </c>
      <c r="E3787" s="47">
        <v>351747</v>
      </c>
      <c r="G3787" s="50" t="s">
        <v>89</v>
      </c>
      <c r="H3787" s="51">
        <v>93</v>
      </c>
      <c r="J3787" s="51">
        <v>5.16</v>
      </c>
      <c r="K3787" s="74">
        <f>Tabela6[[#This Row],[CONSUMO]]*Tabela6[[#This Row],[VALOR UNIT]]-Tabela6[[#This Row],[DESCONTO]]</f>
        <v>479.88</v>
      </c>
      <c r="L3787" s="53">
        <f>Tabela6[[#This Row],[CUSTO TOTAL]]/Tabela6[[#This Row],[CONSUMO]]</f>
        <v>5.16</v>
      </c>
      <c r="M3787" s="50">
        <f>Tabela6[[#This Row],[KM ATUAL]]-E3756</f>
        <v>-40233</v>
      </c>
      <c r="N3787" s="51">
        <f>Tabela6[[#This Row],[KM Rodados ]]/Tabela6[[#This Row],[CONSUMO]]</f>
        <v>-432.61290322580646</v>
      </c>
    </row>
    <row r="3788" spans="1:14" x14ac:dyDescent="0.25">
      <c r="A3788" s="47">
        <v>370293</v>
      </c>
      <c r="B3788" s="78">
        <v>45317</v>
      </c>
      <c r="C3788" s="47" t="s">
        <v>20</v>
      </c>
      <c r="D3788" s="49" t="s">
        <v>276</v>
      </c>
      <c r="E3788" s="47">
        <v>295176</v>
      </c>
      <c r="G3788" s="50" t="s">
        <v>89</v>
      </c>
      <c r="H3788" s="51">
        <v>78.171000000000006</v>
      </c>
      <c r="J3788" s="51">
        <v>6.09</v>
      </c>
      <c r="K3788" s="74">
        <f>Tabela6[[#This Row],[CONSUMO]]*Tabela6[[#This Row],[VALOR UNIT]]-Tabela6[[#This Row],[DESCONTO]]</f>
        <v>476.06139000000002</v>
      </c>
      <c r="L3788" s="53">
        <f>Tabela6[[#This Row],[CUSTO TOTAL]]/Tabela6[[#This Row],[CONSUMO]]</f>
        <v>6.09</v>
      </c>
      <c r="M3788" s="50">
        <f>Tabela6[[#This Row],[KM ATUAL]]-E3749</f>
        <v>-589147</v>
      </c>
      <c r="N3788" s="51">
        <f>Tabela6[[#This Row],[KM Rodados ]]/Tabela6[[#This Row],[CONSUMO]]</f>
        <v>-7536.6440239986687</v>
      </c>
    </row>
    <row r="3789" spans="1:14" x14ac:dyDescent="0.25">
      <c r="A3789" s="47">
        <v>238589</v>
      </c>
      <c r="B3789" s="78">
        <v>45317</v>
      </c>
      <c r="C3789" s="47" t="s">
        <v>40</v>
      </c>
      <c r="D3789" s="49" t="s">
        <v>262</v>
      </c>
      <c r="E3789" s="47">
        <v>181689</v>
      </c>
      <c r="G3789" s="50" t="s">
        <v>244</v>
      </c>
      <c r="H3789" s="51">
        <v>30.791</v>
      </c>
      <c r="J3789" s="51">
        <v>5.49</v>
      </c>
      <c r="K3789" s="74">
        <f>Tabela6[[#This Row],[CONSUMO]]*Tabela6[[#This Row],[VALOR UNIT]]-Tabela6[[#This Row],[DESCONTO]]</f>
        <v>169.04259000000002</v>
      </c>
      <c r="L3789" s="53">
        <f>Tabela6[[#This Row],[CUSTO TOTAL]]/Tabela6[[#This Row],[CONSUMO]]</f>
        <v>5.49</v>
      </c>
      <c r="M3789" s="53" t="e" cm="1">
        <f t="array" ref="M3789">SE</f>
        <v>#NAME?</v>
      </c>
      <c r="N3789" s="49" t="e">
        <f>Tabela6[[#This Row],[KM Rodados ]]/Tabela6[[#This Row],[CONSUMO]]</f>
        <v>#NAME?</v>
      </c>
    </row>
    <row r="3790" spans="1:14" x14ac:dyDescent="0.25">
      <c r="A3790" s="47">
        <v>9570</v>
      </c>
      <c r="B3790" s="78">
        <v>45317</v>
      </c>
      <c r="C3790" s="47" t="s">
        <v>401</v>
      </c>
      <c r="D3790" s="49" t="s">
        <v>299</v>
      </c>
      <c r="E3790" s="47">
        <v>4982</v>
      </c>
      <c r="G3790" s="50" t="s">
        <v>89</v>
      </c>
      <c r="H3790" s="51">
        <v>100</v>
      </c>
      <c r="J3790" s="51">
        <v>5.16</v>
      </c>
      <c r="K3790" s="74">
        <f>Tabela6[[#This Row],[CONSUMO]]*Tabela6[[#This Row],[VALOR UNIT]]-Tabela6[[#This Row],[DESCONTO]]</f>
        <v>516</v>
      </c>
      <c r="L3790" s="53">
        <f>Tabela6[[#This Row],[CUSTO TOTAL]]/Tabela6[[#This Row],[CONSUMO]]</f>
        <v>5.16</v>
      </c>
      <c r="M3790" s="50">
        <f>Tabela6[[#This Row],[KM ATUAL]]-E3747</f>
        <v>-12667</v>
      </c>
      <c r="N3790" s="51">
        <f>Tabela6[[#This Row],[KM Rodados ]]/Tabela6[[#This Row],[CONSUMO]]</f>
        <v>-126.67</v>
      </c>
    </row>
    <row r="3791" spans="1:14" x14ac:dyDescent="0.25">
      <c r="A3791" s="47">
        <v>250459</v>
      </c>
      <c r="B3791" s="78">
        <v>45318</v>
      </c>
      <c r="C3791" s="47" t="s">
        <v>68</v>
      </c>
      <c r="D3791" s="49" t="s">
        <v>329</v>
      </c>
      <c r="E3791" s="47">
        <v>950686</v>
      </c>
      <c r="G3791" s="50" t="s">
        <v>89</v>
      </c>
      <c r="H3791" s="51">
        <v>625.01</v>
      </c>
      <c r="J3791" s="51">
        <v>5.59</v>
      </c>
      <c r="K3791" s="74">
        <f>Tabela6[[#This Row],[CONSUMO]]*Tabela6[[#This Row],[VALOR UNIT]]-Tabela6[[#This Row],[DESCONTO]]</f>
        <v>3493.8058999999998</v>
      </c>
      <c r="L3791" s="53">
        <f>Tabela6[[#This Row],[CUSTO TOTAL]]/Tabela6[[#This Row],[CONSUMO]]</f>
        <v>5.59</v>
      </c>
      <c r="M3791" s="50">
        <f>Tabela6[[#This Row],[KM ATUAL]]-E3732</f>
        <v>599760</v>
      </c>
      <c r="N3791" s="51">
        <f>Tabela6[[#This Row],[KM Rodados ]]/Tabela6[[#This Row],[CONSUMO]]</f>
        <v>959.60064638965775</v>
      </c>
    </row>
    <row r="3792" spans="1:14" x14ac:dyDescent="0.25">
      <c r="A3792" s="47">
        <v>345961</v>
      </c>
      <c r="B3792" s="78">
        <v>45318</v>
      </c>
      <c r="C3792" s="47" t="s">
        <v>222</v>
      </c>
      <c r="D3792" s="49" t="s">
        <v>268</v>
      </c>
      <c r="E3792" s="47">
        <v>550788</v>
      </c>
      <c r="G3792" s="50" t="s">
        <v>89</v>
      </c>
      <c r="H3792" s="51">
        <v>477</v>
      </c>
      <c r="J3792" s="51">
        <v>5.69</v>
      </c>
      <c r="K3792" s="74">
        <f>Tabela6[[#This Row],[CONSUMO]]*Tabela6[[#This Row],[VALOR UNIT]]-Tabela6[[#This Row],[DESCONTO]]</f>
        <v>2714.13</v>
      </c>
      <c r="L3792" s="53">
        <f>Tabela6[[#This Row],[CUSTO TOTAL]]/Tabela6[[#This Row],[CONSUMO]]</f>
        <v>5.69</v>
      </c>
      <c r="M3792" s="50">
        <f>Tabela6[[#This Row],[KM ATUAL]]-E3771</f>
        <v>293303</v>
      </c>
      <c r="N3792" s="51">
        <f>Tabela6[[#This Row],[KM Rodados ]]/Tabela6[[#This Row],[CONSUMO]]</f>
        <v>614.89098532494756</v>
      </c>
    </row>
    <row r="3793" spans="1:14" x14ac:dyDescent="0.25">
      <c r="A3793" s="47">
        <v>236155</v>
      </c>
      <c r="B3793" s="78">
        <v>45318</v>
      </c>
      <c r="C3793" s="47" t="s">
        <v>70</v>
      </c>
      <c r="D3793" s="49" t="s">
        <v>374</v>
      </c>
      <c r="E3793" s="47">
        <v>258354</v>
      </c>
      <c r="G3793" s="50" t="s">
        <v>89</v>
      </c>
      <c r="H3793" s="51">
        <v>397.01</v>
      </c>
      <c r="J3793" s="51">
        <v>5.59</v>
      </c>
      <c r="K3793" s="74">
        <f>Tabela6[[#This Row],[CONSUMO]]*Tabela6[[#This Row],[VALOR UNIT]]-Tabela6[[#This Row],[DESCONTO]]</f>
        <v>2219.2858999999999</v>
      </c>
      <c r="L3793" s="53">
        <f>Tabela6[[#This Row],[CUSTO TOTAL]]/Tabela6[[#This Row],[CONSUMO]]</f>
        <v>5.59</v>
      </c>
      <c r="M3793" s="50">
        <f>Tabela6[[#This Row],[KM ATUAL]]-E3776</f>
        <v>-151638</v>
      </c>
      <c r="N3793" s="51">
        <f>Tabela6[[#This Row],[KM Rodados ]]/Tabela6[[#This Row],[CONSUMO]]</f>
        <v>-381.95007682426137</v>
      </c>
    </row>
    <row r="3794" spans="1:14" x14ac:dyDescent="0.25">
      <c r="A3794" s="47">
        <v>394716</v>
      </c>
      <c r="B3794" s="78">
        <v>45319</v>
      </c>
      <c r="C3794" s="47" t="s">
        <v>68</v>
      </c>
      <c r="D3794" s="49" t="s">
        <v>343</v>
      </c>
      <c r="E3794" s="47">
        <v>951761</v>
      </c>
      <c r="G3794" s="50" t="s">
        <v>89</v>
      </c>
      <c r="H3794" s="51">
        <v>574</v>
      </c>
      <c r="J3794" s="51">
        <v>5.64</v>
      </c>
      <c r="K3794" s="74">
        <f>Tabela6[[#This Row],[CONSUMO]]*Tabela6[[#This Row],[VALOR UNIT]]-Tabela6[[#This Row],[DESCONTO]]</f>
        <v>3237.3599999999997</v>
      </c>
      <c r="L3794" s="53">
        <f>Tabela6[[#This Row],[CUSTO TOTAL]]/Tabela6[[#This Row],[CONSUMO]]</f>
        <v>5.64</v>
      </c>
      <c r="M3794" s="50">
        <f>Tabela6[[#This Row],[KM ATUAL]]-E3786</f>
        <v>541254</v>
      </c>
      <c r="N3794" s="51">
        <f>Tabela6[[#This Row],[KM Rodados ]]/Tabela6[[#This Row],[CONSUMO]]</f>
        <v>942.95121951219517</v>
      </c>
    </row>
    <row r="3795" spans="1:14" x14ac:dyDescent="0.25">
      <c r="A3795" s="47">
        <v>600498</v>
      </c>
      <c r="B3795" s="78">
        <v>45319</v>
      </c>
      <c r="C3795" s="47" t="s">
        <v>203</v>
      </c>
      <c r="D3795" s="49" t="s">
        <v>255</v>
      </c>
      <c r="E3795" s="47">
        <v>138200</v>
      </c>
      <c r="G3795" s="50" t="s">
        <v>244</v>
      </c>
      <c r="H3795" s="51">
        <v>42.15</v>
      </c>
      <c r="J3795" s="51">
        <v>5.49</v>
      </c>
      <c r="K3795" s="74">
        <f>Tabela6[[#This Row],[CONSUMO]]*Tabela6[[#This Row],[VALOR UNIT]]-Tabela6[[#This Row],[DESCONTO]]</f>
        <v>231.40350000000001</v>
      </c>
      <c r="L3795" s="53">
        <f>Tabela6[[#This Row],[CUSTO TOTAL]]/Tabela6[[#This Row],[CONSUMO]]</f>
        <v>5.49</v>
      </c>
      <c r="M3795" s="53" t="e" cm="1">
        <f t="array" ref="M3795">SE</f>
        <v>#NAME?</v>
      </c>
      <c r="N3795" s="49" t="e">
        <f>Tabela6[[#This Row],[KM Rodados ]]/Tabela6[[#This Row],[CONSUMO]]</f>
        <v>#NAME?</v>
      </c>
    </row>
    <row r="3796" spans="1:14" x14ac:dyDescent="0.25">
      <c r="A3796" s="47">
        <v>339593</v>
      </c>
      <c r="B3796" s="78">
        <v>45319</v>
      </c>
      <c r="C3796" s="47" t="s">
        <v>301</v>
      </c>
      <c r="D3796" s="49" t="s">
        <v>270</v>
      </c>
      <c r="E3796" s="47">
        <v>1089160</v>
      </c>
      <c r="G3796" s="50" t="s">
        <v>89</v>
      </c>
      <c r="H3796" s="51">
        <v>416.20100000000002</v>
      </c>
      <c r="J3796" s="51">
        <v>5.69</v>
      </c>
      <c r="K3796" s="74">
        <f>Tabela6[[#This Row],[CONSUMO]]*Tabela6[[#This Row],[VALOR UNIT]]-Tabela6[[#This Row],[DESCONTO]]</f>
        <v>2368.1836900000003</v>
      </c>
      <c r="L3796" s="53">
        <f>Tabela6[[#This Row],[CUSTO TOTAL]]/Tabela6[[#This Row],[CONSUMO]]</f>
        <v>5.69</v>
      </c>
      <c r="M3796" s="50">
        <f>Tabela6[[#This Row],[KM ATUAL]]-E3741</f>
        <v>652142</v>
      </c>
      <c r="N3796" s="51">
        <f>Tabela6[[#This Row],[KM Rodados ]]/Tabela6[[#This Row],[CONSUMO]]</f>
        <v>1566.8919584527666</v>
      </c>
    </row>
    <row r="3797" spans="1:14" x14ac:dyDescent="0.25">
      <c r="A3797" s="47">
        <v>1275926</v>
      </c>
      <c r="B3797" s="78">
        <v>45319</v>
      </c>
      <c r="C3797" s="47" t="s">
        <v>354</v>
      </c>
      <c r="D3797" s="49" t="s">
        <v>403</v>
      </c>
      <c r="E3797" s="47">
        <v>19339</v>
      </c>
      <c r="G3797" s="50" t="s">
        <v>241</v>
      </c>
      <c r="H3797" s="51">
        <v>28.015999999999998</v>
      </c>
      <c r="J3797" s="51">
        <v>2.85</v>
      </c>
      <c r="K3797" s="74">
        <f>Tabela6[[#This Row],[CONSUMO]]*Tabela6[[#This Row],[VALOR UNIT]]-Tabela6[[#This Row],[DESCONTO]]</f>
        <v>79.84559999999999</v>
      </c>
      <c r="L3797" s="53">
        <f>Tabela6[[#This Row],[CUSTO TOTAL]]/Tabela6[[#This Row],[CONSUMO]]</f>
        <v>2.8499999999999996</v>
      </c>
      <c r="M3797" s="53"/>
      <c r="N3797" s="49"/>
    </row>
    <row r="3798" spans="1:14" x14ac:dyDescent="0.25">
      <c r="A3798" s="47">
        <v>1275926</v>
      </c>
      <c r="B3798" s="78">
        <v>45319</v>
      </c>
      <c r="C3798" s="47" t="s">
        <v>354</v>
      </c>
      <c r="D3798" s="49" t="s">
        <v>403</v>
      </c>
      <c r="E3798" s="47">
        <v>19339</v>
      </c>
      <c r="G3798" s="50" t="s">
        <v>89</v>
      </c>
      <c r="H3798" s="51">
        <v>364.79</v>
      </c>
      <c r="J3798" s="51">
        <v>5.28</v>
      </c>
      <c r="K3798" s="74">
        <f>Tabela6[[#This Row],[CONSUMO]]*Tabela6[[#This Row],[VALOR UNIT]]-Tabela6[[#This Row],[DESCONTO]]</f>
        <v>1926.0912000000003</v>
      </c>
      <c r="L3798" s="53">
        <f>Tabela6[[#This Row],[CUSTO TOTAL]]/Tabela6[[#This Row],[CONSUMO]]</f>
        <v>5.28</v>
      </c>
      <c r="M3798" s="50">
        <f>Tabela6[[#This Row],[KM ATUAL]]-E3753</f>
        <v>-1069071</v>
      </c>
      <c r="N3798" s="51">
        <f>Tabela6[[#This Row],[KM Rodados ]]/Tabela6[[#This Row],[CONSUMO]]</f>
        <v>-2930.6477699498341</v>
      </c>
    </row>
    <row r="3799" spans="1:14" x14ac:dyDescent="0.25">
      <c r="A3799" s="47">
        <v>193629</v>
      </c>
      <c r="B3799" s="78">
        <v>45320</v>
      </c>
      <c r="C3799" s="47" t="s">
        <v>43</v>
      </c>
      <c r="D3799" s="49" t="s">
        <v>263</v>
      </c>
      <c r="E3799" s="47">
        <v>174030</v>
      </c>
      <c r="G3799" s="50" t="s">
        <v>89</v>
      </c>
      <c r="H3799" s="51">
        <v>25.6</v>
      </c>
      <c r="J3799" s="51">
        <v>5.84</v>
      </c>
      <c r="K3799" s="74">
        <f>Tabela6[[#This Row],[CONSUMO]]*Tabela6[[#This Row],[VALOR UNIT]]-Tabela6[[#This Row],[DESCONTO]]</f>
        <v>149.50399999999999</v>
      </c>
      <c r="L3799" s="53">
        <f>Tabela6[[#This Row],[CUSTO TOTAL]]/Tabela6[[#This Row],[CONSUMO]]</f>
        <v>5.839999999999999</v>
      </c>
      <c r="M3799" s="50">
        <f>Tabela6[[#This Row],[KM ATUAL]]-E3764</f>
        <v>216</v>
      </c>
      <c r="N3799" s="51">
        <f>Tabela6[[#This Row],[KM Rodados ]]/Tabela6[[#This Row],[CONSUMO]]</f>
        <v>8.4375</v>
      </c>
    </row>
    <row r="3800" spans="1:14" x14ac:dyDescent="0.25">
      <c r="A3800" s="47">
        <v>193792</v>
      </c>
      <c r="B3800" s="78">
        <v>45320</v>
      </c>
      <c r="C3800" s="47" t="s">
        <v>43</v>
      </c>
      <c r="D3800" s="49" t="s">
        <v>263</v>
      </c>
      <c r="E3800" s="47">
        <v>174397</v>
      </c>
      <c r="G3800" s="50" t="s">
        <v>89</v>
      </c>
      <c r="H3800" s="51">
        <v>39.22</v>
      </c>
      <c r="I3800" s="49">
        <v>3.92</v>
      </c>
      <c r="J3800" s="51">
        <v>5.84</v>
      </c>
      <c r="K3800" s="74">
        <f>Tabela6[[#This Row],[CONSUMO]]*Tabela6[[#This Row],[VALOR UNIT]]-Tabela6[[#This Row],[DESCONTO]]</f>
        <v>225.12479999999999</v>
      </c>
      <c r="L3800" s="53">
        <f>Tabela6[[#This Row],[CUSTO TOTAL]]/Tabela6[[#This Row],[CONSUMO]]</f>
        <v>5.7400509943906171</v>
      </c>
      <c r="M3800" s="50">
        <f>Tabela6[[#This Row],[KM ATUAL]]-E3797</f>
        <v>155058</v>
      </c>
      <c r="N3800" s="51">
        <f>Tabela6[[#This Row],[KM Rodados ]]/Tabela6[[#This Row],[CONSUMO]]</f>
        <v>3953.5441101478837</v>
      </c>
    </row>
    <row r="3801" spans="1:14" x14ac:dyDescent="0.25">
      <c r="A3801" s="47">
        <v>9570</v>
      </c>
      <c r="B3801" s="78">
        <v>45320</v>
      </c>
      <c r="C3801" s="47" t="s">
        <v>9</v>
      </c>
      <c r="D3801" s="49" t="s">
        <v>299</v>
      </c>
      <c r="E3801" s="47">
        <v>646006</v>
      </c>
      <c r="G3801" s="50" t="s">
        <v>89</v>
      </c>
      <c r="H3801" s="51">
        <v>115</v>
      </c>
      <c r="J3801" s="51">
        <v>5.16</v>
      </c>
      <c r="K3801" s="74">
        <f>Tabela6[[#This Row],[CONSUMO]]*Tabela6[[#This Row],[VALOR UNIT]]-Tabela6[[#This Row],[DESCONTO]]</f>
        <v>593.4</v>
      </c>
      <c r="L3801" s="53">
        <f>Tabela6[[#This Row],[CUSTO TOTAL]]/Tabela6[[#This Row],[CONSUMO]]</f>
        <v>5.16</v>
      </c>
      <c r="M3801" s="50">
        <f>Tabela6[[#This Row],[KM ATUAL]]-E3738</f>
        <v>296358</v>
      </c>
      <c r="N3801" s="51">
        <f>Tabela6[[#This Row],[KM Rodados ]]/Tabela6[[#This Row],[CONSUMO]]</f>
        <v>2577.0260869565218</v>
      </c>
    </row>
    <row r="3802" spans="1:14" x14ac:dyDescent="0.25">
      <c r="A3802" s="47">
        <v>732200</v>
      </c>
      <c r="B3802" s="78">
        <v>45320</v>
      </c>
      <c r="C3802" s="47" t="s">
        <v>67</v>
      </c>
      <c r="D3802" s="49" t="s">
        <v>271</v>
      </c>
      <c r="E3802" s="47">
        <v>697620</v>
      </c>
      <c r="G3802" s="50" t="s">
        <v>89</v>
      </c>
      <c r="H3802" s="51">
        <v>127.92</v>
      </c>
      <c r="J3802" s="51">
        <v>5.69</v>
      </c>
      <c r="K3802" s="74">
        <f>Tabela6[[#This Row],[CONSUMO]]*Tabela6[[#This Row],[VALOR UNIT]]-Tabela6[[#This Row],[DESCONTO]]</f>
        <v>727.86480000000006</v>
      </c>
      <c r="L3802" s="53">
        <f>Tabela6[[#This Row],[CUSTO TOTAL]]/Tabela6[[#This Row],[CONSUMO]]</f>
        <v>5.69</v>
      </c>
      <c r="M3802" s="50">
        <f>Tabela6[[#This Row],[KM ATUAL]]-E3763</f>
        <v>693127</v>
      </c>
      <c r="N3802" s="51">
        <f>Tabela6[[#This Row],[KM Rodados ]]/Tabela6[[#This Row],[CONSUMO]]</f>
        <v>5418.4412132582866</v>
      </c>
    </row>
    <row r="3803" spans="1:14" x14ac:dyDescent="0.25">
      <c r="A3803" s="47">
        <v>905177</v>
      </c>
      <c r="B3803" s="78">
        <v>45320</v>
      </c>
      <c r="C3803" s="47" t="s">
        <v>70</v>
      </c>
      <c r="D3803" s="49" t="s">
        <v>376</v>
      </c>
      <c r="E3803" s="47">
        <v>259505</v>
      </c>
      <c r="G3803" s="50" t="s">
        <v>89</v>
      </c>
      <c r="H3803" s="51">
        <v>571</v>
      </c>
      <c r="I3803" s="49">
        <v>336.04</v>
      </c>
      <c r="J3803" s="51">
        <v>6.83</v>
      </c>
      <c r="K3803" s="74">
        <f>Tabela6[[#This Row],[CONSUMO]]*Tabela6[[#This Row],[VALOR UNIT]]-Tabela6[[#This Row],[DESCONTO]]</f>
        <v>3563.89</v>
      </c>
      <c r="L3803" s="53">
        <f>Tabela6[[#This Row],[CUSTO TOTAL]]/Tabela6[[#This Row],[CONSUMO]]</f>
        <v>6.2414886164623464</v>
      </c>
      <c r="M3803" s="50">
        <f>Tabela6[[#This Row],[KM ATUAL]]-E3794</f>
        <v>-692256</v>
      </c>
      <c r="N3803" s="51">
        <f>Tabela6[[#This Row],[KM Rodados ]]/Tabela6[[#This Row],[CONSUMO]]</f>
        <v>-1212.3572679509632</v>
      </c>
    </row>
    <row r="3804" spans="1:14" x14ac:dyDescent="0.25">
      <c r="A3804" s="47">
        <v>239206</v>
      </c>
      <c r="B3804" s="78">
        <v>45320</v>
      </c>
      <c r="C3804" s="47" t="s">
        <v>72</v>
      </c>
      <c r="D3804" s="49" t="s">
        <v>262</v>
      </c>
      <c r="E3804" s="47">
        <v>438065</v>
      </c>
      <c r="G3804" s="50" t="s">
        <v>89</v>
      </c>
      <c r="H3804" s="51">
        <v>18.89</v>
      </c>
      <c r="J3804" s="51">
        <v>5.99</v>
      </c>
      <c r="K3804" s="74">
        <f>Tabela6[[#This Row],[CONSUMO]]*Tabela6[[#This Row],[VALOR UNIT]]-Tabela6[[#This Row],[DESCONTO]]</f>
        <v>113.15110000000001</v>
      </c>
      <c r="L3804" s="53">
        <f>Tabela6[[#This Row],[CUSTO TOTAL]]/Tabela6[[#This Row],[CONSUMO]]</f>
        <v>5.99</v>
      </c>
      <c r="M3804" s="50">
        <f>Tabela6[[#This Row],[KM ATUAL]]-E3772</f>
        <v>452</v>
      </c>
      <c r="N3804" s="51">
        <f>Tabela6[[#This Row],[KM Rodados ]]/Tabela6[[#This Row],[CONSUMO]]</f>
        <v>23.928004235044998</v>
      </c>
    </row>
    <row r="3805" spans="1:14" x14ac:dyDescent="0.25">
      <c r="A3805" s="47">
        <v>9570</v>
      </c>
      <c r="B3805" s="78">
        <v>45320</v>
      </c>
      <c r="C3805" s="47" t="s">
        <v>72</v>
      </c>
      <c r="D3805" s="49" t="s">
        <v>299</v>
      </c>
      <c r="E3805" s="47">
        <v>438383</v>
      </c>
      <c r="G3805" s="50" t="s">
        <v>89</v>
      </c>
      <c r="H3805" s="51">
        <v>35</v>
      </c>
      <c r="J3805" s="51">
        <v>5.16</v>
      </c>
      <c r="K3805" s="74">
        <f>Tabela6[[#This Row],[CONSUMO]]*Tabela6[[#This Row],[VALOR UNIT]]-Tabela6[[#This Row],[DESCONTO]]</f>
        <v>180.6</v>
      </c>
      <c r="L3805" s="53">
        <f>Tabela6[[#This Row],[CUSTO TOTAL]]/Tabela6[[#This Row],[CONSUMO]]</f>
        <v>5.16</v>
      </c>
      <c r="M3805" s="50">
        <f>Tabela6[[#This Row],[KM ATUAL]]-E3799</f>
        <v>264353</v>
      </c>
      <c r="N3805" s="51">
        <f>Tabela6[[#This Row],[KM Rodados ]]/Tabela6[[#This Row],[CONSUMO]]</f>
        <v>7552.9428571428571</v>
      </c>
    </row>
    <row r="3806" spans="1:14" x14ac:dyDescent="0.25">
      <c r="A3806" s="47">
        <v>9570</v>
      </c>
      <c r="B3806" s="78">
        <v>45320</v>
      </c>
      <c r="C3806" s="47" t="s">
        <v>71</v>
      </c>
      <c r="D3806" s="49" t="s">
        <v>299</v>
      </c>
      <c r="E3806" s="47">
        <v>148173</v>
      </c>
      <c r="G3806" s="50" t="s">
        <v>89</v>
      </c>
      <c r="H3806" s="51">
        <v>444</v>
      </c>
      <c r="J3806" s="51">
        <v>5.16</v>
      </c>
      <c r="K3806" s="74">
        <f>Tabela6[[#This Row],[CONSUMO]]*Tabela6[[#This Row],[VALOR UNIT]]-Tabela6[[#This Row],[DESCONTO]]</f>
        <v>2291.04</v>
      </c>
      <c r="L3806" s="53">
        <f>Tabela6[[#This Row],[CUSTO TOTAL]]/Tabela6[[#This Row],[CONSUMO]]</f>
        <v>5.16</v>
      </c>
      <c r="M3806" s="50">
        <f>Tabela6[[#This Row],[KM ATUAL]]-E3745</f>
        <v>-195863</v>
      </c>
      <c r="N3806" s="51">
        <f>Tabela6[[#This Row],[KM Rodados ]]/Tabela6[[#This Row],[CONSUMO]]</f>
        <v>-441.13288288288288</v>
      </c>
    </row>
    <row r="3807" spans="1:14" x14ac:dyDescent="0.25">
      <c r="A3807" s="47">
        <v>371213</v>
      </c>
      <c r="B3807" s="78">
        <v>45320</v>
      </c>
      <c r="C3807" s="47" t="s">
        <v>41</v>
      </c>
      <c r="D3807" s="49" t="s">
        <v>276</v>
      </c>
      <c r="E3807" s="47">
        <v>696557</v>
      </c>
      <c r="G3807" s="50" t="s">
        <v>89</v>
      </c>
      <c r="H3807" s="51">
        <v>174.929</v>
      </c>
      <c r="J3807" s="51">
        <v>6.09</v>
      </c>
      <c r="K3807" s="74">
        <f>Tabela6[[#This Row],[CONSUMO]]*Tabela6[[#This Row],[VALOR UNIT]]-Tabela6[[#This Row],[DESCONTO]]</f>
        <v>1065.3176100000001</v>
      </c>
      <c r="L3807" s="53">
        <f>Tabela6[[#This Row],[CUSTO TOTAL]]/Tabela6[[#This Row],[CONSUMO]]</f>
        <v>6.09</v>
      </c>
      <c r="M3807" s="53" t="e">
        <f t="array" ref="M3807">SE</f>
        <v>#NAME?</v>
      </c>
      <c r="N3807" s="49" t="e">
        <f>Tabela6[[#This Row],[KM Rodados ]]/Tabela6[[#This Row],[CONSUMO]]</f>
        <v>#NAME?</v>
      </c>
    </row>
    <row r="3808" spans="1:14" x14ac:dyDescent="0.25">
      <c r="A3808" s="47">
        <v>9570</v>
      </c>
      <c r="B3808" s="78">
        <v>45320</v>
      </c>
      <c r="C3808" s="47" t="s">
        <v>10</v>
      </c>
      <c r="D3808" s="49" t="s">
        <v>299</v>
      </c>
      <c r="E3808" s="47">
        <v>742376</v>
      </c>
      <c r="G3808" s="50" t="s">
        <v>89</v>
      </c>
      <c r="H3808" s="51">
        <v>181</v>
      </c>
      <c r="J3808" s="51">
        <v>5.16</v>
      </c>
      <c r="K3808" s="74">
        <f>Tabela6[[#This Row],[CONSUMO]]*Tabela6[[#This Row],[VALOR UNIT]]-Tabela6[[#This Row],[DESCONTO]]</f>
        <v>933.96</v>
      </c>
      <c r="L3808" s="53">
        <f>Tabela6[[#This Row],[CUSTO TOTAL]]/Tabela6[[#This Row],[CONSUMO]]</f>
        <v>5.16</v>
      </c>
      <c r="M3808" s="50">
        <f>Tabela6[[#This Row],[KM ATUAL]]-E3739</f>
        <v>605169</v>
      </c>
      <c r="N3808" s="51">
        <f>Tabela6[[#This Row],[KM Rodados ]]/Tabela6[[#This Row],[CONSUMO]]</f>
        <v>3343.4751381215469</v>
      </c>
    </row>
    <row r="3809" spans="1:14" x14ac:dyDescent="0.25">
      <c r="A3809" s="47">
        <v>9570</v>
      </c>
      <c r="B3809" s="78">
        <v>45320</v>
      </c>
      <c r="C3809" s="47" t="s">
        <v>206</v>
      </c>
      <c r="D3809" s="49" t="s">
        <v>299</v>
      </c>
      <c r="E3809" s="47">
        <v>992719</v>
      </c>
      <c r="G3809" s="50" t="s">
        <v>89</v>
      </c>
      <c r="H3809" s="51">
        <v>294</v>
      </c>
      <c r="J3809" s="51">
        <v>5.16</v>
      </c>
      <c r="K3809" s="74">
        <f>Tabela6[[#This Row],[CONSUMO]]*Tabela6[[#This Row],[VALOR UNIT]]-Tabela6[[#This Row],[DESCONTO]]</f>
        <v>1517.04</v>
      </c>
      <c r="L3809" s="53">
        <f>Tabela6[[#This Row],[CUSTO TOTAL]]/Tabela6[[#This Row],[CONSUMO]]</f>
        <v>5.16</v>
      </c>
      <c r="M3809" s="50">
        <f>Tabela6[[#This Row],[KM ATUAL]]-E3735</f>
        <v>888253</v>
      </c>
      <c r="N3809" s="51">
        <f>Tabela6[[#This Row],[KM Rodados ]]/Tabela6[[#This Row],[CONSUMO]]</f>
        <v>3021.2687074829932</v>
      </c>
    </row>
    <row r="3810" spans="1:14" x14ac:dyDescent="0.25">
      <c r="A3810" s="47">
        <v>239281</v>
      </c>
      <c r="B3810" s="78">
        <v>45320</v>
      </c>
      <c r="C3810" s="47" t="s">
        <v>14</v>
      </c>
      <c r="D3810" s="49" t="s">
        <v>262</v>
      </c>
      <c r="E3810" s="47">
        <v>314612</v>
      </c>
      <c r="G3810" s="50" t="s">
        <v>244</v>
      </c>
      <c r="H3810" s="51">
        <v>29.811</v>
      </c>
      <c r="J3810" s="51">
        <v>5.49</v>
      </c>
      <c r="K3810" s="74">
        <f>Tabela6[[#This Row],[CONSUMO]]*Tabela6[[#This Row],[VALOR UNIT]]-Tabela6[[#This Row],[DESCONTO]]</f>
        <v>163.66239000000002</v>
      </c>
      <c r="L3810" s="53">
        <f>Tabela6[[#This Row],[CUSTO TOTAL]]/Tabela6[[#This Row],[CONSUMO]]</f>
        <v>5.49</v>
      </c>
      <c r="M3810" s="53" t="e" cm="1">
        <f t="array" ref="M3810">SE</f>
        <v>#NAME?</v>
      </c>
      <c r="N3810" s="49" t="e">
        <f>Tabela6[[#This Row],[KM Rodados ]]/Tabela6[[#This Row],[CONSUMO]]</f>
        <v>#NAME?</v>
      </c>
    </row>
    <row r="3811" spans="1:14" x14ac:dyDescent="0.25">
      <c r="A3811" s="47">
        <v>388104</v>
      </c>
      <c r="B3811" s="78">
        <v>45320</v>
      </c>
      <c r="C3811" s="47" t="s">
        <v>40</v>
      </c>
      <c r="D3811" s="49" t="s">
        <v>276</v>
      </c>
      <c r="E3811" s="47">
        <v>182176</v>
      </c>
      <c r="G3811" s="50" t="s">
        <v>244</v>
      </c>
      <c r="H3811" s="51">
        <v>18.97</v>
      </c>
      <c r="J3811" s="51">
        <v>5.59</v>
      </c>
      <c r="K3811" s="74">
        <f>Tabela6[[#This Row],[CONSUMO]]*Tabela6[[#This Row],[VALOR UNIT]]-Tabela6[[#This Row],[DESCONTO]]</f>
        <v>106.0423</v>
      </c>
      <c r="L3811" s="53">
        <f>Tabela6[[#This Row],[CUSTO TOTAL]]/Tabela6[[#This Row],[CONSUMO]]</f>
        <v>5.59</v>
      </c>
      <c r="M3811" s="53" t="e">
        <f t="array" ref="M3811">SE</f>
        <v>#NAME?</v>
      </c>
      <c r="N3811" s="49" t="e">
        <f>Tabela6[[#This Row],[KM Rodados ]]/Tabela6[[#This Row],[CONSUMO]]</f>
        <v>#NAME?</v>
      </c>
    </row>
    <row r="3812" spans="1:14" x14ac:dyDescent="0.25">
      <c r="A3812" s="47">
        <v>371119</v>
      </c>
      <c r="B3812" s="78">
        <v>45320</v>
      </c>
      <c r="C3812" s="47" t="s">
        <v>40</v>
      </c>
      <c r="D3812" s="49" t="s">
        <v>276</v>
      </c>
      <c r="E3812" s="47">
        <v>182176</v>
      </c>
      <c r="G3812" s="50" t="s">
        <v>244</v>
      </c>
      <c r="H3812" s="51">
        <v>18.97</v>
      </c>
      <c r="J3812" s="51">
        <v>5.59</v>
      </c>
      <c r="K3812" s="74">
        <f>Tabela6[[#This Row],[CONSUMO]]*Tabela6[[#This Row],[VALOR UNIT]]-Tabela6[[#This Row],[DESCONTO]]</f>
        <v>106.0423</v>
      </c>
      <c r="L3812" s="53">
        <f>Tabela6[[#This Row],[CUSTO TOTAL]]/Tabela6[[#This Row],[CONSUMO]]</f>
        <v>5.59</v>
      </c>
      <c r="M3812" s="53" t="e" cm="1">
        <f t="array" ref="M3812">SE</f>
        <v>#NAME?</v>
      </c>
      <c r="N3812" s="49" t="e">
        <f>Tabela6[[#This Row],[KM Rodados ]]/Tabela6[[#This Row],[CONSUMO]]</f>
        <v>#NAME?</v>
      </c>
    </row>
    <row r="3813" spans="1:14" x14ac:dyDescent="0.25">
      <c r="A3813" s="47">
        <v>9570</v>
      </c>
      <c r="B3813" s="78">
        <v>45320</v>
      </c>
      <c r="C3813" s="47" t="s">
        <v>74</v>
      </c>
      <c r="D3813" s="49" t="s">
        <v>299</v>
      </c>
      <c r="E3813" s="47">
        <v>106470</v>
      </c>
      <c r="G3813" s="50" t="s">
        <v>89</v>
      </c>
      <c r="H3813" s="51">
        <v>59</v>
      </c>
      <c r="J3813" s="51">
        <v>5.16</v>
      </c>
      <c r="K3813" s="74">
        <f>Tabela6[[#This Row],[CONSUMO]]*Tabela6[[#This Row],[VALOR UNIT]]-Tabela6[[#This Row],[DESCONTO]]</f>
        <v>304.44</v>
      </c>
      <c r="L3813" s="53">
        <f>Tabela6[[#This Row],[CUSTO TOTAL]]/Tabela6[[#This Row],[CONSUMO]]</f>
        <v>5.16</v>
      </c>
      <c r="M3813" s="50">
        <f>Tabela6[[#This Row],[KM ATUAL]]-E3776</f>
        <v>-303522</v>
      </c>
      <c r="N3813" s="51">
        <f>Tabela6[[#This Row],[KM Rodados ]]/Tabela6[[#This Row],[CONSUMO]]</f>
        <v>-5144.4406779661012</v>
      </c>
    </row>
    <row r="3814" spans="1:14" x14ac:dyDescent="0.25">
      <c r="A3814" s="47">
        <v>149331</v>
      </c>
      <c r="B3814" s="78">
        <v>45320</v>
      </c>
      <c r="C3814" s="47" t="s">
        <v>315</v>
      </c>
      <c r="D3814" s="49" t="s">
        <v>253</v>
      </c>
      <c r="E3814" s="47">
        <v>16070</v>
      </c>
      <c r="G3814" s="50" t="s">
        <v>89</v>
      </c>
      <c r="H3814" s="51">
        <v>51.57</v>
      </c>
      <c r="J3814" s="51">
        <v>6.09</v>
      </c>
      <c r="K3814" s="74">
        <f>Tabela6[[#This Row],[CONSUMO]]*Tabela6[[#This Row],[VALOR UNIT]]-Tabela6[[#This Row],[DESCONTO]]</f>
        <v>314.06130000000002</v>
      </c>
      <c r="L3814" s="53">
        <f>Tabela6[[#This Row],[CUSTO TOTAL]]/Tabela6[[#This Row],[CONSUMO]]</f>
        <v>6.09</v>
      </c>
      <c r="M3814" s="50">
        <f>Tabela6[[#This Row],[KM ATUAL]]-E3776</f>
        <v>-393922</v>
      </c>
      <c r="N3814" s="51">
        <f>Tabela6[[#This Row],[KM Rodados ]]/Tabela6[[#This Row],[CONSUMO]]</f>
        <v>-7638.5883265464417</v>
      </c>
    </row>
    <row r="3815" spans="1:14" x14ac:dyDescent="0.25">
      <c r="A3815" s="47">
        <v>697320</v>
      </c>
      <c r="B3815" s="78">
        <v>45320</v>
      </c>
      <c r="C3815" s="47" t="s">
        <v>401</v>
      </c>
      <c r="D3815" s="49" t="s">
        <v>357</v>
      </c>
      <c r="E3815" s="47">
        <v>5475</v>
      </c>
      <c r="G3815" s="50" t="s">
        <v>89</v>
      </c>
      <c r="H3815" s="51">
        <v>115</v>
      </c>
      <c r="J3815" s="51">
        <v>5.69</v>
      </c>
      <c r="K3815" s="74">
        <f>Tabela6[[#This Row],[CONSUMO]]*Tabela6[[#This Row],[VALOR UNIT]]-Tabela6[[#This Row],[DESCONTO]]</f>
        <v>654.35</v>
      </c>
      <c r="L3815" s="53">
        <f>Tabela6[[#This Row],[CUSTO TOTAL]]/Tabela6[[#This Row],[CONSUMO]]</f>
        <v>5.69</v>
      </c>
      <c r="M3815" s="50">
        <f>Tabela6[[#This Row],[KM ATUAL]]-E3795</f>
        <v>-132725</v>
      </c>
      <c r="N3815" s="51">
        <f>Tabela6[[#This Row],[KM Rodados ]]/Tabela6[[#This Row],[CONSUMO]]</f>
        <v>-1154.1304347826087</v>
      </c>
    </row>
    <row r="3816" spans="1:14" x14ac:dyDescent="0.25">
      <c r="A3816" s="47">
        <v>9570</v>
      </c>
      <c r="B3816" s="78">
        <v>45321</v>
      </c>
      <c r="C3816" s="47" t="s">
        <v>43</v>
      </c>
      <c r="D3816" s="49" t="s">
        <v>299</v>
      </c>
      <c r="E3816" s="47">
        <v>174621</v>
      </c>
      <c r="G3816" s="50" t="s">
        <v>89</v>
      </c>
      <c r="H3816" s="51">
        <v>27</v>
      </c>
      <c r="J3816" s="51">
        <v>5.16</v>
      </c>
      <c r="K3816" s="74">
        <f>Tabela6[[#This Row],[CONSUMO]]*Tabela6[[#This Row],[VALOR UNIT]]-Tabela6[[#This Row],[DESCONTO]]</f>
        <v>139.32</v>
      </c>
      <c r="L3816" s="53">
        <f>Tabela6[[#This Row],[CUSTO TOTAL]]/Tabela6[[#This Row],[CONSUMO]]</f>
        <v>5.16</v>
      </c>
      <c r="M3816" s="50">
        <f>Tabela6[[#This Row],[KM ATUAL]]-E3795</f>
        <v>36421</v>
      </c>
      <c r="N3816" s="51">
        <f>Tabela6[[#This Row],[KM Rodados ]]/Tabela6[[#This Row],[CONSUMO]]</f>
        <v>1348.9259259259259</v>
      </c>
    </row>
    <row r="3817" spans="1:14" x14ac:dyDescent="0.25">
      <c r="A3817" s="47">
        <v>9570</v>
      </c>
      <c r="B3817" s="78">
        <v>45321</v>
      </c>
      <c r="C3817" s="47" t="s">
        <v>394</v>
      </c>
      <c r="D3817" s="49" t="s">
        <v>299</v>
      </c>
      <c r="E3817" s="47">
        <v>884717</v>
      </c>
      <c r="G3817" s="50" t="s">
        <v>89</v>
      </c>
      <c r="H3817" s="51">
        <v>83</v>
      </c>
      <c r="J3817" s="51">
        <v>5.16</v>
      </c>
      <c r="K3817" s="74">
        <f>Tabela6[[#This Row],[CONSUMO]]*Tabela6[[#This Row],[VALOR UNIT]]-Tabela6[[#This Row],[DESCONTO]]</f>
        <v>428.28000000000003</v>
      </c>
      <c r="L3817" s="53">
        <f>Tabela6[[#This Row],[CUSTO TOTAL]]/Tabela6[[#This Row],[CONSUMO]]</f>
        <v>5.16</v>
      </c>
      <c r="M3817" s="51">
        <f>Tabela6[[#This Row],[KM ATUAL]]-E3739</f>
        <v>747510</v>
      </c>
      <c r="N3817" s="51">
        <f>Tabela6[[#This Row],[KM Rodados ]]/Tabela6[[#This Row],[CONSUMO]]</f>
        <v>9006.1445783132531</v>
      </c>
    </row>
    <row r="3818" spans="1:14" x14ac:dyDescent="0.25">
      <c r="A3818" s="47">
        <v>9570</v>
      </c>
      <c r="B3818" s="78">
        <v>45321</v>
      </c>
      <c r="C3818" s="47" t="s">
        <v>42</v>
      </c>
      <c r="D3818" s="49" t="s">
        <v>299</v>
      </c>
      <c r="E3818" s="47">
        <v>383220</v>
      </c>
      <c r="G3818" s="50" t="s">
        <v>89</v>
      </c>
      <c r="H3818" s="51">
        <v>64</v>
      </c>
      <c r="J3818" s="51">
        <v>5.16</v>
      </c>
      <c r="K3818" s="74">
        <f>Tabela6[[#This Row],[CONSUMO]]*Tabela6[[#This Row],[VALOR UNIT]]-Tabela6[[#This Row],[DESCONTO]]</f>
        <v>330.24</v>
      </c>
      <c r="L3818" s="53">
        <f>Tabela6[[#This Row],[CUSTO TOTAL]]/Tabela6[[#This Row],[CONSUMO]]</f>
        <v>5.16</v>
      </c>
      <c r="M3818" s="50">
        <f>Tabela6[[#This Row],[KM ATUAL]]-E3769</f>
        <v>32926</v>
      </c>
      <c r="N3818" s="51">
        <f>Tabela6[[#This Row],[KM Rodados ]]/Tabela6[[#This Row],[CONSUMO]]</f>
        <v>514.46875</v>
      </c>
    </row>
    <row r="3819" spans="1:14" x14ac:dyDescent="0.25">
      <c r="A3819" s="47">
        <v>9570</v>
      </c>
      <c r="B3819" s="78">
        <v>45321</v>
      </c>
      <c r="C3819" s="47" t="s">
        <v>222</v>
      </c>
      <c r="D3819" s="49" t="s">
        <v>299</v>
      </c>
      <c r="E3819" s="47">
        <v>551006</v>
      </c>
      <c r="G3819" s="50" t="s">
        <v>89</v>
      </c>
      <c r="H3819" s="51">
        <v>64</v>
      </c>
      <c r="J3819" s="51">
        <v>5.16</v>
      </c>
      <c r="K3819" s="74">
        <f>Tabela6[[#This Row],[CONSUMO]]*Tabela6[[#This Row],[VALOR UNIT]]-Tabela6[[#This Row],[DESCONTO]]</f>
        <v>330.24</v>
      </c>
      <c r="L3819" s="53">
        <f>Tabela6[[#This Row],[CUSTO TOTAL]]/Tabela6[[#This Row],[CONSUMO]]</f>
        <v>5.16</v>
      </c>
      <c r="M3819" s="50">
        <f>Tabela6[[#This Row],[KM ATUAL]]-E3780</f>
        <v>168242</v>
      </c>
      <c r="N3819" s="51">
        <f>Tabela6[[#This Row],[KM Rodados ]]/Tabela6[[#This Row],[CONSUMO]]</f>
        <v>2628.78125</v>
      </c>
    </row>
    <row r="3820" spans="1:14" x14ac:dyDescent="0.25">
      <c r="A3820" s="47">
        <v>871100</v>
      </c>
      <c r="B3820" s="78">
        <v>45321</v>
      </c>
      <c r="C3820" s="47" t="s">
        <v>22</v>
      </c>
      <c r="D3820" s="49" t="s">
        <v>407</v>
      </c>
      <c r="E3820" s="47">
        <v>350812</v>
      </c>
      <c r="G3820" s="50" t="s">
        <v>89</v>
      </c>
      <c r="H3820" s="51">
        <v>120.99</v>
      </c>
      <c r="J3820" s="51">
        <v>6.97</v>
      </c>
      <c r="K3820" s="74">
        <f>Tabela6[[#This Row],[CONSUMO]]*Tabela6[[#This Row],[VALOR UNIT]]-Tabela6[[#This Row],[DESCONTO]]</f>
        <v>843.30029999999988</v>
      </c>
      <c r="L3820" s="53">
        <f>Tabela6[[#This Row],[CUSTO TOTAL]]/Tabela6[[#This Row],[CONSUMO]]</f>
        <v>6.9699999999999989</v>
      </c>
      <c r="M3820" s="50">
        <f>Tabela6[[#This Row],[KM ATUAL]]-E3754</f>
        <v>-640981</v>
      </c>
      <c r="N3820" s="51">
        <f>Tabela6[[#This Row],[KM Rodados ]]/Tabela6[[#This Row],[CONSUMO]]</f>
        <v>-5297.8014711959668</v>
      </c>
    </row>
    <row r="3821" spans="1:14" x14ac:dyDescent="0.25">
      <c r="A3821" s="47">
        <v>9570</v>
      </c>
      <c r="B3821" s="78">
        <v>45321</v>
      </c>
      <c r="C3821" s="47" t="s">
        <v>22</v>
      </c>
      <c r="D3821" s="49" t="s">
        <v>299</v>
      </c>
      <c r="E3821" s="47">
        <v>351189</v>
      </c>
      <c r="G3821" s="50" t="s">
        <v>89</v>
      </c>
      <c r="H3821" s="51">
        <v>73</v>
      </c>
      <c r="J3821" s="51">
        <v>5.16</v>
      </c>
      <c r="K3821" s="74">
        <f>Tabela6[[#This Row],[CONSUMO]]*Tabela6[[#This Row],[VALOR UNIT]]-Tabela6[[#This Row],[DESCONTO]]</f>
        <v>376.68</v>
      </c>
      <c r="L3821" s="53">
        <f>Tabela6[[#This Row],[CUSTO TOTAL]]/Tabela6[[#This Row],[CONSUMO]]</f>
        <v>5.16</v>
      </c>
      <c r="M3821" s="50">
        <f>Tabela6[[#This Row],[KM ATUAL]]-E3808</f>
        <v>-391187</v>
      </c>
      <c r="N3821" s="51">
        <f>Tabela6[[#This Row],[KM Rodados ]]/Tabela6[[#This Row],[CONSUMO]]</f>
        <v>-5358.7260273972606</v>
      </c>
    </row>
    <row r="3822" spans="1:14" x14ac:dyDescent="0.25">
      <c r="A3822" s="47">
        <v>1152478</v>
      </c>
      <c r="B3822" s="78">
        <v>45321</v>
      </c>
      <c r="C3822" s="47" t="s">
        <v>203</v>
      </c>
      <c r="D3822" s="49" t="s">
        <v>406</v>
      </c>
      <c r="E3822" s="47">
        <v>138717</v>
      </c>
      <c r="G3822" s="50" t="s">
        <v>244</v>
      </c>
      <c r="H3822" s="51">
        <v>43.74</v>
      </c>
      <c r="J3822" s="51">
        <v>4.99</v>
      </c>
      <c r="K3822" s="74">
        <f>Tabela6[[#This Row],[CONSUMO]]*Tabela6[[#This Row],[VALOR UNIT]]-Tabela6[[#This Row],[DESCONTO]]</f>
        <v>218.26260000000002</v>
      </c>
      <c r="L3822" s="53">
        <f>Tabela6[[#This Row],[CUSTO TOTAL]]/Tabela6[[#This Row],[CONSUMO]]</f>
        <v>4.99</v>
      </c>
      <c r="M3822" s="53" t="e" cm="1">
        <f t="array" ref="M3822">SE</f>
        <v>#NAME?</v>
      </c>
      <c r="N3822" s="49" t="e">
        <f>Tabela6[[#This Row],[KM Rodados ]]/Tabela6[[#This Row],[CONSUMO]]</f>
        <v>#NAME?</v>
      </c>
    </row>
    <row r="3823" spans="1:14" x14ac:dyDescent="0.25">
      <c r="A3823" s="47">
        <v>239447</v>
      </c>
      <c r="B3823" s="78">
        <v>45321</v>
      </c>
      <c r="C3823" s="47" t="s">
        <v>72</v>
      </c>
      <c r="D3823" s="49" t="s">
        <v>262</v>
      </c>
      <c r="E3823" s="47">
        <v>438585</v>
      </c>
      <c r="G3823" s="50" t="s">
        <v>89</v>
      </c>
      <c r="H3823" s="51">
        <v>18.96</v>
      </c>
      <c r="J3823" s="51">
        <v>5.99</v>
      </c>
      <c r="K3823" s="74">
        <f>Tabela6[[#This Row],[CONSUMO]]*Tabela6[[#This Row],[VALOR UNIT]]-Tabela6[[#This Row],[DESCONTO]]</f>
        <v>113.57040000000001</v>
      </c>
      <c r="L3823" s="53">
        <f>Tabela6[[#This Row],[CUSTO TOTAL]]/Tabela6[[#This Row],[CONSUMO]]</f>
        <v>5.99</v>
      </c>
      <c r="M3823" s="50">
        <f>Tabela6[[#This Row],[KM ATUAL]]-E3817</f>
        <v>-446132</v>
      </c>
      <c r="N3823" s="51">
        <f>Tabela6[[#This Row],[KM Rodados ]]/Tabela6[[#This Row],[CONSUMO]]</f>
        <v>-23530.168776371305</v>
      </c>
    </row>
    <row r="3824" spans="1:14" x14ac:dyDescent="0.25">
      <c r="A3824" s="47">
        <v>340075</v>
      </c>
      <c r="B3824" s="78">
        <v>45321</v>
      </c>
      <c r="C3824" s="47" t="s">
        <v>72</v>
      </c>
      <c r="D3824" s="49" t="s">
        <v>270</v>
      </c>
      <c r="E3824" s="47">
        <v>439024</v>
      </c>
      <c r="G3824" s="50" t="s">
        <v>89</v>
      </c>
      <c r="H3824" s="51">
        <v>59.17</v>
      </c>
      <c r="J3824" s="51">
        <v>5.69</v>
      </c>
      <c r="K3824" s="74">
        <f>Tabela6[[#This Row],[CONSUMO]]*Tabela6[[#This Row],[VALOR UNIT]]-Tabela6[[#This Row],[DESCONTO]]</f>
        <v>336.67730000000006</v>
      </c>
      <c r="L3824" s="53">
        <f>Tabela6[[#This Row],[CUSTO TOTAL]]/Tabela6[[#This Row],[CONSUMO]]</f>
        <v>5.6900000000000013</v>
      </c>
      <c r="M3824" s="50">
        <f>Tabela6[[#This Row],[KM ATUAL]]-E3822</f>
        <v>300307</v>
      </c>
      <c r="N3824" s="51">
        <f>Tabela6[[#This Row],[KM Rodados ]]/Tabela6[[#This Row],[CONSUMO]]</f>
        <v>5075.3253337840124</v>
      </c>
    </row>
    <row r="3825" spans="1:14" x14ac:dyDescent="0.25">
      <c r="A3825" s="47">
        <v>9570</v>
      </c>
      <c r="B3825" s="78">
        <v>45321</v>
      </c>
      <c r="C3825" s="47" t="s">
        <v>73</v>
      </c>
      <c r="D3825" s="49" t="s">
        <v>299</v>
      </c>
      <c r="E3825" s="47">
        <v>176624</v>
      </c>
      <c r="G3825" s="50" t="s">
        <v>89</v>
      </c>
      <c r="H3825" s="51">
        <v>168</v>
      </c>
      <c r="J3825" s="51">
        <v>5.16</v>
      </c>
      <c r="K3825" s="74">
        <f>Tabela6[[#This Row],[CONSUMO]]*Tabela6[[#This Row],[VALOR UNIT]]-Tabela6[[#This Row],[DESCONTO]]</f>
        <v>866.88</v>
      </c>
      <c r="L3825" s="53">
        <f>Tabela6[[#This Row],[CUSTO TOTAL]]/Tabela6[[#This Row],[CONSUMO]]</f>
        <v>5.16</v>
      </c>
      <c r="M3825" s="50">
        <f>Tabela6[[#This Row],[KM ATUAL]]-E3786</f>
        <v>-233883</v>
      </c>
      <c r="N3825" s="51">
        <f>Tabela6[[#This Row],[KM Rodados ]]/Tabela6[[#This Row],[CONSUMO]]</f>
        <v>-1392.1607142857142</v>
      </c>
    </row>
    <row r="3826" spans="1:14" x14ac:dyDescent="0.25">
      <c r="A3826" s="47">
        <v>9570</v>
      </c>
      <c r="B3826" s="78">
        <v>45321</v>
      </c>
      <c r="C3826" s="47" t="s">
        <v>301</v>
      </c>
      <c r="D3826" s="49" t="s">
        <v>299</v>
      </c>
      <c r="E3826" s="47">
        <v>1089993</v>
      </c>
      <c r="G3826" s="50" t="s">
        <v>89</v>
      </c>
      <c r="H3826" s="51">
        <v>470</v>
      </c>
      <c r="J3826" s="51">
        <v>5.16</v>
      </c>
      <c r="K3826" s="74">
        <f>Tabela6[[#This Row],[CONSUMO]]*Tabela6[[#This Row],[VALOR UNIT]]-Tabela6[[#This Row],[DESCONTO]]</f>
        <v>2425.2000000000003</v>
      </c>
      <c r="L3826" s="53">
        <f>Tabela6[[#This Row],[CUSTO TOTAL]]/Tabela6[[#This Row],[CONSUMO]]</f>
        <v>5.16</v>
      </c>
      <c r="M3826" s="50">
        <f>Tabela6[[#This Row],[KM ATUAL]]-E3800</f>
        <v>915596</v>
      </c>
      <c r="N3826" s="51">
        <f>Tabela6[[#This Row],[KM Rodados ]]/Tabela6[[#This Row],[CONSUMO]]</f>
        <v>1948.0765957446808</v>
      </c>
    </row>
    <row r="3827" spans="1:14" x14ac:dyDescent="0.25">
      <c r="A3827" s="47">
        <v>150071</v>
      </c>
      <c r="B3827" s="78">
        <v>45321</v>
      </c>
      <c r="C3827" s="47" t="s">
        <v>12</v>
      </c>
      <c r="D3827" s="49" t="s">
        <v>253</v>
      </c>
      <c r="E3827" s="47">
        <v>330613</v>
      </c>
      <c r="G3827" s="50" t="s">
        <v>89</v>
      </c>
      <c r="H3827" s="51">
        <v>64.41</v>
      </c>
      <c r="J3827" s="51">
        <v>5.99</v>
      </c>
      <c r="K3827" s="74">
        <f>Tabela6[[#This Row],[CONSUMO]]*Tabela6[[#This Row],[VALOR UNIT]]-Tabela6[[#This Row],[DESCONTO]]</f>
        <v>385.8159</v>
      </c>
      <c r="L3827" s="53">
        <f>Tabela6[[#This Row],[CUSTO TOTAL]]/Tabela6[[#This Row],[CONSUMO]]</f>
        <v>5.99</v>
      </c>
      <c r="M3827" s="50">
        <f>Tabela6[[#This Row],[KM ATUAL]]-E3742</f>
        <v>-365286</v>
      </c>
      <c r="N3827" s="51">
        <f>Tabela6[[#This Row],[KM Rodados ]]/Tabela6[[#This Row],[CONSUMO]]</f>
        <v>-5671.2622263623662</v>
      </c>
    </row>
    <row r="3828" spans="1:14" x14ac:dyDescent="0.25">
      <c r="A3828" s="47">
        <v>9570</v>
      </c>
      <c r="B3828" s="78">
        <v>45321</v>
      </c>
      <c r="C3828" s="47" t="s">
        <v>13</v>
      </c>
      <c r="D3828" s="49" t="s">
        <v>299</v>
      </c>
      <c r="E3828" s="47">
        <v>675668</v>
      </c>
      <c r="G3828" s="50" t="s">
        <v>89</v>
      </c>
      <c r="H3828" s="51">
        <v>80</v>
      </c>
      <c r="J3828" s="51">
        <v>5.16</v>
      </c>
      <c r="K3828" s="74">
        <f>Tabela6[[#This Row],[CONSUMO]]*Tabela6[[#This Row],[VALOR UNIT]]-Tabela6[[#This Row],[DESCONTO]]</f>
        <v>412.8</v>
      </c>
      <c r="L3828" s="53">
        <f>Tabela6[[#This Row],[CUSTO TOTAL]]/Tabela6[[#This Row],[CONSUMO]]</f>
        <v>5.16</v>
      </c>
      <c r="M3828" s="50">
        <f>Tabela6[[#This Row],[KM ATUAL]]-E3778</f>
        <v>569765</v>
      </c>
      <c r="N3828" s="51">
        <f>Tabela6[[#This Row],[KM Rodados ]]/Tabela6[[#This Row],[CONSUMO]]</f>
        <v>7122.0625</v>
      </c>
    </row>
    <row r="3829" spans="1:14" x14ac:dyDescent="0.25">
      <c r="A3829" s="47">
        <v>9570</v>
      </c>
      <c r="B3829" s="78">
        <v>45321</v>
      </c>
      <c r="C3829" s="47" t="s">
        <v>15</v>
      </c>
      <c r="D3829" s="49" t="s">
        <v>299</v>
      </c>
      <c r="E3829" s="47">
        <v>410952</v>
      </c>
      <c r="G3829" s="50" t="s">
        <v>89</v>
      </c>
      <c r="H3829" s="51">
        <v>90</v>
      </c>
      <c r="J3829" s="51">
        <v>5.16</v>
      </c>
      <c r="K3829" s="74">
        <f>Tabela6[[#This Row],[CONSUMO]]*Tabela6[[#This Row],[VALOR UNIT]]-Tabela6[[#This Row],[DESCONTO]]</f>
        <v>464.40000000000003</v>
      </c>
      <c r="L3829" s="53">
        <f>Tabela6[[#This Row],[CUSTO TOTAL]]/Tabela6[[#This Row],[CONSUMO]]</f>
        <v>5.16</v>
      </c>
      <c r="M3829" s="50">
        <f>Tabela6[[#This Row],[KM ATUAL]]-E3787</f>
        <v>59205</v>
      </c>
      <c r="N3829" s="51">
        <f>Tabela6[[#This Row],[KM Rodados ]]/Tabela6[[#This Row],[CONSUMO]]</f>
        <v>657.83333333333337</v>
      </c>
    </row>
    <row r="3830" spans="1:14" x14ac:dyDescent="0.25">
      <c r="A3830" s="47">
        <v>9570</v>
      </c>
      <c r="B3830" s="78">
        <v>45321</v>
      </c>
      <c r="C3830" s="47" t="s">
        <v>17</v>
      </c>
      <c r="D3830" s="49" t="s">
        <v>299</v>
      </c>
      <c r="E3830" s="47">
        <v>392991</v>
      </c>
      <c r="G3830" s="50" t="s">
        <v>89</v>
      </c>
      <c r="H3830" s="51">
        <v>103</v>
      </c>
      <c r="J3830" s="51">
        <v>5.16</v>
      </c>
      <c r="K3830" s="74">
        <f>Tabela6[[#This Row],[CONSUMO]]*Tabela6[[#This Row],[VALOR UNIT]]-Tabela6[[#This Row],[DESCONTO]]</f>
        <v>531.48</v>
      </c>
      <c r="L3830" s="53">
        <f>Tabela6[[#This Row],[CUSTO TOTAL]]/Tabela6[[#This Row],[CONSUMO]]</f>
        <v>5.16</v>
      </c>
      <c r="M3830" s="50">
        <f>Tabela6[[#This Row],[KM ATUAL]]-E3793</f>
        <v>134637</v>
      </c>
      <c r="N3830" s="51">
        <f>Tabela6[[#This Row],[KM Rodados ]]/Tabela6[[#This Row],[CONSUMO]]</f>
        <v>1307.1553398058252</v>
      </c>
    </row>
    <row r="3831" spans="1:14" x14ac:dyDescent="0.25">
      <c r="A3831" s="47">
        <v>600836</v>
      </c>
      <c r="B3831" s="78">
        <v>45321</v>
      </c>
      <c r="C3831" s="47" t="s">
        <v>18</v>
      </c>
      <c r="D3831" s="49" t="s">
        <v>255</v>
      </c>
      <c r="E3831" s="47">
        <v>345208</v>
      </c>
      <c r="G3831" s="50" t="s">
        <v>89</v>
      </c>
      <c r="H3831" s="51">
        <v>79.510000000000005</v>
      </c>
      <c r="J3831" s="51">
        <v>6.16</v>
      </c>
      <c r="K3831" s="74">
        <f>Tabela6[[#This Row],[CONSUMO]]*Tabela6[[#This Row],[VALOR UNIT]]-Tabela6[[#This Row],[DESCONTO]]</f>
        <v>489.78160000000003</v>
      </c>
      <c r="L3831" s="53">
        <f>Tabela6[[#This Row],[CUSTO TOTAL]]/Tabela6[[#This Row],[CONSUMO]]</f>
        <v>6.16</v>
      </c>
      <c r="M3831" s="53" t="e">
        <f t="array" ref="M3831">SE</f>
        <v>#NAME?</v>
      </c>
      <c r="N3831" s="49" t="e">
        <f>Tabela6[[#This Row],[KM Rodados ]]/Tabela6[[#This Row],[CONSUMO]]</f>
        <v>#NAME?</v>
      </c>
    </row>
    <row r="3832" spans="1:14" x14ac:dyDescent="0.25">
      <c r="A3832" s="47">
        <v>126891</v>
      </c>
      <c r="B3832" s="78">
        <v>45321</v>
      </c>
      <c r="C3832" s="47" t="s">
        <v>19</v>
      </c>
      <c r="D3832" s="49" t="s">
        <v>237</v>
      </c>
      <c r="E3832" s="47">
        <v>352374</v>
      </c>
      <c r="G3832" s="50" t="s">
        <v>89</v>
      </c>
      <c r="H3832" s="51">
        <v>40.002000000000002</v>
      </c>
      <c r="J3832" s="51">
        <v>5.69</v>
      </c>
      <c r="K3832" s="74">
        <f>Tabela6[[#This Row],[CONSUMO]]*Tabela6[[#This Row],[VALOR UNIT]]-Tabela6[[#This Row],[DESCONTO]]</f>
        <v>227.61138000000003</v>
      </c>
      <c r="L3832" s="53">
        <f>Tabela6[[#This Row],[CUSTO TOTAL]]/Tabela6[[#This Row],[CONSUMO]]</f>
        <v>5.69</v>
      </c>
      <c r="M3832" s="50">
        <f>Tabela6[[#This Row],[KM ATUAL]]-E3799</f>
        <v>178344</v>
      </c>
      <c r="N3832" s="51">
        <f>Tabela6[[#This Row],[KM Rodados ]]/Tabela6[[#This Row],[CONSUMO]]</f>
        <v>4458.3770811459426</v>
      </c>
    </row>
    <row r="3833" spans="1:14" x14ac:dyDescent="0.25">
      <c r="A3833" s="47">
        <v>9570</v>
      </c>
      <c r="B3833" s="78">
        <v>45321</v>
      </c>
      <c r="C3833" s="47" t="s">
        <v>19</v>
      </c>
      <c r="D3833" s="49" t="s">
        <v>299</v>
      </c>
      <c r="E3833" s="47">
        <v>352148</v>
      </c>
      <c r="G3833" s="50" t="s">
        <v>89</v>
      </c>
      <c r="H3833" s="51">
        <v>88</v>
      </c>
      <c r="J3833" s="51">
        <v>5.16</v>
      </c>
      <c r="K3833" s="74">
        <f>Tabela6[[#This Row],[CONSUMO]]*Tabela6[[#This Row],[VALOR UNIT]]-Tabela6[[#This Row],[DESCONTO]]</f>
        <v>454.08000000000004</v>
      </c>
      <c r="L3833" s="53">
        <f>Tabela6[[#This Row],[CUSTO TOTAL]]/Tabela6[[#This Row],[CONSUMO]]</f>
        <v>5.16</v>
      </c>
      <c r="M3833" s="50">
        <f>Tabela6[[#This Row],[KM ATUAL]]-E3824</f>
        <v>-86876</v>
      </c>
      <c r="N3833" s="51">
        <f>Tabela6[[#This Row],[KM Rodados ]]/Tabela6[[#This Row],[CONSUMO]]</f>
        <v>-987.22727272727275</v>
      </c>
    </row>
    <row r="3834" spans="1:14" x14ac:dyDescent="0.25">
      <c r="A3834" s="47">
        <v>239505</v>
      </c>
      <c r="B3834" s="78">
        <v>45321</v>
      </c>
      <c r="C3834" s="47" t="s">
        <v>40</v>
      </c>
      <c r="D3834" s="49" t="s">
        <v>262</v>
      </c>
      <c r="E3834" s="47">
        <v>182183</v>
      </c>
      <c r="G3834" s="50" t="s">
        <v>244</v>
      </c>
      <c r="H3834" s="51">
        <v>21.49</v>
      </c>
      <c r="J3834" s="51">
        <v>5.49</v>
      </c>
      <c r="K3834" s="74">
        <f>Tabela6[[#This Row],[CONSUMO]]*Tabela6[[#This Row],[VALOR UNIT]]-Tabela6[[#This Row],[DESCONTO]]</f>
        <v>117.98009999999999</v>
      </c>
      <c r="L3834" s="53">
        <f>Tabela6[[#This Row],[CUSTO TOTAL]]/Tabela6[[#This Row],[CONSUMO]]</f>
        <v>5.49</v>
      </c>
      <c r="M3834" s="53" t="e" cm="1">
        <f t="array" ref="M3834">SE</f>
        <v>#NAME?</v>
      </c>
      <c r="N3834" s="49" t="e">
        <f>Tabela6[[#This Row],[KM Rodados ]]/Tabela6[[#This Row],[CONSUMO]]</f>
        <v>#NAME?</v>
      </c>
    </row>
    <row r="3835" spans="1:14" x14ac:dyDescent="0.25">
      <c r="A3835" s="47">
        <v>9570</v>
      </c>
      <c r="B3835" s="78">
        <v>45321</v>
      </c>
      <c r="C3835" s="47" t="s">
        <v>74</v>
      </c>
      <c r="D3835" s="49" t="s">
        <v>299</v>
      </c>
      <c r="E3835" s="47">
        <v>107037</v>
      </c>
      <c r="G3835" s="50" t="s">
        <v>89</v>
      </c>
      <c r="H3835" s="51">
        <v>50</v>
      </c>
      <c r="J3835" s="51">
        <v>5.16</v>
      </c>
      <c r="K3835" s="74">
        <f>Tabela6[[#This Row],[CONSUMO]]*Tabela6[[#This Row],[VALOR UNIT]]-Tabela6[[#This Row],[DESCONTO]]</f>
        <v>258</v>
      </c>
      <c r="L3835" s="53">
        <f>Tabela6[[#This Row],[CUSTO TOTAL]]/Tabela6[[#This Row],[CONSUMO]]</f>
        <v>5.16</v>
      </c>
      <c r="M3835" s="50">
        <f>Tabela6[[#This Row],[KM ATUAL]]-E3818</f>
        <v>-276183</v>
      </c>
      <c r="N3835" s="51">
        <f>Tabela6[[#This Row],[KM Rodados ]]/Tabela6[[#This Row],[CONSUMO]]</f>
        <v>-5523.66</v>
      </c>
    </row>
    <row r="3836" spans="1:14" x14ac:dyDescent="0.25">
      <c r="A3836" s="47">
        <v>237137</v>
      </c>
      <c r="B3836" s="78">
        <v>45322</v>
      </c>
      <c r="C3836" s="47" t="s">
        <v>68</v>
      </c>
      <c r="D3836" s="49" t="s">
        <v>374</v>
      </c>
      <c r="E3836" s="47">
        <v>953237</v>
      </c>
      <c r="G3836" s="50" t="s">
        <v>89</v>
      </c>
      <c r="H3836" s="51">
        <v>533.82000000000005</v>
      </c>
      <c r="J3836" s="51">
        <v>5.59</v>
      </c>
      <c r="K3836" s="74">
        <f>Tabela6[[#This Row],[CONSUMO]]*Tabela6[[#This Row],[VALOR UNIT]]-Tabela6[[#This Row],[DESCONTO]]</f>
        <v>2984.0538000000001</v>
      </c>
      <c r="L3836" s="53">
        <f>Tabela6[[#This Row],[CUSTO TOTAL]]/Tabela6[[#This Row],[CONSUMO]]</f>
        <v>5.59</v>
      </c>
      <c r="M3836" s="50">
        <f>Tabela6[[#This Row],[KM ATUAL]]-E3792</f>
        <v>402449</v>
      </c>
      <c r="N3836" s="51">
        <f>Tabela6[[#This Row],[KM Rodados ]]/Tabela6[[#This Row],[CONSUMO]]</f>
        <v>753.90393765688805</v>
      </c>
    </row>
    <row r="3837" spans="1:14" x14ac:dyDescent="0.25">
      <c r="A3837" s="47">
        <v>9570</v>
      </c>
      <c r="B3837" s="78">
        <v>45322</v>
      </c>
      <c r="C3837" s="47" t="s">
        <v>43</v>
      </c>
      <c r="D3837" s="49" t="s">
        <v>299</v>
      </c>
      <c r="E3837" s="47">
        <v>174951</v>
      </c>
      <c r="G3837" s="50" t="s">
        <v>89</v>
      </c>
      <c r="H3837" s="51">
        <v>35</v>
      </c>
      <c r="J3837" s="51">
        <v>5.16</v>
      </c>
      <c r="K3837" s="74">
        <f>Tabela6[[#This Row],[CONSUMO]]*Tabela6[[#This Row],[VALOR UNIT]]-Tabela6[[#This Row],[DESCONTO]]</f>
        <v>180.6</v>
      </c>
      <c r="L3837" s="53">
        <f>Tabela6[[#This Row],[CUSTO TOTAL]]/Tabela6[[#This Row],[CONSUMO]]</f>
        <v>5.16</v>
      </c>
      <c r="M3837" s="50">
        <f>Tabela6[[#This Row],[KM ATUAL]]-E3818</f>
        <v>-208269</v>
      </c>
      <c r="N3837" s="51">
        <f>Tabela6[[#This Row],[KM Rodados ]]/Tabela6[[#This Row],[CONSUMO]]</f>
        <v>-5950.5428571428574</v>
      </c>
    </row>
    <row r="3838" spans="1:14" x14ac:dyDescent="0.25">
      <c r="A3838" s="47">
        <v>9648</v>
      </c>
      <c r="B3838" s="78">
        <v>45322</v>
      </c>
      <c r="C3838" s="47" t="s">
        <v>43</v>
      </c>
      <c r="D3838" s="49" t="s">
        <v>299</v>
      </c>
      <c r="E3838" s="47">
        <v>175015</v>
      </c>
      <c r="G3838" s="50" t="s">
        <v>89</v>
      </c>
      <c r="H3838" s="51">
        <v>10</v>
      </c>
      <c r="J3838" s="51">
        <v>5.16</v>
      </c>
      <c r="K3838" s="74">
        <f>Tabela6[[#This Row],[CONSUMO]]*Tabela6[[#This Row],[VALOR UNIT]]-Tabela6[[#This Row],[DESCONTO]]</f>
        <v>51.6</v>
      </c>
      <c r="L3838" s="53">
        <f>Tabela6[[#This Row],[CUSTO TOTAL]]/Tabela6[[#This Row],[CONSUMO]]</f>
        <v>5.16</v>
      </c>
      <c r="M3838" s="50">
        <f>Tabela6[[#This Row],[KM ATUAL]]-E3831</f>
        <v>-170193</v>
      </c>
      <c r="N3838" s="51">
        <f>Tabela6[[#This Row],[KM Rodados ]]/Tabela6[[#This Row],[CONSUMO]]</f>
        <v>-17019.3</v>
      </c>
    </row>
    <row r="3839" spans="1:14" x14ac:dyDescent="0.25">
      <c r="A3839" s="47">
        <v>9570</v>
      </c>
      <c r="B3839" s="78">
        <v>45322</v>
      </c>
      <c r="C3839" s="47" t="s">
        <v>9</v>
      </c>
      <c r="D3839" s="49" t="s">
        <v>299</v>
      </c>
      <c r="E3839" s="47">
        <v>646582</v>
      </c>
      <c r="G3839" s="50" t="s">
        <v>89</v>
      </c>
      <c r="H3839" s="51">
        <v>140</v>
      </c>
      <c r="J3839" s="51">
        <v>5.16</v>
      </c>
      <c r="K3839" s="74">
        <f>Tabela6[[#This Row],[CONSUMO]]*Tabela6[[#This Row],[VALOR UNIT]]-Tabela6[[#This Row],[DESCONTO]]</f>
        <v>722.4</v>
      </c>
      <c r="L3839" s="53">
        <f>Tabela6[[#This Row],[CUSTO TOTAL]]/Tabela6[[#This Row],[CONSUMO]]</f>
        <v>5.16</v>
      </c>
      <c r="M3839" s="50">
        <f>Tabela6[[#This Row],[KM ATUAL]]-E3802</f>
        <v>-51038</v>
      </c>
      <c r="N3839" s="51">
        <f>Tabela6[[#This Row],[KM Rodados ]]/Tabela6[[#This Row],[CONSUMO]]</f>
        <v>-364.55714285714288</v>
      </c>
    </row>
    <row r="3840" spans="1:14" x14ac:dyDescent="0.25">
      <c r="A3840" s="47">
        <v>1272011</v>
      </c>
      <c r="B3840" s="78">
        <v>45322</v>
      </c>
      <c r="C3840" s="47" t="s">
        <v>42</v>
      </c>
      <c r="D3840" s="49" t="s">
        <v>408</v>
      </c>
      <c r="E3840" s="47">
        <v>383983</v>
      </c>
      <c r="G3840" s="50" t="s">
        <v>89</v>
      </c>
      <c r="H3840" s="51">
        <v>125.06100000000001</v>
      </c>
      <c r="I3840" s="49">
        <v>106.3</v>
      </c>
      <c r="J3840" s="51">
        <v>6.47</v>
      </c>
      <c r="K3840" s="74">
        <f>Tabela6[[#This Row],[CONSUMO]]*Tabela6[[#This Row],[VALOR UNIT]]-Tabela6[[#This Row],[DESCONTO]]</f>
        <v>702.84467000000006</v>
      </c>
      <c r="L3840" s="53">
        <f>Tabela6[[#This Row],[CUSTO TOTAL]]/Tabela6[[#This Row],[CONSUMO]]</f>
        <v>5.6200147927811228</v>
      </c>
      <c r="M3840" s="50">
        <f>Tabela6[[#This Row],[KM ATUAL]]-E3832</f>
        <v>31609</v>
      </c>
      <c r="N3840" s="51">
        <f>Tabela6[[#This Row],[KM Rodados ]]/Tabela6[[#This Row],[CONSUMO]]</f>
        <v>252.74865865457656</v>
      </c>
    </row>
    <row r="3841" spans="1:14" x14ac:dyDescent="0.25">
      <c r="A3841" s="47">
        <v>9648</v>
      </c>
      <c r="B3841" s="78">
        <v>45322</v>
      </c>
      <c r="C3841" s="47" t="s">
        <v>222</v>
      </c>
      <c r="D3841" s="49" t="s">
        <v>299</v>
      </c>
      <c r="E3841" s="47">
        <v>551364</v>
      </c>
      <c r="G3841" s="50" t="s">
        <v>89</v>
      </c>
      <c r="H3841" s="51">
        <v>110</v>
      </c>
      <c r="J3841" s="51">
        <v>5.16</v>
      </c>
      <c r="K3841" s="74">
        <f>Tabela6[[#This Row],[CONSUMO]]*Tabela6[[#This Row],[VALOR UNIT]]-Tabela6[[#This Row],[DESCONTO]]</f>
        <v>567.6</v>
      </c>
      <c r="L3841" s="53">
        <f>Tabela6[[#This Row],[CUSTO TOTAL]]/Tabela6[[#This Row],[CONSUMO]]</f>
        <v>5.16</v>
      </c>
      <c r="M3841" s="50">
        <f>Tabela6[[#This Row],[KM ATUAL]]-E3812</f>
        <v>369188</v>
      </c>
      <c r="N3841" s="51">
        <f>Tabela6[[#This Row],[KM Rodados ]]/Tabela6[[#This Row],[CONSUMO]]</f>
        <v>3356.2545454545457</v>
      </c>
    </row>
    <row r="3842" spans="1:14" x14ac:dyDescent="0.25">
      <c r="A3842" s="47">
        <v>281128</v>
      </c>
      <c r="B3842" s="78">
        <v>45322</v>
      </c>
      <c r="C3842" s="47" t="s">
        <v>67</v>
      </c>
      <c r="D3842" s="49" t="s">
        <v>273</v>
      </c>
      <c r="E3842" s="47">
        <v>698284</v>
      </c>
      <c r="G3842" s="50" t="s">
        <v>89</v>
      </c>
      <c r="H3842" s="51">
        <v>132</v>
      </c>
      <c r="J3842" s="51">
        <v>5.59</v>
      </c>
      <c r="K3842" s="74">
        <f>Tabela6[[#This Row],[CONSUMO]]*Tabela6[[#This Row],[VALOR UNIT]]-Tabela6[[#This Row],[DESCONTO]]</f>
        <v>737.88</v>
      </c>
      <c r="L3842" s="53">
        <f>Tabela6[[#This Row],[CUSTO TOTAL]]/Tabela6[[#This Row],[CONSUMO]]</f>
        <v>5.59</v>
      </c>
      <c r="M3842" s="50">
        <f>Tabela6[[#This Row],[KM ATUAL]]-E3808</f>
        <v>-44092</v>
      </c>
      <c r="N3842" s="51">
        <f>Tabela6[[#This Row],[KM Rodados ]]/Tabela6[[#This Row],[CONSUMO]]</f>
        <v>-334.030303030303</v>
      </c>
    </row>
    <row r="3843" spans="1:14" x14ac:dyDescent="0.25">
      <c r="A3843" s="47">
        <v>601253</v>
      </c>
      <c r="B3843" s="78">
        <v>45322</v>
      </c>
      <c r="C3843" s="47" t="s">
        <v>67</v>
      </c>
      <c r="D3843" s="49" t="s">
        <v>255</v>
      </c>
      <c r="E3843" s="47">
        <v>968235</v>
      </c>
      <c r="G3843" s="50" t="s">
        <v>89</v>
      </c>
      <c r="H3843" s="51">
        <v>50</v>
      </c>
      <c r="J3843" s="51">
        <v>6.16</v>
      </c>
      <c r="K3843" s="74">
        <f>Tabela6[[#This Row],[CONSUMO]]*Tabela6[[#This Row],[VALOR UNIT]]-Tabela6[[#This Row],[DESCONTO]]</f>
        <v>308</v>
      </c>
      <c r="L3843" s="53">
        <f>Tabela6[[#This Row],[CUSTO TOTAL]]/Tabela6[[#This Row],[CONSUMO]]</f>
        <v>6.16</v>
      </c>
      <c r="M3843" s="53" t="e">
        <f t="array" ref="M3843">SE</f>
        <v>#NAME?</v>
      </c>
      <c r="N3843" s="49" t="e">
        <f>Tabela6[[#This Row],[KM Rodados ]]/Tabela6[[#This Row],[CONSUMO]]</f>
        <v>#NAME?</v>
      </c>
    </row>
    <row r="3844" spans="1:14" x14ac:dyDescent="0.25">
      <c r="A3844" s="47">
        <v>150959</v>
      </c>
      <c r="B3844" s="78">
        <v>45322</v>
      </c>
      <c r="C3844" s="47" t="s">
        <v>39</v>
      </c>
      <c r="D3844" s="49" t="s">
        <v>253</v>
      </c>
      <c r="E3844" s="47">
        <v>117885</v>
      </c>
      <c r="G3844" s="50" t="s">
        <v>89</v>
      </c>
      <c r="H3844" s="51">
        <v>99.19</v>
      </c>
      <c r="J3844" s="51">
        <v>5.99</v>
      </c>
      <c r="K3844" s="74">
        <f>Tabela6[[#This Row],[CONSUMO]]*Tabela6[[#This Row],[VALOR UNIT]]-Tabela6[[#This Row],[DESCONTO]]</f>
        <v>594.1481</v>
      </c>
      <c r="L3844" s="53">
        <f>Tabela6[[#This Row],[CUSTO TOTAL]]/Tabela6[[#This Row],[CONSUMO]]</f>
        <v>5.99</v>
      </c>
      <c r="M3844" s="50">
        <f>Tabela6[[#This Row],[KM ATUAL]]-E3713</f>
        <v>-195281</v>
      </c>
      <c r="N3844" s="51">
        <f>Tabela6[[#This Row],[KM Rodados ]]/Tabela6[[#This Row],[CONSUMO]]</f>
        <v>-1968.7569311422524</v>
      </c>
    </row>
    <row r="3845" spans="1:14" x14ac:dyDescent="0.25">
      <c r="A3845" s="47">
        <v>239680</v>
      </c>
      <c r="B3845" s="78">
        <v>45322</v>
      </c>
      <c r="C3845" s="47" t="s">
        <v>72</v>
      </c>
      <c r="D3845" s="49" t="s">
        <v>262</v>
      </c>
      <c r="E3845" s="47">
        <v>439176</v>
      </c>
      <c r="G3845" s="50" t="s">
        <v>89</v>
      </c>
      <c r="H3845" s="51">
        <v>21.96</v>
      </c>
      <c r="J3845" s="51">
        <v>5.99</v>
      </c>
      <c r="K3845" s="74">
        <f>Tabela6[[#This Row],[CONSUMO]]*Tabela6[[#This Row],[VALOR UNIT]]-Tabela6[[#This Row],[DESCONTO]]</f>
        <v>131.54040000000001</v>
      </c>
      <c r="L3845" s="53">
        <f>Tabela6[[#This Row],[CUSTO TOTAL]]/Tabela6[[#This Row],[CONSUMO]]</f>
        <v>5.99</v>
      </c>
      <c r="M3845" s="50">
        <f>Tabela6[[#This Row],[KM ATUAL]]-E3825</f>
        <v>262552</v>
      </c>
      <c r="N3845" s="51">
        <f>Tabela6[[#This Row],[KM Rodados ]]/Tabela6[[#This Row],[CONSUMO]]</f>
        <v>11955.91985428051</v>
      </c>
    </row>
    <row r="3846" spans="1:14" x14ac:dyDescent="0.25">
      <c r="A3846" s="47">
        <v>9648</v>
      </c>
      <c r="B3846" s="78">
        <v>45322</v>
      </c>
      <c r="C3846" s="47" t="s">
        <v>72</v>
      </c>
      <c r="D3846" s="49" t="s">
        <v>299</v>
      </c>
      <c r="E3846" s="47">
        <v>439626</v>
      </c>
      <c r="G3846" s="50" t="s">
        <v>89</v>
      </c>
      <c r="H3846" s="51">
        <v>48</v>
      </c>
      <c r="J3846" s="51">
        <v>5.16</v>
      </c>
      <c r="K3846" s="74">
        <f>Tabela6[[#This Row],[CONSUMO]]*Tabela6[[#This Row],[VALOR UNIT]]-Tabela6[[#This Row],[DESCONTO]]</f>
        <v>247.68</v>
      </c>
      <c r="L3846" s="53">
        <f>Tabela6[[#This Row],[CUSTO TOTAL]]/Tabela6[[#This Row],[CONSUMO]]</f>
        <v>5.16</v>
      </c>
      <c r="M3846" s="50">
        <f>Tabela6[[#This Row],[KM ATUAL]]-E3834</f>
        <v>257443</v>
      </c>
      <c r="N3846" s="51">
        <f>Tabela6[[#This Row],[KM Rodados ]]/Tabela6[[#This Row],[CONSUMO]]</f>
        <v>5363.395833333333</v>
      </c>
    </row>
    <row r="3847" spans="1:14" x14ac:dyDescent="0.25">
      <c r="A3847" s="47">
        <v>9648</v>
      </c>
      <c r="B3847" s="78">
        <v>45322</v>
      </c>
      <c r="C3847" s="47" t="s">
        <v>71</v>
      </c>
      <c r="D3847" s="49" t="s">
        <v>299</v>
      </c>
      <c r="E3847" s="47">
        <v>148937</v>
      </c>
      <c r="G3847" s="50" t="s">
        <v>89</v>
      </c>
      <c r="H3847" s="51">
        <v>308</v>
      </c>
      <c r="J3847" s="51">
        <v>5.16</v>
      </c>
      <c r="K3847" s="74">
        <f>Tabela6[[#This Row],[CONSUMO]]*Tabela6[[#This Row],[VALOR UNIT]]-Tabela6[[#This Row],[DESCONTO]]</f>
        <v>1589.28</v>
      </c>
      <c r="L3847" s="53">
        <f>Tabela6[[#This Row],[CUSTO TOTAL]]/Tabela6[[#This Row],[CONSUMO]]</f>
        <v>5.16</v>
      </c>
      <c r="M3847" s="50">
        <f>Tabela6[[#This Row],[KM ATUAL]]-E3806</f>
        <v>764</v>
      </c>
      <c r="N3847" s="51">
        <f>Tabela6[[#This Row],[KM Rodados ]]/Tabela6[[#This Row],[CONSUMO]]</f>
        <v>2.4805194805194803</v>
      </c>
    </row>
    <row r="3848" spans="1:14" x14ac:dyDescent="0.25">
      <c r="A3848" s="47">
        <v>9570</v>
      </c>
      <c r="B3848" s="78">
        <v>45322</v>
      </c>
      <c r="C3848" s="47" t="s">
        <v>64</v>
      </c>
      <c r="D3848" s="49" t="s">
        <v>299</v>
      </c>
      <c r="E3848" s="47">
        <v>109267</v>
      </c>
      <c r="G3848" s="50" t="s">
        <v>89</v>
      </c>
      <c r="H3848" s="51">
        <v>85</v>
      </c>
      <c r="J3848" s="51">
        <v>5.16</v>
      </c>
      <c r="K3848" s="74">
        <f>Tabela6[[#This Row],[CONSUMO]]*Tabela6[[#This Row],[VALOR UNIT]]-Tabela6[[#This Row],[DESCONTO]]</f>
        <v>438.6</v>
      </c>
      <c r="L3848" s="53">
        <f>Tabela6[[#This Row],[CUSTO TOTAL]]/Tabela6[[#This Row],[CONSUMO]]</f>
        <v>5.16</v>
      </c>
      <c r="M3848" s="50">
        <f>Tabela6[[#This Row],[KM ATUAL]]-E3434</f>
        <v>98219</v>
      </c>
      <c r="N3848" s="51">
        <f>Tabela6[[#This Row],[KM Rodados ]]/Tabela6[[#This Row],[CONSUMO]]</f>
        <v>1155.5176470588235</v>
      </c>
    </row>
    <row r="3849" spans="1:14" x14ac:dyDescent="0.25">
      <c r="A3849" s="47">
        <v>9648</v>
      </c>
      <c r="B3849" s="78">
        <v>45322</v>
      </c>
      <c r="C3849" s="47" t="s">
        <v>41</v>
      </c>
      <c r="D3849" s="49" t="s">
        <v>299</v>
      </c>
      <c r="E3849" s="47">
        <v>696728</v>
      </c>
      <c r="G3849" s="50" t="s">
        <v>89</v>
      </c>
      <c r="H3849" s="51">
        <v>42</v>
      </c>
      <c r="J3849" s="51">
        <v>5.16</v>
      </c>
      <c r="K3849" s="74">
        <f>Tabela6[[#This Row],[CONSUMO]]*Tabela6[[#This Row],[VALOR UNIT]]-Tabela6[[#This Row],[DESCONTO]]</f>
        <v>216.72</v>
      </c>
      <c r="L3849" s="53">
        <f>Tabela6[[#This Row],[CUSTO TOTAL]]/Tabela6[[#This Row],[CONSUMO]]</f>
        <v>5.16</v>
      </c>
      <c r="M3849" s="50">
        <f>Tabela6[[#This Row],[KM ATUAL]]-E3721</f>
        <v>51604</v>
      </c>
      <c r="N3849" s="51">
        <f>Tabela6[[#This Row],[KM Rodados ]]/Tabela6[[#This Row],[CONSUMO]]</f>
        <v>1228.6666666666667</v>
      </c>
    </row>
    <row r="3850" spans="1:14" x14ac:dyDescent="0.25">
      <c r="A3850" s="47">
        <v>9570</v>
      </c>
      <c r="B3850" s="78">
        <v>45322</v>
      </c>
      <c r="C3850" s="47" t="s">
        <v>10</v>
      </c>
      <c r="D3850" s="49" t="s">
        <v>299</v>
      </c>
      <c r="E3850" s="47">
        <v>742745</v>
      </c>
      <c r="G3850" s="50" t="s">
        <v>89</v>
      </c>
      <c r="H3850" s="51">
        <v>104</v>
      </c>
      <c r="J3850" s="51">
        <v>5.16</v>
      </c>
      <c r="K3850" s="74">
        <f>Tabela6[[#This Row],[CONSUMO]]*Tabela6[[#This Row],[VALOR UNIT]]-Tabela6[[#This Row],[DESCONTO]]</f>
        <v>536.64</v>
      </c>
      <c r="L3850" s="53">
        <f>Tabela6[[#This Row],[CUSTO TOTAL]]/Tabela6[[#This Row],[CONSUMO]]</f>
        <v>5.16</v>
      </c>
      <c r="M3850" s="50">
        <f>Tabela6[[#This Row],[KM ATUAL]]-E3813</f>
        <v>636275</v>
      </c>
      <c r="N3850" s="51">
        <f>Tabela6[[#This Row],[KM Rodados ]]/Tabela6[[#This Row],[CONSUMO]]</f>
        <v>6118.0288461538457</v>
      </c>
    </row>
    <row r="3851" spans="1:14" x14ac:dyDescent="0.25">
      <c r="A3851" s="47">
        <v>9648</v>
      </c>
      <c r="B3851" s="78">
        <v>45322</v>
      </c>
      <c r="C3851" s="47" t="s">
        <v>206</v>
      </c>
      <c r="D3851" s="49" t="s">
        <v>299</v>
      </c>
      <c r="E3851" s="47">
        <v>993597</v>
      </c>
      <c r="G3851" s="50" t="s">
        <v>89</v>
      </c>
      <c r="H3851" s="51">
        <v>250</v>
      </c>
      <c r="J3851" s="51">
        <v>5.16</v>
      </c>
      <c r="K3851" s="74">
        <f>Tabela6[[#This Row],[CONSUMO]]*Tabela6[[#This Row],[VALOR UNIT]]-Tabela6[[#This Row],[DESCONTO]]</f>
        <v>1290</v>
      </c>
      <c r="L3851" s="53">
        <f>Tabela6[[#This Row],[CUSTO TOTAL]]/Tabela6[[#This Row],[CONSUMO]]</f>
        <v>5.16</v>
      </c>
      <c r="M3851" s="50">
        <f>Tabela6[[#This Row],[KM ATUAL]]-E3812</f>
        <v>811421</v>
      </c>
      <c r="N3851" s="51">
        <f>Tabela6[[#This Row],[KM Rodados ]]/Tabela6[[#This Row],[CONSUMO]]</f>
        <v>3245.6840000000002</v>
      </c>
    </row>
    <row r="3852" spans="1:14" x14ac:dyDescent="0.25">
      <c r="A3852" s="47">
        <v>601127</v>
      </c>
      <c r="B3852" s="78">
        <v>45322</v>
      </c>
      <c r="C3852" s="47" t="s">
        <v>16</v>
      </c>
      <c r="D3852" s="49" t="s">
        <v>255</v>
      </c>
      <c r="E3852" s="47">
        <v>314062</v>
      </c>
      <c r="G3852" s="50" t="s">
        <v>89</v>
      </c>
      <c r="H3852" s="51">
        <v>65.959999999999994</v>
      </c>
      <c r="J3852" s="51">
        <v>6.16</v>
      </c>
      <c r="K3852" s="74">
        <f>Tabela6[[#This Row],[CONSUMO]]*Tabela6[[#This Row],[VALOR UNIT]]-Tabela6[[#This Row],[DESCONTO]]</f>
        <v>406.31359999999995</v>
      </c>
      <c r="L3852" s="53">
        <f>Tabela6[[#This Row],[CUSTO TOTAL]]/Tabela6[[#This Row],[CONSUMO]]</f>
        <v>6.16</v>
      </c>
      <c r="M3852" s="53" t="e">
        <f t="array" ref="M3852">SE</f>
        <v>#NAME?</v>
      </c>
      <c r="N3852" s="49" t="e">
        <f>Tabela6[[#This Row],[KM Rodados ]]/Tabela6[[#This Row],[CONSUMO]]</f>
        <v>#NAME?</v>
      </c>
    </row>
    <row r="3853" spans="1:14" x14ac:dyDescent="0.25">
      <c r="A3853" s="47">
        <v>9648</v>
      </c>
      <c r="B3853" s="78">
        <v>45322</v>
      </c>
      <c r="C3853" s="47" t="s">
        <v>17</v>
      </c>
      <c r="D3853" s="49" t="s">
        <v>299</v>
      </c>
      <c r="E3853" s="47">
        <v>393342</v>
      </c>
      <c r="G3853" s="50" t="s">
        <v>89</v>
      </c>
      <c r="H3853" s="51">
        <v>90</v>
      </c>
      <c r="J3853" s="51">
        <v>5.16</v>
      </c>
      <c r="K3853" s="74">
        <f>Tabela6[[#This Row],[CONSUMO]]*Tabela6[[#This Row],[VALOR UNIT]]-Tabela6[[#This Row],[DESCONTO]]</f>
        <v>464.40000000000003</v>
      </c>
      <c r="L3853" s="53">
        <f>Tabela6[[#This Row],[CUSTO TOTAL]]/Tabela6[[#This Row],[CONSUMO]]</f>
        <v>5.16</v>
      </c>
      <c r="M3853" s="50">
        <f>Tabela6[[#This Row],[KM ATUAL]]-E3821</f>
        <v>42153</v>
      </c>
      <c r="N3853" s="51">
        <f>Tabela6[[#This Row],[KM Rodados ]]/Tabela6[[#This Row],[CONSUMO]]</f>
        <v>468.36666666666667</v>
      </c>
    </row>
    <row r="3854" spans="1:14" x14ac:dyDescent="0.25">
      <c r="A3854" s="47">
        <v>1227967</v>
      </c>
      <c r="B3854" s="78">
        <v>45322</v>
      </c>
      <c r="C3854" s="47" t="s">
        <v>19</v>
      </c>
      <c r="D3854" s="49" t="s">
        <v>279</v>
      </c>
      <c r="E3854" s="47">
        <v>353025</v>
      </c>
      <c r="G3854" s="50" t="s">
        <v>89</v>
      </c>
      <c r="H3854" s="51">
        <v>130.011</v>
      </c>
      <c r="J3854" s="51">
        <v>5.55</v>
      </c>
      <c r="K3854" s="74">
        <f>Tabela6[[#This Row],[CONSUMO]]*Tabela6[[#This Row],[VALOR UNIT]]-Tabela6[[#This Row],[DESCONTO]]</f>
        <v>721.56104999999991</v>
      </c>
      <c r="L3854" s="53">
        <f>Tabela6[[#This Row],[CUSTO TOTAL]]/Tabela6[[#This Row],[CONSUMO]]</f>
        <v>5.55</v>
      </c>
      <c r="M3854" s="50">
        <f>Tabela6[[#This Row],[KM ATUAL]]-E3843</f>
        <v>-615210</v>
      </c>
      <c r="N3854" s="51">
        <f>Tabela6[[#This Row],[KM Rodados ]]/Tabela6[[#This Row],[CONSUMO]]</f>
        <v>-4731.9842167201241</v>
      </c>
    </row>
    <row r="3855" spans="1:14" x14ac:dyDescent="0.25">
      <c r="A3855" s="47">
        <v>194109</v>
      </c>
      <c r="B3855" s="78">
        <v>45322</v>
      </c>
      <c r="C3855" s="47" t="s">
        <v>20</v>
      </c>
      <c r="D3855" s="49" t="s">
        <v>263</v>
      </c>
      <c r="E3855" s="47">
        <v>295801</v>
      </c>
      <c r="G3855" s="50" t="s">
        <v>89</v>
      </c>
      <c r="H3855" s="51">
        <v>73.98</v>
      </c>
      <c r="I3855" s="49">
        <v>7.4</v>
      </c>
      <c r="J3855" s="51">
        <v>5.84</v>
      </c>
      <c r="K3855" s="74">
        <f>Tabela6[[#This Row],[CONSUMO]]*Tabela6[[#This Row],[VALOR UNIT]]-Tabela6[[#This Row],[DESCONTO]]</f>
        <v>424.64320000000004</v>
      </c>
      <c r="L3855" s="53">
        <f>Tabela6[[#This Row],[CUSTO TOTAL]]/Tabela6[[#This Row],[CONSUMO]]</f>
        <v>5.7399729656663965</v>
      </c>
      <c r="M3855" s="50">
        <f>Tabela6[[#This Row],[KM ATUAL]]-E3799</f>
        <v>121771</v>
      </c>
      <c r="N3855" s="51">
        <f>Tabela6[[#This Row],[KM Rodados ]]/Tabela6[[#This Row],[CONSUMO]]</f>
        <v>1645.9989186266557</v>
      </c>
    </row>
    <row r="3856" spans="1:14" x14ac:dyDescent="0.25">
      <c r="A3856" s="47">
        <v>9648</v>
      </c>
      <c r="B3856" s="78">
        <v>45322</v>
      </c>
      <c r="C3856" s="47" t="s">
        <v>20</v>
      </c>
      <c r="D3856" s="49" t="s">
        <v>299</v>
      </c>
      <c r="E3856" s="47">
        <v>296203</v>
      </c>
      <c r="G3856" s="50" t="s">
        <v>89</v>
      </c>
      <c r="H3856" s="51">
        <v>36</v>
      </c>
      <c r="J3856" s="51">
        <v>5.16</v>
      </c>
      <c r="K3856" s="74">
        <f>Tabela6[[#This Row],[CONSUMO]]*Tabela6[[#This Row],[VALOR UNIT]]-Tabela6[[#This Row],[DESCONTO]]</f>
        <v>185.76</v>
      </c>
      <c r="L3856" s="53">
        <f>Tabela6[[#This Row],[CUSTO TOTAL]]/Tabela6[[#This Row],[CONSUMO]]</f>
        <v>5.16</v>
      </c>
      <c r="M3856" s="50">
        <f>Tabela6[[#This Row],[KM ATUAL]]-E3836</f>
        <v>-657034</v>
      </c>
      <c r="N3856" s="51">
        <f>Tabela6[[#This Row],[KM Rodados ]]/Tabela6[[#This Row],[CONSUMO]]</f>
        <v>-18250.944444444445</v>
      </c>
    </row>
    <row r="3857" spans="1:14" x14ac:dyDescent="0.25">
      <c r="A3857" s="47">
        <v>9648</v>
      </c>
      <c r="B3857" s="78">
        <v>45322</v>
      </c>
      <c r="C3857" s="47" t="s">
        <v>74</v>
      </c>
      <c r="D3857" s="49" t="s">
        <v>299</v>
      </c>
      <c r="E3857" s="47">
        <v>107934</v>
      </c>
      <c r="G3857" s="50" t="s">
        <v>89</v>
      </c>
      <c r="H3857" s="51">
        <v>99</v>
      </c>
      <c r="J3857" s="51">
        <v>5.16</v>
      </c>
      <c r="K3857" s="74">
        <f>Tabela6[[#This Row],[CONSUMO]]*Tabela6[[#This Row],[VALOR UNIT]]-Tabela6[[#This Row],[DESCONTO]]</f>
        <v>510.84000000000003</v>
      </c>
      <c r="L3857" s="53">
        <f>Tabela6[[#This Row],[CUSTO TOTAL]]/Tabela6[[#This Row],[CONSUMO]]</f>
        <v>5.16</v>
      </c>
      <c r="M3857" s="50">
        <f>Tabela6[[#This Row],[KM ATUAL]]-E3830</f>
        <v>-285057</v>
      </c>
      <c r="N3857" s="51">
        <f>Tabela6[[#This Row],[KM Rodados ]]/Tabela6[[#This Row],[CONSUMO]]</f>
        <v>-2879.3636363636365</v>
      </c>
    </row>
    <row r="3858" spans="1:14" x14ac:dyDescent="0.25">
      <c r="A3858" s="47">
        <v>239703</v>
      </c>
      <c r="B3858" s="78">
        <v>45322</v>
      </c>
      <c r="C3858" s="47" t="s">
        <v>354</v>
      </c>
      <c r="D3858" s="49" t="s">
        <v>262</v>
      </c>
      <c r="E3858" s="47">
        <v>20613</v>
      </c>
      <c r="G3858" s="50" t="s">
        <v>241</v>
      </c>
      <c r="H3858" s="51">
        <v>19.247</v>
      </c>
      <c r="I3858" s="49">
        <v>6.93</v>
      </c>
      <c r="J3858" s="51">
        <v>3.69</v>
      </c>
      <c r="K3858" s="74">
        <f>Tabela6[[#This Row],[CONSUMO]]*Tabela6[[#This Row],[VALOR UNIT]]-Tabela6[[#This Row],[DESCONTO]]</f>
        <v>64.091430000000003</v>
      </c>
      <c r="L3858" s="53">
        <f>Tabela6[[#This Row],[CUSTO TOTAL]]/Tabela6[[#This Row],[CONSUMO]]</f>
        <v>3.329943887359069</v>
      </c>
      <c r="M3858" s="53"/>
      <c r="N3858" s="49"/>
    </row>
    <row r="3859" spans="1:14" x14ac:dyDescent="0.25">
      <c r="A3859" s="47">
        <v>9570</v>
      </c>
      <c r="B3859" s="78">
        <v>45322</v>
      </c>
      <c r="C3859" s="47" t="s">
        <v>354</v>
      </c>
      <c r="D3859" s="49" t="s">
        <v>299</v>
      </c>
      <c r="E3859" s="47">
        <v>20610</v>
      </c>
      <c r="G3859" s="50" t="s">
        <v>89</v>
      </c>
      <c r="H3859" s="51">
        <v>264</v>
      </c>
      <c r="J3859" s="51">
        <v>5.16</v>
      </c>
      <c r="K3859" s="74">
        <f>Tabela6[[#This Row],[CONSUMO]]*Tabela6[[#This Row],[VALOR UNIT]]-Tabela6[[#This Row],[DESCONTO]]</f>
        <v>1362.24</v>
      </c>
      <c r="L3859" s="53">
        <f>Tabela6[[#This Row],[CUSTO TOTAL]]/Tabela6[[#This Row],[CONSUMO]]</f>
        <v>5.16</v>
      </c>
      <c r="M3859" s="50">
        <f>Tabela6[[#This Row],[KM ATUAL]]-E3808</f>
        <v>-721766</v>
      </c>
      <c r="N3859" s="51">
        <f>Tabela6[[#This Row],[KM Rodados ]]/Tabela6[[#This Row],[CONSUMO]]</f>
        <v>-2733.962121212121</v>
      </c>
    </row>
    <row r="3860" spans="1:14" x14ac:dyDescent="0.25">
      <c r="A3860" s="47">
        <v>239704</v>
      </c>
      <c r="B3860" s="78">
        <v>45322</v>
      </c>
      <c r="C3860" s="47" t="s">
        <v>401</v>
      </c>
      <c r="D3860" s="49" t="s">
        <v>262</v>
      </c>
      <c r="E3860" s="47">
        <v>59003</v>
      </c>
      <c r="G3860" s="50" t="s">
        <v>241</v>
      </c>
      <c r="H3860" s="51">
        <v>23.751999999999999</v>
      </c>
      <c r="I3860" s="49">
        <v>8.5500000000000007</v>
      </c>
      <c r="J3860" s="51">
        <v>3.69</v>
      </c>
      <c r="K3860" s="74">
        <f>Tabela6[[#This Row],[CONSUMO]]*Tabela6[[#This Row],[VALOR UNIT]]-Tabela6[[#This Row],[DESCONTO]]</f>
        <v>79.094880000000003</v>
      </c>
      <c r="L3860" s="53">
        <f>Tabela6[[#This Row],[CUSTO TOTAL]]/Tabela6[[#This Row],[CONSUMO]]</f>
        <v>3.3300303132367803</v>
      </c>
      <c r="M3860" s="53"/>
      <c r="N3860" s="49"/>
    </row>
    <row r="3861" spans="1:14" x14ac:dyDescent="0.25">
      <c r="A3861" s="47">
        <v>697320</v>
      </c>
      <c r="B3861" s="78">
        <v>45322</v>
      </c>
      <c r="C3861" s="47" t="s">
        <v>401</v>
      </c>
      <c r="D3861" s="49" t="s">
        <v>357</v>
      </c>
      <c r="E3861" s="47">
        <v>6308</v>
      </c>
      <c r="G3861" s="50" t="s">
        <v>89</v>
      </c>
      <c r="H3861" s="51">
        <v>109.19</v>
      </c>
      <c r="J3861" s="51">
        <v>5.69</v>
      </c>
      <c r="K3861" s="74">
        <f>Tabela6[[#This Row],[CONSUMO]]*Tabela6[[#This Row],[VALOR UNIT]]-Tabela6[[#This Row],[DESCONTO]]</f>
        <v>621.29110000000003</v>
      </c>
      <c r="L3861" s="53">
        <f>Tabela6[[#This Row],[CUSTO TOTAL]]/Tabela6[[#This Row],[CONSUMO]]</f>
        <v>5.69</v>
      </c>
      <c r="M3861" s="50">
        <f>Tabela6[[#This Row],[KM ATUAL]]-E3827</f>
        <v>-324305</v>
      </c>
      <c r="N3861" s="51">
        <f>Tabela6[[#This Row],[KM Rodados ]]/Tabela6[[#This Row],[CONSUMO]]</f>
        <v>-2970.0979943218244</v>
      </c>
    </row>
    <row r="3862" spans="1:14" x14ac:dyDescent="0.25">
      <c r="A3862" s="47">
        <v>9570</v>
      </c>
      <c r="B3862" s="78">
        <v>45322</v>
      </c>
      <c r="C3862" s="47" t="s">
        <v>401</v>
      </c>
      <c r="D3862" s="49" t="s">
        <v>299</v>
      </c>
      <c r="E3862" s="47">
        <v>5900</v>
      </c>
      <c r="G3862" s="50" t="s">
        <v>89</v>
      </c>
      <c r="H3862" s="51">
        <v>70</v>
      </c>
      <c r="J3862" s="51">
        <v>5.16</v>
      </c>
      <c r="K3862" s="74">
        <f>Tabela6[[#This Row],[CONSUMO]]*Tabela6[[#This Row],[VALOR UNIT]]-Tabela6[[#This Row],[DESCONTO]]</f>
        <v>361.2</v>
      </c>
      <c r="L3862" s="53">
        <f>Tabela6[[#This Row],[CUSTO TOTAL]]/Tabela6[[#This Row],[CONSUMO]]</f>
        <v>5.16</v>
      </c>
      <c r="M3862" s="50">
        <f>Tabela6[[#This Row],[KM ATUAL]]-E3853</f>
        <v>-387442</v>
      </c>
      <c r="N3862" s="51">
        <f>Tabela6[[#This Row],[KM Rodados ]]/Tabela6[[#This Row],[CONSUMO]]</f>
        <v>-5534.8857142857141</v>
      </c>
    </row>
    <row r="3863" spans="1:14" x14ac:dyDescent="0.25">
      <c r="A3863" s="47">
        <v>239923</v>
      </c>
      <c r="B3863" s="78">
        <v>45323</v>
      </c>
      <c r="C3863" s="47" t="s">
        <v>43</v>
      </c>
      <c r="D3863" s="49" t="s">
        <v>262</v>
      </c>
      <c r="E3863" s="47">
        <v>175135</v>
      </c>
      <c r="G3863" s="50" t="s">
        <v>89</v>
      </c>
      <c r="H3863" s="51">
        <v>13.371</v>
      </c>
      <c r="J3863" s="51">
        <v>5.99</v>
      </c>
      <c r="K3863" s="74">
        <f>Tabela6[[#This Row],[CONSUMO]]*Tabela6[[#This Row],[VALOR UNIT]]-Tabela6[[#This Row],[DESCONTO]]</f>
        <v>80.092290000000006</v>
      </c>
      <c r="L3863" s="53">
        <f>Tabela6[[#This Row],[CUSTO TOTAL]]/Tabela6[[#This Row],[CONSUMO]]</f>
        <v>5.99</v>
      </c>
      <c r="M3863" s="50">
        <f>Tabela6[[#This Row],[KM ATUAL]]-E3858</f>
        <v>154522</v>
      </c>
      <c r="N3863" s="51">
        <f>Tabela6[[#This Row],[KM Rodados ]]/Tabela6[[#This Row],[CONSUMO]]</f>
        <v>11556.502879365791</v>
      </c>
    </row>
    <row r="3864" spans="1:14" x14ac:dyDescent="0.25">
      <c r="A3864" s="47">
        <v>9648</v>
      </c>
      <c r="B3864" s="78">
        <v>45323</v>
      </c>
      <c r="C3864" s="47" t="s">
        <v>394</v>
      </c>
      <c r="D3864" s="49" t="s">
        <v>299</v>
      </c>
      <c r="E3864" s="47">
        <v>885084</v>
      </c>
      <c r="G3864" s="50" t="s">
        <v>89</v>
      </c>
      <c r="H3864" s="51">
        <v>94</v>
      </c>
      <c r="J3864" s="51">
        <v>5.16</v>
      </c>
      <c r="K3864" s="74">
        <f>Tabela6[[#This Row],[CONSUMO]]*Tabela6[[#This Row],[VALOR UNIT]]-Tabela6[[#This Row],[DESCONTO]]</f>
        <v>485.04</v>
      </c>
      <c r="L3864" s="53">
        <f>Tabela6[[#This Row],[CUSTO TOTAL]]/Tabela6[[#This Row],[CONSUMO]]</f>
        <v>5.16</v>
      </c>
      <c r="M3864" s="51">
        <f>Tabela6[[#This Row],[KM ATUAL]]-E3825</f>
        <v>708460</v>
      </c>
      <c r="N3864" s="51">
        <f>Tabela6[[#This Row],[KM Rodados ]]/Tabela6[[#This Row],[CONSUMO]]</f>
        <v>7536.8085106382978</v>
      </c>
    </row>
    <row r="3865" spans="1:14" x14ac:dyDescent="0.25">
      <c r="A3865" s="47">
        <v>9648</v>
      </c>
      <c r="B3865" s="78">
        <v>45323</v>
      </c>
      <c r="C3865" s="47" t="s">
        <v>22</v>
      </c>
      <c r="D3865" s="49" t="s">
        <v>299</v>
      </c>
      <c r="E3865" s="47">
        <v>351615</v>
      </c>
      <c r="G3865" s="50" t="s">
        <v>89</v>
      </c>
      <c r="H3865" s="51">
        <v>100</v>
      </c>
      <c r="J3865" s="51">
        <v>5.16</v>
      </c>
      <c r="K3865" s="74">
        <f>Tabela6[[#This Row],[CONSUMO]]*Tabela6[[#This Row],[VALOR UNIT]]-Tabela6[[#This Row],[DESCONTO]]</f>
        <v>516</v>
      </c>
      <c r="L3865" s="53">
        <f>Tabela6[[#This Row],[CUSTO TOTAL]]/Tabela6[[#This Row],[CONSUMO]]</f>
        <v>5.16</v>
      </c>
      <c r="M3865" s="50">
        <f>Tabela6[[#This Row],[KM ATUAL]]-E3834</f>
        <v>169432</v>
      </c>
      <c r="N3865" s="51">
        <f>Tabela6[[#This Row],[KM Rodados ]]/Tabela6[[#This Row],[CONSUMO]]</f>
        <v>1694.32</v>
      </c>
    </row>
    <row r="3866" spans="1:14" x14ac:dyDescent="0.25">
      <c r="A3866" s="47">
        <v>451820</v>
      </c>
      <c r="B3866" s="78">
        <v>45323</v>
      </c>
      <c r="C3866" s="47" t="s">
        <v>203</v>
      </c>
      <c r="D3866" s="49" t="s">
        <v>309</v>
      </c>
      <c r="E3866" s="47">
        <v>139207</v>
      </c>
      <c r="G3866" s="50" t="s">
        <v>244</v>
      </c>
      <c r="H3866" s="51">
        <v>36.771000000000001</v>
      </c>
      <c r="J3866" s="51">
        <v>5.35</v>
      </c>
      <c r="K3866" s="74">
        <f>Tabela6[[#This Row],[CONSUMO]]*Tabela6[[#This Row],[VALOR UNIT]]-Tabela6[[#This Row],[DESCONTO]]</f>
        <v>196.72485</v>
      </c>
      <c r="L3866" s="53">
        <f>Tabela6[[#This Row],[CUSTO TOTAL]]/Tabela6[[#This Row],[CONSUMO]]</f>
        <v>5.35</v>
      </c>
      <c r="M3866" s="53" t="e" cm="1">
        <f t="array" ref="M3866">SE</f>
        <v>#NAME?</v>
      </c>
      <c r="N3866" s="49" t="e">
        <f>Tabela6[[#This Row],[KM Rodados ]]/Tabela6[[#This Row],[CONSUMO]]</f>
        <v>#NAME?</v>
      </c>
    </row>
    <row r="3867" spans="1:14" x14ac:dyDescent="0.25">
      <c r="A3867" s="47">
        <v>9676</v>
      </c>
      <c r="B3867" s="78">
        <v>45323</v>
      </c>
      <c r="C3867" s="47" t="s">
        <v>41</v>
      </c>
      <c r="D3867" s="49" t="s">
        <v>299</v>
      </c>
      <c r="E3867" s="47">
        <v>697189</v>
      </c>
      <c r="G3867" s="50" t="s">
        <v>89</v>
      </c>
      <c r="H3867" s="51">
        <v>112</v>
      </c>
      <c r="J3867" s="51">
        <v>5.15</v>
      </c>
      <c r="K3867" s="74">
        <f>Tabela6[[#This Row],[CONSUMO]]*Tabela6[[#This Row],[VALOR UNIT]]-Tabela6[[#This Row],[DESCONTO]]</f>
        <v>576.80000000000007</v>
      </c>
      <c r="L3867" s="53">
        <f>Tabela6[[#This Row],[CUSTO TOTAL]]/Tabela6[[#This Row],[CONSUMO]]</f>
        <v>5.15</v>
      </c>
      <c r="M3867" s="50">
        <f>Tabela6[[#This Row],[KM ATUAL]]-E3852</f>
        <v>383127</v>
      </c>
      <c r="N3867" s="51">
        <f>Tabela6[[#This Row],[KM Rodados ]]/Tabela6[[#This Row],[CONSUMO]]</f>
        <v>3420.7767857142858</v>
      </c>
    </row>
    <row r="3868" spans="1:14" x14ac:dyDescent="0.25">
      <c r="A3868" s="47">
        <v>9648</v>
      </c>
      <c r="B3868" s="78">
        <v>45323</v>
      </c>
      <c r="C3868" s="47" t="s">
        <v>12</v>
      </c>
      <c r="D3868" s="49" t="s">
        <v>299</v>
      </c>
      <c r="E3868" s="47">
        <v>330895</v>
      </c>
      <c r="G3868" s="50" t="s">
        <v>89</v>
      </c>
      <c r="H3868" s="51">
        <v>48</v>
      </c>
      <c r="J3868" s="51">
        <v>5.16</v>
      </c>
      <c r="K3868" s="74">
        <f>Tabela6[[#This Row],[CONSUMO]]*Tabela6[[#This Row],[VALOR UNIT]]-Tabela6[[#This Row],[DESCONTO]]</f>
        <v>247.68</v>
      </c>
      <c r="L3868" s="53">
        <f>Tabela6[[#This Row],[CUSTO TOTAL]]/Tabela6[[#This Row],[CONSUMO]]</f>
        <v>5.16</v>
      </c>
      <c r="M3868" s="50">
        <f>Tabela6[[#This Row],[KM ATUAL]]-E3820</f>
        <v>-19917</v>
      </c>
      <c r="N3868" s="51">
        <f>Tabela6[[#This Row],[KM Rodados ]]/Tabela6[[#This Row],[CONSUMO]]</f>
        <v>-414.9375</v>
      </c>
    </row>
    <row r="3869" spans="1:14" x14ac:dyDescent="0.25">
      <c r="A3869" s="47">
        <v>239987</v>
      </c>
      <c r="B3869" s="78">
        <v>45323</v>
      </c>
      <c r="C3869" s="47" t="s">
        <v>40</v>
      </c>
      <c r="D3869" s="49" t="s">
        <v>262</v>
      </c>
      <c r="E3869" s="47">
        <v>182765</v>
      </c>
      <c r="G3869" s="50" t="s">
        <v>244</v>
      </c>
      <c r="H3869" s="51">
        <v>45.18</v>
      </c>
      <c r="J3869" s="51">
        <v>5.49</v>
      </c>
      <c r="K3869" s="74">
        <f>Tabela6[[#This Row],[CONSUMO]]*Tabela6[[#This Row],[VALOR UNIT]]-Tabela6[[#This Row],[DESCONTO]]</f>
        <v>248.03820000000002</v>
      </c>
      <c r="L3869" s="53">
        <f>Tabela6[[#This Row],[CUSTO TOTAL]]/Tabela6[[#This Row],[CONSUMO]]</f>
        <v>5.49</v>
      </c>
      <c r="M3869" s="53" t="e" cm="1">
        <f t="array" ref="M3869">SE</f>
        <v>#NAME?</v>
      </c>
      <c r="N3869" s="49" t="e">
        <f>Tabela6[[#This Row],[KM Rodados ]]/Tabela6[[#This Row],[CONSUMO]]</f>
        <v>#NAME?</v>
      </c>
    </row>
    <row r="3870" spans="1:14" x14ac:dyDescent="0.25">
      <c r="A3870" s="47">
        <v>9676</v>
      </c>
      <c r="B3870" s="78">
        <v>45323</v>
      </c>
      <c r="C3870" s="47" t="s">
        <v>74</v>
      </c>
      <c r="D3870" s="49" t="s">
        <v>299</v>
      </c>
      <c r="E3870" s="47">
        <v>108460</v>
      </c>
      <c r="G3870" s="50" t="s">
        <v>89</v>
      </c>
      <c r="H3870" s="51">
        <v>57</v>
      </c>
      <c r="J3870" s="51">
        <v>5.15</v>
      </c>
      <c r="K3870" s="74">
        <f>Tabela6[[#This Row],[CONSUMO]]*Tabela6[[#This Row],[VALOR UNIT]]-Tabela6[[#This Row],[DESCONTO]]</f>
        <v>293.55</v>
      </c>
      <c r="L3870" s="53">
        <f>Tabela6[[#This Row],[CUSTO TOTAL]]/Tabela6[[#This Row],[CONSUMO]]</f>
        <v>5.15</v>
      </c>
      <c r="M3870" s="50">
        <f>Tabela6[[#This Row],[KM ATUAL]]-E3861</f>
        <v>102152</v>
      </c>
      <c r="N3870" s="51">
        <f>Tabela6[[#This Row],[KM Rodados ]]/Tabela6[[#This Row],[CONSUMO]]</f>
        <v>1792.140350877193</v>
      </c>
    </row>
    <row r="3871" spans="1:14" x14ac:dyDescent="0.25">
      <c r="A3871" s="47">
        <v>9676</v>
      </c>
      <c r="B3871" s="78">
        <v>45323</v>
      </c>
      <c r="C3871" s="47" t="s">
        <v>401</v>
      </c>
      <c r="D3871" s="49" t="s">
        <v>299</v>
      </c>
      <c r="E3871" s="47">
        <v>6690</v>
      </c>
      <c r="G3871" s="50" t="s">
        <v>89</v>
      </c>
      <c r="H3871" s="51">
        <v>75</v>
      </c>
      <c r="J3871" s="51">
        <v>5.15</v>
      </c>
      <c r="K3871" s="74">
        <f>Tabela6[[#This Row],[CONSUMO]]*Tabela6[[#This Row],[VALOR UNIT]]-Tabela6[[#This Row],[DESCONTO]]</f>
        <v>386.25</v>
      </c>
      <c r="L3871" s="53">
        <f>Tabela6[[#This Row],[CUSTO TOTAL]]/Tabela6[[#This Row],[CONSUMO]]</f>
        <v>5.15</v>
      </c>
      <c r="M3871" s="50">
        <f>Tabela6[[#This Row],[KM ATUAL]]-E3854</f>
        <v>-346335</v>
      </c>
      <c r="N3871" s="51">
        <f>Tabela6[[#This Row],[KM Rodados ]]/Tabela6[[#This Row],[CONSUMO]]</f>
        <v>-4617.8</v>
      </c>
    </row>
    <row r="3872" spans="1:14" x14ac:dyDescent="0.25">
      <c r="A3872" s="47">
        <v>9676</v>
      </c>
      <c r="B3872" s="78">
        <v>45324</v>
      </c>
      <c r="C3872" s="47" t="s">
        <v>43</v>
      </c>
      <c r="D3872" s="49" t="s">
        <v>299</v>
      </c>
      <c r="E3872" s="47">
        <v>175537</v>
      </c>
      <c r="G3872" s="50" t="s">
        <v>89</v>
      </c>
      <c r="H3872" s="51">
        <v>44</v>
      </c>
      <c r="J3872" s="51">
        <v>5.15</v>
      </c>
      <c r="K3872" s="74">
        <f>Tabela6[[#This Row],[CONSUMO]]*Tabela6[[#This Row],[VALOR UNIT]]-Tabela6[[#This Row],[DESCONTO]]</f>
        <v>226.60000000000002</v>
      </c>
      <c r="L3872" s="53">
        <f>Tabela6[[#This Row],[CUSTO TOTAL]]/Tabela6[[#This Row],[CONSUMO]]</f>
        <v>5.15</v>
      </c>
      <c r="M3872" s="50">
        <f>Tabela6[[#This Row],[KM ATUAL]]-E3858</f>
        <v>154924</v>
      </c>
      <c r="N3872" s="51">
        <f>Tabela6[[#This Row],[KM Rodados ]]/Tabela6[[#This Row],[CONSUMO]]</f>
        <v>3521</v>
      </c>
    </row>
    <row r="3873" spans="1:14" x14ac:dyDescent="0.25">
      <c r="A3873" s="47">
        <v>340609</v>
      </c>
      <c r="B3873" s="78">
        <v>45324</v>
      </c>
      <c r="C3873" s="47" t="s">
        <v>222</v>
      </c>
      <c r="D3873" s="49" t="s">
        <v>270</v>
      </c>
      <c r="E3873" s="47">
        <v>551792</v>
      </c>
      <c r="G3873" s="50" t="s">
        <v>241</v>
      </c>
      <c r="H3873" s="51">
        <v>40.402000000000001</v>
      </c>
      <c r="J3873" s="51">
        <v>2.99</v>
      </c>
      <c r="K3873" s="74">
        <f>Tabela6[[#This Row],[CONSUMO]]*Tabela6[[#This Row],[VALOR UNIT]]-Tabela6[[#This Row],[DESCONTO]]</f>
        <v>120.80198000000001</v>
      </c>
      <c r="L3873" s="53">
        <f>Tabela6[[#This Row],[CUSTO TOTAL]]/Tabela6[[#This Row],[CONSUMO]]</f>
        <v>2.99</v>
      </c>
      <c r="M3873" s="50"/>
    </row>
    <row r="3874" spans="1:14" x14ac:dyDescent="0.25">
      <c r="A3874" s="47">
        <v>372240</v>
      </c>
      <c r="B3874" s="78">
        <v>45324</v>
      </c>
      <c r="C3874" s="47" t="s">
        <v>70</v>
      </c>
      <c r="D3874" s="49" t="s">
        <v>276</v>
      </c>
      <c r="G3874" s="50" t="s">
        <v>241</v>
      </c>
      <c r="H3874" s="51">
        <v>67.197999999999993</v>
      </c>
      <c r="J3874" s="51">
        <v>3.69</v>
      </c>
      <c r="K3874" s="74">
        <f>Tabela6[[#This Row],[CONSUMO]]*Tabela6[[#This Row],[VALOR UNIT]]-Tabela6[[#This Row],[DESCONTO]]</f>
        <v>247.96061999999998</v>
      </c>
      <c r="L3874" s="53">
        <f>Tabela6[[#This Row],[CUSTO TOTAL]]/Tabela6[[#This Row],[CONSUMO]]</f>
        <v>3.69</v>
      </c>
      <c r="M3874" s="53"/>
      <c r="N3874" s="49"/>
    </row>
    <row r="3875" spans="1:14" x14ac:dyDescent="0.25">
      <c r="A3875" s="47">
        <v>9676</v>
      </c>
      <c r="B3875" s="78">
        <v>45324</v>
      </c>
      <c r="C3875" s="47" t="s">
        <v>70</v>
      </c>
      <c r="D3875" s="49" t="s">
        <v>299</v>
      </c>
      <c r="E3875" s="47">
        <v>261480</v>
      </c>
      <c r="G3875" s="50" t="s">
        <v>89</v>
      </c>
      <c r="H3875" s="51">
        <v>600</v>
      </c>
      <c r="J3875" s="51">
        <v>5.15</v>
      </c>
      <c r="K3875" s="74">
        <f>Tabela6[[#This Row],[CONSUMO]]*Tabela6[[#This Row],[VALOR UNIT]]-Tabela6[[#This Row],[DESCONTO]]</f>
        <v>3090</v>
      </c>
      <c r="L3875" s="53">
        <f>Tabela6[[#This Row],[CUSTO TOTAL]]/Tabela6[[#This Row],[CONSUMO]]</f>
        <v>5.15</v>
      </c>
      <c r="M3875" s="50">
        <f>Tabela6[[#This Row],[KM ATUAL]]-E3800</f>
        <v>87083</v>
      </c>
      <c r="N3875" s="51">
        <f>Tabela6[[#This Row],[KM Rodados ]]/Tabela6[[#This Row],[CONSUMO]]</f>
        <v>145.13833333333332</v>
      </c>
    </row>
    <row r="3876" spans="1:14" x14ac:dyDescent="0.25">
      <c r="A3876" s="47">
        <v>9676</v>
      </c>
      <c r="B3876" s="78">
        <v>45324</v>
      </c>
      <c r="C3876" s="47" t="s">
        <v>10</v>
      </c>
      <c r="D3876" s="49" t="s">
        <v>299</v>
      </c>
      <c r="E3876" s="47">
        <v>743231</v>
      </c>
      <c r="G3876" s="50" t="s">
        <v>89</v>
      </c>
      <c r="H3876" s="51">
        <v>135</v>
      </c>
      <c r="J3876" s="51">
        <v>5.15</v>
      </c>
      <c r="K3876" s="74">
        <f>Tabela6[[#This Row],[CONSUMO]]*Tabela6[[#This Row],[VALOR UNIT]]-Tabela6[[#This Row],[DESCONTO]]</f>
        <v>695.25</v>
      </c>
      <c r="L3876" s="53">
        <f>Tabela6[[#This Row],[CUSTO TOTAL]]/Tabela6[[#This Row],[CONSUMO]]</f>
        <v>5.15</v>
      </c>
      <c r="M3876" s="50">
        <f>Tabela6[[#This Row],[KM ATUAL]]-E3844</f>
        <v>625346</v>
      </c>
      <c r="N3876" s="51">
        <f>Tabela6[[#This Row],[KM Rodados ]]/Tabela6[[#This Row],[CONSUMO]]</f>
        <v>4632.1925925925925</v>
      </c>
    </row>
    <row r="3877" spans="1:14" x14ac:dyDescent="0.25">
      <c r="A3877" s="47">
        <v>152747</v>
      </c>
      <c r="B3877" s="78">
        <v>45324</v>
      </c>
      <c r="C3877" s="47" t="s">
        <v>11</v>
      </c>
      <c r="D3877" s="49" t="s">
        <v>253</v>
      </c>
      <c r="E3877" s="47">
        <v>410465</v>
      </c>
      <c r="G3877" s="50" t="s">
        <v>89</v>
      </c>
      <c r="H3877" s="51">
        <v>108.79</v>
      </c>
      <c r="J3877" s="51">
        <v>6.09</v>
      </c>
      <c r="K3877" s="74">
        <f>Tabela6[[#This Row],[CONSUMO]]*Tabela6[[#This Row],[VALOR UNIT]]-Tabela6[[#This Row],[DESCONTO]]</f>
        <v>662.53110000000004</v>
      </c>
      <c r="L3877" s="53">
        <f>Tabela6[[#This Row],[CUSTO TOTAL]]/Tabela6[[#This Row],[CONSUMO]]</f>
        <v>6.09</v>
      </c>
      <c r="M3877" s="50">
        <f>Tabela6[[#This Row],[KM ATUAL]]-E3743</f>
        <v>548</v>
      </c>
      <c r="N3877" s="51">
        <f>Tabela6[[#This Row],[KM Rodados ]]/Tabela6[[#This Row],[CONSUMO]]</f>
        <v>5.0372276863682321</v>
      </c>
    </row>
    <row r="3878" spans="1:14" x14ac:dyDescent="0.25">
      <c r="A3878" s="47">
        <v>240185</v>
      </c>
      <c r="B3878" s="78">
        <v>45324</v>
      </c>
      <c r="C3878" s="47" t="s">
        <v>14</v>
      </c>
      <c r="D3878" s="49" t="s">
        <v>262</v>
      </c>
      <c r="E3878" s="47">
        <v>314794</v>
      </c>
      <c r="G3878" s="50" t="s">
        <v>244</v>
      </c>
      <c r="H3878" s="51">
        <v>18.841000000000001</v>
      </c>
      <c r="J3878" s="51">
        <v>5.59</v>
      </c>
      <c r="K3878" s="74">
        <f>Tabela6[[#This Row],[CONSUMO]]*Tabela6[[#This Row],[VALOR UNIT]]-Tabela6[[#This Row],[DESCONTO]]</f>
        <v>105.32119</v>
      </c>
      <c r="L3878" s="53">
        <f>Tabela6[[#This Row],[CUSTO TOTAL]]/Tabela6[[#This Row],[CONSUMO]]</f>
        <v>5.59</v>
      </c>
      <c r="M3878" s="53" t="e" cm="1">
        <f t="array" ref="M3878">SE</f>
        <v>#NAME?</v>
      </c>
      <c r="N3878" s="49" t="e">
        <f>Tabela6[[#This Row],[KM Rodados ]]/Tabela6[[#This Row],[CONSUMO]]</f>
        <v>#NAME?</v>
      </c>
    </row>
    <row r="3879" spans="1:14" x14ac:dyDescent="0.25">
      <c r="A3879" s="47">
        <v>9676</v>
      </c>
      <c r="B3879" s="78">
        <v>45324</v>
      </c>
      <c r="C3879" s="47" t="s">
        <v>17</v>
      </c>
      <c r="D3879" s="49" t="s">
        <v>299</v>
      </c>
      <c r="E3879" s="47">
        <v>394002</v>
      </c>
      <c r="G3879" s="50" t="s">
        <v>89</v>
      </c>
      <c r="H3879" s="51">
        <v>159</v>
      </c>
      <c r="J3879" s="51">
        <v>5.15</v>
      </c>
      <c r="K3879" s="74">
        <f>Tabela6[[#This Row],[CONSUMO]]*Tabela6[[#This Row],[VALOR UNIT]]-Tabela6[[#This Row],[DESCONTO]]</f>
        <v>818.85</v>
      </c>
      <c r="L3879" s="53">
        <f>Tabela6[[#This Row],[CUSTO TOTAL]]/Tabela6[[#This Row],[CONSUMO]]</f>
        <v>5.15</v>
      </c>
      <c r="M3879" s="50">
        <f>Tabela6[[#This Row],[KM ATUAL]]-E3859</f>
        <v>373392</v>
      </c>
      <c r="N3879" s="51">
        <f>Tabela6[[#This Row],[KM Rodados ]]/Tabela6[[#This Row],[CONSUMO]]</f>
        <v>2348.3773584905662</v>
      </c>
    </row>
    <row r="3880" spans="1:14" x14ac:dyDescent="0.25">
      <c r="A3880" s="47">
        <v>152860</v>
      </c>
      <c r="B3880" s="78">
        <v>45324</v>
      </c>
      <c r="C3880" s="47" t="s">
        <v>315</v>
      </c>
      <c r="D3880" s="49" t="s">
        <v>253</v>
      </c>
      <c r="E3880" s="47">
        <v>16731</v>
      </c>
      <c r="G3880" s="50" t="s">
        <v>89</v>
      </c>
      <c r="H3880" s="51">
        <v>56.95</v>
      </c>
      <c r="J3880" s="51">
        <v>6.09</v>
      </c>
      <c r="K3880" s="74">
        <f>Tabela6[[#This Row],[CONSUMO]]*Tabela6[[#This Row],[VALOR UNIT]]-Tabela6[[#This Row],[DESCONTO]]</f>
        <v>346.82550000000003</v>
      </c>
      <c r="L3880" s="53">
        <f>Tabela6[[#This Row],[CUSTO TOTAL]]/Tabela6[[#This Row],[CONSUMO]]</f>
        <v>6.09</v>
      </c>
      <c r="M3880" s="50">
        <f>Tabela6[[#This Row],[KM ATUAL]]-E3815</f>
        <v>11256</v>
      </c>
      <c r="N3880" s="51">
        <f>Tabela6[[#This Row],[KM Rodados ]]/Tabela6[[#This Row],[CONSUMO]]</f>
        <v>197.64705882352939</v>
      </c>
    </row>
    <row r="3881" spans="1:14" x14ac:dyDescent="0.25">
      <c r="A3881" s="47">
        <v>152860</v>
      </c>
      <c r="B3881" s="78">
        <v>45324</v>
      </c>
      <c r="C3881" s="47" t="s">
        <v>315</v>
      </c>
      <c r="D3881" s="49" t="s">
        <v>253</v>
      </c>
      <c r="E3881" s="47">
        <v>16731</v>
      </c>
      <c r="G3881" s="50" t="s">
        <v>241</v>
      </c>
      <c r="H3881" s="51">
        <v>4.0190000000000001</v>
      </c>
      <c r="J3881" s="51">
        <v>3.49</v>
      </c>
      <c r="K3881" s="74">
        <f>Tabela6[[#This Row],[CONSUMO]]*Tabela6[[#This Row],[VALOR UNIT]]-Tabela6[[#This Row],[DESCONTO]]</f>
        <v>14.02631</v>
      </c>
      <c r="L3881" s="53">
        <f>Tabela6[[#This Row],[CUSTO TOTAL]]/Tabela6[[#This Row],[CONSUMO]]</f>
        <v>3.49</v>
      </c>
      <c r="M3881" s="53"/>
      <c r="N3881" s="49"/>
    </row>
    <row r="3882" spans="1:14" x14ac:dyDescent="0.25">
      <c r="A3882" s="47">
        <v>1373810</v>
      </c>
      <c r="B3882" s="78">
        <v>45324</v>
      </c>
      <c r="C3882" s="47" t="s">
        <v>401</v>
      </c>
      <c r="D3882" s="49" t="s">
        <v>306</v>
      </c>
      <c r="E3882" s="47">
        <v>7275</v>
      </c>
      <c r="G3882" s="50" t="s">
        <v>89</v>
      </c>
      <c r="H3882" s="51">
        <v>84.89</v>
      </c>
      <c r="J3882" s="51">
        <v>5.89</v>
      </c>
      <c r="K3882" s="74">
        <f>Tabela6[[#This Row],[CONSUMO]]*Tabela6[[#This Row],[VALOR UNIT]]-Tabela6[[#This Row],[DESCONTO]]</f>
        <v>500.00209999999998</v>
      </c>
      <c r="L3882" s="53">
        <f>Tabela6[[#This Row],[CUSTO TOTAL]]/Tabela6[[#This Row],[CONSUMO]]</f>
        <v>5.89</v>
      </c>
      <c r="M3882" s="50">
        <f>Tabela6[[#This Row],[KM ATUAL]]-E3877</f>
        <v>-403190</v>
      </c>
      <c r="N3882" s="51">
        <f>Tabela6[[#This Row],[KM Rodados ]]/Tabela6[[#This Row],[CONSUMO]]</f>
        <v>-4749.558251855342</v>
      </c>
    </row>
    <row r="3883" spans="1:14" x14ac:dyDescent="0.25">
      <c r="A3883" s="47">
        <v>412608</v>
      </c>
      <c r="B3883" s="78">
        <v>45325</v>
      </c>
      <c r="C3883" s="47" t="s">
        <v>71</v>
      </c>
      <c r="D3883" s="49" t="s">
        <v>271</v>
      </c>
      <c r="E3883" s="47">
        <v>149368</v>
      </c>
      <c r="G3883" s="50" t="s">
        <v>89</v>
      </c>
      <c r="H3883" s="51">
        <v>215.01</v>
      </c>
      <c r="J3883" s="51">
        <v>5.89</v>
      </c>
      <c r="K3883" s="74">
        <f>Tabela6[[#This Row],[CONSUMO]]*Tabela6[[#This Row],[VALOR UNIT]]-Tabela6[[#This Row],[DESCONTO]]</f>
        <v>1266.4088999999999</v>
      </c>
      <c r="L3883" s="53">
        <f>Tabela6[[#This Row],[CUSTO TOTAL]]/Tabela6[[#This Row],[CONSUMO]]</f>
        <v>5.89</v>
      </c>
      <c r="M3883" s="50">
        <f>Tabela6[[#This Row],[KM ATUAL]]-E3855</f>
        <v>-146433</v>
      </c>
      <c r="N3883" s="51">
        <f>Tabela6[[#This Row],[KM Rodados ]]/Tabela6[[#This Row],[CONSUMO]]</f>
        <v>-681.05204409097257</v>
      </c>
    </row>
    <row r="3884" spans="1:14" x14ac:dyDescent="0.25">
      <c r="A3884" s="47">
        <v>412607</v>
      </c>
      <c r="B3884" s="78">
        <v>45325</v>
      </c>
      <c r="C3884" s="47" t="s">
        <v>301</v>
      </c>
      <c r="D3884" s="49" t="s">
        <v>271</v>
      </c>
      <c r="E3884" s="47">
        <v>1091160</v>
      </c>
      <c r="G3884" s="50" t="s">
        <v>89</v>
      </c>
      <c r="H3884" s="51">
        <v>280</v>
      </c>
      <c r="J3884" s="51">
        <v>5.89</v>
      </c>
      <c r="K3884" s="74">
        <f>Tabela6[[#This Row],[CONSUMO]]*Tabela6[[#This Row],[VALOR UNIT]]-Tabela6[[#This Row],[DESCONTO]]</f>
        <v>1649.1999999999998</v>
      </c>
      <c r="L3884" s="53">
        <f>Tabela6[[#This Row],[CUSTO TOTAL]]/Tabela6[[#This Row],[CONSUMO]]</f>
        <v>5.89</v>
      </c>
      <c r="M3884" s="50">
        <f>Tabela6[[#This Row],[KM ATUAL]]-E3827</f>
        <v>760547</v>
      </c>
      <c r="N3884" s="51">
        <f>Tabela6[[#This Row],[KM Rodados ]]/Tabela6[[#This Row],[CONSUMO]]</f>
        <v>2716.2392857142859</v>
      </c>
    </row>
    <row r="3885" spans="1:14" x14ac:dyDescent="0.25">
      <c r="A3885" s="47">
        <v>240410</v>
      </c>
      <c r="B3885" s="78">
        <v>45325</v>
      </c>
      <c r="C3885" s="47" t="s">
        <v>40</v>
      </c>
      <c r="D3885" s="49" t="s">
        <v>262</v>
      </c>
      <c r="E3885" s="47">
        <v>183355</v>
      </c>
      <c r="G3885" s="50" t="s">
        <v>244</v>
      </c>
      <c r="H3885" s="51">
        <v>45.75</v>
      </c>
      <c r="J3885" s="51">
        <v>5.59</v>
      </c>
      <c r="K3885" s="74">
        <f>Tabela6[[#This Row],[CONSUMO]]*Tabela6[[#This Row],[VALOR UNIT]]-Tabela6[[#This Row],[DESCONTO]]</f>
        <v>255.74250000000001</v>
      </c>
      <c r="L3885" s="53">
        <f>Tabela6[[#This Row],[CUSTO TOTAL]]/Tabela6[[#This Row],[CONSUMO]]</f>
        <v>5.59</v>
      </c>
      <c r="M3885" s="53" t="e" cm="1">
        <f t="array" ref="M3885">SE</f>
        <v>#NAME?</v>
      </c>
      <c r="N3885" s="49" t="e">
        <f>Tabela6[[#This Row],[KM Rodados ]]/Tabela6[[#This Row],[CONSUMO]]</f>
        <v>#NAME?</v>
      </c>
    </row>
    <row r="3886" spans="1:14" x14ac:dyDescent="0.25">
      <c r="A3886" s="47">
        <v>372856</v>
      </c>
      <c r="B3886" s="78">
        <v>45326</v>
      </c>
      <c r="C3886" s="47" t="s">
        <v>215</v>
      </c>
      <c r="D3886" s="49" t="s">
        <v>276</v>
      </c>
      <c r="E3886" s="47">
        <v>234539</v>
      </c>
      <c r="G3886" s="50" t="s">
        <v>244</v>
      </c>
      <c r="H3886" s="51">
        <v>26.370999999999999</v>
      </c>
      <c r="J3886" s="51">
        <v>5.69</v>
      </c>
      <c r="K3886" s="74">
        <f>Tabela6[[#This Row],[CONSUMO]]*Tabela6[[#This Row],[VALOR UNIT]]-Tabela6[[#This Row],[DESCONTO]]</f>
        <v>150.05099000000001</v>
      </c>
      <c r="L3886" s="53">
        <f>Tabela6[[#This Row],[CUSTO TOTAL]]/Tabela6[[#This Row],[CONSUMO]]</f>
        <v>5.69</v>
      </c>
      <c r="M3886" s="53" t="e">
        <f t="array" ref="M3886">SE</f>
        <v>#NAME?</v>
      </c>
      <c r="N3886" s="49" t="e">
        <f>Tabela6[[#This Row],[KM Rodados ]]/Tabela6[[#This Row],[CONSUMO]]</f>
        <v>#NAME?</v>
      </c>
    </row>
    <row r="3887" spans="1:14" x14ac:dyDescent="0.25">
      <c r="A3887" s="47">
        <v>238644</v>
      </c>
      <c r="B3887" s="78">
        <v>45326</v>
      </c>
      <c r="C3887" s="47" t="s">
        <v>301</v>
      </c>
      <c r="D3887" s="49" t="s">
        <v>374</v>
      </c>
      <c r="E3887" s="47">
        <v>1091990</v>
      </c>
      <c r="G3887" s="50" t="s">
        <v>89</v>
      </c>
      <c r="H3887" s="51">
        <v>428.01</v>
      </c>
      <c r="J3887" s="51">
        <v>5.89</v>
      </c>
      <c r="K3887" s="74">
        <f>Tabela6[[#This Row],[CONSUMO]]*Tabela6[[#This Row],[VALOR UNIT]]-Tabela6[[#This Row],[DESCONTO]]</f>
        <v>2520.9788999999996</v>
      </c>
      <c r="L3887" s="53">
        <f>Tabela6[[#This Row],[CUSTO TOTAL]]/Tabela6[[#This Row],[CONSUMO]]</f>
        <v>5.8899999999999988</v>
      </c>
      <c r="M3887" s="50">
        <f>Tabela6[[#This Row],[KM ATUAL]]-E3883</f>
        <v>942622</v>
      </c>
      <c r="N3887" s="51">
        <f>Tabela6[[#This Row],[KM Rodados ]]/Tabela6[[#This Row],[CONSUMO]]</f>
        <v>2202.336394009486</v>
      </c>
    </row>
    <row r="3888" spans="1:14" x14ac:dyDescent="0.25">
      <c r="A3888" s="47">
        <v>9676</v>
      </c>
      <c r="B3888" s="78">
        <v>45327</v>
      </c>
      <c r="C3888" s="47" t="s">
        <v>68</v>
      </c>
      <c r="D3888" s="49" t="s">
        <v>299</v>
      </c>
      <c r="E3888" s="47">
        <v>954950</v>
      </c>
      <c r="G3888" s="50" t="s">
        <v>89</v>
      </c>
      <c r="H3888" s="51">
        <v>577</v>
      </c>
      <c r="J3888" s="51">
        <v>5.15</v>
      </c>
      <c r="K3888" s="74">
        <f>Tabela6[[#This Row],[CONSUMO]]*Tabela6[[#This Row],[VALOR UNIT]]-Tabela6[[#This Row],[DESCONTO]]</f>
        <v>2971.55</v>
      </c>
      <c r="L3888" s="53">
        <f>Tabela6[[#This Row],[CUSTO TOTAL]]/Tabela6[[#This Row],[CONSUMO]]</f>
        <v>5.15</v>
      </c>
      <c r="M3888" s="50">
        <f>Tabela6[[#This Row],[KM ATUAL]]-E3839</f>
        <v>308368</v>
      </c>
      <c r="N3888" s="51">
        <f>Tabela6[[#This Row],[KM Rodados ]]/Tabela6[[#This Row],[CONSUMO]]</f>
        <v>534.43327556325823</v>
      </c>
    </row>
    <row r="3889" spans="1:14" x14ac:dyDescent="0.25">
      <c r="A3889" s="47">
        <v>240906</v>
      </c>
      <c r="B3889" s="78">
        <v>45327</v>
      </c>
      <c r="C3889" s="47" t="s">
        <v>43</v>
      </c>
      <c r="D3889" s="49" t="s">
        <v>262</v>
      </c>
      <c r="E3889" s="47">
        <v>175667</v>
      </c>
      <c r="G3889" s="50" t="s">
        <v>89</v>
      </c>
      <c r="H3889" s="51">
        <v>17.940000000000001</v>
      </c>
      <c r="J3889" s="51">
        <v>5.99</v>
      </c>
      <c r="K3889" s="74">
        <f>Tabela6[[#This Row],[CONSUMO]]*Tabela6[[#This Row],[VALOR UNIT]]-Tabela6[[#This Row],[DESCONTO]]</f>
        <v>107.46060000000001</v>
      </c>
      <c r="L3889" s="53">
        <f>Tabela6[[#This Row],[CUSTO TOTAL]]/Tabela6[[#This Row],[CONSUMO]]</f>
        <v>5.99</v>
      </c>
      <c r="M3889" s="50">
        <f>Tabela6[[#This Row],[KM ATUAL]]-E3874</f>
        <v>175667</v>
      </c>
      <c r="N3889" s="51">
        <f>Tabela6[[#This Row],[KM Rodados ]]/Tabela6[[#This Row],[CONSUMO]]</f>
        <v>9791.9175027870679</v>
      </c>
    </row>
    <row r="3890" spans="1:14" x14ac:dyDescent="0.25">
      <c r="A3890" s="47">
        <v>9676</v>
      </c>
      <c r="B3890" s="78">
        <v>45327</v>
      </c>
      <c r="C3890" s="47" t="s">
        <v>43</v>
      </c>
      <c r="D3890" s="49" t="s">
        <v>299</v>
      </c>
      <c r="E3890" s="47">
        <v>175987</v>
      </c>
      <c r="G3890" s="50" t="s">
        <v>89</v>
      </c>
      <c r="H3890" s="51">
        <v>37</v>
      </c>
      <c r="J3890" s="51">
        <v>5.15</v>
      </c>
      <c r="K3890" s="74">
        <f>Tabela6[[#This Row],[CONSUMO]]*Tabela6[[#This Row],[VALOR UNIT]]-Tabela6[[#This Row],[DESCONTO]]</f>
        <v>190.55</v>
      </c>
      <c r="L3890" s="53">
        <f>Tabela6[[#This Row],[CUSTO TOTAL]]/Tabela6[[#This Row],[CONSUMO]]</f>
        <v>5.15</v>
      </c>
      <c r="M3890" s="50">
        <f>Tabela6[[#This Row],[KM ATUAL]]-E3882</f>
        <v>168712</v>
      </c>
      <c r="N3890" s="51">
        <f>Tabela6[[#This Row],[KM Rodados ]]/Tabela6[[#This Row],[CONSUMO]]</f>
        <v>4559.7837837837842</v>
      </c>
    </row>
    <row r="3891" spans="1:14" x14ac:dyDescent="0.25">
      <c r="A3891" s="47">
        <v>9676</v>
      </c>
      <c r="B3891" s="78">
        <v>45327</v>
      </c>
      <c r="C3891" s="47" t="s">
        <v>9</v>
      </c>
      <c r="D3891" s="49" t="s">
        <v>299</v>
      </c>
      <c r="E3891" s="47">
        <v>647169</v>
      </c>
      <c r="G3891" s="50" t="s">
        <v>89</v>
      </c>
      <c r="H3891" s="51">
        <v>120</v>
      </c>
      <c r="J3891" s="51">
        <v>5.15</v>
      </c>
      <c r="K3891" s="74">
        <f>Tabela6[[#This Row],[CONSUMO]]*Tabela6[[#This Row],[VALOR UNIT]]-Tabela6[[#This Row],[DESCONTO]]</f>
        <v>618</v>
      </c>
      <c r="L3891" s="53">
        <f>Tabela6[[#This Row],[CUSTO TOTAL]]/Tabela6[[#This Row],[CONSUMO]]</f>
        <v>5.15</v>
      </c>
      <c r="M3891" s="50">
        <f>Tabela6[[#This Row],[KM ATUAL]]-E3844</f>
        <v>529284</v>
      </c>
      <c r="N3891" s="51">
        <f>Tabela6[[#This Row],[KM Rodados ]]/Tabela6[[#This Row],[CONSUMO]]</f>
        <v>4410.7</v>
      </c>
    </row>
    <row r="3892" spans="1:14" x14ac:dyDescent="0.25">
      <c r="A3892" s="47">
        <v>9676</v>
      </c>
      <c r="B3892" s="78">
        <v>45327</v>
      </c>
      <c r="C3892" s="47" t="s">
        <v>42</v>
      </c>
      <c r="D3892" s="49" t="s">
        <v>299</v>
      </c>
      <c r="E3892" s="47">
        <v>384380</v>
      </c>
      <c r="G3892" s="50" t="s">
        <v>89</v>
      </c>
      <c r="H3892" s="51">
        <v>51</v>
      </c>
      <c r="J3892" s="51">
        <v>5.15</v>
      </c>
      <c r="K3892" s="74">
        <f>Tabela6[[#This Row],[CONSUMO]]*Tabela6[[#This Row],[VALOR UNIT]]-Tabela6[[#This Row],[DESCONTO]]</f>
        <v>262.65000000000003</v>
      </c>
      <c r="L3892" s="53">
        <f>Tabela6[[#This Row],[CUSTO TOTAL]]/Tabela6[[#This Row],[CONSUMO]]</f>
        <v>5.15</v>
      </c>
      <c r="M3892" s="50">
        <f>Tabela6[[#This Row],[KM ATUAL]]-E3832</f>
        <v>32006</v>
      </c>
      <c r="N3892" s="51">
        <f>Tabela6[[#This Row],[KM Rodados ]]/Tabela6[[#This Row],[CONSUMO]]</f>
        <v>627.56862745098044</v>
      </c>
    </row>
    <row r="3893" spans="1:14" x14ac:dyDescent="0.25">
      <c r="A3893" s="47">
        <v>281933</v>
      </c>
      <c r="B3893" s="78">
        <v>45327</v>
      </c>
      <c r="C3893" s="47" t="s">
        <v>67</v>
      </c>
      <c r="D3893" s="49" t="s">
        <v>273</v>
      </c>
      <c r="E3893" s="47">
        <v>698810</v>
      </c>
      <c r="G3893" s="50" t="s">
        <v>89</v>
      </c>
      <c r="H3893" s="51">
        <v>148</v>
      </c>
      <c r="J3893" s="51">
        <v>5.79</v>
      </c>
      <c r="K3893" s="74">
        <f>Tabela6[[#This Row],[CONSUMO]]*Tabela6[[#This Row],[VALOR UNIT]]-Tabela6[[#This Row],[DESCONTO]]</f>
        <v>856.92</v>
      </c>
      <c r="L3893" s="53">
        <f>Tabela6[[#This Row],[CUSTO TOTAL]]/Tabela6[[#This Row],[CONSUMO]]</f>
        <v>5.79</v>
      </c>
      <c r="M3893" s="50">
        <f>Tabela6[[#This Row],[KM ATUAL]]-E3844</f>
        <v>580925</v>
      </c>
      <c r="N3893" s="51">
        <f>Tabela6[[#This Row],[KM Rodados ]]/Tabela6[[#This Row],[CONSUMO]]</f>
        <v>3925.1689189189187</v>
      </c>
    </row>
    <row r="3894" spans="1:14" x14ac:dyDescent="0.25">
      <c r="A3894" s="47">
        <v>9676</v>
      </c>
      <c r="B3894" s="78">
        <v>45327</v>
      </c>
      <c r="C3894" s="47" t="s">
        <v>22</v>
      </c>
      <c r="D3894" s="49" t="s">
        <v>299</v>
      </c>
      <c r="E3894" s="47">
        <v>352166</v>
      </c>
      <c r="G3894" s="50" t="s">
        <v>89</v>
      </c>
      <c r="H3894" s="51">
        <v>130</v>
      </c>
      <c r="J3894" s="51">
        <v>5.15</v>
      </c>
      <c r="K3894" s="74">
        <f>Tabela6[[#This Row],[CONSUMO]]*Tabela6[[#This Row],[VALOR UNIT]]-Tabela6[[#This Row],[DESCONTO]]</f>
        <v>669.5</v>
      </c>
      <c r="L3894" s="53">
        <f>Tabela6[[#This Row],[CUSTO TOTAL]]/Tabela6[[#This Row],[CONSUMO]]</f>
        <v>5.15</v>
      </c>
      <c r="M3894" s="50">
        <f>Tabela6[[#This Row],[KM ATUAL]]-E3865</f>
        <v>551</v>
      </c>
      <c r="N3894" s="51">
        <f>Tabela6[[#This Row],[KM Rodados ]]/Tabela6[[#This Row],[CONSUMO]]</f>
        <v>4.2384615384615385</v>
      </c>
    </row>
    <row r="3895" spans="1:14" x14ac:dyDescent="0.25">
      <c r="A3895" s="47">
        <v>454277</v>
      </c>
      <c r="B3895" s="78">
        <v>45327</v>
      </c>
      <c r="C3895" s="47" t="s">
        <v>203</v>
      </c>
      <c r="D3895" s="49" t="s">
        <v>309</v>
      </c>
      <c r="E3895" s="47">
        <v>139812</v>
      </c>
      <c r="G3895" s="50" t="s">
        <v>244</v>
      </c>
      <c r="H3895" s="51">
        <v>45.55</v>
      </c>
      <c r="J3895" s="51">
        <v>5.35</v>
      </c>
      <c r="K3895" s="74">
        <f>Tabela6[[#This Row],[CONSUMO]]*Tabela6[[#This Row],[VALOR UNIT]]-Tabela6[[#This Row],[DESCONTO]]</f>
        <v>243.69249999999997</v>
      </c>
      <c r="L3895" s="53">
        <f>Tabela6[[#This Row],[CUSTO TOTAL]]/Tabela6[[#This Row],[CONSUMO]]</f>
        <v>5.35</v>
      </c>
      <c r="M3895" s="53" t="e" cm="1">
        <f t="array" ref="M3895">SE</f>
        <v>#NAME?</v>
      </c>
      <c r="N3895" s="49" t="e">
        <f>Tabela6[[#This Row],[KM Rodados ]]/Tabela6[[#This Row],[CONSUMO]]</f>
        <v>#NAME?</v>
      </c>
    </row>
    <row r="3896" spans="1:14" x14ac:dyDescent="0.25">
      <c r="A3896" s="47">
        <v>238645</v>
      </c>
      <c r="B3896" s="78">
        <v>45327</v>
      </c>
      <c r="C3896" s="47" t="s">
        <v>71</v>
      </c>
      <c r="D3896" s="49" t="s">
        <v>374</v>
      </c>
      <c r="E3896" s="47">
        <v>150176</v>
      </c>
      <c r="G3896" s="50" t="s">
        <v>89</v>
      </c>
      <c r="H3896" s="51">
        <v>407</v>
      </c>
      <c r="J3896" s="51">
        <v>5.89</v>
      </c>
      <c r="K3896" s="74">
        <f>Tabela6[[#This Row],[CONSUMO]]*Tabela6[[#This Row],[VALOR UNIT]]-Tabela6[[#This Row],[DESCONTO]]</f>
        <v>2397.23</v>
      </c>
      <c r="L3896" s="53">
        <f>Tabela6[[#This Row],[CUSTO TOTAL]]/Tabela6[[#This Row],[CONSUMO]]</f>
        <v>5.89</v>
      </c>
      <c r="M3896" s="50">
        <f>Tabela6[[#This Row],[KM ATUAL]]-E3892</f>
        <v>-234204</v>
      </c>
      <c r="N3896" s="51">
        <f>Tabela6[[#This Row],[KM Rodados ]]/Tabela6[[#This Row],[CONSUMO]]</f>
        <v>-575.43980343980343</v>
      </c>
    </row>
    <row r="3897" spans="1:14" x14ac:dyDescent="0.25">
      <c r="A3897" s="47">
        <v>9676</v>
      </c>
      <c r="B3897" s="78">
        <v>45327</v>
      </c>
      <c r="C3897" s="47" t="s">
        <v>41</v>
      </c>
      <c r="D3897" s="49" t="s">
        <v>299</v>
      </c>
      <c r="E3897" s="47">
        <v>697568</v>
      </c>
      <c r="G3897" s="50" t="s">
        <v>89</v>
      </c>
      <c r="H3897" s="51">
        <v>85</v>
      </c>
      <c r="J3897" s="51">
        <v>5.15</v>
      </c>
      <c r="K3897" s="74">
        <f>Tabela6[[#This Row],[CONSUMO]]*Tabela6[[#This Row],[VALOR UNIT]]-Tabela6[[#This Row],[DESCONTO]]</f>
        <v>437.75000000000006</v>
      </c>
      <c r="L3897" s="53">
        <f>Tabela6[[#This Row],[CUSTO TOTAL]]/Tabela6[[#This Row],[CONSUMO]]</f>
        <v>5.15</v>
      </c>
      <c r="M3897" s="50">
        <f>Tabela6[[#This Row],[KM ATUAL]]-E3866</f>
        <v>558361</v>
      </c>
      <c r="N3897" s="51">
        <f>Tabela6[[#This Row],[KM Rodados ]]/Tabela6[[#This Row],[CONSUMO]]</f>
        <v>6568.9529411764706</v>
      </c>
    </row>
    <row r="3898" spans="1:14" x14ac:dyDescent="0.25">
      <c r="A3898" s="47">
        <v>240881</v>
      </c>
      <c r="B3898" s="78">
        <v>45327</v>
      </c>
      <c r="C3898" s="47" t="s">
        <v>15</v>
      </c>
      <c r="D3898" s="49" t="s">
        <v>262</v>
      </c>
      <c r="E3898" s="47">
        <v>411563</v>
      </c>
      <c r="G3898" s="50" t="s">
        <v>89</v>
      </c>
      <c r="H3898" s="51">
        <v>115.361</v>
      </c>
      <c r="J3898" s="51">
        <v>5.99</v>
      </c>
      <c r="K3898" s="74">
        <f>Tabela6[[#This Row],[CONSUMO]]*Tabela6[[#This Row],[VALOR UNIT]]-Tabela6[[#This Row],[DESCONTO]]</f>
        <v>691.0123900000001</v>
      </c>
      <c r="L3898" s="53">
        <f>Tabela6[[#This Row],[CUSTO TOTAL]]/Tabela6[[#This Row],[CONSUMO]]</f>
        <v>5.99</v>
      </c>
      <c r="M3898" s="50">
        <f>Tabela6[[#This Row],[KM ATUAL]]-E3835</f>
        <v>304526</v>
      </c>
      <c r="N3898" s="51">
        <f>Tabela6[[#This Row],[KM Rodados ]]/Tabela6[[#This Row],[CONSUMO]]</f>
        <v>2639.7656053605638</v>
      </c>
    </row>
    <row r="3899" spans="1:14" x14ac:dyDescent="0.25">
      <c r="A3899" s="47">
        <v>9676</v>
      </c>
      <c r="B3899" s="78">
        <v>45327</v>
      </c>
      <c r="C3899" s="47" t="s">
        <v>74</v>
      </c>
      <c r="D3899" s="49" t="s">
        <v>299</v>
      </c>
      <c r="E3899" s="47">
        <v>109095</v>
      </c>
      <c r="G3899" s="50" t="s">
        <v>89</v>
      </c>
      <c r="H3899" s="51">
        <v>67</v>
      </c>
      <c r="J3899" s="51">
        <v>5.15</v>
      </c>
      <c r="K3899" s="74">
        <f>Tabela6[[#This Row],[CONSUMO]]*Tabela6[[#This Row],[VALOR UNIT]]-Tabela6[[#This Row],[DESCONTO]]</f>
        <v>345.05</v>
      </c>
      <c r="L3899" s="53">
        <f>Tabela6[[#This Row],[CUSTO TOTAL]]/Tabela6[[#This Row],[CONSUMO]]</f>
        <v>5.15</v>
      </c>
      <c r="M3899" s="50">
        <f>Tabela6[[#This Row],[KM ATUAL]]-E3871</f>
        <v>102405</v>
      </c>
      <c r="N3899" s="51">
        <f>Tabela6[[#This Row],[KM Rodados ]]/Tabela6[[#This Row],[CONSUMO]]</f>
        <v>1528.4328358208954</v>
      </c>
    </row>
    <row r="3900" spans="1:14" x14ac:dyDescent="0.25">
      <c r="A3900" s="47">
        <v>98454</v>
      </c>
      <c r="B3900" s="78">
        <v>45327</v>
      </c>
      <c r="C3900" s="47" t="s">
        <v>401</v>
      </c>
      <c r="D3900" s="49" t="s">
        <v>335</v>
      </c>
      <c r="E3900" s="47">
        <v>7967</v>
      </c>
      <c r="G3900" s="50" t="s">
        <v>241</v>
      </c>
      <c r="H3900" s="51">
        <v>24.47</v>
      </c>
      <c r="J3900" s="51">
        <v>2.4500000000000002</v>
      </c>
      <c r="K3900" s="74">
        <f>Tabela6[[#This Row],[CONSUMO]]*Tabela6[[#This Row],[VALOR UNIT]]-Tabela6[[#This Row],[DESCONTO]]</f>
        <v>59.951500000000003</v>
      </c>
      <c r="L3900" s="53">
        <f>Tabela6[[#This Row],[CUSTO TOTAL]]/Tabela6[[#This Row],[CONSUMO]]</f>
        <v>2.4500000000000002</v>
      </c>
      <c r="M3900" s="53"/>
      <c r="N3900" s="49"/>
    </row>
    <row r="3901" spans="1:14" x14ac:dyDescent="0.25">
      <c r="A3901" s="47">
        <v>549</v>
      </c>
      <c r="B3901" s="78">
        <v>45327</v>
      </c>
      <c r="C3901" s="47" t="s">
        <v>401</v>
      </c>
      <c r="D3901" s="49" t="s">
        <v>335</v>
      </c>
      <c r="E3901" s="47">
        <v>7976</v>
      </c>
      <c r="G3901" s="50" t="s">
        <v>89</v>
      </c>
      <c r="H3901" s="51">
        <v>87</v>
      </c>
      <c r="I3901" s="49">
        <v>14.79</v>
      </c>
      <c r="J3901" s="51">
        <v>6.22</v>
      </c>
      <c r="K3901" s="74">
        <f>Tabela6[[#This Row],[CONSUMO]]*Tabela6[[#This Row],[VALOR UNIT]]-Tabela6[[#This Row],[DESCONTO]]</f>
        <v>526.35</v>
      </c>
      <c r="L3901" s="53">
        <f>Tabela6[[#This Row],[CUSTO TOTAL]]/Tabela6[[#This Row],[CONSUMO]]</f>
        <v>6.05</v>
      </c>
      <c r="M3901" s="50">
        <f>Tabela6[[#This Row],[KM ATUAL]]-E3885</f>
        <v>-175379</v>
      </c>
      <c r="N3901" s="51">
        <f>Tabela6[[#This Row],[KM Rodados ]]/Tabela6[[#This Row],[CONSUMO]]</f>
        <v>-2015.8505747126437</v>
      </c>
    </row>
    <row r="3902" spans="1:14" x14ac:dyDescent="0.25">
      <c r="A3902" s="47">
        <v>9676</v>
      </c>
      <c r="B3902" s="78">
        <v>45327</v>
      </c>
      <c r="C3902" s="47" t="s">
        <v>401</v>
      </c>
      <c r="D3902" s="49" t="s">
        <v>299</v>
      </c>
      <c r="E3902" s="47">
        <v>7609</v>
      </c>
      <c r="G3902" s="50" t="s">
        <v>89</v>
      </c>
      <c r="H3902" s="51">
        <v>121</v>
      </c>
      <c r="J3902" s="51">
        <v>5.15</v>
      </c>
      <c r="K3902" s="74">
        <f>Tabela6[[#This Row],[CONSUMO]]*Tabela6[[#This Row],[VALOR UNIT]]-Tabela6[[#This Row],[DESCONTO]]</f>
        <v>623.15000000000009</v>
      </c>
      <c r="L3902" s="53">
        <f>Tabela6[[#This Row],[CUSTO TOTAL]]/Tabela6[[#This Row],[CONSUMO]]</f>
        <v>5.15</v>
      </c>
      <c r="M3902" s="50">
        <f>Tabela6[[#This Row],[KM ATUAL]]-E3897</f>
        <v>-689959</v>
      </c>
      <c r="N3902" s="51">
        <f>Tabela6[[#This Row],[KM Rodados ]]/Tabela6[[#This Row],[CONSUMO]]</f>
        <v>-5702.1404958677685</v>
      </c>
    </row>
    <row r="3903" spans="1:14" x14ac:dyDescent="0.25">
      <c r="A3903" s="47">
        <v>9676</v>
      </c>
      <c r="B3903" s="78">
        <v>45328</v>
      </c>
      <c r="C3903" s="47" t="s">
        <v>43</v>
      </c>
      <c r="D3903" s="49" t="s">
        <v>299</v>
      </c>
      <c r="E3903" s="47">
        <v>176051</v>
      </c>
      <c r="G3903" s="50" t="s">
        <v>89</v>
      </c>
      <c r="H3903" s="51">
        <v>9</v>
      </c>
      <c r="J3903" s="51">
        <v>5.15</v>
      </c>
      <c r="K3903" s="74">
        <f>Tabela6[[#This Row],[CONSUMO]]*Tabela6[[#This Row],[VALOR UNIT]]-Tabela6[[#This Row],[DESCONTO]]</f>
        <v>46.35</v>
      </c>
      <c r="L3903" s="53">
        <f>Tabela6[[#This Row],[CUSTO TOTAL]]/Tabela6[[#This Row],[CONSUMO]]</f>
        <v>5.15</v>
      </c>
      <c r="M3903" s="50">
        <f>Tabela6[[#This Row],[KM ATUAL]]-E3848</f>
        <v>66784</v>
      </c>
      <c r="N3903" s="51">
        <f>Tabela6[[#This Row],[KM Rodados ]]/Tabela6[[#This Row],[CONSUMO]]</f>
        <v>7420.4444444444443</v>
      </c>
    </row>
    <row r="3904" spans="1:14" x14ac:dyDescent="0.25">
      <c r="A3904" s="47">
        <v>9676</v>
      </c>
      <c r="B3904" s="78">
        <v>45328</v>
      </c>
      <c r="C3904" s="47" t="s">
        <v>394</v>
      </c>
      <c r="D3904" s="49" t="s">
        <v>299</v>
      </c>
      <c r="E3904" s="47">
        <v>885664</v>
      </c>
      <c r="G3904" s="50" t="s">
        <v>89</v>
      </c>
      <c r="H3904" s="51">
        <v>173</v>
      </c>
      <c r="J3904" s="51">
        <v>5.15</v>
      </c>
      <c r="K3904" s="74">
        <f>Tabela6[[#This Row],[CONSUMO]]*Tabela6[[#This Row],[VALOR UNIT]]-Tabela6[[#This Row],[DESCONTO]]</f>
        <v>890.95</v>
      </c>
      <c r="L3904" s="53">
        <f>Tabela6[[#This Row],[CUSTO TOTAL]]/Tabela6[[#This Row],[CONSUMO]]</f>
        <v>5.15</v>
      </c>
      <c r="M3904" s="50">
        <f>Tabela6[[#This Row],[KM ATUAL]]-E3849</f>
        <v>188936</v>
      </c>
      <c r="N3904" s="51">
        <f>Tabela6[[#This Row],[KM Rodados ]]/Tabela6[[#This Row],[CONSUMO]]</f>
        <v>1092.1156069364163</v>
      </c>
    </row>
    <row r="3905" spans="1:14" x14ac:dyDescent="0.25">
      <c r="A3905" s="47">
        <v>9676</v>
      </c>
      <c r="B3905" s="78">
        <v>45328</v>
      </c>
      <c r="C3905" s="47" t="s">
        <v>222</v>
      </c>
      <c r="D3905" s="49" t="s">
        <v>299</v>
      </c>
      <c r="E3905" s="47">
        <v>552621</v>
      </c>
      <c r="G3905" s="50" t="s">
        <v>89</v>
      </c>
      <c r="H3905" s="51">
        <v>451</v>
      </c>
      <c r="J3905" s="51">
        <v>5.15</v>
      </c>
      <c r="K3905" s="74">
        <f>Tabela6[[#This Row],[CONSUMO]]*Tabela6[[#This Row],[VALOR UNIT]]-Tabela6[[#This Row],[DESCONTO]]</f>
        <v>2322.65</v>
      </c>
      <c r="L3905" s="53">
        <f>Tabela6[[#This Row],[CUSTO TOTAL]]/Tabela6[[#This Row],[CONSUMO]]</f>
        <v>5.15</v>
      </c>
      <c r="M3905" s="50">
        <f>Tabela6[[#This Row],[KM ATUAL]]-E3850</f>
        <v>-190124</v>
      </c>
      <c r="N3905" s="51">
        <f>Tabela6[[#This Row],[KM Rodados ]]/Tabela6[[#This Row],[CONSUMO]]</f>
        <v>-421.5609756097561</v>
      </c>
    </row>
    <row r="3906" spans="1:14" x14ac:dyDescent="0.25">
      <c r="A3906" s="47">
        <v>282321</v>
      </c>
      <c r="B3906" s="78">
        <v>45328</v>
      </c>
      <c r="C3906" s="47" t="s">
        <v>67</v>
      </c>
      <c r="D3906" s="49" t="s">
        <v>273</v>
      </c>
      <c r="E3906" s="47">
        <v>699325</v>
      </c>
      <c r="G3906" s="50" t="s">
        <v>89</v>
      </c>
      <c r="H3906" s="51">
        <v>145.02000000000001</v>
      </c>
      <c r="J3906" s="51">
        <v>5.69</v>
      </c>
      <c r="K3906" s="74">
        <f>Tabela6[[#This Row],[CONSUMO]]*Tabela6[[#This Row],[VALOR UNIT]]-Tabela6[[#This Row],[DESCONTO]]</f>
        <v>825.16380000000015</v>
      </c>
      <c r="L3906" s="53">
        <f>Tabela6[[#This Row],[CUSTO TOTAL]]/Tabela6[[#This Row],[CONSUMO]]</f>
        <v>5.69</v>
      </c>
      <c r="M3906" s="50">
        <f>Tabela6[[#This Row],[KM ATUAL]]-E3890</f>
        <v>523338</v>
      </c>
      <c r="N3906" s="51">
        <f>Tabela6[[#This Row],[KM Rodados ]]/Tabela6[[#This Row],[CONSUMO]]</f>
        <v>3608.7298303682246</v>
      </c>
    </row>
    <row r="3907" spans="1:14" x14ac:dyDescent="0.25">
      <c r="A3907" s="47">
        <v>155932</v>
      </c>
      <c r="B3907" s="78">
        <v>45328</v>
      </c>
      <c r="C3907" s="47" t="s">
        <v>39</v>
      </c>
      <c r="D3907" s="49" t="s">
        <v>253</v>
      </c>
      <c r="E3907" s="47">
        <v>118346</v>
      </c>
      <c r="G3907" s="50" t="s">
        <v>89</v>
      </c>
      <c r="H3907" s="51">
        <v>89.96</v>
      </c>
      <c r="J3907" s="51">
        <v>6.09</v>
      </c>
      <c r="K3907" s="74">
        <f>Tabela6[[#This Row],[CONSUMO]]*Tabela6[[#This Row],[VALOR UNIT]]-Tabela6[[#This Row],[DESCONTO]]</f>
        <v>547.85639999999989</v>
      </c>
      <c r="L3907" s="53">
        <f>Tabela6[[#This Row],[CUSTO TOTAL]]/Tabela6[[#This Row],[CONSUMO]]</f>
        <v>6.089999999999999</v>
      </c>
      <c r="M3907" s="50">
        <f>Tabela6[[#This Row],[KM ATUAL]]-E3844</f>
        <v>461</v>
      </c>
      <c r="N3907" s="51">
        <f>Tabela6[[#This Row],[KM Rodados ]]/Tabela6[[#This Row],[CONSUMO]]</f>
        <v>5.1244997776789685</v>
      </c>
    </row>
    <row r="3908" spans="1:14" x14ac:dyDescent="0.25">
      <c r="A3908" s="47">
        <v>155932</v>
      </c>
      <c r="B3908" s="78">
        <v>45328</v>
      </c>
      <c r="C3908" s="47" t="s">
        <v>39</v>
      </c>
      <c r="D3908" s="49" t="s">
        <v>253</v>
      </c>
      <c r="E3908" s="47">
        <v>118346</v>
      </c>
      <c r="G3908" s="50" t="s">
        <v>241</v>
      </c>
      <c r="H3908" s="51">
        <v>16.007000000000001</v>
      </c>
      <c r="J3908" s="51">
        <v>3.49</v>
      </c>
      <c r="K3908" s="74">
        <f>Tabela6[[#This Row],[CONSUMO]]*Tabela6[[#This Row],[VALOR UNIT]]-Tabela6[[#This Row],[DESCONTO]]</f>
        <v>55.864430000000006</v>
      </c>
      <c r="L3908" s="53">
        <f>Tabela6[[#This Row],[CUSTO TOTAL]]/Tabela6[[#This Row],[CONSUMO]]</f>
        <v>3.49</v>
      </c>
      <c r="M3908" s="53"/>
      <c r="N3908" s="49"/>
    </row>
    <row r="3909" spans="1:14" x14ac:dyDescent="0.25">
      <c r="A3909" s="47">
        <v>140457</v>
      </c>
      <c r="B3909" s="78">
        <v>45328</v>
      </c>
      <c r="C3909" s="47" t="s">
        <v>203</v>
      </c>
      <c r="D3909" s="49" t="s">
        <v>300</v>
      </c>
      <c r="E3909" s="47">
        <v>140243</v>
      </c>
      <c r="G3909" s="50" t="s">
        <v>244</v>
      </c>
      <c r="H3909" s="51">
        <v>36.130000000000003</v>
      </c>
      <c r="J3909" s="51">
        <v>5.19</v>
      </c>
      <c r="K3909" s="74">
        <f>Tabela6[[#This Row],[CONSUMO]]*Tabela6[[#This Row],[VALOR UNIT]]-Tabela6[[#This Row],[DESCONTO]]</f>
        <v>187.51470000000003</v>
      </c>
      <c r="L3909" s="53">
        <f>Tabela6[[#This Row],[CUSTO TOTAL]]/Tabela6[[#This Row],[CONSUMO]]</f>
        <v>5.19</v>
      </c>
      <c r="M3909" s="50">
        <f>Tabela6[[#This Row],[KM ATUAL]]-E3854</f>
        <v>-212782</v>
      </c>
      <c r="N3909" s="51">
        <f>Tabela6[[#This Row],[KM Rodados ]]/Tabela6[[#This Row],[CONSUMO]]</f>
        <v>-5889.3440354276217</v>
      </c>
    </row>
    <row r="3910" spans="1:14" x14ac:dyDescent="0.25">
      <c r="A3910" s="47">
        <v>241169</v>
      </c>
      <c r="B3910" s="78">
        <v>45328</v>
      </c>
      <c r="C3910" s="47" t="s">
        <v>72</v>
      </c>
      <c r="D3910" s="49" t="s">
        <v>262</v>
      </c>
      <c r="E3910" s="47">
        <v>439769</v>
      </c>
      <c r="G3910" s="50" t="s">
        <v>89</v>
      </c>
      <c r="H3910" s="51">
        <v>17.39</v>
      </c>
      <c r="J3910" s="51">
        <v>5.99</v>
      </c>
      <c r="K3910" s="74">
        <f>Tabela6[[#This Row],[CONSUMO]]*Tabela6[[#This Row],[VALOR UNIT]]-Tabela6[[#This Row],[DESCONTO]]</f>
        <v>104.1661</v>
      </c>
      <c r="L3910" s="53">
        <f>Tabela6[[#This Row],[CUSTO TOTAL]]/Tabela6[[#This Row],[CONSUMO]]</f>
        <v>5.99</v>
      </c>
      <c r="M3910" s="50">
        <f>Tabela6[[#This Row],[KM ATUAL]]-E3855</f>
        <v>143968</v>
      </c>
      <c r="N3910" s="51">
        <f>Tabela6[[#This Row],[KM Rodados ]]/Tabela6[[#This Row],[CONSUMO]]</f>
        <v>8278.780908568142</v>
      </c>
    </row>
    <row r="3911" spans="1:14" x14ac:dyDescent="0.25">
      <c r="A3911" s="47">
        <v>3595</v>
      </c>
      <c r="B3911" s="78">
        <v>45328</v>
      </c>
      <c r="C3911" s="47" t="s">
        <v>72</v>
      </c>
      <c r="D3911" s="49" t="s">
        <v>389</v>
      </c>
      <c r="E3911" s="47">
        <v>440133</v>
      </c>
      <c r="G3911" s="50" t="s">
        <v>89</v>
      </c>
      <c r="H3911" s="51">
        <v>43.148000000000003</v>
      </c>
      <c r="J3911" s="51">
        <v>6.29</v>
      </c>
      <c r="K3911" s="74">
        <f>Tabela6[[#This Row],[CONSUMO]]*Tabela6[[#This Row],[VALOR UNIT]]-Tabela6[[#This Row],[DESCONTO]]</f>
        <v>271.40092000000004</v>
      </c>
      <c r="L3911" s="53">
        <f>Tabela6[[#This Row],[CUSTO TOTAL]]/Tabela6[[#This Row],[CONSUMO]]</f>
        <v>6.2900000000000009</v>
      </c>
      <c r="M3911" s="50">
        <f>Tabela6[[#This Row],[KM ATUAL]]-E3856</f>
        <v>143930</v>
      </c>
      <c r="N3911" s="51">
        <f>Tabela6[[#This Row],[KM Rodados ]]/Tabela6[[#This Row],[CONSUMO]]</f>
        <v>3335.7281913414295</v>
      </c>
    </row>
    <row r="3912" spans="1:14" x14ac:dyDescent="0.25">
      <c r="A3912" s="47">
        <v>35974</v>
      </c>
      <c r="B3912" s="78">
        <v>45328</v>
      </c>
      <c r="C3912" s="47" t="s">
        <v>71</v>
      </c>
      <c r="D3912" s="49" t="s">
        <v>332</v>
      </c>
      <c r="E3912" s="47">
        <v>150965</v>
      </c>
      <c r="G3912" s="50" t="s">
        <v>89</v>
      </c>
      <c r="H3912" s="51">
        <v>466.78</v>
      </c>
      <c r="J3912" s="51">
        <v>5.94</v>
      </c>
      <c r="K3912" s="74">
        <f>Tabela6[[#This Row],[CONSUMO]]*Tabela6[[#This Row],[VALOR UNIT]]-Tabela6[[#This Row],[DESCONTO]]</f>
        <v>2772.6732000000002</v>
      </c>
      <c r="L3912" s="53">
        <f>Tabela6[[#This Row],[CUSTO TOTAL]]/Tabela6[[#This Row],[CONSUMO]]</f>
        <v>5.94</v>
      </c>
      <c r="M3912" s="50">
        <f>Tabela6[[#This Row],[KM ATUAL]]-E3897</f>
        <v>-546603</v>
      </c>
      <c r="N3912" s="51">
        <f>Tabela6[[#This Row],[KM Rodados ]]/Tabela6[[#This Row],[CONSUMO]]</f>
        <v>-1171.0077552594371</v>
      </c>
    </row>
    <row r="3913" spans="1:14" x14ac:dyDescent="0.25">
      <c r="A3913" s="47">
        <v>35972</v>
      </c>
      <c r="B3913" s="78">
        <v>45328</v>
      </c>
      <c r="C3913" s="47" t="s">
        <v>301</v>
      </c>
      <c r="D3913" s="49" t="s">
        <v>332</v>
      </c>
      <c r="E3913" s="47">
        <v>1092780</v>
      </c>
      <c r="G3913" s="50" t="s">
        <v>89</v>
      </c>
      <c r="H3913" s="51">
        <v>512.02</v>
      </c>
      <c r="J3913" s="51">
        <v>5.94</v>
      </c>
      <c r="K3913" s="74">
        <f>Tabela6[[#This Row],[CONSUMO]]*Tabela6[[#This Row],[VALOR UNIT]]-Tabela6[[#This Row],[DESCONTO]]</f>
        <v>3041.3987999999999</v>
      </c>
      <c r="L3913" s="53">
        <f>Tabela6[[#This Row],[CUSTO TOTAL]]/Tabela6[[#This Row],[CONSUMO]]</f>
        <v>5.94</v>
      </c>
      <c r="M3913" s="50">
        <f>Tabela6[[#This Row],[KM ATUAL]]-E3896</f>
        <v>942604</v>
      </c>
      <c r="N3913" s="51">
        <f>Tabela6[[#This Row],[KM Rodados ]]/Tabela6[[#This Row],[CONSUMO]]</f>
        <v>1840.9515253310419</v>
      </c>
    </row>
    <row r="3914" spans="1:14" x14ac:dyDescent="0.25">
      <c r="A3914" s="47">
        <v>9676</v>
      </c>
      <c r="B3914" s="78">
        <v>45328</v>
      </c>
      <c r="C3914" s="47" t="s">
        <v>206</v>
      </c>
      <c r="D3914" s="49" t="s">
        <v>299</v>
      </c>
      <c r="E3914" s="47">
        <v>994455</v>
      </c>
      <c r="G3914" s="50" t="s">
        <v>89</v>
      </c>
      <c r="H3914" s="51">
        <v>265</v>
      </c>
      <c r="J3914" s="51">
        <v>5.15</v>
      </c>
      <c r="K3914" s="74">
        <f>Tabela6[[#This Row],[CONSUMO]]*Tabela6[[#This Row],[VALOR UNIT]]-Tabela6[[#This Row],[DESCONTO]]</f>
        <v>1364.75</v>
      </c>
      <c r="L3914" s="53">
        <f>Tabela6[[#This Row],[CUSTO TOTAL]]/Tabela6[[#This Row],[CONSUMO]]</f>
        <v>5.15</v>
      </c>
      <c r="M3914" s="50">
        <f>Tabela6[[#This Row],[KM ATUAL]]-E3859</f>
        <v>973845</v>
      </c>
      <c r="N3914" s="51">
        <f>Tabela6[[#This Row],[KM Rodados ]]/Tabela6[[#This Row],[CONSUMO]]</f>
        <v>3674.8867924528304</v>
      </c>
    </row>
    <row r="3915" spans="1:14" x14ac:dyDescent="0.25">
      <c r="A3915" s="47">
        <v>373280</v>
      </c>
      <c r="B3915" s="78">
        <v>45328</v>
      </c>
      <c r="C3915" s="47" t="s">
        <v>13</v>
      </c>
      <c r="D3915" s="49" t="s">
        <v>276</v>
      </c>
      <c r="G3915" s="50" t="s">
        <v>241</v>
      </c>
      <c r="H3915" s="51">
        <v>19</v>
      </c>
      <c r="J3915" s="51">
        <v>3.69</v>
      </c>
      <c r="K3915" s="74">
        <f>Tabela6[[#This Row],[CONSUMO]]*Tabela6[[#This Row],[VALOR UNIT]]-Tabela6[[#This Row],[DESCONTO]]</f>
        <v>70.11</v>
      </c>
      <c r="L3915" s="53">
        <f>Tabela6[[#This Row],[CUSTO TOTAL]]/Tabela6[[#This Row],[CONSUMO]]</f>
        <v>3.69</v>
      </c>
      <c r="M3915" s="50">
        <f>Tabela6[[#This Row],[KM ATUAL]]-E3860</f>
        <v>-59003</v>
      </c>
      <c r="N3915" s="51">
        <f>Tabela6[[#This Row],[KM Rodados ]]/Tabela6[[#This Row],[CONSUMO]]</f>
        <v>-3105.4210526315787</v>
      </c>
    </row>
    <row r="3916" spans="1:14" x14ac:dyDescent="0.25">
      <c r="A3916" s="47">
        <v>241215</v>
      </c>
      <c r="B3916" s="78">
        <v>45328</v>
      </c>
      <c r="C3916" s="47" t="s">
        <v>14</v>
      </c>
      <c r="D3916" s="49" t="s">
        <v>262</v>
      </c>
      <c r="E3916" s="47">
        <v>315313</v>
      </c>
      <c r="G3916" s="50" t="s">
        <v>244</v>
      </c>
      <c r="H3916" s="51">
        <v>42.719000000000001</v>
      </c>
      <c r="J3916" s="51">
        <v>5.59</v>
      </c>
      <c r="K3916" s="74">
        <f>Tabela6[[#This Row],[CONSUMO]]*Tabela6[[#This Row],[VALOR UNIT]]-Tabela6[[#This Row],[DESCONTO]]</f>
        <v>238.79920999999999</v>
      </c>
      <c r="L3916" s="53">
        <f>Tabela6[[#This Row],[CUSTO TOTAL]]/Tabela6[[#This Row],[CONSUMO]]</f>
        <v>5.59</v>
      </c>
      <c r="M3916" s="50">
        <f>Tabela6[[#This Row],[KM ATUAL]]-E3861</f>
        <v>309005</v>
      </c>
      <c r="N3916" s="51">
        <f>Tabela6[[#This Row],[KM Rodados ]]/Tabela6[[#This Row],[CONSUMO]]</f>
        <v>7233.4324305344226</v>
      </c>
    </row>
    <row r="3917" spans="1:14" x14ac:dyDescent="0.25">
      <c r="A3917" s="47">
        <v>9676</v>
      </c>
      <c r="B3917" s="78">
        <v>45328</v>
      </c>
      <c r="C3917" s="47" t="s">
        <v>15</v>
      </c>
      <c r="D3917" s="49" t="s">
        <v>299</v>
      </c>
      <c r="E3917" s="47">
        <v>411982</v>
      </c>
      <c r="G3917" s="50" t="s">
        <v>89</v>
      </c>
      <c r="H3917" s="51">
        <v>60</v>
      </c>
      <c r="J3917" s="51">
        <v>5.15</v>
      </c>
      <c r="K3917" s="74">
        <f>Tabela6[[#This Row],[CONSUMO]]*Tabela6[[#This Row],[VALOR UNIT]]-Tabela6[[#This Row],[DESCONTO]]</f>
        <v>309</v>
      </c>
      <c r="L3917" s="53">
        <f>Tabela6[[#This Row],[CUSTO TOTAL]]/Tabela6[[#This Row],[CONSUMO]]</f>
        <v>5.15</v>
      </c>
      <c r="M3917" s="50">
        <f>Tabela6[[#This Row],[KM ATUAL]]-E3862</f>
        <v>406082</v>
      </c>
      <c r="N3917" s="51">
        <f>Tabela6[[#This Row],[KM Rodados ]]/Tabela6[[#This Row],[CONSUMO]]</f>
        <v>6768.0333333333338</v>
      </c>
    </row>
    <row r="3918" spans="1:14" x14ac:dyDescent="0.25">
      <c r="A3918" s="47">
        <v>9676</v>
      </c>
      <c r="B3918" s="78">
        <v>45328</v>
      </c>
      <c r="C3918" s="47" t="s">
        <v>17</v>
      </c>
      <c r="D3918" s="49" t="s">
        <v>299</v>
      </c>
      <c r="E3918" s="47">
        <v>394561</v>
      </c>
      <c r="G3918" s="50" t="s">
        <v>89</v>
      </c>
      <c r="H3918" s="51">
        <v>140</v>
      </c>
      <c r="J3918" s="51">
        <v>5.15</v>
      </c>
      <c r="K3918" s="74">
        <f>Tabela6[[#This Row],[CONSUMO]]*Tabela6[[#This Row],[VALOR UNIT]]-Tabela6[[#This Row],[DESCONTO]]</f>
        <v>721</v>
      </c>
      <c r="L3918" s="53">
        <f>Tabela6[[#This Row],[CUSTO TOTAL]]/Tabela6[[#This Row],[CONSUMO]]</f>
        <v>5.15</v>
      </c>
      <c r="M3918" s="50">
        <f>Tabela6[[#This Row],[KM ATUAL]]-E3863</f>
        <v>219426</v>
      </c>
      <c r="N3918" s="51">
        <f>Tabela6[[#This Row],[KM Rodados ]]/Tabela6[[#This Row],[CONSUMO]]</f>
        <v>1567.3285714285714</v>
      </c>
    </row>
    <row r="3919" spans="1:14" x14ac:dyDescent="0.25">
      <c r="A3919" s="47">
        <v>9676</v>
      </c>
      <c r="B3919" s="78">
        <v>45328</v>
      </c>
      <c r="C3919" s="47" t="s">
        <v>19</v>
      </c>
      <c r="D3919" s="49" t="s">
        <v>299</v>
      </c>
      <c r="E3919" s="47">
        <v>353737</v>
      </c>
      <c r="G3919" s="50" t="s">
        <v>89</v>
      </c>
      <c r="H3919" s="51">
        <v>150</v>
      </c>
      <c r="J3919" s="51">
        <v>5.15</v>
      </c>
      <c r="K3919" s="74">
        <f>Tabela6[[#This Row],[CONSUMO]]*Tabela6[[#This Row],[VALOR UNIT]]-Tabela6[[#This Row],[DESCONTO]]</f>
        <v>772.5</v>
      </c>
      <c r="L3919" s="53">
        <f>Tabela6[[#This Row],[CUSTO TOTAL]]/Tabela6[[#This Row],[CONSUMO]]</f>
        <v>5.15</v>
      </c>
      <c r="M3919" s="50">
        <f>Tabela6[[#This Row],[KM ATUAL]]-E3864</f>
        <v>-531347</v>
      </c>
      <c r="N3919" s="51">
        <f>Tabela6[[#This Row],[KM Rodados ]]/Tabela6[[#This Row],[CONSUMO]]</f>
        <v>-3542.3133333333335</v>
      </c>
    </row>
    <row r="3920" spans="1:14" x14ac:dyDescent="0.25">
      <c r="A3920" s="47">
        <v>241162</v>
      </c>
      <c r="B3920" s="78">
        <v>45328</v>
      </c>
      <c r="C3920" s="47" t="s">
        <v>20</v>
      </c>
      <c r="D3920" s="49" t="s">
        <v>262</v>
      </c>
      <c r="E3920" s="47">
        <v>297182</v>
      </c>
      <c r="G3920" s="50" t="s">
        <v>89</v>
      </c>
      <c r="H3920" s="51">
        <v>51.311</v>
      </c>
      <c r="J3920" s="51">
        <v>5.99</v>
      </c>
      <c r="K3920" s="74">
        <f>Tabela6[[#This Row],[CONSUMO]]*Tabela6[[#This Row],[VALOR UNIT]]-Tabela6[[#This Row],[DESCONTO]]</f>
        <v>307.35289</v>
      </c>
      <c r="L3920" s="53">
        <f>Tabela6[[#This Row],[CUSTO TOTAL]]/Tabela6[[#This Row],[CONSUMO]]</f>
        <v>5.99</v>
      </c>
      <c r="M3920" s="50">
        <f>Tabela6[[#This Row],[KM ATUAL]]-E3865</f>
        <v>-54433</v>
      </c>
      <c r="N3920" s="51">
        <f>Tabela6[[#This Row],[KM Rodados ]]/Tabela6[[#This Row],[CONSUMO]]</f>
        <v>-1060.8446531932725</v>
      </c>
    </row>
    <row r="3921" spans="1:14" x14ac:dyDescent="0.25">
      <c r="A3921" s="47">
        <v>9676</v>
      </c>
      <c r="B3921" s="78">
        <v>45328</v>
      </c>
      <c r="C3921" s="47" t="s">
        <v>20</v>
      </c>
      <c r="D3921" s="49" t="s">
        <v>299</v>
      </c>
      <c r="E3921" s="47">
        <v>297697</v>
      </c>
      <c r="G3921" s="50" t="s">
        <v>89</v>
      </c>
      <c r="H3921" s="51">
        <v>57</v>
      </c>
      <c r="J3921" s="51">
        <v>5.15</v>
      </c>
      <c r="K3921" s="74">
        <f>Tabela6[[#This Row],[CONSUMO]]*Tabela6[[#This Row],[VALOR UNIT]]-Tabela6[[#This Row],[DESCONTO]]</f>
        <v>293.55</v>
      </c>
      <c r="L3921" s="53">
        <f>Tabela6[[#This Row],[CUSTO TOTAL]]/Tabela6[[#This Row],[CONSUMO]]</f>
        <v>5.15</v>
      </c>
      <c r="M3921" s="50">
        <f>Tabela6[[#This Row],[KM ATUAL]]-E3866</f>
        <v>158490</v>
      </c>
      <c r="N3921" s="51">
        <f>Tabela6[[#This Row],[KM Rodados ]]/Tabela6[[#This Row],[CONSUMO]]</f>
        <v>2780.5263157894738</v>
      </c>
    </row>
    <row r="3922" spans="1:14" x14ac:dyDescent="0.25">
      <c r="A3922" s="47">
        <v>155511</v>
      </c>
      <c r="B3922" s="78">
        <v>45328</v>
      </c>
      <c r="C3922" s="47" t="s">
        <v>40</v>
      </c>
      <c r="D3922" s="49" t="s">
        <v>253</v>
      </c>
      <c r="E3922" s="47">
        <v>183932</v>
      </c>
      <c r="G3922" s="50" t="s">
        <v>244</v>
      </c>
      <c r="H3922" s="51">
        <v>46.49</v>
      </c>
      <c r="J3922" s="51">
        <v>6.59</v>
      </c>
      <c r="K3922" s="74">
        <f>Tabela6[[#This Row],[CONSUMO]]*Tabela6[[#This Row],[VALOR UNIT]]-Tabela6[[#This Row],[DESCONTO]]</f>
        <v>306.3691</v>
      </c>
      <c r="L3922" s="53">
        <f>Tabela6[[#This Row],[CUSTO TOTAL]]/Tabela6[[#This Row],[CONSUMO]]</f>
        <v>6.59</v>
      </c>
      <c r="M3922" s="53" t="e" cm="1">
        <f t="array" ref="M3922">SE</f>
        <v>#NAME?</v>
      </c>
      <c r="N3922" s="49" t="e">
        <f>Tabela6[[#This Row],[KM Rodados ]]/Tabela6[[#This Row],[CONSUMO]]</f>
        <v>#NAME?</v>
      </c>
    </row>
    <row r="3923" spans="1:14" x14ac:dyDescent="0.25">
      <c r="A3923" s="47">
        <v>373240</v>
      </c>
      <c r="B3923" s="78">
        <v>45328</v>
      </c>
      <c r="C3923" s="47" t="s">
        <v>74</v>
      </c>
      <c r="D3923" s="49" t="s">
        <v>276</v>
      </c>
      <c r="E3923" s="47">
        <v>109100</v>
      </c>
      <c r="G3923" s="50" t="s">
        <v>241</v>
      </c>
      <c r="H3923" s="51">
        <v>11.627000000000001</v>
      </c>
      <c r="J3923" s="51">
        <v>3.69</v>
      </c>
      <c r="K3923" s="74">
        <f>Tabela6[[#This Row],[CONSUMO]]*Tabela6[[#This Row],[VALOR UNIT]]-Tabela6[[#This Row],[DESCONTO]]</f>
        <v>42.90363</v>
      </c>
      <c r="L3923" s="53">
        <f>Tabela6[[#This Row],[CUSTO TOTAL]]/Tabela6[[#This Row],[CONSUMO]]</f>
        <v>3.69</v>
      </c>
      <c r="M3923" s="53"/>
      <c r="N3923" s="49"/>
    </row>
    <row r="3924" spans="1:14" x14ac:dyDescent="0.25">
      <c r="A3924" s="47">
        <v>155887</v>
      </c>
      <c r="B3924" s="78">
        <v>45328</v>
      </c>
      <c r="C3924" s="47" t="s">
        <v>315</v>
      </c>
      <c r="D3924" s="49" t="s">
        <v>253</v>
      </c>
      <c r="E3924" s="47">
        <v>17207</v>
      </c>
      <c r="G3924" s="50" t="s">
        <v>89</v>
      </c>
      <c r="H3924" s="51">
        <v>45.07</v>
      </c>
      <c r="J3924" s="51">
        <v>6.09</v>
      </c>
      <c r="K3924" s="74">
        <f>Tabela6[[#This Row],[CONSUMO]]*Tabela6[[#This Row],[VALOR UNIT]]-Tabela6[[#This Row],[DESCONTO]]</f>
        <v>274.47629999999998</v>
      </c>
      <c r="L3924" s="53">
        <f>Tabela6[[#This Row],[CUSTO TOTAL]]/Tabela6[[#This Row],[CONSUMO]]</f>
        <v>6.09</v>
      </c>
      <c r="M3924" s="50">
        <f>Tabela6[[#This Row],[KM ATUAL]]-E3890</f>
        <v>-158780</v>
      </c>
      <c r="N3924" s="51">
        <f>Tabela6[[#This Row],[KM Rodados ]]/Tabela6[[#This Row],[CONSUMO]]</f>
        <v>-3522.9642777901045</v>
      </c>
    </row>
    <row r="3925" spans="1:14" x14ac:dyDescent="0.25">
      <c r="A3925" s="47">
        <v>196118</v>
      </c>
      <c r="B3925" s="78">
        <v>45329</v>
      </c>
      <c r="C3925" s="47" t="s">
        <v>43</v>
      </c>
      <c r="D3925" s="49" t="s">
        <v>263</v>
      </c>
      <c r="E3925" s="47">
        <v>176292</v>
      </c>
      <c r="G3925" s="50" t="s">
        <v>89</v>
      </c>
      <c r="H3925" s="51">
        <v>27.111000000000001</v>
      </c>
      <c r="I3925" s="49">
        <v>2.71</v>
      </c>
      <c r="J3925" s="51">
        <v>5.99</v>
      </c>
      <c r="K3925" s="74">
        <f>Tabela6[[#This Row],[CONSUMO]]*Tabela6[[#This Row],[VALOR UNIT]]-Tabela6[[#This Row],[DESCONTO]]</f>
        <v>159.68489</v>
      </c>
      <c r="L3925" s="53">
        <f>Tabela6[[#This Row],[CUSTO TOTAL]]/Tabela6[[#This Row],[CONSUMO]]</f>
        <v>5.890040573936778</v>
      </c>
      <c r="M3925" s="50">
        <f>Tabela6[[#This Row],[KM ATUAL]]-E3870</f>
        <v>67832</v>
      </c>
      <c r="N3925" s="51">
        <f>Tabela6[[#This Row],[KM Rodados ]]/Tabela6[[#This Row],[CONSUMO]]</f>
        <v>2502.0102541403858</v>
      </c>
    </row>
    <row r="3926" spans="1:14" x14ac:dyDescent="0.25">
      <c r="A3926" s="47">
        <v>9793</v>
      </c>
      <c r="B3926" s="78">
        <v>45329</v>
      </c>
      <c r="C3926" s="47" t="s">
        <v>72</v>
      </c>
      <c r="D3926" s="49" t="s">
        <v>299</v>
      </c>
      <c r="E3926" s="47">
        <v>440440</v>
      </c>
      <c r="G3926" s="50" t="s">
        <v>89</v>
      </c>
      <c r="H3926" s="51">
        <v>35</v>
      </c>
      <c r="J3926" s="51">
        <v>5.2</v>
      </c>
      <c r="K3926" s="74">
        <f>Tabela6[[#This Row],[CONSUMO]]*Tabela6[[#This Row],[VALOR UNIT]]-Tabela6[[#This Row],[DESCONTO]]</f>
        <v>182</v>
      </c>
      <c r="L3926" s="53">
        <f>Tabela6[[#This Row],[CUSTO TOTAL]]/Tabela6[[#This Row],[CONSUMO]]</f>
        <v>5.2</v>
      </c>
      <c r="M3926" s="50">
        <f>Tabela6[[#This Row],[KM ATUAL]]-E3871</f>
        <v>433750</v>
      </c>
      <c r="N3926" s="51">
        <f>Tabela6[[#This Row],[KM Rodados ]]/Tabela6[[#This Row],[CONSUMO]]</f>
        <v>12392.857142857143</v>
      </c>
    </row>
    <row r="3927" spans="1:14" x14ac:dyDescent="0.25">
      <c r="A3927" s="47">
        <v>9793</v>
      </c>
      <c r="B3927" s="78">
        <v>45329</v>
      </c>
      <c r="C3927" s="47" t="s">
        <v>73</v>
      </c>
      <c r="D3927" s="49" t="s">
        <v>299</v>
      </c>
      <c r="E3927" s="47">
        <v>178382</v>
      </c>
      <c r="G3927" s="50" t="s">
        <v>89</v>
      </c>
      <c r="H3927" s="51">
        <v>235</v>
      </c>
      <c r="J3927" s="51">
        <v>5.2</v>
      </c>
      <c r="K3927" s="74">
        <f>Tabela6[[#This Row],[CONSUMO]]*Tabela6[[#This Row],[VALOR UNIT]]-Tabela6[[#This Row],[DESCONTO]]</f>
        <v>1222</v>
      </c>
      <c r="L3927" s="53">
        <f>Tabela6[[#This Row],[CUSTO TOTAL]]/Tabela6[[#This Row],[CONSUMO]]</f>
        <v>5.2</v>
      </c>
      <c r="M3927" s="50">
        <f>Tabela6[[#This Row],[KM ATUAL]]-E3872</f>
        <v>2845</v>
      </c>
      <c r="N3927" s="51">
        <f>Tabela6[[#This Row],[KM Rodados ]]/Tabela6[[#This Row],[CONSUMO]]</f>
        <v>12.106382978723405</v>
      </c>
    </row>
    <row r="3928" spans="1:14" x14ac:dyDescent="0.25">
      <c r="A3928" s="47">
        <v>9793</v>
      </c>
      <c r="B3928" s="78">
        <v>45329</v>
      </c>
      <c r="C3928" s="47" t="s">
        <v>41</v>
      </c>
      <c r="D3928" s="49" t="s">
        <v>299</v>
      </c>
      <c r="E3928" s="47">
        <v>698066</v>
      </c>
      <c r="G3928" s="50" t="s">
        <v>89</v>
      </c>
      <c r="H3928" s="51">
        <v>120</v>
      </c>
      <c r="J3928" s="51">
        <v>5.2</v>
      </c>
      <c r="K3928" s="74">
        <f>Tabela6[[#This Row],[CONSUMO]]*Tabela6[[#This Row],[VALOR UNIT]]-Tabela6[[#This Row],[DESCONTO]]</f>
        <v>624</v>
      </c>
      <c r="L3928" s="53">
        <f>Tabela6[[#This Row],[CUSTO TOTAL]]/Tabela6[[#This Row],[CONSUMO]]</f>
        <v>5.2</v>
      </c>
      <c r="M3928" s="50">
        <f>Tabela6[[#This Row],[KM ATUAL]]-E3873</f>
        <v>146274</v>
      </c>
      <c r="N3928" s="51">
        <f>Tabela6[[#This Row],[KM Rodados ]]/Tabela6[[#This Row],[CONSUMO]]</f>
        <v>1218.95</v>
      </c>
    </row>
    <row r="3929" spans="1:14" x14ac:dyDescent="0.25">
      <c r="A3929" s="47">
        <v>9793</v>
      </c>
      <c r="B3929" s="78">
        <v>45329</v>
      </c>
      <c r="C3929" s="47" t="s">
        <v>10</v>
      </c>
      <c r="D3929" s="49" t="s">
        <v>299</v>
      </c>
      <c r="E3929" s="47">
        <v>743546</v>
      </c>
      <c r="G3929" s="50" t="s">
        <v>89</v>
      </c>
      <c r="H3929" s="51">
        <v>92</v>
      </c>
      <c r="J3929" s="51">
        <v>5.2</v>
      </c>
      <c r="K3929" s="74">
        <f>Tabela6[[#This Row],[CONSUMO]]*Tabela6[[#This Row],[VALOR UNIT]]-Tabela6[[#This Row],[DESCONTO]]</f>
        <v>478.40000000000003</v>
      </c>
      <c r="L3929" s="53">
        <f>Tabela6[[#This Row],[CUSTO TOTAL]]/Tabela6[[#This Row],[CONSUMO]]</f>
        <v>5.2</v>
      </c>
      <c r="M3929" s="50">
        <f>Tabela6[[#This Row],[KM ATUAL]]-E3874</f>
        <v>743546</v>
      </c>
      <c r="N3929" s="51">
        <f>Tabela6[[#This Row],[KM Rodados ]]/Tabela6[[#This Row],[CONSUMO]]</f>
        <v>8082.021739130435</v>
      </c>
    </row>
    <row r="3930" spans="1:14" x14ac:dyDescent="0.25">
      <c r="A3930" s="47">
        <v>373633</v>
      </c>
      <c r="B3930" s="78">
        <v>45329</v>
      </c>
      <c r="C3930" s="47" t="s">
        <v>14</v>
      </c>
      <c r="D3930" s="49" t="s">
        <v>276</v>
      </c>
      <c r="E3930" s="47">
        <v>315821</v>
      </c>
      <c r="G3930" s="50" t="s">
        <v>244</v>
      </c>
      <c r="H3930" s="51">
        <v>40.430999999999997</v>
      </c>
      <c r="J3930" s="51">
        <v>5.69</v>
      </c>
      <c r="K3930" s="74">
        <f>Tabela6[[#This Row],[CONSUMO]]*Tabela6[[#This Row],[VALOR UNIT]]-Tabela6[[#This Row],[DESCONTO]]</f>
        <v>230.05239</v>
      </c>
      <c r="L3930" s="53">
        <f>Tabela6[[#This Row],[CUSTO TOTAL]]/Tabela6[[#This Row],[CONSUMO]]</f>
        <v>5.69</v>
      </c>
      <c r="M3930" s="50">
        <f>Tabela6[[#This Row],[KM ATUAL]]-E3875</f>
        <v>54341</v>
      </c>
      <c r="N3930" s="51">
        <f>Tabela6[[#This Row],[KM Rodados ]]/Tabela6[[#This Row],[CONSUMO]]</f>
        <v>1344.0429373500533</v>
      </c>
    </row>
    <row r="3931" spans="1:14" x14ac:dyDescent="0.25">
      <c r="A3931" s="47">
        <v>603176</v>
      </c>
      <c r="B3931" s="78">
        <v>45329</v>
      </c>
      <c r="C3931" s="47" t="s">
        <v>16</v>
      </c>
      <c r="D3931" s="49" t="s">
        <v>255</v>
      </c>
      <c r="E3931" s="47">
        <v>603176</v>
      </c>
      <c r="G3931" s="50" t="s">
        <v>89</v>
      </c>
      <c r="H3931" s="51">
        <v>102.991</v>
      </c>
      <c r="J3931" s="51">
        <v>6.16</v>
      </c>
      <c r="K3931" s="74">
        <f>Tabela6[[#This Row],[CONSUMO]]*Tabela6[[#This Row],[VALOR UNIT]]-Tabela6[[#This Row],[DESCONTO]]</f>
        <v>634.42456000000004</v>
      </c>
      <c r="L3931" s="53">
        <f>Tabela6[[#This Row],[CUSTO TOTAL]]/Tabela6[[#This Row],[CONSUMO]]</f>
        <v>6.16</v>
      </c>
      <c r="M3931" s="50">
        <f>Tabela6[[#This Row],[KM ATUAL]]-E3876</f>
        <v>-140055</v>
      </c>
      <c r="N3931" s="51">
        <f>Tabela6[[#This Row],[KM Rodados ]]/Tabela6[[#This Row],[CONSUMO]]</f>
        <v>-1359.876105679137</v>
      </c>
    </row>
    <row r="3932" spans="1:14" x14ac:dyDescent="0.25">
      <c r="A3932" s="47">
        <v>603045</v>
      </c>
      <c r="B3932" s="78">
        <v>45329</v>
      </c>
      <c r="C3932" s="47" t="s">
        <v>38</v>
      </c>
      <c r="D3932" s="49" t="s">
        <v>255</v>
      </c>
      <c r="E3932" s="47">
        <v>143292</v>
      </c>
      <c r="G3932" s="50" t="s">
        <v>244</v>
      </c>
      <c r="H3932" s="51">
        <v>48.73</v>
      </c>
      <c r="J3932" s="51">
        <v>5.84</v>
      </c>
      <c r="K3932" s="74">
        <f>Tabela6[[#This Row],[CONSUMO]]*Tabela6[[#This Row],[VALOR UNIT]]-Tabela6[[#This Row],[DESCONTO]]</f>
        <v>284.58319999999998</v>
      </c>
      <c r="L3932" s="53">
        <f>Tabela6[[#This Row],[CUSTO TOTAL]]/Tabela6[[#This Row],[CONSUMO]]</f>
        <v>5.84</v>
      </c>
      <c r="M3932" s="50">
        <f>Tabela6[[#This Row],[KM ATUAL]]-E3877</f>
        <v>-267173</v>
      </c>
      <c r="N3932" s="51">
        <f>Tabela6[[#This Row],[KM Rodados ]]/Tabela6[[#This Row],[CONSUMO]]</f>
        <v>-5482.7211163554284</v>
      </c>
    </row>
    <row r="3933" spans="1:14" x14ac:dyDescent="0.25">
      <c r="A3933" s="47">
        <v>3520559</v>
      </c>
      <c r="B3933" s="78">
        <v>45329</v>
      </c>
      <c r="C3933" s="47" t="s">
        <v>40</v>
      </c>
      <c r="D3933" s="49" t="s">
        <v>268</v>
      </c>
      <c r="E3933" s="47">
        <v>184459</v>
      </c>
      <c r="G3933" s="50" t="s">
        <v>244</v>
      </c>
      <c r="H3933" s="51">
        <v>42.97</v>
      </c>
      <c r="J3933" s="51">
        <v>5.49</v>
      </c>
      <c r="K3933" s="74">
        <f>Tabela6[[#This Row],[CONSUMO]]*Tabela6[[#This Row],[VALOR UNIT]]-Tabela6[[#This Row],[DESCONTO]]</f>
        <v>235.90530000000001</v>
      </c>
      <c r="L3933" s="53">
        <f>Tabela6[[#This Row],[CUSTO TOTAL]]/Tabela6[[#This Row],[CONSUMO]]</f>
        <v>5.49</v>
      </c>
      <c r="M3933" s="50">
        <f>Tabela6[[#This Row],[KM ATUAL]]-E3878</f>
        <v>-130335</v>
      </c>
      <c r="N3933" s="51">
        <f>Tabela6[[#This Row],[KM Rodados ]]/Tabela6[[#This Row],[CONSUMO]]</f>
        <v>-3033.1626716313708</v>
      </c>
    </row>
    <row r="3934" spans="1:14" x14ac:dyDescent="0.25">
      <c r="A3934" s="47">
        <v>9793</v>
      </c>
      <c r="B3934" s="78">
        <v>45329</v>
      </c>
      <c r="C3934" s="47" t="s">
        <v>74</v>
      </c>
      <c r="D3934" s="49" t="s">
        <v>299</v>
      </c>
      <c r="E3934" s="47">
        <v>109724</v>
      </c>
      <c r="G3934" s="50" t="s">
        <v>89</v>
      </c>
      <c r="H3934" s="51">
        <v>70</v>
      </c>
      <c r="J3934" s="51">
        <v>5.2</v>
      </c>
      <c r="K3934" s="74">
        <f>Tabela6[[#This Row],[CONSUMO]]*Tabela6[[#This Row],[VALOR UNIT]]-Tabela6[[#This Row],[DESCONTO]]</f>
        <v>364</v>
      </c>
      <c r="L3934" s="53">
        <f>Tabela6[[#This Row],[CUSTO TOTAL]]/Tabela6[[#This Row],[CONSUMO]]</f>
        <v>5.2</v>
      </c>
      <c r="M3934" s="50">
        <f>Tabela6[[#This Row],[KM ATUAL]]-E3879</f>
        <v>-284278</v>
      </c>
      <c r="N3934" s="51">
        <f>Tabela6[[#This Row],[KM Rodados ]]/Tabela6[[#This Row],[CONSUMO]]</f>
        <v>-4061.1142857142859</v>
      </c>
    </row>
    <row r="3935" spans="1:14" x14ac:dyDescent="0.25">
      <c r="A3935" s="47">
        <v>9793</v>
      </c>
      <c r="B3935" s="78">
        <v>45329</v>
      </c>
      <c r="C3935" s="47" t="s">
        <v>401</v>
      </c>
      <c r="D3935" s="49" t="s">
        <v>299</v>
      </c>
      <c r="E3935" s="47">
        <v>8547</v>
      </c>
      <c r="G3935" s="50" t="s">
        <v>89</v>
      </c>
      <c r="H3935" s="51">
        <v>120</v>
      </c>
      <c r="J3935" s="51">
        <v>5.2</v>
      </c>
      <c r="K3935" s="74">
        <f>Tabela6[[#This Row],[CONSUMO]]*Tabela6[[#This Row],[VALOR UNIT]]-Tabela6[[#This Row],[DESCONTO]]</f>
        <v>624</v>
      </c>
      <c r="L3935" s="53">
        <f>Tabela6[[#This Row],[CUSTO TOTAL]]/Tabela6[[#This Row],[CONSUMO]]</f>
        <v>5.2</v>
      </c>
      <c r="M3935" s="50">
        <f>Tabela6[[#This Row],[KM ATUAL]]-E3880</f>
        <v>-8184</v>
      </c>
      <c r="N3935" s="51">
        <f>Tabela6[[#This Row],[KM Rodados ]]/Tabela6[[#This Row],[CONSUMO]]</f>
        <v>-68.2</v>
      </c>
    </row>
    <row r="3936" spans="1:14" x14ac:dyDescent="0.25">
      <c r="A3936" s="47">
        <v>9793</v>
      </c>
      <c r="B3936" s="78">
        <v>45330</v>
      </c>
      <c r="C3936" s="47" t="s">
        <v>43</v>
      </c>
      <c r="D3936" s="49" t="s">
        <v>299</v>
      </c>
      <c r="E3936" s="47">
        <v>176589</v>
      </c>
      <c r="G3936" s="50" t="s">
        <v>89</v>
      </c>
      <c r="H3936" s="51">
        <v>34</v>
      </c>
      <c r="J3936" s="51">
        <v>5.2</v>
      </c>
      <c r="K3936" s="74">
        <f>Tabela6[[#This Row],[CONSUMO]]*Tabela6[[#This Row],[VALOR UNIT]]-Tabela6[[#This Row],[DESCONTO]]</f>
        <v>176.8</v>
      </c>
      <c r="L3936" s="53">
        <f>Tabela6[[#This Row],[CUSTO TOTAL]]/Tabela6[[#This Row],[CONSUMO]]</f>
        <v>5.2</v>
      </c>
      <c r="M3936" s="50">
        <f>Tabela6[[#This Row],[KM ATUAL]]-E3881</f>
        <v>159858</v>
      </c>
      <c r="N3936" s="51">
        <f>Tabela6[[#This Row],[KM Rodados ]]/Tabela6[[#This Row],[CONSUMO]]</f>
        <v>4701.7058823529414</v>
      </c>
    </row>
    <row r="3937" spans="1:14" x14ac:dyDescent="0.25">
      <c r="A3937" s="47">
        <v>9793</v>
      </c>
      <c r="B3937" s="78">
        <v>45330</v>
      </c>
      <c r="C3937" s="47" t="s">
        <v>394</v>
      </c>
      <c r="D3937" s="49" t="s">
        <v>299</v>
      </c>
      <c r="E3937" s="47">
        <v>886118</v>
      </c>
      <c r="G3937" s="50" t="s">
        <v>89</v>
      </c>
      <c r="H3937" s="51">
        <v>105</v>
      </c>
      <c r="J3937" s="51">
        <v>5.2</v>
      </c>
      <c r="K3937" s="74">
        <f>Tabela6[[#This Row],[CONSUMO]]*Tabela6[[#This Row],[VALOR UNIT]]-Tabela6[[#This Row],[DESCONTO]]</f>
        <v>546</v>
      </c>
      <c r="L3937" s="53">
        <f>Tabela6[[#This Row],[CUSTO TOTAL]]/Tabela6[[#This Row],[CONSUMO]]</f>
        <v>5.2</v>
      </c>
      <c r="M3937" s="50">
        <f>Tabela6[[#This Row],[KM ATUAL]]-E3882</f>
        <v>878843</v>
      </c>
      <c r="N3937" s="51">
        <f>Tabela6[[#This Row],[KM Rodados ]]/Tabela6[[#This Row],[CONSUMO]]</f>
        <v>8369.9333333333325</v>
      </c>
    </row>
    <row r="3938" spans="1:14" x14ac:dyDescent="0.25">
      <c r="A3938" s="47">
        <v>9793</v>
      </c>
      <c r="B3938" s="78">
        <v>45330</v>
      </c>
      <c r="C3938" s="47" t="s">
        <v>42</v>
      </c>
      <c r="D3938" s="49" t="s">
        <v>299</v>
      </c>
      <c r="E3938" s="47">
        <v>384709</v>
      </c>
      <c r="G3938" s="50" t="s">
        <v>89</v>
      </c>
      <c r="H3938" s="51">
        <v>60</v>
      </c>
      <c r="J3938" s="51">
        <v>5.2</v>
      </c>
      <c r="K3938" s="74">
        <f>Tabela6[[#This Row],[CONSUMO]]*Tabela6[[#This Row],[VALOR UNIT]]-Tabela6[[#This Row],[DESCONTO]]</f>
        <v>312</v>
      </c>
      <c r="L3938" s="53">
        <f>Tabela6[[#This Row],[CUSTO TOTAL]]/Tabela6[[#This Row],[CONSUMO]]</f>
        <v>5.2</v>
      </c>
      <c r="M3938" s="50">
        <f>Tabela6[[#This Row],[KM ATUAL]]-E3883</f>
        <v>235341</v>
      </c>
      <c r="N3938" s="51">
        <f>Tabela6[[#This Row],[KM Rodados ]]/Tabela6[[#This Row],[CONSUMO]]</f>
        <v>3922.35</v>
      </c>
    </row>
    <row r="3939" spans="1:14" x14ac:dyDescent="0.25">
      <c r="A3939" s="47">
        <v>282702</v>
      </c>
      <c r="B3939" s="78">
        <v>45330</v>
      </c>
      <c r="C3939" s="47" t="s">
        <v>67</v>
      </c>
      <c r="D3939" s="49" t="s">
        <v>273</v>
      </c>
      <c r="E3939" s="47">
        <v>699975</v>
      </c>
      <c r="G3939" s="50" t="s">
        <v>89</v>
      </c>
      <c r="H3939" s="51">
        <v>163.13</v>
      </c>
      <c r="J3939" s="51">
        <v>5.69</v>
      </c>
      <c r="K3939" s="74">
        <f>Tabela6[[#This Row],[CONSUMO]]*Tabela6[[#This Row],[VALOR UNIT]]-Tabela6[[#This Row],[DESCONTO]]</f>
        <v>928.2097</v>
      </c>
      <c r="L3939" s="53">
        <f>Tabela6[[#This Row],[CUSTO TOTAL]]/Tabela6[[#This Row],[CONSUMO]]</f>
        <v>5.69</v>
      </c>
      <c r="M3939" s="50">
        <f>Tabela6[[#This Row],[KM ATUAL]]-E3884</f>
        <v>-391185</v>
      </c>
      <c r="N3939" s="51">
        <f>Tabela6[[#This Row],[KM Rodados ]]/Tabela6[[#This Row],[CONSUMO]]</f>
        <v>-2397.9954637405749</v>
      </c>
    </row>
    <row r="3940" spans="1:14" x14ac:dyDescent="0.25">
      <c r="A3940" s="47">
        <v>241854</v>
      </c>
      <c r="B3940" s="78">
        <v>45330</v>
      </c>
      <c r="C3940" s="47" t="s">
        <v>215</v>
      </c>
      <c r="D3940" s="49" t="s">
        <v>262</v>
      </c>
      <c r="E3940" s="47">
        <v>235078</v>
      </c>
      <c r="G3940" s="50" t="s">
        <v>244</v>
      </c>
      <c r="H3940" s="51">
        <v>36.521000000000001</v>
      </c>
      <c r="J3940" s="51">
        <v>5.59</v>
      </c>
      <c r="K3940" s="74">
        <f>Tabela6[[#This Row],[CONSUMO]]*Tabela6[[#This Row],[VALOR UNIT]]-Tabela6[[#This Row],[DESCONTO]]</f>
        <v>204.15239</v>
      </c>
      <c r="L3940" s="53">
        <f>Tabela6[[#This Row],[CUSTO TOTAL]]/Tabela6[[#This Row],[CONSUMO]]</f>
        <v>5.59</v>
      </c>
      <c r="M3940" s="50">
        <f>Tabela6[[#This Row],[KM ATUAL]]-E3885</f>
        <v>51723</v>
      </c>
      <c r="N3940" s="51">
        <f>Tabela6[[#This Row],[KM Rodados ]]/Tabela6[[#This Row],[CONSUMO]]</f>
        <v>1416.2536622764985</v>
      </c>
    </row>
    <row r="3941" spans="1:14" x14ac:dyDescent="0.25">
      <c r="A3941" s="47">
        <v>9793</v>
      </c>
      <c r="B3941" s="78">
        <v>45330</v>
      </c>
      <c r="C3941" s="47" t="s">
        <v>70</v>
      </c>
      <c r="D3941" s="49" t="s">
        <v>299</v>
      </c>
      <c r="E3941" s="47">
        <v>262410</v>
      </c>
      <c r="G3941" s="50" t="s">
        <v>89</v>
      </c>
      <c r="H3941" s="51">
        <v>366</v>
      </c>
      <c r="J3941" s="51">
        <v>5.2</v>
      </c>
      <c r="K3941" s="74">
        <f>Tabela6[[#This Row],[CONSUMO]]*Tabela6[[#This Row],[VALOR UNIT]]-Tabela6[[#This Row],[DESCONTO]]</f>
        <v>1903.2</v>
      </c>
      <c r="L3941" s="53">
        <f>Tabela6[[#This Row],[CUSTO TOTAL]]/Tabela6[[#This Row],[CONSUMO]]</f>
        <v>5.2</v>
      </c>
      <c r="M3941" s="50">
        <f>Tabela6[[#This Row],[KM ATUAL]]-E3886</f>
        <v>27871</v>
      </c>
      <c r="N3941" s="51">
        <f>Tabela6[[#This Row],[KM Rodados ]]/Tabela6[[#This Row],[CONSUMO]]</f>
        <v>76.150273224043715</v>
      </c>
    </row>
    <row r="3942" spans="1:14" x14ac:dyDescent="0.25">
      <c r="A3942" s="47">
        <v>1119021</v>
      </c>
      <c r="B3942" s="78">
        <v>45330</v>
      </c>
      <c r="C3942" s="47" t="s">
        <v>203</v>
      </c>
      <c r="D3942" s="49" t="s">
        <v>256</v>
      </c>
      <c r="E3942" s="47">
        <v>141285</v>
      </c>
      <c r="G3942" s="50" t="s">
        <v>244</v>
      </c>
      <c r="H3942" s="51">
        <v>37.25</v>
      </c>
      <c r="J3942" s="51">
        <v>5.29</v>
      </c>
      <c r="K3942" s="74">
        <f>Tabela6[[#This Row],[CONSUMO]]*Tabela6[[#This Row],[VALOR UNIT]]-Tabela6[[#This Row],[DESCONTO]]</f>
        <v>197.05250000000001</v>
      </c>
      <c r="L3942" s="53">
        <f>Tabela6[[#This Row],[CUSTO TOTAL]]/Tabela6[[#This Row],[CONSUMO]]</f>
        <v>5.29</v>
      </c>
      <c r="M3942" s="50">
        <f>Tabela6[[#This Row],[KM ATUAL]]-E3887</f>
        <v>-950705</v>
      </c>
      <c r="N3942" s="51">
        <f>Tabela6[[#This Row],[KM Rodados ]]/Tabela6[[#This Row],[CONSUMO]]</f>
        <v>-25522.28187919463</v>
      </c>
    </row>
    <row r="3943" spans="1:14" x14ac:dyDescent="0.25">
      <c r="A3943" s="47">
        <v>1010543</v>
      </c>
      <c r="B3943" s="78">
        <v>45330</v>
      </c>
      <c r="C3943" s="47" t="s">
        <v>203</v>
      </c>
      <c r="D3943" s="49" t="s">
        <v>307</v>
      </c>
      <c r="E3943" s="47">
        <v>140799</v>
      </c>
      <c r="G3943" s="50" t="s">
        <v>244</v>
      </c>
      <c r="H3943" s="51">
        <v>46.76</v>
      </c>
      <c r="J3943" s="51">
        <v>5.65</v>
      </c>
      <c r="K3943" s="74">
        <f>Tabela6[[#This Row],[CONSUMO]]*Tabela6[[#This Row],[VALOR UNIT]]-Tabela6[[#This Row],[DESCONTO]]</f>
        <v>264.19400000000002</v>
      </c>
      <c r="L3943" s="53">
        <f>Tabela6[[#This Row],[CUSTO TOTAL]]/Tabela6[[#This Row],[CONSUMO]]</f>
        <v>5.65</v>
      </c>
      <c r="M3943" s="50">
        <f>Tabela6[[#This Row],[KM ATUAL]]-E3888</f>
        <v>-814151</v>
      </c>
      <c r="N3943" s="51">
        <f>Tabela6[[#This Row],[KM Rodados ]]/Tabela6[[#This Row],[CONSUMO]]</f>
        <v>-17411.270316509839</v>
      </c>
    </row>
    <row r="3944" spans="1:14" x14ac:dyDescent="0.25">
      <c r="A3944" s="47">
        <v>241649</v>
      </c>
      <c r="B3944" s="78">
        <v>45330</v>
      </c>
      <c r="C3944" s="47" t="s">
        <v>72</v>
      </c>
      <c r="D3944" s="49" t="s">
        <v>262</v>
      </c>
      <c r="E3944" s="47">
        <v>440561</v>
      </c>
      <c r="G3944" s="50" t="s">
        <v>89</v>
      </c>
      <c r="H3944" s="51">
        <v>15.86</v>
      </c>
      <c r="J3944" s="51">
        <v>5.99</v>
      </c>
      <c r="K3944" s="74">
        <f>Tabela6[[#This Row],[CONSUMO]]*Tabela6[[#This Row],[VALOR UNIT]]-Tabela6[[#This Row],[DESCONTO]]</f>
        <v>95.001400000000004</v>
      </c>
      <c r="L3944" s="53">
        <f>Tabela6[[#This Row],[CUSTO TOTAL]]/Tabela6[[#This Row],[CONSUMO]]</f>
        <v>5.99</v>
      </c>
      <c r="M3944" s="50">
        <f>Tabela6[[#This Row],[KM ATUAL]]-E3889</f>
        <v>264894</v>
      </c>
      <c r="N3944" s="51">
        <f>Tabela6[[#This Row],[KM Rodados ]]/Tabela6[[#This Row],[CONSUMO]]</f>
        <v>16702.017654476673</v>
      </c>
    </row>
    <row r="3945" spans="1:14" x14ac:dyDescent="0.25">
      <c r="A3945" s="47">
        <v>239595</v>
      </c>
      <c r="B3945" s="78">
        <v>45330</v>
      </c>
      <c r="C3945" s="47" t="s">
        <v>71</v>
      </c>
      <c r="D3945" s="49" t="s">
        <v>374</v>
      </c>
      <c r="E3945" s="47">
        <v>152047</v>
      </c>
      <c r="G3945" s="50" t="s">
        <v>89</v>
      </c>
      <c r="H3945" s="51">
        <v>377.01</v>
      </c>
      <c r="J3945" s="51">
        <v>5.79</v>
      </c>
      <c r="K3945" s="74">
        <f>Tabela6[[#This Row],[CONSUMO]]*Tabela6[[#This Row],[VALOR UNIT]]-Tabela6[[#This Row],[DESCONTO]]</f>
        <v>2182.8879000000002</v>
      </c>
      <c r="L3945" s="53">
        <f>Tabela6[[#This Row],[CUSTO TOTAL]]/Tabela6[[#This Row],[CONSUMO]]</f>
        <v>5.7900000000000009</v>
      </c>
      <c r="M3945" s="50">
        <f>Tabela6[[#This Row],[KM ATUAL]]-E3890</f>
        <v>-23940</v>
      </c>
      <c r="N3945" s="51">
        <f>Tabela6[[#This Row],[KM Rodados ]]/Tabela6[[#This Row],[CONSUMO]]</f>
        <v>-63.499641919312488</v>
      </c>
    </row>
    <row r="3946" spans="1:14" x14ac:dyDescent="0.25">
      <c r="A3946" s="47">
        <v>788043</v>
      </c>
      <c r="B3946" s="78">
        <v>45330</v>
      </c>
      <c r="C3946" s="47" t="s">
        <v>41</v>
      </c>
      <c r="D3946" s="49" t="s">
        <v>277</v>
      </c>
      <c r="E3946" s="47">
        <v>690684</v>
      </c>
      <c r="G3946" s="50"/>
      <c r="H3946" s="51">
        <v>183.64</v>
      </c>
      <c r="K3946" s="74">
        <f>Tabela6[[#This Row],[CONSUMO]]*Tabela6[[#This Row],[VALOR UNIT]]-Tabela6[[#This Row],[DESCONTO]]</f>
        <v>0</v>
      </c>
      <c r="L3946" s="53">
        <f>Tabela6[[#This Row],[CUSTO TOTAL]]/Tabela6[[#This Row],[CONSUMO]]</f>
        <v>0</v>
      </c>
      <c r="M3946" s="50">
        <f>Tabela6[[#This Row],[KM ATUAL]]-E3891</f>
        <v>43515</v>
      </c>
      <c r="N3946" s="51">
        <f>Tabela6[[#This Row],[KM Rodados ]]/Tabela6[[#This Row],[CONSUMO]]</f>
        <v>236.9581790459595</v>
      </c>
    </row>
    <row r="3947" spans="1:14" x14ac:dyDescent="0.25">
      <c r="A3947" s="47">
        <v>593</v>
      </c>
      <c r="B3947" s="78">
        <v>45330</v>
      </c>
      <c r="C3947" s="47" t="s">
        <v>301</v>
      </c>
      <c r="D3947" s="49" t="s">
        <v>374</v>
      </c>
      <c r="E3947" s="47">
        <v>1093870</v>
      </c>
      <c r="G3947" s="50" t="s">
        <v>89</v>
      </c>
      <c r="H3947" s="51">
        <v>375</v>
      </c>
      <c r="J3947" s="51">
        <v>5.79</v>
      </c>
      <c r="K3947" s="74">
        <f>Tabela6[[#This Row],[CONSUMO]]*Tabela6[[#This Row],[VALOR UNIT]]-Tabela6[[#This Row],[DESCONTO]]</f>
        <v>2171.25</v>
      </c>
      <c r="L3947" s="53">
        <f>Tabela6[[#This Row],[CUSTO TOTAL]]/Tabela6[[#This Row],[CONSUMO]]</f>
        <v>5.79</v>
      </c>
      <c r="M3947" s="50">
        <f>Tabela6[[#This Row],[KM ATUAL]]-E3892</f>
        <v>709490</v>
      </c>
      <c r="N3947" s="51">
        <f>Tabela6[[#This Row],[KM Rodados ]]/Tabela6[[#This Row],[CONSUMO]]</f>
        <v>1891.9733333333334</v>
      </c>
    </row>
    <row r="3948" spans="1:14" x14ac:dyDescent="0.25">
      <c r="A3948" s="47">
        <v>157269</v>
      </c>
      <c r="B3948" s="78">
        <v>45330</v>
      </c>
      <c r="C3948" s="47" t="s">
        <v>12</v>
      </c>
      <c r="D3948" s="49" t="s">
        <v>253</v>
      </c>
      <c r="E3948" s="47">
        <v>331433</v>
      </c>
      <c r="G3948" s="50" t="s">
        <v>89</v>
      </c>
      <c r="H3948" s="51">
        <v>96.05</v>
      </c>
      <c r="J3948" s="51">
        <v>6.09</v>
      </c>
      <c r="K3948" s="74">
        <f>Tabela6[[#This Row],[CONSUMO]]*Tabela6[[#This Row],[VALOR UNIT]]-Tabela6[[#This Row],[DESCONTO]]</f>
        <v>584.94449999999995</v>
      </c>
      <c r="L3948" s="53">
        <f>Tabela6[[#This Row],[CUSTO TOTAL]]/Tabela6[[#This Row],[CONSUMO]]</f>
        <v>6.09</v>
      </c>
      <c r="M3948" s="50">
        <f>Tabela6[[#This Row],[KM ATUAL]]-E3893</f>
        <v>-367377</v>
      </c>
      <c r="N3948" s="51">
        <f>Tabela6[[#This Row],[KM Rodados ]]/Tabela6[[#This Row],[CONSUMO]]</f>
        <v>-3824.8516397709527</v>
      </c>
    </row>
    <row r="3949" spans="1:14" x14ac:dyDescent="0.25">
      <c r="A3949" s="47">
        <v>9793</v>
      </c>
      <c r="B3949" s="78">
        <v>45330</v>
      </c>
      <c r="C3949" s="47" t="s">
        <v>13</v>
      </c>
      <c r="D3949" s="49" t="s">
        <v>299</v>
      </c>
      <c r="E3949" s="47">
        <v>676473</v>
      </c>
      <c r="G3949" s="50" t="s">
        <v>89</v>
      </c>
      <c r="H3949" s="51">
        <v>80</v>
      </c>
      <c r="J3949" s="51">
        <v>5.2</v>
      </c>
      <c r="K3949" s="74">
        <f>Tabela6[[#This Row],[CONSUMO]]*Tabela6[[#This Row],[VALOR UNIT]]-Tabela6[[#This Row],[DESCONTO]]</f>
        <v>416</v>
      </c>
      <c r="L3949" s="53">
        <f>Tabela6[[#This Row],[CUSTO TOTAL]]/Tabela6[[#This Row],[CONSUMO]]</f>
        <v>5.2</v>
      </c>
      <c r="M3949" s="50">
        <f>Tabela6[[#This Row],[KM ATUAL]]-E3894</f>
        <v>324307</v>
      </c>
      <c r="N3949" s="51">
        <f>Tabela6[[#This Row],[KM Rodados ]]/Tabela6[[#This Row],[CONSUMO]]</f>
        <v>4053.8375000000001</v>
      </c>
    </row>
    <row r="3950" spans="1:14" x14ac:dyDescent="0.25">
      <c r="A3950" s="47">
        <v>9793</v>
      </c>
      <c r="B3950" s="78">
        <v>45330</v>
      </c>
      <c r="C3950" s="47" t="s">
        <v>19</v>
      </c>
      <c r="D3950" s="49" t="s">
        <v>299</v>
      </c>
      <c r="E3950" s="47">
        <v>354171</v>
      </c>
      <c r="G3950" s="50" t="s">
        <v>89</v>
      </c>
      <c r="H3950" s="51">
        <v>90</v>
      </c>
      <c r="J3950" s="51">
        <v>5.2</v>
      </c>
      <c r="K3950" s="74">
        <f>Tabela6[[#This Row],[CONSUMO]]*Tabela6[[#This Row],[VALOR UNIT]]-Tabela6[[#This Row],[DESCONTO]]</f>
        <v>468</v>
      </c>
      <c r="L3950" s="53">
        <f>Tabela6[[#This Row],[CUSTO TOTAL]]/Tabela6[[#This Row],[CONSUMO]]</f>
        <v>5.2</v>
      </c>
      <c r="M3950" s="50">
        <f>Tabela6[[#This Row],[KM ATUAL]]-E3895</f>
        <v>214359</v>
      </c>
      <c r="N3950" s="51">
        <f>Tabela6[[#This Row],[KM Rodados ]]/Tabela6[[#This Row],[CONSUMO]]</f>
        <v>2381.7666666666669</v>
      </c>
    </row>
    <row r="3951" spans="1:14" x14ac:dyDescent="0.25">
      <c r="A3951" s="47">
        <v>241750</v>
      </c>
      <c r="B3951" s="78">
        <v>45330</v>
      </c>
      <c r="C3951" s="47" t="s">
        <v>19</v>
      </c>
      <c r="D3951" s="49" t="s">
        <v>262</v>
      </c>
      <c r="E3951" s="47">
        <v>354174</v>
      </c>
      <c r="G3951" s="50" t="s">
        <v>241</v>
      </c>
      <c r="H3951" s="51">
        <v>23.306999999999999</v>
      </c>
      <c r="J3951" s="51">
        <v>3.69</v>
      </c>
      <c r="K3951" s="74">
        <f>Tabela6[[#This Row],[CONSUMO]]*Tabela6[[#This Row],[VALOR UNIT]]-Tabela6[[#This Row],[DESCONTO]]</f>
        <v>86.002829999999989</v>
      </c>
      <c r="L3951" s="53">
        <f>Tabela6[[#This Row],[CUSTO TOTAL]]/Tabela6[[#This Row],[CONSUMO]]</f>
        <v>3.69</v>
      </c>
      <c r="M3951" s="50">
        <f>Tabela6[[#This Row],[KM ATUAL]]-E3896</f>
        <v>203998</v>
      </c>
      <c r="N3951" s="51">
        <f>Tabela6[[#This Row],[KM Rodados ]]/Tabela6[[#This Row],[CONSUMO]]</f>
        <v>8752.6494186295968</v>
      </c>
    </row>
    <row r="3952" spans="1:14" x14ac:dyDescent="0.25">
      <c r="A3952" s="47">
        <v>9793</v>
      </c>
      <c r="B3952" s="78">
        <v>45330</v>
      </c>
      <c r="C3952" s="47" t="s">
        <v>20</v>
      </c>
      <c r="D3952" s="49" t="s">
        <v>299</v>
      </c>
      <c r="E3952" s="47">
        <v>298173</v>
      </c>
      <c r="G3952" s="50" t="s">
        <v>89</v>
      </c>
      <c r="H3952" s="51">
        <v>51</v>
      </c>
      <c r="J3952" s="51">
        <v>5.2</v>
      </c>
      <c r="K3952" s="74">
        <f>Tabela6[[#This Row],[CONSUMO]]*Tabela6[[#This Row],[VALOR UNIT]]-Tabela6[[#This Row],[DESCONTO]]</f>
        <v>265.2</v>
      </c>
      <c r="L3952" s="53">
        <f>Tabela6[[#This Row],[CUSTO TOTAL]]/Tabela6[[#This Row],[CONSUMO]]</f>
        <v>5.2</v>
      </c>
      <c r="M3952" s="50">
        <f>Tabela6[[#This Row],[KM ATUAL]]-E3897</f>
        <v>-399395</v>
      </c>
      <c r="N3952" s="51">
        <f>Tabela6[[#This Row],[KM Rodados ]]/Tabela6[[#This Row],[CONSUMO]]</f>
        <v>-7831.2745098039213</v>
      </c>
    </row>
    <row r="3953" spans="1:14" x14ac:dyDescent="0.25">
      <c r="A3953" s="47">
        <v>9793</v>
      </c>
      <c r="B3953" s="78">
        <v>45331</v>
      </c>
      <c r="C3953" s="47" t="s">
        <v>68</v>
      </c>
      <c r="D3953" s="49" t="s">
        <v>299</v>
      </c>
      <c r="E3953" s="47">
        <v>955680</v>
      </c>
      <c r="G3953" s="50" t="s">
        <v>89</v>
      </c>
      <c r="H3953" s="51">
        <v>283</v>
      </c>
      <c r="J3953" s="51">
        <v>5.2</v>
      </c>
      <c r="K3953" s="74">
        <f>Tabela6[[#This Row],[CONSUMO]]*Tabela6[[#This Row],[VALOR UNIT]]-Tabela6[[#This Row],[DESCONTO]]</f>
        <v>1471.6000000000001</v>
      </c>
      <c r="L3953" s="53">
        <f>Tabela6[[#This Row],[CUSTO TOTAL]]/Tabela6[[#This Row],[CONSUMO]]</f>
        <v>5.2</v>
      </c>
      <c r="M3953" s="50">
        <f>Tabela6[[#This Row],[KM ATUAL]]-E3898</f>
        <v>544117</v>
      </c>
      <c r="N3953" s="51">
        <f>Tabela6[[#This Row],[KM Rodados ]]/Tabela6[[#This Row],[CONSUMO]]</f>
        <v>1922.6749116607773</v>
      </c>
    </row>
    <row r="3954" spans="1:14" x14ac:dyDescent="0.25">
      <c r="A3954" s="47">
        <v>744224</v>
      </c>
      <c r="B3954" s="78">
        <v>45331</v>
      </c>
      <c r="C3954" s="47" t="s">
        <v>43</v>
      </c>
      <c r="D3954" s="49" t="s">
        <v>334</v>
      </c>
      <c r="E3954" s="47">
        <v>178024</v>
      </c>
      <c r="G3954" s="50" t="s">
        <v>89</v>
      </c>
      <c r="H3954" s="51">
        <v>46.76</v>
      </c>
      <c r="J3954" s="51">
        <v>5.89</v>
      </c>
      <c r="K3954" s="74">
        <f>Tabela6[[#This Row],[CONSUMO]]*Tabela6[[#This Row],[VALOR UNIT]]-Tabela6[[#This Row],[DESCONTO]]</f>
        <v>275.41639999999995</v>
      </c>
      <c r="L3954" s="53">
        <f>Tabela6[[#This Row],[CUSTO TOTAL]]/Tabela6[[#This Row],[CONSUMO]]</f>
        <v>5.89</v>
      </c>
      <c r="M3954" s="50">
        <f>Tabela6[[#This Row],[KM ATUAL]]-E3899</f>
        <v>68929</v>
      </c>
      <c r="N3954" s="51">
        <f>Tabela6[[#This Row],[KM Rodados ]]/Tabela6[[#This Row],[CONSUMO]]</f>
        <v>1474.1017964071857</v>
      </c>
    </row>
    <row r="3955" spans="1:14" x14ac:dyDescent="0.25">
      <c r="A3955" s="47">
        <v>132516</v>
      </c>
      <c r="B3955" s="78">
        <v>45331</v>
      </c>
      <c r="C3955" s="47" t="s">
        <v>43</v>
      </c>
      <c r="D3955" s="49" t="s">
        <v>279</v>
      </c>
      <c r="E3955" s="119">
        <v>177274</v>
      </c>
      <c r="G3955" s="50" t="s">
        <v>89</v>
      </c>
      <c r="H3955" s="51">
        <v>47.95</v>
      </c>
      <c r="J3955" s="51">
        <v>5.67</v>
      </c>
      <c r="K3955" s="74">
        <f>Tabela6[[#This Row],[CONSUMO]]*Tabela6[[#This Row],[VALOR UNIT]]-Tabela6[[#This Row],[DESCONTO]]</f>
        <v>271.87650000000002</v>
      </c>
      <c r="L3955" s="53">
        <f>Tabela6[[#This Row],[CUSTO TOTAL]]/Tabela6[[#This Row],[CONSUMO]]</f>
        <v>5.67</v>
      </c>
      <c r="M3955" s="50">
        <f>Tabela6[[#This Row],[KM ATUAL]]-E3900</f>
        <v>169307</v>
      </c>
      <c r="N3955" s="51">
        <f>Tabela6[[#This Row],[KM Rodados ]]/Tabela6[[#This Row],[CONSUMO]]</f>
        <v>3530.9071949947861</v>
      </c>
    </row>
    <row r="3956" spans="1:14" x14ac:dyDescent="0.25">
      <c r="A3956" s="47">
        <v>9793</v>
      </c>
      <c r="B3956" s="78">
        <v>45331</v>
      </c>
      <c r="C3956" s="47" t="s">
        <v>394</v>
      </c>
      <c r="D3956" s="49" t="s">
        <v>299</v>
      </c>
      <c r="E3956" s="47">
        <v>886702</v>
      </c>
      <c r="G3956" s="50" t="s">
        <v>89</v>
      </c>
      <c r="H3956" s="51">
        <v>105</v>
      </c>
      <c r="J3956" s="51">
        <v>5.2</v>
      </c>
      <c r="K3956" s="74">
        <f>Tabela6[[#This Row],[CONSUMO]]*Tabela6[[#This Row],[VALOR UNIT]]-Tabela6[[#This Row],[DESCONTO]]</f>
        <v>546</v>
      </c>
      <c r="L3956" s="53">
        <f>Tabela6[[#This Row],[CUSTO TOTAL]]/Tabela6[[#This Row],[CONSUMO]]</f>
        <v>5.2</v>
      </c>
      <c r="M3956" s="50">
        <f>Tabela6[[#This Row],[KM ATUAL]]-E3901</f>
        <v>878726</v>
      </c>
      <c r="N3956" s="51">
        <f>Tabela6[[#This Row],[KM Rodados ]]/Tabela6[[#This Row],[CONSUMO]]</f>
        <v>8368.8190476190484</v>
      </c>
    </row>
    <row r="3957" spans="1:14" x14ac:dyDescent="0.25">
      <c r="A3957" s="47">
        <v>9793</v>
      </c>
      <c r="B3957" s="78">
        <v>45331</v>
      </c>
      <c r="C3957" s="47" t="s">
        <v>9</v>
      </c>
      <c r="D3957" s="49" t="s">
        <v>299</v>
      </c>
      <c r="E3957" s="47">
        <v>647495</v>
      </c>
      <c r="G3957" s="50" t="s">
        <v>89</v>
      </c>
      <c r="H3957" s="51">
        <v>94</v>
      </c>
      <c r="J3957" s="51">
        <v>5.2</v>
      </c>
      <c r="K3957" s="74">
        <f>Tabela6[[#This Row],[CONSUMO]]*Tabela6[[#This Row],[VALOR UNIT]]-Tabela6[[#This Row],[DESCONTO]]</f>
        <v>488.8</v>
      </c>
      <c r="L3957" s="53">
        <f>Tabela6[[#This Row],[CUSTO TOTAL]]/Tabela6[[#This Row],[CONSUMO]]</f>
        <v>5.2</v>
      </c>
      <c r="M3957" s="50">
        <f>Tabela6[[#This Row],[KM ATUAL]]-E3902</f>
        <v>639886</v>
      </c>
      <c r="N3957" s="51">
        <f>Tabela6[[#This Row],[KM Rodados ]]/Tabela6[[#This Row],[CONSUMO]]</f>
        <v>6807.2978723404258</v>
      </c>
    </row>
    <row r="3958" spans="1:14" x14ac:dyDescent="0.25">
      <c r="A3958" s="47">
        <v>9793</v>
      </c>
      <c r="B3958" s="78">
        <v>45331</v>
      </c>
      <c r="C3958" s="47" t="s">
        <v>222</v>
      </c>
      <c r="D3958" s="49" t="s">
        <v>299</v>
      </c>
      <c r="E3958" s="102">
        <v>553804</v>
      </c>
      <c r="G3958" s="50" t="s">
        <v>89</v>
      </c>
      <c r="H3958" s="51">
        <v>423</v>
      </c>
      <c r="J3958" s="51">
        <v>5.2</v>
      </c>
      <c r="K3958" s="74">
        <f>Tabela6[[#This Row],[CONSUMO]]*Tabela6[[#This Row],[VALOR UNIT]]-Tabela6[[#This Row],[DESCONTO]]</f>
        <v>2199.6</v>
      </c>
      <c r="L3958" s="53">
        <f>Tabela6[[#This Row],[CUSTO TOTAL]]/Tabela6[[#This Row],[CONSUMO]]</f>
        <v>5.2</v>
      </c>
      <c r="M3958" s="50">
        <f>Tabela6[[#This Row],[KM ATUAL]]-E3903</f>
        <v>377753</v>
      </c>
      <c r="N3958" s="51">
        <f>Tabela6[[#This Row],[KM Rodados ]]/Tabela6[[#This Row],[CONSUMO]]</f>
        <v>893.03309692671394</v>
      </c>
    </row>
    <row r="3959" spans="1:14" x14ac:dyDescent="0.25">
      <c r="A3959" s="47">
        <v>697542</v>
      </c>
      <c r="B3959" s="78">
        <v>45331</v>
      </c>
      <c r="C3959" s="47" t="s">
        <v>203</v>
      </c>
      <c r="D3959" s="49" t="s">
        <v>257</v>
      </c>
      <c r="E3959" s="47">
        <v>141908</v>
      </c>
      <c r="G3959" s="50" t="s">
        <v>244</v>
      </c>
      <c r="H3959" s="51">
        <v>48.36</v>
      </c>
      <c r="J3959" s="51">
        <v>5.79</v>
      </c>
      <c r="K3959" s="74">
        <f>Tabela6[[#This Row],[CONSUMO]]*Tabela6[[#This Row],[VALOR UNIT]]-Tabela6[[#This Row],[DESCONTO]]</f>
        <v>280.00439999999998</v>
      </c>
      <c r="L3959" s="53">
        <f>Tabela6[[#This Row],[CUSTO TOTAL]]/Tabela6[[#This Row],[CONSUMO]]</f>
        <v>5.7899999999999991</v>
      </c>
      <c r="M3959" s="50">
        <f>Tabela6[[#This Row],[KM ATUAL]]-E3904</f>
        <v>-743756</v>
      </c>
      <c r="N3959" s="51">
        <f>Tabela6[[#This Row],[KM Rodados ]]/Tabela6[[#This Row],[CONSUMO]]</f>
        <v>-15379.569892473119</v>
      </c>
    </row>
    <row r="3960" spans="1:14" x14ac:dyDescent="0.25">
      <c r="A3960" s="47">
        <v>9872</v>
      </c>
      <c r="B3960" s="78">
        <v>45331</v>
      </c>
      <c r="C3960" s="47" t="s">
        <v>72</v>
      </c>
      <c r="D3960" s="49" t="s">
        <v>299</v>
      </c>
      <c r="E3960" s="47">
        <v>441303</v>
      </c>
      <c r="G3960" s="50" t="s">
        <v>89</v>
      </c>
      <c r="H3960" s="51">
        <v>32</v>
      </c>
      <c r="K3960" s="74">
        <f>Tabela6[[#This Row],[CONSUMO]]*Tabela6[[#This Row],[VALOR UNIT]]-Tabela6[[#This Row],[DESCONTO]]</f>
        <v>0</v>
      </c>
      <c r="L3960" s="53">
        <f>Tabela6[[#This Row],[CUSTO TOTAL]]/Tabela6[[#This Row],[CONSUMO]]</f>
        <v>0</v>
      </c>
      <c r="M3960" s="50">
        <f>Tabela6[[#This Row],[KM ATUAL]]-E3905</f>
        <v>-111318</v>
      </c>
      <c r="N3960" s="51">
        <f>Tabela6[[#This Row],[KM Rodados ]]/Tabela6[[#This Row],[CONSUMO]]</f>
        <v>-3478.6875</v>
      </c>
    </row>
    <row r="3961" spans="1:14" x14ac:dyDescent="0.25">
      <c r="A3961" s="47">
        <v>9793</v>
      </c>
      <c r="B3961" s="78">
        <v>45331</v>
      </c>
      <c r="C3961" s="47" t="s">
        <v>73</v>
      </c>
      <c r="D3961" s="49" t="s">
        <v>299</v>
      </c>
      <c r="E3961" s="47">
        <v>178912</v>
      </c>
      <c r="G3961" s="50" t="s">
        <v>89</v>
      </c>
      <c r="H3961" s="51">
        <v>130</v>
      </c>
      <c r="J3961" s="51">
        <v>5.2</v>
      </c>
      <c r="K3961" s="74">
        <f>Tabela6[[#This Row],[CONSUMO]]*Tabela6[[#This Row],[VALOR UNIT]]-Tabela6[[#This Row],[DESCONTO]]</f>
        <v>676</v>
      </c>
      <c r="L3961" s="53">
        <f>Tabela6[[#This Row],[CUSTO TOTAL]]/Tabela6[[#This Row],[CONSUMO]]</f>
        <v>5.2</v>
      </c>
      <c r="M3961" s="50">
        <f>Tabela6[[#This Row],[KM ATUAL]]-E3906</f>
        <v>-520413</v>
      </c>
      <c r="N3961" s="51">
        <f>Tabela6[[#This Row],[KM Rodados ]]/Tabela6[[#This Row],[CONSUMO]]</f>
        <v>-4003.1769230769232</v>
      </c>
    </row>
    <row r="3962" spans="1:14" x14ac:dyDescent="0.25">
      <c r="A3962" s="47">
        <v>666786</v>
      </c>
      <c r="B3962" s="78">
        <v>45331</v>
      </c>
      <c r="C3962" s="47" t="s">
        <v>301</v>
      </c>
      <c r="D3962" s="49" t="s">
        <v>275</v>
      </c>
      <c r="E3962" s="47">
        <v>1094760</v>
      </c>
      <c r="G3962" s="50" t="s">
        <v>89</v>
      </c>
      <c r="H3962" s="51">
        <v>350</v>
      </c>
      <c r="J3962" s="51">
        <v>5.89</v>
      </c>
      <c r="K3962" s="74">
        <f>Tabela6[[#This Row],[CONSUMO]]*Tabela6[[#This Row],[VALOR UNIT]]-Tabela6[[#This Row],[DESCONTO]]</f>
        <v>2061.5</v>
      </c>
      <c r="L3962" s="53">
        <f>Tabela6[[#This Row],[CUSTO TOTAL]]/Tabela6[[#This Row],[CONSUMO]]</f>
        <v>5.89</v>
      </c>
      <c r="M3962" s="50">
        <f>Tabela6[[#This Row],[KM ATUAL]]-E3907</f>
        <v>976414</v>
      </c>
      <c r="N3962" s="51">
        <f>Tabela6[[#This Row],[KM Rodados ]]/Tabela6[[#This Row],[CONSUMO]]</f>
        <v>2789.7542857142857</v>
      </c>
    </row>
    <row r="3963" spans="1:14" x14ac:dyDescent="0.25">
      <c r="A3963" s="47">
        <v>9793</v>
      </c>
      <c r="B3963" s="78">
        <v>45331</v>
      </c>
      <c r="C3963" s="47" t="s">
        <v>15</v>
      </c>
      <c r="D3963" s="49" t="s">
        <v>299</v>
      </c>
      <c r="E3963" s="47">
        <v>412498</v>
      </c>
      <c r="G3963" s="50" t="s">
        <v>89</v>
      </c>
      <c r="H3963" s="51">
        <v>92</v>
      </c>
      <c r="J3963" s="51">
        <v>5.2</v>
      </c>
      <c r="K3963" s="74">
        <f>Tabela6[[#This Row],[CONSUMO]]*Tabela6[[#This Row],[VALOR UNIT]]-Tabela6[[#This Row],[DESCONTO]]</f>
        <v>478.40000000000003</v>
      </c>
      <c r="L3963" s="53">
        <f>Tabela6[[#This Row],[CUSTO TOTAL]]/Tabela6[[#This Row],[CONSUMO]]</f>
        <v>5.2</v>
      </c>
      <c r="M3963" s="50">
        <f>Tabela6[[#This Row],[KM ATUAL]]-E3908</f>
        <v>294152</v>
      </c>
      <c r="N3963" s="51">
        <f>Tabela6[[#This Row],[KM Rodados ]]/Tabela6[[#This Row],[CONSUMO]]</f>
        <v>3197.304347826087</v>
      </c>
    </row>
    <row r="3964" spans="1:14" x14ac:dyDescent="0.25">
      <c r="A3964" s="47">
        <v>274818</v>
      </c>
      <c r="B3964" s="78">
        <v>45331</v>
      </c>
      <c r="C3964" s="47" t="s">
        <v>17</v>
      </c>
      <c r="D3964" s="49" t="s">
        <v>269</v>
      </c>
      <c r="E3964" s="47">
        <v>395369</v>
      </c>
      <c r="G3964" s="50" t="s">
        <v>241</v>
      </c>
      <c r="H3964" s="51">
        <v>24.87</v>
      </c>
      <c r="J3964" s="51">
        <v>2.99</v>
      </c>
      <c r="K3964" s="74">
        <f>Tabela6[[#This Row],[CONSUMO]]*Tabela6[[#This Row],[VALOR UNIT]]-Tabela6[[#This Row],[DESCONTO]]</f>
        <v>74.361300000000014</v>
      </c>
      <c r="L3964" s="53">
        <f>Tabela6[[#This Row],[CUSTO TOTAL]]/Tabela6[[#This Row],[CONSUMO]]</f>
        <v>2.9900000000000007</v>
      </c>
      <c r="M3964" s="50">
        <f>Tabela6[[#This Row],[KM ATUAL]]-E3909</f>
        <v>255126</v>
      </c>
      <c r="N3964" s="51">
        <f>Tabela6[[#This Row],[KM Rodados ]]/Tabela6[[#This Row],[CONSUMO]]</f>
        <v>10258.383594692401</v>
      </c>
    </row>
    <row r="3965" spans="1:14" x14ac:dyDescent="0.25">
      <c r="A3965" s="47">
        <v>157962</v>
      </c>
      <c r="B3965" s="78">
        <v>45331</v>
      </c>
      <c r="C3965" s="47" t="s">
        <v>40</v>
      </c>
      <c r="D3965" s="49" t="s">
        <v>253</v>
      </c>
      <c r="E3965" s="47">
        <v>184700</v>
      </c>
      <c r="G3965" s="50" t="s">
        <v>244</v>
      </c>
      <c r="H3965" s="51">
        <v>21.32</v>
      </c>
      <c r="J3965" s="51">
        <v>6.59</v>
      </c>
      <c r="K3965" s="74">
        <f>Tabela6[[#This Row],[CONSUMO]]*Tabela6[[#This Row],[VALOR UNIT]]-Tabela6[[#This Row],[DESCONTO]]</f>
        <v>140.49879999999999</v>
      </c>
      <c r="L3965" s="53">
        <f>Tabela6[[#This Row],[CUSTO TOTAL]]/Tabela6[[#This Row],[CONSUMO]]</f>
        <v>6.589999999999999</v>
      </c>
      <c r="M3965" s="50">
        <f>Tabela6[[#This Row],[KM ATUAL]]-E3910</f>
        <v>-255069</v>
      </c>
      <c r="N3965" s="51">
        <f>Tabela6[[#This Row],[KM Rodados ]]/Tabela6[[#This Row],[CONSUMO]]</f>
        <v>-11963.836772983113</v>
      </c>
    </row>
    <row r="3966" spans="1:14" x14ac:dyDescent="0.25">
      <c r="A3966" s="47">
        <v>9793</v>
      </c>
      <c r="B3966" s="78">
        <v>45331</v>
      </c>
      <c r="C3966" s="47" t="s">
        <v>74</v>
      </c>
      <c r="D3966" s="49" t="s">
        <v>299</v>
      </c>
      <c r="E3966" s="47">
        <v>110595</v>
      </c>
      <c r="G3966" s="50" t="s">
        <v>89</v>
      </c>
      <c r="H3966" s="51">
        <v>75</v>
      </c>
      <c r="J3966" s="51">
        <v>5.2</v>
      </c>
      <c r="K3966" s="74">
        <f>Tabela6[[#This Row],[CONSUMO]]*Tabela6[[#This Row],[VALOR UNIT]]-Tabela6[[#This Row],[DESCONTO]]</f>
        <v>390</v>
      </c>
      <c r="L3966" s="53">
        <f>Tabela6[[#This Row],[CUSTO TOTAL]]/Tabela6[[#This Row],[CONSUMO]]</f>
        <v>5.2</v>
      </c>
      <c r="M3966" s="50">
        <f>Tabela6[[#This Row],[KM ATUAL]]-E3911</f>
        <v>-329538</v>
      </c>
      <c r="N3966" s="51">
        <f>Tabela6[[#This Row],[KM Rodados ]]/Tabela6[[#This Row],[CONSUMO]]</f>
        <v>-4393.84</v>
      </c>
    </row>
    <row r="3967" spans="1:14" x14ac:dyDescent="0.25">
      <c r="A3967" s="47">
        <v>241976</v>
      </c>
      <c r="B3967" s="78">
        <v>45331</v>
      </c>
      <c r="C3967" s="47" t="s">
        <v>354</v>
      </c>
      <c r="D3967" s="49" t="s">
        <v>262</v>
      </c>
      <c r="E3967" s="47">
        <v>22386</v>
      </c>
      <c r="G3967" s="50" t="s">
        <v>241</v>
      </c>
      <c r="H3967" s="51">
        <v>29.641999999999999</v>
      </c>
      <c r="I3967" s="49">
        <v>10.67</v>
      </c>
      <c r="J3967" s="51">
        <v>3.69</v>
      </c>
      <c r="K3967" s="74">
        <f>Tabela6[[#This Row],[CONSUMO]]*Tabela6[[#This Row],[VALOR UNIT]]-Tabela6[[#This Row],[DESCONTO]]</f>
        <v>98.708979999999997</v>
      </c>
      <c r="L3967" s="53">
        <f>Tabela6[[#This Row],[CUSTO TOTAL]]/Tabela6[[#This Row],[CONSUMO]]</f>
        <v>3.3300377842250861</v>
      </c>
      <c r="M3967" s="50">
        <f>Tabela6[[#This Row],[KM ATUAL]]-E3912</f>
        <v>-128579</v>
      </c>
      <c r="N3967" s="51">
        <f>Tabela6[[#This Row],[KM Rodados ]]/Tabela6[[#This Row],[CONSUMO]]</f>
        <v>-4337.7302476216182</v>
      </c>
    </row>
    <row r="3968" spans="1:14" x14ac:dyDescent="0.25">
      <c r="A3968" s="47">
        <v>9793</v>
      </c>
      <c r="B3968" s="78">
        <v>45331</v>
      </c>
      <c r="C3968" s="47" t="s">
        <v>354</v>
      </c>
      <c r="D3968" s="49" t="s">
        <v>299</v>
      </c>
      <c r="E3968" s="47">
        <v>22390</v>
      </c>
      <c r="G3968" s="50" t="s">
        <v>89</v>
      </c>
      <c r="H3968" s="51">
        <v>424</v>
      </c>
      <c r="J3968" s="51">
        <v>5.2</v>
      </c>
      <c r="K3968" s="74">
        <f>Tabela6[[#This Row],[CONSUMO]]*Tabela6[[#This Row],[VALOR UNIT]]-Tabela6[[#This Row],[DESCONTO]]</f>
        <v>2204.8000000000002</v>
      </c>
      <c r="L3968" s="53">
        <f>Tabela6[[#This Row],[CUSTO TOTAL]]/Tabela6[[#This Row],[CONSUMO]]</f>
        <v>5.2</v>
      </c>
      <c r="M3968" s="50">
        <f>Tabela6[[#This Row],[KM ATUAL]]-E3913</f>
        <v>-1070390</v>
      </c>
      <c r="N3968" s="51">
        <f>Tabela6[[#This Row],[KM Rodados ]]/Tabela6[[#This Row],[CONSUMO]]</f>
        <v>-2524.5047169811319</v>
      </c>
    </row>
    <row r="3969" spans="1:14" x14ac:dyDescent="0.25">
      <c r="A3969" s="47">
        <v>1331018</v>
      </c>
      <c r="B3969" s="78">
        <v>45331</v>
      </c>
      <c r="C3969" s="47" t="s">
        <v>401</v>
      </c>
      <c r="D3969" s="49" t="s">
        <v>247</v>
      </c>
      <c r="E3969" s="47">
        <v>9191</v>
      </c>
      <c r="G3969" s="50" t="s">
        <v>89</v>
      </c>
      <c r="H3969" s="51">
        <v>49.26</v>
      </c>
      <c r="J3969" s="51">
        <v>6.09</v>
      </c>
      <c r="K3969" s="74">
        <f>Tabela6[[#This Row],[CONSUMO]]*Tabela6[[#This Row],[VALOR UNIT]]-Tabela6[[#This Row],[DESCONTO]]</f>
        <v>299.99340000000001</v>
      </c>
      <c r="L3969" s="53">
        <f>Tabela6[[#This Row],[CUSTO TOTAL]]/Tabela6[[#This Row],[CONSUMO]]</f>
        <v>6.0900000000000007</v>
      </c>
      <c r="M3969" s="50">
        <f>Tabela6[[#This Row],[KM ATUAL]]-E3914</f>
        <v>-985264</v>
      </c>
      <c r="N3969" s="51">
        <f>Tabela6[[#This Row],[KM Rodados ]]/Tabela6[[#This Row],[CONSUMO]]</f>
        <v>-20001.29922858303</v>
      </c>
    </row>
    <row r="3970" spans="1:14" x14ac:dyDescent="0.25">
      <c r="A3970" s="47">
        <v>604042</v>
      </c>
      <c r="B3970" s="78">
        <v>45332</v>
      </c>
      <c r="C3970" s="47" t="s">
        <v>38</v>
      </c>
      <c r="D3970" s="49" t="s">
        <v>255</v>
      </c>
      <c r="E3970" s="47">
        <v>143891</v>
      </c>
      <c r="G3970" s="50" t="s">
        <v>244</v>
      </c>
      <c r="H3970" s="51">
        <v>53.43</v>
      </c>
      <c r="J3970" s="51">
        <v>5.84</v>
      </c>
      <c r="K3970" s="74">
        <f>Tabela6[[#This Row],[CONSUMO]]*Tabela6[[#This Row],[VALOR UNIT]]-Tabela6[[#This Row],[DESCONTO]]</f>
        <v>312.03120000000001</v>
      </c>
      <c r="L3970" s="53">
        <f>Tabela6[[#This Row],[CUSTO TOTAL]]/Tabela6[[#This Row],[CONSUMO]]</f>
        <v>5.84</v>
      </c>
      <c r="M3970" s="50">
        <f>Tabela6[[#This Row],[KM ATUAL]]-E3915</f>
        <v>143891</v>
      </c>
      <c r="N3970" s="51">
        <f>Tabela6[[#This Row],[KM Rodados ]]/Tabela6[[#This Row],[CONSUMO]]</f>
        <v>2693.0750514692122</v>
      </c>
    </row>
    <row r="3971" spans="1:14" x14ac:dyDescent="0.25">
      <c r="A3971" s="47">
        <v>242147</v>
      </c>
      <c r="B3971" s="78">
        <v>45332</v>
      </c>
      <c r="C3971" s="47" t="s">
        <v>40</v>
      </c>
      <c r="D3971" s="49" t="s">
        <v>262</v>
      </c>
      <c r="E3971" s="47">
        <v>185191</v>
      </c>
      <c r="G3971" s="50" t="s">
        <v>244</v>
      </c>
      <c r="H3971" s="51">
        <v>42.451000000000001</v>
      </c>
      <c r="J3971" s="51">
        <v>5.59</v>
      </c>
      <c r="K3971" s="74">
        <f>Tabela6[[#This Row],[CONSUMO]]*Tabela6[[#This Row],[VALOR UNIT]]-Tabela6[[#This Row],[DESCONTO]]</f>
        <v>237.30108999999999</v>
      </c>
      <c r="L3971" s="53">
        <f>Tabela6[[#This Row],[CUSTO TOTAL]]/Tabela6[[#This Row],[CONSUMO]]</f>
        <v>5.59</v>
      </c>
      <c r="M3971" s="50">
        <f>Tabela6[[#This Row],[KM ATUAL]]-E3916</f>
        <v>-130122</v>
      </c>
      <c r="N3971" s="51">
        <f>Tabela6[[#This Row],[KM Rodados ]]/Tabela6[[#This Row],[CONSUMO]]</f>
        <v>-3065.2281453911569</v>
      </c>
    </row>
    <row r="3972" spans="1:14" x14ac:dyDescent="0.25">
      <c r="A3972" s="47">
        <v>160714</v>
      </c>
      <c r="B3972" s="78">
        <v>45333</v>
      </c>
      <c r="C3972" s="47" t="s">
        <v>203</v>
      </c>
      <c r="D3972" s="49" t="s">
        <v>260</v>
      </c>
      <c r="E3972" s="47">
        <v>142108</v>
      </c>
      <c r="G3972" s="50" t="s">
        <v>244</v>
      </c>
      <c r="H3972" s="51">
        <v>16.329999999999998</v>
      </c>
      <c r="J3972" s="51">
        <v>5.69</v>
      </c>
      <c r="K3972" s="74">
        <f>Tabela6[[#This Row],[CONSUMO]]*Tabela6[[#This Row],[VALOR UNIT]]-Tabela6[[#This Row],[DESCONTO]]</f>
        <v>92.917699999999996</v>
      </c>
      <c r="L3972" s="53">
        <f>Tabela6[[#This Row],[CUSTO TOTAL]]/Tabela6[[#This Row],[CONSUMO]]</f>
        <v>5.69</v>
      </c>
      <c r="M3972" s="50">
        <f>Tabela6[[#This Row],[KM ATUAL]]-E3917</f>
        <v>-269874</v>
      </c>
      <c r="N3972" s="51">
        <f>Tabela6[[#This Row],[KM Rodados ]]/Tabela6[[#This Row],[CONSUMO]]</f>
        <v>-16526.270667483161</v>
      </c>
    </row>
    <row r="3973" spans="1:14" x14ac:dyDescent="0.25">
      <c r="A3973" s="47">
        <v>9872</v>
      </c>
      <c r="B3973" s="78">
        <v>45335</v>
      </c>
      <c r="C3973" s="47" t="s">
        <v>43</v>
      </c>
      <c r="D3973" s="49" t="s">
        <v>299</v>
      </c>
      <c r="E3973" s="47">
        <v>177546</v>
      </c>
      <c r="G3973" s="50" t="s">
        <v>89</v>
      </c>
      <c r="H3973" s="51">
        <v>23</v>
      </c>
      <c r="J3973" s="51">
        <v>5.2</v>
      </c>
      <c r="K3973" s="74">
        <f>Tabela6[[#This Row],[CONSUMO]]*Tabela6[[#This Row],[VALOR UNIT]]-Tabela6[[#This Row],[DESCONTO]]</f>
        <v>119.60000000000001</v>
      </c>
      <c r="L3973" s="53">
        <f>Tabela6[[#This Row],[CUSTO TOTAL]]/Tabela6[[#This Row],[CONSUMO]]</f>
        <v>5.2</v>
      </c>
      <c r="M3973" s="50">
        <f>Tabela6[[#This Row],[KM ATUAL]]-E3918</f>
        <v>-217015</v>
      </c>
      <c r="N3973" s="51">
        <f>Tabela6[[#This Row],[KM Rodados ]]/Tabela6[[#This Row],[CONSUMO]]</f>
        <v>-9435.434782608696</v>
      </c>
    </row>
    <row r="3974" spans="1:14" x14ac:dyDescent="0.25">
      <c r="A3974" s="47">
        <v>187369</v>
      </c>
      <c r="B3974" s="78">
        <v>45335</v>
      </c>
      <c r="C3974" s="47" t="s">
        <v>41</v>
      </c>
      <c r="D3974" s="49" t="s">
        <v>262</v>
      </c>
      <c r="E3974" s="47">
        <v>662551</v>
      </c>
      <c r="G3974" s="50" t="s">
        <v>89</v>
      </c>
      <c r="H3974" s="51">
        <v>135.69900000000001</v>
      </c>
      <c r="J3974" s="51">
        <v>4.79</v>
      </c>
      <c r="K3974" s="74">
        <f>Tabela6[[#This Row],[CONSUMO]]*Tabela6[[#This Row],[VALOR UNIT]]-Tabela6[[#This Row],[DESCONTO]]</f>
        <v>649.99821000000009</v>
      </c>
      <c r="L3974" s="53">
        <f>Tabela6[[#This Row],[CUSTO TOTAL]]/Tabela6[[#This Row],[CONSUMO]]</f>
        <v>4.79</v>
      </c>
      <c r="M3974" s="50">
        <f>Tabela6[[#This Row],[KM ATUAL]]-E3919</f>
        <v>308814</v>
      </c>
      <c r="N3974" s="51">
        <f>Tabela6[[#This Row],[KM Rodados ]]/Tabela6[[#This Row],[CONSUMO]]</f>
        <v>2275.7278977737492</v>
      </c>
    </row>
    <row r="3975" spans="1:14" x14ac:dyDescent="0.25">
      <c r="A3975" s="47">
        <v>604613</v>
      </c>
      <c r="B3975" s="78">
        <v>45335</v>
      </c>
      <c r="C3975" s="47" t="s">
        <v>18</v>
      </c>
      <c r="D3975" s="49" t="s">
        <v>255</v>
      </c>
      <c r="E3975" s="47">
        <v>347110</v>
      </c>
      <c r="G3975" s="50" t="s">
        <v>89</v>
      </c>
      <c r="H3975" s="51">
        <v>90.75</v>
      </c>
      <c r="J3975" s="51">
        <v>6.16</v>
      </c>
      <c r="K3975" s="74">
        <f>Tabela6[[#This Row],[CONSUMO]]*Tabela6[[#This Row],[VALOR UNIT]]-Tabela6[[#This Row],[DESCONTO]]</f>
        <v>559.02</v>
      </c>
      <c r="L3975" s="53">
        <f>Tabela6[[#This Row],[CUSTO TOTAL]]/Tabela6[[#This Row],[CONSUMO]]</f>
        <v>6.16</v>
      </c>
      <c r="M3975" s="50">
        <f>Tabela6[[#This Row],[KM ATUAL]]-E3920</f>
        <v>49928</v>
      </c>
      <c r="N3975" s="51">
        <f>Tabela6[[#This Row],[KM Rodados ]]/Tabela6[[#This Row],[CONSUMO]]</f>
        <v>550.17079889807167</v>
      </c>
    </row>
    <row r="3976" spans="1:14" x14ac:dyDescent="0.25">
      <c r="A3976" s="47">
        <v>9872</v>
      </c>
      <c r="B3976" s="78">
        <v>45335</v>
      </c>
      <c r="C3976" s="47" t="s">
        <v>20</v>
      </c>
      <c r="D3976" s="49" t="s">
        <v>299</v>
      </c>
      <c r="E3976" s="47">
        <v>298726</v>
      </c>
      <c r="G3976" s="50" t="s">
        <v>89</v>
      </c>
      <c r="H3976" s="51">
        <v>61</v>
      </c>
      <c r="J3976" s="51">
        <v>5.2</v>
      </c>
      <c r="K3976" s="74">
        <f>Tabela6[[#This Row],[CONSUMO]]*Tabela6[[#This Row],[VALOR UNIT]]-Tabela6[[#This Row],[DESCONTO]]</f>
        <v>317.2</v>
      </c>
      <c r="L3976" s="53">
        <f>Tabela6[[#This Row],[CUSTO TOTAL]]/Tabela6[[#This Row],[CONSUMO]]</f>
        <v>5.2</v>
      </c>
      <c r="M3976" s="50">
        <f>Tabela6[[#This Row],[KM ATUAL]]-E3921</f>
        <v>1029</v>
      </c>
      <c r="N3976" s="51">
        <f>Tabela6[[#This Row],[KM Rodados ]]/Tabela6[[#This Row],[CONSUMO]]</f>
        <v>16.868852459016395</v>
      </c>
    </row>
    <row r="3977" spans="1:14" x14ac:dyDescent="0.25">
      <c r="A3977" s="47">
        <v>9872</v>
      </c>
      <c r="B3977" s="78">
        <v>45335</v>
      </c>
      <c r="C3977" s="47" t="s">
        <v>74</v>
      </c>
      <c r="D3977" s="49" t="s">
        <v>299</v>
      </c>
      <c r="E3977" s="47">
        <v>111225</v>
      </c>
      <c r="G3977" s="50" t="s">
        <v>89</v>
      </c>
      <c r="H3977" s="51">
        <v>76</v>
      </c>
      <c r="J3977" s="51">
        <v>5.2</v>
      </c>
      <c r="K3977" s="74">
        <f>Tabela6[[#This Row],[CONSUMO]]*Tabela6[[#This Row],[VALOR UNIT]]-Tabela6[[#This Row],[DESCONTO]]</f>
        <v>395.2</v>
      </c>
      <c r="L3977" s="53">
        <f>Tabela6[[#This Row],[CUSTO TOTAL]]/Tabela6[[#This Row],[CONSUMO]]</f>
        <v>5.2</v>
      </c>
      <c r="M3977" s="50">
        <f>Tabela6[[#This Row],[KM ATUAL]]-E3922</f>
        <v>-72707</v>
      </c>
      <c r="N3977" s="51">
        <f>Tabela6[[#This Row],[KM Rodados ]]/Tabela6[[#This Row],[CONSUMO]]</f>
        <v>-956.67105263157896</v>
      </c>
    </row>
    <row r="3978" spans="1:14" x14ac:dyDescent="0.25">
      <c r="A3978" s="47">
        <v>243901</v>
      </c>
      <c r="B3978" s="78">
        <v>45335</v>
      </c>
      <c r="C3978" s="47" t="s">
        <v>354</v>
      </c>
      <c r="D3978" s="49" t="s">
        <v>311</v>
      </c>
      <c r="E3978" s="47">
        <v>23852</v>
      </c>
      <c r="G3978" s="50" t="s">
        <v>89</v>
      </c>
      <c r="H3978" s="51">
        <v>184.637</v>
      </c>
      <c r="J3978" s="51">
        <v>7.94</v>
      </c>
      <c r="K3978" s="74">
        <f>Tabela6[[#This Row],[CONSUMO]]*Tabela6[[#This Row],[VALOR UNIT]]-Tabela6[[#This Row],[DESCONTO]]</f>
        <v>1466.0177800000001</v>
      </c>
      <c r="L3978" s="53">
        <f>Tabela6[[#This Row],[CUSTO TOTAL]]/Tabela6[[#This Row],[CONSUMO]]</f>
        <v>7.94</v>
      </c>
      <c r="M3978" s="50">
        <f>Tabela6[[#This Row],[KM ATUAL]]-E3923</f>
        <v>-85248</v>
      </c>
      <c r="N3978" s="51">
        <f>Tabela6[[#This Row],[KM Rodados ]]/Tabela6[[#This Row],[CONSUMO]]</f>
        <v>-461.70594192929912</v>
      </c>
    </row>
    <row r="3979" spans="1:14" x14ac:dyDescent="0.25">
      <c r="A3979" s="47">
        <v>9872</v>
      </c>
      <c r="B3979" s="78">
        <v>45336</v>
      </c>
      <c r="C3979" s="47" t="s">
        <v>43</v>
      </c>
      <c r="D3979" s="49" t="s">
        <v>299</v>
      </c>
      <c r="E3979" s="47">
        <v>177530</v>
      </c>
      <c r="G3979" s="50" t="s">
        <v>89</v>
      </c>
      <c r="H3979" s="51">
        <v>8</v>
      </c>
      <c r="J3979" s="51">
        <v>5.2</v>
      </c>
      <c r="K3979" s="74">
        <f>Tabela6[[#This Row],[CONSUMO]]*Tabela6[[#This Row],[VALOR UNIT]]-Tabela6[[#This Row],[DESCONTO]]</f>
        <v>41.6</v>
      </c>
      <c r="L3979" s="53">
        <f>Tabela6[[#This Row],[CUSTO TOTAL]]/Tabela6[[#This Row],[CONSUMO]]</f>
        <v>5.2</v>
      </c>
      <c r="M3979" s="50">
        <f>Tabela6[[#This Row],[KM ATUAL]]-E3924</f>
        <v>160323</v>
      </c>
      <c r="N3979" s="51">
        <f>Tabela6[[#This Row],[KM Rodados ]]/Tabela6[[#This Row],[CONSUMO]]</f>
        <v>20040.375</v>
      </c>
    </row>
    <row r="3980" spans="1:14" x14ac:dyDescent="0.25">
      <c r="A3980" s="47">
        <v>9872</v>
      </c>
      <c r="B3980" s="78">
        <v>45336</v>
      </c>
      <c r="C3980" s="47" t="s">
        <v>394</v>
      </c>
      <c r="D3980" s="49" t="s">
        <v>299</v>
      </c>
      <c r="E3980" s="47">
        <v>887393</v>
      </c>
      <c r="G3980" s="50" t="s">
        <v>89</v>
      </c>
      <c r="H3980" s="51">
        <v>140</v>
      </c>
      <c r="J3980" s="51">
        <v>5.2</v>
      </c>
      <c r="K3980" s="74">
        <f>Tabela6[[#This Row],[CONSUMO]]*Tabela6[[#This Row],[VALOR UNIT]]-Tabela6[[#This Row],[DESCONTO]]</f>
        <v>728</v>
      </c>
      <c r="L3980" s="53">
        <f>Tabela6[[#This Row],[CUSTO TOTAL]]/Tabela6[[#This Row],[CONSUMO]]</f>
        <v>5.2</v>
      </c>
      <c r="M3980" s="50">
        <f>Tabela6[[#This Row],[KM ATUAL]]-E3925</f>
        <v>711101</v>
      </c>
      <c r="N3980" s="51">
        <f>Tabela6[[#This Row],[KM Rodados ]]/Tabela6[[#This Row],[CONSUMO]]</f>
        <v>5079.2928571428574</v>
      </c>
    </row>
    <row r="3981" spans="1:14" x14ac:dyDescent="0.25">
      <c r="A3981" s="47">
        <v>283822</v>
      </c>
      <c r="B3981" s="78">
        <v>45336</v>
      </c>
      <c r="C3981" s="47" t="s">
        <v>67</v>
      </c>
      <c r="D3981" s="49" t="s">
        <v>273</v>
      </c>
      <c r="E3981" s="47">
        <v>700422</v>
      </c>
      <c r="G3981" s="50" t="s">
        <v>89</v>
      </c>
      <c r="H3981" s="51">
        <v>114</v>
      </c>
      <c r="J3981" s="51">
        <v>5.69</v>
      </c>
      <c r="K3981" s="74">
        <f>Tabela6[[#This Row],[CONSUMO]]*Tabela6[[#This Row],[VALOR UNIT]]-Tabela6[[#This Row],[DESCONTO]]</f>
        <v>648.66000000000008</v>
      </c>
      <c r="L3981" s="53">
        <f>Tabela6[[#This Row],[CUSTO TOTAL]]/Tabela6[[#This Row],[CONSUMO]]</f>
        <v>5.69</v>
      </c>
      <c r="M3981" s="50">
        <f>Tabela6[[#This Row],[KM ATUAL]]-E3926</f>
        <v>259982</v>
      </c>
      <c r="N3981" s="51">
        <f>Tabela6[[#This Row],[KM Rodados ]]/Tabela6[[#This Row],[CONSUMO]]</f>
        <v>2280.5438596491226</v>
      </c>
    </row>
    <row r="3982" spans="1:14" x14ac:dyDescent="0.25">
      <c r="A3982" s="47">
        <v>375347</v>
      </c>
      <c r="B3982" s="78">
        <v>45336</v>
      </c>
      <c r="C3982" s="47" t="s">
        <v>73</v>
      </c>
      <c r="D3982" s="49" t="s">
        <v>276</v>
      </c>
      <c r="E3982" s="47">
        <v>178920</v>
      </c>
      <c r="G3982" s="50" t="s">
        <v>241</v>
      </c>
      <c r="H3982" s="51">
        <v>22.908999999999999</v>
      </c>
      <c r="J3982" s="51">
        <v>3.69</v>
      </c>
      <c r="K3982" s="74">
        <f>Tabela6[[#This Row],[CONSUMO]]*Tabela6[[#This Row],[VALOR UNIT]]-Tabela6[[#This Row],[DESCONTO]]</f>
        <v>84.534210000000002</v>
      </c>
      <c r="L3982" s="53">
        <f>Tabela6[[#This Row],[CUSTO TOTAL]]/Tabela6[[#This Row],[CONSUMO]]</f>
        <v>3.6900000000000004</v>
      </c>
      <c r="M3982" s="50">
        <f>Tabela6[[#This Row],[KM ATUAL]]-E3927</f>
        <v>538</v>
      </c>
      <c r="N3982" s="51">
        <f>Tabela6[[#This Row],[KM Rodados ]]/Tabela6[[#This Row],[CONSUMO]]</f>
        <v>23.484220175476889</v>
      </c>
    </row>
    <row r="3983" spans="1:14" x14ac:dyDescent="0.25">
      <c r="A3983" s="47">
        <v>243391</v>
      </c>
      <c r="B3983" s="78">
        <v>45336</v>
      </c>
      <c r="C3983" s="47" t="s">
        <v>71</v>
      </c>
      <c r="D3983" s="49" t="s">
        <v>262</v>
      </c>
      <c r="E3983" s="47">
        <v>153024</v>
      </c>
      <c r="G3983" s="50" t="s">
        <v>241</v>
      </c>
      <c r="H3983" s="51">
        <v>51.131</v>
      </c>
      <c r="I3983" s="49">
        <v>18.399999999999999</v>
      </c>
      <c r="J3983" s="51">
        <v>3.69</v>
      </c>
      <c r="K3983" s="74">
        <f>Tabela6[[#This Row],[CONSUMO]]*Tabela6[[#This Row],[VALOR UNIT]]-Tabela6[[#This Row],[DESCONTO]]</f>
        <v>170.27339000000001</v>
      </c>
      <c r="L3983" s="53">
        <f>Tabela6[[#This Row],[CUSTO TOTAL]]/Tabela6[[#This Row],[CONSUMO]]</f>
        <v>3.3301400324656276</v>
      </c>
      <c r="M3983" s="50">
        <f>Tabela6[[#This Row],[KM ATUAL]]-E3928</f>
        <v>-545042</v>
      </c>
      <c r="N3983" s="51">
        <f>Tabela6[[#This Row],[KM Rodados ]]/Tabela6[[#This Row],[CONSUMO]]</f>
        <v>-10659.717197003774</v>
      </c>
    </row>
    <row r="3984" spans="1:14" x14ac:dyDescent="0.25">
      <c r="A3984" s="47">
        <v>9872</v>
      </c>
      <c r="B3984" s="78">
        <v>45336</v>
      </c>
      <c r="C3984" s="47" t="s">
        <v>41</v>
      </c>
      <c r="D3984" s="49" t="s">
        <v>299</v>
      </c>
      <c r="E3984" s="47">
        <v>698445</v>
      </c>
      <c r="G3984" s="50" t="s">
        <v>89</v>
      </c>
      <c r="H3984" s="51">
        <v>87</v>
      </c>
      <c r="J3984" s="51">
        <v>5.2</v>
      </c>
      <c r="K3984" s="74">
        <f>Tabela6[[#This Row],[CONSUMO]]*Tabela6[[#This Row],[VALOR UNIT]]-Tabela6[[#This Row],[DESCONTO]]</f>
        <v>452.40000000000003</v>
      </c>
      <c r="L3984" s="53">
        <f>Tabela6[[#This Row],[CUSTO TOTAL]]/Tabela6[[#This Row],[CONSUMO]]</f>
        <v>5.2</v>
      </c>
      <c r="M3984" s="50">
        <f>Tabela6[[#This Row],[KM ATUAL]]-E3929</f>
        <v>-45101</v>
      </c>
      <c r="N3984" s="51">
        <f>Tabela6[[#This Row],[KM Rodados ]]/Tabela6[[#This Row],[CONSUMO]]</f>
        <v>-518.40229885057477</v>
      </c>
    </row>
    <row r="3985" spans="1:14" x14ac:dyDescent="0.25">
      <c r="A3985" s="47">
        <v>9872</v>
      </c>
      <c r="B3985" s="78">
        <v>45336</v>
      </c>
      <c r="C3985" s="47" t="s">
        <v>10</v>
      </c>
      <c r="D3985" s="49" t="s">
        <v>299</v>
      </c>
      <c r="E3985" s="47">
        <v>744106</v>
      </c>
      <c r="G3985" s="50" t="s">
        <v>89</v>
      </c>
      <c r="H3985" s="51">
        <v>140</v>
      </c>
      <c r="J3985" s="51">
        <v>5.2</v>
      </c>
      <c r="K3985" s="74">
        <f>Tabela6[[#This Row],[CONSUMO]]*Tabela6[[#This Row],[VALOR UNIT]]-Tabela6[[#This Row],[DESCONTO]]</f>
        <v>728</v>
      </c>
      <c r="L3985" s="53">
        <f>Tabela6[[#This Row],[CUSTO TOTAL]]/Tabela6[[#This Row],[CONSUMO]]</f>
        <v>5.2</v>
      </c>
      <c r="M3985" s="50">
        <f>Tabela6[[#This Row],[KM ATUAL]]-E3930</f>
        <v>428285</v>
      </c>
      <c r="N3985" s="51">
        <f>Tabela6[[#This Row],[KM Rodados ]]/Tabela6[[#This Row],[CONSUMO]]</f>
        <v>3059.1785714285716</v>
      </c>
    </row>
    <row r="3986" spans="1:14" x14ac:dyDescent="0.25">
      <c r="A3986" s="47">
        <v>9872</v>
      </c>
      <c r="B3986" s="78">
        <v>45336</v>
      </c>
      <c r="C3986" s="47" t="s">
        <v>301</v>
      </c>
      <c r="D3986" s="49" t="s">
        <v>299</v>
      </c>
      <c r="E3986" s="47">
        <v>1095586</v>
      </c>
      <c r="G3986" s="50" t="s">
        <v>89</v>
      </c>
      <c r="H3986" s="51">
        <v>433</v>
      </c>
      <c r="J3986" s="51">
        <v>5.2</v>
      </c>
      <c r="K3986" s="74">
        <f>Tabela6[[#This Row],[CONSUMO]]*Tabela6[[#This Row],[VALOR UNIT]]-Tabela6[[#This Row],[DESCONTO]]</f>
        <v>2251.6</v>
      </c>
      <c r="L3986" s="53">
        <f>Tabela6[[#This Row],[CUSTO TOTAL]]/Tabela6[[#This Row],[CONSUMO]]</f>
        <v>5.2</v>
      </c>
      <c r="M3986" s="50">
        <f>Tabela6[[#This Row],[KM ATUAL]]-E3931</f>
        <v>492410</v>
      </c>
      <c r="N3986" s="51">
        <f>Tabela6[[#This Row],[KM Rodados ]]/Tabela6[[#This Row],[CONSUMO]]</f>
        <v>1137.2055427251732</v>
      </c>
    </row>
    <row r="3987" spans="1:14" x14ac:dyDescent="0.25">
      <c r="A3987" s="47">
        <v>243459</v>
      </c>
      <c r="B3987" s="78">
        <v>45336</v>
      </c>
      <c r="C3987" s="47" t="s">
        <v>14</v>
      </c>
      <c r="D3987" s="49" t="s">
        <v>262</v>
      </c>
      <c r="E3987" s="47">
        <v>316738</v>
      </c>
      <c r="G3987" s="50" t="s">
        <v>244</v>
      </c>
      <c r="H3987" s="51">
        <v>26.86</v>
      </c>
      <c r="J3987" s="51">
        <v>5.59</v>
      </c>
      <c r="K3987" s="74">
        <f>Tabela6[[#This Row],[CONSUMO]]*Tabela6[[#This Row],[VALOR UNIT]]-Tabela6[[#This Row],[DESCONTO]]</f>
        <v>150.1474</v>
      </c>
      <c r="L3987" s="53">
        <f>Tabela6[[#This Row],[CUSTO TOTAL]]/Tabela6[[#This Row],[CONSUMO]]</f>
        <v>5.59</v>
      </c>
      <c r="M3987" s="50">
        <f>Tabela6[[#This Row],[KM ATUAL]]-E3932</f>
        <v>173446</v>
      </c>
      <c r="N3987" s="51">
        <f>Tabela6[[#This Row],[KM Rodados ]]/Tabela6[[#This Row],[CONSUMO]]</f>
        <v>6457.4087862993301</v>
      </c>
    </row>
    <row r="3988" spans="1:14" x14ac:dyDescent="0.25">
      <c r="A3988" s="47">
        <v>39672</v>
      </c>
      <c r="B3988" s="78">
        <v>45336</v>
      </c>
      <c r="C3988" s="47" t="s">
        <v>14</v>
      </c>
      <c r="D3988" s="49" t="s">
        <v>271</v>
      </c>
      <c r="E3988" s="47">
        <v>316197</v>
      </c>
      <c r="G3988" s="50" t="s">
        <v>244</v>
      </c>
      <c r="H3988" s="51">
        <v>40.01</v>
      </c>
      <c r="J3988" s="51">
        <v>5.7</v>
      </c>
      <c r="K3988" s="74">
        <f>Tabela6[[#This Row],[CONSUMO]]*Tabela6[[#This Row],[VALOR UNIT]]-Tabela6[[#This Row],[DESCONTO]]</f>
        <v>228.05699999999999</v>
      </c>
      <c r="L3988" s="53">
        <f>Tabela6[[#This Row],[CUSTO TOTAL]]/Tabela6[[#This Row],[CONSUMO]]</f>
        <v>5.7</v>
      </c>
      <c r="M3988" s="50">
        <f>Tabela6[[#This Row],[KM ATUAL]]-E3933</f>
        <v>131738</v>
      </c>
      <c r="N3988" s="51">
        <f>Tabela6[[#This Row],[KM Rodados ]]/Tabela6[[#This Row],[CONSUMO]]</f>
        <v>3292.6268432891779</v>
      </c>
    </row>
    <row r="3989" spans="1:14" x14ac:dyDescent="0.25">
      <c r="A3989" s="47">
        <v>9872</v>
      </c>
      <c r="B3989" s="78">
        <v>45336</v>
      </c>
      <c r="C3989" s="47" t="s">
        <v>17</v>
      </c>
      <c r="D3989" s="49" t="s">
        <v>299</v>
      </c>
      <c r="E3989" s="47">
        <v>395616</v>
      </c>
      <c r="G3989" s="50" t="s">
        <v>89</v>
      </c>
      <c r="H3989" s="51">
        <v>141</v>
      </c>
      <c r="J3989" s="51">
        <v>5.2</v>
      </c>
      <c r="K3989" s="74">
        <f>Tabela6[[#This Row],[CONSUMO]]*Tabela6[[#This Row],[VALOR UNIT]]-Tabela6[[#This Row],[DESCONTO]]</f>
        <v>733.2</v>
      </c>
      <c r="L3989" s="53">
        <f>Tabela6[[#This Row],[CUSTO TOTAL]]/Tabela6[[#This Row],[CONSUMO]]</f>
        <v>5.2</v>
      </c>
      <c r="M3989" s="50">
        <f>Tabela6[[#This Row],[KM ATUAL]]-E3934</f>
        <v>285892</v>
      </c>
      <c r="N3989" s="51">
        <f>Tabela6[[#This Row],[KM Rodados ]]/Tabela6[[#This Row],[CONSUMO]]</f>
        <v>2027.6028368794325</v>
      </c>
    </row>
    <row r="3990" spans="1:14" x14ac:dyDescent="0.25">
      <c r="A3990" s="47">
        <v>9872</v>
      </c>
      <c r="B3990" s="78">
        <v>45336</v>
      </c>
      <c r="C3990" s="47" t="s">
        <v>19</v>
      </c>
      <c r="D3990" s="49" t="s">
        <v>299</v>
      </c>
      <c r="E3990" s="47">
        <v>354581</v>
      </c>
      <c r="G3990" s="50" t="s">
        <v>89</v>
      </c>
      <c r="H3990" s="51">
        <v>90</v>
      </c>
      <c r="J3990" s="51">
        <v>5.2</v>
      </c>
      <c r="K3990" s="74">
        <f>Tabela6[[#This Row],[CONSUMO]]*Tabela6[[#This Row],[VALOR UNIT]]-Tabela6[[#This Row],[DESCONTO]]</f>
        <v>468</v>
      </c>
      <c r="L3990" s="53">
        <f>Tabela6[[#This Row],[CUSTO TOTAL]]/Tabela6[[#This Row],[CONSUMO]]</f>
        <v>5.2</v>
      </c>
      <c r="M3990" s="50">
        <f>Tabela6[[#This Row],[KM ATUAL]]-E3935</f>
        <v>346034</v>
      </c>
      <c r="N3990" s="51">
        <f>Tabela6[[#This Row],[KM Rodados ]]/Tabela6[[#This Row],[CONSUMO]]</f>
        <v>3844.8222222222221</v>
      </c>
    </row>
    <row r="3991" spans="1:14" x14ac:dyDescent="0.25">
      <c r="A3991" s="47">
        <v>243228</v>
      </c>
      <c r="B3991" s="78">
        <v>45336</v>
      </c>
      <c r="C3991" s="47" t="s">
        <v>40</v>
      </c>
      <c r="D3991" s="49" t="s">
        <v>262</v>
      </c>
      <c r="E3991" s="47">
        <v>185541</v>
      </c>
      <c r="G3991" s="50" t="s">
        <v>244</v>
      </c>
      <c r="H3991" s="51">
        <v>29.07</v>
      </c>
      <c r="J3991" s="51">
        <v>5.59</v>
      </c>
      <c r="K3991" s="74">
        <f>Tabela6[[#This Row],[CONSUMO]]*Tabela6[[#This Row],[VALOR UNIT]]-Tabela6[[#This Row],[DESCONTO]]</f>
        <v>162.50129999999999</v>
      </c>
      <c r="L3991" s="53">
        <f>Tabela6[[#This Row],[CUSTO TOTAL]]/Tabela6[[#This Row],[CONSUMO]]</f>
        <v>5.59</v>
      </c>
      <c r="M3991" s="50">
        <f>Tabela6[[#This Row],[KM ATUAL]]-E3936</f>
        <v>8952</v>
      </c>
      <c r="N3991" s="51">
        <f>Tabela6[[#This Row],[KM Rodados ]]/Tabela6[[#This Row],[CONSUMO]]</f>
        <v>307.94633642930859</v>
      </c>
    </row>
    <row r="3992" spans="1:14" x14ac:dyDescent="0.25">
      <c r="A3992" s="47">
        <v>9872</v>
      </c>
      <c r="B3992" s="78">
        <v>45336</v>
      </c>
      <c r="C3992" s="47" t="s">
        <v>401</v>
      </c>
      <c r="D3992" s="49" t="s">
        <v>299</v>
      </c>
      <c r="E3992" s="47">
        <v>9438</v>
      </c>
      <c r="G3992" s="50" t="s">
        <v>89</v>
      </c>
      <c r="H3992" s="51">
        <v>150</v>
      </c>
      <c r="J3992" s="51">
        <v>5.2</v>
      </c>
      <c r="K3992" s="74">
        <f>Tabela6[[#This Row],[CONSUMO]]*Tabela6[[#This Row],[VALOR UNIT]]-Tabela6[[#This Row],[DESCONTO]]</f>
        <v>780</v>
      </c>
      <c r="L3992" s="53">
        <f>Tabela6[[#This Row],[CUSTO TOTAL]]/Tabela6[[#This Row],[CONSUMO]]</f>
        <v>5.2</v>
      </c>
      <c r="M3992" s="50">
        <f>Tabela6[[#This Row],[KM ATUAL]]-E3937</f>
        <v>-876680</v>
      </c>
      <c r="N3992" s="51">
        <f>Tabela6[[#This Row],[KM Rodados ]]/Tabela6[[#This Row],[CONSUMO]]</f>
        <v>-5844.5333333333338</v>
      </c>
    </row>
    <row r="3993" spans="1:14" x14ac:dyDescent="0.25">
      <c r="A3993" s="47">
        <v>9872</v>
      </c>
      <c r="B3993" s="78">
        <v>45337</v>
      </c>
      <c r="C3993" s="47" t="s">
        <v>68</v>
      </c>
      <c r="D3993" s="49" t="s">
        <v>299</v>
      </c>
      <c r="E3993" s="47">
        <v>956933</v>
      </c>
      <c r="G3993" s="50" t="s">
        <v>89</v>
      </c>
      <c r="H3993" s="51">
        <v>498</v>
      </c>
      <c r="J3993" s="51">
        <v>5.2</v>
      </c>
      <c r="K3993" s="74">
        <f>Tabela6[[#This Row],[CONSUMO]]*Tabela6[[#This Row],[VALOR UNIT]]-Tabela6[[#This Row],[DESCONTO]]</f>
        <v>2589.6</v>
      </c>
      <c r="L3993" s="53">
        <f>Tabela6[[#This Row],[CUSTO TOTAL]]/Tabela6[[#This Row],[CONSUMO]]</f>
        <v>5.2</v>
      </c>
      <c r="M3993" s="50">
        <f>Tabela6[[#This Row],[KM ATUAL]]-E3938</f>
        <v>572224</v>
      </c>
      <c r="N3993" s="51">
        <f>Tabela6[[#This Row],[KM Rodados ]]/Tabela6[[#This Row],[CONSUMO]]</f>
        <v>1149.0441767068273</v>
      </c>
    </row>
    <row r="3994" spans="1:14" x14ac:dyDescent="0.25">
      <c r="A3994" s="47">
        <v>243502</v>
      </c>
      <c r="B3994" s="78">
        <v>45337</v>
      </c>
      <c r="C3994" s="47" t="s">
        <v>43</v>
      </c>
      <c r="D3994" s="49" t="s">
        <v>262</v>
      </c>
      <c r="E3994" s="47">
        <v>177650</v>
      </c>
      <c r="G3994" s="50" t="s">
        <v>89</v>
      </c>
      <c r="H3994" s="51">
        <v>14.14</v>
      </c>
      <c r="J3994" s="51">
        <v>5.99</v>
      </c>
      <c r="K3994" s="74">
        <f>Tabela6[[#This Row],[CONSUMO]]*Tabela6[[#This Row],[VALOR UNIT]]-Tabela6[[#This Row],[DESCONTO]]</f>
        <v>84.698600000000013</v>
      </c>
      <c r="L3994" s="53">
        <f>Tabela6[[#This Row],[CUSTO TOTAL]]/Tabela6[[#This Row],[CONSUMO]]</f>
        <v>5.9900000000000011</v>
      </c>
      <c r="M3994" s="50">
        <f>Tabela6[[#This Row],[KM ATUAL]]-E3939</f>
        <v>-522325</v>
      </c>
      <c r="N3994" s="51">
        <f>Tabela6[[#This Row],[KM Rodados ]]/Tabela6[[#This Row],[CONSUMO]]</f>
        <v>-36939.533239038188</v>
      </c>
    </row>
    <row r="3995" spans="1:14" x14ac:dyDescent="0.25">
      <c r="A3995" s="47">
        <v>9872</v>
      </c>
      <c r="B3995" s="78">
        <v>45337</v>
      </c>
      <c r="C3995" s="47" t="s">
        <v>43</v>
      </c>
      <c r="D3995" s="49" t="s">
        <v>299</v>
      </c>
      <c r="E3995" s="47">
        <v>178045</v>
      </c>
      <c r="G3995" s="50" t="s">
        <v>89</v>
      </c>
      <c r="H3995" s="51">
        <v>44</v>
      </c>
      <c r="J3995" s="51">
        <v>5.2</v>
      </c>
      <c r="K3995" s="74">
        <f>Tabela6[[#This Row],[CONSUMO]]*Tabela6[[#This Row],[VALOR UNIT]]-Tabela6[[#This Row],[DESCONTO]]</f>
        <v>228.8</v>
      </c>
      <c r="L3995" s="53">
        <f>Tabela6[[#This Row],[CUSTO TOTAL]]/Tabela6[[#This Row],[CONSUMO]]</f>
        <v>5.2</v>
      </c>
      <c r="M3995" s="50">
        <f>Tabela6[[#This Row],[KM ATUAL]]-E3940</f>
        <v>-57033</v>
      </c>
      <c r="N3995" s="51">
        <f>Tabela6[[#This Row],[KM Rodados ]]/Tabela6[[#This Row],[CONSUMO]]</f>
        <v>-1296.2045454545455</v>
      </c>
    </row>
    <row r="3996" spans="1:14" x14ac:dyDescent="0.25">
      <c r="A3996" s="47">
        <v>9872</v>
      </c>
      <c r="B3996" s="78">
        <v>45337</v>
      </c>
      <c r="C3996" s="47" t="s">
        <v>394</v>
      </c>
      <c r="D3996" s="49" t="s">
        <v>299</v>
      </c>
      <c r="E3996" s="47">
        <v>887553</v>
      </c>
      <c r="G3996" s="50" t="s">
        <v>89</v>
      </c>
      <c r="H3996" s="51">
        <v>35</v>
      </c>
      <c r="J3996" s="51">
        <v>5.2</v>
      </c>
      <c r="K3996" s="74">
        <f>Tabela6[[#This Row],[CONSUMO]]*Tabela6[[#This Row],[VALOR UNIT]]-Tabela6[[#This Row],[DESCONTO]]</f>
        <v>182</v>
      </c>
      <c r="L3996" s="53">
        <f>Tabela6[[#This Row],[CUSTO TOTAL]]/Tabela6[[#This Row],[CONSUMO]]</f>
        <v>5.2</v>
      </c>
      <c r="M3996" s="50">
        <f>Tabela6[[#This Row],[KM ATUAL]]-E3941</f>
        <v>625143</v>
      </c>
      <c r="N3996" s="51">
        <f>Tabela6[[#This Row],[KM Rodados ]]/Tabela6[[#This Row],[CONSUMO]]</f>
        <v>17861.228571428572</v>
      </c>
    </row>
    <row r="3997" spans="1:14" x14ac:dyDescent="0.25">
      <c r="A3997" s="47">
        <v>9872</v>
      </c>
      <c r="B3997" s="78">
        <v>45337</v>
      </c>
      <c r="C3997" s="47" t="s">
        <v>42</v>
      </c>
      <c r="D3997" s="49" t="s">
        <v>299</v>
      </c>
      <c r="E3997" s="47">
        <v>384808</v>
      </c>
      <c r="G3997" s="50" t="s">
        <v>89</v>
      </c>
      <c r="H3997" s="51">
        <v>22</v>
      </c>
      <c r="J3997" s="51">
        <v>5.2</v>
      </c>
      <c r="K3997" s="74">
        <f>Tabela6[[#This Row],[CONSUMO]]*Tabela6[[#This Row],[VALOR UNIT]]-Tabela6[[#This Row],[DESCONTO]]</f>
        <v>114.4</v>
      </c>
      <c r="L3997" s="53">
        <f>Tabela6[[#This Row],[CUSTO TOTAL]]/Tabela6[[#This Row],[CONSUMO]]</f>
        <v>5.2</v>
      </c>
      <c r="M3997" s="50">
        <f>Tabela6[[#This Row],[KM ATUAL]]-E3942</f>
        <v>243523</v>
      </c>
      <c r="N3997" s="51">
        <f>Tabela6[[#This Row],[KM Rodados ]]/Tabela6[[#This Row],[CONSUMO]]</f>
        <v>11069.227272727272</v>
      </c>
    </row>
    <row r="3998" spans="1:14" x14ac:dyDescent="0.25">
      <c r="A3998" s="47">
        <v>9872</v>
      </c>
      <c r="B3998" s="78">
        <v>45337</v>
      </c>
      <c r="C3998" s="47" t="s">
        <v>22</v>
      </c>
      <c r="D3998" s="49" t="s">
        <v>299</v>
      </c>
      <c r="E3998" s="47">
        <v>352727</v>
      </c>
      <c r="G3998" s="50" t="s">
        <v>89</v>
      </c>
      <c r="H3998" s="51">
        <v>145</v>
      </c>
      <c r="J3998" s="51">
        <v>5.2</v>
      </c>
      <c r="K3998" s="74">
        <f>Tabela6[[#This Row],[CONSUMO]]*Tabela6[[#This Row],[VALOR UNIT]]-Tabela6[[#This Row],[DESCONTO]]</f>
        <v>754</v>
      </c>
      <c r="L3998" s="53">
        <f>Tabela6[[#This Row],[CUSTO TOTAL]]/Tabela6[[#This Row],[CONSUMO]]</f>
        <v>5.2</v>
      </c>
      <c r="M3998" s="50">
        <f>Tabela6[[#This Row],[KM ATUAL]]-E3943</f>
        <v>211928</v>
      </c>
      <c r="N3998" s="51">
        <f>Tabela6[[#This Row],[KM Rodados ]]/Tabela6[[#This Row],[CONSUMO]]</f>
        <v>1461.5724137931034</v>
      </c>
    </row>
    <row r="3999" spans="1:14" x14ac:dyDescent="0.25">
      <c r="A3999" s="47">
        <v>9872</v>
      </c>
      <c r="B3999" s="78">
        <v>45337</v>
      </c>
      <c r="C3999" s="47" t="s">
        <v>70</v>
      </c>
      <c r="D3999" s="49" t="s">
        <v>299</v>
      </c>
      <c r="E3999" s="47">
        <v>263567</v>
      </c>
      <c r="G3999" s="50" t="s">
        <v>89</v>
      </c>
      <c r="H3999" s="51">
        <v>395</v>
      </c>
      <c r="J3999" s="51">
        <v>5.2</v>
      </c>
      <c r="K3999" s="74">
        <f>Tabela6[[#This Row],[CONSUMO]]*Tabela6[[#This Row],[VALOR UNIT]]-Tabela6[[#This Row],[DESCONTO]]</f>
        <v>2054</v>
      </c>
      <c r="L3999" s="53">
        <f>Tabela6[[#This Row],[CUSTO TOTAL]]/Tabela6[[#This Row],[CONSUMO]]</f>
        <v>5.2</v>
      </c>
      <c r="M3999" s="50">
        <f>Tabela6[[#This Row],[KM ATUAL]]-E3944</f>
        <v>-176994</v>
      </c>
      <c r="N3999" s="51">
        <f>Tabela6[[#This Row],[KM Rodados ]]/Tabela6[[#This Row],[CONSUMO]]</f>
        <v>-448.08607594936711</v>
      </c>
    </row>
    <row r="4000" spans="1:14" x14ac:dyDescent="0.25">
      <c r="A4000" s="47">
        <v>9872</v>
      </c>
      <c r="B4000" s="78">
        <v>45337</v>
      </c>
      <c r="C4000" s="47" t="s">
        <v>72</v>
      </c>
      <c r="D4000" s="49" t="s">
        <v>299</v>
      </c>
      <c r="E4000" s="47">
        <v>441913</v>
      </c>
      <c r="G4000" s="50" t="s">
        <v>89</v>
      </c>
      <c r="H4000" s="51">
        <v>42</v>
      </c>
      <c r="J4000" s="51">
        <v>5.2</v>
      </c>
      <c r="K4000" s="74">
        <f>Tabela6[[#This Row],[CONSUMO]]*Tabela6[[#This Row],[VALOR UNIT]]-Tabela6[[#This Row],[DESCONTO]]</f>
        <v>218.4</v>
      </c>
      <c r="L4000" s="53">
        <f>Tabela6[[#This Row],[CUSTO TOTAL]]/Tabela6[[#This Row],[CONSUMO]]</f>
        <v>5.2</v>
      </c>
      <c r="M4000" s="50">
        <f>Tabela6[[#This Row],[KM ATUAL]]-E3945</f>
        <v>289866</v>
      </c>
      <c r="N4000" s="51">
        <f>Tabela6[[#This Row],[KM Rodados ]]/Tabela6[[#This Row],[CONSUMO]]</f>
        <v>6901.5714285714284</v>
      </c>
    </row>
    <row r="4001" spans="1:14" x14ac:dyDescent="0.25">
      <c r="A4001" s="47">
        <v>9872</v>
      </c>
      <c r="B4001" s="78">
        <v>45337</v>
      </c>
      <c r="C4001" s="47" t="s">
        <v>73</v>
      </c>
      <c r="D4001" s="49" t="s">
        <v>299</v>
      </c>
      <c r="E4001" s="47">
        <v>179365</v>
      </c>
      <c r="G4001" s="50" t="s">
        <v>89</v>
      </c>
      <c r="H4001" s="51">
        <v>120</v>
      </c>
      <c r="J4001" s="51">
        <v>5.2</v>
      </c>
      <c r="K4001" s="74">
        <f>Tabela6[[#This Row],[CONSUMO]]*Tabela6[[#This Row],[VALOR UNIT]]-Tabela6[[#This Row],[DESCONTO]]</f>
        <v>624</v>
      </c>
      <c r="L4001" s="53">
        <f>Tabela6[[#This Row],[CUSTO TOTAL]]/Tabela6[[#This Row],[CONSUMO]]</f>
        <v>5.2</v>
      </c>
      <c r="M4001" s="50">
        <f>Tabela6[[#This Row],[KM ATUAL]]-E3946</f>
        <v>-511319</v>
      </c>
      <c r="N4001" s="51">
        <f>Tabela6[[#This Row],[KM Rodados ]]/Tabela6[[#This Row],[CONSUMO]]</f>
        <v>-4260.9916666666668</v>
      </c>
    </row>
    <row r="4002" spans="1:14" x14ac:dyDescent="0.25">
      <c r="A4002" s="47">
        <v>146327</v>
      </c>
      <c r="B4002" s="78">
        <v>45337</v>
      </c>
      <c r="C4002" s="47" t="s">
        <v>71</v>
      </c>
      <c r="D4002" s="49" t="s">
        <v>300</v>
      </c>
      <c r="E4002" s="47">
        <v>153391</v>
      </c>
      <c r="G4002" s="50" t="s">
        <v>89</v>
      </c>
      <c r="H4002" s="51">
        <v>530</v>
      </c>
      <c r="J4002" s="51">
        <v>5.79</v>
      </c>
      <c r="K4002" s="74">
        <f>Tabela6[[#This Row],[CONSUMO]]*Tabela6[[#This Row],[VALOR UNIT]]-Tabela6[[#This Row],[DESCONTO]]</f>
        <v>3068.7</v>
      </c>
      <c r="L4002" s="53">
        <f>Tabela6[[#This Row],[CUSTO TOTAL]]/Tabela6[[#This Row],[CONSUMO]]</f>
        <v>5.79</v>
      </c>
      <c r="M4002" s="50">
        <f>Tabela6[[#This Row],[KM ATUAL]]-E3947</f>
        <v>-940479</v>
      </c>
      <c r="N4002" s="51">
        <f>Tabela6[[#This Row],[KM Rodados ]]/Tabela6[[#This Row],[CONSUMO]]</f>
        <v>-1774.488679245283</v>
      </c>
    </row>
    <row r="4003" spans="1:14" x14ac:dyDescent="0.25">
      <c r="A4003" s="47">
        <v>162206</v>
      </c>
      <c r="B4003" s="78">
        <v>45337</v>
      </c>
      <c r="C4003" s="47" t="s">
        <v>11</v>
      </c>
      <c r="D4003" s="49" t="s">
        <v>253</v>
      </c>
      <c r="E4003" s="47">
        <v>411110</v>
      </c>
      <c r="G4003" s="50" t="s">
        <v>89</v>
      </c>
      <c r="H4003" s="51">
        <v>102.16</v>
      </c>
      <c r="J4003" s="51">
        <v>6.09</v>
      </c>
      <c r="K4003" s="74">
        <f>Tabela6[[#This Row],[CONSUMO]]*Tabela6[[#This Row],[VALOR UNIT]]-Tabela6[[#This Row],[DESCONTO]]</f>
        <v>622.15440000000001</v>
      </c>
      <c r="L4003" s="53">
        <f>Tabela6[[#This Row],[CUSTO TOTAL]]/Tabela6[[#This Row],[CONSUMO]]</f>
        <v>6.09</v>
      </c>
      <c r="M4003" s="50">
        <f>Tabela6[[#This Row],[KM ATUAL]]-E3948</f>
        <v>79677</v>
      </c>
      <c r="N4003" s="51">
        <f>Tabela6[[#This Row],[KM Rodados ]]/Tabela6[[#This Row],[CONSUMO]]</f>
        <v>779.92364917776035</v>
      </c>
    </row>
    <row r="4004" spans="1:14" x14ac:dyDescent="0.25">
      <c r="A4004" s="47">
        <v>9872</v>
      </c>
      <c r="B4004" s="78">
        <v>45337</v>
      </c>
      <c r="C4004" s="47" t="s">
        <v>13</v>
      </c>
      <c r="D4004" s="49" t="s">
        <v>299</v>
      </c>
      <c r="E4004" s="47">
        <v>676903</v>
      </c>
      <c r="G4004" s="50" t="s">
        <v>89</v>
      </c>
      <c r="H4004" s="51">
        <v>98</v>
      </c>
      <c r="J4004" s="51">
        <v>5.2</v>
      </c>
      <c r="K4004" s="74">
        <f>Tabela6[[#This Row],[CONSUMO]]*Tabela6[[#This Row],[VALOR UNIT]]-Tabela6[[#This Row],[DESCONTO]]</f>
        <v>509.6</v>
      </c>
      <c r="L4004" s="53">
        <f>Tabela6[[#This Row],[CUSTO TOTAL]]/Tabela6[[#This Row],[CONSUMO]]</f>
        <v>5.2</v>
      </c>
      <c r="M4004" s="50">
        <f>Tabela6[[#This Row],[KM ATUAL]]-E3949</f>
        <v>430</v>
      </c>
      <c r="N4004" s="51">
        <f>Tabela6[[#This Row],[KM Rodados ]]/Tabela6[[#This Row],[CONSUMO]]</f>
        <v>4.3877551020408161</v>
      </c>
    </row>
    <row r="4005" spans="1:14" x14ac:dyDescent="0.25">
      <c r="A4005" s="47">
        <v>243683</v>
      </c>
      <c r="B4005" s="78">
        <v>45337</v>
      </c>
      <c r="C4005" s="47" t="s">
        <v>14</v>
      </c>
      <c r="D4005" s="49" t="s">
        <v>262</v>
      </c>
      <c r="E4005" s="47">
        <v>317166</v>
      </c>
      <c r="G4005" s="50" t="s">
        <v>244</v>
      </c>
      <c r="H4005" s="51">
        <v>32.231000000000002</v>
      </c>
      <c r="J4005" s="51">
        <v>5.59</v>
      </c>
      <c r="K4005" s="74">
        <f>Tabela6[[#This Row],[CONSUMO]]*Tabela6[[#This Row],[VALOR UNIT]]-Tabela6[[#This Row],[DESCONTO]]</f>
        <v>180.17129</v>
      </c>
      <c r="L4005" s="53">
        <f>Tabela6[[#This Row],[CUSTO TOTAL]]/Tabela6[[#This Row],[CONSUMO]]</f>
        <v>5.59</v>
      </c>
      <c r="M4005" s="50">
        <f>Tabela6[[#This Row],[KM ATUAL]]-E3950</f>
        <v>-37005</v>
      </c>
      <c r="N4005" s="51">
        <f>Tabela6[[#This Row],[KM Rodados ]]/Tabela6[[#This Row],[CONSUMO]]</f>
        <v>-1148.1182712295615</v>
      </c>
    </row>
    <row r="4006" spans="1:14" x14ac:dyDescent="0.25">
      <c r="A4006" s="47">
        <v>243586</v>
      </c>
      <c r="B4006" s="78">
        <v>45337</v>
      </c>
      <c r="C4006" s="47" t="s">
        <v>15</v>
      </c>
      <c r="D4006" s="49" t="s">
        <v>262</v>
      </c>
      <c r="E4006" s="47">
        <v>412506</v>
      </c>
      <c r="G4006" s="50" t="s">
        <v>241</v>
      </c>
      <c r="H4006" s="51">
        <v>17.959</v>
      </c>
      <c r="I4006" s="49">
        <v>6.47</v>
      </c>
      <c r="J4006" s="51">
        <v>3.69</v>
      </c>
      <c r="K4006" s="74">
        <f>Tabela6[[#This Row],[CONSUMO]]*Tabela6[[#This Row],[VALOR UNIT]]-Tabela6[[#This Row],[DESCONTO]]</f>
        <v>59.79871</v>
      </c>
      <c r="L4006" s="53">
        <f>Tabela6[[#This Row],[CUSTO TOTAL]]/Tabela6[[#This Row],[CONSUMO]]</f>
        <v>3.3297349518347348</v>
      </c>
      <c r="M4006" s="50">
        <f>Tabela6[[#This Row],[KM ATUAL]]-E3951</f>
        <v>58332</v>
      </c>
      <c r="N4006" s="51">
        <f>Tabela6[[#This Row],[KM Rodados ]]/Tabela6[[#This Row],[CONSUMO]]</f>
        <v>3248.0650370287881</v>
      </c>
    </row>
    <row r="4007" spans="1:14" x14ac:dyDescent="0.25">
      <c r="A4007" s="47">
        <v>9872</v>
      </c>
      <c r="B4007" s="78">
        <v>45337</v>
      </c>
      <c r="C4007" s="47" t="s">
        <v>19</v>
      </c>
      <c r="D4007" s="49" t="s">
        <v>299</v>
      </c>
      <c r="E4007" s="47">
        <v>355034</v>
      </c>
      <c r="G4007" s="50" t="s">
        <v>89</v>
      </c>
      <c r="H4007" s="51">
        <v>100</v>
      </c>
      <c r="J4007" s="51">
        <v>5.2</v>
      </c>
      <c r="K4007" s="74">
        <f>Tabela6[[#This Row],[CONSUMO]]*Tabela6[[#This Row],[VALOR UNIT]]-Tabela6[[#This Row],[DESCONTO]]</f>
        <v>520</v>
      </c>
      <c r="L4007" s="53">
        <f>Tabela6[[#This Row],[CUSTO TOTAL]]/Tabela6[[#This Row],[CONSUMO]]</f>
        <v>5.2</v>
      </c>
      <c r="M4007" s="50">
        <f>Tabela6[[#This Row],[KM ATUAL]]-E3952</f>
        <v>56861</v>
      </c>
      <c r="N4007" s="51">
        <f>Tabela6[[#This Row],[KM Rodados ]]/Tabela6[[#This Row],[CONSUMO]]</f>
        <v>568.61</v>
      </c>
    </row>
    <row r="4008" spans="1:14" x14ac:dyDescent="0.25">
      <c r="A4008" s="47">
        <v>977120</v>
      </c>
      <c r="B4008" s="78">
        <v>45337</v>
      </c>
      <c r="C4008" s="47" t="s">
        <v>19</v>
      </c>
      <c r="D4008" s="49" t="s">
        <v>411</v>
      </c>
      <c r="E4008" s="47">
        <v>355470</v>
      </c>
      <c r="G4008" s="50" t="s">
        <v>89</v>
      </c>
      <c r="H4008" s="51">
        <v>35.542000000000002</v>
      </c>
      <c r="J4008" s="51">
        <v>5.79</v>
      </c>
      <c r="K4008" s="74">
        <f>Tabela6[[#This Row],[CONSUMO]]*Tabela6[[#This Row],[VALOR UNIT]]-Tabela6[[#This Row],[DESCONTO]]</f>
        <v>205.78818000000001</v>
      </c>
      <c r="L4008" s="53">
        <f>Tabela6[[#This Row],[CUSTO TOTAL]]/Tabela6[[#This Row],[CONSUMO]]</f>
        <v>5.79</v>
      </c>
      <c r="M4008" s="50">
        <f>Tabela6[[#This Row],[KM ATUAL]]-E3953</f>
        <v>-600210</v>
      </c>
      <c r="N4008" s="51">
        <f>Tabela6[[#This Row],[KM Rodados ]]/Tabela6[[#This Row],[CONSUMO]]</f>
        <v>-16887.34455010973</v>
      </c>
    </row>
    <row r="4009" spans="1:14" x14ac:dyDescent="0.25">
      <c r="A4009" s="47">
        <v>9872</v>
      </c>
      <c r="B4009" s="78">
        <v>45337</v>
      </c>
      <c r="C4009" s="47" t="s">
        <v>20</v>
      </c>
      <c r="D4009" s="49" t="s">
        <v>299</v>
      </c>
      <c r="E4009" s="47">
        <v>299283</v>
      </c>
      <c r="G4009" s="50" t="s">
        <v>89</v>
      </c>
      <c r="H4009" s="51">
        <v>69</v>
      </c>
      <c r="J4009" s="51">
        <v>5.2</v>
      </c>
      <c r="K4009" s="74">
        <f>Tabela6[[#This Row],[CONSUMO]]*Tabela6[[#This Row],[VALOR UNIT]]-Tabela6[[#This Row],[DESCONTO]]</f>
        <v>358.8</v>
      </c>
      <c r="L4009" s="53">
        <f>Tabela6[[#This Row],[CUSTO TOTAL]]/Tabela6[[#This Row],[CONSUMO]]</f>
        <v>5.2</v>
      </c>
      <c r="M4009" s="50">
        <f>Tabela6[[#This Row],[KM ATUAL]]-E3954</f>
        <v>121259</v>
      </c>
      <c r="N4009" s="51">
        <f>Tabela6[[#This Row],[KM Rodados ]]/Tabela6[[#This Row],[CONSUMO]]</f>
        <v>1757.376811594203</v>
      </c>
    </row>
    <row r="4010" spans="1:14" x14ac:dyDescent="0.25">
      <c r="A4010" s="47">
        <v>243496</v>
      </c>
      <c r="B4010" s="78">
        <v>45337</v>
      </c>
      <c r="C4010" s="47" t="s">
        <v>40</v>
      </c>
      <c r="D4010" s="49" t="s">
        <v>262</v>
      </c>
      <c r="E4010" s="47">
        <v>185868</v>
      </c>
      <c r="G4010" s="50" t="s">
        <v>244</v>
      </c>
      <c r="H4010" s="51">
        <v>23.498999999999999</v>
      </c>
      <c r="J4010" s="51">
        <v>5.59</v>
      </c>
      <c r="K4010" s="74">
        <f>Tabela6[[#This Row],[CONSUMO]]*Tabela6[[#This Row],[VALOR UNIT]]-Tabela6[[#This Row],[DESCONTO]]</f>
        <v>131.35941</v>
      </c>
      <c r="L4010" s="53">
        <f>Tabela6[[#This Row],[CUSTO TOTAL]]/Tabela6[[#This Row],[CONSUMO]]</f>
        <v>5.59</v>
      </c>
      <c r="M4010" s="50">
        <f>Tabela6[[#This Row],[KM ATUAL]]-E3955</f>
        <v>8594</v>
      </c>
      <c r="N4010" s="51">
        <f>Tabela6[[#This Row],[KM Rodados ]]/Tabela6[[#This Row],[CONSUMO]]</f>
        <v>365.71769011447299</v>
      </c>
    </row>
    <row r="4011" spans="1:14" x14ac:dyDescent="0.25">
      <c r="A4011" s="47">
        <v>9872</v>
      </c>
      <c r="B4011" s="78">
        <v>45338</v>
      </c>
      <c r="C4011" s="47" t="s">
        <v>222</v>
      </c>
      <c r="D4011" s="49" t="s">
        <v>299</v>
      </c>
      <c r="E4011" s="47">
        <v>555010</v>
      </c>
      <c r="G4011" s="50" t="s">
        <v>89</v>
      </c>
      <c r="H4011" s="51">
        <v>420</v>
      </c>
      <c r="J4011" s="51">
        <v>5.2</v>
      </c>
      <c r="K4011" s="74">
        <f>Tabela6[[#This Row],[CONSUMO]]*Tabela6[[#This Row],[VALOR UNIT]]-Tabela6[[#This Row],[DESCONTO]]</f>
        <v>2184</v>
      </c>
      <c r="L4011" s="53">
        <f>Tabela6[[#This Row],[CUSTO TOTAL]]/Tabela6[[#This Row],[CONSUMO]]</f>
        <v>5.2</v>
      </c>
      <c r="M4011" s="50">
        <f>Tabela6[[#This Row],[KM ATUAL]]-E3956</f>
        <v>-331692</v>
      </c>
      <c r="N4011" s="51">
        <f>Tabela6[[#This Row],[KM Rodados ]]/Tabela6[[#This Row],[CONSUMO]]</f>
        <v>-789.74285714285713</v>
      </c>
    </row>
    <row r="4012" spans="1:14" x14ac:dyDescent="0.25">
      <c r="A4012" s="47">
        <v>243899</v>
      </c>
      <c r="B4012" s="78">
        <v>45338</v>
      </c>
      <c r="C4012" s="47" t="s">
        <v>203</v>
      </c>
      <c r="D4012" s="49" t="s">
        <v>262</v>
      </c>
      <c r="E4012" s="47">
        <v>143081</v>
      </c>
      <c r="G4012" s="50" t="s">
        <v>244</v>
      </c>
      <c r="H4012" s="51">
        <v>40.270000000000003</v>
      </c>
      <c r="J4012" s="51">
        <v>5.59</v>
      </c>
      <c r="K4012" s="74">
        <f>Tabela6[[#This Row],[CONSUMO]]*Tabela6[[#This Row],[VALOR UNIT]]-Tabela6[[#This Row],[DESCONTO]]</f>
        <v>225.10930000000002</v>
      </c>
      <c r="L4012" s="53">
        <f>Tabela6[[#This Row],[CUSTO TOTAL]]/Tabela6[[#This Row],[CONSUMO]]</f>
        <v>5.59</v>
      </c>
      <c r="M4012" s="50">
        <f>Tabela6[[#This Row],[KM ATUAL]]-E3957</f>
        <v>-504414</v>
      </c>
      <c r="N4012" s="51">
        <f>Tabela6[[#This Row],[KM Rodados ]]/Tabela6[[#This Row],[CONSUMO]]</f>
        <v>-12525.800844300968</v>
      </c>
    </row>
    <row r="4013" spans="1:14" x14ac:dyDescent="0.25">
      <c r="A4013" s="47">
        <v>9993</v>
      </c>
      <c r="B4013" s="78">
        <v>45338</v>
      </c>
      <c r="C4013" s="47" t="s">
        <v>10</v>
      </c>
      <c r="D4013" s="49" t="s">
        <v>299</v>
      </c>
      <c r="E4013" s="47">
        <v>744553</v>
      </c>
      <c r="G4013" s="50" t="s">
        <v>89</v>
      </c>
      <c r="H4013" s="51">
        <v>104</v>
      </c>
      <c r="J4013" s="51">
        <v>5.2</v>
      </c>
      <c r="K4013" s="74">
        <f>Tabela6[[#This Row],[CONSUMO]]*Tabela6[[#This Row],[VALOR UNIT]]-Tabela6[[#This Row],[DESCONTO]]</f>
        <v>540.80000000000007</v>
      </c>
      <c r="L4013" s="53">
        <f>Tabela6[[#This Row],[CUSTO TOTAL]]/Tabela6[[#This Row],[CONSUMO]]</f>
        <v>5.2000000000000011</v>
      </c>
      <c r="M4013" s="50">
        <f>Tabela6[[#This Row],[KM ATUAL]]-E3958</f>
        <v>190749</v>
      </c>
      <c r="N4013" s="51">
        <f>Tabela6[[#This Row],[KM Rodados ]]/Tabela6[[#This Row],[CONSUMO]]</f>
        <v>1834.125</v>
      </c>
    </row>
    <row r="4014" spans="1:14" x14ac:dyDescent="0.25">
      <c r="A4014" s="47">
        <v>9993</v>
      </c>
      <c r="B4014" s="78">
        <v>45338</v>
      </c>
      <c r="C4014" s="47" t="s">
        <v>206</v>
      </c>
      <c r="D4014" s="49" t="s">
        <v>299</v>
      </c>
      <c r="E4014" s="47">
        <v>995356</v>
      </c>
      <c r="G4014" s="50" t="s">
        <v>89</v>
      </c>
      <c r="H4014" s="51">
        <v>278</v>
      </c>
      <c r="J4014" s="51">
        <v>5.2</v>
      </c>
      <c r="K4014" s="74">
        <f>Tabela6[[#This Row],[CONSUMO]]*Tabela6[[#This Row],[VALOR UNIT]]-Tabela6[[#This Row],[DESCONTO]]</f>
        <v>1445.6000000000001</v>
      </c>
      <c r="L4014" s="53">
        <f>Tabela6[[#This Row],[CUSTO TOTAL]]/Tabela6[[#This Row],[CONSUMO]]</f>
        <v>5.2</v>
      </c>
      <c r="M4014" s="50">
        <f>Tabela6[[#This Row],[KM ATUAL]]-E3959</f>
        <v>853448</v>
      </c>
      <c r="N4014" s="51">
        <f>Tabela6[[#This Row],[KM Rodados ]]/Tabela6[[#This Row],[CONSUMO]]</f>
        <v>3069.9568345323742</v>
      </c>
    </row>
    <row r="4015" spans="1:14" x14ac:dyDescent="0.25">
      <c r="A4015" s="47">
        <v>375928</v>
      </c>
      <c r="B4015" s="78">
        <v>45338</v>
      </c>
      <c r="C4015" s="47" t="s">
        <v>40</v>
      </c>
      <c r="D4015" s="49" t="s">
        <v>276</v>
      </c>
      <c r="E4015" s="47">
        <v>186435</v>
      </c>
      <c r="G4015" s="50" t="s">
        <v>244</v>
      </c>
      <c r="H4015" s="51">
        <v>41.93</v>
      </c>
      <c r="J4015" s="51">
        <v>5.69</v>
      </c>
      <c r="K4015" s="74">
        <f>Tabela6[[#This Row],[CONSUMO]]*Tabela6[[#This Row],[VALOR UNIT]]-Tabela6[[#This Row],[DESCONTO]]</f>
        <v>238.58170000000001</v>
      </c>
      <c r="L4015" s="53">
        <f>Tabela6[[#This Row],[CUSTO TOTAL]]/Tabela6[[#This Row],[CONSUMO]]</f>
        <v>5.69</v>
      </c>
      <c r="M4015" s="50">
        <f>Tabela6[[#This Row],[KM ATUAL]]-E3960</f>
        <v>-254868</v>
      </c>
      <c r="N4015" s="51">
        <f>Tabela6[[#This Row],[KM Rodados ]]/Tabela6[[#This Row],[CONSUMO]]</f>
        <v>-6078.4164082995467</v>
      </c>
    </row>
    <row r="4016" spans="1:14" x14ac:dyDescent="0.25">
      <c r="A4016" s="47">
        <v>9872</v>
      </c>
      <c r="B4016" s="78">
        <v>45338</v>
      </c>
      <c r="C4016" s="47" t="s">
        <v>354</v>
      </c>
      <c r="D4016" s="49" t="s">
        <v>299</v>
      </c>
      <c r="E4016" s="47">
        <v>24697</v>
      </c>
      <c r="G4016" s="50" t="s">
        <v>89</v>
      </c>
      <c r="H4016" s="51">
        <v>351</v>
      </c>
      <c r="J4016" s="51">
        <v>5.2</v>
      </c>
      <c r="K4016" s="74">
        <f>Tabela6[[#This Row],[CONSUMO]]*Tabela6[[#This Row],[VALOR UNIT]]-Tabela6[[#This Row],[DESCONTO]]</f>
        <v>1825.2</v>
      </c>
      <c r="L4016" s="53">
        <f>Tabela6[[#This Row],[CUSTO TOTAL]]/Tabela6[[#This Row],[CONSUMO]]</f>
        <v>5.2</v>
      </c>
      <c r="M4016" s="50">
        <f>Tabela6[[#This Row],[KM ATUAL]]-E3961</f>
        <v>-154215</v>
      </c>
      <c r="N4016" s="51">
        <f>Tabela6[[#This Row],[KM Rodados ]]/Tabela6[[#This Row],[CONSUMO]]</f>
        <v>-439.35897435897436</v>
      </c>
    </row>
    <row r="4017" spans="1:14" x14ac:dyDescent="0.25">
      <c r="A4017" s="47">
        <v>697320</v>
      </c>
      <c r="B4017" s="78">
        <v>45338</v>
      </c>
      <c r="C4017" s="47" t="s">
        <v>401</v>
      </c>
      <c r="D4017" s="49" t="s">
        <v>357</v>
      </c>
      <c r="E4017" s="47">
        <v>9957</v>
      </c>
      <c r="G4017" s="50" t="s">
        <v>89</v>
      </c>
      <c r="H4017" s="51">
        <v>69.811000000000007</v>
      </c>
      <c r="J4017" s="51">
        <v>5.73</v>
      </c>
      <c r="K4017" s="74">
        <f>Tabela6[[#This Row],[CONSUMO]]*Tabela6[[#This Row],[VALOR UNIT]]-Tabela6[[#This Row],[DESCONTO]]</f>
        <v>400.01703000000009</v>
      </c>
      <c r="L4017" s="53">
        <f>Tabela6[[#This Row],[CUSTO TOTAL]]/Tabela6[[#This Row],[CONSUMO]]</f>
        <v>5.73</v>
      </c>
      <c r="M4017" s="50">
        <f>Tabela6[[#This Row],[KM ATUAL]]-E3962</f>
        <v>-1084803</v>
      </c>
      <c r="N4017" s="51">
        <f>Tabela6[[#This Row],[KM Rodados ]]/Tabela6[[#This Row],[CONSUMO]]</f>
        <v>-15539.141396055062</v>
      </c>
    </row>
    <row r="4018" spans="1:14" x14ac:dyDescent="0.25">
      <c r="A4018" s="47">
        <v>243993</v>
      </c>
      <c r="B4018" s="78">
        <v>45339</v>
      </c>
      <c r="C4018" s="47" t="s">
        <v>43</v>
      </c>
      <c r="D4018" s="49" t="s">
        <v>262</v>
      </c>
      <c r="E4018" s="47">
        <v>178169</v>
      </c>
      <c r="G4018" s="50" t="s">
        <v>89</v>
      </c>
      <c r="H4018" s="51">
        <v>17.21</v>
      </c>
      <c r="J4018" s="51">
        <v>5.99</v>
      </c>
      <c r="K4018" s="74">
        <f>Tabela6[[#This Row],[CONSUMO]]*Tabela6[[#This Row],[VALOR UNIT]]-Tabela6[[#This Row],[DESCONTO]]</f>
        <v>103.0879</v>
      </c>
      <c r="L4018" s="53">
        <f>Tabela6[[#This Row],[CUSTO TOTAL]]/Tabela6[[#This Row],[CONSUMO]]</f>
        <v>5.99</v>
      </c>
      <c r="M4018" s="50">
        <f>Tabela6[[#This Row],[KM ATUAL]]-E3963</f>
        <v>-234329</v>
      </c>
      <c r="N4018" s="51">
        <f>Tabela6[[#This Row],[KM Rodados ]]/Tabela6[[#This Row],[CONSUMO]]</f>
        <v>-13615.862870424171</v>
      </c>
    </row>
    <row r="4019" spans="1:14" x14ac:dyDescent="0.25">
      <c r="A4019" s="47">
        <v>376217</v>
      </c>
      <c r="B4019" s="78">
        <v>45339</v>
      </c>
      <c r="C4019" s="47" t="s">
        <v>43</v>
      </c>
      <c r="D4019" s="49" t="s">
        <v>276</v>
      </c>
      <c r="E4019" s="47">
        <v>178584</v>
      </c>
      <c r="G4019" s="50" t="s">
        <v>89</v>
      </c>
      <c r="H4019" s="51">
        <v>49.390999999999998</v>
      </c>
      <c r="J4019" s="51">
        <v>6.09</v>
      </c>
      <c r="K4019" s="74">
        <f>Tabela6[[#This Row],[CONSUMO]]*Tabela6[[#This Row],[VALOR UNIT]]-Tabela6[[#This Row],[DESCONTO]]</f>
        <v>300.79118999999997</v>
      </c>
      <c r="L4019" s="53">
        <f>Tabela6[[#This Row],[CUSTO TOTAL]]/Tabela6[[#This Row],[CONSUMO]]</f>
        <v>6.09</v>
      </c>
      <c r="M4019" s="50">
        <f>Tabela6[[#This Row],[KM ATUAL]]-E3964</f>
        <v>-216785</v>
      </c>
      <c r="N4019" s="51">
        <f>Tabela6[[#This Row],[KM Rodados ]]/Tabela6[[#This Row],[CONSUMO]]</f>
        <v>-4389.1599684152989</v>
      </c>
    </row>
    <row r="4020" spans="1:14" x14ac:dyDescent="0.25">
      <c r="A4020" s="47">
        <v>376340</v>
      </c>
      <c r="B4020" s="78">
        <v>45339</v>
      </c>
      <c r="C4020" s="47" t="s">
        <v>222</v>
      </c>
      <c r="D4020" s="49" t="s">
        <v>276</v>
      </c>
      <c r="G4020" s="50" t="s">
        <v>241</v>
      </c>
      <c r="H4020" s="51">
        <v>32.203000000000003</v>
      </c>
      <c r="J4020" s="51">
        <v>3.69</v>
      </c>
      <c r="K4020" s="74">
        <f>Tabela6[[#This Row],[CONSUMO]]*Tabela6[[#This Row],[VALOR UNIT]]-Tabela6[[#This Row],[DESCONTO]]</f>
        <v>118.82907000000002</v>
      </c>
      <c r="L4020" s="53">
        <f>Tabela6[[#This Row],[CUSTO TOTAL]]/Tabela6[[#This Row],[CONSUMO]]</f>
        <v>3.69</v>
      </c>
      <c r="M4020" s="50">
        <f>Tabela6[[#This Row],[KM ATUAL]]-E3965</f>
        <v>-184700</v>
      </c>
      <c r="N4020" s="51">
        <f>Tabela6[[#This Row],[KM Rodados ]]/Tabela6[[#This Row],[CONSUMO]]</f>
        <v>-5735.4904822532053</v>
      </c>
    </row>
    <row r="4021" spans="1:14" x14ac:dyDescent="0.25">
      <c r="A4021" s="47">
        <v>416038</v>
      </c>
      <c r="B4021" s="78">
        <v>45339</v>
      </c>
      <c r="C4021" s="47" t="s">
        <v>301</v>
      </c>
      <c r="D4021" s="49" t="s">
        <v>271</v>
      </c>
      <c r="E4021" s="47">
        <v>1096800</v>
      </c>
      <c r="G4021" s="50" t="s">
        <v>89</v>
      </c>
      <c r="H4021" s="51">
        <v>330</v>
      </c>
      <c r="J4021" s="51">
        <v>5.69</v>
      </c>
      <c r="K4021" s="74">
        <f>Tabela6[[#This Row],[CONSUMO]]*Tabela6[[#This Row],[VALOR UNIT]]-Tabela6[[#This Row],[DESCONTO]]</f>
        <v>1877.7</v>
      </c>
      <c r="L4021" s="53">
        <f>Tabela6[[#This Row],[CUSTO TOTAL]]/Tabela6[[#This Row],[CONSUMO]]</f>
        <v>5.69</v>
      </c>
      <c r="M4021" s="50">
        <f>Tabela6[[#This Row],[KM ATUAL]]-E3966</f>
        <v>986205</v>
      </c>
      <c r="N4021" s="51">
        <f>Tabela6[[#This Row],[KM Rodados ]]/Tabela6[[#This Row],[CONSUMO]]</f>
        <v>2988.5</v>
      </c>
    </row>
    <row r="4022" spans="1:14" x14ac:dyDescent="0.25">
      <c r="A4022" s="47">
        <v>244105</v>
      </c>
      <c r="B4022" s="78">
        <v>45339</v>
      </c>
      <c r="C4022" s="47" t="s">
        <v>354</v>
      </c>
      <c r="D4022" s="49" t="s">
        <v>262</v>
      </c>
      <c r="E4022" s="47">
        <v>24704</v>
      </c>
      <c r="G4022" s="50" t="s">
        <v>241</v>
      </c>
      <c r="H4022" s="51">
        <v>12.334</v>
      </c>
      <c r="I4022" s="49">
        <v>4.4400000000000004</v>
      </c>
      <c r="J4022" s="51">
        <v>3.69</v>
      </c>
      <c r="K4022" s="74">
        <f>Tabela6[[#This Row],[CONSUMO]]*Tabela6[[#This Row],[VALOR UNIT]]-Tabela6[[#This Row],[DESCONTO]]</f>
        <v>41.07246</v>
      </c>
      <c r="L4022" s="53">
        <f>Tabela6[[#This Row],[CUSTO TOTAL]]/Tabela6[[#This Row],[CONSUMO]]</f>
        <v>3.3300194584076537</v>
      </c>
      <c r="M4022" s="50">
        <f>Tabela6[[#This Row],[KM ATUAL]]-E3967</f>
        <v>2318</v>
      </c>
      <c r="N4022" s="51">
        <f>Tabela6[[#This Row],[KM Rodados ]]/Tabela6[[#This Row],[CONSUMO]]</f>
        <v>187.93578725474299</v>
      </c>
    </row>
    <row r="4023" spans="1:14" x14ac:dyDescent="0.25">
      <c r="A4023" s="47">
        <v>386854</v>
      </c>
      <c r="B4023" s="78">
        <v>45340</v>
      </c>
      <c r="C4023" s="47" t="s">
        <v>222</v>
      </c>
      <c r="D4023" s="49" t="s">
        <v>361</v>
      </c>
      <c r="E4023" s="47">
        <v>556038</v>
      </c>
      <c r="G4023" s="50" t="s">
        <v>89</v>
      </c>
      <c r="H4023" s="51">
        <v>450.33</v>
      </c>
      <c r="J4023" s="51">
        <v>5.72</v>
      </c>
      <c r="K4023" s="74">
        <f>Tabela6[[#This Row],[CONSUMO]]*Tabela6[[#This Row],[VALOR UNIT]]-Tabela6[[#This Row],[DESCONTO]]</f>
        <v>2575.8876</v>
      </c>
      <c r="L4023" s="53">
        <f>Tabela6[[#This Row],[CUSTO TOTAL]]/Tabela6[[#This Row],[CONSUMO]]</f>
        <v>5.7200000000000006</v>
      </c>
      <c r="M4023" s="50">
        <f>Tabela6[[#This Row],[KM ATUAL]]-E3968</f>
        <v>533648</v>
      </c>
      <c r="N4023" s="51">
        <f>Tabela6[[#This Row],[KM Rodados ]]/Tabela6[[#This Row],[CONSUMO]]</f>
        <v>1185.0154331268182</v>
      </c>
    </row>
    <row r="4024" spans="1:14" x14ac:dyDescent="0.25">
      <c r="A4024" s="47">
        <v>284610</v>
      </c>
      <c r="B4024" s="78">
        <v>45340</v>
      </c>
      <c r="C4024" s="47" t="s">
        <v>67</v>
      </c>
      <c r="D4024" s="49" t="s">
        <v>273</v>
      </c>
      <c r="E4024" s="47">
        <v>700915</v>
      </c>
      <c r="G4024" s="50" t="s">
        <v>89</v>
      </c>
      <c r="H4024" s="51">
        <v>128</v>
      </c>
      <c r="J4024" s="51">
        <v>5.69</v>
      </c>
      <c r="K4024" s="74">
        <f>Tabela6[[#This Row],[CONSUMO]]*Tabela6[[#This Row],[VALOR UNIT]]-Tabela6[[#This Row],[DESCONTO]]</f>
        <v>728.32</v>
      </c>
      <c r="L4024" s="53">
        <f>Tabela6[[#This Row],[CUSTO TOTAL]]/Tabela6[[#This Row],[CONSUMO]]</f>
        <v>5.69</v>
      </c>
      <c r="M4024" s="50">
        <f>Tabela6[[#This Row],[KM ATUAL]]-E3969</f>
        <v>691724</v>
      </c>
      <c r="N4024" s="51">
        <f>Tabela6[[#This Row],[KM Rodados ]]/Tabela6[[#This Row],[CONSUMO]]</f>
        <v>5404.09375</v>
      </c>
    </row>
    <row r="4025" spans="1:14" x14ac:dyDescent="0.25">
      <c r="A4025" s="47">
        <v>242172</v>
      </c>
      <c r="B4025" s="78">
        <v>45340</v>
      </c>
      <c r="C4025" s="47" t="s">
        <v>301</v>
      </c>
      <c r="D4025" s="49" t="s">
        <v>374</v>
      </c>
      <c r="E4025" s="47">
        <v>1097420</v>
      </c>
      <c r="G4025" s="50"/>
      <c r="H4025" s="51">
        <v>495</v>
      </c>
      <c r="J4025" s="51">
        <v>5.69</v>
      </c>
      <c r="K4025" s="74">
        <f>Tabela6[[#This Row],[CONSUMO]]*Tabela6[[#This Row],[VALOR UNIT]]-Tabela6[[#This Row],[DESCONTO]]</f>
        <v>2816.55</v>
      </c>
      <c r="L4025" s="53">
        <f>Tabela6[[#This Row],[CUSTO TOTAL]]/Tabela6[[#This Row],[CONSUMO]]</f>
        <v>5.69</v>
      </c>
      <c r="M4025" s="50">
        <f>Tabela6[[#This Row],[KM ATUAL]]-E3970</f>
        <v>953529</v>
      </c>
      <c r="N4025" s="51">
        <f>Tabela6[[#This Row],[KM Rodados ]]/Tabela6[[#This Row],[CONSUMO]]</f>
        <v>1926.3212121212121</v>
      </c>
    </row>
    <row r="4026" spans="1:14" x14ac:dyDescent="0.25">
      <c r="A4026" s="47">
        <v>851630</v>
      </c>
      <c r="B4026" s="78">
        <v>45340</v>
      </c>
      <c r="C4026" s="47" t="s">
        <v>301</v>
      </c>
      <c r="D4026" s="49" t="s">
        <v>333</v>
      </c>
      <c r="E4026" s="47">
        <v>1097760</v>
      </c>
      <c r="G4026" s="50" t="s">
        <v>89</v>
      </c>
      <c r="H4026" s="51">
        <v>229.83</v>
      </c>
      <c r="J4026" s="51">
        <v>5.89</v>
      </c>
      <c r="K4026" s="74">
        <f>Tabela6[[#This Row],[CONSUMO]]*Tabela6[[#This Row],[VALOR UNIT]]-Tabela6[[#This Row],[DESCONTO]]</f>
        <v>1353.6986999999999</v>
      </c>
      <c r="L4026" s="53">
        <f>Tabela6[[#This Row],[CUSTO TOTAL]]/Tabela6[[#This Row],[CONSUMO]]</f>
        <v>5.89</v>
      </c>
      <c r="M4026" s="50">
        <f>Tabela6[[#This Row],[KM ATUAL]]-E3971</f>
        <v>912569</v>
      </c>
      <c r="N4026" s="51">
        <f>Tabela6[[#This Row],[KM Rodados ]]/Tabela6[[#This Row],[CONSUMO]]</f>
        <v>3970.6261149545312</v>
      </c>
    </row>
    <row r="4027" spans="1:14" x14ac:dyDescent="0.25">
      <c r="A4027" s="47">
        <v>605935</v>
      </c>
      <c r="B4027" s="54">
        <v>45340</v>
      </c>
      <c r="C4027" s="47" t="s">
        <v>14</v>
      </c>
      <c r="D4027" s="49" t="s">
        <v>255</v>
      </c>
      <c r="E4027" s="47">
        <v>317660</v>
      </c>
      <c r="G4027" s="50" t="s">
        <v>244</v>
      </c>
      <c r="H4027" s="51">
        <v>34.951000000000001</v>
      </c>
      <c r="J4027" s="51">
        <v>5.84</v>
      </c>
      <c r="K4027" s="74">
        <f>Tabela6[[#This Row],[CONSUMO]]*Tabela6[[#This Row],[VALOR UNIT]]-Tabela6[[#This Row],[DESCONTO]]</f>
        <v>204.11384000000001</v>
      </c>
      <c r="L4027" s="53">
        <f>Tabela6[[#This Row],[CUSTO TOTAL]]/Tabela6[[#This Row],[CONSUMO]]</f>
        <v>5.84</v>
      </c>
      <c r="M4027" s="50">
        <f>Tabela6[[#This Row],[KM ATUAL]]-E3972</f>
        <v>175552</v>
      </c>
      <c r="N4027" s="51">
        <f>Tabela6[[#This Row],[KM Rodados ]]/Tabela6[[#This Row],[CONSUMO]]</f>
        <v>5022.8033532660011</v>
      </c>
    </row>
    <row r="4028" spans="1:14" x14ac:dyDescent="0.25">
      <c r="A4028" s="47">
        <v>9993</v>
      </c>
      <c r="B4028" s="78">
        <v>45341</v>
      </c>
      <c r="C4028" s="47" t="s">
        <v>43</v>
      </c>
      <c r="D4028" s="49" t="s">
        <v>299</v>
      </c>
      <c r="E4028" s="47">
        <v>178599</v>
      </c>
      <c r="G4028" s="50" t="s">
        <v>89</v>
      </c>
      <c r="H4028" s="51">
        <v>3</v>
      </c>
      <c r="J4028" s="51">
        <v>5.2</v>
      </c>
      <c r="K4028" s="74">
        <f>Tabela6[[#This Row],[CONSUMO]]*Tabela6[[#This Row],[VALOR UNIT]]-Tabela6[[#This Row],[DESCONTO]]</f>
        <v>15.600000000000001</v>
      </c>
      <c r="L4028" s="53">
        <f>Tabela6[[#This Row],[CUSTO TOTAL]]/Tabela6[[#This Row],[CONSUMO]]</f>
        <v>5.2</v>
      </c>
      <c r="M4028" s="50">
        <f>Tabela6[[#This Row],[KM ATUAL]]-E3973</f>
        <v>1053</v>
      </c>
      <c r="N4028" s="51">
        <f>Tabela6[[#This Row],[KM Rodados ]]/Tabela6[[#This Row],[CONSUMO]]</f>
        <v>351</v>
      </c>
    </row>
    <row r="4029" spans="1:14" x14ac:dyDescent="0.25">
      <c r="A4029" s="47">
        <v>244682</v>
      </c>
      <c r="B4029" s="78">
        <v>45341</v>
      </c>
      <c r="C4029" s="47" t="s">
        <v>43</v>
      </c>
      <c r="D4029" s="49" t="s">
        <v>262</v>
      </c>
      <c r="E4029" s="47">
        <v>178734</v>
      </c>
      <c r="G4029" s="50" t="s">
        <v>89</v>
      </c>
      <c r="H4029" s="51">
        <v>18.370999999999999</v>
      </c>
      <c r="I4029" s="49">
        <v>5.99</v>
      </c>
      <c r="K4029" s="74">
        <f>Tabela6[[#This Row],[CONSUMO]]*Tabela6[[#This Row],[VALOR UNIT]]-Tabela6[[#This Row],[DESCONTO]]</f>
        <v>-5.99</v>
      </c>
      <c r="L4029" s="53">
        <f>Tabela6[[#This Row],[CUSTO TOTAL]]/Tabela6[[#This Row],[CONSUMO]]</f>
        <v>-0.32605737303358556</v>
      </c>
      <c r="M4029" s="50">
        <f>Tabela6[[#This Row],[KM ATUAL]]-E3974</f>
        <v>-483817</v>
      </c>
      <c r="N4029" s="51">
        <f>Tabela6[[#This Row],[KM Rodados ]]/Tabela6[[#This Row],[CONSUMO]]</f>
        <v>-26335.909857928258</v>
      </c>
    </row>
    <row r="4030" spans="1:14" x14ac:dyDescent="0.25">
      <c r="A4030" s="47">
        <v>402043</v>
      </c>
      <c r="B4030" s="78">
        <v>45341</v>
      </c>
      <c r="C4030" s="47" t="s">
        <v>222</v>
      </c>
      <c r="D4030" s="49" t="s">
        <v>343</v>
      </c>
      <c r="E4030" s="47">
        <v>556894</v>
      </c>
      <c r="G4030" s="50" t="s">
        <v>89</v>
      </c>
      <c r="H4030" s="51">
        <v>430.48700000000002</v>
      </c>
      <c r="J4030" s="51">
        <v>5.79</v>
      </c>
      <c r="K4030" s="74">
        <f>Tabela6[[#This Row],[CONSUMO]]*Tabela6[[#This Row],[VALOR UNIT]]-Tabela6[[#This Row],[DESCONTO]]</f>
        <v>2492.51973</v>
      </c>
      <c r="L4030" s="53">
        <f>Tabela6[[#This Row],[CUSTO TOTAL]]/Tabela6[[#This Row],[CONSUMO]]</f>
        <v>5.79</v>
      </c>
      <c r="M4030" s="50">
        <f>Tabela6[[#This Row],[KM ATUAL]]-E3975</f>
        <v>209784</v>
      </c>
      <c r="N4030" s="51">
        <f>Tabela6[[#This Row],[KM Rodados ]]/Tabela6[[#This Row],[CONSUMO]]</f>
        <v>487.31785164244212</v>
      </c>
    </row>
    <row r="4031" spans="1:14" x14ac:dyDescent="0.25">
      <c r="A4031" s="47">
        <v>402042</v>
      </c>
      <c r="B4031" s="78">
        <v>45341</v>
      </c>
      <c r="C4031" s="47" t="s">
        <v>222</v>
      </c>
      <c r="D4031" s="49" t="s">
        <v>343</v>
      </c>
      <c r="E4031" s="47">
        <v>556894</v>
      </c>
      <c r="G4031" s="50" t="s">
        <v>241</v>
      </c>
      <c r="H4031" s="51">
        <v>47.4</v>
      </c>
      <c r="J4031" s="51">
        <v>2.99</v>
      </c>
      <c r="K4031" s="74">
        <f>Tabela6[[#This Row],[CONSUMO]]*Tabela6[[#This Row],[VALOR UNIT]]-Tabela6[[#This Row],[DESCONTO]]</f>
        <v>141.726</v>
      </c>
      <c r="L4031" s="53">
        <f>Tabela6[[#This Row],[CUSTO TOTAL]]/Tabela6[[#This Row],[CONSUMO]]</f>
        <v>2.99</v>
      </c>
      <c r="M4031" s="50">
        <f>Tabela6[[#This Row],[KM ATUAL]]-E3976</f>
        <v>258168</v>
      </c>
      <c r="N4031" s="51">
        <f>Tabela6[[#This Row],[KM Rodados ]]/Tabela6[[#This Row],[CONSUMO]]</f>
        <v>5446.5822784810125</v>
      </c>
    </row>
    <row r="4032" spans="1:14" x14ac:dyDescent="0.25">
      <c r="A4032" s="47">
        <v>9993</v>
      </c>
      <c r="B4032" s="78">
        <v>45341</v>
      </c>
      <c r="C4032" s="47" t="s">
        <v>22</v>
      </c>
      <c r="D4032" s="49" t="s">
        <v>299</v>
      </c>
      <c r="E4032" s="47">
        <v>353136</v>
      </c>
      <c r="G4032" s="50" t="s">
        <v>89</v>
      </c>
      <c r="H4032" s="51">
        <v>107</v>
      </c>
      <c r="J4032" s="51">
        <v>5.2</v>
      </c>
      <c r="K4032" s="74">
        <f>Tabela6[[#This Row],[CONSUMO]]*Tabela6[[#This Row],[VALOR UNIT]]-Tabela6[[#This Row],[DESCONTO]]</f>
        <v>556.4</v>
      </c>
      <c r="L4032" s="53">
        <f>Tabela6[[#This Row],[CUSTO TOTAL]]/Tabela6[[#This Row],[CONSUMO]]</f>
        <v>5.2</v>
      </c>
      <c r="M4032" s="50">
        <f>Tabela6[[#This Row],[KM ATUAL]]-E3977</f>
        <v>241911</v>
      </c>
      <c r="N4032" s="51">
        <f>Tabela6[[#This Row],[KM Rodados ]]/Tabela6[[#This Row],[CONSUMO]]</f>
        <v>2260.8504672897197</v>
      </c>
    </row>
    <row r="4033" spans="1:14" x14ac:dyDescent="0.25">
      <c r="A4033" s="47">
        <v>562507</v>
      </c>
      <c r="B4033" s="78">
        <v>45341</v>
      </c>
      <c r="C4033" s="47" t="s">
        <v>70</v>
      </c>
      <c r="D4033" s="49" t="s">
        <v>259</v>
      </c>
      <c r="E4033" s="47">
        <v>264490</v>
      </c>
      <c r="G4033" s="50" t="s">
        <v>89</v>
      </c>
      <c r="H4033" s="51">
        <v>326.84100000000001</v>
      </c>
      <c r="J4033" s="51">
        <v>5.69</v>
      </c>
      <c r="K4033" s="74">
        <f>Tabela6[[#This Row],[CONSUMO]]*Tabela6[[#This Row],[VALOR UNIT]]-Tabela6[[#This Row],[DESCONTO]]</f>
        <v>1859.7252900000001</v>
      </c>
      <c r="L4033" s="53">
        <f>Tabela6[[#This Row],[CUSTO TOTAL]]/Tabela6[[#This Row],[CONSUMO]]</f>
        <v>5.69</v>
      </c>
      <c r="M4033" s="50">
        <f>Tabela6[[#This Row],[KM ATUAL]]-E3978</f>
        <v>240638</v>
      </c>
      <c r="N4033" s="51">
        <f>Tabela6[[#This Row],[KM Rodados ]]/Tabela6[[#This Row],[CONSUMO]]</f>
        <v>736.25401953855237</v>
      </c>
    </row>
    <row r="4034" spans="1:14" x14ac:dyDescent="0.25">
      <c r="A4034" s="47">
        <v>244650</v>
      </c>
      <c r="B4034" s="78">
        <v>45341</v>
      </c>
      <c r="C4034" s="47" t="s">
        <v>203</v>
      </c>
      <c r="D4034" s="49" t="s">
        <v>262</v>
      </c>
      <c r="E4034" s="47">
        <v>143947</v>
      </c>
      <c r="G4034" s="50" t="s">
        <v>244</v>
      </c>
      <c r="H4034" s="51">
        <v>25.039000000000001</v>
      </c>
      <c r="J4034" s="51">
        <v>5.59</v>
      </c>
      <c r="K4034" s="74">
        <f>Tabela6[[#This Row],[CONSUMO]]*Tabela6[[#This Row],[VALOR UNIT]]-Tabela6[[#This Row],[DESCONTO]]</f>
        <v>139.96800999999999</v>
      </c>
      <c r="L4034" s="53">
        <f>Tabela6[[#This Row],[CUSTO TOTAL]]/Tabela6[[#This Row],[CONSUMO]]</f>
        <v>5.589999999999999</v>
      </c>
      <c r="M4034" s="50">
        <f>Tabela6[[#This Row],[KM ATUAL]]-E3979</f>
        <v>-33583</v>
      </c>
      <c r="N4034" s="51">
        <f>Tabela6[[#This Row],[KM Rodados ]]/Tabela6[[#This Row],[CONSUMO]]</f>
        <v>-1341.2276848116937</v>
      </c>
    </row>
    <row r="4035" spans="1:14" x14ac:dyDescent="0.25">
      <c r="A4035" s="47">
        <v>9993</v>
      </c>
      <c r="B4035" s="78">
        <v>45341</v>
      </c>
      <c r="C4035" s="47" t="s">
        <v>73</v>
      </c>
      <c r="D4035" s="49" t="s">
        <v>299</v>
      </c>
      <c r="E4035" s="47">
        <v>180088</v>
      </c>
      <c r="G4035" s="50" t="s">
        <v>89</v>
      </c>
      <c r="H4035" s="51">
        <v>155</v>
      </c>
      <c r="J4035" s="51">
        <v>5.2</v>
      </c>
      <c r="K4035" s="74">
        <f>Tabela6[[#This Row],[CONSUMO]]*Tabela6[[#This Row],[VALOR UNIT]]-Tabela6[[#This Row],[DESCONTO]]</f>
        <v>806</v>
      </c>
      <c r="L4035" s="53">
        <f>Tabela6[[#This Row],[CUSTO TOTAL]]/Tabela6[[#This Row],[CONSUMO]]</f>
        <v>5.2</v>
      </c>
      <c r="M4035" s="50">
        <f>Tabela6[[#This Row],[KM ATUAL]]-E3980</f>
        <v>-707305</v>
      </c>
      <c r="N4035" s="51">
        <f>Tabela6[[#This Row],[KM Rodados ]]/Tabela6[[#This Row],[CONSUMO]]</f>
        <v>-4563.2580645161288</v>
      </c>
    </row>
    <row r="4036" spans="1:14" x14ac:dyDescent="0.25">
      <c r="A4036" s="47">
        <v>9993</v>
      </c>
      <c r="B4036" s="78">
        <v>45341</v>
      </c>
      <c r="C4036" s="47" t="s">
        <v>41</v>
      </c>
      <c r="D4036" s="49" t="s">
        <v>299</v>
      </c>
      <c r="E4036" s="47">
        <v>699041</v>
      </c>
      <c r="G4036" s="50" t="s">
        <v>89</v>
      </c>
      <c r="H4036" s="51">
        <v>145</v>
      </c>
      <c r="J4036" s="51">
        <v>5.2</v>
      </c>
      <c r="K4036" s="74">
        <f>Tabela6[[#This Row],[CONSUMO]]*Tabela6[[#This Row],[VALOR UNIT]]-Tabela6[[#This Row],[DESCONTO]]</f>
        <v>754</v>
      </c>
      <c r="L4036" s="53">
        <f>Tabela6[[#This Row],[CUSTO TOTAL]]/Tabela6[[#This Row],[CONSUMO]]</f>
        <v>5.2</v>
      </c>
      <c r="M4036" s="50">
        <f>Tabela6[[#This Row],[KM ATUAL]]-E3981</f>
        <v>-1381</v>
      </c>
      <c r="N4036" s="51">
        <f>Tabela6[[#This Row],[KM Rodados ]]/Tabela6[[#This Row],[CONSUMO]]</f>
        <v>-9.5241379310344829</v>
      </c>
    </row>
    <row r="4037" spans="1:14" x14ac:dyDescent="0.25">
      <c r="A4037" s="47">
        <v>244461</v>
      </c>
      <c r="B4037" s="78">
        <v>45341</v>
      </c>
      <c r="C4037" s="47" t="s">
        <v>15</v>
      </c>
      <c r="D4037" s="49" t="s">
        <v>262</v>
      </c>
      <c r="E4037" s="47">
        <v>413448</v>
      </c>
      <c r="G4037" s="50" t="s">
        <v>89</v>
      </c>
      <c r="H4037" s="51">
        <v>70.12</v>
      </c>
      <c r="J4037" s="51">
        <v>5.99</v>
      </c>
      <c r="K4037" s="74">
        <f>Tabela6[[#This Row],[CONSUMO]]*Tabela6[[#This Row],[VALOR UNIT]]-Tabela6[[#This Row],[DESCONTO]]</f>
        <v>420.01880000000006</v>
      </c>
      <c r="L4037" s="53">
        <f>Tabela6[[#This Row],[CUSTO TOTAL]]/Tabela6[[#This Row],[CONSUMO]]</f>
        <v>5.99</v>
      </c>
      <c r="M4037" s="50">
        <f>Tabela6[[#This Row],[KM ATUAL]]-E3982</f>
        <v>234528</v>
      </c>
      <c r="N4037" s="51">
        <f>Tabela6[[#This Row],[KM Rodados ]]/Tabela6[[#This Row],[CONSUMO]]</f>
        <v>3344.6662863662291</v>
      </c>
    </row>
    <row r="4038" spans="1:14" x14ac:dyDescent="0.25">
      <c r="A4038" s="47">
        <v>244551</v>
      </c>
      <c r="B4038" s="78">
        <v>45341</v>
      </c>
      <c r="C4038" s="47" t="s">
        <v>17</v>
      </c>
      <c r="D4038" s="49" t="s">
        <v>262</v>
      </c>
      <c r="E4038" s="47">
        <v>396658</v>
      </c>
      <c r="G4038" s="50" t="s">
        <v>241</v>
      </c>
      <c r="H4038" s="51">
        <v>16.863</v>
      </c>
      <c r="I4038" s="49">
        <v>6.07</v>
      </c>
      <c r="J4038" s="51">
        <v>3.69</v>
      </c>
      <c r="K4038" s="74">
        <f>Tabela6[[#This Row],[CONSUMO]]*Tabela6[[#This Row],[VALOR UNIT]]-Tabela6[[#This Row],[DESCONTO]]</f>
        <v>56.154469999999996</v>
      </c>
      <c r="L4038" s="53">
        <f>Tabela6[[#This Row],[CUSTO TOTAL]]/Tabela6[[#This Row],[CONSUMO]]</f>
        <v>3.3300403249718316</v>
      </c>
      <c r="M4038" s="50">
        <f>Tabela6[[#This Row],[KM ATUAL]]-E3983</f>
        <v>243634</v>
      </c>
      <c r="N4038" s="51">
        <f>Tabela6[[#This Row],[KM Rodados ]]/Tabela6[[#This Row],[CONSUMO]]</f>
        <v>14447.844393049872</v>
      </c>
    </row>
    <row r="4039" spans="1:14" x14ac:dyDescent="0.25">
      <c r="A4039" s="47">
        <v>9993</v>
      </c>
      <c r="B4039" s="78">
        <v>45341</v>
      </c>
      <c r="C4039" s="47" t="s">
        <v>17</v>
      </c>
      <c r="D4039" s="49" t="s">
        <v>299</v>
      </c>
      <c r="E4039" s="47">
        <v>396654</v>
      </c>
      <c r="G4039" s="50" t="s">
        <v>89</v>
      </c>
      <c r="H4039" s="51">
        <v>241</v>
      </c>
      <c r="J4039" s="51">
        <v>5.2</v>
      </c>
      <c r="K4039" s="74">
        <f>Tabela6[[#This Row],[CONSUMO]]*Tabela6[[#This Row],[VALOR UNIT]]-Tabela6[[#This Row],[DESCONTO]]</f>
        <v>1253.2</v>
      </c>
      <c r="L4039" s="53">
        <f>Tabela6[[#This Row],[CUSTO TOTAL]]/Tabela6[[#This Row],[CONSUMO]]</f>
        <v>5.2</v>
      </c>
      <c r="M4039" s="50">
        <f>Tabela6[[#This Row],[KM ATUAL]]-E3984</f>
        <v>-301791</v>
      </c>
      <c r="N4039" s="51">
        <f>Tabela6[[#This Row],[KM Rodados ]]/Tabela6[[#This Row],[CONSUMO]]</f>
        <v>-1252.2448132780082</v>
      </c>
    </row>
    <row r="4040" spans="1:14" x14ac:dyDescent="0.25">
      <c r="A4040" s="47">
        <v>605992</v>
      </c>
      <c r="B4040" s="54">
        <v>45341</v>
      </c>
      <c r="C4040" s="47" t="s">
        <v>18</v>
      </c>
      <c r="D4040" s="49" t="s">
        <v>255</v>
      </c>
      <c r="E4040" s="47">
        <v>347616</v>
      </c>
      <c r="G4040" s="50" t="s">
        <v>89</v>
      </c>
      <c r="H4040" s="51">
        <v>73.730999999999995</v>
      </c>
      <c r="J4040" s="51">
        <v>5.89</v>
      </c>
      <c r="K4040" s="74">
        <f>Tabela6[[#This Row],[CONSUMO]]*Tabela6[[#This Row],[VALOR UNIT]]-Tabela6[[#This Row],[DESCONTO]]</f>
        <v>434.27558999999997</v>
      </c>
      <c r="L4040" s="53">
        <f>Tabela6[[#This Row],[CUSTO TOTAL]]/Tabela6[[#This Row],[CONSUMO]]</f>
        <v>5.89</v>
      </c>
      <c r="M4040" s="50">
        <f>Tabela6[[#This Row],[KM ATUAL]]-E3985</f>
        <v>-396490</v>
      </c>
      <c r="N4040" s="51">
        <f>Tabela6[[#This Row],[KM Rodados ]]/Tabela6[[#This Row],[CONSUMO]]</f>
        <v>-5377.5209884580436</v>
      </c>
    </row>
    <row r="4041" spans="1:14" x14ac:dyDescent="0.25">
      <c r="A4041" s="47">
        <v>9993</v>
      </c>
      <c r="B4041" s="78">
        <v>45341</v>
      </c>
      <c r="C4041" s="47" t="s">
        <v>19</v>
      </c>
      <c r="D4041" s="49" t="s">
        <v>299</v>
      </c>
      <c r="E4041" s="47">
        <v>356407</v>
      </c>
      <c r="G4041" s="50" t="s">
        <v>89</v>
      </c>
      <c r="H4041" s="51">
        <v>217</v>
      </c>
      <c r="J4041" s="51">
        <v>5.2</v>
      </c>
      <c r="K4041" s="74">
        <f>Tabela6[[#This Row],[CONSUMO]]*Tabela6[[#This Row],[VALOR UNIT]]-Tabela6[[#This Row],[DESCONTO]]</f>
        <v>1128.4000000000001</v>
      </c>
      <c r="L4041" s="53">
        <f>Tabela6[[#This Row],[CUSTO TOTAL]]/Tabela6[[#This Row],[CONSUMO]]</f>
        <v>5.2</v>
      </c>
      <c r="M4041" s="50">
        <f>Tabela6[[#This Row],[KM ATUAL]]-E3986</f>
        <v>-739179</v>
      </c>
      <c r="N4041" s="51">
        <f>Tabela6[[#This Row],[KM Rodados ]]/Tabela6[[#This Row],[CONSUMO]]</f>
        <v>-3406.3548387096776</v>
      </c>
    </row>
    <row r="4042" spans="1:14" x14ac:dyDescent="0.25">
      <c r="A4042" s="47">
        <v>9993</v>
      </c>
      <c r="B4042" s="78">
        <v>45341</v>
      </c>
      <c r="C4042" s="47" t="s">
        <v>20</v>
      </c>
      <c r="D4042" s="49" t="s">
        <v>299</v>
      </c>
      <c r="E4042" s="47">
        <v>299890</v>
      </c>
      <c r="G4042" s="50" t="s">
        <v>89</v>
      </c>
      <c r="H4042" s="51">
        <v>68</v>
      </c>
      <c r="J4042" s="51">
        <v>5.2</v>
      </c>
      <c r="K4042" s="74">
        <f>Tabela6[[#This Row],[CONSUMO]]*Tabela6[[#This Row],[VALOR UNIT]]-Tabela6[[#This Row],[DESCONTO]]</f>
        <v>353.6</v>
      </c>
      <c r="L4042" s="53">
        <f>Tabela6[[#This Row],[CUSTO TOTAL]]/Tabela6[[#This Row],[CONSUMO]]</f>
        <v>5.2</v>
      </c>
      <c r="M4042" s="50">
        <f>Tabela6[[#This Row],[KM ATUAL]]-E3987</f>
        <v>-16848</v>
      </c>
      <c r="N4042" s="51">
        <f>Tabela6[[#This Row],[KM Rodados ]]/Tabela6[[#This Row],[CONSUMO]]</f>
        <v>-247.76470588235293</v>
      </c>
    </row>
    <row r="4043" spans="1:14" x14ac:dyDescent="0.25">
      <c r="A4043" s="47">
        <v>244559</v>
      </c>
      <c r="B4043" s="78">
        <v>45341</v>
      </c>
      <c r="C4043" s="47" t="s">
        <v>40</v>
      </c>
      <c r="D4043" s="49" t="s">
        <v>262</v>
      </c>
      <c r="E4043" s="47">
        <v>187025</v>
      </c>
      <c r="G4043" s="50" t="s">
        <v>244</v>
      </c>
      <c r="H4043" s="51">
        <v>45.429000000000002</v>
      </c>
      <c r="J4043" s="51">
        <v>5.59</v>
      </c>
      <c r="K4043" s="74">
        <f>Tabela6[[#This Row],[CONSUMO]]*Tabela6[[#This Row],[VALOR UNIT]]-Tabela6[[#This Row],[DESCONTO]]</f>
        <v>253.94811000000001</v>
      </c>
      <c r="L4043" s="53">
        <f>Tabela6[[#This Row],[CUSTO TOTAL]]/Tabela6[[#This Row],[CONSUMO]]</f>
        <v>5.59</v>
      </c>
      <c r="M4043" s="50">
        <f>Tabela6[[#This Row],[KM ATUAL]]-E3988</f>
        <v>-129172</v>
      </c>
      <c r="N4043" s="51">
        <f>Tabela6[[#This Row],[KM Rodados ]]/Tabela6[[#This Row],[CONSUMO]]</f>
        <v>-2843.3819806731381</v>
      </c>
    </row>
    <row r="4044" spans="1:14" x14ac:dyDescent="0.25">
      <c r="A4044" s="47">
        <v>9993</v>
      </c>
      <c r="B4044" s="78">
        <v>45341</v>
      </c>
      <c r="C4044" s="47" t="s">
        <v>74</v>
      </c>
      <c r="D4044" s="49" t="s">
        <v>299</v>
      </c>
      <c r="E4044" s="47">
        <v>111797</v>
      </c>
      <c r="G4044" s="50" t="s">
        <v>89</v>
      </c>
      <c r="H4044" s="51">
        <v>61</v>
      </c>
      <c r="J4044" s="51">
        <v>5.2</v>
      </c>
      <c r="K4044" s="74">
        <f>Tabela6[[#This Row],[CONSUMO]]*Tabela6[[#This Row],[VALOR UNIT]]-Tabela6[[#This Row],[DESCONTO]]</f>
        <v>317.2</v>
      </c>
      <c r="L4044" s="53">
        <f>Tabela6[[#This Row],[CUSTO TOTAL]]/Tabela6[[#This Row],[CONSUMO]]</f>
        <v>5.2</v>
      </c>
      <c r="M4044" s="50">
        <f>Tabela6[[#This Row],[KM ATUAL]]-E3989</f>
        <v>-283819</v>
      </c>
      <c r="N4044" s="51">
        <f>Tabela6[[#This Row],[KM Rodados ]]/Tabela6[[#This Row],[CONSUMO]]</f>
        <v>-4652.7704918032787</v>
      </c>
    </row>
    <row r="4045" spans="1:14" x14ac:dyDescent="0.25">
      <c r="A4045" s="47">
        <v>165073</v>
      </c>
      <c r="B4045" s="78">
        <v>45341</v>
      </c>
      <c r="C4045" s="47" t="s">
        <v>315</v>
      </c>
      <c r="D4045" s="49" t="s">
        <v>253</v>
      </c>
      <c r="E4045" s="47">
        <v>18842</v>
      </c>
      <c r="G4045" s="50" t="s">
        <v>89</v>
      </c>
      <c r="H4045" s="51">
        <v>45.14</v>
      </c>
      <c r="J4045" s="51">
        <v>6.09</v>
      </c>
      <c r="K4045" s="74">
        <f>Tabela6[[#This Row],[CONSUMO]]*Tabela6[[#This Row],[VALOR UNIT]]-Tabela6[[#This Row],[DESCONTO]]</f>
        <v>274.90260000000001</v>
      </c>
      <c r="L4045" s="53">
        <f>Tabela6[[#This Row],[CUSTO TOTAL]]/Tabela6[[#This Row],[CONSUMO]]</f>
        <v>6.09</v>
      </c>
      <c r="M4045" s="50">
        <f>Tabela6[[#This Row],[KM ATUAL]]-E3990</f>
        <v>-335739</v>
      </c>
      <c r="N4045" s="51">
        <f>Tabela6[[#This Row],[KM Rodados ]]/Tabela6[[#This Row],[CONSUMO]]</f>
        <v>-7437.7270713336284</v>
      </c>
    </row>
    <row r="4046" spans="1:14" x14ac:dyDescent="0.25">
      <c r="A4046" s="47">
        <v>1994092</v>
      </c>
      <c r="B4046" s="78">
        <v>45341</v>
      </c>
      <c r="C4046" s="47" t="s">
        <v>354</v>
      </c>
      <c r="D4046" s="49" t="s">
        <v>412</v>
      </c>
      <c r="E4046" s="47">
        <v>25954</v>
      </c>
      <c r="G4046" s="50" t="s">
        <v>241</v>
      </c>
      <c r="H4046" s="51">
        <v>21.872</v>
      </c>
      <c r="J4046" s="51">
        <v>2.8</v>
      </c>
      <c r="K4046" s="74">
        <f>Tabela6[[#This Row],[CONSUMO]]*Tabela6[[#This Row],[VALOR UNIT]]-Tabela6[[#This Row],[DESCONTO]]</f>
        <v>61.241599999999998</v>
      </c>
      <c r="L4046" s="53">
        <f>Tabela6[[#This Row],[CUSTO TOTAL]]/Tabela6[[#This Row],[CONSUMO]]</f>
        <v>2.8</v>
      </c>
      <c r="M4046" s="50">
        <f>Tabela6[[#This Row],[KM ATUAL]]-E3991</f>
        <v>-159587</v>
      </c>
      <c r="N4046" s="51">
        <f>Tabela6[[#This Row],[KM Rodados ]]/Tabela6[[#This Row],[CONSUMO]]</f>
        <v>-7296.4063643013897</v>
      </c>
    </row>
    <row r="4047" spans="1:14" x14ac:dyDescent="0.25">
      <c r="A4047" s="47">
        <v>1994092</v>
      </c>
      <c r="B4047" s="78">
        <v>45341</v>
      </c>
      <c r="C4047" s="47" t="s">
        <v>354</v>
      </c>
      <c r="D4047" s="49" t="s">
        <v>412</v>
      </c>
      <c r="E4047" s="47">
        <v>25954</v>
      </c>
      <c r="G4047" s="50" t="s">
        <v>89</v>
      </c>
      <c r="H4047" s="51">
        <v>331.04</v>
      </c>
      <c r="J4047" s="51">
        <v>5.35</v>
      </c>
      <c r="K4047" s="74">
        <f>Tabela6[[#This Row],[CONSUMO]]*Tabela6[[#This Row],[VALOR UNIT]]-Tabela6[[#This Row],[DESCONTO]]</f>
        <v>1771.0640000000001</v>
      </c>
      <c r="L4047" s="53">
        <f>Tabela6[[#This Row],[CUSTO TOTAL]]/Tabela6[[#This Row],[CONSUMO]]</f>
        <v>5.35</v>
      </c>
      <c r="M4047" s="50">
        <f>Tabela6[[#This Row],[KM ATUAL]]-E3992</f>
        <v>16516</v>
      </c>
      <c r="N4047" s="51">
        <f>Tabela6[[#This Row],[KM Rodados ]]/Tabela6[[#This Row],[CONSUMO]]</f>
        <v>49.89125181246979</v>
      </c>
    </row>
    <row r="4048" spans="1:14" x14ac:dyDescent="0.25">
      <c r="A4048" s="47">
        <v>244531</v>
      </c>
      <c r="B4048" s="78">
        <v>45341</v>
      </c>
      <c r="C4048" s="47" t="s">
        <v>401</v>
      </c>
      <c r="D4048" s="49" t="s">
        <v>262</v>
      </c>
      <c r="E4048" s="47">
        <v>10384</v>
      </c>
      <c r="G4048" s="50" t="s">
        <v>241</v>
      </c>
      <c r="H4048" s="51">
        <v>28.908000000000001</v>
      </c>
      <c r="I4048" s="49">
        <v>10.41</v>
      </c>
      <c r="J4048" s="51">
        <v>3.69</v>
      </c>
      <c r="K4048" s="74">
        <f>Tabela6[[#This Row],[CONSUMO]]*Tabela6[[#This Row],[VALOR UNIT]]-Tabela6[[#This Row],[DESCONTO]]</f>
        <v>96.26052</v>
      </c>
      <c r="L4048" s="53">
        <f>Tabela6[[#This Row],[CUSTO TOTAL]]/Tabela6[[#This Row],[CONSUMO]]</f>
        <v>3.3298920713989206</v>
      </c>
      <c r="M4048" s="50">
        <f>Tabela6[[#This Row],[KM ATUAL]]-E3993</f>
        <v>-946549</v>
      </c>
      <c r="N4048" s="51">
        <f>Tabela6[[#This Row],[KM Rodados ]]/Tabela6[[#This Row],[CONSUMO]]</f>
        <v>-32743.496609934966</v>
      </c>
    </row>
    <row r="4049" spans="1:14" x14ac:dyDescent="0.25">
      <c r="A4049" s="47">
        <v>9993</v>
      </c>
      <c r="B4049" s="78">
        <v>45341</v>
      </c>
      <c r="C4049" s="47" t="s">
        <v>401</v>
      </c>
      <c r="D4049" s="49" t="s">
        <v>299</v>
      </c>
      <c r="E4049" s="47">
        <v>10392</v>
      </c>
      <c r="G4049" s="50" t="s">
        <v>89</v>
      </c>
      <c r="H4049" s="51">
        <v>137</v>
      </c>
      <c r="J4049" s="51">
        <v>5.2</v>
      </c>
      <c r="K4049" s="74">
        <f>Tabela6[[#This Row],[CONSUMO]]*Tabela6[[#This Row],[VALOR UNIT]]-Tabela6[[#This Row],[DESCONTO]]</f>
        <v>712.4</v>
      </c>
      <c r="L4049" s="53">
        <f>Tabela6[[#This Row],[CUSTO TOTAL]]/Tabela6[[#This Row],[CONSUMO]]</f>
        <v>5.2</v>
      </c>
      <c r="M4049" s="50">
        <f>Tabela6[[#This Row],[KM ATUAL]]-E3994</f>
        <v>-167258</v>
      </c>
      <c r="N4049" s="51">
        <f>Tabela6[[#This Row],[KM Rodados ]]/Tabela6[[#This Row],[CONSUMO]]</f>
        <v>-1220.8613138686133</v>
      </c>
    </row>
    <row r="4050" spans="1:14" x14ac:dyDescent="0.25">
      <c r="A4050" s="47">
        <v>9993</v>
      </c>
      <c r="B4050" s="78">
        <v>45342</v>
      </c>
      <c r="C4050" s="47" t="s">
        <v>9</v>
      </c>
      <c r="D4050" s="49" t="s">
        <v>299</v>
      </c>
      <c r="E4050" s="47">
        <v>648107</v>
      </c>
      <c r="G4050" s="50" t="s">
        <v>89</v>
      </c>
      <c r="H4050" s="51">
        <v>150</v>
      </c>
      <c r="J4050" s="51">
        <v>5.2</v>
      </c>
      <c r="K4050" s="74">
        <f>Tabela6[[#This Row],[CONSUMO]]*Tabela6[[#This Row],[VALOR UNIT]]-Tabela6[[#This Row],[DESCONTO]]</f>
        <v>780</v>
      </c>
      <c r="L4050" s="53">
        <f>Tabela6[[#This Row],[CUSTO TOTAL]]/Tabela6[[#This Row],[CONSUMO]]</f>
        <v>5.2</v>
      </c>
      <c r="M4050" s="50">
        <f>Tabela6[[#This Row],[KM ATUAL]]-E3995</f>
        <v>470062</v>
      </c>
      <c r="N4050" s="51">
        <f>Tabela6[[#This Row],[KM Rodados ]]/Tabela6[[#This Row],[CONSUMO]]</f>
        <v>3133.7466666666664</v>
      </c>
    </row>
    <row r="4051" spans="1:14" x14ac:dyDescent="0.25">
      <c r="A4051" s="47">
        <v>9993</v>
      </c>
      <c r="B4051" s="78">
        <v>45342</v>
      </c>
      <c r="C4051" s="47" t="s">
        <v>67</v>
      </c>
      <c r="D4051" s="49" t="s">
        <v>299</v>
      </c>
      <c r="E4051" s="47">
        <v>701333</v>
      </c>
      <c r="G4051" s="50" t="s">
        <v>89</v>
      </c>
      <c r="H4051" s="51">
        <v>100</v>
      </c>
      <c r="J4051" s="51">
        <v>5.2</v>
      </c>
      <c r="K4051" s="74">
        <f>Tabela6[[#This Row],[CONSUMO]]*Tabela6[[#This Row],[VALOR UNIT]]-Tabela6[[#This Row],[DESCONTO]]</f>
        <v>520</v>
      </c>
      <c r="L4051" s="53">
        <f>Tabela6[[#This Row],[CUSTO TOTAL]]/Tabela6[[#This Row],[CONSUMO]]</f>
        <v>5.2</v>
      </c>
      <c r="M4051" s="50">
        <f>Tabela6[[#This Row],[KM ATUAL]]-E3996</f>
        <v>-186220</v>
      </c>
      <c r="N4051" s="51">
        <f>Tabela6[[#This Row],[KM Rodados ]]/Tabela6[[#This Row],[CONSUMO]]</f>
        <v>-1862.2</v>
      </c>
    </row>
    <row r="4052" spans="1:14" x14ac:dyDescent="0.25">
      <c r="A4052" s="47">
        <v>9993</v>
      </c>
      <c r="B4052" s="78">
        <v>45342</v>
      </c>
      <c r="C4052" s="47" t="s">
        <v>22</v>
      </c>
      <c r="D4052" s="49" t="s">
        <v>299</v>
      </c>
      <c r="E4052" s="47">
        <v>353671</v>
      </c>
      <c r="G4052" s="50" t="s">
        <v>89</v>
      </c>
      <c r="H4052" s="51">
        <v>124</v>
      </c>
      <c r="J4052" s="51">
        <v>5.2</v>
      </c>
      <c r="K4052" s="74">
        <f>Tabela6[[#This Row],[CONSUMO]]*Tabela6[[#This Row],[VALOR UNIT]]-Tabela6[[#This Row],[DESCONTO]]</f>
        <v>644.80000000000007</v>
      </c>
      <c r="L4052" s="53">
        <f>Tabela6[[#This Row],[CUSTO TOTAL]]/Tabela6[[#This Row],[CONSUMO]]</f>
        <v>5.2</v>
      </c>
      <c r="M4052" s="50">
        <f>Tabela6[[#This Row],[KM ATUAL]]-E3997</f>
        <v>-31137</v>
      </c>
      <c r="N4052" s="51">
        <f>Tabela6[[#This Row],[KM Rodados ]]/Tabela6[[#This Row],[CONSUMO]]</f>
        <v>-251.10483870967741</v>
      </c>
    </row>
    <row r="4053" spans="1:14" x14ac:dyDescent="0.25">
      <c r="A4053" s="47">
        <v>165865</v>
      </c>
      <c r="B4053" s="78">
        <v>45342</v>
      </c>
      <c r="C4053" s="47" t="s">
        <v>39</v>
      </c>
      <c r="D4053" s="49" t="s">
        <v>253</v>
      </c>
      <c r="E4053" s="47">
        <v>118921</v>
      </c>
      <c r="G4053" s="50" t="s">
        <v>89</v>
      </c>
      <c r="H4053" s="51">
        <v>99.36</v>
      </c>
      <c r="J4053" s="51">
        <v>6.09</v>
      </c>
      <c r="K4053" s="74">
        <f>Tabela6[[#This Row],[CONSUMO]]*Tabela6[[#This Row],[VALOR UNIT]]-Tabela6[[#This Row],[DESCONTO]]</f>
        <v>605.10239999999999</v>
      </c>
      <c r="L4053" s="53">
        <f>Tabela6[[#This Row],[CUSTO TOTAL]]/Tabela6[[#This Row],[CONSUMO]]</f>
        <v>6.09</v>
      </c>
      <c r="M4053" s="50">
        <f>Tabela6[[#This Row],[KM ATUAL]]-E3998</f>
        <v>-233806</v>
      </c>
      <c r="N4053" s="51">
        <f>Tabela6[[#This Row],[KM Rodados ]]/Tabela6[[#This Row],[CONSUMO]]</f>
        <v>-2353.1199677938807</v>
      </c>
    </row>
    <row r="4054" spans="1:14" x14ac:dyDescent="0.25">
      <c r="A4054" s="47">
        <v>9993</v>
      </c>
      <c r="B4054" s="78">
        <v>45342</v>
      </c>
      <c r="C4054" s="47" t="s">
        <v>71</v>
      </c>
      <c r="D4054" s="49" t="s">
        <v>299</v>
      </c>
      <c r="E4054" s="47">
        <v>153865</v>
      </c>
      <c r="G4054" s="50" t="s">
        <v>89</v>
      </c>
      <c r="H4054" s="51">
        <v>231</v>
      </c>
      <c r="J4054" s="51">
        <v>5.2</v>
      </c>
      <c r="K4054" s="74">
        <f>Tabela6[[#This Row],[CONSUMO]]*Tabela6[[#This Row],[VALOR UNIT]]-Tabela6[[#This Row],[DESCONTO]]</f>
        <v>1201.2</v>
      </c>
      <c r="L4054" s="53">
        <f>Tabela6[[#This Row],[CUSTO TOTAL]]/Tabela6[[#This Row],[CONSUMO]]</f>
        <v>5.2</v>
      </c>
      <c r="M4054" s="50">
        <f>Tabela6[[#This Row],[KM ATUAL]]-E3999</f>
        <v>-109702</v>
      </c>
      <c r="N4054" s="51">
        <f>Tabela6[[#This Row],[KM Rodados ]]/Tabela6[[#This Row],[CONSUMO]]</f>
        <v>-474.90043290043292</v>
      </c>
    </row>
    <row r="4055" spans="1:14" x14ac:dyDescent="0.25">
      <c r="A4055" s="47">
        <v>161696</v>
      </c>
      <c r="B4055" s="78">
        <v>45342</v>
      </c>
      <c r="C4055" s="47" t="s">
        <v>207</v>
      </c>
      <c r="D4055" s="49" t="s">
        <v>260</v>
      </c>
      <c r="G4055" s="50" t="s">
        <v>244</v>
      </c>
      <c r="H4055" s="51">
        <v>9.52</v>
      </c>
      <c r="J4055" s="51">
        <v>5.69</v>
      </c>
      <c r="K4055" s="74">
        <f>Tabela6[[#This Row],[CONSUMO]]*Tabela6[[#This Row],[VALOR UNIT]]-Tabela6[[#This Row],[DESCONTO]]</f>
        <v>54.168800000000005</v>
      </c>
      <c r="L4055" s="53">
        <f>Tabela6[[#This Row],[CUSTO TOTAL]]/Tabela6[[#This Row],[CONSUMO]]</f>
        <v>5.69</v>
      </c>
      <c r="M4055" s="50">
        <f>Tabela6[[#This Row],[KM ATUAL]]-E4000</f>
        <v>-441913</v>
      </c>
      <c r="N4055" s="51">
        <f>Tabela6[[#This Row],[KM Rodados ]]/Tabela6[[#This Row],[CONSUMO]]</f>
        <v>-46419.432773109249</v>
      </c>
    </row>
    <row r="4056" spans="1:14" x14ac:dyDescent="0.25">
      <c r="A4056" s="47">
        <v>811990</v>
      </c>
      <c r="B4056" s="78">
        <v>45342</v>
      </c>
      <c r="C4056" s="47" t="s">
        <v>41</v>
      </c>
      <c r="D4056" s="49" t="s">
        <v>250</v>
      </c>
      <c r="E4056" s="47">
        <v>9691636</v>
      </c>
      <c r="G4056" s="50" t="s">
        <v>89</v>
      </c>
      <c r="H4056" s="51">
        <v>172</v>
      </c>
      <c r="J4056" s="51">
        <v>5.89</v>
      </c>
      <c r="K4056" s="74">
        <f>Tabela6[[#This Row],[CONSUMO]]*Tabela6[[#This Row],[VALOR UNIT]]-Tabela6[[#This Row],[DESCONTO]]</f>
        <v>1013.0799999999999</v>
      </c>
      <c r="L4056" s="53">
        <f>Tabela6[[#This Row],[CUSTO TOTAL]]/Tabela6[[#This Row],[CONSUMO]]</f>
        <v>5.89</v>
      </c>
      <c r="M4056" s="50">
        <f>Tabela6[[#This Row],[KM ATUAL]]-E4001</f>
        <v>9512271</v>
      </c>
      <c r="N4056" s="51">
        <f>Tabela6[[#This Row],[KM Rodados ]]/Tabela6[[#This Row],[CONSUMO]]</f>
        <v>55303.901162790695</v>
      </c>
    </row>
    <row r="4057" spans="1:14" x14ac:dyDescent="0.25">
      <c r="A4057" s="47">
        <v>9993</v>
      </c>
      <c r="B4057" s="78">
        <v>45342</v>
      </c>
      <c r="C4057" s="47" t="s">
        <v>10</v>
      </c>
      <c r="D4057" s="49" t="s">
        <v>299</v>
      </c>
      <c r="E4057" s="47">
        <v>745000</v>
      </c>
      <c r="G4057" s="50" t="s">
        <v>89</v>
      </c>
      <c r="H4057" s="51">
        <v>114</v>
      </c>
      <c r="J4057" s="51">
        <v>5.2</v>
      </c>
      <c r="K4057" s="74">
        <f>Tabela6[[#This Row],[CONSUMO]]*Tabela6[[#This Row],[VALOR UNIT]]-Tabela6[[#This Row],[DESCONTO]]</f>
        <v>592.80000000000007</v>
      </c>
      <c r="L4057" s="53">
        <f>Tabela6[[#This Row],[CUSTO TOTAL]]/Tabela6[[#This Row],[CONSUMO]]</f>
        <v>5.2</v>
      </c>
      <c r="M4057" s="50">
        <f>Tabela6[[#This Row],[KM ATUAL]]-E4002</f>
        <v>591609</v>
      </c>
      <c r="N4057" s="51">
        <f>Tabela6[[#This Row],[KM Rodados ]]/Tabela6[[#This Row],[CONSUMO]]</f>
        <v>5189.5526315789475</v>
      </c>
    </row>
    <row r="4058" spans="1:14" x14ac:dyDescent="0.25">
      <c r="A4058" s="47">
        <v>37319</v>
      </c>
      <c r="B4058" s="78">
        <v>45342</v>
      </c>
      <c r="C4058" s="47" t="s">
        <v>301</v>
      </c>
      <c r="D4058" s="49" t="s">
        <v>332</v>
      </c>
      <c r="E4058" s="47">
        <v>1098222</v>
      </c>
      <c r="G4058" s="50" t="s">
        <v>89</v>
      </c>
      <c r="H4058" s="51">
        <v>480</v>
      </c>
      <c r="J4058" s="51">
        <v>5.79</v>
      </c>
      <c r="K4058" s="74">
        <f>Tabela6[[#This Row],[CONSUMO]]*Tabela6[[#This Row],[VALOR UNIT]]-Tabela6[[#This Row],[DESCONTO]]</f>
        <v>2779.2</v>
      </c>
      <c r="L4058" s="53">
        <f>Tabela6[[#This Row],[CUSTO TOTAL]]/Tabela6[[#This Row],[CONSUMO]]</f>
        <v>5.79</v>
      </c>
      <c r="M4058" s="50">
        <f>Tabela6[[#This Row],[KM ATUAL]]-E4003</f>
        <v>687112</v>
      </c>
      <c r="N4058" s="51">
        <f>Tabela6[[#This Row],[KM Rodados ]]/Tabela6[[#This Row],[CONSUMO]]</f>
        <v>1431.4833333333333</v>
      </c>
    </row>
    <row r="4059" spans="1:14" x14ac:dyDescent="0.25">
      <c r="A4059" s="47">
        <v>165584</v>
      </c>
      <c r="B4059" s="78">
        <v>45342</v>
      </c>
      <c r="C4059" s="47" t="s">
        <v>12</v>
      </c>
      <c r="D4059" s="49" t="s">
        <v>253</v>
      </c>
      <c r="E4059" s="47">
        <v>332090</v>
      </c>
      <c r="G4059" s="50" t="s">
        <v>89</v>
      </c>
      <c r="H4059" s="51">
        <v>88.93</v>
      </c>
      <c r="J4059" s="51">
        <v>6.09</v>
      </c>
      <c r="K4059" s="74">
        <f>Tabela6[[#This Row],[CONSUMO]]*Tabela6[[#This Row],[VALOR UNIT]]-Tabela6[[#This Row],[DESCONTO]]</f>
        <v>541.58370000000002</v>
      </c>
      <c r="L4059" s="53">
        <f>Tabela6[[#This Row],[CUSTO TOTAL]]/Tabela6[[#This Row],[CONSUMO]]</f>
        <v>6.09</v>
      </c>
      <c r="M4059" s="50">
        <f>Tabela6[[#This Row],[KM ATUAL]]-E4004</f>
        <v>-344813</v>
      </c>
      <c r="N4059" s="51">
        <f>Tabela6[[#This Row],[KM Rodados ]]/Tabela6[[#This Row],[CONSUMO]]</f>
        <v>-3877.3529742494093</v>
      </c>
    </row>
    <row r="4060" spans="1:14" x14ac:dyDescent="0.25">
      <c r="A4060" s="47">
        <v>45958</v>
      </c>
      <c r="B4060" s="78">
        <v>45342</v>
      </c>
      <c r="C4060" s="47" t="s">
        <v>14</v>
      </c>
      <c r="D4060" s="49" t="s">
        <v>413</v>
      </c>
      <c r="E4060" s="47">
        <v>318262</v>
      </c>
      <c r="G4060" s="50" t="s">
        <v>244</v>
      </c>
      <c r="H4060" s="51">
        <v>34.542999999999999</v>
      </c>
      <c r="J4060" s="51">
        <v>5.79</v>
      </c>
      <c r="K4060" s="74">
        <f>Tabela6[[#This Row],[CONSUMO]]*Tabela6[[#This Row],[VALOR UNIT]]-Tabela6[[#This Row],[DESCONTO]]</f>
        <v>200.00397000000001</v>
      </c>
      <c r="L4060" s="53">
        <f>Tabela6[[#This Row],[CUSTO TOTAL]]/Tabela6[[#This Row],[CONSUMO]]</f>
        <v>5.79</v>
      </c>
      <c r="M4060" s="50">
        <f>Tabela6[[#This Row],[KM ATUAL]]-E4005</f>
        <v>1096</v>
      </c>
      <c r="N4060" s="51">
        <f>Tabela6[[#This Row],[KM Rodados ]]/Tabela6[[#This Row],[CONSUMO]]</f>
        <v>31.728570187881772</v>
      </c>
    </row>
    <row r="4061" spans="1:14" x14ac:dyDescent="0.25">
      <c r="A4061" s="47">
        <v>606433</v>
      </c>
      <c r="B4061" s="54">
        <v>45342</v>
      </c>
      <c r="C4061" s="47" t="s">
        <v>16</v>
      </c>
      <c r="D4061" s="49" t="s">
        <v>255</v>
      </c>
      <c r="E4061" s="47">
        <v>606433</v>
      </c>
      <c r="G4061" s="50" t="s">
        <v>89</v>
      </c>
      <c r="H4061" s="51">
        <v>96.861000000000004</v>
      </c>
      <c r="J4061" s="51">
        <v>6.16</v>
      </c>
      <c r="K4061" s="74">
        <f>Tabela6[[#This Row],[CONSUMO]]*Tabela6[[#This Row],[VALOR UNIT]]-Tabela6[[#This Row],[DESCONTO]]</f>
        <v>596.66376000000002</v>
      </c>
      <c r="L4061" s="53">
        <f>Tabela6[[#This Row],[CUSTO TOTAL]]/Tabela6[[#This Row],[CONSUMO]]</f>
        <v>6.16</v>
      </c>
      <c r="M4061" s="50">
        <f>Tabela6[[#This Row],[KM ATUAL]]-E4006</f>
        <v>193927</v>
      </c>
      <c r="N4061" s="51">
        <f>Tabela6[[#This Row],[KM Rodados ]]/Tabela6[[#This Row],[CONSUMO]]</f>
        <v>2002.1164348912357</v>
      </c>
    </row>
    <row r="4062" spans="1:14" x14ac:dyDescent="0.25">
      <c r="A4062" s="47">
        <v>244704</v>
      </c>
      <c r="B4062" s="78">
        <v>45342</v>
      </c>
      <c r="C4062" s="47" t="s">
        <v>40</v>
      </c>
      <c r="D4062" s="49" t="s">
        <v>262</v>
      </c>
      <c r="E4062" s="47">
        <v>187502</v>
      </c>
      <c r="G4062" s="50" t="s">
        <v>244</v>
      </c>
      <c r="H4062" s="51">
        <v>37.429000000000002</v>
      </c>
      <c r="J4062" s="51">
        <v>5.59</v>
      </c>
      <c r="K4062" s="74">
        <f>Tabela6[[#This Row],[CONSUMO]]*Tabela6[[#This Row],[VALOR UNIT]]-Tabela6[[#This Row],[DESCONTO]]</f>
        <v>209.22811000000002</v>
      </c>
      <c r="L4062" s="53">
        <f>Tabela6[[#This Row],[CUSTO TOTAL]]/Tabela6[[#This Row],[CONSUMO]]</f>
        <v>5.59</v>
      </c>
      <c r="M4062" s="50">
        <f>Tabela6[[#This Row],[KM ATUAL]]-E4007</f>
        <v>-167532</v>
      </c>
      <c r="N4062" s="51">
        <f>Tabela6[[#This Row],[KM Rodados ]]/Tabela6[[#This Row],[CONSUMO]]</f>
        <v>-4475.9945496807286</v>
      </c>
    </row>
    <row r="4063" spans="1:14" x14ac:dyDescent="0.25">
      <c r="A4063" s="47">
        <v>697320</v>
      </c>
      <c r="B4063" s="78">
        <v>45342</v>
      </c>
      <c r="C4063" s="47" t="s">
        <v>401</v>
      </c>
      <c r="D4063" s="49" t="s">
        <v>357</v>
      </c>
      <c r="E4063" s="47">
        <v>11081</v>
      </c>
      <c r="G4063" s="50" t="s">
        <v>89</v>
      </c>
      <c r="H4063" s="51">
        <v>87.716999999999999</v>
      </c>
      <c r="J4063" s="51">
        <v>5.7</v>
      </c>
      <c r="K4063" s="74">
        <f>Tabela6[[#This Row],[CONSUMO]]*Tabela6[[#This Row],[VALOR UNIT]]-Tabela6[[#This Row],[DESCONTO]]</f>
        <v>499.98689999999999</v>
      </c>
      <c r="L4063" s="53">
        <f>Tabela6[[#This Row],[CUSTO TOTAL]]/Tabela6[[#This Row],[CONSUMO]]</f>
        <v>5.7</v>
      </c>
      <c r="M4063" s="50">
        <f>Tabela6[[#This Row],[KM ATUAL]]-E4008</f>
        <v>-344389</v>
      </c>
      <c r="N4063" s="51">
        <f>Tabela6[[#This Row],[KM Rodados ]]/Tabela6[[#This Row],[CONSUMO]]</f>
        <v>-3926.1374648015781</v>
      </c>
    </row>
    <row r="4064" spans="1:14" x14ac:dyDescent="0.25">
      <c r="A4064" s="47">
        <v>9993</v>
      </c>
      <c r="B4064" s="78">
        <v>45343</v>
      </c>
      <c r="C4064" s="47" t="s">
        <v>68</v>
      </c>
      <c r="D4064" s="49" t="s">
        <v>299</v>
      </c>
      <c r="E4064" s="47">
        <v>958585</v>
      </c>
      <c r="G4064" s="50" t="s">
        <v>89</v>
      </c>
      <c r="H4064" s="51">
        <v>666</v>
      </c>
      <c r="J4064" s="51">
        <v>5.2</v>
      </c>
      <c r="K4064" s="74">
        <f>Tabela6[[#This Row],[CONSUMO]]*Tabela6[[#This Row],[VALOR UNIT]]-Tabela6[[#This Row],[DESCONTO]]</f>
        <v>3463.2000000000003</v>
      </c>
      <c r="L4064" s="53">
        <f>Tabela6[[#This Row],[CUSTO TOTAL]]/Tabela6[[#This Row],[CONSUMO]]</f>
        <v>5.2</v>
      </c>
      <c r="M4064" s="50">
        <f>Tabela6[[#This Row],[KM ATUAL]]-E4009</f>
        <v>659302</v>
      </c>
      <c r="N4064" s="51">
        <f>Tabela6[[#This Row],[KM Rodados ]]/Tabela6[[#This Row],[CONSUMO]]</f>
        <v>989.94294294294298</v>
      </c>
    </row>
    <row r="4065" spans="1:14" x14ac:dyDescent="0.25">
      <c r="A4065" s="47">
        <v>244926</v>
      </c>
      <c r="B4065" s="78">
        <v>45343</v>
      </c>
      <c r="C4065" s="47" t="s">
        <v>43</v>
      </c>
      <c r="D4065" s="49" t="s">
        <v>262</v>
      </c>
      <c r="E4065" s="47">
        <v>178875</v>
      </c>
      <c r="G4065" s="50"/>
      <c r="H4065" s="51">
        <v>17.678999999999998</v>
      </c>
      <c r="K4065" s="74">
        <f>Tabela6[[#This Row],[CONSUMO]]*Tabela6[[#This Row],[VALOR UNIT]]-Tabela6[[#This Row],[DESCONTO]]</f>
        <v>0</v>
      </c>
      <c r="L4065" s="53">
        <f>Tabela6[[#This Row],[CUSTO TOTAL]]/Tabela6[[#This Row],[CONSUMO]]</f>
        <v>0</v>
      </c>
      <c r="M4065" s="50">
        <f>Tabela6[[#This Row],[KM ATUAL]]-E4010</f>
        <v>-6993</v>
      </c>
      <c r="N4065" s="51">
        <f>Tabela6[[#This Row],[KM Rodados ]]/Tabela6[[#This Row],[CONSUMO]]</f>
        <v>-395.55404717461397</v>
      </c>
    </row>
    <row r="4066" spans="1:14" x14ac:dyDescent="0.25">
      <c r="A4066" s="47">
        <v>360195</v>
      </c>
      <c r="B4066" s="78">
        <v>45343</v>
      </c>
      <c r="C4066" s="47" t="s">
        <v>43</v>
      </c>
      <c r="D4066" s="49" t="s">
        <v>268</v>
      </c>
      <c r="E4066" s="47">
        <v>179248</v>
      </c>
      <c r="G4066" s="50" t="s">
        <v>89</v>
      </c>
      <c r="H4066" s="51">
        <v>46.3</v>
      </c>
      <c r="J4066" s="51">
        <v>5.69</v>
      </c>
      <c r="K4066" s="74">
        <f>Tabela6[[#This Row],[CONSUMO]]*Tabela6[[#This Row],[VALOR UNIT]]-Tabela6[[#This Row],[DESCONTO]]</f>
        <v>263.447</v>
      </c>
      <c r="L4066" s="53">
        <f>Tabela6[[#This Row],[CUSTO TOTAL]]/Tabela6[[#This Row],[CONSUMO]]</f>
        <v>5.69</v>
      </c>
      <c r="M4066" s="50">
        <f>Tabela6[[#This Row],[KM ATUAL]]-E4011</f>
        <v>-375762</v>
      </c>
      <c r="N4066" s="51">
        <f>Tabela6[[#This Row],[KM Rodados ]]/Tabela6[[#This Row],[CONSUMO]]</f>
        <v>-8115.809935205184</v>
      </c>
    </row>
    <row r="4067" spans="1:14" x14ac:dyDescent="0.25">
      <c r="A4067" s="47">
        <v>402575</v>
      </c>
      <c r="B4067" s="78">
        <v>45343</v>
      </c>
      <c r="C4067" s="47" t="s">
        <v>222</v>
      </c>
      <c r="D4067" s="49" t="s">
        <v>343</v>
      </c>
      <c r="E4067" s="47">
        <v>557899</v>
      </c>
      <c r="G4067" s="50" t="s">
        <v>89</v>
      </c>
      <c r="H4067" s="51">
        <v>367</v>
      </c>
      <c r="J4067" s="51">
        <v>5.79</v>
      </c>
      <c r="K4067" s="74">
        <f>Tabela6[[#This Row],[CONSUMO]]*Tabela6[[#This Row],[VALOR UNIT]]-Tabela6[[#This Row],[DESCONTO]]</f>
        <v>2124.9299999999998</v>
      </c>
      <c r="L4067" s="53">
        <f>Tabela6[[#This Row],[CUSTO TOTAL]]/Tabela6[[#This Row],[CONSUMO]]</f>
        <v>5.7899999999999991</v>
      </c>
      <c r="M4067" s="50">
        <f>Tabela6[[#This Row],[KM ATUAL]]-E4012</f>
        <v>414818</v>
      </c>
      <c r="N4067" s="51">
        <f>Tabela6[[#This Row],[KM Rodados ]]/Tabela6[[#This Row],[CONSUMO]]</f>
        <v>1130.2942779291552</v>
      </c>
    </row>
    <row r="4068" spans="1:14" x14ac:dyDescent="0.25">
      <c r="A4068" s="47">
        <v>9993</v>
      </c>
      <c r="B4068" s="78">
        <v>45343</v>
      </c>
      <c r="C4068" s="47" t="s">
        <v>72</v>
      </c>
      <c r="D4068" s="49" t="s">
        <v>299</v>
      </c>
      <c r="E4068" s="47">
        <v>442820</v>
      </c>
      <c r="G4068" s="50" t="s">
        <v>89</v>
      </c>
      <c r="H4068" s="51">
        <v>41</v>
      </c>
      <c r="J4068" s="51">
        <v>5.2</v>
      </c>
      <c r="K4068" s="74">
        <f>Tabela6[[#This Row],[CONSUMO]]*Tabela6[[#This Row],[VALOR UNIT]]-Tabela6[[#This Row],[DESCONTO]]</f>
        <v>213.20000000000002</v>
      </c>
      <c r="L4068" s="53">
        <f>Tabela6[[#This Row],[CUSTO TOTAL]]/Tabela6[[#This Row],[CONSUMO]]</f>
        <v>5.2</v>
      </c>
      <c r="M4068" s="50">
        <f>Tabela6[[#This Row],[KM ATUAL]]-E4013</f>
        <v>-301733</v>
      </c>
      <c r="N4068" s="51">
        <f>Tabela6[[#This Row],[KM Rodados ]]/Tabela6[[#This Row],[CONSUMO]]</f>
        <v>-7359.3414634146338</v>
      </c>
    </row>
    <row r="4069" spans="1:14" x14ac:dyDescent="0.25">
      <c r="A4069" s="47">
        <v>9993</v>
      </c>
      <c r="B4069" s="78">
        <v>45343</v>
      </c>
      <c r="C4069" s="47" t="s">
        <v>73</v>
      </c>
      <c r="D4069" s="49" t="s">
        <v>299</v>
      </c>
      <c r="E4069" s="47">
        <v>180541</v>
      </c>
      <c r="G4069" s="50" t="s">
        <v>89</v>
      </c>
      <c r="H4069" s="51">
        <v>111</v>
      </c>
      <c r="J4069" s="51">
        <v>5.2</v>
      </c>
      <c r="K4069" s="74">
        <f>Tabela6[[#This Row],[CONSUMO]]*Tabela6[[#This Row],[VALOR UNIT]]-Tabela6[[#This Row],[DESCONTO]]</f>
        <v>577.20000000000005</v>
      </c>
      <c r="L4069" s="53">
        <f>Tabela6[[#This Row],[CUSTO TOTAL]]/Tabela6[[#This Row],[CONSUMO]]</f>
        <v>5.2</v>
      </c>
      <c r="M4069" s="50">
        <f>Tabela6[[#This Row],[KM ATUAL]]-E4014</f>
        <v>-814815</v>
      </c>
      <c r="N4069" s="51">
        <f>Tabela6[[#This Row],[KM Rodados ]]/Tabela6[[#This Row],[CONSUMO]]</f>
        <v>-7340.6756756756758</v>
      </c>
    </row>
    <row r="4070" spans="1:14" x14ac:dyDescent="0.25">
      <c r="A4070" s="47">
        <v>243292</v>
      </c>
      <c r="B4070" s="78">
        <v>45343</v>
      </c>
      <c r="C4070" s="47" t="s">
        <v>71</v>
      </c>
      <c r="D4070" s="49" t="s">
        <v>374</v>
      </c>
      <c r="E4070" s="47">
        <v>154769</v>
      </c>
      <c r="G4070" s="50" t="s">
        <v>241</v>
      </c>
      <c r="H4070" s="51">
        <v>28.27</v>
      </c>
      <c r="J4070" s="51">
        <v>2.99</v>
      </c>
      <c r="K4070" s="74">
        <f>Tabela6[[#This Row],[CONSUMO]]*Tabela6[[#This Row],[VALOR UNIT]]-Tabela6[[#This Row],[DESCONTO]]</f>
        <v>84.527300000000011</v>
      </c>
      <c r="L4070" s="53">
        <f>Tabela6[[#This Row],[CUSTO TOTAL]]/Tabela6[[#This Row],[CONSUMO]]</f>
        <v>2.99</v>
      </c>
      <c r="M4070" s="50">
        <f>Tabela6[[#This Row],[KM ATUAL]]-E4015</f>
        <v>-31666</v>
      </c>
      <c r="N4070" s="51">
        <f>Tabela6[[#This Row],[KM Rodados ]]/Tabela6[[#This Row],[CONSUMO]]</f>
        <v>-1120.127343473647</v>
      </c>
    </row>
    <row r="4071" spans="1:14" x14ac:dyDescent="0.25">
      <c r="A4071" s="47">
        <v>243291</v>
      </c>
      <c r="B4071" s="78">
        <v>45343</v>
      </c>
      <c r="C4071" s="47" t="s">
        <v>71</v>
      </c>
      <c r="D4071" s="49" t="s">
        <v>374</v>
      </c>
      <c r="E4071" s="47">
        <v>154769</v>
      </c>
      <c r="G4071" s="50" t="s">
        <v>89</v>
      </c>
      <c r="H4071" s="51">
        <v>415</v>
      </c>
      <c r="J4071" s="51">
        <v>5.69</v>
      </c>
      <c r="K4071" s="74">
        <f>Tabela6[[#This Row],[CONSUMO]]*Tabela6[[#This Row],[VALOR UNIT]]-Tabela6[[#This Row],[DESCONTO]]</f>
        <v>2361.3500000000004</v>
      </c>
      <c r="L4071" s="53">
        <f>Tabela6[[#This Row],[CUSTO TOTAL]]/Tabela6[[#This Row],[CONSUMO]]</f>
        <v>5.6900000000000013</v>
      </c>
      <c r="M4071" s="50">
        <f>Tabela6[[#This Row],[KM ATUAL]]-E4016</f>
        <v>130072</v>
      </c>
      <c r="N4071" s="51">
        <f>Tabela6[[#This Row],[KM Rodados ]]/Tabela6[[#This Row],[CONSUMO]]</f>
        <v>313.4265060240964</v>
      </c>
    </row>
    <row r="4072" spans="1:14" x14ac:dyDescent="0.25">
      <c r="A4072" s="47">
        <v>9993</v>
      </c>
      <c r="B4072" s="78">
        <v>45343</v>
      </c>
      <c r="C4072" s="47" t="s">
        <v>41</v>
      </c>
      <c r="D4072" s="49" t="s">
        <v>299</v>
      </c>
      <c r="E4072" s="47">
        <v>699412</v>
      </c>
      <c r="G4072" s="50" t="s">
        <v>89</v>
      </c>
      <c r="H4072" s="51">
        <v>87</v>
      </c>
      <c r="J4072" s="51">
        <v>5.2</v>
      </c>
      <c r="K4072" s="74">
        <f>Tabela6[[#This Row],[CONSUMO]]*Tabela6[[#This Row],[VALOR UNIT]]-Tabela6[[#This Row],[DESCONTO]]</f>
        <v>452.40000000000003</v>
      </c>
      <c r="L4072" s="53">
        <f>Tabela6[[#This Row],[CUSTO TOTAL]]/Tabela6[[#This Row],[CONSUMO]]</f>
        <v>5.2</v>
      </c>
      <c r="M4072" s="50">
        <f>Tabela6[[#This Row],[KM ATUAL]]-E4017</f>
        <v>689455</v>
      </c>
      <c r="N4072" s="51">
        <f>Tabela6[[#This Row],[KM Rodados ]]/Tabela6[[#This Row],[CONSUMO]]</f>
        <v>7924.7701149425284</v>
      </c>
    </row>
    <row r="4073" spans="1:14" x14ac:dyDescent="0.25">
      <c r="A4073" s="47">
        <v>166577</v>
      </c>
      <c r="B4073" s="78">
        <v>45343</v>
      </c>
      <c r="C4073" s="47" t="s">
        <v>11</v>
      </c>
      <c r="D4073" s="49" t="s">
        <v>253</v>
      </c>
      <c r="E4073" s="47">
        <v>411591</v>
      </c>
      <c r="G4073" s="50" t="s">
        <v>89</v>
      </c>
      <c r="H4073" s="51">
        <v>104.04</v>
      </c>
      <c r="J4073" s="51">
        <v>6.09</v>
      </c>
      <c r="K4073" s="74">
        <f>Tabela6[[#This Row],[CONSUMO]]*Tabela6[[#This Row],[VALOR UNIT]]-Tabela6[[#This Row],[DESCONTO]]</f>
        <v>633.60360000000003</v>
      </c>
      <c r="L4073" s="53">
        <f>Tabela6[[#This Row],[CUSTO TOTAL]]/Tabela6[[#This Row],[CONSUMO]]</f>
        <v>6.09</v>
      </c>
      <c r="M4073" s="50">
        <f>Tabela6[[#This Row],[KM ATUAL]]-E4018</f>
        <v>233422</v>
      </c>
      <c r="N4073" s="51">
        <f>Tabela6[[#This Row],[KM Rodados ]]/Tabela6[[#This Row],[CONSUMO]]</f>
        <v>2243.57939254133</v>
      </c>
    </row>
    <row r="4074" spans="1:14" x14ac:dyDescent="0.25">
      <c r="A4074" s="47">
        <v>498239</v>
      </c>
      <c r="B4074" s="78">
        <v>45343</v>
      </c>
      <c r="C4074" s="47" t="s">
        <v>301</v>
      </c>
      <c r="D4074" s="49" t="s">
        <v>347</v>
      </c>
      <c r="E4074" s="47">
        <v>1099110</v>
      </c>
      <c r="G4074" s="50" t="s">
        <v>89</v>
      </c>
      <c r="H4074" s="51">
        <v>360</v>
      </c>
      <c r="J4074" s="51">
        <v>5.69</v>
      </c>
      <c r="K4074" s="74">
        <f>Tabela6[[#This Row],[CONSUMO]]*Tabela6[[#This Row],[VALOR UNIT]]-Tabela6[[#This Row],[DESCONTO]]</f>
        <v>2048.4</v>
      </c>
      <c r="L4074" s="53">
        <f>Tabela6[[#This Row],[CUSTO TOTAL]]/Tabela6[[#This Row],[CONSUMO]]</f>
        <v>5.69</v>
      </c>
      <c r="M4074" s="50">
        <f>Tabela6[[#This Row],[KM ATUAL]]-E4019</f>
        <v>920526</v>
      </c>
      <c r="N4074" s="51">
        <f>Tabela6[[#This Row],[KM Rodados ]]/Tabela6[[#This Row],[CONSUMO]]</f>
        <v>2557.0166666666669</v>
      </c>
    </row>
    <row r="4075" spans="1:14" x14ac:dyDescent="0.25">
      <c r="A4075" s="47">
        <v>9993</v>
      </c>
      <c r="B4075" s="78">
        <v>45343</v>
      </c>
      <c r="C4075" s="47" t="s">
        <v>13</v>
      </c>
      <c r="D4075" s="49" t="s">
        <v>299</v>
      </c>
      <c r="E4075" s="47">
        <v>677333</v>
      </c>
      <c r="G4075" s="50" t="s">
        <v>89</v>
      </c>
      <c r="H4075" s="51">
        <v>101</v>
      </c>
      <c r="J4075" s="51">
        <v>5.2</v>
      </c>
      <c r="K4075" s="74">
        <f>Tabela6[[#This Row],[CONSUMO]]*Tabela6[[#This Row],[VALOR UNIT]]-Tabela6[[#This Row],[DESCONTO]]</f>
        <v>525.20000000000005</v>
      </c>
      <c r="L4075" s="53">
        <f>Tabela6[[#This Row],[CUSTO TOTAL]]/Tabela6[[#This Row],[CONSUMO]]</f>
        <v>5.2</v>
      </c>
      <c r="M4075" s="50">
        <f>Tabela6[[#This Row],[KM ATUAL]]-E4020</f>
        <v>677333</v>
      </c>
      <c r="N4075" s="51">
        <f>Tabela6[[#This Row],[KM Rodados ]]/Tabela6[[#This Row],[CONSUMO]]</f>
        <v>6706.2673267326736</v>
      </c>
    </row>
    <row r="4076" spans="1:14" x14ac:dyDescent="0.25">
      <c r="A4076" s="47">
        <v>278870</v>
      </c>
      <c r="B4076" s="78">
        <v>45343</v>
      </c>
      <c r="C4076" s="47" t="s">
        <v>14</v>
      </c>
      <c r="D4076" s="49" t="s">
        <v>269</v>
      </c>
      <c r="E4076" s="47">
        <v>308638</v>
      </c>
      <c r="G4076" s="50" t="s">
        <v>244</v>
      </c>
      <c r="H4076" s="51">
        <v>37.42</v>
      </c>
      <c r="J4076" s="51">
        <v>5.59</v>
      </c>
      <c r="K4076" s="74">
        <f>Tabela6[[#This Row],[CONSUMO]]*Tabela6[[#This Row],[VALOR UNIT]]-Tabela6[[#This Row],[DESCONTO]]</f>
        <v>209.17779999999999</v>
      </c>
      <c r="L4076" s="53">
        <f>Tabela6[[#This Row],[CUSTO TOTAL]]/Tabela6[[#This Row],[CONSUMO]]</f>
        <v>5.59</v>
      </c>
      <c r="M4076" s="50">
        <f>Tabela6[[#This Row],[KM ATUAL]]-E4021</f>
        <v>-788162</v>
      </c>
      <c r="N4076" s="51">
        <f>Tabela6[[#This Row],[KM Rodados ]]/Tabela6[[#This Row],[CONSUMO]]</f>
        <v>-21062.586851950826</v>
      </c>
    </row>
    <row r="4077" spans="1:14" x14ac:dyDescent="0.25">
      <c r="A4077" s="47">
        <v>244928</v>
      </c>
      <c r="B4077" s="78">
        <v>45343</v>
      </c>
      <c r="C4077" s="47" t="s">
        <v>15</v>
      </c>
      <c r="D4077" s="49" t="s">
        <v>262</v>
      </c>
      <c r="E4077" s="47">
        <v>414199</v>
      </c>
      <c r="G4077" s="50" t="s">
        <v>89</v>
      </c>
      <c r="H4077" s="51">
        <v>124.539</v>
      </c>
      <c r="J4077" s="51">
        <v>5.99</v>
      </c>
      <c r="K4077" s="74">
        <f>Tabela6[[#This Row],[CONSUMO]]*Tabela6[[#This Row],[VALOR UNIT]]-Tabela6[[#This Row],[DESCONTO]]</f>
        <v>745.98860999999999</v>
      </c>
      <c r="L4077" s="53">
        <f>Tabela6[[#This Row],[CUSTO TOTAL]]/Tabela6[[#This Row],[CONSUMO]]</f>
        <v>5.99</v>
      </c>
      <c r="M4077" s="50">
        <f>Tabela6[[#This Row],[KM ATUAL]]-E4022</f>
        <v>389495</v>
      </c>
      <c r="N4077" s="51">
        <f>Tabela6[[#This Row],[KM Rodados ]]/Tabela6[[#This Row],[CONSUMO]]</f>
        <v>3127.4941986044532</v>
      </c>
    </row>
    <row r="4078" spans="1:14" x14ac:dyDescent="0.25">
      <c r="A4078" s="47">
        <v>9993</v>
      </c>
      <c r="B4078" s="78">
        <v>45343</v>
      </c>
      <c r="C4078" s="47" t="s">
        <v>17</v>
      </c>
      <c r="D4078" s="49" t="s">
        <v>299</v>
      </c>
      <c r="E4078" s="47">
        <v>397030</v>
      </c>
      <c r="G4078" s="50" t="s">
        <v>89</v>
      </c>
      <c r="H4078" s="51">
        <v>95</v>
      </c>
      <c r="J4078" s="51">
        <v>5.2</v>
      </c>
      <c r="K4078" s="74">
        <f>Tabela6[[#This Row],[CONSUMO]]*Tabela6[[#This Row],[VALOR UNIT]]-Tabela6[[#This Row],[DESCONTO]]</f>
        <v>494</v>
      </c>
      <c r="L4078" s="53">
        <f>Tabela6[[#This Row],[CUSTO TOTAL]]/Tabela6[[#This Row],[CONSUMO]]</f>
        <v>5.2</v>
      </c>
      <c r="M4078" s="50">
        <f>Tabela6[[#This Row],[KM ATUAL]]-E4023</f>
        <v>-159008</v>
      </c>
      <c r="N4078" s="51">
        <f>Tabela6[[#This Row],[KM Rodados ]]/Tabela6[[#This Row],[CONSUMO]]</f>
        <v>-1673.7684210526315</v>
      </c>
    </row>
    <row r="4079" spans="1:14" x14ac:dyDescent="0.25">
      <c r="A4079" s="47">
        <v>698767</v>
      </c>
      <c r="B4079" s="78">
        <v>45343</v>
      </c>
      <c r="C4079" s="47" t="s">
        <v>19</v>
      </c>
      <c r="D4079" s="49" t="s">
        <v>251</v>
      </c>
      <c r="E4079" s="47">
        <v>357570</v>
      </c>
      <c r="G4079" s="50" t="s">
        <v>241</v>
      </c>
      <c r="H4079" s="51">
        <v>24.86</v>
      </c>
      <c r="J4079" s="51">
        <v>1.99</v>
      </c>
      <c r="K4079" s="74">
        <f>Tabela6[[#This Row],[CONSUMO]]*Tabela6[[#This Row],[VALOR UNIT]]-Tabela6[[#This Row],[DESCONTO]]</f>
        <v>49.471399999999996</v>
      </c>
      <c r="L4079" s="53">
        <f>Tabela6[[#This Row],[CUSTO TOTAL]]/Tabela6[[#This Row],[CONSUMO]]</f>
        <v>1.9899999999999998</v>
      </c>
      <c r="M4079" s="50">
        <f>Tabela6[[#This Row],[KM ATUAL]]-E4024</f>
        <v>-343345</v>
      </c>
      <c r="N4079" s="51">
        <f>Tabela6[[#This Row],[KM Rodados ]]/Tabela6[[#This Row],[CONSUMO]]</f>
        <v>-13811.142397425583</v>
      </c>
    </row>
    <row r="4080" spans="1:14" x14ac:dyDescent="0.25">
      <c r="A4080" s="47">
        <v>824850</v>
      </c>
      <c r="B4080" s="78">
        <v>45343</v>
      </c>
      <c r="C4080" s="47" t="s">
        <v>19</v>
      </c>
      <c r="D4080" s="49" t="s">
        <v>414</v>
      </c>
      <c r="E4080" s="47">
        <v>357488</v>
      </c>
      <c r="G4080" s="50" t="s">
        <v>89</v>
      </c>
      <c r="H4080" s="51">
        <v>51.814</v>
      </c>
      <c r="J4080" s="51">
        <v>5.79</v>
      </c>
      <c r="K4080" s="74">
        <f>Tabela6[[#This Row],[CONSUMO]]*Tabela6[[#This Row],[VALOR UNIT]]-Tabela6[[#This Row],[DESCONTO]]</f>
        <v>300.00306</v>
      </c>
      <c r="L4080" s="53">
        <f>Tabela6[[#This Row],[CUSTO TOTAL]]/Tabela6[[#This Row],[CONSUMO]]</f>
        <v>5.79</v>
      </c>
      <c r="M4080" s="50">
        <f>Tabela6[[#This Row],[KM ATUAL]]-E4025</f>
        <v>-739932</v>
      </c>
      <c r="N4080" s="51">
        <f>Tabela6[[#This Row],[KM Rodados ]]/Tabela6[[#This Row],[CONSUMO]]</f>
        <v>-14280.541938472228</v>
      </c>
    </row>
    <row r="4081" spans="1:14" x14ac:dyDescent="0.25">
      <c r="A4081" s="47">
        <v>9993</v>
      </c>
      <c r="B4081" s="78">
        <v>45343</v>
      </c>
      <c r="C4081" s="47" t="s">
        <v>20</v>
      </c>
      <c r="D4081" s="49" t="s">
        <v>299</v>
      </c>
      <c r="E4081" s="47">
        <v>300366</v>
      </c>
      <c r="G4081" s="50" t="s">
        <v>89</v>
      </c>
      <c r="H4081" s="51">
        <v>48</v>
      </c>
      <c r="J4081" s="51">
        <v>5.2</v>
      </c>
      <c r="K4081" s="74">
        <f>Tabela6[[#This Row],[CONSUMO]]*Tabela6[[#This Row],[VALOR UNIT]]-Tabela6[[#This Row],[DESCONTO]]</f>
        <v>249.60000000000002</v>
      </c>
      <c r="L4081" s="53">
        <f>Tabela6[[#This Row],[CUSTO TOTAL]]/Tabela6[[#This Row],[CONSUMO]]</f>
        <v>5.2</v>
      </c>
      <c r="M4081" s="50">
        <f>Tabela6[[#This Row],[KM ATUAL]]-E4026</f>
        <v>-797394</v>
      </c>
      <c r="N4081" s="51">
        <f>Tabela6[[#This Row],[KM Rodados ]]/Tabela6[[#This Row],[CONSUMO]]</f>
        <v>-16612.375</v>
      </c>
    </row>
    <row r="4082" spans="1:14" x14ac:dyDescent="0.25">
      <c r="A4082" s="47">
        <v>244921</v>
      </c>
      <c r="B4082" s="78">
        <v>45343</v>
      </c>
      <c r="C4082" s="47" t="s">
        <v>40</v>
      </c>
      <c r="D4082" s="49" t="s">
        <v>262</v>
      </c>
      <c r="E4082" s="47">
        <v>187938</v>
      </c>
      <c r="G4082" s="50" t="s">
        <v>244</v>
      </c>
      <c r="H4082" s="51">
        <v>38.231000000000002</v>
      </c>
      <c r="J4082" s="51">
        <v>5.59</v>
      </c>
      <c r="K4082" s="74">
        <f>Tabela6[[#This Row],[CONSUMO]]*Tabela6[[#This Row],[VALOR UNIT]]-Tabela6[[#This Row],[DESCONTO]]</f>
        <v>213.71128999999999</v>
      </c>
      <c r="L4082" s="53">
        <f>Tabela6[[#This Row],[CUSTO TOTAL]]/Tabela6[[#This Row],[CONSUMO]]</f>
        <v>5.59</v>
      </c>
      <c r="M4082" s="50">
        <f>Tabela6[[#This Row],[KM ATUAL]]-E4027</f>
        <v>-129722</v>
      </c>
      <c r="N4082" s="51">
        <f>Tabela6[[#This Row],[KM Rodados ]]/Tabela6[[#This Row],[CONSUMO]]</f>
        <v>-3393.1103031571238</v>
      </c>
    </row>
    <row r="4083" spans="1:14" x14ac:dyDescent="0.25">
      <c r="A4083" s="47">
        <v>9993</v>
      </c>
      <c r="B4083" s="78">
        <v>45343</v>
      </c>
      <c r="C4083" s="47" t="s">
        <v>74</v>
      </c>
      <c r="D4083" s="49" t="s">
        <v>299</v>
      </c>
      <c r="E4083" s="47">
        <v>112348</v>
      </c>
      <c r="G4083" s="50" t="s">
        <v>89</v>
      </c>
      <c r="H4083" s="51">
        <v>59</v>
      </c>
      <c r="J4083" s="51">
        <v>5.2</v>
      </c>
      <c r="K4083" s="74">
        <f>Tabela6[[#This Row],[CONSUMO]]*Tabela6[[#This Row],[VALOR UNIT]]-Tabela6[[#This Row],[DESCONTO]]</f>
        <v>306.8</v>
      </c>
      <c r="L4083" s="53">
        <f>Tabela6[[#This Row],[CUSTO TOTAL]]/Tabela6[[#This Row],[CONSUMO]]</f>
        <v>5.2</v>
      </c>
      <c r="M4083" s="50">
        <f>Tabela6[[#This Row],[KM ATUAL]]-E4028</f>
        <v>-66251</v>
      </c>
      <c r="N4083" s="51">
        <f>Tabela6[[#This Row],[KM Rodados ]]/Tabela6[[#This Row],[CONSUMO]]</f>
        <v>-1122.8983050847457</v>
      </c>
    </row>
    <row r="4084" spans="1:14" x14ac:dyDescent="0.25">
      <c r="A4084" s="47">
        <v>9993</v>
      </c>
      <c r="B4084" s="78">
        <v>45343</v>
      </c>
      <c r="C4084" s="47" t="s">
        <v>401</v>
      </c>
      <c r="D4084" s="49" t="s">
        <v>299</v>
      </c>
      <c r="E4084" s="47">
        <v>11498</v>
      </c>
      <c r="G4084" s="50" t="s">
        <v>89</v>
      </c>
      <c r="H4084" s="51">
        <v>145</v>
      </c>
      <c r="J4084" s="51">
        <v>5.2</v>
      </c>
      <c r="K4084" s="74">
        <f>Tabela6[[#This Row],[CONSUMO]]*Tabela6[[#This Row],[VALOR UNIT]]-Tabela6[[#This Row],[DESCONTO]]</f>
        <v>754</v>
      </c>
      <c r="L4084" s="53">
        <f>Tabela6[[#This Row],[CUSTO TOTAL]]/Tabela6[[#This Row],[CONSUMO]]</f>
        <v>5.2</v>
      </c>
      <c r="M4084" s="50">
        <f>Tabela6[[#This Row],[KM ATUAL]]-E4029</f>
        <v>-167236</v>
      </c>
      <c r="N4084" s="51">
        <f>Tabela6[[#This Row],[KM Rodados ]]/Tabela6[[#This Row],[CONSUMO]]</f>
        <v>-1153.3517241379311</v>
      </c>
    </row>
    <row r="4085" spans="1:14" x14ac:dyDescent="0.25">
      <c r="A4085" s="47">
        <v>9993</v>
      </c>
      <c r="B4085" s="78">
        <v>45344</v>
      </c>
      <c r="C4085" s="47" t="s">
        <v>43</v>
      </c>
      <c r="D4085" s="49" t="s">
        <v>299</v>
      </c>
      <c r="E4085" s="47">
        <v>179335</v>
      </c>
      <c r="G4085" s="50" t="s">
        <v>89</v>
      </c>
      <c r="H4085" s="51">
        <v>14</v>
      </c>
      <c r="J4085" s="51">
        <v>5.2</v>
      </c>
      <c r="K4085" s="74">
        <f>Tabela6[[#This Row],[CONSUMO]]*Tabela6[[#This Row],[VALOR UNIT]]-Tabela6[[#This Row],[DESCONTO]]</f>
        <v>72.8</v>
      </c>
      <c r="L4085" s="53">
        <f>Tabela6[[#This Row],[CUSTO TOTAL]]/Tabela6[[#This Row],[CONSUMO]]</f>
        <v>5.2</v>
      </c>
      <c r="M4085" s="50">
        <f>Tabela6[[#This Row],[KM ATUAL]]-E4030</f>
        <v>-377559</v>
      </c>
      <c r="N4085" s="51">
        <f>Tabela6[[#This Row],[KM Rodados ]]/Tabela6[[#This Row],[CONSUMO]]</f>
        <v>-26968.5</v>
      </c>
    </row>
    <row r="4086" spans="1:14" x14ac:dyDescent="0.25">
      <c r="A4086" s="47">
        <v>9993</v>
      </c>
      <c r="B4086" s="78">
        <v>45344</v>
      </c>
      <c r="C4086" s="47" t="s">
        <v>394</v>
      </c>
      <c r="D4086" s="49" t="s">
        <v>299</v>
      </c>
      <c r="E4086" s="47">
        <v>887553</v>
      </c>
      <c r="G4086" s="50" t="s">
        <v>89</v>
      </c>
      <c r="H4086" s="51">
        <v>4</v>
      </c>
      <c r="J4086" s="51">
        <v>5.2</v>
      </c>
      <c r="K4086" s="74">
        <f>Tabela6[[#This Row],[CONSUMO]]*Tabela6[[#This Row],[VALOR UNIT]]-Tabela6[[#This Row],[DESCONTO]]</f>
        <v>20.8</v>
      </c>
      <c r="L4086" s="53">
        <f>Tabela6[[#This Row],[CUSTO TOTAL]]/Tabela6[[#This Row],[CONSUMO]]</f>
        <v>5.2</v>
      </c>
      <c r="M4086" s="50">
        <f>Tabela6[[#This Row],[KM ATUAL]]-E4031</f>
        <v>330659</v>
      </c>
      <c r="N4086" s="51">
        <f>Tabela6[[#This Row],[KM Rodados ]]/Tabela6[[#This Row],[CONSUMO]]</f>
        <v>82664.75</v>
      </c>
    </row>
    <row r="4087" spans="1:14" x14ac:dyDescent="0.25">
      <c r="A4087" s="109">
        <v>1235832</v>
      </c>
      <c r="B4087" s="78">
        <v>45344</v>
      </c>
      <c r="C4087" s="47" t="s">
        <v>67</v>
      </c>
      <c r="D4087" s="49" t="s">
        <v>273</v>
      </c>
      <c r="E4087" s="47">
        <v>701917</v>
      </c>
      <c r="G4087" s="50" t="s">
        <v>89</v>
      </c>
      <c r="H4087" s="51">
        <v>156.02000000000001</v>
      </c>
      <c r="J4087" s="51">
        <v>5.59</v>
      </c>
      <c r="K4087" s="74">
        <f>Tabela6[[#This Row],[CONSUMO]]*Tabela6[[#This Row],[VALOR UNIT]]-Tabela6[[#This Row],[DESCONTO]]</f>
        <v>872.15179999999998</v>
      </c>
      <c r="L4087" s="53">
        <f>Tabela6[[#This Row],[CUSTO TOTAL]]/Tabela6[[#This Row],[CONSUMO]]</f>
        <v>5.59</v>
      </c>
      <c r="M4087" s="50">
        <f>Tabela6[[#This Row],[KM ATUAL]]-E4032</f>
        <v>348781</v>
      </c>
      <c r="N4087" s="51">
        <f>Tabela6[[#This Row],[KM Rodados ]]/Tabela6[[#This Row],[CONSUMO]]</f>
        <v>2235.4890398666835</v>
      </c>
    </row>
    <row r="4088" spans="1:14" x14ac:dyDescent="0.25">
      <c r="A4088" s="47">
        <v>161891</v>
      </c>
      <c r="B4088" s="78">
        <v>45344</v>
      </c>
      <c r="C4088" s="47" t="s">
        <v>215</v>
      </c>
      <c r="D4088" s="49" t="s">
        <v>260</v>
      </c>
      <c r="E4088" s="47">
        <v>235555</v>
      </c>
      <c r="G4088" s="50" t="s">
        <v>244</v>
      </c>
      <c r="H4088" s="51">
        <v>37.97</v>
      </c>
      <c r="J4088" s="51">
        <v>5.69</v>
      </c>
      <c r="K4088" s="74">
        <f>Tabela6[[#This Row],[CONSUMO]]*Tabela6[[#This Row],[VALOR UNIT]]-Tabela6[[#This Row],[DESCONTO]]</f>
        <v>216.04930000000002</v>
      </c>
      <c r="L4088" s="53">
        <f>Tabela6[[#This Row],[CUSTO TOTAL]]/Tabela6[[#This Row],[CONSUMO]]</f>
        <v>5.69</v>
      </c>
      <c r="M4088" s="50">
        <f>Tabela6[[#This Row],[KM ATUAL]]-E4033</f>
        <v>-28935</v>
      </c>
      <c r="N4088" s="51">
        <f>Tabela6[[#This Row],[KM Rodados ]]/Tabela6[[#This Row],[CONSUMO]]</f>
        <v>-762.04898604161178</v>
      </c>
    </row>
    <row r="4089" spans="1:14" x14ac:dyDescent="0.25">
      <c r="A4089" s="47">
        <v>9993</v>
      </c>
      <c r="B4089" s="78">
        <v>45344</v>
      </c>
      <c r="C4089" s="47" t="s">
        <v>22</v>
      </c>
      <c r="D4089" s="49" t="s">
        <v>299</v>
      </c>
      <c r="E4089" s="47">
        <v>354125</v>
      </c>
      <c r="G4089" s="50" t="s">
        <v>89</v>
      </c>
      <c r="H4089" s="51">
        <v>107</v>
      </c>
      <c r="J4089" s="51">
        <v>5.2</v>
      </c>
      <c r="K4089" s="74">
        <f>Tabela6[[#This Row],[CONSUMO]]*Tabela6[[#This Row],[VALOR UNIT]]-Tabela6[[#This Row],[DESCONTO]]</f>
        <v>556.4</v>
      </c>
      <c r="L4089" s="53">
        <f>Tabela6[[#This Row],[CUSTO TOTAL]]/Tabela6[[#This Row],[CONSUMO]]</f>
        <v>5.2</v>
      </c>
      <c r="M4089" s="50">
        <f>Tabela6[[#This Row],[KM ATUAL]]-E4034</f>
        <v>210178</v>
      </c>
      <c r="N4089" s="51">
        <f>Tabela6[[#This Row],[KM Rodados ]]/Tabela6[[#This Row],[CONSUMO]]</f>
        <v>1964.2803738317757</v>
      </c>
    </row>
    <row r="4090" spans="1:14" x14ac:dyDescent="0.25">
      <c r="A4090" s="47">
        <v>9993</v>
      </c>
      <c r="B4090" s="78">
        <v>45344</v>
      </c>
      <c r="C4090" s="47" t="s">
        <v>70</v>
      </c>
      <c r="D4090" s="49" t="s">
        <v>299</v>
      </c>
      <c r="E4090" s="47">
        <v>265968</v>
      </c>
      <c r="G4090" s="50" t="s">
        <v>89</v>
      </c>
      <c r="H4090" s="51">
        <v>635</v>
      </c>
      <c r="J4090" s="51">
        <v>5.2</v>
      </c>
      <c r="K4090" s="74">
        <f>Tabela6[[#This Row],[CONSUMO]]*Tabela6[[#This Row],[VALOR UNIT]]-Tabela6[[#This Row],[DESCONTO]]</f>
        <v>3302</v>
      </c>
      <c r="L4090" s="53">
        <f>Tabela6[[#This Row],[CUSTO TOTAL]]/Tabela6[[#This Row],[CONSUMO]]</f>
        <v>5.2</v>
      </c>
      <c r="M4090" s="50">
        <f>Tabela6[[#This Row],[KM ATUAL]]-E4035</f>
        <v>85880</v>
      </c>
      <c r="N4090" s="51">
        <f>Tabela6[[#This Row],[KM Rodados ]]/Tabela6[[#This Row],[CONSUMO]]</f>
        <v>135.24409448818898</v>
      </c>
    </row>
    <row r="4091" spans="1:14" x14ac:dyDescent="0.25">
      <c r="A4091" s="47">
        <v>245262</v>
      </c>
      <c r="B4091" s="78">
        <v>45344</v>
      </c>
      <c r="C4091" s="47" t="s">
        <v>70</v>
      </c>
      <c r="D4091" s="49" t="s">
        <v>262</v>
      </c>
      <c r="E4091" s="47">
        <v>265971</v>
      </c>
      <c r="G4091" s="50" t="s">
        <v>241</v>
      </c>
      <c r="H4091" s="51">
        <v>73.028000000000006</v>
      </c>
      <c r="I4091" s="49">
        <v>26.29</v>
      </c>
      <c r="J4091" s="51">
        <v>3.69</v>
      </c>
      <c r="K4091" s="74">
        <f>Tabela6[[#This Row],[CONSUMO]]*Tabela6[[#This Row],[VALOR UNIT]]-Tabela6[[#This Row],[DESCONTO]]</f>
        <v>243.18332000000001</v>
      </c>
      <c r="L4091" s="53">
        <f>Tabela6[[#This Row],[CUSTO TOTAL]]/Tabela6[[#This Row],[CONSUMO]]</f>
        <v>3.3300010954702306</v>
      </c>
      <c r="M4091" s="50">
        <f>Tabela6[[#This Row],[KM ATUAL]]-E4036</f>
        <v>-433070</v>
      </c>
      <c r="N4091" s="51">
        <f>Tabela6[[#This Row],[KM Rodados ]]/Tabela6[[#This Row],[CONSUMO]]</f>
        <v>-5930.1911595552383</v>
      </c>
    </row>
    <row r="4092" spans="1:14" x14ac:dyDescent="0.25">
      <c r="A4092" s="47">
        <v>199316</v>
      </c>
      <c r="B4092" s="78">
        <v>45344</v>
      </c>
      <c r="C4092" s="47" t="s">
        <v>72</v>
      </c>
      <c r="D4092" s="49" t="s">
        <v>263</v>
      </c>
      <c r="E4092" s="47">
        <v>443203</v>
      </c>
      <c r="G4092" s="50" t="s">
        <v>89</v>
      </c>
      <c r="H4092" s="51">
        <v>42.45</v>
      </c>
      <c r="J4092" s="51">
        <v>5.89</v>
      </c>
      <c r="K4092" s="74">
        <f>Tabela6[[#This Row],[CONSUMO]]*Tabela6[[#This Row],[VALOR UNIT]]-Tabela6[[#This Row],[DESCONTO]]</f>
        <v>250.03049999999999</v>
      </c>
      <c r="L4092" s="53">
        <f>Tabela6[[#This Row],[CUSTO TOTAL]]/Tabela6[[#This Row],[CONSUMO]]</f>
        <v>5.89</v>
      </c>
      <c r="M4092" s="50">
        <f>Tabela6[[#This Row],[KM ATUAL]]-E4037</f>
        <v>29755</v>
      </c>
      <c r="N4092" s="51">
        <f>Tabela6[[#This Row],[KM Rodados ]]/Tabela6[[#This Row],[CONSUMO]]</f>
        <v>700.94228504122498</v>
      </c>
    </row>
    <row r="4093" spans="1:14" x14ac:dyDescent="0.25">
      <c r="A4093" s="47">
        <v>9993</v>
      </c>
      <c r="B4093" s="78">
        <v>45344</v>
      </c>
      <c r="C4093" s="47" t="s">
        <v>10</v>
      </c>
      <c r="D4093" s="49" t="s">
        <v>299</v>
      </c>
      <c r="E4093" s="47">
        <v>745399</v>
      </c>
      <c r="G4093" s="50" t="s">
        <v>89</v>
      </c>
      <c r="H4093" s="51">
        <v>100</v>
      </c>
      <c r="J4093" s="51">
        <v>5.2</v>
      </c>
      <c r="K4093" s="74">
        <f>Tabela6[[#This Row],[CONSUMO]]*Tabela6[[#This Row],[VALOR UNIT]]-Tabela6[[#This Row],[DESCONTO]]</f>
        <v>520</v>
      </c>
      <c r="L4093" s="53">
        <f>Tabela6[[#This Row],[CUSTO TOTAL]]/Tabela6[[#This Row],[CONSUMO]]</f>
        <v>5.2</v>
      </c>
      <c r="M4093" s="50">
        <f>Tabela6[[#This Row],[KM ATUAL]]-E4038</f>
        <v>348741</v>
      </c>
      <c r="N4093" s="51">
        <f>Tabela6[[#This Row],[KM Rodados ]]/Tabela6[[#This Row],[CONSUMO]]</f>
        <v>3487.41</v>
      </c>
    </row>
    <row r="4094" spans="1:14" x14ac:dyDescent="0.25">
      <c r="A4094" s="47">
        <v>9993</v>
      </c>
      <c r="B4094" s="78">
        <v>45344</v>
      </c>
      <c r="C4094" s="47" t="s">
        <v>206</v>
      </c>
      <c r="D4094" s="49" t="s">
        <v>299</v>
      </c>
      <c r="E4094" s="47">
        <v>995942</v>
      </c>
      <c r="G4094" s="50" t="s">
        <v>89</v>
      </c>
      <c r="H4094" s="51">
        <v>231</v>
      </c>
      <c r="J4094" s="51">
        <v>5.2</v>
      </c>
      <c r="K4094" s="74">
        <f>Tabela6[[#This Row],[CONSUMO]]*Tabela6[[#This Row],[VALOR UNIT]]-Tabela6[[#This Row],[DESCONTO]]</f>
        <v>1201.2</v>
      </c>
      <c r="L4094" s="53">
        <f>Tabela6[[#This Row],[CUSTO TOTAL]]/Tabela6[[#This Row],[CONSUMO]]</f>
        <v>5.2</v>
      </c>
      <c r="M4094" s="50">
        <f>Tabela6[[#This Row],[KM ATUAL]]-E4039</f>
        <v>599288</v>
      </c>
      <c r="N4094" s="51">
        <f>Tabela6[[#This Row],[KM Rodados ]]/Tabela6[[#This Row],[CONSUMO]]</f>
        <v>2594.3203463203463</v>
      </c>
    </row>
    <row r="4095" spans="1:14" x14ac:dyDescent="0.25">
      <c r="A4095" s="47">
        <v>245153</v>
      </c>
      <c r="B4095" s="78">
        <v>45344</v>
      </c>
      <c r="C4095" s="47" t="s">
        <v>206</v>
      </c>
      <c r="D4095" s="49" t="s">
        <v>262</v>
      </c>
      <c r="E4095" s="47">
        <v>995950</v>
      </c>
      <c r="G4095" s="50" t="s">
        <v>241</v>
      </c>
      <c r="H4095" s="51">
        <v>32.822000000000003</v>
      </c>
      <c r="I4095" s="49">
        <v>11.81</v>
      </c>
      <c r="J4095" s="51">
        <v>3.69</v>
      </c>
      <c r="K4095" s="74">
        <f>Tabela6[[#This Row],[CONSUMO]]*Tabela6[[#This Row],[VALOR UNIT]]-Tabela6[[#This Row],[DESCONTO]]</f>
        <v>109.30318000000001</v>
      </c>
      <c r="L4095" s="53">
        <f>Tabela6[[#This Row],[CUSTO TOTAL]]/Tabela6[[#This Row],[CONSUMO]]</f>
        <v>3.3301803668271281</v>
      </c>
      <c r="M4095" s="50">
        <f>Tabela6[[#This Row],[KM ATUAL]]-E4040</f>
        <v>648334</v>
      </c>
      <c r="N4095" s="51">
        <f>Tabela6[[#This Row],[KM Rodados ]]/Tabela6[[#This Row],[CONSUMO]]</f>
        <v>19753.031503260008</v>
      </c>
    </row>
    <row r="4096" spans="1:14" x14ac:dyDescent="0.25">
      <c r="A4096" s="47">
        <v>245229</v>
      </c>
      <c r="B4096" s="78">
        <v>45344</v>
      </c>
      <c r="C4096" s="47" t="s">
        <v>14</v>
      </c>
      <c r="D4096" s="49" t="s">
        <v>260</v>
      </c>
      <c r="E4096" s="47">
        <v>318834</v>
      </c>
      <c r="G4096" s="50" t="s">
        <v>244</v>
      </c>
      <c r="H4096" s="51">
        <v>17.768999999999998</v>
      </c>
      <c r="J4096" s="51">
        <v>5.59</v>
      </c>
      <c r="K4096" s="74">
        <f>Tabela6[[#This Row],[CONSUMO]]*Tabela6[[#This Row],[VALOR UNIT]]-Tabela6[[#This Row],[DESCONTO]]</f>
        <v>99.328709999999987</v>
      </c>
      <c r="L4096" s="53">
        <f>Tabela6[[#This Row],[CUSTO TOTAL]]/Tabela6[[#This Row],[CONSUMO]]</f>
        <v>5.59</v>
      </c>
      <c r="M4096" s="50">
        <f>Tabela6[[#This Row],[KM ATUAL]]-E4041</f>
        <v>-37573</v>
      </c>
      <c r="N4096" s="51">
        <f>Tabela6[[#This Row],[KM Rodados ]]/Tabela6[[#This Row],[CONSUMO]]</f>
        <v>-2114.5252968653276</v>
      </c>
    </row>
    <row r="4097" spans="1:14" x14ac:dyDescent="0.25">
      <c r="A4097" s="47">
        <v>9993</v>
      </c>
      <c r="B4097" s="78">
        <v>45344</v>
      </c>
      <c r="C4097" s="47" t="s">
        <v>15</v>
      </c>
      <c r="D4097" s="49" t="s">
        <v>299</v>
      </c>
      <c r="E4097" s="47">
        <v>414636</v>
      </c>
      <c r="G4097" s="50" t="s">
        <v>89</v>
      </c>
      <c r="H4097" s="51">
        <v>74</v>
      </c>
      <c r="J4097" s="51">
        <v>5.2</v>
      </c>
      <c r="K4097" s="74">
        <f>Tabela6[[#This Row],[CONSUMO]]*Tabela6[[#This Row],[VALOR UNIT]]-Tabela6[[#This Row],[DESCONTO]]</f>
        <v>384.8</v>
      </c>
      <c r="L4097" s="53">
        <f>Tabela6[[#This Row],[CUSTO TOTAL]]/Tabela6[[#This Row],[CONSUMO]]</f>
        <v>5.2</v>
      </c>
      <c r="M4097" s="50">
        <f>Tabela6[[#This Row],[KM ATUAL]]-E4042</f>
        <v>114746</v>
      </c>
      <c r="N4097" s="51">
        <f>Tabela6[[#This Row],[KM Rodados ]]/Tabela6[[#This Row],[CONSUMO]]</f>
        <v>1550.6216216216217</v>
      </c>
    </row>
    <row r="4098" spans="1:14" x14ac:dyDescent="0.25">
      <c r="A4098" s="47">
        <v>606831</v>
      </c>
      <c r="B4098" s="54">
        <v>45344</v>
      </c>
      <c r="C4098" s="47" t="s">
        <v>18</v>
      </c>
      <c r="D4098" s="49" t="s">
        <v>255</v>
      </c>
      <c r="E4098" s="47">
        <v>348270</v>
      </c>
      <c r="G4098" s="50" t="s">
        <v>89</v>
      </c>
      <c r="H4098" s="51">
        <v>81.87</v>
      </c>
      <c r="J4098" s="51">
        <v>5.89</v>
      </c>
      <c r="K4098" s="74">
        <f>Tabela6[[#This Row],[CONSUMO]]*Tabela6[[#This Row],[VALOR UNIT]]-Tabela6[[#This Row],[DESCONTO]]</f>
        <v>482.21429999999998</v>
      </c>
      <c r="L4098" s="53">
        <f>Tabela6[[#This Row],[CUSTO TOTAL]]/Tabela6[[#This Row],[CONSUMO]]</f>
        <v>5.89</v>
      </c>
      <c r="M4098" s="50">
        <f>Tabela6[[#This Row],[KM ATUAL]]-E4043</f>
        <v>161245</v>
      </c>
      <c r="N4098" s="51">
        <f>Tabela6[[#This Row],[KM Rodados ]]/Tabela6[[#This Row],[CONSUMO]]</f>
        <v>1969.5248564797848</v>
      </c>
    </row>
    <row r="4099" spans="1:14" x14ac:dyDescent="0.25">
      <c r="A4099" s="47">
        <v>9993</v>
      </c>
      <c r="B4099" s="78">
        <v>45344</v>
      </c>
      <c r="C4099" s="47" t="s">
        <v>19</v>
      </c>
      <c r="D4099" s="49" t="s">
        <v>299</v>
      </c>
      <c r="E4099" s="47">
        <v>357870</v>
      </c>
      <c r="G4099" s="50" t="s">
        <v>89</v>
      </c>
      <c r="H4099" s="51">
        <v>227</v>
      </c>
      <c r="J4099" s="51">
        <v>5.2</v>
      </c>
      <c r="K4099" s="74">
        <f>Tabela6[[#This Row],[CONSUMO]]*Tabela6[[#This Row],[VALOR UNIT]]-Tabela6[[#This Row],[DESCONTO]]</f>
        <v>1180.4000000000001</v>
      </c>
      <c r="L4099" s="53">
        <f>Tabela6[[#This Row],[CUSTO TOTAL]]/Tabela6[[#This Row],[CONSUMO]]</f>
        <v>5.2</v>
      </c>
      <c r="M4099" s="50">
        <f>Tabela6[[#This Row],[KM ATUAL]]-E4044</f>
        <v>246073</v>
      </c>
      <c r="N4099" s="51">
        <f>Tabela6[[#This Row],[KM Rodados ]]/Tabela6[[#This Row],[CONSUMO]]</f>
        <v>1084.0220264317181</v>
      </c>
    </row>
    <row r="4100" spans="1:14" x14ac:dyDescent="0.25">
      <c r="A4100" s="47">
        <v>9993</v>
      </c>
      <c r="B4100" s="78">
        <v>45344</v>
      </c>
      <c r="C4100" s="47" t="s">
        <v>20</v>
      </c>
      <c r="D4100" s="49" t="s">
        <v>299</v>
      </c>
      <c r="E4100" s="47">
        <v>300</v>
      </c>
      <c r="G4100" s="50" t="s">
        <v>89</v>
      </c>
      <c r="H4100" s="51">
        <v>44</v>
      </c>
      <c r="J4100" s="51">
        <v>5.2</v>
      </c>
      <c r="K4100" s="74">
        <f>Tabela6[[#This Row],[CONSUMO]]*Tabela6[[#This Row],[VALOR UNIT]]-Tabela6[[#This Row],[DESCONTO]]</f>
        <v>228.8</v>
      </c>
      <c r="L4100" s="53">
        <f>Tabela6[[#This Row],[CUSTO TOTAL]]/Tabela6[[#This Row],[CONSUMO]]</f>
        <v>5.2</v>
      </c>
      <c r="M4100" s="50">
        <f>Tabela6[[#This Row],[KM ATUAL]]-E4045</f>
        <v>-18542</v>
      </c>
      <c r="N4100" s="51">
        <f>Tabela6[[#This Row],[KM Rodados ]]/Tabela6[[#This Row],[CONSUMO]]</f>
        <v>-421.40909090909093</v>
      </c>
    </row>
    <row r="4101" spans="1:14" x14ac:dyDescent="0.25">
      <c r="A4101" s="47">
        <v>245135</v>
      </c>
      <c r="B4101" s="78">
        <v>45344</v>
      </c>
      <c r="C4101" s="47" t="s">
        <v>40</v>
      </c>
      <c r="D4101" s="49" t="s">
        <v>262</v>
      </c>
      <c r="E4101" s="47">
        <v>188359</v>
      </c>
      <c r="G4101" s="50" t="s">
        <v>244</v>
      </c>
      <c r="H4101" s="51">
        <v>29.58</v>
      </c>
      <c r="J4101" s="51">
        <v>5.59</v>
      </c>
      <c r="K4101" s="74">
        <f>Tabela6[[#This Row],[CONSUMO]]*Tabela6[[#This Row],[VALOR UNIT]]-Tabela6[[#This Row],[DESCONTO]]</f>
        <v>165.35219999999998</v>
      </c>
      <c r="L4101" s="53">
        <f>Tabela6[[#This Row],[CUSTO TOTAL]]/Tabela6[[#This Row],[CONSUMO]]</f>
        <v>5.59</v>
      </c>
      <c r="M4101" s="50">
        <f>Tabela6[[#This Row],[KM ATUAL]]-E4046</f>
        <v>162405</v>
      </c>
      <c r="N4101" s="51">
        <f>Tabela6[[#This Row],[KM Rodados ]]/Tabela6[[#This Row],[CONSUMO]]</f>
        <v>5490.3651115618668</v>
      </c>
    </row>
    <row r="4102" spans="1:14" x14ac:dyDescent="0.25">
      <c r="A4102" s="47">
        <v>245155</v>
      </c>
      <c r="B4102" s="78">
        <v>45344</v>
      </c>
      <c r="C4102" s="47" t="s">
        <v>315</v>
      </c>
      <c r="D4102" s="49" t="s">
        <v>262</v>
      </c>
      <c r="E4102" s="47">
        <v>19400</v>
      </c>
      <c r="G4102" s="50" t="s">
        <v>89</v>
      </c>
      <c r="H4102" s="51">
        <v>33.389000000000003</v>
      </c>
      <c r="J4102" s="51">
        <v>5.99</v>
      </c>
      <c r="K4102" s="74">
        <f>Tabela6[[#This Row],[CONSUMO]]*Tabela6[[#This Row],[VALOR UNIT]]-Tabela6[[#This Row],[DESCONTO]]</f>
        <v>200.00011000000003</v>
      </c>
      <c r="L4102" s="53">
        <f>Tabela6[[#This Row],[CUSTO TOTAL]]/Tabela6[[#This Row],[CONSUMO]]</f>
        <v>5.99</v>
      </c>
      <c r="M4102" s="50">
        <f>Tabela6[[#This Row],[KM ATUAL]]-E4047</f>
        <v>-6554</v>
      </c>
      <c r="N4102" s="51">
        <f>Tabela6[[#This Row],[KM Rodados ]]/Tabela6[[#This Row],[CONSUMO]]</f>
        <v>-196.29219203929435</v>
      </c>
    </row>
    <row r="4103" spans="1:14" x14ac:dyDescent="0.25">
      <c r="A4103" s="47">
        <v>9993</v>
      </c>
      <c r="B4103" s="78">
        <v>45344</v>
      </c>
      <c r="C4103" s="47" t="s">
        <v>401</v>
      </c>
      <c r="D4103" s="49" t="s">
        <v>299</v>
      </c>
      <c r="E4103" s="47">
        <v>12110</v>
      </c>
      <c r="G4103" s="50" t="s">
        <v>89</v>
      </c>
      <c r="H4103" s="51">
        <v>142</v>
      </c>
      <c r="J4103" s="51">
        <v>5.2</v>
      </c>
      <c r="K4103" s="74">
        <f>Tabela6[[#This Row],[CONSUMO]]*Tabela6[[#This Row],[VALOR UNIT]]-Tabela6[[#This Row],[DESCONTO]]</f>
        <v>738.4</v>
      </c>
      <c r="L4103" s="53">
        <f>Tabela6[[#This Row],[CUSTO TOTAL]]/Tabela6[[#This Row],[CONSUMO]]</f>
        <v>5.2</v>
      </c>
      <c r="M4103" s="50">
        <f>Tabela6[[#This Row],[KM ATUAL]]-E4048</f>
        <v>1726</v>
      </c>
      <c r="N4103" s="51">
        <f>Tabela6[[#This Row],[KM Rodados ]]/Tabela6[[#This Row],[CONSUMO]]</f>
        <v>12.154929577464788</v>
      </c>
    </row>
    <row r="4104" spans="1:14" x14ac:dyDescent="0.25">
      <c r="A4104" s="47">
        <v>245386</v>
      </c>
      <c r="B4104" s="78">
        <v>45345</v>
      </c>
      <c r="C4104" s="47" t="s">
        <v>43</v>
      </c>
      <c r="D4104" s="49" t="s">
        <v>262</v>
      </c>
      <c r="E4104" s="47">
        <v>179453</v>
      </c>
      <c r="G4104" s="50" t="s">
        <v>89</v>
      </c>
      <c r="H4104" s="51">
        <v>16.579000000000001</v>
      </c>
      <c r="J4104" s="51">
        <v>5.99</v>
      </c>
      <c r="K4104" s="74">
        <f>Tabela6[[#This Row],[CONSUMO]]*Tabela6[[#This Row],[VALOR UNIT]]-Tabela6[[#This Row],[DESCONTO]]</f>
        <v>99.308210000000003</v>
      </c>
      <c r="L4104" s="53">
        <f>Tabela6[[#This Row],[CUSTO TOTAL]]/Tabela6[[#This Row],[CONSUMO]]</f>
        <v>5.99</v>
      </c>
      <c r="M4104" s="50">
        <f>Tabela6[[#This Row],[KM ATUAL]]-E4049</f>
        <v>169061</v>
      </c>
      <c r="N4104" s="51">
        <f>Tabela6[[#This Row],[KM Rodados ]]/Tabela6[[#This Row],[CONSUMO]]</f>
        <v>10197.297786356234</v>
      </c>
    </row>
    <row r="4105" spans="1:14" x14ac:dyDescent="0.25">
      <c r="A4105" s="47">
        <v>1374207</v>
      </c>
      <c r="B4105" s="78">
        <v>45345</v>
      </c>
      <c r="C4105" s="47" t="s">
        <v>203</v>
      </c>
      <c r="D4105" s="49" t="s">
        <v>415</v>
      </c>
      <c r="E4105" s="47">
        <v>144860</v>
      </c>
      <c r="G4105" s="50" t="s">
        <v>244</v>
      </c>
      <c r="H4105" s="51">
        <v>30.471</v>
      </c>
      <c r="J4105" s="51">
        <v>5.89</v>
      </c>
      <c r="K4105" s="74">
        <f>Tabela6[[#This Row],[CONSUMO]]*Tabela6[[#This Row],[VALOR UNIT]]-Tabela6[[#This Row],[DESCONTO]]</f>
        <v>179.47418999999999</v>
      </c>
      <c r="L4105" s="53">
        <f>Tabela6[[#This Row],[CUSTO TOTAL]]/Tabela6[[#This Row],[CONSUMO]]</f>
        <v>5.89</v>
      </c>
      <c r="M4105" s="50">
        <f>Tabela6[[#This Row],[KM ATUAL]]-E4050</f>
        <v>-503247</v>
      </c>
      <c r="N4105" s="51">
        <f>Tabela6[[#This Row],[KM Rodados ]]/Tabela6[[#This Row],[CONSUMO]]</f>
        <v>-16515.605001476815</v>
      </c>
    </row>
    <row r="4106" spans="1:14" x14ac:dyDescent="0.25">
      <c r="A4106" s="47">
        <v>254812</v>
      </c>
      <c r="B4106" s="78">
        <v>45345</v>
      </c>
      <c r="C4106" s="47" t="s">
        <v>203</v>
      </c>
      <c r="D4106" s="49" t="s">
        <v>416</v>
      </c>
      <c r="E4106" s="47">
        <v>144431</v>
      </c>
      <c r="G4106" s="50" t="s">
        <v>244</v>
      </c>
      <c r="H4106" s="51">
        <v>39.790999999999997</v>
      </c>
      <c r="J4106" s="51">
        <v>5.69</v>
      </c>
      <c r="K4106" s="74">
        <f>Tabela6[[#This Row],[CONSUMO]]*Tabela6[[#This Row],[VALOR UNIT]]-Tabela6[[#This Row],[DESCONTO]]</f>
        <v>226.41078999999999</v>
      </c>
      <c r="L4106" s="53">
        <f>Tabela6[[#This Row],[CUSTO TOTAL]]/Tabela6[[#This Row],[CONSUMO]]</f>
        <v>5.69</v>
      </c>
      <c r="M4106" s="50">
        <f>Tabela6[[#This Row],[KM ATUAL]]-E4051</f>
        <v>-556902</v>
      </c>
      <c r="N4106" s="51">
        <f>Tabela6[[#This Row],[KM Rodados ]]/Tabela6[[#This Row],[CONSUMO]]</f>
        <v>-13995.677414490716</v>
      </c>
    </row>
    <row r="4107" spans="1:14" x14ac:dyDescent="0.25">
      <c r="A4107" s="47">
        <v>37571</v>
      </c>
      <c r="B4107" s="78">
        <v>45345</v>
      </c>
      <c r="C4107" s="47" t="s">
        <v>71</v>
      </c>
      <c r="D4107" s="49" t="s">
        <v>332</v>
      </c>
      <c r="E4107" s="47">
        <v>155558</v>
      </c>
      <c r="G4107" s="50" t="s">
        <v>89</v>
      </c>
      <c r="H4107" s="51">
        <v>460.1</v>
      </c>
      <c r="J4107" s="51">
        <v>5.79</v>
      </c>
      <c r="K4107" s="74">
        <f>Tabela6[[#This Row],[CONSUMO]]*Tabela6[[#This Row],[VALOR UNIT]]-Tabela6[[#This Row],[DESCONTO]]</f>
        <v>2663.9790000000003</v>
      </c>
      <c r="L4107" s="53">
        <f>Tabela6[[#This Row],[CUSTO TOTAL]]/Tabela6[[#This Row],[CONSUMO]]</f>
        <v>5.79</v>
      </c>
      <c r="M4107" s="50">
        <f>Tabela6[[#This Row],[KM ATUAL]]-E4052</f>
        <v>-198113</v>
      </c>
      <c r="N4107" s="51">
        <f>Tabela6[[#This Row],[KM Rodados ]]/Tabela6[[#This Row],[CONSUMO]]</f>
        <v>-430.58682895022821</v>
      </c>
    </row>
    <row r="4108" spans="1:14" x14ac:dyDescent="0.25">
      <c r="A4108" s="47">
        <v>245387</v>
      </c>
      <c r="B4108" s="78">
        <v>45345</v>
      </c>
      <c r="C4108" s="47" t="s">
        <v>14</v>
      </c>
      <c r="D4108" s="49" t="s">
        <v>262</v>
      </c>
      <c r="E4108" s="47">
        <v>319153</v>
      </c>
      <c r="G4108" s="50" t="s">
        <v>244</v>
      </c>
      <c r="H4108" s="51">
        <v>18.98</v>
      </c>
      <c r="J4108" s="51">
        <v>5.59</v>
      </c>
      <c r="K4108" s="74">
        <f>Tabela6[[#This Row],[CONSUMO]]*Tabela6[[#This Row],[VALOR UNIT]]-Tabela6[[#This Row],[DESCONTO]]</f>
        <v>106.09820000000001</v>
      </c>
      <c r="L4108" s="53">
        <f>Tabela6[[#This Row],[CUSTO TOTAL]]/Tabela6[[#This Row],[CONSUMO]]</f>
        <v>5.59</v>
      </c>
      <c r="M4108" s="50">
        <f>Tabela6[[#This Row],[KM ATUAL]]-E4053</f>
        <v>200232</v>
      </c>
      <c r="N4108" s="51">
        <f>Tabela6[[#This Row],[KM Rodados ]]/Tabela6[[#This Row],[CONSUMO]]</f>
        <v>10549.631190727081</v>
      </c>
    </row>
    <row r="4109" spans="1:14" x14ac:dyDescent="0.25">
      <c r="A4109" s="47">
        <v>377690</v>
      </c>
      <c r="B4109" s="78">
        <v>45345</v>
      </c>
      <c r="C4109" s="47" t="s">
        <v>14</v>
      </c>
      <c r="D4109" s="49" t="s">
        <v>276</v>
      </c>
      <c r="E4109" s="47">
        <v>319108</v>
      </c>
      <c r="G4109" s="50" t="s">
        <v>244</v>
      </c>
      <c r="H4109" s="51">
        <v>26.54</v>
      </c>
      <c r="J4109" s="51">
        <v>5.69</v>
      </c>
      <c r="K4109" s="74">
        <f>Tabela6[[#This Row],[CONSUMO]]*Tabela6[[#This Row],[VALOR UNIT]]-Tabela6[[#This Row],[DESCONTO]]</f>
        <v>151.01259999999999</v>
      </c>
      <c r="L4109" s="53">
        <f>Tabela6[[#This Row],[CUSTO TOTAL]]/Tabela6[[#This Row],[CONSUMO]]</f>
        <v>5.6899999999999995</v>
      </c>
      <c r="M4109" s="50">
        <f>Tabela6[[#This Row],[KM ATUAL]]-E4054</f>
        <v>165243</v>
      </c>
      <c r="N4109" s="51">
        <f>Tabela6[[#This Row],[KM Rodados ]]/Tabela6[[#This Row],[CONSUMO]]</f>
        <v>6226.1868877166544</v>
      </c>
    </row>
    <row r="4110" spans="1:14" x14ac:dyDescent="0.25">
      <c r="A4110" s="47">
        <v>607132</v>
      </c>
      <c r="B4110" s="78">
        <v>45345</v>
      </c>
      <c r="C4110" s="47" t="s">
        <v>38</v>
      </c>
      <c r="D4110" s="49" t="s">
        <v>255</v>
      </c>
      <c r="E4110" s="47">
        <v>144311</v>
      </c>
      <c r="G4110" s="50" t="s">
        <v>244</v>
      </c>
      <c r="H4110" s="51">
        <v>48.87</v>
      </c>
      <c r="J4110" s="51">
        <v>5.59</v>
      </c>
      <c r="K4110" s="74">
        <f>Tabela6[[#This Row],[CONSUMO]]*Tabela6[[#This Row],[VALOR UNIT]]-Tabela6[[#This Row],[DESCONTO]]</f>
        <v>273.18329999999997</v>
      </c>
      <c r="L4110" s="53">
        <f>Tabela6[[#This Row],[CUSTO TOTAL]]/Tabela6[[#This Row],[CONSUMO]]</f>
        <v>5.59</v>
      </c>
      <c r="M4110" s="50">
        <f>Tabela6[[#This Row],[KM ATUAL]]-E4055</f>
        <v>144311</v>
      </c>
      <c r="N4110" s="51">
        <f>Tabela6[[#This Row],[KM Rodados ]]/Tabela6[[#This Row],[CONSUMO]]</f>
        <v>2952.9568242275427</v>
      </c>
    </row>
    <row r="4111" spans="1:14" x14ac:dyDescent="0.25">
      <c r="A4111" s="47">
        <v>245516</v>
      </c>
      <c r="B4111" s="78">
        <v>45345</v>
      </c>
      <c r="C4111" s="47" t="s">
        <v>354</v>
      </c>
      <c r="D4111" s="49" t="s">
        <v>262</v>
      </c>
      <c r="E4111" s="47">
        <v>27665</v>
      </c>
      <c r="G4111" s="50" t="s">
        <v>241</v>
      </c>
      <c r="H4111" s="51">
        <v>29.895</v>
      </c>
      <c r="I4111" s="49">
        <v>10.76</v>
      </c>
      <c r="J4111" s="51">
        <v>3.69</v>
      </c>
      <c r="K4111" s="74">
        <f>Tabela6[[#This Row],[CONSUMO]]*Tabela6[[#This Row],[VALOR UNIT]]-Tabela6[[#This Row],[DESCONTO]]</f>
        <v>99.552549999999997</v>
      </c>
      <c r="L4111" s="53">
        <f>Tabela6[[#This Row],[CUSTO TOTAL]]/Tabela6[[#This Row],[CONSUMO]]</f>
        <v>3.3300735909014887</v>
      </c>
      <c r="M4111" s="50">
        <f>Tabela6[[#This Row],[KM ATUAL]]-E4056</f>
        <v>-9663971</v>
      </c>
      <c r="N4111" s="51">
        <f>Tabela6[[#This Row],[KM Rodados ]]/Tabela6[[#This Row],[CONSUMO]]</f>
        <v>-323263.78993142664</v>
      </c>
    </row>
    <row r="4112" spans="1:14" x14ac:dyDescent="0.25">
      <c r="A4112" s="47">
        <v>244267</v>
      </c>
      <c r="B4112" s="78">
        <v>45346</v>
      </c>
      <c r="C4112" s="47" t="s">
        <v>71</v>
      </c>
      <c r="D4112" s="49" t="s">
        <v>374</v>
      </c>
      <c r="E4112" s="47">
        <v>156641</v>
      </c>
      <c r="G4112" s="50" t="s">
        <v>241</v>
      </c>
      <c r="H4112" s="51">
        <v>35.1</v>
      </c>
      <c r="J4112" s="51">
        <v>2.99</v>
      </c>
      <c r="K4112" s="74">
        <f>Tabela6[[#This Row],[CONSUMO]]*Tabela6[[#This Row],[VALOR UNIT]]-Tabela6[[#This Row],[DESCONTO]]</f>
        <v>104.94900000000001</v>
      </c>
      <c r="L4112" s="53">
        <f>Tabela6[[#This Row],[CUSTO TOTAL]]/Tabela6[[#This Row],[CONSUMO]]</f>
        <v>2.99</v>
      </c>
      <c r="M4112" s="50">
        <f>Tabela6[[#This Row],[KM ATUAL]]-E4057</f>
        <v>-588359</v>
      </c>
      <c r="N4112" s="51">
        <f>Tabela6[[#This Row],[KM Rodados ]]/Tabela6[[#This Row],[CONSUMO]]</f>
        <v>-16762.364672364671</v>
      </c>
    </row>
    <row r="4113" spans="1:14" x14ac:dyDescent="0.25">
      <c r="A4113" s="47">
        <v>244266</v>
      </c>
      <c r="B4113" s="78">
        <v>45346</v>
      </c>
      <c r="C4113" s="47" t="s">
        <v>71</v>
      </c>
      <c r="D4113" s="49" t="s">
        <v>374</v>
      </c>
      <c r="E4113" s="47">
        <v>156641</v>
      </c>
      <c r="G4113" s="50" t="s">
        <v>89</v>
      </c>
      <c r="H4113" s="51">
        <v>380</v>
      </c>
      <c r="J4113" s="51">
        <v>5.69</v>
      </c>
      <c r="K4113" s="74">
        <f>Tabela6[[#This Row],[CONSUMO]]*Tabela6[[#This Row],[VALOR UNIT]]-Tabela6[[#This Row],[DESCONTO]]</f>
        <v>2162.2000000000003</v>
      </c>
      <c r="L4113" s="53">
        <f>Tabela6[[#This Row],[CUSTO TOTAL]]/Tabela6[[#This Row],[CONSUMO]]</f>
        <v>5.69</v>
      </c>
      <c r="M4113" s="50">
        <f>Tabela6[[#This Row],[KM ATUAL]]-E4058</f>
        <v>-941581</v>
      </c>
      <c r="N4113" s="51">
        <f>Tabela6[[#This Row],[KM Rodados ]]/Tabela6[[#This Row],[CONSUMO]]</f>
        <v>-2477.8447368421052</v>
      </c>
    </row>
    <row r="4114" spans="1:14" x14ac:dyDescent="0.25">
      <c r="A4114" s="47">
        <v>301823</v>
      </c>
      <c r="B4114" s="78">
        <v>45347</v>
      </c>
      <c r="C4114" s="47" t="s">
        <v>354</v>
      </c>
      <c r="D4114" s="49" t="s">
        <v>403</v>
      </c>
      <c r="E4114" s="47">
        <v>28800</v>
      </c>
      <c r="G4114" s="50" t="s">
        <v>241</v>
      </c>
      <c r="H4114" s="51">
        <v>17.152999999999999</v>
      </c>
      <c r="I4114" s="49">
        <v>222.52</v>
      </c>
      <c r="J4114" s="51">
        <v>3.24</v>
      </c>
      <c r="K4114" s="74">
        <f>Tabela6[[#This Row],[CONSUMO]]*Tabela6[[#This Row],[VALOR UNIT]]-Tabela6[[#This Row],[DESCONTO]]</f>
        <v>-166.94428000000002</v>
      </c>
      <c r="L4114" s="53">
        <f>Tabela6[[#This Row],[CUSTO TOTAL]]/Tabela6[[#This Row],[CONSUMO]]</f>
        <v>-9.7326578441089033</v>
      </c>
      <c r="M4114" s="50">
        <f>Tabela6[[#This Row],[KM ATUAL]]-E4059</f>
        <v>-303290</v>
      </c>
      <c r="N4114" s="51">
        <f>Tabela6[[#This Row],[KM Rodados ]]/Tabela6[[#This Row],[CONSUMO]]</f>
        <v>-17681.455139042733</v>
      </c>
    </row>
    <row r="4115" spans="1:14" x14ac:dyDescent="0.25">
      <c r="A4115" s="47">
        <v>301823</v>
      </c>
      <c r="B4115" s="78">
        <v>45347</v>
      </c>
      <c r="C4115" s="47" t="s">
        <v>354</v>
      </c>
      <c r="D4115" s="49" t="s">
        <v>403</v>
      </c>
      <c r="E4115" s="47">
        <v>28800</v>
      </c>
      <c r="G4115" s="50" t="s">
        <v>89</v>
      </c>
      <c r="H4115" s="51">
        <v>294.5</v>
      </c>
      <c r="I4115" s="49">
        <v>222.52</v>
      </c>
      <c r="J4115" s="51">
        <v>6.08</v>
      </c>
      <c r="K4115" s="74">
        <f>Tabela6[[#This Row],[CONSUMO]]*Tabela6[[#This Row],[VALOR UNIT]]-Tabela6[[#This Row],[DESCONTO]]</f>
        <v>1568.04</v>
      </c>
      <c r="L4115" s="53">
        <f>Tabela6[[#This Row],[CUSTO TOTAL]]/Tabela6[[#This Row],[CONSUMO]]</f>
        <v>5.3244142614601015</v>
      </c>
      <c r="M4115" s="50">
        <f>Tabela6[[#This Row],[KM ATUAL]]-E4060</f>
        <v>-289462</v>
      </c>
      <c r="N4115" s="51">
        <f>Tabela6[[#This Row],[KM Rodados ]]/Tabela6[[#This Row],[CONSUMO]]</f>
        <v>-982.89303904923599</v>
      </c>
    </row>
    <row r="4116" spans="1:14" x14ac:dyDescent="0.25">
      <c r="A4116" s="47">
        <v>199941</v>
      </c>
      <c r="B4116" s="78">
        <v>45348</v>
      </c>
      <c r="C4116" s="47" t="s">
        <v>22</v>
      </c>
      <c r="D4116" s="49" t="s">
        <v>263</v>
      </c>
      <c r="E4116" s="47">
        <v>354676</v>
      </c>
      <c r="G4116" s="50" t="s">
        <v>89</v>
      </c>
      <c r="H4116" s="51">
        <v>127.34</v>
      </c>
      <c r="I4116" s="49">
        <v>12.74</v>
      </c>
      <c r="J4116" s="51">
        <v>5.89</v>
      </c>
      <c r="K4116" s="74">
        <f>Tabela6[[#This Row],[CONSUMO]]*Tabela6[[#This Row],[VALOR UNIT]]-Tabela6[[#This Row],[DESCONTO]]</f>
        <v>737.29259999999999</v>
      </c>
      <c r="L4116" s="53">
        <f>Tabela6[[#This Row],[CUSTO TOTAL]]/Tabela6[[#This Row],[CONSUMO]]</f>
        <v>5.7899528820480599</v>
      </c>
      <c r="M4116" s="50">
        <f>Tabela6[[#This Row],[KM ATUAL]]-E4061</f>
        <v>-251757</v>
      </c>
      <c r="N4116" s="51">
        <f>Tabela6[[#This Row],[KM Rodados ]]/Tabela6[[#This Row],[CONSUMO]]</f>
        <v>-1977.0457044133814</v>
      </c>
    </row>
    <row r="4117" spans="1:14" x14ac:dyDescent="0.25">
      <c r="A4117" s="47">
        <v>170069</v>
      </c>
      <c r="B4117" s="78">
        <v>45348</v>
      </c>
      <c r="C4117" s="47" t="s">
        <v>39</v>
      </c>
      <c r="D4117" s="49" t="s">
        <v>253</v>
      </c>
      <c r="E4117" s="47">
        <v>119506</v>
      </c>
      <c r="G4117" s="50" t="s">
        <v>89</v>
      </c>
      <c r="H4117" s="51">
        <v>19.399999999999999</v>
      </c>
      <c r="J4117" s="51">
        <v>6.09</v>
      </c>
      <c r="K4117" s="74">
        <f>Tabela6[[#This Row],[CONSUMO]]*Tabela6[[#This Row],[VALOR UNIT]]-Tabela6[[#This Row],[DESCONTO]]</f>
        <v>118.14599999999999</v>
      </c>
      <c r="L4117" s="53">
        <f>Tabela6[[#This Row],[CUSTO TOTAL]]/Tabela6[[#This Row],[CONSUMO]]</f>
        <v>6.09</v>
      </c>
      <c r="M4117" s="50">
        <f>Tabela6[[#This Row],[KM ATUAL]]-E4062</f>
        <v>-67996</v>
      </c>
      <c r="N4117" s="51">
        <f>Tabela6[[#This Row],[KM Rodados ]]/Tabela6[[#This Row],[CONSUMO]]</f>
        <v>-3504.9484536082477</v>
      </c>
    </row>
    <row r="4118" spans="1:14" x14ac:dyDescent="0.25">
      <c r="A4118" s="47">
        <v>170069</v>
      </c>
      <c r="B4118" s="78">
        <v>45348</v>
      </c>
      <c r="C4118" s="47" t="s">
        <v>39</v>
      </c>
      <c r="D4118" s="49" t="s">
        <v>253</v>
      </c>
      <c r="E4118" s="47">
        <v>119506</v>
      </c>
      <c r="G4118" s="50" t="s">
        <v>89</v>
      </c>
      <c r="H4118" s="51">
        <v>81.489999999999995</v>
      </c>
      <c r="J4118" s="51">
        <v>6.09</v>
      </c>
      <c r="K4118" s="74">
        <f>Tabela6[[#This Row],[CONSUMO]]*Tabela6[[#This Row],[VALOR UNIT]]-Tabela6[[#This Row],[DESCONTO]]</f>
        <v>496.27409999999998</v>
      </c>
      <c r="L4118" s="53">
        <f>Tabela6[[#This Row],[CUSTO TOTAL]]/Tabela6[[#This Row],[CONSUMO]]</f>
        <v>6.09</v>
      </c>
      <c r="M4118" s="50">
        <f>Tabela6[[#This Row],[KM ATUAL]]-E4063</f>
        <v>108425</v>
      </c>
      <c r="N4118" s="51">
        <f>Tabela6[[#This Row],[KM Rodados ]]/Tabela6[[#This Row],[CONSUMO]]</f>
        <v>1330.5313535403118</v>
      </c>
    </row>
    <row r="4119" spans="1:14" x14ac:dyDescent="0.25">
      <c r="A4119" s="47">
        <v>378497</v>
      </c>
      <c r="B4119" s="78">
        <v>45348</v>
      </c>
      <c r="C4119" s="47" t="s">
        <v>203</v>
      </c>
      <c r="D4119" s="49" t="s">
        <v>276</v>
      </c>
      <c r="E4119" s="47">
        <v>145349</v>
      </c>
      <c r="G4119" s="50" t="s">
        <v>244</v>
      </c>
      <c r="H4119" s="51">
        <v>38.159999999999997</v>
      </c>
      <c r="J4119" s="51">
        <v>5.69</v>
      </c>
      <c r="K4119" s="74">
        <f>Tabela6[[#This Row],[CONSUMO]]*Tabela6[[#This Row],[VALOR UNIT]]-Tabela6[[#This Row],[DESCONTO]]</f>
        <v>217.13040000000001</v>
      </c>
      <c r="L4119" s="53">
        <f>Tabela6[[#This Row],[CUSTO TOTAL]]/Tabela6[[#This Row],[CONSUMO]]</f>
        <v>5.69</v>
      </c>
      <c r="M4119" s="50">
        <f>Tabela6[[#This Row],[KM ATUAL]]-E4064</f>
        <v>-813236</v>
      </c>
      <c r="N4119" s="51">
        <f>Tabela6[[#This Row],[KM Rodados ]]/Tabela6[[#This Row],[CONSUMO]]</f>
        <v>-21311.215932914049</v>
      </c>
    </row>
    <row r="4120" spans="1:14" x14ac:dyDescent="0.25">
      <c r="A4120" s="47">
        <v>246096</v>
      </c>
      <c r="B4120" s="78">
        <v>45348</v>
      </c>
      <c r="C4120" s="47" t="s">
        <v>72</v>
      </c>
      <c r="D4120" s="49" t="s">
        <v>260</v>
      </c>
      <c r="E4120" s="47">
        <v>443436</v>
      </c>
      <c r="G4120" s="50" t="s">
        <v>89</v>
      </c>
      <c r="H4120" s="51">
        <v>16.689</v>
      </c>
      <c r="J4120" s="51">
        <v>5.99</v>
      </c>
      <c r="K4120" s="74">
        <f>Tabela6[[#This Row],[CONSUMO]]*Tabela6[[#This Row],[VALOR UNIT]]-Tabela6[[#This Row],[DESCONTO]]</f>
        <v>99.967110000000005</v>
      </c>
      <c r="L4120" s="53">
        <f>Tabela6[[#This Row],[CUSTO TOTAL]]/Tabela6[[#This Row],[CONSUMO]]</f>
        <v>5.99</v>
      </c>
      <c r="M4120" s="50">
        <f>Tabela6[[#This Row],[KM ATUAL]]-E4065</f>
        <v>264561</v>
      </c>
      <c r="N4120" s="51">
        <f>Tabela6[[#This Row],[KM Rodados ]]/Tabela6[[#This Row],[CONSUMO]]</f>
        <v>15852.41776020133</v>
      </c>
    </row>
    <row r="4121" spans="1:14" x14ac:dyDescent="0.25">
      <c r="A4121" s="47">
        <v>169997</v>
      </c>
      <c r="B4121" s="78">
        <v>45348</v>
      </c>
      <c r="C4121" s="47" t="s">
        <v>12</v>
      </c>
      <c r="D4121" s="49" t="s">
        <v>253</v>
      </c>
      <c r="E4121" s="47">
        <v>332512</v>
      </c>
      <c r="G4121" s="50" t="s">
        <v>89</v>
      </c>
      <c r="H4121" s="51">
        <v>97.73</v>
      </c>
      <c r="J4121" s="51">
        <v>6.09</v>
      </c>
      <c r="K4121" s="74">
        <f>Tabela6[[#This Row],[CONSUMO]]*Tabela6[[#This Row],[VALOR UNIT]]-Tabela6[[#This Row],[DESCONTO]]</f>
        <v>595.17570000000001</v>
      </c>
      <c r="L4121" s="53">
        <f>Tabela6[[#This Row],[CUSTO TOTAL]]/Tabela6[[#This Row],[CONSUMO]]</f>
        <v>6.09</v>
      </c>
      <c r="M4121" s="50">
        <f>Tabela6[[#This Row],[KM ATUAL]]-E4066</f>
        <v>153264</v>
      </c>
      <c r="N4121" s="51">
        <f>Tabela6[[#This Row],[KM Rodados ]]/Tabela6[[#This Row],[CONSUMO]]</f>
        <v>1568.2390258876496</v>
      </c>
    </row>
    <row r="4122" spans="1:14" x14ac:dyDescent="0.25">
      <c r="A4122" s="47">
        <v>607912</v>
      </c>
      <c r="B4122" s="78">
        <v>45348</v>
      </c>
      <c r="C4122" s="47" t="s">
        <v>18</v>
      </c>
      <c r="D4122" s="49" t="s">
        <v>255</v>
      </c>
      <c r="E4122" s="47">
        <v>348992</v>
      </c>
      <c r="G4122" s="50" t="s">
        <v>89</v>
      </c>
      <c r="H4122" s="51">
        <v>80.19</v>
      </c>
      <c r="J4122" s="51">
        <v>6.16</v>
      </c>
      <c r="K4122" s="74">
        <f>Tabela6[[#This Row],[CONSUMO]]*Tabela6[[#This Row],[VALOR UNIT]]-Tabela6[[#This Row],[DESCONTO]]</f>
        <v>493.97039999999998</v>
      </c>
      <c r="L4122" s="53">
        <f>Tabela6[[#This Row],[CUSTO TOTAL]]/Tabela6[[#This Row],[CONSUMO]]</f>
        <v>6.16</v>
      </c>
      <c r="M4122" s="50">
        <f>Tabela6[[#This Row],[KM ATUAL]]-E4067</f>
        <v>-208907</v>
      </c>
      <c r="N4122" s="51">
        <f>Tabela6[[#This Row],[KM Rodados ]]/Tabela6[[#This Row],[CONSUMO]]</f>
        <v>-2605.150268113231</v>
      </c>
    </row>
    <row r="4123" spans="1:14" x14ac:dyDescent="0.25">
      <c r="A4123" s="47">
        <v>378424</v>
      </c>
      <c r="B4123" s="78">
        <v>45348</v>
      </c>
      <c r="C4123" s="47" t="s">
        <v>401</v>
      </c>
      <c r="D4123" s="49" t="s">
        <v>276</v>
      </c>
      <c r="E4123" s="47">
        <v>12945</v>
      </c>
      <c r="G4123" s="50" t="s">
        <v>241</v>
      </c>
      <c r="H4123" s="51">
        <v>28.14</v>
      </c>
      <c r="J4123" s="51">
        <v>3.69</v>
      </c>
      <c r="K4123" s="74">
        <f>Tabela6[[#This Row],[CONSUMO]]*Tabela6[[#This Row],[VALOR UNIT]]-Tabela6[[#This Row],[DESCONTO]]</f>
        <v>103.8366</v>
      </c>
      <c r="L4123" s="53">
        <f>Tabela6[[#This Row],[CUSTO TOTAL]]/Tabela6[[#This Row],[CONSUMO]]</f>
        <v>3.69</v>
      </c>
      <c r="M4123" s="50">
        <f>Tabela6[[#This Row],[KM ATUAL]]-E4068</f>
        <v>-429875</v>
      </c>
      <c r="N4123" s="51">
        <f>Tabela6[[#This Row],[KM Rodados ]]/Tabela6[[#This Row],[CONSUMO]]</f>
        <v>-15276.297085998578</v>
      </c>
    </row>
    <row r="4124" spans="1:14" x14ac:dyDescent="0.25">
      <c r="A4124" s="49">
        <v>1239567</v>
      </c>
      <c r="B4124" s="78">
        <v>45349</v>
      </c>
      <c r="C4124" s="47" t="s">
        <v>68</v>
      </c>
      <c r="D4124" s="49" t="s">
        <v>300</v>
      </c>
      <c r="E4124" s="47">
        <v>960136</v>
      </c>
      <c r="G4124" s="50" t="s">
        <v>89</v>
      </c>
      <c r="H4124" s="51">
        <v>637.39099999999996</v>
      </c>
      <c r="J4124" s="51">
        <v>5.69</v>
      </c>
      <c r="K4124" s="74">
        <f>Tabela6[[#This Row],[CONSUMO]]*Tabela6[[#This Row],[VALOR UNIT]]-Tabela6[[#This Row],[DESCONTO]]</f>
        <v>3626.75479</v>
      </c>
      <c r="L4124" s="53">
        <f>Tabela6[[#This Row],[CUSTO TOTAL]]/Tabela6[[#This Row],[CONSUMO]]</f>
        <v>5.69</v>
      </c>
      <c r="M4124" s="50">
        <f>Tabela6[[#This Row],[KM ATUAL]]-E4069</f>
        <v>779595</v>
      </c>
      <c r="N4124" s="51">
        <f>Tabela6[[#This Row],[KM Rodados ]]/Tabela6[[#This Row],[CONSUMO]]</f>
        <v>1223.103244319421</v>
      </c>
    </row>
    <row r="4125" spans="1:14" x14ac:dyDescent="0.25">
      <c r="A4125" s="47">
        <v>1235832</v>
      </c>
      <c r="B4125" s="78">
        <v>45349</v>
      </c>
      <c r="C4125" s="47" t="s">
        <v>67</v>
      </c>
      <c r="D4125" s="49" t="s">
        <v>273</v>
      </c>
      <c r="E4125" s="47">
        <v>702455</v>
      </c>
      <c r="G4125" s="50" t="s">
        <v>89</v>
      </c>
      <c r="H4125" s="107">
        <v>140.12</v>
      </c>
      <c r="J4125" s="51">
        <v>5.59</v>
      </c>
      <c r="K4125" s="74">
        <f>Tabela6[[#This Row],[CONSUMO]]*Tabela6[[#This Row],[VALOR UNIT]]-Tabela6[[#This Row],[DESCONTO]]</f>
        <v>783.27080000000001</v>
      </c>
      <c r="L4125" s="53">
        <f>Tabela6[[#This Row],[CUSTO TOTAL]]/Tabela6[[#This Row],[CONSUMO]]</f>
        <v>5.59</v>
      </c>
      <c r="M4125" s="50">
        <f>Tabela6[[#This Row],[KM ATUAL]]-E4070</f>
        <v>547686</v>
      </c>
      <c r="N4125" s="51">
        <f>Tabela6[[#This Row],[KM Rodados ]]/Tabela6[[#This Row],[CONSUMO]]</f>
        <v>3908.6925492435053</v>
      </c>
    </row>
    <row r="4126" spans="1:14" ht="14.45" customHeight="1" x14ac:dyDescent="0.25">
      <c r="A4126" s="47">
        <v>246421</v>
      </c>
      <c r="B4126" s="78">
        <v>45349</v>
      </c>
      <c r="C4126" s="47" t="s">
        <v>14</v>
      </c>
      <c r="D4126" s="49" t="s">
        <v>262</v>
      </c>
      <c r="E4126" s="47">
        <v>319819</v>
      </c>
      <c r="G4126" s="50" t="s">
        <v>244</v>
      </c>
      <c r="H4126" s="51">
        <v>25.109000000000002</v>
      </c>
      <c r="J4126" s="51">
        <v>5.59</v>
      </c>
      <c r="K4126" s="74">
        <f>Tabela6[[#This Row],[CONSUMO]]*Tabela6[[#This Row],[VALOR UNIT]]-Tabela6[[#This Row],[DESCONTO]]</f>
        <v>140.35930999999999</v>
      </c>
      <c r="L4126" s="53">
        <f>Tabela6[[#This Row],[CUSTO TOTAL]]/Tabela6[[#This Row],[CONSUMO]]</f>
        <v>5.589999999999999</v>
      </c>
      <c r="M4126" s="50">
        <f>Tabela6[[#This Row],[KM ATUAL]]-E4071</f>
        <v>165050</v>
      </c>
      <c r="N4126" s="51">
        <f>Tabela6[[#This Row],[KM Rodados ]]/Tabela6[[#This Row],[CONSUMO]]</f>
        <v>6573.3402365685606</v>
      </c>
    </row>
    <row r="4127" spans="1:14" x14ac:dyDescent="0.25">
      <c r="A4127" s="47">
        <v>6083167</v>
      </c>
      <c r="B4127" s="54">
        <v>45349</v>
      </c>
      <c r="C4127" s="47" t="s">
        <v>16</v>
      </c>
      <c r="D4127" s="49" t="s">
        <v>255</v>
      </c>
      <c r="E4127" s="47">
        <v>316026</v>
      </c>
      <c r="G4127" s="50" t="s">
        <v>89</v>
      </c>
      <c r="H4127" s="51">
        <v>97.21</v>
      </c>
      <c r="J4127" s="51">
        <v>6.16</v>
      </c>
      <c r="K4127" s="74">
        <f>Tabela6[[#This Row],[CONSUMO]]*Tabela6[[#This Row],[VALOR UNIT]]-Tabela6[[#This Row],[DESCONTO]]</f>
        <v>598.81359999999995</v>
      </c>
      <c r="L4127" s="53">
        <f>Tabela6[[#This Row],[CUSTO TOTAL]]/Tabela6[[#This Row],[CONSUMO]]</f>
        <v>6.16</v>
      </c>
      <c r="M4127" s="50">
        <f>Tabela6[[#This Row],[KM ATUAL]]-E4072</f>
        <v>-383386</v>
      </c>
      <c r="N4127" s="51">
        <f>Tabela6[[#This Row],[KM Rodados ]]/Tabela6[[#This Row],[CONSUMO]]</f>
        <v>-3943.894661043103</v>
      </c>
    </row>
    <row r="4128" spans="1:14" ht="15" customHeight="1" x14ac:dyDescent="0.25">
      <c r="A4128" s="47">
        <v>246355</v>
      </c>
      <c r="B4128" s="78">
        <v>45349</v>
      </c>
      <c r="C4128" s="47" t="s">
        <v>40</v>
      </c>
      <c r="D4128" s="49" t="s">
        <v>262</v>
      </c>
      <c r="E4128" s="47">
        <v>189317</v>
      </c>
      <c r="G4128" s="50" t="s">
        <v>244</v>
      </c>
      <c r="H4128" s="51">
        <v>34.07</v>
      </c>
      <c r="J4128" s="51">
        <v>5.59</v>
      </c>
      <c r="K4128" s="74">
        <f>Tabela6[[#This Row],[CONSUMO]]*Tabela6[[#This Row],[VALOR UNIT]]-Tabela6[[#This Row],[DESCONTO]]</f>
        <v>190.4513</v>
      </c>
      <c r="L4128" s="53">
        <f>Tabela6[[#This Row],[CUSTO TOTAL]]/Tabela6[[#This Row],[CONSUMO]]</f>
        <v>5.59</v>
      </c>
      <c r="M4128" s="50">
        <f>Tabela6[[#This Row],[KM ATUAL]]-E4073</f>
        <v>-222274</v>
      </c>
      <c r="N4128" s="51">
        <f>Tabela6[[#This Row],[KM Rodados ]]/Tabela6[[#This Row],[CONSUMO]]</f>
        <v>-6524.0387437628415</v>
      </c>
    </row>
    <row r="4129" spans="1:14" ht="13.5" customHeight="1" x14ac:dyDescent="0.25">
      <c r="A4129" s="47">
        <v>171293</v>
      </c>
      <c r="B4129" s="78">
        <v>45349</v>
      </c>
      <c r="C4129" s="47" t="s">
        <v>315</v>
      </c>
      <c r="D4129" s="49" t="s">
        <v>253</v>
      </c>
      <c r="E4129" s="47">
        <v>19927</v>
      </c>
      <c r="G4129" s="50" t="s">
        <v>89</v>
      </c>
      <c r="H4129" s="51">
        <v>52.74</v>
      </c>
      <c r="J4129" s="51">
        <v>6.09</v>
      </c>
      <c r="K4129" s="74">
        <f>Tabela6[[#This Row],[CONSUMO]]*Tabela6[[#This Row],[VALOR UNIT]]-Tabela6[[#This Row],[DESCONTO]]</f>
        <v>321.1866</v>
      </c>
      <c r="L4129" s="53">
        <f>Tabela6[[#This Row],[CUSTO TOTAL]]/Tabela6[[#This Row],[CONSUMO]]</f>
        <v>6.09</v>
      </c>
      <c r="M4129" s="50">
        <f>Tabela6[[#This Row],[KM ATUAL]]-E4074</f>
        <v>-1079183</v>
      </c>
      <c r="N4129" s="51">
        <f>Tabela6[[#This Row],[KM Rodados ]]/Tabela6[[#This Row],[CONSUMO]]</f>
        <v>-20462.324611300719</v>
      </c>
    </row>
    <row r="4130" spans="1:14" ht="14.45" customHeight="1" x14ac:dyDescent="0.25">
      <c r="A4130" s="47">
        <v>849737</v>
      </c>
      <c r="B4130" s="78">
        <v>45349</v>
      </c>
      <c r="C4130" s="47" t="s">
        <v>401</v>
      </c>
      <c r="D4130" s="49" t="s">
        <v>264</v>
      </c>
      <c r="E4130" s="47">
        <v>15351</v>
      </c>
      <c r="G4130" s="50" t="s">
        <v>89</v>
      </c>
      <c r="H4130" s="51">
        <v>138.333</v>
      </c>
      <c r="J4130" s="51">
        <v>5.7</v>
      </c>
      <c r="K4130" s="74">
        <f>Tabela6[[#This Row],[CONSUMO]]*Tabela6[[#This Row],[VALOR UNIT]]-Tabela6[[#This Row],[DESCONTO]]</f>
        <v>788.49810000000002</v>
      </c>
      <c r="L4130" s="53">
        <f>Tabela6[[#This Row],[CUSTO TOTAL]]/Tabela6[[#This Row],[CONSUMO]]</f>
        <v>5.7</v>
      </c>
      <c r="M4130" s="50">
        <f>Tabela6[[#This Row],[KM ATUAL]]-E4075</f>
        <v>-661982</v>
      </c>
      <c r="N4130" s="51">
        <f>Tabela6[[#This Row],[KM Rodados ]]/Tabela6[[#This Row],[CONSUMO]]</f>
        <v>-4785.4235793339258</v>
      </c>
    </row>
    <row r="4131" spans="1:14" x14ac:dyDescent="0.25">
      <c r="A4131" s="47">
        <v>200309</v>
      </c>
      <c r="B4131" s="78">
        <v>45350</v>
      </c>
      <c r="C4131" s="47" t="s">
        <v>43</v>
      </c>
      <c r="D4131" s="49" t="s">
        <v>263</v>
      </c>
      <c r="E4131" s="47">
        <v>180205</v>
      </c>
      <c r="G4131" s="50" t="s">
        <v>89</v>
      </c>
      <c r="H4131" s="51">
        <v>25.7</v>
      </c>
      <c r="I4131" s="49">
        <v>2.57</v>
      </c>
      <c r="J4131" s="51">
        <v>5.89</v>
      </c>
      <c r="K4131" s="74">
        <f>Tabela6[[#This Row],[CONSUMO]]*Tabela6[[#This Row],[VALOR UNIT]]-Tabela6[[#This Row],[DESCONTO]]</f>
        <v>148.803</v>
      </c>
      <c r="L4131" s="53">
        <f>Tabela6[[#This Row],[CUSTO TOTAL]]/Tabela6[[#This Row],[CONSUMO]]</f>
        <v>5.79</v>
      </c>
      <c r="M4131" s="50">
        <f>Tabela6[[#This Row],[KM ATUAL]]-E4076</f>
        <v>-128433</v>
      </c>
      <c r="N4131" s="51">
        <f>Tabela6[[#This Row],[KM Rodados ]]/Tabela6[[#This Row],[CONSUMO]]</f>
        <v>-4997.3929961089498</v>
      </c>
    </row>
    <row r="4132" spans="1:14" x14ac:dyDescent="0.25">
      <c r="A4132" s="47">
        <v>171863</v>
      </c>
      <c r="B4132" s="78">
        <v>45350</v>
      </c>
      <c r="C4132" s="47" t="s">
        <v>43</v>
      </c>
      <c r="D4132" s="49" t="s">
        <v>253</v>
      </c>
      <c r="E4132" s="47">
        <v>180549</v>
      </c>
      <c r="G4132" s="50" t="s">
        <v>89</v>
      </c>
      <c r="H4132" s="51">
        <v>36.53</v>
      </c>
      <c r="J4132" s="51">
        <v>6.09</v>
      </c>
      <c r="K4132" s="74">
        <f>Tabela6[[#This Row],[CONSUMO]]*Tabela6[[#This Row],[VALOR UNIT]]-Tabela6[[#This Row],[DESCONTO]]</f>
        <v>222.46770000000001</v>
      </c>
      <c r="L4132" s="53">
        <f>Tabela6[[#This Row],[CUSTO TOTAL]]/Tabela6[[#This Row],[CONSUMO]]</f>
        <v>6.09</v>
      </c>
      <c r="M4132" s="50">
        <f>Tabela6[[#This Row],[KM ATUAL]]-E4077</f>
        <v>-233650</v>
      </c>
      <c r="N4132" s="51">
        <f>Tabela6[[#This Row],[KM Rodados ]]/Tabela6[[#This Row],[CONSUMO]]</f>
        <v>-6396.1127840131394</v>
      </c>
    </row>
    <row r="4133" spans="1:14" x14ac:dyDescent="0.25">
      <c r="A4133" s="47">
        <v>246540</v>
      </c>
      <c r="B4133" s="78">
        <v>45350</v>
      </c>
      <c r="C4133" s="47" t="s">
        <v>9</v>
      </c>
      <c r="D4133" s="49" t="s">
        <v>262</v>
      </c>
      <c r="E4133" s="47">
        <v>649676</v>
      </c>
      <c r="G4133" s="50" t="s">
        <v>89</v>
      </c>
      <c r="H4133" s="51">
        <v>136.96</v>
      </c>
      <c r="J4133" s="51">
        <v>5.99</v>
      </c>
      <c r="K4133" s="74">
        <f>Tabela6[[#This Row],[CONSUMO]]*Tabela6[[#This Row],[VALOR UNIT]]-Tabela6[[#This Row],[DESCONTO]]</f>
        <v>820.39040000000011</v>
      </c>
      <c r="L4133" s="53">
        <f>Tabela6[[#This Row],[CUSTO TOTAL]]/Tabela6[[#This Row],[CONSUMO]]</f>
        <v>5.99</v>
      </c>
      <c r="M4133" s="50">
        <f>Tabela6[[#This Row],[KM ATUAL]]-E4078</f>
        <v>252646</v>
      </c>
      <c r="N4133" s="51">
        <f>Tabela6[[#This Row],[KM Rodados ]]/Tabela6[[#This Row],[CONSUMO]]</f>
        <v>1844.6699766355139</v>
      </c>
    </row>
    <row r="4134" spans="1:14" x14ac:dyDescent="0.25">
      <c r="A4134" s="47">
        <v>378936</v>
      </c>
      <c r="B4134" s="78">
        <v>45350</v>
      </c>
      <c r="C4134" s="47" t="s">
        <v>222</v>
      </c>
      <c r="D4134" s="49" t="s">
        <v>276</v>
      </c>
      <c r="E4134" s="47">
        <v>560076</v>
      </c>
      <c r="G4134" s="50" t="s">
        <v>241</v>
      </c>
      <c r="H4134" s="51">
        <v>48.567</v>
      </c>
      <c r="J4134" s="51">
        <v>3.69</v>
      </c>
      <c r="K4134" s="74">
        <f>Tabela6[[#This Row],[CONSUMO]]*Tabela6[[#This Row],[VALOR UNIT]]-Tabela6[[#This Row],[DESCONTO]]</f>
        <v>179.21223000000001</v>
      </c>
      <c r="L4134" s="53">
        <f>Tabela6[[#This Row],[CUSTO TOTAL]]/Tabela6[[#This Row],[CONSUMO]]</f>
        <v>3.69</v>
      </c>
      <c r="M4134" s="50">
        <f>Tabela6[[#This Row],[KM ATUAL]]-E4079</f>
        <v>202506</v>
      </c>
      <c r="N4134" s="51">
        <f>Tabela6[[#This Row],[KM Rodados ]]/Tabela6[[#This Row],[CONSUMO]]</f>
        <v>4169.6213478287727</v>
      </c>
    </row>
    <row r="4135" spans="1:14" x14ac:dyDescent="0.25">
      <c r="A4135" s="47">
        <v>246762</v>
      </c>
      <c r="B4135" s="78">
        <v>45350</v>
      </c>
      <c r="C4135" s="47" t="s">
        <v>67</v>
      </c>
      <c r="D4135" s="49" t="s">
        <v>262</v>
      </c>
      <c r="E4135" s="47">
        <v>702986</v>
      </c>
      <c r="G4135" s="50" t="s">
        <v>89</v>
      </c>
      <c r="H4135" s="51">
        <v>144.50899999999999</v>
      </c>
      <c r="J4135" s="51">
        <v>5.99</v>
      </c>
      <c r="K4135" s="74">
        <f>Tabela6[[#This Row],[CONSUMO]]*Tabela6[[#This Row],[VALOR UNIT]]-Tabela6[[#This Row],[DESCONTO]]</f>
        <v>865.60890999999992</v>
      </c>
      <c r="L4135" s="53">
        <f>Tabela6[[#This Row],[CUSTO TOTAL]]/Tabela6[[#This Row],[CONSUMO]]</f>
        <v>5.99</v>
      </c>
      <c r="M4135" s="50">
        <f>Tabela6[[#This Row],[KM ATUAL]]-E4080</f>
        <v>345498</v>
      </c>
      <c r="N4135" s="51">
        <f>Tabela6[[#This Row],[KM Rodados ]]/Tabela6[[#This Row],[CONSUMO]]</f>
        <v>2390.8407088831841</v>
      </c>
    </row>
    <row r="4136" spans="1:14" x14ac:dyDescent="0.25">
      <c r="A4136" s="47">
        <v>171595</v>
      </c>
      <c r="B4136" s="78">
        <v>45350</v>
      </c>
      <c r="C4136" s="47" t="s">
        <v>41</v>
      </c>
      <c r="D4136" s="49" t="s">
        <v>253</v>
      </c>
      <c r="E4136" s="47">
        <v>700114</v>
      </c>
      <c r="G4136" s="50" t="s">
        <v>89</v>
      </c>
      <c r="H4136" s="51">
        <v>169.93</v>
      </c>
      <c r="J4136" s="51">
        <v>6.09</v>
      </c>
      <c r="K4136" s="74">
        <f>Tabela6[[#This Row],[CONSUMO]]*Tabela6[[#This Row],[VALOR UNIT]]-Tabela6[[#This Row],[DESCONTO]]</f>
        <v>1034.8737000000001</v>
      </c>
      <c r="L4136" s="53">
        <f>Tabela6[[#This Row],[CUSTO TOTAL]]/Tabela6[[#This Row],[CONSUMO]]</f>
        <v>6.0900000000000007</v>
      </c>
      <c r="M4136" s="50">
        <f>Tabela6[[#This Row],[KM ATUAL]]-E4081</f>
        <v>399748</v>
      </c>
      <c r="N4136" s="51">
        <f>Tabela6[[#This Row],[KM Rodados ]]/Tabela6[[#This Row],[CONSUMO]]</f>
        <v>2352.4274701347613</v>
      </c>
    </row>
    <row r="4137" spans="1:14" x14ac:dyDescent="0.25">
      <c r="A4137" s="47">
        <v>3138</v>
      </c>
      <c r="B4137" s="78">
        <v>45350</v>
      </c>
      <c r="C4137" s="47" t="s">
        <v>301</v>
      </c>
      <c r="D4137" s="49" t="s">
        <v>324</v>
      </c>
      <c r="E4137" s="47">
        <v>1110075</v>
      </c>
      <c r="G4137" s="50" t="s">
        <v>89</v>
      </c>
      <c r="H4137" s="51">
        <v>301.971</v>
      </c>
      <c r="J4137" s="51">
        <v>5.45</v>
      </c>
      <c r="K4137" s="74">
        <f>Tabela6[[#This Row],[CONSUMO]]*Tabela6[[#This Row],[VALOR UNIT]]-Tabela6[[#This Row],[DESCONTO]]</f>
        <v>1645.7419500000001</v>
      </c>
      <c r="L4137" s="53">
        <f>Tabela6[[#This Row],[CUSTO TOTAL]]/Tabela6[[#This Row],[CONSUMO]]</f>
        <v>5.45</v>
      </c>
      <c r="M4137" s="50">
        <f>Tabela6[[#This Row],[KM ATUAL]]-E4082</f>
        <v>922137</v>
      </c>
      <c r="N4137" s="51">
        <f>Tabela6[[#This Row],[KM Rodados ]]/Tabela6[[#This Row],[CONSUMO]]</f>
        <v>3053.7270135211661</v>
      </c>
    </row>
    <row r="4138" spans="1:14" x14ac:dyDescent="0.25">
      <c r="A4138" s="47">
        <v>281491</v>
      </c>
      <c r="B4138" s="78">
        <v>45350</v>
      </c>
      <c r="C4138" s="47" t="s">
        <v>14</v>
      </c>
      <c r="D4138" s="49" t="s">
        <v>269</v>
      </c>
      <c r="E4138" s="47">
        <v>32070</v>
      </c>
      <c r="G4138" s="50" t="s">
        <v>244</v>
      </c>
      <c r="H4138" s="51">
        <v>42.988</v>
      </c>
      <c r="J4138" s="51">
        <v>5.49</v>
      </c>
      <c r="K4138" s="74">
        <f>Tabela6[[#This Row],[CONSUMO]]*Tabela6[[#This Row],[VALOR UNIT]]-Tabela6[[#This Row],[DESCONTO]]</f>
        <v>236.00412</v>
      </c>
      <c r="L4138" s="53">
        <f>Tabela6[[#This Row],[CUSTO TOTAL]]/Tabela6[[#This Row],[CONSUMO]]</f>
        <v>5.49</v>
      </c>
      <c r="M4138" s="50">
        <f>Tabela6[[#This Row],[KM ATUAL]]-E4083</f>
        <v>-80278</v>
      </c>
      <c r="N4138" s="51">
        <f>Tabela6[[#This Row],[KM Rodados ]]/Tabela6[[#This Row],[CONSUMO]]</f>
        <v>-1867.451381780962</v>
      </c>
    </row>
    <row r="4139" spans="1:14" x14ac:dyDescent="0.25">
      <c r="A4139" s="47">
        <v>379031</v>
      </c>
      <c r="B4139" s="78">
        <v>45350</v>
      </c>
      <c r="C4139" s="47" t="s">
        <v>354</v>
      </c>
      <c r="D4139" s="49" t="s">
        <v>276</v>
      </c>
      <c r="E4139" s="47">
        <v>30096</v>
      </c>
      <c r="G4139" s="50" t="s">
        <v>241</v>
      </c>
      <c r="H4139" s="51">
        <v>20.004999999999999</v>
      </c>
      <c r="J4139" s="51">
        <v>3.69</v>
      </c>
      <c r="K4139" s="74">
        <f>Tabela6[[#This Row],[CONSUMO]]*Tabela6[[#This Row],[VALOR UNIT]]-Tabela6[[#This Row],[DESCONTO]]</f>
        <v>73.818449999999999</v>
      </c>
      <c r="L4139" s="53">
        <f>Tabela6[[#This Row],[CUSTO TOTAL]]/Tabela6[[#This Row],[CONSUMO]]</f>
        <v>3.69</v>
      </c>
      <c r="M4139" s="50">
        <f>Tabela6[[#This Row],[KM ATUAL]]-E4084</f>
        <v>18598</v>
      </c>
      <c r="N4139" s="51">
        <f>Tabela6[[#This Row],[KM Rodados ]]/Tabela6[[#This Row],[CONSUMO]]</f>
        <v>929.66758310422404</v>
      </c>
    </row>
    <row r="4140" spans="1:14" x14ac:dyDescent="0.25">
      <c r="A4140" s="47">
        <v>246787</v>
      </c>
      <c r="B4140" s="78">
        <v>45351</v>
      </c>
      <c r="C4140" s="47" t="s">
        <v>67</v>
      </c>
      <c r="D4140" s="49" t="s">
        <v>262</v>
      </c>
      <c r="E4140" s="47">
        <v>623</v>
      </c>
      <c r="G4140" s="50" t="s">
        <v>89</v>
      </c>
      <c r="H4140" s="51">
        <v>75.930000000000007</v>
      </c>
      <c r="J4140" s="51">
        <v>5.99</v>
      </c>
      <c r="K4140" s="74">
        <f>Tabela6[[#This Row],[CONSUMO]]*Tabela6[[#This Row],[VALOR UNIT]]-Tabela6[[#This Row],[DESCONTO]]</f>
        <v>454.82070000000004</v>
      </c>
      <c r="L4140" s="53">
        <f>Tabela6[[#This Row],[CUSTO TOTAL]]/Tabela6[[#This Row],[CONSUMO]]</f>
        <v>5.99</v>
      </c>
      <c r="M4140" s="50">
        <f>Tabela6[[#This Row],[KM ATUAL]]-E4085</f>
        <v>-178712</v>
      </c>
      <c r="N4140" s="51">
        <f>Tabela6[[#This Row],[KM Rodados ]]/Tabela6[[#This Row],[CONSUMO]]</f>
        <v>-2353.6415119188723</v>
      </c>
    </row>
    <row r="4141" spans="1:14" x14ac:dyDescent="0.25">
      <c r="A4141" s="47">
        <v>172470</v>
      </c>
      <c r="B4141" s="78">
        <v>45351</v>
      </c>
      <c r="C4141" s="47" t="s">
        <v>72</v>
      </c>
      <c r="D4141" s="49" t="s">
        <v>253</v>
      </c>
      <c r="E4141" s="47">
        <v>444479</v>
      </c>
      <c r="G4141" s="50" t="s">
        <v>89</v>
      </c>
      <c r="H4141" s="51">
        <v>44.88</v>
      </c>
      <c r="J4141" s="51">
        <v>6.09</v>
      </c>
      <c r="K4141" s="74">
        <f>Tabela6[[#This Row],[CONSUMO]]*Tabela6[[#This Row],[VALOR UNIT]]-Tabela6[[#This Row],[DESCONTO]]</f>
        <v>273.31920000000002</v>
      </c>
      <c r="L4141" s="53">
        <f>Tabela6[[#This Row],[CUSTO TOTAL]]/Tabela6[[#This Row],[CONSUMO]]</f>
        <v>6.09</v>
      </c>
      <c r="M4141" s="50">
        <f>Tabela6[[#This Row],[KM ATUAL]]-E4086</f>
        <v>-443074</v>
      </c>
      <c r="N4141" s="51">
        <f>Tabela6[[#This Row],[KM Rodados ]]/Tabela6[[#This Row],[CONSUMO]]</f>
        <v>-9872.4153297682697</v>
      </c>
    </row>
    <row r="4142" spans="1:14" x14ac:dyDescent="0.25">
      <c r="A4142" s="47">
        <v>246840</v>
      </c>
      <c r="B4142" s="78">
        <v>45351</v>
      </c>
      <c r="C4142" s="47" t="s">
        <v>71</v>
      </c>
      <c r="D4142" s="49" t="s">
        <v>262</v>
      </c>
      <c r="E4142" s="47">
        <v>158315</v>
      </c>
      <c r="G4142" s="50" t="s">
        <v>241</v>
      </c>
      <c r="H4142" s="51">
        <v>29.678000000000001</v>
      </c>
      <c r="I4142" s="49">
        <v>10.68</v>
      </c>
      <c r="J4142" s="51">
        <v>3.69</v>
      </c>
      <c r="K4142" s="74">
        <f>Tabela6[[#This Row],[CONSUMO]]*Tabela6[[#This Row],[VALOR UNIT]]-Tabela6[[#This Row],[DESCONTO]]</f>
        <v>98.831819999999993</v>
      </c>
      <c r="L4142" s="53">
        <f>Tabela6[[#This Row],[CUSTO TOTAL]]/Tabela6[[#This Row],[CONSUMO]]</f>
        <v>3.3301374755711297</v>
      </c>
      <c r="M4142" s="50">
        <f>Tabela6[[#This Row],[KM ATUAL]]-E4087</f>
        <v>-543602</v>
      </c>
      <c r="N4142" s="51">
        <f>Tabela6[[#This Row],[KM Rodados ]]/Tabela6[[#This Row],[CONSUMO]]</f>
        <v>-18316.665543500236</v>
      </c>
    </row>
    <row r="4143" spans="1:14" x14ac:dyDescent="0.25">
      <c r="A4143" s="47">
        <v>379344</v>
      </c>
      <c r="B4143" s="78">
        <v>45351</v>
      </c>
      <c r="C4143" s="47" t="s">
        <v>17</v>
      </c>
      <c r="D4143" s="49" t="s">
        <v>276</v>
      </c>
      <c r="E4143" s="47">
        <v>398659</v>
      </c>
      <c r="G4143" s="50" t="s">
        <v>241</v>
      </c>
      <c r="H4143" s="51">
        <v>23.959</v>
      </c>
      <c r="J4143" s="51">
        <v>3.69</v>
      </c>
      <c r="K4143" s="74">
        <f>Tabela6[[#This Row],[CONSUMO]]*Tabela6[[#This Row],[VALOR UNIT]]-Tabela6[[#This Row],[DESCONTO]]</f>
        <v>88.408709999999999</v>
      </c>
      <c r="L4143" s="53">
        <f>Tabela6[[#This Row],[CUSTO TOTAL]]/Tabela6[[#This Row],[CONSUMO]]</f>
        <v>3.69</v>
      </c>
      <c r="M4143" s="50">
        <f>Tabela6[[#This Row],[KM ATUAL]]-E4088</f>
        <v>163104</v>
      </c>
      <c r="N4143" s="51">
        <f>Tabela6[[#This Row],[KM Rodados ]]/Tabela6[[#This Row],[CONSUMO]]</f>
        <v>6807.629700738762</v>
      </c>
    </row>
    <row r="4144" spans="1:14" x14ac:dyDescent="0.25">
      <c r="A4144" s="47">
        <v>608695</v>
      </c>
      <c r="B4144" s="54">
        <v>45351</v>
      </c>
      <c r="C4144" s="47" t="s">
        <v>18</v>
      </c>
      <c r="D4144" s="49" t="s">
        <v>255</v>
      </c>
      <c r="E4144" s="47">
        <v>349452</v>
      </c>
      <c r="G4144" s="50" t="s">
        <v>89</v>
      </c>
      <c r="H4144" s="51">
        <v>76.08</v>
      </c>
      <c r="J4144" s="51">
        <v>6.16</v>
      </c>
      <c r="K4144" s="74">
        <f>Tabela6[[#This Row],[CONSUMO]]*Tabela6[[#This Row],[VALOR UNIT]]-Tabela6[[#This Row],[DESCONTO]]</f>
        <v>468.65280000000001</v>
      </c>
      <c r="L4144" s="53">
        <f>Tabela6[[#This Row],[CUSTO TOTAL]]/Tabela6[[#This Row],[CONSUMO]]</f>
        <v>6.16</v>
      </c>
      <c r="M4144" s="50">
        <f>Tabela6[[#This Row],[KM ATUAL]]-E4089</f>
        <v>-4673</v>
      </c>
      <c r="N4144" s="51">
        <f>Tabela6[[#This Row],[KM Rodados ]]/Tabela6[[#This Row],[CONSUMO]]</f>
        <v>-61.422187171398527</v>
      </c>
    </row>
    <row r="4145" spans="1:14" x14ac:dyDescent="0.25">
      <c r="A4145" s="47">
        <v>246908</v>
      </c>
      <c r="B4145" s="78">
        <v>45351</v>
      </c>
      <c r="C4145" s="47" t="s">
        <v>19</v>
      </c>
      <c r="D4145" s="49" t="s">
        <v>262</v>
      </c>
      <c r="E4145" s="47">
        <v>360502</v>
      </c>
      <c r="G4145" s="50" t="s">
        <v>241</v>
      </c>
      <c r="H4145" s="51">
        <v>20.114999999999998</v>
      </c>
      <c r="I4145" s="49">
        <v>7.24</v>
      </c>
      <c r="J4145" s="51">
        <v>3.69</v>
      </c>
      <c r="K4145" s="74">
        <f>Tabela6[[#This Row],[CONSUMO]]*Tabela6[[#This Row],[VALOR UNIT]]-Tabela6[[#This Row],[DESCONTO]]</f>
        <v>66.984349999999992</v>
      </c>
      <c r="L4145" s="53">
        <f>Tabela6[[#This Row],[CUSTO TOTAL]]/Tabela6[[#This Row],[CONSUMO]]</f>
        <v>3.3300695998011434</v>
      </c>
      <c r="M4145" s="50">
        <f>Tabela6[[#This Row],[KM ATUAL]]-E4090</f>
        <v>94534</v>
      </c>
      <c r="N4145" s="51">
        <f>Tabela6[[#This Row],[KM Rodados ]]/Tabela6[[#This Row],[CONSUMO]]</f>
        <v>4699.6768580661201</v>
      </c>
    </row>
    <row r="4146" spans="1:14" x14ac:dyDescent="0.25">
      <c r="A4146" s="47">
        <v>246975</v>
      </c>
      <c r="B4146" s="78">
        <v>45351</v>
      </c>
      <c r="C4146" s="47" t="s">
        <v>20</v>
      </c>
      <c r="D4146" s="49" t="s">
        <v>262</v>
      </c>
      <c r="E4146" s="47">
        <v>302489</v>
      </c>
      <c r="G4146" s="50" t="s">
        <v>89</v>
      </c>
      <c r="H4146" s="51">
        <v>57.311</v>
      </c>
      <c r="J4146" s="51">
        <v>5.99</v>
      </c>
      <c r="K4146" s="74">
        <f>Tabela6[[#This Row],[CONSUMO]]*Tabela6[[#This Row],[VALOR UNIT]]-Tabela6[[#This Row],[DESCONTO]]</f>
        <v>343.29289</v>
      </c>
      <c r="L4146" s="53">
        <f>Tabela6[[#This Row],[CUSTO TOTAL]]/Tabela6[[#This Row],[CONSUMO]]</f>
        <v>5.99</v>
      </c>
      <c r="M4146" s="50">
        <f>Tabela6[[#This Row],[KM ATUAL]]-E4091</f>
        <v>36518</v>
      </c>
      <c r="N4146" s="51">
        <f>Tabela6[[#This Row],[KM Rodados ]]/Tabela6[[#This Row],[CONSUMO]]</f>
        <v>637.19006822425013</v>
      </c>
    </row>
    <row r="4147" spans="1:14" x14ac:dyDescent="0.25">
      <c r="A4147" s="47">
        <v>746842</v>
      </c>
      <c r="B4147" s="78">
        <v>45351</v>
      </c>
      <c r="C4147" s="47" t="s">
        <v>74</v>
      </c>
      <c r="D4147" s="49" t="s">
        <v>271</v>
      </c>
      <c r="E4147" s="47">
        <v>114312</v>
      </c>
      <c r="G4147" s="50" t="s">
        <v>89</v>
      </c>
      <c r="H4147" s="51">
        <v>432.9</v>
      </c>
      <c r="J4147" s="51">
        <v>5.69</v>
      </c>
      <c r="K4147" s="74">
        <f>Tabela6[[#This Row],[CONSUMO]]*Tabela6[[#This Row],[VALOR UNIT]]-Tabela6[[#This Row],[DESCONTO]]</f>
        <v>2463.201</v>
      </c>
      <c r="L4147" s="53">
        <f>Tabela6[[#This Row],[CUSTO TOTAL]]/Tabela6[[#This Row],[CONSUMO]]</f>
        <v>5.69</v>
      </c>
      <c r="M4147" s="50">
        <f>Tabela6[[#This Row],[KM ATUAL]]-E4092</f>
        <v>-328891</v>
      </c>
      <c r="N4147" s="51">
        <f>Tabela6[[#This Row],[KM Rodados ]]/Tabela6[[#This Row],[CONSUMO]]</f>
        <v>-759.73896973896979</v>
      </c>
    </row>
    <row r="4148" spans="1:14" x14ac:dyDescent="0.25">
      <c r="A4148" s="47">
        <v>247246</v>
      </c>
      <c r="B4148" s="78">
        <v>45352</v>
      </c>
      <c r="C4148" s="47" t="s">
        <v>358</v>
      </c>
      <c r="D4148" s="49" t="s">
        <v>262</v>
      </c>
      <c r="E4148" s="47">
        <v>825520</v>
      </c>
      <c r="G4148" s="50" t="s">
        <v>89</v>
      </c>
      <c r="H4148" s="51">
        <v>20</v>
      </c>
      <c r="J4148" s="51">
        <v>5.99</v>
      </c>
      <c r="K4148" s="74">
        <f>Tabela6[[#This Row],[CONSUMO]]*Tabela6[[#This Row],[VALOR UNIT]]-Tabela6[[#This Row],[DESCONTO]]</f>
        <v>119.80000000000001</v>
      </c>
      <c r="L4148" s="53">
        <f>Tabela6[[#This Row],[CUSTO TOTAL]]/Tabela6[[#This Row],[CONSUMO]]</f>
        <v>5.99</v>
      </c>
      <c r="M4148" s="50" t="e">
        <f>Tabela6[[#This Row],[KM ATUAL]]-#REF!</f>
        <v>#REF!</v>
      </c>
      <c r="N4148" s="51" t="e">
        <f>Tabela6[[#This Row],[KM Rodados ]]/Tabela6[[#This Row],[CONSUMO]]</f>
        <v>#REF!</v>
      </c>
    </row>
    <row r="4149" spans="1:14" x14ac:dyDescent="0.25">
      <c r="A4149" s="47">
        <v>365513</v>
      </c>
      <c r="B4149" s="78">
        <v>45352</v>
      </c>
      <c r="C4149" s="47" t="s">
        <v>43</v>
      </c>
      <c r="D4149" s="49" t="s">
        <v>268</v>
      </c>
      <c r="E4149" s="47">
        <v>181204</v>
      </c>
      <c r="G4149" s="50" t="s">
        <v>89</v>
      </c>
      <c r="H4149" s="51">
        <v>5.69</v>
      </c>
      <c r="J4149" s="51">
        <v>39.61</v>
      </c>
      <c r="K4149" s="74">
        <f>Tabela6[[#This Row],[CONSUMO]]*Tabela6[[#This Row],[VALOR UNIT]]-Tabela6[[#This Row],[DESCONTO]]</f>
        <v>225.38090000000003</v>
      </c>
      <c r="L4149" s="53">
        <f>Tabela6[[#This Row],[CUSTO TOTAL]]/Tabela6[[#This Row],[CONSUMO]]</f>
        <v>39.61</v>
      </c>
      <c r="M4149" s="50">
        <f>Tabela6[[#This Row],[KM ATUAL]]-E4094</f>
        <v>-814738</v>
      </c>
      <c r="N4149" s="51">
        <f>Tabela6[[#This Row],[KM Rodados ]]/Tabela6[[#This Row],[CONSUMO]]</f>
        <v>-143187.69771528998</v>
      </c>
    </row>
    <row r="4150" spans="1:14" x14ac:dyDescent="0.25">
      <c r="A4150" s="47">
        <v>247064</v>
      </c>
      <c r="B4150" s="78">
        <v>45352</v>
      </c>
      <c r="C4150" s="47" t="s">
        <v>72</v>
      </c>
      <c r="D4150" s="49" t="s">
        <v>262</v>
      </c>
      <c r="E4150" s="47">
        <v>444830</v>
      </c>
      <c r="G4150" s="50" t="s">
        <v>89</v>
      </c>
      <c r="H4150" s="51">
        <v>42.460999999999999</v>
      </c>
      <c r="J4150" s="51">
        <v>5.99</v>
      </c>
      <c r="K4150" s="74">
        <f>Tabela6[[#This Row],[CONSUMO]]*Tabela6[[#This Row],[VALOR UNIT]]-Tabela6[[#This Row],[DESCONTO]]</f>
        <v>254.34138999999999</v>
      </c>
      <c r="L4150" s="53">
        <f>Tabela6[[#This Row],[CUSTO TOTAL]]/Tabela6[[#This Row],[CONSUMO]]</f>
        <v>5.99</v>
      </c>
      <c r="M4150" s="50">
        <f>Tabela6[[#This Row],[KM ATUAL]]-E4095</f>
        <v>-551120</v>
      </c>
      <c r="N4150" s="51">
        <f>Tabela6[[#This Row],[KM Rodados ]]/Tabela6[[#This Row],[CONSUMO]]</f>
        <v>-12979.439956666118</v>
      </c>
    </row>
    <row r="4151" spans="1:14" x14ac:dyDescent="0.25">
      <c r="A4151" s="47">
        <v>247043</v>
      </c>
      <c r="B4151" s="78">
        <v>45352</v>
      </c>
      <c r="C4151" s="47" t="s">
        <v>13</v>
      </c>
      <c r="D4151" s="49" t="s">
        <v>262</v>
      </c>
      <c r="E4151" s="47">
        <v>677874</v>
      </c>
      <c r="G4151" s="50" t="s">
        <v>89</v>
      </c>
      <c r="H4151" s="51">
        <v>125.401</v>
      </c>
      <c r="J4151" s="51">
        <v>5.99</v>
      </c>
      <c r="K4151" s="74">
        <f>Tabela6[[#This Row],[CONSUMO]]*Tabela6[[#This Row],[VALOR UNIT]]-Tabela6[[#This Row],[DESCONTO]]</f>
        <v>751.15198999999996</v>
      </c>
      <c r="L4151" s="53">
        <f>Tabela6[[#This Row],[CUSTO TOTAL]]/Tabela6[[#This Row],[CONSUMO]]</f>
        <v>5.99</v>
      </c>
      <c r="M4151" s="50">
        <f>Tabela6[[#This Row],[KM ATUAL]]-E4096</f>
        <v>359040</v>
      </c>
      <c r="N4151" s="51">
        <f>Tabela6[[#This Row],[KM Rodados ]]/Tabela6[[#This Row],[CONSUMO]]</f>
        <v>2863.1350627187981</v>
      </c>
    </row>
    <row r="4152" spans="1:14" x14ac:dyDescent="0.25">
      <c r="A4152" s="47">
        <v>609147</v>
      </c>
      <c r="B4152" s="54">
        <v>45352</v>
      </c>
      <c r="C4152" s="47" t="s">
        <v>16</v>
      </c>
      <c r="D4152" s="49" t="s">
        <v>255</v>
      </c>
      <c r="E4152" s="47">
        <v>316591</v>
      </c>
      <c r="G4152" s="50" t="s">
        <v>89</v>
      </c>
      <c r="H4152" s="51">
        <v>118.221</v>
      </c>
      <c r="J4152" s="51">
        <v>6.16</v>
      </c>
      <c r="K4152" s="74">
        <f>Tabela6[[#This Row],[CONSUMO]]*Tabela6[[#This Row],[VALOR UNIT]]-Tabela6[[#This Row],[DESCONTO]]</f>
        <v>728.24135999999999</v>
      </c>
      <c r="L4152" s="53">
        <f>Tabela6[[#This Row],[CUSTO TOTAL]]/Tabela6[[#This Row],[CONSUMO]]</f>
        <v>6.1599999999999993</v>
      </c>
      <c r="M4152" s="50">
        <f>Tabela6[[#This Row],[KM ATUAL]]-E4097</f>
        <v>-98045</v>
      </c>
      <c r="N4152" s="51">
        <f>Tabela6[[#This Row],[KM Rodados ]]/Tabela6[[#This Row],[CONSUMO]]</f>
        <v>-829.33658148721463</v>
      </c>
    </row>
    <row r="4153" spans="1:14" x14ac:dyDescent="0.25">
      <c r="A4153" s="47">
        <v>31287</v>
      </c>
      <c r="B4153" s="78">
        <v>45352</v>
      </c>
      <c r="C4153" s="47" t="s">
        <v>19</v>
      </c>
      <c r="D4153" s="49" t="s">
        <v>402</v>
      </c>
      <c r="E4153" s="47">
        <v>361107</v>
      </c>
      <c r="G4153" s="50" t="s">
        <v>89</v>
      </c>
      <c r="H4153" s="51">
        <v>50.082999999999998</v>
      </c>
      <c r="J4153" s="51">
        <v>5.99</v>
      </c>
      <c r="K4153" s="74">
        <f>Tabela6[[#This Row],[CONSUMO]]*Tabela6[[#This Row],[VALOR UNIT]]-Tabela6[[#This Row],[DESCONTO]]</f>
        <v>299.99716999999998</v>
      </c>
      <c r="L4153" s="53">
        <f>Tabela6[[#This Row],[CUSTO TOTAL]]/Tabela6[[#This Row],[CONSUMO]]</f>
        <v>5.99</v>
      </c>
      <c r="M4153" s="50">
        <f>Tabela6[[#This Row],[KM ATUAL]]-E4098</f>
        <v>12837</v>
      </c>
      <c r="N4153" s="51">
        <f>Tabela6[[#This Row],[KM Rodados ]]/Tabela6[[#This Row],[CONSUMO]]</f>
        <v>256.31451790028552</v>
      </c>
    </row>
    <row r="4154" spans="1:14" x14ac:dyDescent="0.25">
      <c r="A4154" s="47">
        <v>247144</v>
      </c>
      <c r="B4154" s="78">
        <v>45352</v>
      </c>
      <c r="C4154" s="47" t="s">
        <v>40</v>
      </c>
      <c r="D4154" s="49" t="s">
        <v>262</v>
      </c>
      <c r="E4154" s="47">
        <v>189757</v>
      </c>
      <c r="G4154" s="50" t="s">
        <v>244</v>
      </c>
      <c r="H4154" s="51">
        <v>42.378999999999998</v>
      </c>
      <c r="J4154" s="51">
        <v>5.59</v>
      </c>
      <c r="K4154" s="74">
        <f>Tabela6[[#This Row],[CONSUMO]]*Tabela6[[#This Row],[VALOR UNIT]]-Tabela6[[#This Row],[DESCONTO]]</f>
        <v>236.89860999999999</v>
      </c>
      <c r="L4154" s="53">
        <f>Tabela6[[#This Row],[CUSTO TOTAL]]/Tabela6[[#This Row],[CONSUMO]]</f>
        <v>5.59</v>
      </c>
      <c r="M4154" s="50">
        <f>Tabela6[[#This Row],[KM ATUAL]]-E4099</f>
        <v>-168113</v>
      </c>
      <c r="N4154" s="51">
        <f>Tabela6[[#This Row],[KM Rodados ]]/Tabela6[[#This Row],[CONSUMO]]</f>
        <v>-3966.8939805092145</v>
      </c>
    </row>
    <row r="4155" spans="1:14" x14ac:dyDescent="0.25">
      <c r="A4155" s="47">
        <v>11058</v>
      </c>
      <c r="B4155" s="78">
        <v>45353</v>
      </c>
      <c r="C4155" s="47" t="s">
        <v>222</v>
      </c>
      <c r="D4155" s="49" t="s">
        <v>347</v>
      </c>
      <c r="E4155" s="47">
        <v>561216</v>
      </c>
      <c r="G4155" s="50" t="s">
        <v>241</v>
      </c>
      <c r="H4155" s="51">
        <v>25.291</v>
      </c>
      <c r="J4155" s="51">
        <v>2.99</v>
      </c>
      <c r="K4155" s="74">
        <f>Tabela6[[#This Row],[CONSUMO]]*Tabela6[[#This Row],[VALOR UNIT]]-Tabela6[[#This Row],[DESCONTO]]</f>
        <v>75.620090000000005</v>
      </c>
      <c r="L4155" s="53">
        <f>Tabela6[[#This Row],[CUSTO TOTAL]]/Tabela6[[#This Row],[CONSUMO]]</f>
        <v>2.99</v>
      </c>
      <c r="M4155" s="50">
        <f>Tabela6[[#This Row],[KM ATUAL]]-E4100</f>
        <v>560916</v>
      </c>
      <c r="N4155" s="51">
        <f>Tabela6[[#This Row],[KM Rodados ]]/Tabela6[[#This Row],[CONSUMO]]</f>
        <v>22178.482464117671</v>
      </c>
    </row>
    <row r="4156" spans="1:14" x14ac:dyDescent="0.25">
      <c r="A4156" s="47">
        <v>11057</v>
      </c>
      <c r="B4156" s="78">
        <v>45353</v>
      </c>
      <c r="C4156" s="47" t="s">
        <v>222</v>
      </c>
      <c r="D4156" s="49" t="s">
        <v>347</v>
      </c>
      <c r="E4156" s="47">
        <v>561216</v>
      </c>
      <c r="G4156" s="50" t="s">
        <v>89</v>
      </c>
      <c r="H4156" s="51">
        <v>500.88099999999997</v>
      </c>
      <c r="J4156" s="51">
        <v>5.79</v>
      </c>
      <c r="K4156" s="74">
        <f>Tabela6[[#This Row],[CONSUMO]]*Tabela6[[#This Row],[VALOR UNIT]]-Tabela6[[#This Row],[DESCONTO]]</f>
        <v>2900.1009899999999</v>
      </c>
      <c r="L4156" s="53">
        <f>Tabela6[[#This Row],[CUSTO TOTAL]]/Tabela6[[#This Row],[CONSUMO]]</f>
        <v>5.79</v>
      </c>
      <c r="M4156" s="50">
        <f>Tabela6[[#This Row],[KM ATUAL]]-E4101</f>
        <v>372857</v>
      </c>
      <c r="N4156" s="51">
        <f>Tabela6[[#This Row],[KM Rodados ]]/Tabela6[[#This Row],[CONSUMO]]</f>
        <v>744.40236303633003</v>
      </c>
    </row>
    <row r="4157" spans="1:14" x14ac:dyDescent="0.25">
      <c r="A4157" s="47">
        <v>676325</v>
      </c>
      <c r="B4157" s="78">
        <v>45353</v>
      </c>
      <c r="C4157" s="47" t="s">
        <v>301</v>
      </c>
      <c r="D4157" s="49" t="s">
        <v>275</v>
      </c>
      <c r="E4157" s="47">
        <v>1110159</v>
      </c>
      <c r="G4157" s="50" t="s">
        <v>89</v>
      </c>
      <c r="H4157" s="51">
        <v>364.99</v>
      </c>
      <c r="J4157" s="51">
        <v>5.89</v>
      </c>
      <c r="K4157" s="74">
        <f>Tabela6[[#This Row],[CONSUMO]]*Tabela6[[#This Row],[VALOR UNIT]]-Tabela6[[#This Row],[DESCONTO]]</f>
        <v>2149.7910999999999</v>
      </c>
      <c r="L4157" s="53">
        <f>Tabela6[[#This Row],[CUSTO TOTAL]]/Tabela6[[#This Row],[CONSUMO]]</f>
        <v>5.89</v>
      </c>
      <c r="M4157" s="50">
        <f>Tabela6[[#This Row],[KM ATUAL]]-E4102</f>
        <v>1090759</v>
      </c>
      <c r="N4157" s="51">
        <f>Tabela6[[#This Row],[KM Rodados ]]/Tabela6[[#This Row],[CONSUMO]]</f>
        <v>2988.4626976081536</v>
      </c>
    </row>
    <row r="4158" spans="1:14" x14ac:dyDescent="0.25">
      <c r="A4158" s="47">
        <v>178665</v>
      </c>
      <c r="B4158" s="78">
        <v>45354</v>
      </c>
      <c r="C4158" s="47" t="s">
        <v>315</v>
      </c>
      <c r="D4158" s="49" t="s">
        <v>253</v>
      </c>
      <c r="E4158" s="47">
        <v>21187</v>
      </c>
      <c r="G4158" s="50" t="s">
        <v>89</v>
      </c>
      <c r="H4158" s="51">
        <v>38.28</v>
      </c>
      <c r="J4158" s="51">
        <v>6.09</v>
      </c>
      <c r="K4158" s="74">
        <f>Tabela6[[#This Row],[CONSUMO]]*Tabela6[[#This Row],[VALOR UNIT]]-Tabela6[[#This Row],[DESCONTO]]</f>
        <v>233.12520000000001</v>
      </c>
      <c r="L4158" s="53">
        <f>Tabela6[[#This Row],[CUSTO TOTAL]]/Tabela6[[#This Row],[CONSUMO]]</f>
        <v>6.09</v>
      </c>
      <c r="M4158" s="50">
        <f>Tabela6[[#This Row],[KM ATUAL]]-E4103</f>
        <v>9077</v>
      </c>
      <c r="N4158" s="51">
        <f>Tabela6[[#This Row],[KM Rodados ]]/Tabela6[[#This Row],[CONSUMO]]</f>
        <v>237.12121212121212</v>
      </c>
    </row>
    <row r="4159" spans="1:14" x14ac:dyDescent="0.25">
      <c r="A4159" s="47">
        <v>178665</v>
      </c>
      <c r="B4159" s="78">
        <v>45354</v>
      </c>
      <c r="C4159" s="47" t="s">
        <v>315</v>
      </c>
      <c r="D4159" s="49" t="s">
        <v>253</v>
      </c>
      <c r="E4159" s="47">
        <v>21187</v>
      </c>
      <c r="G4159" s="50" t="s">
        <v>241</v>
      </c>
      <c r="H4159" s="51">
        <v>5.54</v>
      </c>
      <c r="J4159" s="51">
        <v>3.49</v>
      </c>
      <c r="K4159" s="74">
        <f>Tabela6[[#This Row],[CONSUMO]]*Tabela6[[#This Row],[VALOR UNIT]]-Tabela6[[#This Row],[DESCONTO]]</f>
        <v>19.334600000000002</v>
      </c>
      <c r="L4159" s="53">
        <f>Tabela6[[#This Row],[CUSTO TOTAL]]/Tabela6[[#This Row],[CONSUMO]]</f>
        <v>3.49</v>
      </c>
      <c r="M4159" s="50">
        <f>Tabela6[[#This Row],[KM ATUAL]]-E4104</f>
        <v>-158266</v>
      </c>
      <c r="N4159" s="51">
        <f>Tabela6[[#This Row],[KM Rodados ]]/Tabela6[[#This Row],[CONSUMO]]</f>
        <v>-28567.870036101081</v>
      </c>
    </row>
    <row r="4160" spans="1:14" x14ac:dyDescent="0.25">
      <c r="A4160" s="47">
        <v>247021</v>
      </c>
      <c r="B4160" s="78">
        <v>45355</v>
      </c>
      <c r="C4160" s="47" t="s">
        <v>42</v>
      </c>
      <c r="D4160" s="49" t="s">
        <v>262</v>
      </c>
      <c r="E4160" s="47">
        <v>386117</v>
      </c>
      <c r="G4160" s="50" t="s">
        <v>89</v>
      </c>
      <c r="H4160" s="51">
        <v>117.79</v>
      </c>
      <c r="J4160" s="51">
        <v>5.99</v>
      </c>
      <c r="K4160" s="74">
        <f>Tabela6[[#This Row],[CONSUMO]]*Tabela6[[#This Row],[VALOR UNIT]]-Tabela6[[#This Row],[DESCONTO]]</f>
        <v>705.5621000000001</v>
      </c>
      <c r="L4160" s="53">
        <f>Tabela6[[#This Row],[CUSTO TOTAL]]/Tabela6[[#This Row],[CONSUMO]]</f>
        <v>5.99</v>
      </c>
      <c r="M4160" s="50">
        <f>Tabela6[[#This Row],[KM ATUAL]]-E4105</f>
        <v>241257</v>
      </c>
      <c r="N4160" s="51">
        <f>Tabela6[[#This Row],[KM Rodados ]]/Tabela6[[#This Row],[CONSUMO]]</f>
        <v>2048.1959419305545</v>
      </c>
    </row>
    <row r="4161" spans="1:14" x14ac:dyDescent="0.25">
      <c r="A4161" s="47">
        <v>247143</v>
      </c>
      <c r="B4161" s="78">
        <v>45355</v>
      </c>
      <c r="C4161" s="47" t="s">
        <v>203</v>
      </c>
      <c r="D4161" s="49" t="s">
        <v>262</v>
      </c>
      <c r="E4161" s="47">
        <v>145850</v>
      </c>
      <c r="G4161" s="50" t="s">
        <v>244</v>
      </c>
      <c r="H4161" s="51">
        <v>42.66</v>
      </c>
      <c r="J4161" s="51">
        <v>5.59</v>
      </c>
      <c r="K4161" s="74">
        <f>Tabela6[[#This Row],[CONSUMO]]*Tabela6[[#This Row],[VALOR UNIT]]-Tabela6[[#This Row],[DESCONTO]]</f>
        <v>238.46939999999998</v>
      </c>
      <c r="L4161" s="53">
        <f>Tabela6[[#This Row],[CUSTO TOTAL]]/Tabela6[[#This Row],[CONSUMO]]</f>
        <v>5.59</v>
      </c>
      <c r="M4161" s="50">
        <f>Tabela6[[#This Row],[KM ATUAL]]-E4106</f>
        <v>1419</v>
      </c>
      <c r="N4161" s="51">
        <f>Tabela6[[#This Row],[KM Rodados ]]/Tabela6[[#This Row],[CONSUMO]]</f>
        <v>33.26300984528833</v>
      </c>
    </row>
    <row r="4162" spans="1:14" x14ac:dyDescent="0.25">
      <c r="A4162" s="47">
        <v>380516</v>
      </c>
      <c r="B4162" s="78">
        <v>45355</v>
      </c>
      <c r="C4162" s="47" t="s">
        <v>203</v>
      </c>
      <c r="D4162" s="49" t="s">
        <v>276</v>
      </c>
      <c r="E4162" s="47">
        <v>146411</v>
      </c>
      <c r="G4162" s="50" t="s">
        <v>244</v>
      </c>
      <c r="H4162" s="51">
        <v>44.64</v>
      </c>
      <c r="J4162" s="51">
        <v>5.69</v>
      </c>
      <c r="K4162" s="74">
        <f>Tabela6[[#This Row],[CONSUMO]]*Tabela6[[#This Row],[VALOR UNIT]]-Tabela6[[#This Row],[DESCONTO]]</f>
        <v>254.00160000000002</v>
      </c>
      <c r="L4162" s="53">
        <f>Tabela6[[#This Row],[CUSTO TOTAL]]/Tabela6[[#This Row],[CONSUMO]]</f>
        <v>5.69</v>
      </c>
      <c r="M4162" s="50">
        <f>Tabela6[[#This Row],[KM ATUAL]]-E4107</f>
        <v>-9147</v>
      </c>
      <c r="N4162" s="51">
        <f>Tabela6[[#This Row],[KM Rodados ]]/Tabela6[[#This Row],[CONSUMO]]</f>
        <v>-204.90591397849462</v>
      </c>
    </row>
    <row r="4163" spans="1:14" x14ac:dyDescent="0.25">
      <c r="A4163" s="47">
        <v>609893</v>
      </c>
      <c r="B4163" s="78">
        <v>45355</v>
      </c>
      <c r="C4163" s="47" t="s">
        <v>14</v>
      </c>
      <c r="D4163" s="49" t="s">
        <v>255</v>
      </c>
      <c r="E4163" s="47">
        <v>320935</v>
      </c>
      <c r="G4163" s="50" t="s">
        <v>244</v>
      </c>
      <c r="H4163" s="51">
        <v>41.62</v>
      </c>
      <c r="J4163" s="51">
        <v>5.84</v>
      </c>
      <c r="K4163" s="74">
        <f>Tabela6[[#This Row],[CONSUMO]]*Tabela6[[#This Row],[VALOR UNIT]]-Tabela6[[#This Row],[DESCONTO]]</f>
        <v>243.06079999999997</v>
      </c>
      <c r="L4163" s="53">
        <f>Tabela6[[#This Row],[CUSTO TOTAL]]/Tabela6[[#This Row],[CONSUMO]]</f>
        <v>5.84</v>
      </c>
      <c r="M4163" s="50">
        <f>Tabela6[[#This Row],[KM ATUAL]]-E4108</f>
        <v>1782</v>
      </c>
      <c r="N4163" s="51">
        <f>Tabela6[[#This Row],[KM Rodados ]]/Tabela6[[#This Row],[CONSUMO]]</f>
        <v>42.815953868332535</v>
      </c>
    </row>
    <row r="4164" spans="1:14" x14ac:dyDescent="0.25">
      <c r="A4164" s="109">
        <v>157616</v>
      </c>
      <c r="B4164" s="78">
        <v>45355</v>
      </c>
      <c r="C4164" s="47" t="s">
        <v>74</v>
      </c>
      <c r="D4164" s="49" t="s">
        <v>300</v>
      </c>
      <c r="E4164" s="47">
        <v>115545</v>
      </c>
      <c r="G4164" s="50" t="s">
        <v>89</v>
      </c>
      <c r="H4164" s="51">
        <v>100</v>
      </c>
      <c r="J4164" s="51">
        <v>5.69</v>
      </c>
      <c r="K4164" s="74">
        <f>Tabela6[[#This Row],[CONSUMO]]*Tabela6[[#This Row],[VALOR UNIT]]-Tabela6[[#This Row],[DESCONTO]]</f>
        <v>569</v>
      </c>
      <c r="L4164" s="53">
        <f>Tabela6[[#This Row],[CUSTO TOTAL]]/Tabela6[[#This Row],[CONSUMO]]</f>
        <v>5.69</v>
      </c>
      <c r="M4164" s="50">
        <f>Tabela6[[#This Row],[KM ATUAL]]-E4109</f>
        <v>-203563</v>
      </c>
      <c r="N4164" s="51">
        <f>Tabela6[[#This Row],[KM Rodados ]]/Tabela6[[#This Row],[CONSUMO]]</f>
        <v>-2035.63</v>
      </c>
    </row>
    <row r="4165" spans="1:14" x14ac:dyDescent="0.25">
      <c r="A4165" s="47">
        <v>175482</v>
      </c>
      <c r="B4165" s="78">
        <v>45355</v>
      </c>
      <c r="C4165" s="47" t="s">
        <v>315</v>
      </c>
      <c r="D4165" s="49" t="s">
        <v>253</v>
      </c>
      <c r="E4165" s="47">
        <v>20274</v>
      </c>
      <c r="G4165" s="50" t="s">
        <v>89</v>
      </c>
      <c r="H4165" s="51">
        <v>58.3</v>
      </c>
      <c r="J4165" s="51">
        <v>6.09</v>
      </c>
      <c r="K4165" s="74">
        <f>Tabela6[[#This Row],[CONSUMO]]*Tabela6[[#This Row],[VALOR UNIT]]-Tabela6[[#This Row],[DESCONTO]]</f>
        <v>355.04699999999997</v>
      </c>
      <c r="L4165" s="53">
        <f>Tabela6[[#This Row],[CUSTO TOTAL]]/Tabela6[[#This Row],[CONSUMO]]</f>
        <v>6.09</v>
      </c>
      <c r="M4165" s="50">
        <f>Tabela6[[#This Row],[KM ATUAL]]-E4110</f>
        <v>-124037</v>
      </c>
      <c r="N4165" s="51">
        <f>Tabela6[[#This Row],[KM Rodados ]]/Tabela6[[#This Row],[CONSUMO]]</f>
        <v>-2127.5643224699829</v>
      </c>
    </row>
    <row r="4166" spans="1:14" x14ac:dyDescent="0.25">
      <c r="A4166" s="47">
        <v>208960</v>
      </c>
      <c r="B4166" s="78">
        <v>45355</v>
      </c>
      <c r="C4166" s="47" t="s">
        <v>401</v>
      </c>
      <c r="D4166" s="49" t="s">
        <v>335</v>
      </c>
      <c r="E4166" s="47">
        <v>14804</v>
      </c>
      <c r="G4166" s="50" t="s">
        <v>89</v>
      </c>
      <c r="H4166" s="51">
        <v>110.431</v>
      </c>
      <c r="I4166" s="49">
        <v>18.78</v>
      </c>
      <c r="J4166" s="51">
        <v>6.13</v>
      </c>
      <c r="K4166" s="74">
        <f>Tabela6[[#This Row],[CONSUMO]]*Tabela6[[#This Row],[VALOR UNIT]]-Tabela6[[#This Row],[DESCONTO]]</f>
        <v>658.16202999999996</v>
      </c>
      <c r="L4166" s="53">
        <f>Tabela6[[#This Row],[CUSTO TOTAL]]/Tabela6[[#This Row],[CONSUMO]]</f>
        <v>5.9599390569676993</v>
      </c>
      <c r="M4166" s="50">
        <f>Tabela6[[#This Row],[KM ATUAL]]-E4111</f>
        <v>-12861</v>
      </c>
      <c r="N4166" s="51">
        <f>Tabela6[[#This Row],[KM Rodados ]]/Tabela6[[#This Row],[CONSUMO]]</f>
        <v>-116.46186306381361</v>
      </c>
    </row>
    <row r="4167" spans="1:14" x14ac:dyDescent="0.25">
      <c r="A4167" s="47">
        <v>201511</v>
      </c>
      <c r="B4167" s="78">
        <v>45356</v>
      </c>
      <c r="C4167" s="47" t="s">
        <v>43</v>
      </c>
      <c r="D4167" s="49" t="s">
        <v>263</v>
      </c>
      <c r="E4167" s="47">
        <v>181498</v>
      </c>
      <c r="G4167" s="50" t="s">
        <v>89</v>
      </c>
      <c r="H4167" s="51">
        <v>24.760999999999999</v>
      </c>
      <c r="I4167" s="49">
        <v>2.48</v>
      </c>
      <c r="J4167" s="51">
        <v>5.89</v>
      </c>
      <c r="K4167" s="74">
        <f>Tabela6[[#This Row],[CONSUMO]]*Tabela6[[#This Row],[VALOR UNIT]]-Tabela6[[#This Row],[DESCONTO]]</f>
        <v>143.36229</v>
      </c>
      <c r="L4167" s="53">
        <f>Tabela6[[#This Row],[CUSTO TOTAL]]/Tabela6[[#This Row],[CONSUMO]]</f>
        <v>5.789842494244982</v>
      </c>
      <c r="M4167" s="50">
        <f>Tabela6[[#This Row],[KM ATUAL]]-E4112</f>
        <v>24857</v>
      </c>
      <c r="N4167" s="51">
        <f>Tabela6[[#This Row],[KM Rodados ]]/Tabela6[[#This Row],[CONSUMO]]</f>
        <v>1003.877064738904</v>
      </c>
    </row>
    <row r="4168" spans="1:14" x14ac:dyDescent="0.25">
      <c r="A4168" s="47">
        <v>176685</v>
      </c>
      <c r="B4168" s="78">
        <v>45356</v>
      </c>
      <c r="C4168" s="47" t="s">
        <v>43</v>
      </c>
      <c r="D4168" s="49" t="s">
        <v>263</v>
      </c>
      <c r="E4168" s="47">
        <v>181831</v>
      </c>
      <c r="G4168" s="50" t="s">
        <v>89</v>
      </c>
      <c r="H4168" s="51">
        <v>35.92</v>
      </c>
      <c r="J4168" s="51">
        <v>6.09</v>
      </c>
      <c r="K4168" s="74">
        <f>Tabela6[[#This Row],[CONSUMO]]*Tabela6[[#This Row],[VALOR UNIT]]-Tabela6[[#This Row],[DESCONTO]]</f>
        <v>218.75280000000001</v>
      </c>
      <c r="L4168" s="53">
        <f>Tabela6[[#This Row],[CUSTO TOTAL]]/Tabela6[[#This Row],[CONSUMO]]</f>
        <v>6.09</v>
      </c>
      <c r="M4168" s="50">
        <f>Tabela6[[#This Row],[KM ATUAL]]-E4113</f>
        <v>25190</v>
      </c>
      <c r="N4168" s="51">
        <f>Tabela6[[#This Row],[KM Rodados ]]/Tabela6[[#This Row],[CONSUMO]]</f>
        <v>701.28062360801778</v>
      </c>
    </row>
    <row r="4169" spans="1:14" ht="14.25" customHeight="1" x14ac:dyDescent="0.25">
      <c r="A4169" s="47">
        <v>406773</v>
      </c>
      <c r="B4169" s="78">
        <v>45356</v>
      </c>
      <c r="C4169" s="47" t="s">
        <v>222</v>
      </c>
      <c r="D4169" s="49" t="s">
        <v>343</v>
      </c>
      <c r="E4169" s="47">
        <v>562509</v>
      </c>
      <c r="G4169" s="50" t="s">
        <v>89</v>
      </c>
      <c r="H4169" s="51">
        <v>507.00200000000001</v>
      </c>
      <c r="J4169" s="51">
        <v>5.59</v>
      </c>
      <c r="K4169" s="74">
        <f>Tabela6[[#This Row],[CONSUMO]]*Tabela6[[#This Row],[VALOR UNIT]]-Tabela6[[#This Row],[DESCONTO]]</f>
        <v>2834.1411800000001</v>
      </c>
      <c r="L4169" s="53">
        <f>Tabela6[[#This Row],[CUSTO TOTAL]]/Tabela6[[#This Row],[CONSUMO]]</f>
        <v>5.59</v>
      </c>
      <c r="M4169" s="50">
        <f>Tabela6[[#This Row],[KM ATUAL]]-E4114</f>
        <v>533709</v>
      </c>
      <c r="N4169" s="51">
        <f>Tabela6[[#This Row],[KM Rodados ]]/Tabela6[[#This Row],[CONSUMO]]</f>
        <v>1052.6763208034681</v>
      </c>
    </row>
    <row r="4170" spans="1:14" ht="14.25" customHeight="1" x14ac:dyDescent="0.25">
      <c r="A4170" s="47">
        <v>406774</v>
      </c>
      <c r="B4170" s="78">
        <v>45356</v>
      </c>
      <c r="C4170" s="47" t="s">
        <v>222</v>
      </c>
      <c r="D4170" s="49" t="s">
        <v>343</v>
      </c>
      <c r="E4170" s="47">
        <v>562509</v>
      </c>
      <c r="G4170" s="50" t="s">
        <v>241</v>
      </c>
      <c r="H4170" s="51">
        <v>34.630000000000003</v>
      </c>
      <c r="I4170" s="49">
        <v>2.99</v>
      </c>
      <c r="K4170" s="74">
        <f>Tabela6[[#This Row],[CONSUMO]]*Tabela6[[#This Row],[VALOR UNIT]]-Tabela6[[#This Row],[DESCONTO]]</f>
        <v>-2.99</v>
      </c>
      <c r="L4170" s="53">
        <f>Tabela6[[#This Row],[CUSTO TOTAL]]/Tabela6[[#This Row],[CONSUMO]]</f>
        <v>-8.6341322552699967E-2</v>
      </c>
      <c r="M4170" s="50">
        <f>Tabela6[[#This Row],[KM ATUAL]]-E4115</f>
        <v>533709</v>
      </c>
      <c r="N4170" s="51">
        <f>Tabela6[[#This Row],[KM Rodados ]]/Tabela6[[#This Row],[CONSUMO]]</f>
        <v>15411.752815477908</v>
      </c>
    </row>
    <row r="4171" spans="1:14" ht="14.25" customHeight="1" x14ac:dyDescent="0.25">
      <c r="A4171" s="47">
        <v>176356</v>
      </c>
      <c r="B4171" s="78">
        <v>45356</v>
      </c>
      <c r="C4171" s="47" t="s">
        <v>11</v>
      </c>
      <c r="D4171" s="49" t="s">
        <v>253</v>
      </c>
      <c r="E4171" s="47">
        <v>412253</v>
      </c>
      <c r="G4171" s="50" t="s">
        <v>89</v>
      </c>
      <c r="H4171" s="51">
        <v>120.73</v>
      </c>
      <c r="J4171" s="51">
        <v>6.09</v>
      </c>
      <c r="K4171" s="74">
        <f>Tabela6[[#This Row],[CONSUMO]]*Tabela6[[#This Row],[VALOR UNIT]]-Tabela6[[#This Row],[DESCONTO]]</f>
        <v>735.24570000000006</v>
      </c>
      <c r="L4171" s="53">
        <f>Tabela6[[#This Row],[CUSTO TOTAL]]/Tabela6[[#This Row],[CONSUMO]]</f>
        <v>6.09</v>
      </c>
      <c r="M4171" s="50">
        <f>Tabela6[[#This Row],[KM ATUAL]]-E4116</f>
        <v>57577</v>
      </c>
      <c r="N4171" s="51">
        <f>Tabela6[[#This Row],[KM Rodados ]]/Tabela6[[#This Row],[CONSUMO]]</f>
        <v>476.90714818189349</v>
      </c>
    </row>
    <row r="4172" spans="1:14" ht="15.75" thickBot="1" x14ac:dyDescent="0.3">
      <c r="A4172" s="113">
        <v>126891</v>
      </c>
      <c r="B4172" s="78">
        <v>45356</v>
      </c>
      <c r="C4172" s="47" t="s">
        <v>301</v>
      </c>
      <c r="D4172" s="49" t="s">
        <v>237</v>
      </c>
      <c r="E4172" s="47">
        <v>1110226</v>
      </c>
      <c r="G4172" s="50" t="s">
        <v>89</v>
      </c>
      <c r="H4172" s="51">
        <v>150</v>
      </c>
      <c r="I4172" s="49">
        <v>219</v>
      </c>
      <c r="J4172" s="51">
        <v>7.05</v>
      </c>
      <c r="K4172" s="74">
        <f>Tabela6[[#This Row],[CONSUMO]]*Tabela6[[#This Row],[VALOR UNIT]]-Tabela6[[#This Row],[DESCONTO]]</f>
        <v>838.5</v>
      </c>
      <c r="L4172" s="53">
        <f>Tabela6[[#This Row],[CUSTO TOTAL]]/Tabela6[[#This Row],[CONSUMO]]</f>
        <v>5.59</v>
      </c>
      <c r="M4172" s="50">
        <f>Tabela6[[#This Row],[KM ATUAL]]-E4117</f>
        <v>990720</v>
      </c>
      <c r="N4172" s="51">
        <f>Tabela6[[#This Row],[KM Rodados ]]/Tabela6[[#This Row],[CONSUMO]]</f>
        <v>6604.8</v>
      </c>
    </row>
    <row r="4173" spans="1:14" ht="17.45" customHeight="1" x14ac:dyDescent="0.25">
      <c r="A4173" s="112">
        <v>3311</v>
      </c>
      <c r="B4173" s="78">
        <v>45356</v>
      </c>
      <c r="C4173" s="47" t="s">
        <v>301</v>
      </c>
      <c r="D4173" s="49" t="s">
        <v>324</v>
      </c>
      <c r="E4173" s="47">
        <v>1110232</v>
      </c>
      <c r="G4173" s="50" t="s">
        <v>89</v>
      </c>
      <c r="H4173" s="51">
        <v>300</v>
      </c>
      <c r="J4173" s="51">
        <v>5.45</v>
      </c>
      <c r="K4173" s="74">
        <f>Tabela6[[#This Row],[CONSUMO]]*Tabela6[[#This Row],[VALOR UNIT]]-Tabela6[[#This Row],[DESCONTO]]</f>
        <v>1635</v>
      </c>
      <c r="L4173" s="53">
        <f>Tabela6[[#This Row],[CUSTO TOTAL]]/Tabela6[[#This Row],[CONSUMO]]</f>
        <v>5.45</v>
      </c>
      <c r="M4173" s="50">
        <f>Tabela6[[#This Row],[KM ATUAL]]-E4118</f>
        <v>990726</v>
      </c>
      <c r="N4173" s="51">
        <f>Tabela6[[#This Row],[KM Rodados ]]/Tabela6[[#This Row],[CONSUMO]]</f>
        <v>3302.42</v>
      </c>
    </row>
    <row r="4174" spans="1:14" x14ac:dyDescent="0.25">
      <c r="A4174" s="47">
        <v>248254</v>
      </c>
      <c r="B4174" s="78">
        <v>45356</v>
      </c>
      <c r="C4174" s="47" t="s">
        <v>14</v>
      </c>
      <c r="D4174" s="49" t="s">
        <v>262</v>
      </c>
      <c r="E4174" s="47">
        <v>321201</v>
      </c>
      <c r="G4174" s="50" t="s">
        <v>244</v>
      </c>
      <c r="H4174" s="51">
        <v>20.209</v>
      </c>
      <c r="J4174" s="51">
        <v>5.59</v>
      </c>
      <c r="K4174" s="74">
        <f>Tabela6[[#This Row],[CONSUMO]]*Tabela6[[#This Row],[VALOR UNIT]]-Tabela6[[#This Row],[DESCONTO]]</f>
        <v>112.96830999999999</v>
      </c>
      <c r="L4174" s="53">
        <f>Tabela6[[#This Row],[CUSTO TOTAL]]/Tabela6[[#This Row],[CONSUMO]]</f>
        <v>5.59</v>
      </c>
      <c r="M4174" s="50">
        <f>Tabela6[[#This Row],[KM ATUAL]]-E4119</f>
        <v>175852</v>
      </c>
      <c r="N4174" s="51">
        <f>Tabela6[[#This Row],[KM Rodados ]]/Tabela6[[#This Row],[CONSUMO]]</f>
        <v>8701.667573853234</v>
      </c>
    </row>
    <row r="4175" spans="1:14" x14ac:dyDescent="0.25">
      <c r="A4175" s="47">
        <v>248120</v>
      </c>
      <c r="B4175" s="78">
        <v>45356</v>
      </c>
      <c r="C4175" s="49" t="s">
        <v>15</v>
      </c>
      <c r="D4175" s="49" t="s">
        <v>262</v>
      </c>
      <c r="E4175" s="47">
        <v>416102</v>
      </c>
      <c r="G4175" s="49" t="s">
        <v>241</v>
      </c>
      <c r="H4175" s="51">
        <v>19.079000000000001</v>
      </c>
      <c r="I4175" s="49">
        <v>6.87</v>
      </c>
      <c r="J4175" s="51">
        <v>3.69</v>
      </c>
      <c r="K4175" s="74">
        <f>Tabela6[[#This Row],[CONSUMO]]*Tabela6[[#This Row],[VALOR UNIT]]-Tabela6[[#This Row],[DESCONTO]]</f>
        <v>63.531510000000004</v>
      </c>
      <c r="M4175" s="50">
        <f>Tabela6[[#This Row],[KM ATUAL]]-E4120</f>
        <v>-27334</v>
      </c>
      <c r="N4175" s="51">
        <f>Tabela6[[#This Row],[KM Rodados ]]/Tabela6[[#This Row],[CONSUMO]]</f>
        <v>-1432.674668483673</v>
      </c>
    </row>
    <row r="4176" spans="1:14" ht="13.7" customHeight="1" x14ac:dyDescent="0.25">
      <c r="A4176" s="114">
        <v>310265</v>
      </c>
      <c r="B4176" s="78">
        <v>45356</v>
      </c>
      <c r="C4176" s="47" t="s">
        <v>16</v>
      </c>
      <c r="D4176" s="49" t="s">
        <v>255</v>
      </c>
      <c r="E4176" s="47">
        <v>317127</v>
      </c>
      <c r="G4176" s="50" t="s">
        <v>89</v>
      </c>
      <c r="H4176" s="51">
        <v>109.51</v>
      </c>
      <c r="J4176" s="51">
        <v>6.16</v>
      </c>
      <c r="K4176" s="74">
        <f>Tabela6[[#This Row],[CONSUMO]]*Tabela6[[#This Row],[VALOR UNIT]]-Tabela6[[#This Row],[DESCONTO]]</f>
        <v>674.58160000000009</v>
      </c>
      <c r="L4176" s="53">
        <f>Tabela6[[#This Row],[CUSTO TOTAL]]/Tabela6[[#This Row],[CONSUMO]]</f>
        <v>6.16</v>
      </c>
      <c r="M4176" s="50">
        <f>Tabela6[[#This Row],[KM ATUAL]]-E4121</f>
        <v>-15385</v>
      </c>
      <c r="N4176" s="51">
        <f>Tabela6[[#This Row],[KM Rodados ]]/Tabela6[[#This Row],[CONSUMO]]</f>
        <v>-140.48945301798921</v>
      </c>
    </row>
    <row r="4177" spans="1:14" x14ac:dyDescent="0.25">
      <c r="A4177" s="114">
        <v>610250</v>
      </c>
      <c r="B4177" s="78">
        <v>45356</v>
      </c>
      <c r="C4177" s="47" t="s">
        <v>20</v>
      </c>
      <c r="D4177" s="49" t="s">
        <v>255</v>
      </c>
      <c r="E4177" s="47">
        <v>303605</v>
      </c>
      <c r="G4177" s="50" t="s">
        <v>89</v>
      </c>
      <c r="H4177" s="51">
        <v>87.850999999999999</v>
      </c>
      <c r="J4177" s="51">
        <v>6.16</v>
      </c>
      <c r="K4177" s="74">
        <f>Tabela6[[#This Row],[CONSUMO]]*Tabela6[[#This Row],[VALOR UNIT]]-Tabela6[[#This Row],[DESCONTO]]</f>
        <v>541.16215999999997</v>
      </c>
      <c r="L4177" s="53">
        <f>Tabela6[[#This Row],[CUSTO TOTAL]]/Tabela6[[#This Row],[CONSUMO]]</f>
        <v>6.16</v>
      </c>
      <c r="M4177" s="50">
        <f>Tabela6[[#This Row],[KM ATUAL]]-E4122</f>
        <v>-45387</v>
      </c>
      <c r="N4177" s="51">
        <f>Tabela6[[#This Row],[KM Rodados ]]/Tabela6[[#This Row],[CONSUMO]]</f>
        <v>-516.63612252563996</v>
      </c>
    </row>
    <row r="4178" spans="1:14" x14ac:dyDescent="0.25">
      <c r="A4178" s="47">
        <v>177110</v>
      </c>
      <c r="B4178" s="78">
        <v>45357</v>
      </c>
      <c r="C4178" s="47" t="s">
        <v>39</v>
      </c>
      <c r="D4178" s="49" t="s">
        <v>253</v>
      </c>
      <c r="E4178" s="47">
        <v>120005</v>
      </c>
      <c r="G4178" s="50" t="s">
        <v>89</v>
      </c>
      <c r="H4178" s="51">
        <v>97.34</v>
      </c>
      <c r="J4178" s="51">
        <v>6.09</v>
      </c>
      <c r="K4178" s="74">
        <f>Tabela6[[#This Row],[CONSUMO]]*Tabela6[[#This Row],[VALOR UNIT]]-Tabela6[[#This Row],[DESCONTO]]</f>
        <v>592.80060000000003</v>
      </c>
      <c r="L4178" s="53">
        <f>Tabela6[[#This Row],[CUSTO TOTAL]]/Tabela6[[#This Row],[CONSUMO]]</f>
        <v>6.09</v>
      </c>
      <c r="M4178" s="50">
        <f>Tabela6[[#This Row],[KM ATUAL]]-E4123</f>
        <v>107060</v>
      </c>
      <c r="N4178" s="51">
        <f>Tabela6[[#This Row],[KM Rodados ]]/Tabela6[[#This Row],[CONSUMO]]</f>
        <v>1099.8561742346415</v>
      </c>
    </row>
    <row r="4179" spans="1:14" x14ac:dyDescent="0.25">
      <c r="A4179" s="47">
        <v>1026886</v>
      </c>
      <c r="B4179" s="78">
        <v>45357</v>
      </c>
      <c r="C4179" s="47" t="s">
        <v>203</v>
      </c>
      <c r="D4179" s="49" t="s">
        <v>307</v>
      </c>
      <c r="E4179" s="47">
        <v>146985</v>
      </c>
      <c r="G4179" s="50" t="s">
        <v>244</v>
      </c>
      <c r="H4179" s="51">
        <v>43.826999999999998</v>
      </c>
      <c r="J4179" s="51">
        <v>5.65</v>
      </c>
      <c r="K4179" s="74">
        <f>Tabela6[[#This Row],[CONSUMO]]*Tabela6[[#This Row],[VALOR UNIT]]-Tabela6[[#This Row],[DESCONTO]]</f>
        <v>247.62255000000002</v>
      </c>
      <c r="L4179" s="53">
        <f>Tabela6[[#This Row],[CUSTO TOTAL]]/Tabela6[[#This Row],[CONSUMO]]</f>
        <v>5.65</v>
      </c>
      <c r="M4179" s="50">
        <f>Tabela6[[#This Row],[KM ATUAL]]-E4124</f>
        <v>-813151</v>
      </c>
      <c r="N4179" s="51">
        <f>Tabela6[[#This Row],[KM Rodados ]]/Tabela6[[#This Row],[CONSUMO]]</f>
        <v>-18553.654140141924</v>
      </c>
    </row>
    <row r="4180" spans="1:14" x14ac:dyDescent="0.25">
      <c r="A4180" s="47">
        <v>158732</v>
      </c>
      <c r="B4180" s="78">
        <v>45357</v>
      </c>
      <c r="C4180" s="47" t="s">
        <v>72</v>
      </c>
      <c r="D4180" s="49" t="s">
        <v>300</v>
      </c>
      <c r="E4180" s="47">
        <v>445377</v>
      </c>
      <c r="G4180" s="50" t="s">
        <v>89</v>
      </c>
      <c r="H4180" s="51">
        <v>17.574999999999999</v>
      </c>
      <c r="J4180" s="51">
        <v>5.69</v>
      </c>
      <c r="K4180" s="74">
        <f>Tabela6[[#This Row],[CONSUMO]]*Tabela6[[#This Row],[VALOR UNIT]]-Tabela6[[#This Row],[DESCONTO]]</f>
        <v>100.00175</v>
      </c>
      <c r="L4180" s="53">
        <f>Tabela6[[#This Row],[CUSTO TOTAL]]/Tabela6[[#This Row],[CONSUMO]]</f>
        <v>5.69</v>
      </c>
      <c r="M4180" s="50">
        <f>Tabela6[[#This Row],[KM ATUAL]]-E4125</f>
        <v>-257078</v>
      </c>
      <c r="N4180" s="51">
        <f>Tabela6[[#This Row],[KM Rodados ]]/Tabela6[[#This Row],[CONSUMO]]</f>
        <v>-14627.482219061167</v>
      </c>
    </row>
    <row r="4181" spans="1:14" x14ac:dyDescent="0.25">
      <c r="A4181" s="47">
        <v>177434</v>
      </c>
      <c r="B4181" s="78">
        <v>45357</v>
      </c>
      <c r="C4181" s="47" t="s">
        <v>12</v>
      </c>
      <c r="D4181" s="49" t="s">
        <v>253</v>
      </c>
      <c r="E4181" s="47">
        <v>333118</v>
      </c>
      <c r="G4181" s="50" t="s">
        <v>89</v>
      </c>
      <c r="H4181" s="51">
        <v>119.06</v>
      </c>
      <c r="J4181" s="51">
        <v>6.09</v>
      </c>
      <c r="K4181" s="74">
        <f>Tabela6[[#This Row],[CONSUMO]]*Tabela6[[#This Row],[VALOR UNIT]]-Tabela6[[#This Row],[DESCONTO]]</f>
        <v>725.07539999999995</v>
      </c>
      <c r="L4181" s="53">
        <f>Tabela6[[#This Row],[CUSTO TOTAL]]/Tabela6[[#This Row],[CONSUMO]]</f>
        <v>6.09</v>
      </c>
      <c r="M4181" s="50">
        <f>Tabela6[[#This Row],[KM ATUAL]]-E4126</f>
        <v>13299</v>
      </c>
      <c r="N4181" s="51">
        <f>Tabela6[[#This Row],[KM Rodados ]]/Tabela6[[#This Row],[CONSUMO]]</f>
        <v>111.69998320174702</v>
      </c>
    </row>
    <row r="4182" spans="1:14" x14ac:dyDescent="0.25">
      <c r="A4182" s="47">
        <v>610425</v>
      </c>
      <c r="B4182" s="78">
        <v>45357</v>
      </c>
      <c r="C4182" s="47" t="s">
        <v>38</v>
      </c>
      <c r="D4182" s="49" t="s">
        <v>255</v>
      </c>
      <c r="E4182" s="47">
        <v>144772</v>
      </c>
      <c r="G4182" s="50" t="s">
        <v>244</v>
      </c>
      <c r="H4182" s="51">
        <v>49.77</v>
      </c>
      <c r="J4182" s="51">
        <v>5.59</v>
      </c>
      <c r="K4182" s="74">
        <f>Tabela6[[#This Row],[CONSUMO]]*Tabela6[[#This Row],[VALOR UNIT]]-Tabela6[[#This Row],[DESCONTO]]</f>
        <v>278.21430000000004</v>
      </c>
      <c r="L4182" s="53">
        <f>Tabela6[[#This Row],[CUSTO TOTAL]]/Tabela6[[#This Row],[CONSUMO]]</f>
        <v>5.5900000000000007</v>
      </c>
      <c r="M4182" s="50">
        <f>Tabela6[[#This Row],[KM ATUAL]]-E4127</f>
        <v>-171254</v>
      </c>
      <c r="N4182" s="51">
        <f>Tabela6[[#This Row],[KM Rodados ]]/Tabela6[[#This Row],[CONSUMO]]</f>
        <v>-3440.9081776170383</v>
      </c>
    </row>
    <row r="4183" spans="1:14" x14ac:dyDescent="0.25">
      <c r="A4183" s="47">
        <v>248632</v>
      </c>
      <c r="B4183" s="78">
        <v>45358</v>
      </c>
      <c r="C4183" s="47" t="s">
        <v>14</v>
      </c>
      <c r="D4183" s="49" t="s">
        <v>262</v>
      </c>
      <c r="E4183" s="47">
        <v>321771</v>
      </c>
      <c r="G4183" s="50" t="s">
        <v>244</v>
      </c>
      <c r="H4183" s="51">
        <v>41.890999999999998</v>
      </c>
      <c r="J4183" s="51">
        <v>5.59</v>
      </c>
      <c r="K4183" s="74">
        <f>Tabela6[[#This Row],[CONSUMO]]*Tabela6[[#This Row],[VALOR UNIT]]-Tabela6[[#This Row],[DESCONTO]]</f>
        <v>234.17068999999998</v>
      </c>
      <c r="L4183" s="53">
        <f>Tabela6[[#This Row],[CUSTO TOTAL]]/Tabela6[[#This Row],[CONSUMO]]</f>
        <v>5.59</v>
      </c>
      <c r="M4183" s="50">
        <f>Tabela6[[#This Row],[KM ATUAL]]-E4128</f>
        <v>132454</v>
      </c>
      <c r="N4183" s="51">
        <f>Tabela6[[#This Row],[KM Rodados ]]/Tabela6[[#This Row],[CONSUMO]]</f>
        <v>3161.8724785753507</v>
      </c>
    </row>
    <row r="4184" spans="1:14" x14ac:dyDescent="0.25">
      <c r="A4184" s="47">
        <v>381345</v>
      </c>
      <c r="B4184" s="78">
        <v>45358</v>
      </c>
      <c r="C4184" s="47" t="s">
        <v>74</v>
      </c>
      <c r="D4184" s="49" t="s">
        <v>276</v>
      </c>
      <c r="E4184" s="47">
        <v>116976</v>
      </c>
      <c r="G4184" s="50" t="s">
        <v>241</v>
      </c>
      <c r="H4184" s="51">
        <v>55.88</v>
      </c>
      <c r="J4184" s="51">
        <v>6.09</v>
      </c>
      <c r="K4184" s="74">
        <f>Tabela6[[#This Row],[CONSUMO]]*Tabela6[[#This Row],[VALOR UNIT]]-Tabela6[[#This Row],[DESCONTO]]</f>
        <v>340.30920000000003</v>
      </c>
      <c r="L4184" s="53">
        <f>Tabela6[[#This Row],[CUSTO TOTAL]]/Tabela6[[#This Row],[CONSUMO]]</f>
        <v>6.0900000000000007</v>
      </c>
      <c r="M4184" s="50">
        <f>Tabela6[[#This Row],[KM ATUAL]]-E4129</f>
        <v>97049</v>
      </c>
      <c r="N4184" s="51">
        <f>Tabela6[[#This Row],[KM Rodados ]]/Tabela6[[#This Row],[CONSUMO]]</f>
        <v>1736.7394416607015</v>
      </c>
    </row>
    <row r="4185" spans="1:14" x14ac:dyDescent="0.25">
      <c r="A4185" s="47">
        <v>40309</v>
      </c>
      <c r="B4185" s="78">
        <v>45358</v>
      </c>
      <c r="C4185" s="47" t="s">
        <v>401</v>
      </c>
      <c r="D4185" s="49" t="s">
        <v>247</v>
      </c>
      <c r="E4185" s="47">
        <v>16932</v>
      </c>
      <c r="G4185" s="50" t="s">
        <v>89</v>
      </c>
      <c r="H4185" s="51">
        <v>83.47</v>
      </c>
      <c r="J4185" s="51">
        <v>5.99</v>
      </c>
      <c r="K4185" s="74">
        <f>Tabela6[[#This Row],[CONSUMO]]*Tabela6[[#This Row],[VALOR UNIT]]-Tabela6[[#This Row],[DESCONTO]]</f>
        <v>499.9853</v>
      </c>
      <c r="L4185" s="53">
        <f>Tabela6[[#This Row],[CUSTO TOTAL]]/Tabela6[[#This Row],[CONSUMO]]</f>
        <v>5.99</v>
      </c>
      <c r="M4185" s="50">
        <f>Tabela6[[#This Row],[KM ATUAL]]-E4130</f>
        <v>1581</v>
      </c>
      <c r="N4185" s="51">
        <f>Tabela6[[#This Row],[KM Rodados ]]/Tabela6[[#This Row],[CONSUMO]]</f>
        <v>18.94093686354379</v>
      </c>
    </row>
    <row r="4186" spans="1:14" x14ac:dyDescent="0.25">
      <c r="A4186" s="47">
        <v>140804</v>
      </c>
      <c r="B4186" s="78">
        <v>45359</v>
      </c>
      <c r="C4186" s="47" t="s">
        <v>68</v>
      </c>
      <c r="D4186" s="49" t="s">
        <v>279</v>
      </c>
      <c r="E4186" s="47">
        <v>963007</v>
      </c>
      <c r="G4186" s="50" t="s">
        <v>89</v>
      </c>
      <c r="H4186" s="51">
        <v>484.25</v>
      </c>
      <c r="J4186" s="51">
        <v>5.44</v>
      </c>
      <c r="K4186" s="74">
        <f>Tabela6[[#This Row],[CONSUMO]]*Tabela6[[#This Row],[VALOR UNIT]]-Tabela6[[#This Row],[DESCONTO]]</f>
        <v>2634.32</v>
      </c>
      <c r="L4186" s="53">
        <f>Tabela6[[#This Row],[CUSTO TOTAL]]/Tabela6[[#This Row],[CONSUMO]]</f>
        <v>5.44</v>
      </c>
      <c r="M4186" s="50">
        <f>Tabela6[[#This Row],[KM ATUAL]]-E4131</f>
        <v>782802</v>
      </c>
      <c r="N4186" s="51">
        <f>Tabela6[[#This Row],[KM Rodados ]]/Tabela6[[#This Row],[CONSUMO]]</f>
        <v>1616.5245224574085</v>
      </c>
    </row>
    <row r="4187" spans="1:14" x14ac:dyDescent="0.25">
      <c r="A4187" s="47">
        <v>248797</v>
      </c>
      <c r="B4187" s="78">
        <v>45359</v>
      </c>
      <c r="C4187" s="47" t="s">
        <v>43</v>
      </c>
      <c r="D4187" s="49" t="s">
        <v>262</v>
      </c>
      <c r="E4187" s="47">
        <v>182333</v>
      </c>
      <c r="G4187" s="50" t="s">
        <v>89</v>
      </c>
      <c r="H4187" s="51">
        <v>16.649000000000001</v>
      </c>
      <c r="J4187" s="51">
        <v>5.99</v>
      </c>
      <c r="K4187" s="74">
        <f>Tabela6[[#This Row],[CONSUMO]]*Tabela6[[#This Row],[VALOR UNIT]]-Tabela6[[#This Row],[DESCONTO]]</f>
        <v>99.727510000000009</v>
      </c>
      <c r="L4187" s="53">
        <f>Tabela6[[#This Row],[CUSTO TOTAL]]/Tabela6[[#This Row],[CONSUMO]]</f>
        <v>5.99</v>
      </c>
      <c r="M4187" s="50">
        <f>Tabela6[[#This Row],[KM ATUAL]]-E4132</f>
        <v>1784</v>
      </c>
      <c r="N4187" s="51">
        <f>Tabela6[[#This Row],[KM Rodados ]]/Tabela6[[#This Row],[CONSUMO]]</f>
        <v>107.15358279776562</v>
      </c>
    </row>
    <row r="4188" spans="1:14" x14ac:dyDescent="0.25">
      <c r="A4188" s="47">
        <v>140804</v>
      </c>
      <c r="B4188" s="78">
        <v>45359</v>
      </c>
      <c r="C4188" s="47" t="s">
        <v>43</v>
      </c>
      <c r="D4188" s="49" t="s">
        <v>279</v>
      </c>
      <c r="E4188" s="47">
        <v>963007</v>
      </c>
      <c r="G4188" s="50" t="s">
        <v>89</v>
      </c>
      <c r="H4188" s="51">
        <v>484.25</v>
      </c>
      <c r="J4188" s="51">
        <v>5.45</v>
      </c>
      <c r="K4188" s="74">
        <f>Tabela6[[#This Row],[CONSUMO]]*Tabela6[[#This Row],[VALOR UNIT]]-Tabela6[[#This Row],[DESCONTO]]</f>
        <v>2639.1624999999999</v>
      </c>
      <c r="L4188" s="53">
        <f>Tabela6[[#This Row],[CUSTO TOTAL]]/Tabela6[[#This Row],[CONSUMO]]</f>
        <v>5.45</v>
      </c>
      <c r="M4188" s="50">
        <f>Tabela6[[#This Row],[KM ATUAL]]-E4133</f>
        <v>313331</v>
      </c>
      <c r="N4188" s="51">
        <f>Tabela6[[#This Row],[KM Rodados ]]/Tabela6[[#This Row],[CONSUMO]]</f>
        <v>647.04388229220444</v>
      </c>
    </row>
    <row r="4189" spans="1:14" x14ac:dyDescent="0.25">
      <c r="A4189" s="47">
        <v>381534</v>
      </c>
      <c r="B4189" s="78">
        <v>45359</v>
      </c>
      <c r="C4189" s="47" t="s">
        <v>203</v>
      </c>
      <c r="D4189" s="49" t="s">
        <v>276</v>
      </c>
      <c r="E4189" s="47">
        <v>147518</v>
      </c>
      <c r="G4189" s="50" t="s">
        <v>244</v>
      </c>
      <c r="H4189" s="51">
        <v>42.530999999999999</v>
      </c>
      <c r="J4189" s="51">
        <v>5.69</v>
      </c>
      <c r="K4189" s="74">
        <f>Tabela6[[#This Row],[CONSUMO]]*Tabela6[[#This Row],[VALOR UNIT]]-Tabela6[[#This Row],[DESCONTO]]</f>
        <v>242.00139000000001</v>
      </c>
      <c r="L4189" s="53">
        <f>Tabela6[[#This Row],[CUSTO TOTAL]]/Tabela6[[#This Row],[CONSUMO]]</f>
        <v>5.69</v>
      </c>
      <c r="M4189" s="50">
        <f>Tabela6[[#This Row],[KM ATUAL]]-E4134</f>
        <v>-412558</v>
      </c>
      <c r="N4189" s="51">
        <f>Tabela6[[#This Row],[KM Rodados ]]/Tabela6[[#This Row],[CONSUMO]]</f>
        <v>-9700.1716395100048</v>
      </c>
    </row>
    <row r="4190" spans="1:14" x14ac:dyDescent="0.25">
      <c r="A4190" s="47">
        <v>348792</v>
      </c>
      <c r="B4190" s="78">
        <v>45359</v>
      </c>
      <c r="C4190" s="47" t="s">
        <v>71</v>
      </c>
      <c r="D4190" s="49" t="s">
        <v>270</v>
      </c>
      <c r="E4190" s="47">
        <v>159534</v>
      </c>
      <c r="G4190" s="50" t="s">
        <v>89</v>
      </c>
      <c r="H4190" s="51">
        <v>560.74099999999999</v>
      </c>
      <c r="J4190" s="51">
        <v>5.59</v>
      </c>
      <c r="K4190" s="74">
        <f>Tabela6[[#This Row],[CONSUMO]]*Tabela6[[#This Row],[VALOR UNIT]]-Tabela6[[#This Row],[DESCONTO]]</f>
        <v>3134.5421899999997</v>
      </c>
      <c r="L4190" s="53">
        <f>Tabela6[[#This Row],[CUSTO TOTAL]]/Tabela6[[#This Row],[CONSUMO]]</f>
        <v>5.59</v>
      </c>
      <c r="M4190" s="50">
        <f>Tabela6[[#This Row],[KM ATUAL]]-E4135</f>
        <v>-543452</v>
      </c>
      <c r="N4190" s="51">
        <f>Tabela6[[#This Row],[KM Rodados ]]/Tabela6[[#This Row],[CONSUMO]]</f>
        <v>-969.16758360811855</v>
      </c>
    </row>
    <row r="4191" spans="1:14" x14ac:dyDescent="0.25">
      <c r="A4191" s="47">
        <v>788043</v>
      </c>
      <c r="B4191" s="78">
        <v>45359</v>
      </c>
      <c r="C4191" s="47" t="s">
        <v>41</v>
      </c>
      <c r="D4191" s="49" t="s">
        <v>277</v>
      </c>
      <c r="E4191" s="47">
        <v>702109</v>
      </c>
      <c r="G4191" s="50" t="s">
        <v>89</v>
      </c>
      <c r="H4191" s="51">
        <v>152.75</v>
      </c>
      <c r="J4191" s="51">
        <v>5.99</v>
      </c>
      <c r="K4191" s="74">
        <f>Tabela6[[#This Row],[CONSUMO]]*Tabela6[[#This Row],[VALOR UNIT]]-Tabela6[[#This Row],[DESCONTO]]</f>
        <v>914.97250000000008</v>
      </c>
      <c r="L4191" s="53">
        <f>Tabela6[[#This Row],[CUSTO TOTAL]]/Tabela6[[#This Row],[CONSUMO]]</f>
        <v>5.99</v>
      </c>
      <c r="M4191" s="50">
        <f>Tabela6[[#This Row],[KM ATUAL]]-E4136</f>
        <v>1995</v>
      </c>
      <c r="N4191" s="51">
        <f>Tabela6[[#This Row],[KM Rodados ]]/Tabela6[[#This Row],[CONSUMO]]</f>
        <v>13.060556464811784</v>
      </c>
    </row>
    <row r="4192" spans="1:14" x14ac:dyDescent="0.25">
      <c r="A4192" s="47">
        <v>611001</v>
      </c>
      <c r="B4192" s="78">
        <v>45359</v>
      </c>
      <c r="C4192" s="47" t="s">
        <v>18</v>
      </c>
      <c r="D4192" s="49" t="s">
        <v>255</v>
      </c>
      <c r="E4192" s="47">
        <v>611001</v>
      </c>
      <c r="G4192" s="50" t="s">
        <v>89</v>
      </c>
      <c r="H4192" s="51">
        <v>89.14</v>
      </c>
      <c r="J4192" s="51">
        <v>6.16</v>
      </c>
      <c r="K4192" s="74">
        <f>Tabela6[[#This Row],[CONSUMO]]*Tabela6[[#This Row],[VALOR UNIT]]-Tabela6[[#This Row],[DESCONTO]]</f>
        <v>549.10239999999999</v>
      </c>
      <c r="L4192" s="53">
        <f>Tabela6[[#This Row],[CUSTO TOTAL]]/Tabela6[[#This Row],[CONSUMO]]</f>
        <v>6.16</v>
      </c>
      <c r="M4192" s="50">
        <f>Tabela6[[#This Row],[KM ATUAL]]-E4137</f>
        <v>-499074</v>
      </c>
      <c r="N4192" s="51">
        <f>Tabela6[[#This Row],[KM Rodados ]]/Tabela6[[#This Row],[CONSUMO]]</f>
        <v>-5598.7659860892973</v>
      </c>
    </row>
    <row r="4193" spans="1:14" x14ac:dyDescent="0.25">
      <c r="A4193" s="47">
        <v>248836</v>
      </c>
      <c r="B4193" s="78">
        <v>45359</v>
      </c>
      <c r="C4193" s="47" t="s">
        <v>40</v>
      </c>
      <c r="D4193" s="49" t="s">
        <v>262</v>
      </c>
      <c r="E4193" s="47">
        <v>190764</v>
      </c>
      <c r="G4193" s="50" t="s">
        <v>244</v>
      </c>
      <c r="H4193" s="51">
        <v>40.17</v>
      </c>
      <c r="J4193" s="51">
        <v>5.59</v>
      </c>
      <c r="K4193" s="74">
        <f>Tabela6[[#This Row],[CONSUMO]]*Tabela6[[#This Row],[VALOR UNIT]]-Tabela6[[#This Row],[DESCONTO]]</f>
        <v>224.55029999999999</v>
      </c>
      <c r="L4193" s="53">
        <f>Tabela6[[#This Row],[CUSTO TOTAL]]/Tabela6[[#This Row],[CONSUMO]]</f>
        <v>5.59</v>
      </c>
      <c r="M4193" s="50">
        <f>Tabela6[[#This Row],[KM ATUAL]]-E4138</f>
        <v>158694</v>
      </c>
      <c r="N4193" s="51">
        <f>Tabela6[[#This Row],[KM Rodados ]]/Tabela6[[#This Row],[CONSUMO]]</f>
        <v>3950.5601194921583</v>
      </c>
    </row>
    <row r="4194" spans="1:14" x14ac:dyDescent="0.25">
      <c r="A4194" s="47">
        <v>381494</v>
      </c>
      <c r="B4194" s="78">
        <v>45359</v>
      </c>
      <c r="C4194" s="47" t="s">
        <v>354</v>
      </c>
      <c r="D4194" s="49" t="s">
        <v>276</v>
      </c>
      <c r="E4194" s="47">
        <v>31790</v>
      </c>
      <c r="G4194" s="50" t="s">
        <v>241</v>
      </c>
      <c r="H4194" s="51">
        <v>25.11</v>
      </c>
      <c r="J4194" s="51">
        <v>3.69</v>
      </c>
      <c r="K4194" s="74">
        <f>Tabela6[[#This Row],[CONSUMO]]*Tabela6[[#This Row],[VALOR UNIT]]-Tabela6[[#This Row],[DESCONTO]]</f>
        <v>92.655900000000003</v>
      </c>
      <c r="L4194" s="53">
        <f>Tabela6[[#This Row],[CUSTO TOTAL]]/Tabela6[[#This Row],[CONSUMO]]</f>
        <v>3.6900000000000004</v>
      </c>
      <c r="M4194" s="50">
        <f>Tabela6[[#This Row],[KM ATUAL]]-E4139</f>
        <v>1694</v>
      </c>
      <c r="N4194" s="51">
        <f>Tabela6[[#This Row],[KM Rodados ]]/Tabela6[[#This Row],[CONSUMO]]</f>
        <v>67.463162086818002</v>
      </c>
    </row>
    <row r="4195" spans="1:14" x14ac:dyDescent="0.25">
      <c r="A4195" s="47">
        <v>3432</v>
      </c>
      <c r="B4195" s="78">
        <v>45360</v>
      </c>
      <c r="C4195" s="47" t="s">
        <v>301</v>
      </c>
      <c r="D4195" s="49" t="s">
        <v>324</v>
      </c>
      <c r="E4195" s="47">
        <v>1110340</v>
      </c>
      <c r="G4195" s="50" t="s">
        <v>89</v>
      </c>
      <c r="H4195" s="51">
        <v>226</v>
      </c>
      <c r="J4195" s="51">
        <v>5.45</v>
      </c>
      <c r="K4195" s="74">
        <f>Tabela6[[#This Row],[CONSUMO]]*Tabela6[[#This Row],[VALOR UNIT]]-Tabela6[[#This Row],[DESCONTO]]</f>
        <v>1231.7</v>
      </c>
      <c r="L4195" s="53">
        <f>Tabela6[[#This Row],[CUSTO TOTAL]]/Tabela6[[#This Row],[CONSUMO]]</f>
        <v>5.45</v>
      </c>
      <c r="M4195" s="50">
        <f>Tabela6[[#This Row],[KM ATUAL]]-E4140</f>
        <v>1109717</v>
      </c>
      <c r="N4195" s="51">
        <f>Tabela6[[#This Row],[KM Rodados ]]/Tabela6[[#This Row],[CONSUMO]]</f>
        <v>4910.2522123893805</v>
      </c>
    </row>
    <row r="4196" spans="1:14" x14ac:dyDescent="0.25">
      <c r="A4196" s="47">
        <v>611296</v>
      </c>
      <c r="B4196" s="78">
        <v>45360</v>
      </c>
      <c r="C4196" s="47" t="s">
        <v>40</v>
      </c>
      <c r="D4196" s="49" t="s">
        <v>255</v>
      </c>
      <c r="E4196" s="47">
        <v>191318</v>
      </c>
      <c r="G4196" s="50" t="s">
        <v>244</v>
      </c>
      <c r="H4196" s="51">
        <v>47.151000000000003</v>
      </c>
      <c r="J4196" s="51">
        <v>5.84</v>
      </c>
      <c r="K4196" s="74">
        <f>Tabela6[[#This Row],[CONSUMO]]*Tabela6[[#This Row],[VALOR UNIT]]-Tabela6[[#This Row],[DESCONTO]]</f>
        <v>275.36184000000003</v>
      </c>
      <c r="L4196" s="53">
        <f>Tabela6[[#This Row],[CUSTO TOTAL]]/Tabela6[[#This Row],[CONSUMO]]</f>
        <v>5.84</v>
      </c>
      <c r="M4196" s="50">
        <f>Tabela6[[#This Row],[KM ATUAL]]-E4141</f>
        <v>-253161</v>
      </c>
      <c r="N4196" s="51">
        <f>Tabela6[[#This Row],[KM Rodados ]]/Tabela6[[#This Row],[CONSUMO]]</f>
        <v>-5369.1544187822101</v>
      </c>
    </row>
    <row r="4197" spans="1:14" x14ac:dyDescent="0.25">
      <c r="A4197" s="47">
        <v>248099</v>
      </c>
      <c r="B4197" s="78">
        <v>45361</v>
      </c>
      <c r="C4197" s="47" t="s">
        <v>358</v>
      </c>
      <c r="D4197" s="49" t="s">
        <v>374</v>
      </c>
      <c r="E4197" s="47">
        <v>827151</v>
      </c>
      <c r="G4197" s="50" t="s">
        <v>89</v>
      </c>
      <c r="H4197" s="51">
        <v>493</v>
      </c>
      <c r="J4197" s="51">
        <v>5.65</v>
      </c>
      <c r="K4197" s="74">
        <f>Tabela6[[#This Row],[CONSUMO]]*Tabela6[[#This Row],[VALOR UNIT]]-Tabela6[[#This Row],[DESCONTO]]</f>
        <v>2785.4500000000003</v>
      </c>
      <c r="L4197" s="53">
        <f>Tabela6[[#This Row],[CUSTO TOTAL]]/Tabela6[[#This Row],[CONSUMO]]</f>
        <v>5.65</v>
      </c>
      <c r="M4197" s="50" t="e">
        <f>Tabela6[[#This Row],[KM ATUAL]]-#REF!</f>
        <v>#REF!</v>
      </c>
      <c r="N4197" s="51" t="e">
        <f>Tabela6[[#This Row],[KM Rodados ]]/Tabela6[[#This Row],[CONSUMO]]</f>
        <v>#REF!</v>
      </c>
    </row>
    <row r="4198" spans="1:14" x14ac:dyDescent="0.25">
      <c r="A4198" s="47">
        <v>382224</v>
      </c>
      <c r="B4198" s="78">
        <v>45362</v>
      </c>
      <c r="C4198" s="47" t="s">
        <v>42</v>
      </c>
      <c r="D4198" s="49" t="s">
        <v>276</v>
      </c>
      <c r="E4198" s="47">
        <v>386601</v>
      </c>
      <c r="G4198" s="50" t="s">
        <v>89</v>
      </c>
      <c r="H4198" s="51">
        <v>38.35</v>
      </c>
      <c r="J4198" s="51">
        <v>6.09</v>
      </c>
      <c r="K4198" s="74">
        <f>Tabela6[[#This Row],[CONSUMO]]*Tabela6[[#This Row],[VALOR UNIT]]-Tabela6[[#This Row],[DESCONTO]]</f>
        <v>233.5515</v>
      </c>
      <c r="L4198" s="53">
        <f>Tabela6[[#This Row],[CUSTO TOTAL]]/Tabela6[[#This Row],[CONSUMO]]</f>
        <v>6.09</v>
      </c>
      <c r="M4198" s="50">
        <f>Tabela6[[#This Row],[KM ATUAL]]-E4143</f>
        <v>-12058</v>
      </c>
      <c r="N4198" s="51">
        <f>Tabela6[[#This Row],[KM Rodados ]]/Tabela6[[#This Row],[CONSUMO]]</f>
        <v>-314.4198174706649</v>
      </c>
    </row>
    <row r="4199" spans="1:14" x14ac:dyDescent="0.25">
      <c r="A4199" s="47">
        <v>382371</v>
      </c>
      <c r="B4199" s="78">
        <v>45362</v>
      </c>
      <c r="C4199" s="47" t="s">
        <v>14</v>
      </c>
      <c r="D4199" s="49" t="s">
        <v>276</v>
      </c>
      <c r="E4199" s="47">
        <v>322887</v>
      </c>
      <c r="G4199" s="50" t="s">
        <v>244</v>
      </c>
      <c r="H4199" s="51">
        <v>30.77</v>
      </c>
      <c r="J4199" s="51">
        <v>5.69</v>
      </c>
      <c r="K4199" s="74">
        <f>Tabela6[[#This Row],[CONSUMO]]*Tabela6[[#This Row],[VALOR UNIT]]-Tabela6[[#This Row],[DESCONTO]]</f>
        <v>175.0813</v>
      </c>
      <c r="L4199" s="53">
        <f>Tabela6[[#This Row],[CUSTO TOTAL]]/Tabela6[[#This Row],[CONSUMO]]</f>
        <v>5.69</v>
      </c>
      <c r="M4199" s="50">
        <f>Tabela6[[#This Row],[KM ATUAL]]-E4144</f>
        <v>-26565</v>
      </c>
      <c r="N4199" s="51">
        <f>Tabela6[[#This Row],[KM Rodados ]]/Tabela6[[#This Row],[CONSUMO]]</f>
        <v>-863.34091647708806</v>
      </c>
    </row>
    <row r="4200" spans="1:14" x14ac:dyDescent="0.25">
      <c r="A4200" s="47">
        <v>84581</v>
      </c>
      <c r="B4200" s="78">
        <v>45362</v>
      </c>
      <c r="C4200" s="47" t="s">
        <v>401</v>
      </c>
      <c r="D4200" s="49" t="s">
        <v>283</v>
      </c>
      <c r="E4200" s="47">
        <v>16502</v>
      </c>
      <c r="G4200" s="50" t="s">
        <v>89</v>
      </c>
      <c r="H4200" s="51">
        <v>98.1</v>
      </c>
      <c r="J4200" s="51">
        <v>5.87</v>
      </c>
      <c r="K4200" s="74">
        <f>Tabela6[[#This Row],[CONSUMO]]*Tabela6[[#This Row],[VALOR UNIT]]-Tabela6[[#This Row],[DESCONTO]]</f>
        <v>575.84699999999998</v>
      </c>
      <c r="L4200" s="53">
        <f>Tabela6[[#This Row],[CUSTO TOTAL]]/Tabela6[[#This Row],[CONSUMO]]</f>
        <v>5.87</v>
      </c>
      <c r="M4200" s="50">
        <f>Tabela6[[#This Row],[KM ATUAL]]-E4145</f>
        <v>-344000</v>
      </c>
      <c r="N4200" s="51">
        <f>Tabela6[[#This Row],[KM Rodados ]]/Tabela6[[#This Row],[CONSUMO]]</f>
        <v>-3506.6258919469929</v>
      </c>
    </row>
    <row r="4201" spans="1:14" x14ac:dyDescent="0.25">
      <c r="A4201" s="47">
        <v>181769</v>
      </c>
      <c r="B4201" s="78">
        <v>45363</v>
      </c>
      <c r="C4201" s="47" t="s">
        <v>43</v>
      </c>
      <c r="D4201" s="49" t="s">
        <v>253</v>
      </c>
      <c r="E4201" s="47">
        <v>183308</v>
      </c>
      <c r="G4201" s="50" t="s">
        <v>89</v>
      </c>
      <c r="H4201" s="51">
        <v>41.37</v>
      </c>
      <c r="J4201" s="51">
        <v>6.09</v>
      </c>
      <c r="K4201" s="74">
        <f>Tabela6[[#This Row],[CONSUMO]]*Tabela6[[#This Row],[VALOR UNIT]]-Tabela6[[#This Row],[DESCONTO]]</f>
        <v>251.94329999999997</v>
      </c>
      <c r="L4201" s="53">
        <f>Tabela6[[#This Row],[CUSTO TOTAL]]/Tabela6[[#This Row],[CONSUMO]]</f>
        <v>6.09</v>
      </c>
      <c r="M4201" s="50">
        <f>Tabela6[[#This Row],[KM ATUAL]]-E4146</f>
        <v>-119181</v>
      </c>
      <c r="N4201" s="51">
        <f>Tabela6[[#This Row],[KM Rodados ]]/Tabela6[[#This Row],[CONSUMO]]</f>
        <v>-2880.8556925308194</v>
      </c>
    </row>
    <row r="4202" spans="1:14" x14ac:dyDescent="0.25">
      <c r="A4202" s="47">
        <v>181769</v>
      </c>
      <c r="B4202" s="78">
        <v>45363</v>
      </c>
      <c r="C4202" s="47" t="s">
        <v>43</v>
      </c>
      <c r="D4202" s="49" t="s">
        <v>253</v>
      </c>
      <c r="E4202" s="47">
        <v>183308</v>
      </c>
      <c r="G4202" s="50" t="s">
        <v>89</v>
      </c>
      <c r="H4202" s="51">
        <v>41.37</v>
      </c>
      <c r="J4202" s="51">
        <v>6.09</v>
      </c>
      <c r="K4202" s="74">
        <f>Tabela6[[#This Row],[CONSUMO]]*Tabela6[[#This Row],[VALOR UNIT]]-Tabela6[[#This Row],[DESCONTO]]</f>
        <v>251.94329999999997</v>
      </c>
      <c r="L4202" s="53">
        <f>Tabela6[[#This Row],[CUSTO TOTAL]]/Tabela6[[#This Row],[CONSUMO]]</f>
        <v>6.09</v>
      </c>
      <c r="M4202" s="50">
        <f>Tabela6[[#This Row],[KM ATUAL]]-E4147</f>
        <v>68996</v>
      </c>
      <c r="N4202" s="51">
        <f>Tabela6[[#This Row],[KM Rodados ]]/Tabela6[[#This Row],[CONSUMO]]</f>
        <v>1667.7785835146242</v>
      </c>
    </row>
    <row r="4203" spans="1:14" x14ac:dyDescent="0.25">
      <c r="A4203" s="47">
        <v>250005</v>
      </c>
      <c r="B4203" s="78">
        <v>45363</v>
      </c>
      <c r="C4203" s="47" t="s">
        <v>215</v>
      </c>
      <c r="D4203" s="49" t="s">
        <v>262</v>
      </c>
      <c r="E4203" s="47">
        <v>236478</v>
      </c>
      <c r="G4203" s="50" t="s">
        <v>244</v>
      </c>
      <c r="H4203" s="51">
        <v>33.58</v>
      </c>
      <c r="J4203" s="51">
        <v>5.59</v>
      </c>
      <c r="K4203" s="74">
        <f>Tabela6[[#This Row],[CONSUMO]]*Tabela6[[#This Row],[VALOR UNIT]]-Tabela6[[#This Row],[DESCONTO]]</f>
        <v>187.7122</v>
      </c>
      <c r="L4203" s="53">
        <f>Tabela6[[#This Row],[CUSTO TOTAL]]/Tabela6[[#This Row],[CONSUMO]]</f>
        <v>5.59</v>
      </c>
      <c r="M4203" s="50">
        <f>Tabela6[[#This Row],[KM ATUAL]]-E4148</f>
        <v>-589042</v>
      </c>
      <c r="N4203" s="51">
        <f>Tabela6[[#This Row],[KM Rodados ]]/Tabela6[[#This Row],[CONSUMO]]</f>
        <v>-17541.453245979752</v>
      </c>
    </row>
    <row r="4204" spans="1:14" x14ac:dyDescent="0.25">
      <c r="A4204" s="47">
        <v>181746</v>
      </c>
      <c r="B4204" s="78">
        <v>45363</v>
      </c>
      <c r="C4204" s="47" t="s">
        <v>39</v>
      </c>
      <c r="D4204" s="49" t="s">
        <v>253</v>
      </c>
      <c r="E4204" s="47">
        <v>120381</v>
      </c>
      <c r="G4204" s="50" t="s">
        <v>89</v>
      </c>
      <c r="H4204" s="51">
        <v>70.3</v>
      </c>
      <c r="J4204" s="51">
        <v>6.09</v>
      </c>
      <c r="K4204" s="74">
        <f>Tabela6[[#This Row],[CONSUMO]]*Tabela6[[#This Row],[VALOR UNIT]]-Tabela6[[#This Row],[DESCONTO]]</f>
        <v>428.12699999999995</v>
      </c>
      <c r="L4204" s="53">
        <f>Tabela6[[#This Row],[CUSTO TOTAL]]/Tabela6[[#This Row],[CONSUMO]]</f>
        <v>6.09</v>
      </c>
      <c r="M4204" s="50">
        <f>Tabela6[[#This Row],[KM ATUAL]]-E4149</f>
        <v>-60823</v>
      </c>
      <c r="N4204" s="51">
        <f>Tabela6[[#This Row],[KM Rodados ]]/Tabela6[[#This Row],[CONSUMO]]</f>
        <v>-865.19203413940261</v>
      </c>
    </row>
    <row r="4205" spans="1:14" x14ac:dyDescent="0.25">
      <c r="A4205" s="47">
        <v>181746</v>
      </c>
      <c r="B4205" s="78">
        <v>45363</v>
      </c>
      <c r="C4205" s="47" t="s">
        <v>39</v>
      </c>
      <c r="D4205" s="49" t="s">
        <v>253</v>
      </c>
      <c r="E4205" s="47">
        <v>120381</v>
      </c>
      <c r="G4205" s="50" t="s">
        <v>89</v>
      </c>
      <c r="H4205" s="51">
        <v>10.407999999999999</v>
      </c>
      <c r="J4205" s="51">
        <v>3.49</v>
      </c>
      <c r="K4205" s="74">
        <f>Tabela6[[#This Row],[CONSUMO]]*Tabela6[[#This Row],[VALOR UNIT]]-Tabela6[[#This Row],[DESCONTO]]</f>
        <v>36.323920000000001</v>
      </c>
      <c r="L4205" s="53">
        <f>Tabela6[[#This Row],[CUSTO TOTAL]]/Tabela6[[#This Row],[CONSUMO]]</f>
        <v>3.49</v>
      </c>
      <c r="M4205" s="50">
        <f>Tabela6[[#This Row],[KM ATUAL]]-E4150</f>
        <v>-324449</v>
      </c>
      <c r="N4205" s="51">
        <f>Tabela6[[#This Row],[KM Rodados ]]/Tabela6[[#This Row],[CONSUMO]]</f>
        <v>-31173.03996925442</v>
      </c>
    </row>
    <row r="4206" spans="1:14" x14ac:dyDescent="0.25">
      <c r="A4206" s="47">
        <v>257875</v>
      </c>
      <c r="B4206" s="78">
        <v>45363</v>
      </c>
      <c r="C4206" s="47" t="s">
        <v>71</v>
      </c>
      <c r="D4206" s="49" t="s">
        <v>329</v>
      </c>
      <c r="E4206" s="47">
        <v>160177</v>
      </c>
      <c r="G4206" s="50" t="s">
        <v>89</v>
      </c>
      <c r="H4206" s="51">
        <v>275</v>
      </c>
      <c r="J4206" s="51">
        <v>5.59</v>
      </c>
      <c r="K4206" s="74">
        <f>Tabela6[[#This Row],[CONSUMO]]*Tabela6[[#This Row],[VALOR UNIT]]-Tabela6[[#This Row],[DESCONTO]]</f>
        <v>1537.25</v>
      </c>
      <c r="L4206" s="53">
        <f>Tabela6[[#This Row],[CUSTO TOTAL]]/Tabela6[[#This Row],[CONSUMO]]</f>
        <v>5.59</v>
      </c>
      <c r="M4206" s="50">
        <f>Tabela6[[#This Row],[KM ATUAL]]-E4151</f>
        <v>-517697</v>
      </c>
      <c r="N4206" s="51">
        <f>Tabela6[[#This Row],[KM Rodados ]]/Tabela6[[#This Row],[CONSUMO]]</f>
        <v>-1882.5345454545454</v>
      </c>
    </row>
    <row r="4207" spans="1:14" x14ac:dyDescent="0.25">
      <c r="A4207" s="47">
        <v>248808</v>
      </c>
      <c r="B4207" s="78">
        <v>45363</v>
      </c>
      <c r="C4207" s="47" t="s">
        <v>71</v>
      </c>
      <c r="D4207" s="49" t="s">
        <v>374</v>
      </c>
      <c r="E4207" s="47">
        <v>160738</v>
      </c>
      <c r="G4207" s="50" t="s">
        <v>89</v>
      </c>
      <c r="H4207" s="51">
        <v>320</v>
      </c>
      <c r="J4207" s="51">
        <v>5.65</v>
      </c>
      <c r="K4207" s="74">
        <f>Tabela6[[#This Row],[CONSUMO]]*Tabela6[[#This Row],[VALOR UNIT]]-Tabela6[[#This Row],[DESCONTO]]</f>
        <v>1808</v>
      </c>
      <c r="L4207" s="53">
        <f>Tabela6[[#This Row],[CUSTO TOTAL]]/Tabela6[[#This Row],[CONSUMO]]</f>
        <v>5.65</v>
      </c>
      <c r="M4207" s="50">
        <f>Tabela6[[#This Row],[KM ATUAL]]-E4152</f>
        <v>-155853</v>
      </c>
      <c r="N4207" s="51">
        <f>Tabela6[[#This Row],[KM Rodados ]]/Tabela6[[#This Row],[CONSUMO]]</f>
        <v>-487.04062499999998</v>
      </c>
    </row>
    <row r="4208" spans="1:14" s="105" customFormat="1" x14ac:dyDescent="0.25">
      <c r="A4208" s="47">
        <v>248809</v>
      </c>
      <c r="B4208" s="78">
        <v>45363</v>
      </c>
      <c r="C4208" s="50" t="s">
        <v>71</v>
      </c>
      <c r="D4208" s="51" t="s">
        <v>374</v>
      </c>
      <c r="E4208" s="47">
        <v>160738</v>
      </c>
      <c r="F4208" s="51"/>
      <c r="G4208" s="50" t="s">
        <v>241</v>
      </c>
      <c r="H4208" s="51">
        <v>50</v>
      </c>
      <c r="I4208" s="51"/>
      <c r="J4208" s="51">
        <v>2.99</v>
      </c>
      <c r="K4208" s="74">
        <f>Tabela6[[#This Row],[CONSUMO]]*Tabela6[[#This Row],[VALOR UNIT]]-Tabela6[[#This Row],[DESCONTO]]</f>
        <v>149.5</v>
      </c>
      <c r="L4208" s="50">
        <f>Tabela6[[#This Row],[CUSTO TOTAL]]/Tabela6[[#This Row],[CONSUMO]]</f>
        <v>2.99</v>
      </c>
      <c r="M4208" s="50">
        <f>Tabela6[[#This Row],[KM ATUAL]]-E4153</f>
        <v>-200369</v>
      </c>
      <c r="N4208" s="51">
        <f>Tabela6[[#This Row],[KM Rodados ]]/Tabela6[[#This Row],[CONSUMO]]</f>
        <v>-4007.38</v>
      </c>
    </row>
    <row r="4209" spans="1:14" x14ac:dyDescent="0.25">
      <c r="A4209" s="47">
        <v>249930</v>
      </c>
      <c r="B4209" s="78">
        <v>45363</v>
      </c>
      <c r="C4209" s="47" t="s">
        <v>12</v>
      </c>
      <c r="D4209" s="49" t="s">
        <v>262</v>
      </c>
      <c r="E4209" s="47">
        <v>333716</v>
      </c>
      <c r="G4209" s="50" t="s">
        <v>241</v>
      </c>
      <c r="H4209" s="51">
        <v>21.065999999999999</v>
      </c>
      <c r="I4209" s="49">
        <v>7.58</v>
      </c>
      <c r="J4209" s="51">
        <v>3.69</v>
      </c>
      <c r="K4209" s="74">
        <f>Tabela6[[#This Row],[CONSUMO]]*Tabela6[[#This Row],[VALOR UNIT]]-Tabela6[[#This Row],[DESCONTO]]</f>
        <v>70.153539999999992</v>
      </c>
      <c r="L4209" s="53">
        <f>Tabela6[[#This Row],[CUSTO TOTAL]]/Tabela6[[#This Row],[CONSUMO]]</f>
        <v>3.3301784866609703</v>
      </c>
      <c r="M4209" s="50">
        <f>Tabela6[[#This Row],[KM ATUAL]]-E4154</f>
        <v>143959</v>
      </c>
      <c r="N4209" s="51">
        <f>Tabela6[[#This Row],[KM Rodados ]]/Tabela6[[#This Row],[CONSUMO]]</f>
        <v>6833.7130921864618</v>
      </c>
    </row>
    <row r="4210" spans="1:14" x14ac:dyDescent="0.25">
      <c r="A4210" s="47">
        <v>612251</v>
      </c>
      <c r="B4210" s="78">
        <v>45363</v>
      </c>
      <c r="C4210" s="47" t="s">
        <v>16</v>
      </c>
      <c r="D4210" s="49" t="s">
        <v>255</v>
      </c>
      <c r="E4210" s="47">
        <v>317621</v>
      </c>
      <c r="G4210" s="50" t="s">
        <v>89</v>
      </c>
      <c r="H4210" s="51">
        <v>98.32</v>
      </c>
      <c r="J4210" s="51">
        <v>6.16</v>
      </c>
      <c r="K4210" s="74">
        <f>Tabela6[[#This Row],[CONSUMO]]*Tabela6[[#This Row],[VALOR UNIT]]-Tabela6[[#This Row],[DESCONTO]]</f>
        <v>605.65120000000002</v>
      </c>
      <c r="L4210" s="53">
        <f>Tabela6[[#This Row],[CUSTO TOTAL]]/Tabela6[[#This Row],[CONSUMO]]</f>
        <v>6.160000000000001</v>
      </c>
      <c r="M4210" s="50">
        <f>Tabela6[[#This Row],[KM ATUAL]]-E4155</f>
        <v>-243595</v>
      </c>
      <c r="N4210" s="51">
        <f>Tabela6[[#This Row],[KM Rodados ]]/Tabela6[[#This Row],[CONSUMO]]</f>
        <v>-2477.573230268511</v>
      </c>
    </row>
    <row r="4211" spans="1:14" x14ac:dyDescent="0.25">
      <c r="A4211" s="47">
        <v>612105</v>
      </c>
      <c r="B4211" s="78">
        <v>45363</v>
      </c>
      <c r="C4211" s="47" t="s">
        <v>18</v>
      </c>
      <c r="D4211" s="49" t="s">
        <v>255</v>
      </c>
      <c r="E4211" s="47">
        <v>350585</v>
      </c>
      <c r="G4211" s="50" t="s">
        <v>89</v>
      </c>
      <c r="H4211" s="51">
        <v>62.69</v>
      </c>
      <c r="J4211" s="51">
        <v>6.16</v>
      </c>
      <c r="K4211" s="74">
        <f>Tabela6[[#This Row],[CONSUMO]]*Tabela6[[#This Row],[VALOR UNIT]]-Tabela6[[#This Row],[DESCONTO]]</f>
        <v>386.17039999999997</v>
      </c>
      <c r="L4211" s="53">
        <f>Tabela6[[#This Row],[CUSTO TOTAL]]/Tabela6[[#This Row],[CONSUMO]]</f>
        <v>6.16</v>
      </c>
      <c r="M4211" s="50">
        <f>Tabela6[[#This Row],[KM ATUAL]]-E4156</f>
        <v>-210631</v>
      </c>
      <c r="N4211" s="51">
        <f>Tabela6[[#This Row],[KM Rodados ]]/Tabela6[[#This Row],[CONSUMO]]</f>
        <v>-3359.8819588451111</v>
      </c>
    </row>
    <row r="4212" spans="1:14" x14ac:dyDescent="0.25">
      <c r="A4212" s="47">
        <v>382828</v>
      </c>
      <c r="B4212" s="78">
        <v>45363</v>
      </c>
      <c r="C4212" s="47" t="s">
        <v>40</v>
      </c>
      <c r="D4212" s="49" t="s">
        <v>276</v>
      </c>
      <c r="E4212" s="47">
        <v>191609</v>
      </c>
      <c r="G4212" s="50" t="s">
        <v>244</v>
      </c>
      <c r="H4212" s="51">
        <v>29.661000000000001</v>
      </c>
      <c r="J4212" s="51">
        <v>5.69</v>
      </c>
      <c r="K4212" s="74">
        <f>Tabela6[[#This Row],[CONSUMO]]*Tabela6[[#This Row],[VALOR UNIT]]-Tabela6[[#This Row],[DESCONTO]]</f>
        <v>168.77109000000002</v>
      </c>
      <c r="L4212" s="53">
        <f>Tabela6[[#This Row],[CUSTO TOTAL]]/Tabela6[[#This Row],[CONSUMO]]</f>
        <v>5.69</v>
      </c>
      <c r="M4212" s="50">
        <f>Tabela6[[#This Row],[KM ATUAL]]-E4157</f>
        <v>-918550</v>
      </c>
      <c r="N4212" s="51">
        <f>Tabela6[[#This Row],[KM Rodados ]]/Tabela6[[#This Row],[CONSUMO]]</f>
        <v>-30968.274839014193</v>
      </c>
    </row>
    <row r="4213" spans="1:14" x14ac:dyDescent="0.25">
      <c r="A4213" s="47">
        <v>181768</v>
      </c>
      <c r="B4213" s="78">
        <v>45363</v>
      </c>
      <c r="C4213" s="47" t="s">
        <v>315</v>
      </c>
      <c r="D4213" s="49" t="s">
        <v>253</v>
      </c>
      <c r="E4213" s="47">
        <v>21829</v>
      </c>
      <c r="G4213" s="50" t="s">
        <v>89</v>
      </c>
      <c r="H4213" s="51">
        <v>49.08</v>
      </c>
      <c r="J4213" s="51">
        <v>6.09</v>
      </c>
      <c r="K4213" s="74">
        <f>Tabela6[[#This Row],[CONSUMO]]*Tabela6[[#This Row],[VALOR UNIT]]-Tabela6[[#This Row],[DESCONTO]]</f>
        <v>298.8972</v>
      </c>
      <c r="L4213" s="53">
        <f>Tabela6[[#This Row],[CUSTO TOTAL]]/Tabela6[[#This Row],[CONSUMO]]</f>
        <v>6.09</v>
      </c>
      <c r="M4213" s="50">
        <f>Tabela6[[#This Row],[KM ATUAL]]-E4158</f>
        <v>642</v>
      </c>
      <c r="N4213" s="51">
        <f>Tabela6[[#This Row],[KM Rodados ]]/Tabela6[[#This Row],[CONSUMO]]</f>
        <v>13.080684596577017</v>
      </c>
    </row>
    <row r="4214" spans="1:14" x14ac:dyDescent="0.25">
      <c r="A4214" s="47">
        <v>65237</v>
      </c>
      <c r="B4214" s="78">
        <v>45363</v>
      </c>
      <c r="C4214" s="47" t="s">
        <v>401</v>
      </c>
      <c r="D4214" s="49" t="s">
        <v>283</v>
      </c>
      <c r="E4214" s="47">
        <v>1776</v>
      </c>
      <c r="G4214" s="50" t="s">
        <v>89</v>
      </c>
      <c r="H4214" s="51">
        <v>85.179000000000002</v>
      </c>
      <c r="J4214" s="51">
        <v>5.87</v>
      </c>
      <c r="K4214" s="74">
        <f>Tabela6[[#This Row],[CONSUMO]]*Tabela6[[#This Row],[VALOR UNIT]]-Tabela6[[#This Row],[DESCONTO]]</f>
        <v>500.00073000000003</v>
      </c>
      <c r="L4214" s="53">
        <f>Tabela6[[#This Row],[CUSTO TOTAL]]/Tabela6[[#This Row],[CONSUMO]]</f>
        <v>5.87</v>
      </c>
      <c r="M4214" s="50">
        <f>Tabela6[[#This Row],[KM ATUAL]]-E4159</f>
        <v>-19411</v>
      </c>
      <c r="N4214" s="51">
        <f>Tabela6[[#This Row],[KM Rodados ]]/Tabela6[[#This Row],[CONSUMO]]</f>
        <v>-227.88480728818135</v>
      </c>
    </row>
    <row r="4215" spans="1:14" x14ac:dyDescent="0.25">
      <c r="A4215" s="47">
        <v>182708</v>
      </c>
      <c r="B4215" s="78">
        <v>45364</v>
      </c>
      <c r="C4215" s="47" t="s">
        <v>9</v>
      </c>
      <c r="D4215" s="49" t="s">
        <v>253</v>
      </c>
      <c r="E4215" s="47">
        <v>651687</v>
      </c>
      <c r="G4215" s="50" t="s">
        <v>89</v>
      </c>
      <c r="H4215" s="51">
        <v>66.08</v>
      </c>
      <c r="J4215" s="51">
        <v>6.09</v>
      </c>
      <c r="K4215" s="74">
        <f>Tabela6[[#This Row],[CONSUMO]]*Tabela6[[#This Row],[VALOR UNIT]]-Tabela6[[#This Row],[DESCONTO]]</f>
        <v>402.42719999999997</v>
      </c>
      <c r="L4215" s="53">
        <f>Tabela6[[#This Row],[CUSTO TOTAL]]/Tabela6[[#This Row],[CONSUMO]]</f>
        <v>6.09</v>
      </c>
      <c r="M4215" s="50">
        <f>Tabela6[[#This Row],[KM ATUAL]]-E4160</f>
        <v>265570</v>
      </c>
      <c r="N4215" s="51">
        <f>Tabela6[[#This Row],[KM Rodados ]]/Tabela6[[#This Row],[CONSUMO]]</f>
        <v>4018.9164648910414</v>
      </c>
    </row>
    <row r="4216" spans="1:14" ht="15" customHeight="1" x14ac:dyDescent="0.25">
      <c r="A4216" s="47">
        <v>250015</v>
      </c>
      <c r="B4216" s="78">
        <v>45364</v>
      </c>
      <c r="C4216" s="47" t="s">
        <v>13</v>
      </c>
      <c r="D4216" s="49" t="s">
        <v>262</v>
      </c>
      <c r="E4216" s="47">
        <v>679043</v>
      </c>
      <c r="G4216" s="50" t="s">
        <v>241</v>
      </c>
      <c r="H4216" s="51">
        <v>15.537000000000001</v>
      </c>
      <c r="I4216" s="49">
        <v>5.59</v>
      </c>
      <c r="J4216" s="51">
        <v>3.69</v>
      </c>
      <c r="K4216" s="74">
        <f>Tabela6[[#This Row],[CONSUMO]]*Tabela6[[#This Row],[VALOR UNIT]]-Tabela6[[#This Row],[DESCONTO]]</f>
        <v>51.741529999999997</v>
      </c>
      <c r="L4216" s="53">
        <f>Tabela6[[#This Row],[CUSTO TOTAL]]/Tabela6[[#This Row],[CONSUMO]]</f>
        <v>3.330213683465276</v>
      </c>
      <c r="M4216" s="50">
        <f>Tabela6[[#This Row],[KM ATUAL]]-E4161</f>
        <v>533193</v>
      </c>
      <c r="N4216" s="51">
        <f>Tabela6[[#This Row],[KM Rodados ]]/Tabela6[[#This Row],[CONSUMO]]</f>
        <v>34317.628885885308</v>
      </c>
    </row>
    <row r="4217" spans="1:14" x14ac:dyDescent="0.25">
      <c r="A4217" s="47">
        <v>250015</v>
      </c>
      <c r="B4217" s="78">
        <v>45364</v>
      </c>
      <c r="C4217" s="47" t="s">
        <v>13</v>
      </c>
      <c r="D4217" s="49" t="s">
        <v>262</v>
      </c>
      <c r="E4217" s="47">
        <v>679043</v>
      </c>
      <c r="G4217" s="50" t="s">
        <v>89</v>
      </c>
      <c r="H4217" s="51">
        <v>142.40100000000001</v>
      </c>
      <c r="I4217" s="49">
        <v>5.59</v>
      </c>
      <c r="J4217" s="51">
        <v>5.99</v>
      </c>
      <c r="K4217" s="74">
        <f>Tabela6[[#This Row],[CONSUMO]]*Tabela6[[#This Row],[VALOR UNIT]]-Tabela6[[#This Row],[DESCONTO]]</f>
        <v>847.39199000000008</v>
      </c>
      <c r="L4217" s="53"/>
      <c r="M4217" s="50">
        <f>Tabela6[[#This Row],[KM ATUAL]]-E4162</f>
        <v>532632</v>
      </c>
      <c r="N4217" s="51">
        <f>Tabela6[[#This Row],[KM Rodados ]]/Tabela6[[#This Row],[CONSUMO]]</f>
        <v>3740.3669918048327</v>
      </c>
    </row>
    <row r="4218" spans="1:14" x14ac:dyDescent="0.25">
      <c r="A4218" s="47">
        <v>250141</v>
      </c>
      <c r="B4218" s="78">
        <v>45364</v>
      </c>
      <c r="C4218" s="47" t="s">
        <v>14</v>
      </c>
      <c r="D4218" s="49" t="s">
        <v>262</v>
      </c>
      <c r="E4218" s="47">
        <v>323366</v>
      </c>
      <c r="G4218" s="50" t="s">
        <v>244</v>
      </c>
      <c r="H4218" s="51">
        <v>39.590000000000003</v>
      </c>
      <c r="J4218" s="51">
        <v>5.59</v>
      </c>
      <c r="K4218" s="74">
        <f>Tabela6[[#This Row],[CONSUMO]]*Tabela6[[#This Row],[VALOR UNIT]]-Tabela6[[#This Row],[DESCONTO]]</f>
        <v>221.30810000000002</v>
      </c>
      <c r="L4218" s="53">
        <f>Tabela6[[#This Row],[CUSTO TOTAL]]/Tabela6[[#This Row],[CONSUMO]]</f>
        <v>5.59</v>
      </c>
      <c r="M4218" s="50">
        <f>Tabela6[[#This Row],[KM ATUAL]]-E4163</f>
        <v>2431</v>
      </c>
      <c r="N4218" s="51">
        <f>Tabela6[[#This Row],[KM Rodados ]]/Tabela6[[#This Row],[CONSUMO]]</f>
        <v>61.404395049254859</v>
      </c>
    </row>
    <row r="4219" spans="1:14" x14ac:dyDescent="0.25">
      <c r="A4219" s="47">
        <v>250039</v>
      </c>
      <c r="B4219" s="78">
        <v>45364</v>
      </c>
      <c r="C4219" s="47" t="s">
        <v>17</v>
      </c>
      <c r="D4219" s="49" t="s">
        <v>262</v>
      </c>
      <c r="E4219" s="47">
        <v>400850</v>
      </c>
      <c r="G4219" s="50" t="s">
        <v>241</v>
      </c>
      <c r="H4219" s="51">
        <v>25.824000000000002</v>
      </c>
      <c r="I4219" s="49">
        <v>9.3000000000000007</v>
      </c>
      <c r="J4219" s="51">
        <v>3.69</v>
      </c>
      <c r="K4219" s="74">
        <f>Tabela6[[#This Row],[CONSUMO]]*Tabela6[[#This Row],[VALOR UNIT]]-Tabela6[[#This Row],[DESCONTO]]</f>
        <v>85.990560000000002</v>
      </c>
      <c r="L4219" s="53">
        <f>Tabela6[[#This Row],[CUSTO TOTAL]]/Tabela6[[#This Row],[CONSUMO]]</f>
        <v>3.3298698884758364</v>
      </c>
      <c r="M4219" s="50">
        <f>Tabela6[[#This Row],[KM ATUAL]]-E4164</f>
        <v>285305</v>
      </c>
      <c r="N4219" s="51">
        <f>Tabela6[[#This Row],[KM Rodados ]]/Tabela6[[#This Row],[CONSUMO]]</f>
        <v>11048.056071871128</v>
      </c>
    </row>
    <row r="4220" spans="1:14" ht="14.45" customHeight="1" x14ac:dyDescent="0.25">
      <c r="A4220" s="47">
        <v>289482</v>
      </c>
      <c r="B4220" s="78">
        <v>45364</v>
      </c>
      <c r="C4220" s="107" t="s">
        <v>23</v>
      </c>
      <c r="D4220" s="49" t="s">
        <v>273</v>
      </c>
      <c r="G4220" s="50" t="s">
        <v>241</v>
      </c>
      <c r="H4220" s="108">
        <v>20101</v>
      </c>
      <c r="J4220" s="51">
        <v>2.99</v>
      </c>
      <c r="K4220" s="74">
        <f>Tabela6[[#This Row],[CONSUMO]]*Tabela6[[#This Row],[VALOR UNIT]]-Tabela6[[#This Row],[DESCONTO]]</f>
        <v>60101.990000000005</v>
      </c>
      <c r="L4220" s="53">
        <f>Tabela6[[#This Row],[CUSTO TOTAL]]/Tabela6[[#This Row],[CONSUMO]]</f>
        <v>2.99</v>
      </c>
      <c r="M4220" s="50">
        <f>Tabela6[[#This Row],[KM ATUAL]]-E4165</f>
        <v>-20274</v>
      </c>
      <c r="N4220" s="51">
        <f>Tabela6[[#This Row],[KM Rodados ]]/Tabela6[[#This Row],[CONSUMO]]</f>
        <v>-1.0086065369882096</v>
      </c>
    </row>
    <row r="4221" spans="1:14" x14ac:dyDescent="0.25">
      <c r="A4221" s="47">
        <v>183366</v>
      </c>
      <c r="B4221" s="78">
        <v>45365</v>
      </c>
      <c r="C4221" s="47" t="s">
        <v>43</v>
      </c>
      <c r="D4221" s="49" t="s">
        <v>253</v>
      </c>
      <c r="E4221" s="47">
        <v>183539</v>
      </c>
      <c r="G4221" s="50" t="s">
        <v>89</v>
      </c>
      <c r="H4221" s="51">
        <v>35.68</v>
      </c>
      <c r="J4221" s="51">
        <v>6.09</v>
      </c>
      <c r="K4221" s="74">
        <f>Tabela6[[#This Row],[CONSUMO]]*Tabela6[[#This Row],[VALOR UNIT]]-Tabela6[[#This Row],[DESCONTO]]</f>
        <v>217.2912</v>
      </c>
      <c r="L4221" s="53">
        <f>Tabela6[[#This Row],[CUSTO TOTAL]]/Tabela6[[#This Row],[CONSUMO]]</f>
        <v>6.09</v>
      </c>
      <c r="M4221" s="50">
        <f>Tabela6[[#This Row],[KM ATUAL]]-E4166</f>
        <v>168735</v>
      </c>
      <c r="N4221" s="51">
        <f>Tabela6[[#This Row],[KM Rodados ]]/Tabela6[[#This Row],[CONSUMO]]</f>
        <v>4729.1199551569507</v>
      </c>
    </row>
    <row r="4222" spans="1:14" ht="14.45" customHeight="1" x14ac:dyDescent="0.25">
      <c r="A4222" s="47">
        <v>183366</v>
      </c>
      <c r="B4222" s="78">
        <v>45365</v>
      </c>
      <c r="C4222" s="47" t="s">
        <v>43</v>
      </c>
      <c r="D4222" s="49" t="s">
        <v>253</v>
      </c>
      <c r="E4222" s="47">
        <v>183539</v>
      </c>
      <c r="G4222" s="50" t="s">
        <v>89</v>
      </c>
      <c r="H4222" s="51">
        <v>35.68</v>
      </c>
      <c r="J4222" s="51">
        <v>6.09</v>
      </c>
      <c r="K4222" s="74">
        <f>Tabela6[[#This Row],[CONSUMO]]*Tabela6[[#This Row],[VALOR UNIT]]-Tabela6[[#This Row],[DESCONTO]]</f>
        <v>217.2912</v>
      </c>
      <c r="L4222" s="53">
        <f>Tabela6[[#This Row],[CUSTO TOTAL]]/Tabela6[[#This Row],[CONSUMO]]</f>
        <v>6.09</v>
      </c>
      <c r="M4222" s="50">
        <f>Tabela6[[#This Row],[KM ATUAL]]-E4167</f>
        <v>2041</v>
      </c>
      <c r="N4222" s="51">
        <f>Tabela6[[#This Row],[KM Rodados ]]/Tabela6[[#This Row],[CONSUMO]]</f>
        <v>57.20291479820628</v>
      </c>
    </row>
    <row r="4223" spans="1:14" x14ac:dyDescent="0.25">
      <c r="A4223" s="47">
        <v>39462</v>
      </c>
      <c r="B4223" s="78">
        <v>45365</v>
      </c>
      <c r="C4223" s="47" t="s">
        <v>71</v>
      </c>
      <c r="D4223" s="49" t="s">
        <v>332</v>
      </c>
      <c r="E4223" s="47">
        <v>161527</v>
      </c>
      <c r="G4223" s="50" t="s">
        <v>89</v>
      </c>
      <c r="H4223" s="51">
        <v>430917</v>
      </c>
      <c r="J4223" s="51">
        <v>5.39</v>
      </c>
      <c r="K4223" s="74">
        <f>Tabela6[[#This Row],[CONSUMO]]*Tabela6[[#This Row],[VALOR UNIT]]-Tabela6[[#This Row],[DESCONTO]]</f>
        <v>2322642.63</v>
      </c>
      <c r="L4223" s="53">
        <f>Tabela6[[#This Row],[CUSTO TOTAL]]/Tabela6[[#This Row],[CONSUMO]]</f>
        <v>5.39</v>
      </c>
      <c r="M4223" s="50">
        <f>Tabela6[[#This Row],[KM ATUAL]]-E4168</f>
        <v>-20304</v>
      </c>
      <c r="N4223" s="51">
        <f>Tabela6[[#This Row],[KM Rodados ]]/Tabela6[[#This Row],[CONSUMO]]</f>
        <v>-4.7118122515472816E-2</v>
      </c>
    </row>
    <row r="4224" spans="1:14" ht="14.45" customHeight="1" x14ac:dyDescent="0.25">
      <c r="A4224" s="47">
        <v>570762</v>
      </c>
      <c r="B4224" s="78">
        <v>45365</v>
      </c>
      <c r="C4224" s="47" t="s">
        <v>41</v>
      </c>
      <c r="D4224" s="49" t="s">
        <v>259</v>
      </c>
      <c r="E4224" s="47">
        <v>703735</v>
      </c>
      <c r="G4224" s="50" t="s">
        <v>89</v>
      </c>
      <c r="H4224" s="51">
        <v>131.49100000000001</v>
      </c>
      <c r="J4224" s="51">
        <v>5.69</v>
      </c>
      <c r="K4224" s="74">
        <f>Tabela6[[#This Row],[CONSUMO]]*Tabela6[[#This Row],[VALOR UNIT]]-Tabela6[[#This Row],[DESCONTO]]</f>
        <v>748.18379000000016</v>
      </c>
      <c r="L4224" s="53">
        <f>Tabela6[[#This Row],[CUSTO TOTAL]]/Tabela6[[#This Row],[CONSUMO]]</f>
        <v>5.69</v>
      </c>
      <c r="M4224" s="50">
        <f>Tabela6[[#This Row],[KM ATUAL]]-E4169</f>
        <v>141226</v>
      </c>
      <c r="N4224" s="51">
        <f>Tabela6[[#This Row],[KM Rodados ]]/Tabela6[[#This Row],[CONSUMO]]</f>
        <v>1074.0354853183867</v>
      </c>
    </row>
    <row r="4225" spans="1:14" x14ac:dyDescent="0.25">
      <c r="A4225" s="47">
        <v>612842</v>
      </c>
      <c r="B4225" s="78">
        <v>45365</v>
      </c>
      <c r="C4225" s="47" t="s">
        <v>16</v>
      </c>
      <c r="D4225" s="49" t="s">
        <v>255</v>
      </c>
      <c r="E4225" s="47">
        <v>318084</v>
      </c>
      <c r="G4225" s="50" t="s">
        <v>89</v>
      </c>
      <c r="H4225" s="51">
        <v>94.721000000000004</v>
      </c>
      <c r="J4225" s="51">
        <v>6.16</v>
      </c>
      <c r="K4225" s="74">
        <f>Tabela6[[#This Row],[CONSUMO]]*Tabela6[[#This Row],[VALOR UNIT]]-Tabela6[[#This Row],[DESCONTO]]</f>
        <v>583.48136</v>
      </c>
      <c r="L4225" s="53">
        <f>Tabela6[[#This Row],[CUSTO TOTAL]]/Tabela6[[#This Row],[CONSUMO]]</f>
        <v>6.16</v>
      </c>
      <c r="M4225" s="50">
        <f>Tabela6[[#This Row],[KM ATUAL]]-E4170</f>
        <v>-244425</v>
      </c>
      <c r="N4225" s="51">
        <f>Tabela6[[#This Row],[KM Rodados ]]/Tabela6[[#This Row],[CONSUMO]]</f>
        <v>-2580.4731791260647</v>
      </c>
    </row>
    <row r="4226" spans="1:14" x14ac:dyDescent="0.25">
      <c r="A4226" s="47">
        <v>383138</v>
      </c>
      <c r="B4226" s="78">
        <v>45365</v>
      </c>
      <c r="C4226" s="47" t="s">
        <v>40</v>
      </c>
      <c r="D4226" s="49" t="s">
        <v>276</v>
      </c>
      <c r="E4226" s="47">
        <v>192124</v>
      </c>
      <c r="G4226" s="50" t="s">
        <v>244</v>
      </c>
      <c r="H4226" s="51">
        <v>39.83</v>
      </c>
      <c r="J4226" s="51">
        <v>5.69</v>
      </c>
      <c r="K4226" s="74">
        <f>Tabela6[[#This Row],[CONSUMO]]*Tabela6[[#This Row],[VALOR UNIT]]-Tabela6[[#This Row],[DESCONTO]]</f>
        <v>226.6327</v>
      </c>
      <c r="L4226" s="53">
        <f>Tabela6[[#This Row],[CUSTO TOTAL]]/Tabela6[[#This Row],[CONSUMO]]</f>
        <v>5.69</v>
      </c>
      <c r="M4226" s="50">
        <f>Tabela6[[#This Row],[KM ATUAL]]-E4171</f>
        <v>-220129</v>
      </c>
      <c r="N4226" s="51">
        <f>Tabela6[[#This Row],[KM Rodados ]]/Tabela6[[#This Row],[CONSUMO]]</f>
        <v>-5526.7135325131812</v>
      </c>
    </row>
    <row r="4227" spans="1:14" x14ac:dyDescent="0.25">
      <c r="A4227" s="47">
        <v>752975</v>
      </c>
      <c r="B4227" s="78">
        <v>45365</v>
      </c>
      <c r="C4227" s="47" t="s">
        <v>74</v>
      </c>
      <c r="D4227" s="49" t="s">
        <v>271</v>
      </c>
      <c r="E4227" s="47">
        <v>119433</v>
      </c>
      <c r="G4227" s="50" t="s">
        <v>241</v>
      </c>
      <c r="H4227" s="51">
        <v>9.82</v>
      </c>
      <c r="J4227" s="51">
        <v>2.99</v>
      </c>
      <c r="K4227" s="74">
        <f>Tabela6[[#This Row],[CONSUMO]]*Tabela6[[#This Row],[VALOR UNIT]]-Tabela6[[#This Row],[DESCONTO]]</f>
        <v>29.361800000000002</v>
      </c>
      <c r="L4227" s="53">
        <f>Tabela6[[#This Row],[CUSTO TOTAL]]/Tabela6[[#This Row],[CONSUMO]]</f>
        <v>2.99</v>
      </c>
      <c r="M4227" s="50">
        <f>Tabela6[[#This Row],[KM ATUAL]]-E4172</f>
        <v>-990793</v>
      </c>
      <c r="N4227" s="51">
        <f>Tabela6[[#This Row],[KM Rodados ]]/Tabela6[[#This Row],[CONSUMO]]</f>
        <v>-100895.41751527495</v>
      </c>
    </row>
    <row r="4228" spans="1:14" x14ac:dyDescent="0.25">
      <c r="A4228" s="47">
        <v>250485</v>
      </c>
      <c r="B4228" s="78">
        <v>45366</v>
      </c>
      <c r="C4228" s="47" t="s">
        <v>39</v>
      </c>
      <c r="D4228" s="49" t="s">
        <v>262</v>
      </c>
      <c r="E4228" s="47">
        <v>120885</v>
      </c>
      <c r="G4228" s="50" t="s">
        <v>89</v>
      </c>
      <c r="H4228" s="51">
        <v>86.649000000000001</v>
      </c>
      <c r="I4228" s="49">
        <v>3.07</v>
      </c>
      <c r="J4228" s="51">
        <v>5.99</v>
      </c>
      <c r="K4228" s="74">
        <f>Tabela6[[#This Row],[CONSUMO]]*Tabela6[[#This Row],[VALOR UNIT]]-Tabela6[[#This Row],[DESCONTO]]</f>
        <v>515.95750999999996</v>
      </c>
      <c r="L4228" s="53">
        <f>Tabela6[[#This Row],[CUSTO TOTAL]]/Tabela6[[#This Row],[CONSUMO]]</f>
        <v>5.9545697007466902</v>
      </c>
      <c r="M4228" s="50">
        <f>Tabela6[[#This Row],[KM ATUAL]]-E4173</f>
        <v>-989347</v>
      </c>
      <c r="N4228" s="51">
        <f>Tabela6[[#This Row],[KM Rodados ]]/Tabela6[[#This Row],[CONSUMO]]</f>
        <v>-11417.869796535448</v>
      </c>
    </row>
    <row r="4229" spans="1:14" x14ac:dyDescent="0.25">
      <c r="A4229" s="47">
        <v>250485</v>
      </c>
      <c r="B4229" s="78">
        <v>45366</v>
      </c>
      <c r="C4229" s="47" t="s">
        <v>39</v>
      </c>
      <c r="D4229" s="49" t="s">
        <v>262</v>
      </c>
      <c r="E4229" s="47">
        <v>120885</v>
      </c>
      <c r="G4229" s="50" t="s">
        <v>241</v>
      </c>
      <c r="H4229" s="51">
        <v>8.5429999999999993</v>
      </c>
      <c r="I4229" s="49">
        <v>3.07</v>
      </c>
      <c r="J4229" s="51">
        <v>31.52</v>
      </c>
      <c r="K4229" s="74">
        <f>Tabela6[[#This Row],[CONSUMO]]*Tabela6[[#This Row],[VALOR UNIT]]-Tabela6[[#This Row],[DESCONTO]]</f>
        <v>266.20535999999998</v>
      </c>
      <c r="L4229" s="53">
        <f>Tabela6[[#This Row],[CUSTO TOTAL]]/Tabela6[[#This Row],[CONSUMO]]</f>
        <v>31.160641460845138</v>
      </c>
      <c r="M4229" s="50">
        <f>Tabela6[[#This Row],[KM ATUAL]]-E4174</f>
        <v>-200316</v>
      </c>
      <c r="N4229" s="51">
        <f>Tabela6[[#This Row],[KM Rodados ]]/Tabela6[[#This Row],[CONSUMO]]</f>
        <v>-23447.969097506731</v>
      </c>
    </row>
    <row r="4230" spans="1:14" x14ac:dyDescent="0.25">
      <c r="A4230" s="47">
        <v>184606</v>
      </c>
      <c r="B4230" s="78">
        <v>45366</v>
      </c>
      <c r="C4230" s="47" t="s">
        <v>39</v>
      </c>
      <c r="D4230" s="49" t="s">
        <v>253</v>
      </c>
      <c r="E4230" s="47">
        <v>387809</v>
      </c>
      <c r="G4230" s="50" t="s">
        <v>89</v>
      </c>
      <c r="H4230" s="51">
        <v>83.17</v>
      </c>
      <c r="J4230" s="51">
        <v>6.09</v>
      </c>
      <c r="K4230" s="74">
        <f>Tabela6[[#This Row],[CONSUMO]]*Tabela6[[#This Row],[VALOR UNIT]]-Tabela6[[#This Row],[DESCONTO]]</f>
        <v>506.50529999999998</v>
      </c>
      <c r="L4230" s="53">
        <f>Tabela6[[#This Row],[CUSTO TOTAL]]/Tabela6[[#This Row],[CONSUMO]]</f>
        <v>6.09</v>
      </c>
      <c r="M4230" s="50">
        <f>Tabela6[[#This Row],[KM ATUAL]]-E4175</f>
        <v>-28293</v>
      </c>
      <c r="N4230" s="51">
        <f>Tabela6[[#This Row],[KM Rodados ]]/Tabela6[[#This Row],[CONSUMO]]</f>
        <v>-340.18275820608392</v>
      </c>
    </row>
    <row r="4231" spans="1:14" x14ac:dyDescent="0.25">
      <c r="A4231" s="47">
        <v>295346</v>
      </c>
      <c r="B4231" s="78">
        <v>45366</v>
      </c>
      <c r="C4231" s="47" t="s">
        <v>203</v>
      </c>
      <c r="D4231" s="49" t="s">
        <v>256</v>
      </c>
      <c r="E4231" s="47">
        <v>148110</v>
      </c>
      <c r="G4231" s="50" t="s">
        <v>244</v>
      </c>
      <c r="H4231" s="51">
        <v>47.28</v>
      </c>
      <c r="J4231" s="51">
        <v>5.69</v>
      </c>
      <c r="K4231" s="74">
        <f>Tabela6[[#This Row],[CONSUMO]]*Tabela6[[#This Row],[VALOR UNIT]]-Tabela6[[#This Row],[DESCONTO]]</f>
        <v>269.02320000000003</v>
      </c>
      <c r="L4231" s="53">
        <f>Tabela6[[#This Row],[CUSTO TOTAL]]/Tabela6[[#This Row],[CONSUMO]]</f>
        <v>5.69</v>
      </c>
      <c r="M4231" s="50">
        <f>Tabela6[[#This Row],[KM ATUAL]]-E4176</f>
        <v>-169017</v>
      </c>
      <c r="N4231" s="51">
        <f>Tabela6[[#This Row],[KM Rodados ]]/Tabela6[[#This Row],[CONSUMO]]</f>
        <v>-3574.8096446700506</v>
      </c>
    </row>
    <row r="4232" spans="1:14" x14ac:dyDescent="0.25">
      <c r="A4232" s="47">
        <v>612961</v>
      </c>
      <c r="B4232" s="78">
        <v>45366</v>
      </c>
      <c r="C4232" s="47" t="s">
        <v>18</v>
      </c>
      <c r="D4232" s="49" t="s">
        <v>255</v>
      </c>
      <c r="E4232" s="47">
        <v>351222</v>
      </c>
      <c r="G4232" s="50" t="s">
        <v>89</v>
      </c>
      <c r="H4232" s="51">
        <v>77.58</v>
      </c>
      <c r="J4232" s="51">
        <v>6.16</v>
      </c>
      <c r="K4232" s="74">
        <f>Tabela6[[#This Row],[CONSUMO]]*Tabela6[[#This Row],[VALOR UNIT]]-Tabela6[[#This Row],[DESCONTO]]</f>
        <v>477.89280000000002</v>
      </c>
      <c r="L4232" s="53">
        <f>Tabela6[[#This Row],[CUSTO TOTAL]]/Tabela6[[#This Row],[CONSUMO]]</f>
        <v>6.16</v>
      </c>
      <c r="M4232" s="50">
        <f>Tabela6[[#This Row],[KM ATUAL]]-E4177</f>
        <v>47617</v>
      </c>
      <c r="N4232" s="51">
        <f>Tabela6[[#This Row],[KM Rodados ]]/Tabela6[[#This Row],[CONSUMO]]</f>
        <v>613.77932456818769</v>
      </c>
    </row>
    <row r="4233" spans="1:14" x14ac:dyDescent="0.25">
      <c r="A4233" s="47">
        <v>613006</v>
      </c>
      <c r="B4233" s="78">
        <v>45366</v>
      </c>
      <c r="C4233" s="47" t="s">
        <v>38</v>
      </c>
      <c r="D4233" s="49" t="s">
        <v>255</v>
      </c>
      <c r="E4233" s="47">
        <v>145217</v>
      </c>
      <c r="G4233" s="50" t="s">
        <v>244</v>
      </c>
      <c r="H4233" s="51">
        <v>50.66</v>
      </c>
      <c r="J4233" s="51">
        <v>5.84</v>
      </c>
      <c r="K4233" s="74">
        <f>Tabela6[[#This Row],[CONSUMO]]*Tabela6[[#This Row],[VALOR UNIT]]-Tabela6[[#This Row],[DESCONTO]]</f>
        <v>295.8544</v>
      </c>
      <c r="L4233" s="53">
        <f>Tabela6[[#This Row],[CUSTO TOTAL]]/Tabela6[[#This Row],[CONSUMO]]</f>
        <v>5.8400000000000007</v>
      </c>
      <c r="M4233" s="50">
        <f>Tabela6[[#This Row],[KM ATUAL]]-E4178</f>
        <v>25212</v>
      </c>
      <c r="N4233" s="51">
        <f>Tabela6[[#This Row],[KM Rodados ]]/Tabela6[[#This Row],[CONSUMO]]</f>
        <v>497.67074615080935</v>
      </c>
    </row>
    <row r="4234" spans="1:14" x14ac:dyDescent="0.25">
      <c r="A4234" s="47">
        <v>249795</v>
      </c>
      <c r="B4234" s="78">
        <v>45367</v>
      </c>
      <c r="C4234" s="47" t="s">
        <v>71</v>
      </c>
      <c r="D4234" s="49" t="s">
        <v>374</v>
      </c>
      <c r="E4234" s="47">
        <v>162614</v>
      </c>
      <c r="G4234" s="50" t="s">
        <v>89</v>
      </c>
      <c r="H4234" s="51">
        <v>405.661</v>
      </c>
      <c r="J4234" s="51">
        <v>5.65</v>
      </c>
      <c r="K4234" s="74">
        <f>Tabela6[[#This Row],[CONSUMO]]*Tabela6[[#This Row],[VALOR UNIT]]-Tabela6[[#This Row],[DESCONTO]]</f>
        <v>2291.9846500000003</v>
      </c>
      <c r="L4234" s="53">
        <f>Tabela6[[#This Row],[CUSTO TOTAL]]/Tabela6[[#This Row],[CONSUMO]]</f>
        <v>5.65</v>
      </c>
      <c r="M4234" s="50">
        <f>Tabela6[[#This Row],[KM ATUAL]]-E4179</f>
        <v>15629</v>
      </c>
      <c r="N4234" s="51">
        <f>Tabela6[[#This Row],[KM Rodados ]]/Tabela6[[#This Row],[CONSUMO]]</f>
        <v>38.527243190743008</v>
      </c>
    </row>
    <row r="4235" spans="1:14" x14ac:dyDescent="0.25">
      <c r="A4235" s="47">
        <v>250776</v>
      </c>
      <c r="B4235" s="78">
        <v>45367</v>
      </c>
      <c r="C4235" s="47" t="s">
        <v>14</v>
      </c>
      <c r="D4235" s="49" t="s">
        <v>262</v>
      </c>
      <c r="E4235" s="47">
        <v>323886</v>
      </c>
      <c r="G4235" s="50" t="s">
        <v>244</v>
      </c>
      <c r="H4235" s="51">
        <v>39.83</v>
      </c>
      <c r="J4235" s="51">
        <v>5.59</v>
      </c>
      <c r="K4235" s="74">
        <f>Tabela6[[#This Row],[CONSUMO]]*Tabela6[[#This Row],[VALOR UNIT]]-Tabela6[[#This Row],[DESCONTO]]</f>
        <v>222.6497</v>
      </c>
      <c r="L4235" s="53">
        <f>Tabela6[[#This Row],[CUSTO TOTAL]]/Tabela6[[#This Row],[CONSUMO]]</f>
        <v>5.59</v>
      </c>
      <c r="M4235" s="50">
        <f>Tabela6[[#This Row],[KM ATUAL]]-E4180</f>
        <v>-121491</v>
      </c>
      <c r="N4235" s="51">
        <f>Tabela6[[#This Row],[KM Rodados ]]/Tabela6[[#This Row],[CONSUMO]]</f>
        <v>-3050.2385136831535</v>
      </c>
    </row>
    <row r="4236" spans="1:14" x14ac:dyDescent="0.25">
      <c r="A4236" s="47">
        <v>290420</v>
      </c>
      <c r="B4236" s="78">
        <v>45368</v>
      </c>
      <c r="C4236" s="47" t="s">
        <v>67</v>
      </c>
      <c r="D4236" s="49" t="s">
        <v>273</v>
      </c>
      <c r="E4236" s="47">
        <v>704113</v>
      </c>
      <c r="G4236" s="50" t="s">
        <v>241</v>
      </c>
      <c r="H4236" s="51">
        <v>14.170999999999999</v>
      </c>
      <c r="J4236" s="51">
        <v>2.99</v>
      </c>
      <c r="K4236" s="74">
        <f>Tabela6[[#This Row],[CONSUMO]]*Tabela6[[#This Row],[VALOR UNIT]]-Tabela6[[#This Row],[DESCONTO]]</f>
        <v>42.371290000000002</v>
      </c>
      <c r="L4236" s="53">
        <f>Tabela6[[#This Row],[CUSTO TOTAL]]/Tabela6[[#This Row],[CONSUMO]]</f>
        <v>2.99</v>
      </c>
      <c r="M4236" s="50">
        <f>Tabela6[[#This Row],[KM ATUAL]]-E4181</f>
        <v>370995</v>
      </c>
      <c r="N4236" s="51">
        <f>Tabela6[[#This Row],[KM Rodados ]]/Tabela6[[#This Row],[CONSUMO]]</f>
        <v>26179.874391362642</v>
      </c>
    </row>
    <row r="4237" spans="1:14" x14ac:dyDescent="0.25">
      <c r="A4237" s="47">
        <v>290421</v>
      </c>
      <c r="B4237" s="78">
        <v>45368</v>
      </c>
      <c r="C4237" s="47" t="s">
        <v>67</v>
      </c>
      <c r="D4237" s="49" t="s">
        <v>273</v>
      </c>
      <c r="E4237" s="47">
        <v>704113</v>
      </c>
      <c r="G4237" s="50" t="s">
        <v>89</v>
      </c>
      <c r="H4237" s="51">
        <v>154.62100000000001</v>
      </c>
      <c r="J4237" s="51">
        <v>5.59</v>
      </c>
      <c r="K4237" s="74">
        <f>Tabela6[[#This Row],[CONSUMO]]*Tabela6[[#This Row],[VALOR UNIT]]-Tabela6[[#This Row],[DESCONTO]]</f>
        <v>864.33139000000006</v>
      </c>
      <c r="L4237" s="53">
        <f>Tabela6[[#This Row],[CUSTO TOTAL]]/Tabela6[[#This Row],[CONSUMO]]</f>
        <v>5.59</v>
      </c>
      <c r="M4237" s="50">
        <f>Tabela6[[#This Row],[KM ATUAL]]-E4182</f>
        <v>559341</v>
      </c>
      <c r="N4237" s="51">
        <f>Tabela6[[#This Row],[KM Rodados ]]/Tabela6[[#This Row],[CONSUMO]]</f>
        <v>3617.4969764779685</v>
      </c>
    </row>
    <row r="4238" spans="1:14" x14ac:dyDescent="0.25">
      <c r="A4238" s="47">
        <v>164670</v>
      </c>
      <c r="B4238" s="78">
        <v>45368</v>
      </c>
      <c r="C4238" s="47" t="s">
        <v>203</v>
      </c>
      <c r="D4238" s="49" t="s">
        <v>262</v>
      </c>
      <c r="E4238" s="47">
        <v>148433</v>
      </c>
      <c r="G4238" s="50" t="s">
        <v>244</v>
      </c>
      <c r="H4238" s="51">
        <v>27.46</v>
      </c>
      <c r="J4238" s="51">
        <v>5.69</v>
      </c>
      <c r="K4238" s="74">
        <f>Tabela6[[#This Row],[CONSUMO]]*Tabela6[[#This Row],[VALOR UNIT]]-Tabela6[[#This Row],[DESCONTO]]</f>
        <v>156.24740000000003</v>
      </c>
      <c r="L4238" s="53">
        <f>Tabela6[[#This Row],[CUSTO TOTAL]]/Tabela6[[#This Row],[CONSUMO]]</f>
        <v>5.69</v>
      </c>
      <c r="M4238" s="50">
        <f>Tabela6[[#This Row],[KM ATUAL]]-E4183</f>
        <v>-173338</v>
      </c>
      <c r="N4238" s="51">
        <f>Tabela6[[#This Row],[KM Rodados ]]/Tabela6[[#This Row],[CONSUMO]]</f>
        <v>-6312.3816460305898</v>
      </c>
    </row>
    <row r="4239" spans="1:14" x14ac:dyDescent="0.25">
      <c r="A4239" s="47">
        <v>250281</v>
      </c>
      <c r="B4239" s="78">
        <v>45368</v>
      </c>
      <c r="C4239" s="47" t="s">
        <v>301</v>
      </c>
      <c r="D4239" s="49" t="s">
        <v>374</v>
      </c>
      <c r="E4239" s="47">
        <v>1110643</v>
      </c>
      <c r="G4239" s="50" t="s">
        <v>89</v>
      </c>
      <c r="H4239" s="51">
        <v>549.07100000000003</v>
      </c>
      <c r="J4239" s="51">
        <v>5.65</v>
      </c>
      <c r="K4239" s="74">
        <f>Tabela6[[#This Row],[CONSUMO]]*Tabela6[[#This Row],[VALOR UNIT]]-Tabela6[[#This Row],[DESCONTO]]</f>
        <v>3102.2511500000005</v>
      </c>
      <c r="L4239" s="53">
        <f>Tabela6[[#This Row],[CUSTO TOTAL]]/Tabela6[[#This Row],[CONSUMO]]</f>
        <v>5.65</v>
      </c>
      <c r="M4239" s="50">
        <f>Tabela6[[#This Row],[KM ATUAL]]-E4184</f>
        <v>993667</v>
      </c>
      <c r="N4239" s="51">
        <f>Tabela6[[#This Row],[KM Rodados ]]/Tabela6[[#This Row],[CONSUMO]]</f>
        <v>1809.7240611869865</v>
      </c>
    </row>
    <row r="4240" spans="1:14" x14ac:dyDescent="0.25">
      <c r="A4240" s="47">
        <v>432585</v>
      </c>
      <c r="B4240" s="78">
        <v>45368</v>
      </c>
      <c r="C4240" s="47" t="s">
        <v>23</v>
      </c>
      <c r="D4240" s="49" t="s">
        <v>281</v>
      </c>
      <c r="E4240" s="47">
        <v>263200</v>
      </c>
      <c r="G4240" s="50" t="s">
        <v>89</v>
      </c>
      <c r="H4240" s="51">
        <v>51.49</v>
      </c>
      <c r="I4240" s="49">
        <v>75.17</v>
      </c>
      <c r="J4240" s="51">
        <v>7.05</v>
      </c>
      <c r="K4240" s="74">
        <f>Tabela6[[#This Row],[CONSUMO]]*Tabela6[[#This Row],[VALOR UNIT]]-Tabela6[[#This Row],[DESCONTO]]</f>
        <v>287.83449999999999</v>
      </c>
      <c r="L4240" s="53">
        <f>Tabela6[[#This Row],[CUSTO TOTAL]]/Tabela6[[#This Row],[CONSUMO]]</f>
        <v>5.5901048747329574</v>
      </c>
      <c r="M4240" s="50">
        <f>Tabela6[[#This Row],[KM ATUAL]]-E4185</f>
        <v>246268</v>
      </c>
      <c r="N4240" s="51">
        <f>Tabela6[[#This Row],[KM Rodados ]]/Tabela6[[#This Row],[CONSUMO]]</f>
        <v>4782.8316177898623</v>
      </c>
    </row>
    <row r="4241" spans="1:14" x14ac:dyDescent="0.25">
      <c r="A4241" s="47">
        <v>2514227</v>
      </c>
      <c r="B4241" s="78">
        <v>45369</v>
      </c>
      <c r="C4241" s="47" t="s">
        <v>222</v>
      </c>
      <c r="D4241" s="49" t="s">
        <v>262</v>
      </c>
      <c r="E4241" s="106" t="s">
        <v>438</v>
      </c>
      <c r="G4241" s="50" t="s">
        <v>241</v>
      </c>
      <c r="H4241" s="51">
        <v>45.999000000000002</v>
      </c>
      <c r="I4241" s="49">
        <v>16.559999999999999</v>
      </c>
      <c r="J4241" s="51">
        <v>3.69</v>
      </c>
      <c r="K4241" s="74">
        <f>Tabela6[[#This Row],[CONSUMO]]*Tabela6[[#This Row],[VALOR UNIT]]-Tabela6[[#This Row],[DESCONTO]]</f>
        <v>153.17631</v>
      </c>
      <c r="L4241" s="53">
        <f>Tabela6[[#This Row],[CUSTO TOTAL]]/Tabela6[[#This Row],[CONSUMO]]</f>
        <v>3.3299921737429075</v>
      </c>
      <c r="M4241" s="50" t="e">
        <f>Tabela6[[#This Row],[KM ATUAL]]-E4186</f>
        <v>#VALUE!</v>
      </c>
      <c r="N4241" s="51" t="e">
        <f>Tabela6[[#This Row],[KM Rodados ]]/Tabela6[[#This Row],[CONSUMO]]</f>
        <v>#VALUE!</v>
      </c>
    </row>
    <row r="4242" spans="1:14" x14ac:dyDescent="0.25">
      <c r="A4242" s="47">
        <v>288098</v>
      </c>
      <c r="B4242" s="78">
        <v>45369</v>
      </c>
      <c r="C4242" s="47" t="s">
        <v>22</v>
      </c>
      <c r="D4242" s="49" t="s">
        <v>269</v>
      </c>
      <c r="E4242" s="47">
        <v>357405</v>
      </c>
      <c r="G4242" s="50" t="s">
        <v>89</v>
      </c>
      <c r="H4242" s="51">
        <v>134.27099999999999</v>
      </c>
      <c r="J4242" s="51">
        <v>5.59</v>
      </c>
      <c r="K4242" s="74">
        <f>Tabela6[[#This Row],[CONSUMO]]*Tabela6[[#This Row],[VALOR UNIT]]-Tabela6[[#This Row],[DESCONTO]]</f>
        <v>750.57488999999987</v>
      </c>
      <c r="L4242" s="53">
        <f>Tabela6[[#This Row],[CUSTO TOTAL]]/Tabela6[[#This Row],[CONSUMO]]</f>
        <v>5.59</v>
      </c>
      <c r="M4242" s="50">
        <f>Tabela6[[#This Row],[KM ATUAL]]-E4187</f>
        <v>175072</v>
      </c>
      <c r="N4242" s="51">
        <f>Tabela6[[#This Row],[KM Rodados ]]/Tabela6[[#This Row],[CONSUMO]]</f>
        <v>1303.8705304942989</v>
      </c>
    </row>
    <row r="4243" spans="1:14" x14ac:dyDescent="0.25">
      <c r="A4243" s="47">
        <v>384541</v>
      </c>
      <c r="B4243" s="78">
        <v>45369</v>
      </c>
      <c r="C4243" s="47" t="s">
        <v>203</v>
      </c>
      <c r="D4243" s="49" t="s">
        <v>276</v>
      </c>
      <c r="E4243" s="47">
        <v>149021</v>
      </c>
      <c r="G4243" s="50" t="s">
        <v>244</v>
      </c>
      <c r="H4243" s="51">
        <v>44.12</v>
      </c>
      <c r="J4243" s="51">
        <v>5.69</v>
      </c>
      <c r="K4243" s="74">
        <f>Tabela6[[#This Row],[CONSUMO]]*Tabela6[[#This Row],[VALOR UNIT]]-Tabela6[[#This Row],[DESCONTO]]</f>
        <v>251.0428</v>
      </c>
      <c r="L4243" s="53">
        <f>Tabela6[[#This Row],[CUSTO TOTAL]]/Tabela6[[#This Row],[CONSUMO]]</f>
        <v>5.69</v>
      </c>
      <c r="M4243" s="50">
        <f>Tabela6[[#This Row],[KM ATUAL]]-E4188</f>
        <v>-813986</v>
      </c>
      <c r="N4243" s="51">
        <f>Tabela6[[#This Row],[KM Rodados ]]/Tabela6[[#This Row],[CONSUMO]]</f>
        <v>-18449.365367180417</v>
      </c>
    </row>
    <row r="4244" spans="1:14" x14ac:dyDescent="0.25">
      <c r="A4244" s="47">
        <v>251274</v>
      </c>
      <c r="B4244" s="78">
        <v>45369</v>
      </c>
      <c r="C4244" s="47" t="s">
        <v>72</v>
      </c>
      <c r="D4244" s="49" t="s">
        <v>262</v>
      </c>
      <c r="E4244" s="47">
        <v>446299</v>
      </c>
      <c r="G4244" s="50" t="s">
        <v>89</v>
      </c>
      <c r="H4244" s="51">
        <v>32.9</v>
      </c>
      <c r="J4244" s="51">
        <v>5.99</v>
      </c>
      <c r="K4244" s="74">
        <f>Tabela6[[#This Row],[CONSUMO]]*Tabela6[[#This Row],[VALOR UNIT]]-Tabela6[[#This Row],[DESCONTO]]</f>
        <v>197.071</v>
      </c>
      <c r="L4244" s="53">
        <f>Tabela6[[#This Row],[CUSTO TOTAL]]/Tabela6[[#This Row],[CONSUMO]]</f>
        <v>5.99</v>
      </c>
      <c r="M4244" s="50">
        <f>Tabela6[[#This Row],[KM ATUAL]]-E4189</f>
        <v>298781</v>
      </c>
      <c r="N4244" s="51">
        <f>Tabela6[[#This Row],[KM Rodados ]]/Tabela6[[#This Row],[CONSUMO]]</f>
        <v>9081.489361702128</v>
      </c>
    </row>
    <row r="4245" spans="1:14" x14ac:dyDescent="0.25">
      <c r="A4245" s="47">
        <v>39902</v>
      </c>
      <c r="B4245" s="78">
        <v>45369</v>
      </c>
      <c r="C4245" s="49" t="s">
        <v>301</v>
      </c>
      <c r="D4245" s="49" t="s">
        <v>332</v>
      </c>
      <c r="E4245" s="47">
        <v>1110761</v>
      </c>
      <c r="G4245" s="49" t="s">
        <v>89</v>
      </c>
      <c r="H4245" s="51">
        <v>460.80099999999999</v>
      </c>
      <c r="J4245" s="51">
        <v>5.54</v>
      </c>
      <c r="K4245" s="74">
        <f>Tabela6[[#This Row],[CONSUMO]]*Tabela6[[#This Row],[VALOR UNIT]]-Tabela6[[#This Row],[DESCONTO]]</f>
        <v>2552.83754</v>
      </c>
      <c r="M4245" s="50">
        <f>Tabela6[[#This Row],[KM ATUAL]]-E4190</f>
        <v>951227</v>
      </c>
      <c r="N4245" s="51">
        <f>Tabela6[[#This Row],[KM Rodados ]]/Tabela6[[#This Row],[CONSUMO]]</f>
        <v>2064.2902250646157</v>
      </c>
    </row>
    <row r="4246" spans="1:14" x14ac:dyDescent="0.25">
      <c r="A4246" s="47">
        <v>186925</v>
      </c>
      <c r="B4246" s="78">
        <v>45369</v>
      </c>
      <c r="C4246" s="47" t="s">
        <v>12</v>
      </c>
      <c r="D4246" s="49" t="s">
        <v>253</v>
      </c>
      <c r="E4246" s="47">
        <v>334142</v>
      </c>
      <c r="G4246" s="50" t="s">
        <v>89</v>
      </c>
      <c r="H4246" s="51">
        <v>79.61</v>
      </c>
      <c r="J4246" s="51">
        <v>6.09</v>
      </c>
      <c r="K4246" s="74">
        <f>Tabela6[[#This Row],[CONSUMO]]*Tabela6[[#This Row],[VALOR UNIT]]-Tabela6[[#This Row],[DESCONTO]]</f>
        <v>484.82489999999996</v>
      </c>
      <c r="L4246" s="53">
        <f>Tabela6[[#This Row],[CUSTO TOTAL]]/Tabela6[[#This Row],[CONSUMO]]</f>
        <v>6.09</v>
      </c>
      <c r="M4246" s="50">
        <f>Tabela6[[#This Row],[KM ATUAL]]-E4191</f>
        <v>-367967</v>
      </c>
      <c r="N4246" s="51">
        <f>Tabela6[[#This Row],[KM Rodados ]]/Tabela6[[#This Row],[CONSUMO]]</f>
        <v>-4622.1203366411255</v>
      </c>
    </row>
    <row r="4247" spans="1:14" x14ac:dyDescent="0.25">
      <c r="A4247" s="47">
        <v>143761</v>
      </c>
      <c r="B4247" s="78">
        <v>45369</v>
      </c>
      <c r="C4247" s="47" t="s">
        <v>15</v>
      </c>
      <c r="D4247" s="49" t="s">
        <v>279</v>
      </c>
      <c r="E4247" s="47">
        <v>419121</v>
      </c>
      <c r="G4247" s="50" t="s">
        <v>89</v>
      </c>
      <c r="H4247" s="51">
        <v>130.59100000000001</v>
      </c>
      <c r="J4247" s="51">
        <v>5.45</v>
      </c>
      <c r="K4247" s="74">
        <f>Tabela6[[#This Row],[CONSUMO]]*Tabela6[[#This Row],[VALOR UNIT]]-Tabela6[[#This Row],[DESCONTO]]</f>
        <v>711.72095000000002</v>
      </c>
      <c r="L4247" s="53">
        <f>Tabela6[[#This Row],[CUSTO TOTAL]]/Tabela6[[#This Row],[CONSUMO]]</f>
        <v>5.45</v>
      </c>
      <c r="M4247" s="50">
        <f>Tabela6[[#This Row],[KM ATUAL]]-E4192</f>
        <v>-191880</v>
      </c>
      <c r="N4247" s="51">
        <f>Tabela6[[#This Row],[KM Rodados ]]/Tabela6[[#This Row],[CONSUMO]]</f>
        <v>-1469.3202441209578</v>
      </c>
    </row>
    <row r="4248" spans="1:14" x14ac:dyDescent="0.25">
      <c r="A4248" s="47">
        <v>250522</v>
      </c>
      <c r="B4248" s="78">
        <v>45369</v>
      </c>
      <c r="C4248" s="47" t="s">
        <v>17</v>
      </c>
      <c r="D4248" s="49" t="s">
        <v>262</v>
      </c>
      <c r="E4248" s="47">
        <v>401420</v>
      </c>
      <c r="G4248" s="50" t="s">
        <v>89</v>
      </c>
      <c r="H4248" s="51">
        <v>148.74</v>
      </c>
      <c r="J4248" s="51">
        <v>5.99</v>
      </c>
      <c r="K4248" s="74">
        <f>Tabela6[[#This Row],[CONSUMO]]*Tabela6[[#This Row],[VALOR UNIT]]-Tabela6[[#This Row],[DESCONTO]]</f>
        <v>890.95260000000007</v>
      </c>
      <c r="L4248" s="53">
        <f>Tabela6[[#This Row],[CUSTO TOTAL]]/Tabela6[[#This Row],[CONSUMO]]</f>
        <v>5.99</v>
      </c>
      <c r="M4248" s="50">
        <f>Tabela6[[#This Row],[KM ATUAL]]-E4193</f>
        <v>210656</v>
      </c>
      <c r="N4248" s="51">
        <f>Tabela6[[#This Row],[KM Rodados ]]/Tabela6[[#This Row],[CONSUMO]]</f>
        <v>1416.2700013446281</v>
      </c>
    </row>
    <row r="4249" spans="1:14" x14ac:dyDescent="0.25">
      <c r="A4249" s="47">
        <v>251307</v>
      </c>
      <c r="B4249" s="78">
        <v>45369</v>
      </c>
      <c r="C4249" s="47" t="s">
        <v>19</v>
      </c>
      <c r="D4249" s="49" t="s">
        <v>262</v>
      </c>
      <c r="E4249" s="47">
        <v>363545</v>
      </c>
      <c r="G4249" s="50" t="s">
        <v>241</v>
      </c>
      <c r="H4249" s="51">
        <v>22.945</v>
      </c>
      <c r="I4249" s="49">
        <v>8.26</v>
      </c>
      <c r="J4249" s="51">
        <v>3.69</v>
      </c>
      <c r="K4249" s="74">
        <f>Tabela6[[#This Row],[CONSUMO]]*Tabela6[[#This Row],[VALOR UNIT]]-Tabela6[[#This Row],[DESCONTO]]</f>
        <v>76.407049999999998</v>
      </c>
      <c r="L4249" s="53">
        <f>Tabela6[[#This Row],[CUSTO TOTAL]]/Tabela6[[#This Row],[CONSUMO]]</f>
        <v>3.3300087164959686</v>
      </c>
      <c r="M4249" s="50">
        <f>Tabela6[[#This Row],[KM ATUAL]]-E4194</f>
        <v>331755</v>
      </c>
      <c r="N4249" s="51">
        <f>Tabela6[[#This Row],[KM Rodados ]]/Tabela6[[#This Row],[CONSUMO]]</f>
        <v>14458.70560034866</v>
      </c>
    </row>
    <row r="4250" spans="1:14" x14ac:dyDescent="0.25">
      <c r="A4250" s="47">
        <v>251321</v>
      </c>
      <c r="B4250" s="78">
        <v>45369</v>
      </c>
      <c r="C4250" s="47" t="s">
        <v>40</v>
      </c>
      <c r="D4250" s="49" t="s">
        <v>262</v>
      </c>
      <c r="E4250" s="47">
        <v>192388</v>
      </c>
      <c r="G4250" s="50" t="s">
        <v>244</v>
      </c>
      <c r="H4250" s="51">
        <v>23.1</v>
      </c>
      <c r="J4250" s="51">
        <v>5.59</v>
      </c>
      <c r="K4250" s="74">
        <f>Tabela6[[#This Row],[CONSUMO]]*Tabela6[[#This Row],[VALOR UNIT]]-Tabela6[[#This Row],[DESCONTO]]</f>
        <v>129.12899999999999</v>
      </c>
      <c r="L4250" s="53">
        <f>Tabela6[[#This Row],[CUSTO TOTAL]]/Tabela6[[#This Row],[CONSUMO]]</f>
        <v>5.589999999999999</v>
      </c>
      <c r="M4250" s="50">
        <f>Tabela6[[#This Row],[KM ATUAL]]-E4195</f>
        <v>-917952</v>
      </c>
      <c r="N4250" s="51">
        <f>Tabela6[[#This Row],[KM Rodados ]]/Tabela6[[#This Row],[CONSUMO]]</f>
        <v>-39738.181818181816</v>
      </c>
    </row>
    <row r="4251" spans="1:14" x14ac:dyDescent="0.25">
      <c r="A4251" s="47">
        <v>251425</v>
      </c>
      <c r="B4251" s="78">
        <v>45369</v>
      </c>
      <c r="C4251" s="47" t="s">
        <v>354</v>
      </c>
      <c r="D4251" s="49" t="s">
        <v>262</v>
      </c>
      <c r="E4251" s="47">
        <v>33042</v>
      </c>
      <c r="G4251" s="50" t="s">
        <v>241</v>
      </c>
      <c r="H4251" s="51">
        <v>21.861000000000001</v>
      </c>
      <c r="I4251" s="49">
        <v>7.87</v>
      </c>
      <c r="J4251" s="51">
        <v>3.69</v>
      </c>
      <c r="K4251" s="74">
        <f>Tabela6[[#This Row],[CONSUMO]]*Tabela6[[#This Row],[VALOR UNIT]]-Tabela6[[#This Row],[DESCONTO]]</f>
        <v>72.797089999999997</v>
      </c>
      <c r="L4251" s="53">
        <f>Tabela6[[#This Row],[CUSTO TOTAL]]/Tabela6[[#This Row],[CONSUMO]]</f>
        <v>3.3299981702575359</v>
      </c>
      <c r="M4251" s="50">
        <f>Tabela6[[#This Row],[KM ATUAL]]-E4196</f>
        <v>-158276</v>
      </c>
      <c r="N4251" s="51">
        <f>Tabela6[[#This Row],[KM Rodados ]]/Tabela6[[#This Row],[CONSUMO]]</f>
        <v>-7240.1079548053613</v>
      </c>
    </row>
    <row r="4252" spans="1:14" x14ac:dyDescent="0.25">
      <c r="A4252" s="47">
        <v>187450</v>
      </c>
      <c r="B4252" s="78">
        <v>45370</v>
      </c>
      <c r="C4252" s="47" t="s">
        <v>441</v>
      </c>
      <c r="D4252" s="49" t="s">
        <v>253</v>
      </c>
      <c r="E4252" s="106">
        <v>412861</v>
      </c>
      <c r="G4252" s="50" t="s">
        <v>89</v>
      </c>
      <c r="H4252" s="51">
        <v>101.43</v>
      </c>
      <c r="J4252" s="51">
        <v>6.09</v>
      </c>
      <c r="K4252" s="74">
        <f>Tabela6[[#This Row],[CONSUMO]]*Tabela6[[#This Row],[VALOR UNIT]]-Tabela6[[#This Row],[DESCONTO]]</f>
        <v>617.70870000000002</v>
      </c>
      <c r="L4252" s="53">
        <f>Tabela6[[#This Row],[CUSTO TOTAL]]/Tabela6[[#This Row],[CONSUMO]]</f>
        <v>6.09</v>
      </c>
      <c r="M4252" s="50">
        <f>Tabela6[[#This Row],[KM ATUAL]]-E4197</f>
        <v>-414290</v>
      </c>
      <c r="N4252" s="51">
        <f>Tabela6[[#This Row],[KM Rodados ]]/Tabela6[[#This Row],[CONSUMO]]</f>
        <v>-4084.4917677215813</v>
      </c>
    </row>
    <row r="4253" spans="1:14" x14ac:dyDescent="0.25">
      <c r="A4253" s="47">
        <v>250860</v>
      </c>
      <c r="B4253" s="78">
        <v>45370</v>
      </c>
      <c r="C4253" s="47" t="s">
        <v>301</v>
      </c>
      <c r="D4253" s="49" t="s">
        <v>374</v>
      </c>
      <c r="E4253" s="47">
        <v>1110838</v>
      </c>
      <c r="G4253" s="50" t="s">
        <v>89</v>
      </c>
      <c r="H4253" s="51">
        <v>405.23099999999999</v>
      </c>
      <c r="J4253" s="51">
        <v>5.65</v>
      </c>
      <c r="K4253" s="74">
        <f>Tabela6[[#This Row],[CONSUMO]]*Tabela6[[#This Row],[VALOR UNIT]]-Tabela6[[#This Row],[DESCONTO]]</f>
        <v>2289.5551500000001</v>
      </c>
      <c r="L4253" s="53">
        <f>Tabela6[[#This Row],[CUSTO TOTAL]]/Tabela6[[#This Row],[CONSUMO]]</f>
        <v>5.65</v>
      </c>
      <c r="M4253" s="50">
        <f>Tabela6[[#This Row],[KM ATUAL]]-E4198</f>
        <v>724237</v>
      </c>
      <c r="N4253" s="51">
        <f>Tabela6[[#This Row],[KM Rodados ]]/Tabela6[[#This Row],[CONSUMO]]</f>
        <v>1787.2201287660619</v>
      </c>
    </row>
    <row r="4254" spans="1:14" x14ac:dyDescent="0.25">
      <c r="A4254" s="47">
        <v>614181</v>
      </c>
      <c r="B4254" s="78">
        <v>45370</v>
      </c>
      <c r="C4254" s="47" t="s">
        <v>16</v>
      </c>
      <c r="D4254" s="49" t="s">
        <v>255</v>
      </c>
      <c r="E4254" s="106">
        <v>318702</v>
      </c>
      <c r="G4254" s="50" t="s">
        <v>89</v>
      </c>
      <c r="H4254" s="51">
        <v>120.541</v>
      </c>
      <c r="J4254" s="51">
        <v>6.16</v>
      </c>
      <c r="K4254" s="74">
        <f>Tabela6[[#This Row],[CONSUMO]]*Tabela6[[#This Row],[VALOR UNIT]]-Tabela6[[#This Row],[DESCONTO]]</f>
        <v>742.53255999999999</v>
      </c>
      <c r="L4254" s="53">
        <f>Tabela6[[#This Row],[CUSTO TOTAL]]/Tabela6[[#This Row],[CONSUMO]]</f>
        <v>6.16</v>
      </c>
      <c r="M4254" s="50">
        <f>Tabela6[[#This Row],[KM ATUAL]]-E4199</f>
        <v>-4185</v>
      </c>
      <c r="N4254" s="51">
        <f>Tabela6[[#This Row],[KM Rodados ]]/Tabela6[[#This Row],[CONSUMO]]</f>
        <v>-34.718477530466814</v>
      </c>
    </row>
    <row r="4255" spans="1:14" x14ac:dyDescent="0.25">
      <c r="A4255" s="47">
        <v>384832</v>
      </c>
      <c r="B4255" s="78">
        <v>45370</v>
      </c>
      <c r="C4255" s="47" t="s">
        <v>440</v>
      </c>
      <c r="D4255" s="49" t="s">
        <v>276</v>
      </c>
      <c r="E4255" s="106">
        <v>5048</v>
      </c>
      <c r="G4255" s="50" t="s">
        <v>241</v>
      </c>
      <c r="H4255" s="51">
        <v>3.69</v>
      </c>
      <c r="J4255" s="51">
        <v>52.59</v>
      </c>
      <c r="K4255" s="74">
        <f>Tabela6[[#This Row],[CONSUMO]]*Tabela6[[#This Row],[VALOR UNIT]]-Tabela6[[#This Row],[DESCONTO]]</f>
        <v>194.05710000000002</v>
      </c>
      <c r="L4255" s="53">
        <f>Tabela6[[#This Row],[CUSTO TOTAL]]/Tabela6[[#This Row],[CONSUMO]]</f>
        <v>52.59</v>
      </c>
      <c r="M4255" s="50">
        <f>Tabela6[[#This Row],[KM ATUAL]]-E4200</f>
        <v>-11454</v>
      </c>
      <c r="N4255" s="51">
        <f>Tabela6[[#This Row],[KM Rodados ]]/Tabela6[[#This Row],[CONSUMO]]</f>
        <v>-3104.0650406504064</v>
      </c>
    </row>
    <row r="4256" spans="1:14" x14ac:dyDescent="0.25">
      <c r="A4256" s="47">
        <v>42204</v>
      </c>
      <c r="B4256" s="78">
        <v>45370</v>
      </c>
      <c r="C4256" s="47" t="s">
        <v>401</v>
      </c>
      <c r="D4256" s="49" t="s">
        <v>442</v>
      </c>
      <c r="E4256" s="106">
        <v>18858</v>
      </c>
      <c r="G4256" s="50" t="s">
        <v>89</v>
      </c>
      <c r="H4256" s="51">
        <v>83.47</v>
      </c>
      <c r="J4256" s="51">
        <v>5.99</v>
      </c>
      <c r="K4256" s="74">
        <f>Tabela6[[#This Row],[CONSUMO]]*Tabela6[[#This Row],[VALOR UNIT]]-Tabela6[[#This Row],[DESCONTO]]</f>
        <v>499.9853</v>
      </c>
      <c r="L4256" s="53">
        <f>Tabela6[[#This Row],[CUSTO TOTAL]]/Tabela6[[#This Row],[CONSUMO]]</f>
        <v>5.99</v>
      </c>
      <c r="M4256" s="50">
        <f>Tabela6[[#This Row],[KM ATUAL]]-E4201</f>
        <v>-164450</v>
      </c>
      <c r="N4256" s="51">
        <f>Tabela6[[#This Row],[KM Rodados ]]/Tabela6[[#This Row],[CONSUMO]]</f>
        <v>-1970.1689229663352</v>
      </c>
    </row>
    <row r="4257" spans="1:14" x14ac:dyDescent="0.25">
      <c r="A4257" s="47">
        <v>918382</v>
      </c>
      <c r="B4257" s="78">
        <v>45371</v>
      </c>
      <c r="C4257" s="47" t="s">
        <v>358</v>
      </c>
      <c r="D4257" s="49" t="s">
        <v>376</v>
      </c>
      <c r="E4257" s="47">
        <v>832065</v>
      </c>
      <c r="G4257" s="50" t="s">
        <v>89</v>
      </c>
      <c r="H4257" s="51">
        <v>36.6</v>
      </c>
      <c r="J4257" s="51">
        <v>3</v>
      </c>
      <c r="K4257" s="74">
        <f>Tabela6[[#This Row],[CONSUMO]]*Tabela6[[#This Row],[VALOR UNIT]]-Tabela6[[#This Row],[DESCONTO]]</f>
        <v>109.80000000000001</v>
      </c>
      <c r="L4257" s="53">
        <f>Tabela6[[#This Row],[CUSTO TOTAL]]/Tabela6[[#This Row],[CONSUMO]]</f>
        <v>3</v>
      </c>
      <c r="M4257" s="50" t="e">
        <f>Tabela6[[#This Row],[KM ATUAL]]-#REF!</f>
        <v>#REF!</v>
      </c>
      <c r="N4257" s="51" t="e">
        <f>Tabela6[[#This Row],[KM Rodados ]]/Tabela6[[#This Row],[CONSUMO]]</f>
        <v>#REF!</v>
      </c>
    </row>
    <row r="4258" spans="1:14" x14ac:dyDescent="0.25">
      <c r="A4258" s="47">
        <v>251854</v>
      </c>
      <c r="B4258" s="78">
        <v>45371</v>
      </c>
      <c r="C4258" s="47" t="s">
        <v>73</v>
      </c>
      <c r="D4258" s="49" t="s">
        <v>262</v>
      </c>
      <c r="E4258" s="47">
        <v>186499</v>
      </c>
      <c r="G4258" s="50" t="s">
        <v>241</v>
      </c>
      <c r="H4258" s="51">
        <v>18.308</v>
      </c>
      <c r="I4258" s="49">
        <v>6.59</v>
      </c>
      <c r="J4258" s="51">
        <v>3.69</v>
      </c>
      <c r="K4258" s="74">
        <f>Tabela6[[#This Row],[CONSUMO]]*Tabela6[[#This Row],[VALOR UNIT]]-Tabela6[[#This Row],[DESCONTO]]</f>
        <v>60.966519999999988</v>
      </c>
      <c r="L4258" s="53">
        <f>Tabela6[[#This Row],[CUSTO TOTAL]]/Tabela6[[#This Row],[CONSUMO]]</f>
        <v>3.3300480664190513</v>
      </c>
      <c r="M4258" s="50">
        <f>Tabela6[[#This Row],[KM ATUAL]]-E4203</f>
        <v>-49979</v>
      </c>
      <c r="N4258" s="51">
        <f>Tabela6[[#This Row],[KM Rodados ]]/Tabela6[[#This Row],[CONSUMO]]</f>
        <v>-2729.8994974874372</v>
      </c>
    </row>
    <row r="4259" spans="1:14" x14ac:dyDescent="0.25">
      <c r="A4259" s="47">
        <v>144425</v>
      </c>
      <c r="B4259" s="78">
        <v>45371</v>
      </c>
      <c r="C4259" s="47" t="s">
        <v>15</v>
      </c>
      <c r="D4259" s="49" t="s">
        <v>279</v>
      </c>
      <c r="E4259" s="47">
        <v>419962</v>
      </c>
      <c r="G4259" s="50" t="s">
        <v>89</v>
      </c>
      <c r="H4259" s="51">
        <v>126.041</v>
      </c>
      <c r="J4259" s="51">
        <v>5.45</v>
      </c>
      <c r="K4259" s="74">
        <f>Tabela6[[#This Row],[CONSUMO]]*Tabela6[[#This Row],[VALOR UNIT]]-Tabela6[[#This Row],[DESCONTO]]</f>
        <v>686.92345</v>
      </c>
      <c r="L4259" s="53">
        <f>Tabela6[[#This Row],[CUSTO TOTAL]]/Tabela6[[#This Row],[CONSUMO]]</f>
        <v>5.45</v>
      </c>
      <c r="M4259" s="50">
        <f>Tabela6[[#This Row],[KM ATUAL]]-E4204</f>
        <v>299581</v>
      </c>
      <c r="N4259" s="51">
        <f>Tabela6[[#This Row],[KM Rodados ]]/Tabela6[[#This Row],[CONSUMO]]</f>
        <v>2376.8535635229805</v>
      </c>
    </row>
    <row r="4260" spans="1:14" x14ac:dyDescent="0.25">
      <c r="A4260" s="47">
        <v>251861</v>
      </c>
      <c r="B4260" s="78">
        <v>45371</v>
      </c>
      <c r="C4260" s="47" t="s">
        <v>40</v>
      </c>
      <c r="D4260" s="49" t="s">
        <v>262</v>
      </c>
      <c r="E4260" s="47">
        <v>192860</v>
      </c>
      <c r="G4260" s="50" t="s">
        <v>244</v>
      </c>
      <c r="H4260" s="51">
        <v>41.209000000000003</v>
      </c>
      <c r="J4260" s="51">
        <v>5.59</v>
      </c>
      <c r="K4260" s="74">
        <f>Tabela6[[#This Row],[CONSUMO]]*Tabela6[[#This Row],[VALOR UNIT]]-Tabela6[[#This Row],[DESCONTO]]</f>
        <v>230.35831000000002</v>
      </c>
      <c r="L4260" s="53">
        <f>Tabela6[[#This Row],[CUSTO TOTAL]]/Tabela6[[#This Row],[CONSUMO]]</f>
        <v>5.59</v>
      </c>
      <c r="M4260" s="50">
        <f>Tabela6[[#This Row],[KM ATUAL]]-E4205</f>
        <v>72479</v>
      </c>
      <c r="N4260" s="51">
        <f>Tabela6[[#This Row],[KM Rodados ]]/Tabela6[[#This Row],[CONSUMO]]</f>
        <v>1758.8148220049018</v>
      </c>
    </row>
    <row r="4261" spans="1:14" x14ac:dyDescent="0.25">
      <c r="A4261" s="47">
        <v>97133</v>
      </c>
      <c r="B4261" s="78">
        <v>45371</v>
      </c>
      <c r="C4261" s="47" t="s">
        <v>74</v>
      </c>
      <c r="D4261" s="49" t="s">
        <v>439</v>
      </c>
      <c r="E4261" s="47">
        <v>1211209</v>
      </c>
      <c r="G4261" s="50" t="s">
        <v>89</v>
      </c>
      <c r="H4261" s="51">
        <v>60.435000000000002</v>
      </c>
      <c r="J4261" s="51">
        <v>5.99</v>
      </c>
      <c r="K4261" s="74">
        <f>Tabela6[[#This Row],[CONSUMO]]*Tabela6[[#This Row],[VALOR UNIT]]-Tabela6[[#This Row],[DESCONTO]]</f>
        <v>362.00565</v>
      </c>
      <c r="L4261" s="53">
        <f>Tabela6[[#This Row],[CUSTO TOTAL]]/Tabela6[[#This Row],[CONSUMO]]</f>
        <v>5.99</v>
      </c>
      <c r="M4261" s="50">
        <f>Tabela6[[#This Row],[KM ATUAL]]-E4206</f>
        <v>1051032</v>
      </c>
      <c r="N4261" s="51">
        <f>Tabela6[[#This Row],[KM Rodados ]]/Tabela6[[#This Row],[CONSUMO]]</f>
        <v>17391.114420451726</v>
      </c>
    </row>
    <row r="4262" spans="1:14" x14ac:dyDescent="0.25">
      <c r="A4262" s="47">
        <v>291138</v>
      </c>
      <c r="B4262" s="78">
        <v>45372</v>
      </c>
      <c r="C4262" s="47" t="s">
        <v>67</v>
      </c>
      <c r="D4262" s="49" t="s">
        <v>273</v>
      </c>
      <c r="E4262" s="47">
        <v>137051</v>
      </c>
      <c r="G4262" s="50" t="s">
        <v>89</v>
      </c>
      <c r="H4262" s="51">
        <v>766.12</v>
      </c>
      <c r="J4262" s="51">
        <v>5.59</v>
      </c>
      <c r="K4262" s="74">
        <f>Tabela6[[#This Row],[CONSUMO]]*Tabela6[[#This Row],[VALOR UNIT]]-Tabela6[[#This Row],[DESCONTO]]</f>
        <v>4282.6107999999995</v>
      </c>
      <c r="L4262" s="53">
        <f>Tabela6[[#This Row],[CUSTO TOTAL]]/Tabela6[[#This Row],[CONSUMO]]</f>
        <v>5.589999999999999</v>
      </c>
      <c r="M4262" s="50">
        <f>Tabela6[[#This Row],[KM ATUAL]]-E4207</f>
        <v>-23687</v>
      </c>
      <c r="N4262" s="51">
        <f>Tabela6[[#This Row],[KM Rodados ]]/Tabela6[[#This Row],[CONSUMO]]</f>
        <v>-30.918132929567168</v>
      </c>
    </row>
    <row r="4263" spans="1:14" x14ac:dyDescent="0.25">
      <c r="A4263" s="47">
        <v>189547</v>
      </c>
      <c r="B4263" s="78">
        <v>45372</v>
      </c>
      <c r="C4263" s="47" t="s">
        <v>39</v>
      </c>
      <c r="D4263" s="49" t="s">
        <v>253</v>
      </c>
      <c r="E4263" s="47">
        <v>121494</v>
      </c>
      <c r="G4263" s="50" t="s">
        <v>89</v>
      </c>
      <c r="H4263" s="51">
        <v>109.98</v>
      </c>
      <c r="J4263" s="51">
        <v>6.09</v>
      </c>
      <c r="K4263" s="74">
        <f>Tabela6[[#This Row],[CONSUMO]]*Tabela6[[#This Row],[VALOR UNIT]]-Tabela6[[#This Row],[DESCONTO]]</f>
        <v>669.77819999999997</v>
      </c>
      <c r="L4263" s="53">
        <f>Tabela6[[#This Row],[CUSTO TOTAL]]/Tabela6[[#This Row],[CONSUMO]]</f>
        <v>6.09</v>
      </c>
      <c r="M4263" s="50">
        <f>Tabela6[[#This Row],[KM ATUAL]]-E4208</f>
        <v>-39244</v>
      </c>
      <c r="N4263" s="51">
        <f>Tabela6[[#This Row],[KM Rodados ]]/Tabela6[[#This Row],[CONSUMO]]</f>
        <v>-356.82851427532279</v>
      </c>
    </row>
    <row r="4264" spans="1:14" x14ac:dyDescent="0.25">
      <c r="A4264" s="47">
        <v>252038</v>
      </c>
      <c r="B4264" s="78">
        <v>45372</v>
      </c>
      <c r="C4264" s="47" t="s">
        <v>203</v>
      </c>
      <c r="D4264" s="49" t="s">
        <v>262</v>
      </c>
      <c r="E4264" s="47">
        <v>149523</v>
      </c>
      <c r="G4264" s="50" t="s">
        <v>244</v>
      </c>
      <c r="H4264" s="51">
        <v>39.83</v>
      </c>
      <c r="J4264" s="51">
        <v>5.59</v>
      </c>
      <c r="K4264" s="74">
        <f>Tabela6[[#This Row],[CONSUMO]]*Tabela6[[#This Row],[VALOR UNIT]]-Tabela6[[#This Row],[DESCONTO]]</f>
        <v>222.6497</v>
      </c>
      <c r="L4264" s="53">
        <f>Tabela6[[#This Row],[CUSTO TOTAL]]/Tabela6[[#This Row],[CONSUMO]]</f>
        <v>5.59</v>
      </c>
      <c r="M4264" s="50">
        <f>Tabela6[[#This Row],[KM ATUAL]]-E4209</f>
        <v>-184193</v>
      </c>
      <c r="N4264" s="51">
        <f>Tabela6[[#This Row],[KM Rodados ]]/Tabela6[[#This Row],[CONSUMO]]</f>
        <v>-4624.4790359025865</v>
      </c>
    </row>
    <row r="4265" spans="1:14" x14ac:dyDescent="0.25">
      <c r="A4265" s="47">
        <v>252182</v>
      </c>
      <c r="B4265" s="78">
        <v>45372</v>
      </c>
      <c r="C4265" s="47" t="s">
        <v>203</v>
      </c>
      <c r="D4265" s="49" t="s">
        <v>262</v>
      </c>
      <c r="E4265" s="47">
        <v>150041</v>
      </c>
      <c r="G4265" s="50" t="s">
        <v>244</v>
      </c>
      <c r="H4265" s="51">
        <v>35.19</v>
      </c>
      <c r="J4265" s="51">
        <v>5.59</v>
      </c>
      <c r="K4265" s="74">
        <f>Tabela6[[#This Row],[CONSUMO]]*Tabela6[[#This Row],[VALOR UNIT]]-Tabela6[[#This Row],[DESCONTO]]</f>
        <v>196.71209999999999</v>
      </c>
      <c r="L4265" s="53">
        <f>Tabela6[[#This Row],[CUSTO TOTAL]]/Tabela6[[#This Row],[CONSUMO]]</f>
        <v>5.59</v>
      </c>
      <c r="M4265" s="50">
        <f>Tabela6[[#This Row],[KM ATUAL]]-E4210</f>
        <v>-167580</v>
      </c>
      <c r="N4265" s="51">
        <f>Tabela6[[#This Row],[KM Rodados ]]/Tabela6[[#This Row],[CONSUMO]]</f>
        <v>-4762.1483375959078</v>
      </c>
    </row>
    <row r="4266" spans="1:14" x14ac:dyDescent="0.25">
      <c r="A4266" s="47">
        <v>252041</v>
      </c>
      <c r="B4266" s="78">
        <v>45372</v>
      </c>
      <c r="C4266" s="47" t="s">
        <v>72</v>
      </c>
      <c r="D4266" s="49" t="s">
        <v>262</v>
      </c>
      <c r="E4266" s="47">
        <v>447531</v>
      </c>
      <c r="G4266" s="50" t="s">
        <v>89</v>
      </c>
      <c r="H4266" s="51">
        <v>17.539000000000001</v>
      </c>
      <c r="J4266" s="51">
        <v>5.99</v>
      </c>
      <c r="K4266" s="74">
        <f>Tabela6[[#This Row],[CONSUMO]]*Tabela6[[#This Row],[VALOR UNIT]]-Tabela6[[#This Row],[DESCONTO]]</f>
        <v>105.05861000000002</v>
      </c>
      <c r="L4266" s="53">
        <f>Tabela6[[#This Row],[CUSTO TOTAL]]/Tabela6[[#This Row],[CONSUMO]]</f>
        <v>5.99</v>
      </c>
      <c r="M4266" s="50">
        <f>Tabela6[[#This Row],[KM ATUAL]]-E4211</f>
        <v>96946</v>
      </c>
      <c r="N4266" s="51">
        <f>Tabela6[[#This Row],[KM Rodados ]]/Tabela6[[#This Row],[CONSUMO]]</f>
        <v>5527.4531045099484</v>
      </c>
    </row>
    <row r="4267" spans="1:14" x14ac:dyDescent="0.25">
      <c r="A4267" s="111">
        <v>352088</v>
      </c>
      <c r="B4267" s="78">
        <v>45372</v>
      </c>
      <c r="C4267" s="47" t="s">
        <v>72</v>
      </c>
      <c r="D4267" s="49" t="s">
        <v>270</v>
      </c>
      <c r="E4267" s="47">
        <v>448029</v>
      </c>
      <c r="G4267" s="50" t="s">
        <v>89</v>
      </c>
      <c r="H4267" s="51">
        <v>59.401000000000003</v>
      </c>
      <c r="J4267" s="51">
        <v>5.59</v>
      </c>
      <c r="K4267" s="74">
        <f>Tabela6[[#This Row],[CONSUMO]]*Tabela6[[#This Row],[VALOR UNIT]]-Tabela6[[#This Row],[DESCONTO]]</f>
        <v>332.05159000000003</v>
      </c>
      <c r="L4267" s="53">
        <f>Tabela6[[#This Row],[CUSTO TOTAL]]/Tabela6[[#This Row],[CONSUMO]]</f>
        <v>5.59</v>
      </c>
      <c r="M4267" s="50">
        <f>Tabela6[[#This Row],[KM ATUAL]]-E4212</f>
        <v>256420</v>
      </c>
      <c r="N4267" s="51">
        <f>Tabela6[[#This Row],[KM Rodados ]]/Tabela6[[#This Row],[CONSUMO]]</f>
        <v>4316.762344068281</v>
      </c>
    </row>
    <row r="4268" spans="1:14" x14ac:dyDescent="0.25">
      <c r="A4268" s="47">
        <v>252087</v>
      </c>
      <c r="B4268" s="78">
        <v>45372</v>
      </c>
      <c r="C4268" s="47" t="s">
        <v>14</v>
      </c>
      <c r="D4268" s="49" t="s">
        <v>262</v>
      </c>
      <c r="E4268" s="47">
        <v>324382</v>
      </c>
      <c r="G4268" s="50" t="s">
        <v>244</v>
      </c>
      <c r="H4268" s="51">
        <v>37.670999999999999</v>
      </c>
      <c r="J4268" s="51">
        <v>5.59</v>
      </c>
      <c r="K4268" s="74">
        <f>Tabela6[[#This Row],[CONSUMO]]*Tabela6[[#This Row],[VALOR UNIT]]-Tabela6[[#This Row],[DESCONTO]]</f>
        <v>210.58088999999998</v>
      </c>
      <c r="L4268" s="53">
        <f>Tabela6[[#This Row],[CUSTO TOTAL]]/Tabela6[[#This Row],[CONSUMO]]</f>
        <v>5.59</v>
      </c>
      <c r="M4268" s="50">
        <f>Tabela6[[#This Row],[KM ATUAL]]-E4213</f>
        <v>302553</v>
      </c>
      <c r="N4268" s="51">
        <f>Tabela6[[#This Row],[KM Rodados ]]/Tabela6[[#This Row],[CONSUMO]]</f>
        <v>8031.4565580950866</v>
      </c>
    </row>
    <row r="4269" spans="1:14" x14ac:dyDescent="0.25">
      <c r="A4269" s="47">
        <v>252185</v>
      </c>
      <c r="B4269" s="78">
        <v>45372</v>
      </c>
      <c r="C4269" s="47" t="s">
        <v>15</v>
      </c>
      <c r="D4269" s="49" t="s">
        <v>262</v>
      </c>
      <c r="E4269" s="47">
        <v>420157</v>
      </c>
      <c r="G4269" s="50" t="s">
        <v>241</v>
      </c>
      <c r="H4269" s="51">
        <v>21.247</v>
      </c>
      <c r="I4269" s="49">
        <v>7.65</v>
      </c>
      <c r="J4269" s="51">
        <v>3.69</v>
      </c>
      <c r="K4269" s="74">
        <f>Tabela6[[#This Row],[CONSUMO]]*Tabela6[[#This Row],[VALOR UNIT]]-Tabela6[[#This Row],[DESCONTO]]</f>
        <v>70.751429999999999</v>
      </c>
      <c r="L4269" s="53">
        <f>Tabela6[[#This Row],[CUSTO TOTAL]]/Tabela6[[#This Row],[CONSUMO]]</f>
        <v>3.3299491692944887</v>
      </c>
      <c r="M4269" s="50">
        <f>Tabela6[[#This Row],[KM ATUAL]]-E4214</f>
        <v>418381</v>
      </c>
      <c r="N4269" s="51">
        <f>Tabela6[[#This Row],[KM Rodados ]]/Tabela6[[#This Row],[CONSUMO]]</f>
        <v>19691.297594954583</v>
      </c>
    </row>
    <row r="4270" spans="1:14" x14ac:dyDescent="0.25">
      <c r="A4270" s="111"/>
      <c r="B4270" s="78">
        <v>45372</v>
      </c>
      <c r="C4270" s="47" t="s">
        <v>18</v>
      </c>
      <c r="D4270" s="49" t="s">
        <v>255</v>
      </c>
      <c r="E4270" s="47">
        <v>352333</v>
      </c>
      <c r="G4270" s="50"/>
      <c r="H4270" s="51">
        <v>94.64</v>
      </c>
      <c r="J4270" s="51">
        <v>6.15</v>
      </c>
      <c r="K4270" s="74">
        <f>Tabela6[[#This Row],[CONSUMO]]*Tabela6[[#This Row],[VALOR UNIT]]-Tabela6[[#This Row],[DESCONTO]]</f>
        <v>582.03600000000006</v>
      </c>
      <c r="L4270" s="53">
        <f>Tabela6[[#This Row],[CUSTO TOTAL]]/Tabela6[[#This Row],[CONSUMO]]</f>
        <v>6.15</v>
      </c>
      <c r="M4270" s="50">
        <f>Tabela6[[#This Row],[KM ATUAL]]-E4215</f>
        <v>-299354</v>
      </c>
      <c r="N4270" s="51">
        <f>Tabela6[[#This Row],[KM Rodados ]]/Tabela6[[#This Row],[CONSUMO]]</f>
        <v>-3163.0811496196111</v>
      </c>
    </row>
    <row r="4271" spans="1:14" x14ac:dyDescent="0.25">
      <c r="A4271" s="47">
        <v>697542</v>
      </c>
      <c r="B4271" s="78">
        <v>45372</v>
      </c>
      <c r="C4271" s="47" t="s">
        <v>74</v>
      </c>
      <c r="D4271" s="49" t="s">
        <v>257</v>
      </c>
      <c r="E4271" s="47">
        <v>121563</v>
      </c>
      <c r="G4271" s="50" t="s">
        <v>89</v>
      </c>
      <c r="H4271" s="51">
        <v>57.462000000000003</v>
      </c>
      <c r="J4271" s="51">
        <v>5.69</v>
      </c>
      <c r="K4271" s="74">
        <f>Tabela6[[#This Row],[CONSUMO]]*Tabela6[[#This Row],[VALOR UNIT]]-Tabela6[[#This Row],[DESCONTO]]</f>
        <v>326.95878000000005</v>
      </c>
      <c r="L4271" s="53">
        <f>Tabela6[[#This Row],[CUSTO TOTAL]]/Tabela6[[#This Row],[CONSUMO]]</f>
        <v>5.69</v>
      </c>
      <c r="M4271" s="50">
        <f>Tabela6[[#This Row],[KM ATUAL]]-E4216</f>
        <v>-557480</v>
      </c>
      <c r="N4271" s="51">
        <f>Tabela6[[#This Row],[KM Rodados ]]/Tabela6[[#This Row],[CONSUMO]]</f>
        <v>-9701.7159166057554</v>
      </c>
    </row>
    <row r="4272" spans="1:14" x14ac:dyDescent="0.25">
      <c r="A4272" s="47">
        <v>189663</v>
      </c>
      <c r="B4272" s="78">
        <v>45372</v>
      </c>
      <c r="C4272" s="47" t="s">
        <v>315</v>
      </c>
      <c r="D4272" s="49" t="s">
        <v>253</v>
      </c>
      <c r="E4272" s="47">
        <v>22549</v>
      </c>
      <c r="G4272" s="50" t="s">
        <v>89</v>
      </c>
      <c r="H4272" s="51">
        <v>59.73</v>
      </c>
      <c r="J4272" s="51">
        <v>6.09</v>
      </c>
      <c r="K4272" s="74">
        <f>Tabela6[[#This Row],[CONSUMO]]*Tabela6[[#This Row],[VALOR UNIT]]-Tabela6[[#This Row],[DESCONTO]]</f>
        <v>363.75569999999999</v>
      </c>
      <c r="L4272" s="53">
        <f>Tabela6[[#This Row],[CUSTO TOTAL]]/Tabela6[[#This Row],[CONSUMO]]</f>
        <v>6.09</v>
      </c>
      <c r="M4272" s="50">
        <f>Tabela6[[#This Row],[KM ATUAL]]-E4217</f>
        <v>-656494</v>
      </c>
      <c r="N4272" s="51">
        <f>Tabela6[[#This Row],[KM Rodados ]]/Tabela6[[#This Row],[CONSUMO]]</f>
        <v>-10991.026284948937</v>
      </c>
    </row>
    <row r="4273" spans="1:14" x14ac:dyDescent="0.25">
      <c r="A4273" s="47">
        <v>385705</v>
      </c>
      <c r="B4273" s="78">
        <v>45373</v>
      </c>
      <c r="C4273" s="47" t="s">
        <v>203</v>
      </c>
      <c r="D4273" s="49" t="s">
        <v>276</v>
      </c>
      <c r="E4273" s="47">
        <v>150699</v>
      </c>
      <c r="G4273" s="50" t="s">
        <v>244</v>
      </c>
      <c r="H4273" s="51">
        <v>48.36</v>
      </c>
      <c r="J4273" s="51">
        <v>5.69</v>
      </c>
      <c r="K4273" s="74">
        <f>Tabela6[[#This Row],[CONSUMO]]*Tabela6[[#This Row],[VALOR UNIT]]-Tabela6[[#This Row],[DESCONTO]]</f>
        <v>275.16840000000002</v>
      </c>
      <c r="L4273" s="53">
        <f>Tabela6[[#This Row],[CUSTO TOTAL]]/Tabela6[[#This Row],[CONSUMO]]</f>
        <v>5.69</v>
      </c>
      <c r="M4273" s="50">
        <f>Tabela6[[#This Row],[KM ATUAL]]-E4218</f>
        <v>-172667</v>
      </c>
      <c r="N4273" s="51">
        <f>Tabela6[[#This Row],[KM Rodados ]]/Tabela6[[#This Row],[CONSUMO]]</f>
        <v>-3570.4507857733665</v>
      </c>
    </row>
    <row r="4274" spans="1:14" x14ac:dyDescent="0.25">
      <c r="A4274" s="47">
        <v>252379</v>
      </c>
      <c r="B4274" s="78">
        <v>45373</v>
      </c>
      <c r="C4274" s="47" t="s">
        <v>72</v>
      </c>
      <c r="D4274" s="49" t="s">
        <v>262</v>
      </c>
      <c r="E4274" s="47">
        <v>448178</v>
      </c>
      <c r="G4274" s="50" t="s">
        <v>89</v>
      </c>
      <c r="H4274" s="51">
        <v>24.24</v>
      </c>
      <c r="J4274" s="51">
        <v>5.99</v>
      </c>
      <c r="K4274" s="74">
        <f>Tabela6[[#This Row],[CONSUMO]]*Tabela6[[#This Row],[VALOR UNIT]]-Tabela6[[#This Row],[DESCONTO]]</f>
        <v>145.19759999999999</v>
      </c>
      <c r="L4274" s="53">
        <f>Tabela6[[#This Row],[CUSTO TOTAL]]/Tabela6[[#This Row],[CONSUMO]]</f>
        <v>5.99</v>
      </c>
      <c r="M4274" s="50">
        <f>Tabela6[[#This Row],[KM ATUAL]]-E4219</f>
        <v>47328</v>
      </c>
      <c r="N4274" s="51">
        <f>Tabela6[[#This Row],[KM Rodados ]]/Tabela6[[#This Row],[CONSUMO]]</f>
        <v>1952.4752475247526</v>
      </c>
    </row>
    <row r="4275" spans="1:14" x14ac:dyDescent="0.25">
      <c r="A4275" s="47">
        <v>252397</v>
      </c>
      <c r="B4275" s="78">
        <v>45373</v>
      </c>
      <c r="C4275" s="47" t="s">
        <v>71</v>
      </c>
      <c r="D4275" s="49" t="s">
        <v>262</v>
      </c>
      <c r="E4275" s="47">
        <v>1655023</v>
      </c>
      <c r="G4275" s="50" t="s">
        <v>241</v>
      </c>
      <c r="H4275" s="51">
        <v>48.023000000000003</v>
      </c>
      <c r="I4275" s="49">
        <v>17.28</v>
      </c>
      <c r="J4275" s="51">
        <v>3.69</v>
      </c>
      <c r="K4275" s="74">
        <f>Tabela6[[#This Row],[CONSUMO]]*Tabela6[[#This Row],[VALOR UNIT]]-Tabela6[[#This Row],[DESCONTO]]</f>
        <v>159.92487</v>
      </c>
      <c r="L4275" s="53">
        <f>Tabela6[[#This Row],[CUSTO TOTAL]]/Tabela6[[#This Row],[CONSUMO]]</f>
        <v>3.3301724173833369</v>
      </c>
      <c r="M4275" s="50">
        <f>Tabela6[[#This Row],[KM ATUAL]]-E4220</f>
        <v>1655023</v>
      </c>
      <c r="N4275" s="51">
        <f>Tabela6[[#This Row],[KM Rodados ]]/Tabela6[[#This Row],[CONSUMO]]</f>
        <v>34463.13224913062</v>
      </c>
    </row>
    <row r="4276" spans="1:14" x14ac:dyDescent="0.25">
      <c r="A4276" s="47">
        <v>190130</v>
      </c>
      <c r="B4276" s="78">
        <v>45373</v>
      </c>
      <c r="C4276" s="47" t="s">
        <v>12</v>
      </c>
      <c r="D4276" s="49" t="s">
        <v>253</v>
      </c>
      <c r="E4276" s="47">
        <v>334651</v>
      </c>
      <c r="G4276" s="50" t="s">
        <v>89</v>
      </c>
      <c r="H4276" s="51">
        <v>101.67</v>
      </c>
      <c r="J4276" s="51">
        <v>6.09</v>
      </c>
      <c r="K4276" s="74">
        <f>Tabela6[[#This Row],[CONSUMO]]*Tabela6[[#This Row],[VALOR UNIT]]-Tabela6[[#This Row],[DESCONTO]]</f>
        <v>619.1703</v>
      </c>
      <c r="L4276" s="53">
        <f>Tabela6[[#This Row],[CUSTO TOTAL]]/Tabela6[[#This Row],[CONSUMO]]</f>
        <v>6.09</v>
      </c>
      <c r="M4276" s="50">
        <f>Tabela6[[#This Row],[KM ATUAL]]-E4221</f>
        <v>151112</v>
      </c>
      <c r="N4276" s="51">
        <f>Tabela6[[#This Row],[KM Rodados ]]/Tabela6[[#This Row],[CONSUMO]]</f>
        <v>1486.2988098750861</v>
      </c>
    </row>
    <row r="4277" spans="1:14" x14ac:dyDescent="0.25">
      <c r="A4277" s="47">
        <v>252486</v>
      </c>
      <c r="B4277" s="78">
        <v>45373</v>
      </c>
      <c r="C4277" s="47" t="s">
        <v>14</v>
      </c>
      <c r="D4277" s="49" t="s">
        <v>262</v>
      </c>
      <c r="E4277" s="47">
        <v>324625</v>
      </c>
      <c r="G4277" s="50" t="s">
        <v>244</v>
      </c>
      <c r="H4277" s="51">
        <v>22.15</v>
      </c>
      <c r="J4277" s="51">
        <v>5.59</v>
      </c>
      <c r="K4277" s="74">
        <f>Tabela6[[#This Row],[CONSUMO]]*Tabela6[[#This Row],[VALOR UNIT]]-Tabela6[[#This Row],[DESCONTO]]</f>
        <v>123.81849999999999</v>
      </c>
      <c r="L4277" s="53">
        <f>Tabela6[[#This Row],[CUSTO TOTAL]]/Tabela6[[#This Row],[CONSUMO]]</f>
        <v>5.59</v>
      </c>
      <c r="M4277" s="50">
        <f>Tabela6[[#This Row],[KM ATUAL]]-E4222</f>
        <v>141086</v>
      </c>
      <c r="N4277" s="51">
        <f>Tabela6[[#This Row],[KM Rodados ]]/Tabela6[[#This Row],[CONSUMO]]</f>
        <v>6369.5711060948088</v>
      </c>
    </row>
    <row r="4278" spans="1:14" x14ac:dyDescent="0.25">
      <c r="A4278" s="47">
        <v>252510</v>
      </c>
      <c r="B4278" s="78">
        <v>45373</v>
      </c>
      <c r="C4278" s="47" t="s">
        <v>15</v>
      </c>
      <c r="D4278" s="49" t="s">
        <v>262</v>
      </c>
      <c r="E4278" s="47">
        <v>420691</v>
      </c>
      <c r="G4278" s="50" t="s">
        <v>89</v>
      </c>
      <c r="H4278" s="51">
        <v>75.14</v>
      </c>
      <c r="J4278" s="51">
        <v>5.99</v>
      </c>
      <c r="K4278" s="74">
        <f>Tabela6[[#This Row],[CONSUMO]]*Tabela6[[#This Row],[VALOR UNIT]]-Tabela6[[#This Row],[DESCONTO]]</f>
        <v>450.08860000000004</v>
      </c>
      <c r="L4278" s="53">
        <f>Tabela6[[#This Row],[CUSTO TOTAL]]/Tabela6[[#This Row],[CONSUMO]]</f>
        <v>5.99</v>
      </c>
      <c r="M4278" s="50">
        <f>Tabela6[[#This Row],[KM ATUAL]]-E4223</f>
        <v>259164</v>
      </c>
      <c r="N4278" s="51">
        <f>Tabela6[[#This Row],[KM Rodados ]]/Tabela6[[#This Row],[CONSUMO]]</f>
        <v>3449.0817141336174</v>
      </c>
    </row>
    <row r="4279" spans="1:14" x14ac:dyDescent="0.25">
      <c r="A4279" s="47">
        <v>599453</v>
      </c>
      <c r="B4279" s="78">
        <v>45375</v>
      </c>
      <c r="C4279" s="47" t="s">
        <v>16</v>
      </c>
      <c r="D4279" s="49" t="s">
        <v>255</v>
      </c>
      <c r="E4279" s="47">
        <v>313757</v>
      </c>
      <c r="G4279" s="50" t="s">
        <v>89</v>
      </c>
      <c r="H4279" s="51">
        <v>110.09</v>
      </c>
      <c r="J4279" s="51">
        <v>6.16</v>
      </c>
      <c r="K4279" s="74">
        <f>Tabela6[[#This Row],[CONSUMO]]*Tabela6[[#This Row],[VALOR UNIT]]-Tabela6[[#This Row],[DESCONTO]]</f>
        <v>678.15440000000001</v>
      </c>
      <c r="L4279" s="53">
        <f>Tabela6[[#This Row],[CUSTO TOTAL]]/Tabela6[[#This Row],[CONSUMO]]</f>
        <v>6.16</v>
      </c>
      <c r="M4279" s="50">
        <f>Tabela6[[#This Row],[KM ATUAL]]-E4224</f>
        <v>-389978</v>
      </c>
      <c r="N4279" s="51">
        <f>Tabela6[[#This Row],[KM Rodados ]]/Tabela6[[#This Row],[CONSUMO]]</f>
        <v>-3542.356253974021</v>
      </c>
    </row>
    <row r="4280" spans="1:14" x14ac:dyDescent="0.25">
      <c r="A4280" s="47">
        <v>253268</v>
      </c>
      <c r="B4280" s="78">
        <v>45376</v>
      </c>
      <c r="C4280" s="47" t="s">
        <v>9</v>
      </c>
      <c r="D4280" s="49" t="s">
        <v>262</v>
      </c>
      <c r="E4280" s="47">
        <v>653284</v>
      </c>
      <c r="G4280" s="50" t="s">
        <v>89</v>
      </c>
      <c r="H4280" s="51">
        <v>138.51900000000001</v>
      </c>
      <c r="J4280" s="51">
        <v>5.99</v>
      </c>
      <c r="K4280" s="74">
        <f>Tabela6[[#This Row],[CONSUMO]]*Tabela6[[#This Row],[VALOR UNIT]]-Tabela6[[#This Row],[DESCONTO]]</f>
        <v>829.72881000000007</v>
      </c>
      <c r="L4280" s="53">
        <f>Tabela6[[#This Row],[CUSTO TOTAL]]/Tabela6[[#This Row],[CONSUMO]]</f>
        <v>5.99</v>
      </c>
      <c r="M4280" s="50">
        <f>Tabela6[[#This Row],[KM ATUAL]]-E4225</f>
        <v>335200</v>
      </c>
      <c r="N4280" s="51">
        <f>Tabela6[[#This Row],[KM Rodados ]]/Tabela6[[#This Row],[CONSUMO]]</f>
        <v>2419.8846367646315</v>
      </c>
    </row>
    <row r="4281" spans="1:14" x14ac:dyDescent="0.25">
      <c r="A4281" s="47">
        <v>291690</v>
      </c>
      <c r="B4281" s="78">
        <v>45376</v>
      </c>
      <c r="C4281" s="47" t="s">
        <v>67</v>
      </c>
      <c r="D4281" s="49" t="s">
        <v>273</v>
      </c>
      <c r="E4281" s="47">
        <v>705165</v>
      </c>
      <c r="G4281" s="50" t="s">
        <v>89</v>
      </c>
      <c r="H4281" s="51">
        <v>128.03100000000001</v>
      </c>
      <c r="J4281" s="51">
        <v>5.59</v>
      </c>
      <c r="K4281" s="74">
        <f>Tabela6[[#This Row],[CONSUMO]]*Tabela6[[#This Row],[VALOR UNIT]]-Tabela6[[#This Row],[DESCONTO]]</f>
        <v>715.69329000000005</v>
      </c>
      <c r="L4281" s="53">
        <f>Tabela6[[#This Row],[CUSTO TOTAL]]/Tabela6[[#This Row],[CONSUMO]]</f>
        <v>5.59</v>
      </c>
      <c r="M4281" s="50">
        <f>Tabela6[[#This Row],[KM ATUAL]]-E4226</f>
        <v>513041</v>
      </c>
      <c r="N4281" s="51">
        <f>Tabela6[[#This Row],[KM Rodados ]]/Tabela6[[#This Row],[CONSUMO]]</f>
        <v>4007.1623278737179</v>
      </c>
    </row>
    <row r="4282" spans="1:14" x14ac:dyDescent="0.25">
      <c r="A4282" s="47">
        <v>253093</v>
      </c>
      <c r="B4282" s="78">
        <v>45376</v>
      </c>
      <c r="C4282" s="47" t="s">
        <v>206</v>
      </c>
      <c r="D4282" s="49" t="s">
        <v>262</v>
      </c>
      <c r="E4282" s="47">
        <v>253093</v>
      </c>
      <c r="G4282" s="50" t="s">
        <v>241</v>
      </c>
      <c r="H4282" s="51">
        <v>26.209</v>
      </c>
      <c r="I4282" s="49">
        <v>9.43</v>
      </c>
      <c r="J4282" s="51">
        <v>3.69</v>
      </c>
      <c r="K4282" s="74">
        <f>Tabela6[[#This Row],[CONSUMO]]*Tabela6[[#This Row],[VALOR UNIT]]-Tabela6[[#This Row],[DESCONTO]]</f>
        <v>87.281209999999987</v>
      </c>
      <c r="L4282" s="53">
        <f>Tabela6[[#This Row],[CUSTO TOTAL]]/Tabela6[[#This Row],[CONSUMO]]</f>
        <v>3.3301999313213013</v>
      </c>
      <c r="M4282" s="50">
        <f>Tabela6[[#This Row],[KM ATUAL]]-E4227</f>
        <v>133660</v>
      </c>
      <c r="N4282" s="51">
        <f>Tabela6[[#This Row],[KM Rodados ]]/Tabela6[[#This Row],[CONSUMO]]</f>
        <v>5099.7748864893738</v>
      </c>
    </row>
    <row r="4283" spans="1:14" x14ac:dyDescent="0.25">
      <c r="A4283" s="47">
        <v>757878</v>
      </c>
      <c r="B4283" s="78">
        <v>45376</v>
      </c>
      <c r="C4283" s="47" t="s">
        <v>14</v>
      </c>
      <c r="D4283" s="49" t="s">
        <v>271</v>
      </c>
      <c r="E4283" s="47">
        <v>325098</v>
      </c>
      <c r="G4283" s="50" t="s">
        <v>244</v>
      </c>
      <c r="H4283" s="51">
        <v>38.271000000000001</v>
      </c>
      <c r="J4283" s="51">
        <v>5.59</v>
      </c>
      <c r="K4283" s="74">
        <f>Tabela6[[#This Row],[CONSUMO]]*Tabela6[[#This Row],[VALOR UNIT]]-Tabela6[[#This Row],[DESCONTO]]</f>
        <v>213.93489</v>
      </c>
      <c r="L4283" s="53">
        <f>Tabela6[[#This Row],[CUSTO TOTAL]]/Tabela6[[#This Row],[CONSUMO]]</f>
        <v>5.59</v>
      </c>
      <c r="M4283" s="50">
        <f>Tabela6[[#This Row],[KM ATUAL]]-E4228</f>
        <v>204213</v>
      </c>
      <c r="N4283" s="51">
        <f>Tabela6[[#This Row],[KM Rodados ]]/Tabela6[[#This Row],[CONSUMO]]</f>
        <v>5335.9724073057932</v>
      </c>
    </row>
    <row r="4284" spans="1:14" x14ac:dyDescent="0.25">
      <c r="A4284" s="47">
        <v>599731</v>
      </c>
      <c r="B4284" s="78">
        <v>45376</v>
      </c>
      <c r="C4284" s="47" t="s">
        <v>18</v>
      </c>
      <c r="D4284" s="49" t="s">
        <v>255</v>
      </c>
      <c r="E4284" s="47">
        <v>344531</v>
      </c>
      <c r="G4284" s="50" t="s">
        <v>89</v>
      </c>
      <c r="H4284" s="51">
        <v>64.620999999999995</v>
      </c>
      <c r="J4284" s="51">
        <v>6.16</v>
      </c>
      <c r="K4284" s="74">
        <f>Tabela6[[#This Row],[CONSUMO]]*Tabela6[[#This Row],[VALOR UNIT]]-Tabela6[[#This Row],[DESCONTO]]</f>
        <v>398.06536</v>
      </c>
      <c r="L4284" s="53">
        <f>Tabela6[[#This Row],[CUSTO TOTAL]]/Tabela6[[#This Row],[CONSUMO]]</f>
        <v>6.16</v>
      </c>
      <c r="M4284" s="50">
        <f>Tabela6[[#This Row],[KM ATUAL]]-E4229</f>
        <v>223646</v>
      </c>
      <c r="N4284" s="51">
        <f>Tabela6[[#This Row],[KM Rodados ]]/Tabela6[[#This Row],[CONSUMO]]</f>
        <v>3460.8873276489071</v>
      </c>
    </row>
    <row r="4285" spans="1:14" x14ac:dyDescent="0.25">
      <c r="A4285" s="47">
        <v>192294</v>
      </c>
      <c r="B4285" s="78">
        <v>45376</v>
      </c>
      <c r="C4285" s="47" t="s">
        <v>40</v>
      </c>
      <c r="D4285" s="49" t="s">
        <v>253</v>
      </c>
      <c r="E4285" s="47">
        <v>193995</v>
      </c>
      <c r="G4285" s="50" t="s">
        <v>244</v>
      </c>
      <c r="H4285" s="51">
        <v>41.78</v>
      </c>
      <c r="J4285" s="51">
        <v>5.78</v>
      </c>
      <c r="K4285" s="74">
        <f>Tabela6[[#This Row],[CONSUMO]]*Tabela6[[#This Row],[VALOR UNIT]]-Tabela6[[#This Row],[DESCONTO]]</f>
        <v>241.48840000000001</v>
      </c>
      <c r="L4285" s="53">
        <f>Tabela6[[#This Row],[CUSTO TOTAL]]/Tabela6[[#This Row],[CONSUMO]]</f>
        <v>5.78</v>
      </c>
      <c r="M4285" s="50">
        <f>Tabela6[[#This Row],[KM ATUAL]]-E4230</f>
        <v>-193814</v>
      </c>
      <c r="N4285" s="51">
        <f>Tabela6[[#This Row],[KM Rodados ]]/Tabela6[[#This Row],[CONSUMO]]</f>
        <v>-4638.9181426519863</v>
      </c>
    </row>
    <row r="4286" spans="1:14" x14ac:dyDescent="0.25">
      <c r="A4286" s="47">
        <v>292333</v>
      </c>
      <c r="B4286" s="78">
        <v>45377</v>
      </c>
      <c r="C4286" s="47" t="s">
        <v>67</v>
      </c>
      <c r="D4286" s="49" t="s">
        <v>273</v>
      </c>
      <c r="E4286" s="47">
        <v>705630</v>
      </c>
      <c r="G4286" s="50" t="s">
        <v>89</v>
      </c>
      <c r="H4286" s="51">
        <v>131.89099999999999</v>
      </c>
      <c r="J4286" s="51">
        <v>5.65</v>
      </c>
      <c r="K4286" s="74">
        <f>Tabela6[[#This Row],[CONSUMO]]*Tabela6[[#This Row],[VALOR UNIT]]-Tabela6[[#This Row],[DESCONTO]]</f>
        <v>745.18415000000005</v>
      </c>
      <c r="L4286" s="53">
        <f>Tabela6[[#This Row],[CUSTO TOTAL]]/Tabela6[[#This Row],[CONSUMO]]</f>
        <v>5.65</v>
      </c>
      <c r="M4286" s="50">
        <f>Tabela6[[#This Row],[KM ATUAL]]-E4231</f>
        <v>557520</v>
      </c>
      <c r="N4286" s="51">
        <f>Tabela6[[#This Row],[KM Rodados ]]/Tabela6[[#This Row],[CONSUMO]]</f>
        <v>4227.1269457354938</v>
      </c>
    </row>
    <row r="4287" spans="1:14" x14ac:dyDescent="0.25">
      <c r="A4287" s="47">
        <v>66621</v>
      </c>
      <c r="B4287" s="78">
        <v>45377</v>
      </c>
      <c r="C4287" s="47" t="s">
        <v>15</v>
      </c>
      <c r="D4287" s="49" t="s">
        <v>283</v>
      </c>
      <c r="E4287" s="47">
        <v>421837</v>
      </c>
      <c r="G4287" s="50" t="s">
        <v>89</v>
      </c>
      <c r="H4287" s="51">
        <v>54.08</v>
      </c>
      <c r="J4287" s="51">
        <v>5.92</v>
      </c>
      <c r="K4287" s="74">
        <f>Tabela6[[#This Row],[CONSUMO]]*Tabela6[[#This Row],[VALOR UNIT]]-Tabela6[[#This Row],[DESCONTO]]</f>
        <v>320.15359999999998</v>
      </c>
      <c r="L4287" s="53">
        <f>Tabela6[[#This Row],[CUSTO TOTAL]]/Tabela6[[#This Row],[CONSUMO]]</f>
        <v>5.92</v>
      </c>
      <c r="M4287" s="50">
        <f>Tabela6[[#This Row],[KM ATUAL]]-E4232</f>
        <v>70615</v>
      </c>
      <c r="N4287" s="51">
        <f>Tabela6[[#This Row],[KM Rodados ]]/Tabela6[[#This Row],[CONSUMO]]</f>
        <v>1305.7507396449705</v>
      </c>
    </row>
    <row r="4288" spans="1:14" x14ac:dyDescent="0.25">
      <c r="A4288" s="47">
        <v>29982</v>
      </c>
      <c r="B4288" s="78">
        <v>45377</v>
      </c>
      <c r="C4288" s="47" t="s">
        <v>15</v>
      </c>
      <c r="D4288" s="49" t="s">
        <v>443</v>
      </c>
      <c r="E4288" s="47">
        <v>421653</v>
      </c>
      <c r="G4288" s="50" t="s">
        <v>89</v>
      </c>
      <c r="H4288" s="51">
        <v>68.260000000000005</v>
      </c>
      <c r="J4288" s="51">
        <v>5.86</v>
      </c>
      <c r="K4288" s="74">
        <f>Tabela6[[#This Row],[CONSUMO]]*Tabela6[[#This Row],[VALOR UNIT]]-Tabela6[[#This Row],[DESCONTO]]</f>
        <v>400.00360000000006</v>
      </c>
      <c r="L4288" s="53">
        <f>Tabela6[[#This Row],[CUSTO TOTAL]]/Tabela6[[#This Row],[CONSUMO]]</f>
        <v>5.86</v>
      </c>
      <c r="M4288" s="50">
        <f>Tabela6[[#This Row],[KM ATUAL]]-E4233</f>
        <v>276436</v>
      </c>
      <c r="N4288" s="51">
        <f>Tabela6[[#This Row],[KM Rodados ]]/Tabela6[[#This Row],[CONSUMO]]</f>
        <v>4049.7509522414293</v>
      </c>
    </row>
    <row r="4289" spans="1:14" x14ac:dyDescent="0.25">
      <c r="A4289" s="47">
        <v>205351</v>
      </c>
      <c r="B4289" s="78">
        <v>45377</v>
      </c>
      <c r="C4289" s="47" t="s">
        <v>40</v>
      </c>
      <c r="D4289" s="49" t="s">
        <v>263</v>
      </c>
      <c r="E4289" s="47">
        <v>194405</v>
      </c>
      <c r="G4289" s="50" t="s">
        <v>244</v>
      </c>
      <c r="H4289" s="51">
        <v>28.331</v>
      </c>
      <c r="J4289" s="51">
        <v>5.69</v>
      </c>
      <c r="K4289" s="74">
        <f>Tabela6[[#This Row],[CONSUMO]]*Tabela6[[#This Row],[VALOR UNIT]]-Tabela6[[#This Row],[DESCONTO]]</f>
        <v>161.20339000000001</v>
      </c>
      <c r="L4289" s="53">
        <f>Tabela6[[#This Row],[CUSTO TOTAL]]/Tabela6[[#This Row],[CONSUMO]]</f>
        <v>5.69</v>
      </c>
      <c r="M4289" s="50">
        <f>Tabela6[[#This Row],[KM ATUAL]]-E4234</f>
        <v>31791</v>
      </c>
      <c r="N4289" s="51">
        <f>Tabela6[[#This Row],[KM Rodados ]]/Tabela6[[#This Row],[CONSUMO]]</f>
        <v>1122.1277046344994</v>
      </c>
    </row>
    <row r="4290" spans="1:14" x14ac:dyDescent="0.25">
      <c r="A4290" s="47">
        <v>253276</v>
      </c>
      <c r="B4290" s="78">
        <v>45377</v>
      </c>
      <c r="C4290" s="47" t="s">
        <v>426</v>
      </c>
      <c r="D4290" s="49" t="s">
        <v>262</v>
      </c>
      <c r="E4290" s="47">
        <v>6182</v>
      </c>
      <c r="G4290" s="50" t="s">
        <v>89</v>
      </c>
      <c r="H4290" s="51">
        <v>70.099999999999994</v>
      </c>
      <c r="J4290" s="51">
        <v>5.99</v>
      </c>
      <c r="K4290" s="74">
        <f>Tabela6[[#This Row],[CONSUMO]]*Tabela6[[#This Row],[VALOR UNIT]]-Tabela6[[#This Row],[DESCONTO]]</f>
        <v>419.899</v>
      </c>
      <c r="L4290" s="53">
        <f>Tabela6[[#This Row],[CUSTO TOTAL]]/Tabela6[[#This Row],[CONSUMO]]</f>
        <v>5.99</v>
      </c>
      <c r="M4290" s="50">
        <f>Tabela6[[#This Row],[KM ATUAL]]-E4235</f>
        <v>-317704</v>
      </c>
      <c r="N4290" s="51">
        <f>Tabela6[[#This Row],[KM Rodados ]]/Tabela6[[#This Row],[CONSUMO]]</f>
        <v>-4532.1540656205425</v>
      </c>
    </row>
    <row r="4291" spans="1:14" x14ac:dyDescent="0.25">
      <c r="A4291" s="47">
        <v>192</v>
      </c>
      <c r="B4291" s="78">
        <v>45378</v>
      </c>
      <c r="C4291" s="47" t="s">
        <v>203</v>
      </c>
      <c r="D4291" s="49" t="s">
        <v>255</v>
      </c>
      <c r="E4291" s="47">
        <v>145660</v>
      </c>
      <c r="G4291" s="50" t="s">
        <v>244</v>
      </c>
      <c r="H4291" s="51">
        <v>50.210999999999999</v>
      </c>
      <c r="J4291" s="51">
        <v>5.84</v>
      </c>
      <c r="K4291" s="74">
        <f>Tabela6[[#This Row],[CONSUMO]]*Tabela6[[#This Row],[VALOR UNIT]]-Tabela6[[#This Row],[DESCONTO]]</f>
        <v>293.23223999999999</v>
      </c>
      <c r="L4291" s="53">
        <f>Tabela6[[#This Row],[CUSTO TOTAL]]/Tabela6[[#This Row],[CONSUMO]]</f>
        <v>5.84</v>
      </c>
      <c r="M4291" s="50">
        <f>Tabela6[[#This Row],[KM ATUAL]]-E4236</f>
        <v>-558453</v>
      </c>
      <c r="N4291" s="51">
        <f>Tabela6[[#This Row],[KM Rodados ]]/Tabela6[[#This Row],[CONSUMO]]</f>
        <v>-11122.124634044334</v>
      </c>
    </row>
    <row r="4292" spans="1:14" x14ac:dyDescent="0.25">
      <c r="A4292" s="47">
        <v>217606</v>
      </c>
      <c r="B4292" s="78">
        <v>45378</v>
      </c>
      <c r="C4292" s="47" t="s">
        <v>203</v>
      </c>
      <c r="D4292" s="49" t="s">
        <v>261</v>
      </c>
      <c r="E4292" s="47">
        <v>150983</v>
      </c>
      <c r="G4292" s="50" t="s">
        <v>244</v>
      </c>
      <c r="H4292" s="51">
        <v>24.495000000000001</v>
      </c>
      <c r="J4292" s="51">
        <v>5.99</v>
      </c>
      <c r="K4292" s="74">
        <f>Tabela6[[#This Row],[CONSUMO]]*Tabela6[[#This Row],[VALOR UNIT]]-Tabela6[[#This Row],[DESCONTO]]</f>
        <v>146.72505000000001</v>
      </c>
      <c r="L4292" s="53">
        <f>Tabela6[[#This Row],[CUSTO TOTAL]]/Tabela6[[#This Row],[CONSUMO]]</f>
        <v>5.99</v>
      </c>
      <c r="M4292" s="50">
        <f>Tabela6[[#This Row],[KM ATUAL]]-E4237</f>
        <v>-553130</v>
      </c>
      <c r="N4292" s="51">
        <f>Tabela6[[#This Row],[KM Rodados ]]/Tabela6[[#This Row],[CONSUMO]]</f>
        <v>-22581.343131251277</v>
      </c>
    </row>
    <row r="4293" spans="1:14" x14ac:dyDescent="0.25">
      <c r="A4293" s="47">
        <v>387086</v>
      </c>
      <c r="B4293" s="78">
        <v>45378</v>
      </c>
      <c r="C4293" s="47" t="s">
        <v>203</v>
      </c>
      <c r="D4293" s="49" t="s">
        <v>276</v>
      </c>
      <c r="E4293" s="47">
        <v>387086</v>
      </c>
      <c r="G4293" s="50" t="s">
        <v>244</v>
      </c>
      <c r="H4293" s="51">
        <v>36.380000000000003</v>
      </c>
      <c r="J4293" s="51">
        <v>5.79</v>
      </c>
      <c r="K4293" s="74">
        <f>Tabela6[[#This Row],[CONSUMO]]*Tabela6[[#This Row],[VALOR UNIT]]-Tabela6[[#This Row],[DESCONTO]]</f>
        <v>210.64020000000002</v>
      </c>
      <c r="L4293" s="53">
        <f>Tabela6[[#This Row],[CUSTO TOTAL]]/Tabela6[[#This Row],[CONSUMO]]</f>
        <v>5.79</v>
      </c>
      <c r="M4293" s="50">
        <f>Tabela6[[#This Row],[KM ATUAL]]-E4238</f>
        <v>238653</v>
      </c>
      <c r="N4293" s="51">
        <f>Tabela6[[#This Row],[KM Rodados ]]/Tabela6[[#This Row],[CONSUMO]]</f>
        <v>6560.0054975261128</v>
      </c>
    </row>
    <row r="4294" spans="1:14" x14ac:dyDescent="0.25">
      <c r="A4294" s="47">
        <v>253497</v>
      </c>
      <c r="B4294" s="78">
        <v>45378</v>
      </c>
      <c r="C4294" s="47" t="s">
        <v>72</v>
      </c>
      <c r="D4294" s="49" t="s">
        <v>262</v>
      </c>
      <c r="E4294" s="47">
        <v>448738</v>
      </c>
      <c r="G4294" s="50" t="s">
        <v>89</v>
      </c>
      <c r="H4294" s="51">
        <v>14.071</v>
      </c>
      <c r="J4294" s="51">
        <v>6.09</v>
      </c>
      <c r="K4294" s="74">
        <f>Tabela6[[#This Row],[CONSUMO]]*Tabela6[[#This Row],[VALOR UNIT]]-Tabela6[[#This Row],[DESCONTO]]</f>
        <v>85.692390000000003</v>
      </c>
      <c r="L4294" s="53">
        <f>Tabela6[[#This Row],[CUSTO TOTAL]]/Tabela6[[#This Row],[CONSUMO]]</f>
        <v>6.0900000000000007</v>
      </c>
      <c r="M4294" s="50">
        <f>Tabela6[[#This Row],[KM ATUAL]]-E4239</f>
        <v>-661905</v>
      </c>
      <c r="N4294" s="51">
        <f>Tabela6[[#This Row],[KM Rodados ]]/Tabela6[[#This Row],[CONSUMO]]</f>
        <v>-47040.366711676499</v>
      </c>
    </row>
    <row r="4295" spans="1:14" x14ac:dyDescent="0.25">
      <c r="A4295" s="47">
        <v>193673</v>
      </c>
      <c r="B4295" s="78">
        <v>45378</v>
      </c>
      <c r="C4295" s="47" t="s">
        <v>11</v>
      </c>
      <c r="D4295" s="49" t="s">
        <v>253</v>
      </c>
      <c r="E4295" s="47">
        <v>413410</v>
      </c>
      <c r="G4295" s="50" t="s">
        <v>89</v>
      </c>
      <c r="H4295" s="51">
        <v>119.38</v>
      </c>
      <c r="J4295" s="51">
        <v>6.09</v>
      </c>
      <c r="K4295" s="74">
        <f>Tabela6[[#This Row],[CONSUMO]]*Tabela6[[#This Row],[VALOR UNIT]]-Tabela6[[#This Row],[DESCONTO]]</f>
        <v>727.02419999999995</v>
      </c>
      <c r="L4295" s="53">
        <f>Tabela6[[#This Row],[CUSTO TOTAL]]/Tabela6[[#This Row],[CONSUMO]]</f>
        <v>6.09</v>
      </c>
      <c r="M4295" s="50">
        <f>Tabela6[[#This Row],[KM ATUAL]]-E4240</f>
        <v>150210</v>
      </c>
      <c r="N4295" s="51">
        <f>Tabela6[[#This Row],[KM Rodados ]]/Tabela6[[#This Row],[CONSUMO]]</f>
        <v>1258.2509633104373</v>
      </c>
    </row>
    <row r="4296" spans="1:14" x14ac:dyDescent="0.25">
      <c r="A4296" s="47">
        <v>319</v>
      </c>
      <c r="B4296" s="78">
        <v>45378</v>
      </c>
      <c r="C4296" s="47" t="s">
        <v>18</v>
      </c>
      <c r="D4296" s="49" t="s">
        <v>255</v>
      </c>
      <c r="E4296" s="47">
        <v>353018</v>
      </c>
      <c r="G4296" s="50" t="s">
        <v>89</v>
      </c>
      <c r="H4296" s="51">
        <v>84.33</v>
      </c>
      <c r="J4296" s="51">
        <v>5.89</v>
      </c>
      <c r="K4296" s="74">
        <f>Tabela6[[#This Row],[CONSUMO]]*Tabela6[[#This Row],[VALOR UNIT]]-Tabela6[[#This Row],[DESCONTO]]</f>
        <v>496.70369999999997</v>
      </c>
      <c r="L4296" s="53">
        <f>Tabela6[[#This Row],[CUSTO TOTAL]]/Tabela6[[#This Row],[CONSUMO]]</f>
        <v>5.89</v>
      </c>
      <c r="M4296" s="50" t="e">
        <f>Tabela6[[#This Row],[KM ATUAL]]-E4241</f>
        <v>#VALUE!</v>
      </c>
      <c r="N4296" s="51" t="e">
        <f>Tabela6[[#This Row],[KM Rodados ]]/Tabela6[[#This Row],[CONSUMO]]</f>
        <v>#VALUE!</v>
      </c>
    </row>
    <row r="4297" spans="1:14" x14ac:dyDescent="0.25">
      <c r="A4297" s="47">
        <v>387056</v>
      </c>
      <c r="B4297" s="78">
        <v>45378</v>
      </c>
      <c r="C4297" s="47" t="s">
        <v>40</v>
      </c>
      <c r="D4297" s="49" t="s">
        <v>276</v>
      </c>
      <c r="E4297" s="47">
        <v>194946</v>
      </c>
      <c r="G4297" s="50" t="s">
        <v>244</v>
      </c>
      <c r="H4297" s="51">
        <v>38.548999999999999</v>
      </c>
      <c r="J4297" s="51">
        <v>5.79</v>
      </c>
      <c r="K4297" s="74">
        <f>Tabela6[[#This Row],[CONSUMO]]*Tabela6[[#This Row],[VALOR UNIT]]-Tabela6[[#This Row],[DESCONTO]]</f>
        <v>223.19871000000001</v>
      </c>
      <c r="L4297" s="53">
        <f>Tabela6[[#This Row],[CUSTO TOTAL]]/Tabela6[[#This Row],[CONSUMO]]</f>
        <v>5.79</v>
      </c>
      <c r="M4297" s="50">
        <f>Tabela6[[#This Row],[KM ATUAL]]-E4242</f>
        <v>-162459</v>
      </c>
      <c r="N4297" s="51">
        <f>Tabela6[[#This Row],[KM Rodados ]]/Tabela6[[#This Row],[CONSUMO]]</f>
        <v>-4214.350566811072</v>
      </c>
    </row>
    <row r="4298" spans="1:14" x14ac:dyDescent="0.25">
      <c r="A4298" s="47">
        <v>253587</v>
      </c>
      <c r="B4298" s="78">
        <v>45378</v>
      </c>
      <c r="C4298" s="47" t="s">
        <v>354</v>
      </c>
      <c r="D4298" s="49" t="s">
        <v>262</v>
      </c>
      <c r="E4298" s="47">
        <v>34615</v>
      </c>
      <c r="G4298" s="50" t="s">
        <v>241</v>
      </c>
      <c r="H4298" s="51">
        <v>28.329000000000001</v>
      </c>
      <c r="I4298" s="49">
        <v>10.19</v>
      </c>
      <c r="J4298" s="51">
        <v>3.69</v>
      </c>
      <c r="K4298" s="74">
        <f>Tabela6[[#This Row],[CONSUMO]]*Tabela6[[#This Row],[VALOR UNIT]]-Tabela6[[#This Row],[DESCONTO]]</f>
        <v>94.344009999999997</v>
      </c>
      <c r="L4298" s="53">
        <f>Tabela6[[#This Row],[CUSTO TOTAL]]/Tabela6[[#This Row],[CONSUMO]]</f>
        <v>3.3302979279183873</v>
      </c>
      <c r="M4298" s="50">
        <f>Tabela6[[#This Row],[KM ATUAL]]-E4243</f>
        <v>-114406</v>
      </c>
      <c r="N4298" s="51">
        <f>Tabela6[[#This Row],[KM Rodados ]]/Tabela6[[#This Row],[CONSUMO]]</f>
        <v>-4038.4764728723217</v>
      </c>
    </row>
    <row r="4299" spans="1:14" x14ac:dyDescent="0.25">
      <c r="A4299" s="47">
        <v>38548</v>
      </c>
      <c r="B4299" s="78">
        <v>45378</v>
      </c>
      <c r="C4299" s="47" t="s">
        <v>401</v>
      </c>
      <c r="D4299" s="49" t="s">
        <v>250</v>
      </c>
      <c r="E4299" s="47">
        <v>265692</v>
      </c>
      <c r="G4299" s="50" t="s">
        <v>89</v>
      </c>
      <c r="H4299" s="51">
        <v>50.42</v>
      </c>
      <c r="J4299" s="51">
        <v>5.95</v>
      </c>
      <c r="K4299" s="74">
        <f>Tabela6[[#This Row],[CONSUMO]]*Tabela6[[#This Row],[VALOR UNIT]]-Tabela6[[#This Row],[DESCONTO]]</f>
        <v>299.99900000000002</v>
      </c>
      <c r="L4299" s="53">
        <f>Tabela6[[#This Row],[CUSTO TOTAL]]/Tabela6[[#This Row],[CONSUMO]]</f>
        <v>5.95</v>
      </c>
      <c r="M4299" s="50">
        <f>Tabela6[[#This Row],[KM ATUAL]]-E4244</f>
        <v>-180607</v>
      </c>
      <c r="N4299" s="51">
        <f>Tabela6[[#This Row],[KM Rodados ]]/Tabela6[[#This Row],[CONSUMO]]</f>
        <v>-3582.0507735025781</v>
      </c>
    </row>
    <row r="4300" spans="1:14" x14ac:dyDescent="0.25">
      <c r="A4300" s="47">
        <v>209278</v>
      </c>
      <c r="B4300" s="78">
        <v>45379</v>
      </c>
      <c r="C4300" s="47" t="s">
        <v>203</v>
      </c>
      <c r="D4300" s="49" t="s">
        <v>380</v>
      </c>
      <c r="E4300" s="47">
        <v>152019</v>
      </c>
      <c r="G4300" s="50" t="s">
        <v>244</v>
      </c>
      <c r="H4300" s="51">
        <v>38.479999999999997</v>
      </c>
      <c r="J4300" s="51">
        <v>5.69</v>
      </c>
      <c r="K4300" s="74">
        <f>Tabela6[[#This Row],[CONSUMO]]*Tabela6[[#This Row],[VALOR UNIT]]-Tabela6[[#This Row],[DESCONTO]]</f>
        <v>218.9512</v>
      </c>
      <c r="L4300" s="53">
        <f>Tabela6[[#This Row],[CUSTO TOTAL]]/Tabela6[[#This Row],[CONSUMO]]</f>
        <v>5.69</v>
      </c>
      <c r="M4300" s="50">
        <f>Tabela6[[#This Row],[KM ATUAL]]-E4245</f>
        <v>-958742</v>
      </c>
      <c r="N4300" s="51">
        <f>Tabela6[[#This Row],[KM Rodados ]]/Tabela6[[#This Row],[CONSUMO]]</f>
        <v>-24915.332640332643</v>
      </c>
    </row>
    <row r="4301" spans="1:14" x14ac:dyDescent="0.25">
      <c r="A4301" s="47">
        <v>759072</v>
      </c>
      <c r="B4301" s="78">
        <v>45379</v>
      </c>
      <c r="C4301" s="47" t="s">
        <v>40</v>
      </c>
      <c r="D4301" s="49" t="s">
        <v>271</v>
      </c>
      <c r="E4301" s="47">
        <v>195164</v>
      </c>
      <c r="G4301" s="50" t="s">
        <v>244</v>
      </c>
      <c r="H4301" s="51">
        <v>18.280999999999999</v>
      </c>
      <c r="J4301" s="51">
        <v>5.59</v>
      </c>
      <c r="K4301" s="74">
        <f>Tabela6[[#This Row],[CONSUMO]]*Tabela6[[#This Row],[VALOR UNIT]]-Tabela6[[#This Row],[DESCONTO]]</f>
        <v>102.19078999999999</v>
      </c>
      <c r="L4301" s="53">
        <f>Tabela6[[#This Row],[CUSTO TOTAL]]/Tabela6[[#This Row],[CONSUMO]]</f>
        <v>5.59</v>
      </c>
      <c r="M4301" s="50">
        <f>Tabela6[[#This Row],[KM ATUAL]]-E4246</f>
        <v>-138978</v>
      </c>
      <c r="N4301" s="51">
        <f>Tabela6[[#This Row],[KM Rodados ]]/Tabela6[[#This Row],[CONSUMO]]</f>
        <v>-7602.3193479568954</v>
      </c>
    </row>
    <row r="4302" spans="1:14" x14ac:dyDescent="0.25">
      <c r="A4302" s="47">
        <v>194344</v>
      </c>
      <c r="B4302" s="78">
        <v>45379</v>
      </c>
      <c r="C4302" s="47" t="s">
        <v>315</v>
      </c>
      <c r="D4302" s="49" t="s">
        <v>253</v>
      </c>
      <c r="E4302" s="47">
        <v>23082</v>
      </c>
      <c r="G4302" s="50" t="s">
        <v>89</v>
      </c>
      <c r="H4302" s="51">
        <v>42.39</v>
      </c>
      <c r="J4302" s="51">
        <v>6.09</v>
      </c>
      <c r="K4302" s="74">
        <f>Tabela6[[#This Row],[CONSUMO]]*Tabela6[[#This Row],[VALOR UNIT]]-Tabela6[[#This Row],[DESCONTO]]</f>
        <v>258.1551</v>
      </c>
      <c r="L4302" s="53">
        <f>Tabela6[[#This Row],[CUSTO TOTAL]]/Tabela6[[#This Row],[CONSUMO]]</f>
        <v>6.09</v>
      </c>
      <c r="M4302" s="50">
        <f>Tabela6[[#This Row],[KM ATUAL]]-E4247</f>
        <v>-396039</v>
      </c>
      <c r="N4302" s="51">
        <f>Tabela6[[#This Row],[KM Rodados ]]/Tabela6[[#This Row],[CONSUMO]]</f>
        <v>-9342.7459306440196</v>
      </c>
    </row>
    <row r="4303" spans="1:14" x14ac:dyDescent="0.25">
      <c r="A4303" s="47">
        <v>194344</v>
      </c>
      <c r="B4303" s="78">
        <v>45379</v>
      </c>
      <c r="C4303" s="47" t="s">
        <v>315</v>
      </c>
      <c r="D4303" s="49" t="s">
        <v>253</v>
      </c>
      <c r="E4303" s="47">
        <v>23082</v>
      </c>
      <c r="G4303" s="50" t="s">
        <v>241</v>
      </c>
      <c r="H4303" s="51">
        <v>7.97</v>
      </c>
      <c r="J4303" s="51">
        <v>3.49</v>
      </c>
      <c r="K4303" s="74">
        <f>Tabela6[[#This Row],[CONSUMO]]*Tabela6[[#This Row],[VALOR UNIT]]-Tabela6[[#This Row],[DESCONTO]]</f>
        <v>27.815300000000001</v>
      </c>
      <c r="L4303" s="53">
        <f>Tabela6[[#This Row],[CUSTO TOTAL]]/Tabela6[[#This Row],[CONSUMO]]</f>
        <v>3.49</v>
      </c>
      <c r="M4303" s="50">
        <f>Tabela6[[#This Row],[KM ATUAL]]-E4248</f>
        <v>-378338</v>
      </c>
      <c r="N4303" s="51">
        <f>Tabela6[[#This Row],[KM Rodados ]]/Tabela6[[#This Row],[CONSUMO]]</f>
        <v>-47470.263488080302</v>
      </c>
    </row>
    <row r="4304" spans="1:14" x14ac:dyDescent="0.25">
      <c r="A4304" s="47">
        <v>291967</v>
      </c>
      <c r="B4304" s="78">
        <v>45380</v>
      </c>
      <c r="C4304" s="47" t="s">
        <v>71</v>
      </c>
      <c r="D4304" s="49" t="s">
        <v>269</v>
      </c>
      <c r="E4304" s="47">
        <v>166229</v>
      </c>
      <c r="G4304" s="50" t="s">
        <v>89</v>
      </c>
      <c r="H4304" s="51">
        <v>50</v>
      </c>
      <c r="J4304" s="51">
        <v>5.65</v>
      </c>
      <c r="K4304" s="74">
        <f>Tabela6[[#This Row],[CONSUMO]]*Tabela6[[#This Row],[VALOR UNIT]]-Tabela6[[#This Row],[DESCONTO]]</f>
        <v>282.5</v>
      </c>
      <c r="L4304" s="53">
        <f>Tabela6[[#This Row],[CUSTO TOTAL]]/Tabela6[[#This Row],[CONSUMO]]</f>
        <v>5.65</v>
      </c>
      <c r="M4304" s="50">
        <f>Tabela6[[#This Row],[KM ATUAL]]-E4249</f>
        <v>-197316</v>
      </c>
      <c r="N4304" s="51">
        <f>Tabela6[[#This Row],[KM Rodados ]]/Tabela6[[#This Row],[CONSUMO]]</f>
        <v>-3946.32</v>
      </c>
    </row>
    <row r="4305" spans="1:14" x14ac:dyDescent="0.25">
      <c r="A4305" s="47">
        <v>260689</v>
      </c>
      <c r="B4305" s="78">
        <v>45380</v>
      </c>
      <c r="C4305" s="47" t="s">
        <v>301</v>
      </c>
      <c r="D4305" s="49" t="s">
        <v>329</v>
      </c>
      <c r="E4305" s="47" t="s">
        <v>445</v>
      </c>
      <c r="G4305" s="50" t="s">
        <v>89</v>
      </c>
      <c r="H4305" s="51">
        <v>456.59100000000001</v>
      </c>
      <c r="J4305" s="51">
        <v>5.69</v>
      </c>
      <c r="K4305" s="74">
        <f>Tabela6[[#This Row],[CONSUMO]]*Tabela6[[#This Row],[VALOR UNIT]]-Tabela6[[#This Row],[DESCONTO]]</f>
        <v>2598.00279</v>
      </c>
      <c r="L4305" s="53">
        <f>Tabela6[[#This Row],[CUSTO TOTAL]]/Tabela6[[#This Row],[CONSUMO]]</f>
        <v>5.6899999999999995</v>
      </c>
      <c r="M4305" s="50" t="e">
        <f>Tabela6[[#This Row],[KM ATUAL]]-E4250</f>
        <v>#VALUE!</v>
      </c>
      <c r="N4305" s="51" t="e">
        <f>Tabela6[[#This Row],[KM Rodados ]]/Tabela6[[#This Row],[CONSUMO]]</f>
        <v>#VALUE!</v>
      </c>
    </row>
    <row r="4306" spans="1:14" x14ac:dyDescent="0.25">
      <c r="A4306" s="47" t="s">
        <v>444</v>
      </c>
      <c r="B4306" s="78">
        <v>45381</v>
      </c>
      <c r="C4306" s="47" t="s">
        <v>301</v>
      </c>
      <c r="D4306" s="49" t="s">
        <v>333</v>
      </c>
      <c r="E4306" s="47">
        <v>1111577</v>
      </c>
      <c r="G4306" s="50" t="s">
        <v>89</v>
      </c>
      <c r="H4306" s="51">
        <v>528.02200000000005</v>
      </c>
      <c r="J4306" s="51">
        <v>5.65</v>
      </c>
      <c r="K4306" s="74">
        <f>Tabela6[[#This Row],[CONSUMO]]*Tabela6[[#This Row],[VALOR UNIT]]-Tabela6[[#This Row],[DESCONTO]]</f>
        <v>2983.3243000000007</v>
      </c>
      <c r="L4306" s="53">
        <f>Tabela6[[#This Row],[CUSTO TOTAL]]/Tabela6[[#This Row],[CONSUMO]]</f>
        <v>5.65</v>
      </c>
      <c r="M4306" s="50">
        <f>Tabela6[[#This Row],[KM ATUAL]]-E4251</f>
        <v>1078535</v>
      </c>
      <c r="N4306" s="51">
        <f>Tabela6[[#This Row],[KM Rodados ]]/Tabela6[[#This Row],[CONSUMO]]</f>
        <v>2042.5948161250856</v>
      </c>
    </row>
    <row r="4307" spans="1:14" x14ac:dyDescent="0.25">
      <c r="A4307" s="47">
        <v>1517</v>
      </c>
      <c r="B4307" s="78">
        <v>45383</v>
      </c>
      <c r="C4307" s="47" t="s">
        <v>9</v>
      </c>
      <c r="D4307" s="49" t="s">
        <v>255</v>
      </c>
      <c r="E4307" s="47">
        <v>654114</v>
      </c>
      <c r="G4307" s="50" t="s">
        <v>89</v>
      </c>
      <c r="H4307" s="51">
        <v>121.15</v>
      </c>
      <c r="J4307" s="51">
        <v>6.16</v>
      </c>
      <c r="K4307" s="74">
        <f>Tabela6[[#This Row],[CONSUMO]]*Tabela6[[#This Row],[VALOR UNIT]]-Tabela6[[#This Row],[DESCONTO]]</f>
        <v>746.28400000000011</v>
      </c>
      <c r="L4307" s="53">
        <f>Tabela6[[#This Row],[CUSTO TOTAL]]/Tabela6[[#This Row],[CONSUMO]]</f>
        <v>6.16</v>
      </c>
      <c r="M4307" s="50">
        <f>Tabela6[[#This Row],[KM ATUAL]]-E4252</f>
        <v>241253</v>
      </c>
      <c r="N4307" s="51">
        <f>Tabela6[[#This Row],[KM Rodados ]]/Tabela6[[#This Row],[CONSUMO]]</f>
        <v>1991.3578208832025</v>
      </c>
    </row>
    <row r="4308" spans="1:14" x14ac:dyDescent="0.25">
      <c r="A4308" s="47">
        <v>1532</v>
      </c>
      <c r="B4308" s="78">
        <v>45383</v>
      </c>
      <c r="C4308" s="47" t="s">
        <v>9</v>
      </c>
      <c r="D4308" s="49" t="s">
        <v>255</v>
      </c>
      <c r="E4308" s="47">
        <v>654114</v>
      </c>
      <c r="G4308" s="50" t="s">
        <v>89</v>
      </c>
      <c r="H4308" s="51">
        <v>121.15</v>
      </c>
      <c r="J4308" s="51">
        <v>6.16</v>
      </c>
      <c r="K4308" s="74">
        <f>Tabela6[[#This Row],[CONSUMO]]*Tabela6[[#This Row],[VALOR UNIT]]-Tabela6[[#This Row],[DESCONTO]]</f>
        <v>746.28400000000011</v>
      </c>
      <c r="L4308" s="53">
        <f>Tabela6[[#This Row],[CUSTO TOTAL]]/Tabela6[[#This Row],[CONSUMO]]</f>
        <v>6.16</v>
      </c>
      <c r="M4308" s="50">
        <f>Tabela6[[#This Row],[KM ATUAL]]-E4253</f>
        <v>-456724</v>
      </c>
      <c r="N4308" s="51">
        <f>Tabela6[[#This Row],[KM Rodados ]]/Tabela6[[#This Row],[CONSUMO]]</f>
        <v>-3769.9050763516302</v>
      </c>
    </row>
    <row r="4309" spans="1:14" x14ac:dyDescent="0.25">
      <c r="A4309" s="47">
        <v>206692</v>
      </c>
      <c r="B4309" s="78">
        <v>45383</v>
      </c>
      <c r="C4309" s="47" t="s">
        <v>42</v>
      </c>
      <c r="D4309" s="49" t="s">
        <v>263</v>
      </c>
      <c r="E4309" s="47">
        <v>389456</v>
      </c>
      <c r="G4309" s="50" t="s">
        <v>89</v>
      </c>
      <c r="H4309" s="51">
        <v>137.15</v>
      </c>
      <c r="J4309" s="51">
        <v>5.89</v>
      </c>
      <c r="K4309" s="74">
        <f>Tabela6[[#This Row],[CONSUMO]]*Tabela6[[#This Row],[VALOR UNIT]]-Tabela6[[#This Row],[DESCONTO]]</f>
        <v>807.81349999999998</v>
      </c>
      <c r="L4309" s="53">
        <f>Tabela6[[#This Row],[CUSTO TOTAL]]/Tabela6[[#This Row],[CONSUMO]]</f>
        <v>5.89</v>
      </c>
      <c r="M4309" s="50">
        <f>Tabela6[[#This Row],[KM ATUAL]]-E4254</f>
        <v>70754</v>
      </c>
      <c r="N4309" s="51">
        <f>Tabela6[[#This Row],[KM Rodados ]]/Tabela6[[#This Row],[CONSUMO]]</f>
        <v>515.88771418155306</v>
      </c>
    </row>
    <row r="4310" spans="1:14" x14ac:dyDescent="0.25">
      <c r="A4310" s="47">
        <v>293331</v>
      </c>
      <c r="B4310" s="78">
        <v>45383</v>
      </c>
      <c r="C4310" s="47" t="s">
        <v>67</v>
      </c>
      <c r="D4310" s="49" t="s">
        <v>273</v>
      </c>
      <c r="E4310" s="47">
        <v>706142</v>
      </c>
      <c r="G4310" s="50" t="s">
        <v>241</v>
      </c>
      <c r="H4310" s="51">
        <v>12.81</v>
      </c>
      <c r="J4310" s="51">
        <v>2.99</v>
      </c>
      <c r="K4310" s="74">
        <f>Tabela6[[#This Row],[CONSUMO]]*Tabela6[[#This Row],[VALOR UNIT]]-Tabela6[[#This Row],[DESCONTO]]</f>
        <v>38.301900000000003</v>
      </c>
      <c r="L4310" s="53">
        <f>Tabela6[[#This Row],[CUSTO TOTAL]]/Tabela6[[#This Row],[CONSUMO]]</f>
        <v>2.99</v>
      </c>
      <c r="M4310" s="50">
        <f>Tabela6[[#This Row],[KM ATUAL]]-E4255</f>
        <v>701094</v>
      </c>
      <c r="N4310" s="51">
        <f>Tabela6[[#This Row],[KM Rodados ]]/Tabela6[[#This Row],[CONSUMO]]</f>
        <v>54730.210772833721</v>
      </c>
    </row>
    <row r="4311" spans="1:14" x14ac:dyDescent="0.25">
      <c r="A4311" s="47">
        <v>206543</v>
      </c>
      <c r="B4311" s="78">
        <v>45383</v>
      </c>
      <c r="C4311" s="47" t="s">
        <v>72</v>
      </c>
      <c r="D4311" s="49" t="s">
        <v>263</v>
      </c>
      <c r="E4311" s="47">
        <v>449357</v>
      </c>
      <c r="G4311" s="50" t="s">
        <v>89</v>
      </c>
      <c r="H4311" s="51">
        <v>31.51</v>
      </c>
      <c r="I4311" s="49">
        <v>3.15</v>
      </c>
      <c r="J4311" s="51">
        <v>5.89</v>
      </c>
      <c r="K4311" s="74">
        <f>Tabela6[[#This Row],[CONSUMO]]*Tabela6[[#This Row],[VALOR UNIT]]-Tabela6[[#This Row],[DESCONTO]]</f>
        <v>182.44389999999999</v>
      </c>
      <c r="L4311" s="53">
        <f>Tabela6[[#This Row],[CUSTO TOTAL]]/Tabela6[[#This Row],[CONSUMO]]</f>
        <v>5.7900317359568385</v>
      </c>
      <c r="M4311" s="50">
        <f>Tabela6[[#This Row],[KM ATUAL]]-E4256</f>
        <v>430499</v>
      </c>
      <c r="N4311" s="51">
        <f>Tabela6[[#This Row],[KM Rodados ]]/Tabela6[[#This Row],[CONSUMO]]</f>
        <v>13662.29768327515</v>
      </c>
    </row>
    <row r="4312" spans="1:14" x14ac:dyDescent="0.25">
      <c r="A4312" s="47">
        <v>41303</v>
      </c>
      <c r="B4312" s="78">
        <v>45383</v>
      </c>
      <c r="C4312" s="47" t="s">
        <v>301</v>
      </c>
      <c r="D4312" s="49" t="s">
        <v>332</v>
      </c>
      <c r="E4312" s="47">
        <v>1111204</v>
      </c>
      <c r="G4312" s="50" t="s">
        <v>89</v>
      </c>
      <c r="H4312" s="51">
        <v>488.00099999999998</v>
      </c>
      <c r="J4312" s="51">
        <v>5.49</v>
      </c>
      <c r="K4312" s="74">
        <f>Tabela6[[#This Row],[CONSUMO]]*Tabela6[[#This Row],[VALOR UNIT]]-Tabela6[[#This Row],[DESCONTO]]</f>
        <v>2679.1254899999999</v>
      </c>
      <c r="L4312" s="53">
        <f>Tabela6[[#This Row],[CUSTO TOTAL]]/Tabela6[[#This Row],[CONSUMO]]</f>
        <v>5.49</v>
      </c>
      <c r="M4312" s="50">
        <f>Tabela6[[#This Row],[KM ATUAL]]-E4257</f>
        <v>279139</v>
      </c>
      <c r="N4312" s="51">
        <f>Tabela6[[#This Row],[KM Rodados ]]/Tabela6[[#This Row],[CONSUMO]]</f>
        <v>572.00497539964056</v>
      </c>
    </row>
    <row r="4313" spans="1:14" x14ac:dyDescent="0.25">
      <c r="A4313" s="47">
        <v>354624</v>
      </c>
      <c r="B4313" s="78">
        <v>45383</v>
      </c>
      <c r="C4313" s="47" t="s">
        <v>14</v>
      </c>
      <c r="D4313" s="49" t="s">
        <v>270</v>
      </c>
      <c r="E4313" s="47">
        <v>325837</v>
      </c>
      <c r="G4313" s="50" t="s">
        <v>244</v>
      </c>
      <c r="H4313" s="51">
        <v>39.92</v>
      </c>
      <c r="J4313" s="51">
        <v>5.49</v>
      </c>
      <c r="K4313" s="74">
        <f>Tabela6[[#This Row],[CONSUMO]]*Tabela6[[#This Row],[VALOR UNIT]]-Tabela6[[#This Row],[DESCONTO]]</f>
        <v>219.16080000000002</v>
      </c>
      <c r="L4313" s="53">
        <f>Tabela6[[#This Row],[CUSTO TOTAL]]/Tabela6[[#This Row],[CONSUMO]]</f>
        <v>5.49</v>
      </c>
      <c r="M4313" s="50">
        <f>Tabela6[[#This Row],[KM ATUAL]]-E4258</f>
        <v>139338</v>
      </c>
      <c r="N4313" s="51">
        <f>Tabela6[[#This Row],[KM Rodados ]]/Tabela6[[#This Row],[CONSUMO]]</f>
        <v>3490.4308617234469</v>
      </c>
    </row>
    <row r="4314" spans="1:14" x14ac:dyDescent="0.25">
      <c r="A4314" s="47">
        <v>253717</v>
      </c>
      <c r="B4314" s="78">
        <v>45383</v>
      </c>
      <c r="C4314" s="47" t="s">
        <v>14</v>
      </c>
      <c r="D4314" s="49" t="s">
        <v>262</v>
      </c>
      <c r="E4314" s="47">
        <v>325340</v>
      </c>
      <c r="G4314" s="50" t="s">
        <v>244</v>
      </c>
      <c r="H4314" s="51">
        <v>21.728999999999999</v>
      </c>
      <c r="J4314" s="51">
        <v>5.69</v>
      </c>
      <c r="K4314" s="74">
        <f>Tabela6[[#This Row],[CONSUMO]]*Tabela6[[#This Row],[VALOR UNIT]]-Tabela6[[#This Row],[DESCONTO]]</f>
        <v>123.63801000000001</v>
      </c>
      <c r="L4314" s="53">
        <f>Tabela6[[#This Row],[CUSTO TOTAL]]/Tabela6[[#This Row],[CONSUMO]]</f>
        <v>5.69</v>
      </c>
      <c r="M4314" s="50">
        <f>Tabela6[[#This Row],[KM ATUAL]]-E4259</f>
        <v>-94622</v>
      </c>
      <c r="N4314" s="51">
        <f>Tabela6[[#This Row],[KM Rodados ]]/Tabela6[[#This Row],[CONSUMO]]</f>
        <v>-4354.6412628284779</v>
      </c>
    </row>
    <row r="4315" spans="1:14" x14ac:dyDescent="0.25">
      <c r="A4315" s="47">
        <v>253967</v>
      </c>
      <c r="B4315" s="78">
        <v>45383</v>
      </c>
      <c r="C4315" s="47" t="s">
        <v>19</v>
      </c>
      <c r="D4315" s="49" t="s">
        <v>262</v>
      </c>
      <c r="E4315" s="47">
        <v>366477</v>
      </c>
      <c r="G4315" s="50" t="s">
        <v>241</v>
      </c>
      <c r="H4315" s="51">
        <v>22.536000000000001</v>
      </c>
      <c r="I4315" s="49">
        <v>8.1199999999999992</v>
      </c>
      <c r="J4315" s="51">
        <v>3.69</v>
      </c>
      <c r="K4315" s="74">
        <f>Tabela6[[#This Row],[CONSUMO]]*Tabela6[[#This Row],[VALOR UNIT]]-Tabela6[[#This Row],[DESCONTO]]</f>
        <v>75.037840000000003</v>
      </c>
      <c r="L4315" s="53">
        <f>Tabela6[[#This Row],[CUSTO TOTAL]]/Tabela6[[#This Row],[CONSUMO]]</f>
        <v>3.3296876109336173</v>
      </c>
      <c r="M4315" s="50">
        <f>Tabela6[[#This Row],[KM ATUAL]]-E4260</f>
        <v>173617</v>
      </c>
      <c r="N4315" s="51">
        <f>Tabela6[[#This Row],[KM Rodados ]]/Tabela6[[#This Row],[CONSUMO]]</f>
        <v>7703.9847355342563</v>
      </c>
    </row>
    <row r="4316" spans="1:14" x14ac:dyDescent="0.25">
      <c r="A4316" s="47">
        <v>293677</v>
      </c>
      <c r="B4316" s="78">
        <v>45384</v>
      </c>
      <c r="C4316" s="47" t="s">
        <v>67</v>
      </c>
      <c r="D4316" s="49" t="s">
        <v>273</v>
      </c>
      <c r="E4316" s="47">
        <v>706605</v>
      </c>
      <c r="G4316" s="50" t="s">
        <v>89</v>
      </c>
      <c r="H4316" s="51">
        <v>123.05</v>
      </c>
      <c r="J4316" s="51">
        <v>5.65</v>
      </c>
      <c r="K4316" s="74">
        <f>Tabela6[[#This Row],[CONSUMO]]*Tabela6[[#This Row],[VALOR UNIT]]-Tabela6[[#This Row],[DESCONTO]]</f>
        <v>695.23250000000007</v>
      </c>
      <c r="L4316" s="53">
        <f>Tabela6[[#This Row],[CUSTO TOTAL]]/Tabela6[[#This Row],[CONSUMO]]</f>
        <v>5.65</v>
      </c>
      <c r="M4316" s="50">
        <f>Tabela6[[#This Row],[KM ATUAL]]-E4261</f>
        <v>-504604</v>
      </c>
      <c r="N4316" s="51">
        <f>Tabela6[[#This Row],[KM Rodados ]]/Tabela6[[#This Row],[CONSUMO]]</f>
        <v>-4100.80455099553</v>
      </c>
    </row>
    <row r="4317" spans="1:14" x14ac:dyDescent="0.25">
      <c r="A4317" s="47">
        <v>197710</v>
      </c>
      <c r="B4317" s="78">
        <v>45384</v>
      </c>
      <c r="C4317" s="47" t="s">
        <v>39</v>
      </c>
      <c r="D4317" s="49" t="s">
        <v>253</v>
      </c>
      <c r="E4317" s="47">
        <v>122027</v>
      </c>
      <c r="G4317" s="50" t="s">
        <v>89</v>
      </c>
      <c r="H4317" s="51">
        <v>98.61</v>
      </c>
      <c r="J4317" s="51">
        <v>6.09</v>
      </c>
      <c r="K4317" s="74">
        <f>Tabela6[[#This Row],[CONSUMO]]*Tabela6[[#This Row],[VALOR UNIT]]-Tabela6[[#This Row],[DESCONTO]]</f>
        <v>600.53489999999999</v>
      </c>
      <c r="L4317" s="53">
        <f>Tabela6[[#This Row],[CUSTO TOTAL]]/Tabela6[[#This Row],[CONSUMO]]</f>
        <v>6.09</v>
      </c>
      <c r="M4317" s="50">
        <f>Tabela6[[#This Row],[KM ATUAL]]-E4262</f>
        <v>-15024</v>
      </c>
      <c r="N4317" s="51">
        <f>Tabela6[[#This Row],[KM Rodados ]]/Tabela6[[#This Row],[CONSUMO]]</f>
        <v>-152.35777304533008</v>
      </c>
    </row>
    <row r="4318" spans="1:14" x14ac:dyDescent="0.25">
      <c r="A4318" s="47">
        <v>197710</v>
      </c>
      <c r="B4318" s="78">
        <v>45384</v>
      </c>
      <c r="C4318" s="47" t="s">
        <v>39</v>
      </c>
      <c r="D4318" s="49" t="s">
        <v>253</v>
      </c>
      <c r="E4318" s="47">
        <v>122027</v>
      </c>
      <c r="G4318" s="50" t="s">
        <v>241</v>
      </c>
      <c r="H4318" s="51">
        <v>9.23</v>
      </c>
      <c r="J4318" s="51">
        <v>3.49</v>
      </c>
      <c r="K4318" s="74">
        <f>Tabela6[[#This Row],[CONSUMO]]*Tabela6[[#This Row],[VALOR UNIT]]-Tabela6[[#This Row],[DESCONTO]]</f>
        <v>32.212700000000005</v>
      </c>
      <c r="L4318" s="53">
        <f>Tabela6[[#This Row],[CUSTO TOTAL]]/Tabela6[[#This Row],[CONSUMO]]</f>
        <v>3.49</v>
      </c>
      <c r="M4318" s="50">
        <f>Tabela6[[#This Row],[KM ATUAL]]-E4263</f>
        <v>533</v>
      </c>
      <c r="N4318" s="51">
        <f>Tabela6[[#This Row],[KM Rodados ]]/Tabela6[[#This Row],[CONSUMO]]</f>
        <v>57.746478873239433</v>
      </c>
    </row>
    <row r="4319" spans="1:14" x14ac:dyDescent="0.25">
      <c r="A4319" s="47">
        <v>206813</v>
      </c>
      <c r="B4319" s="78">
        <v>45384</v>
      </c>
      <c r="C4319" s="47" t="s">
        <v>72</v>
      </c>
      <c r="D4319" s="49" t="s">
        <v>263</v>
      </c>
      <c r="E4319" s="47">
        <v>449895</v>
      </c>
      <c r="G4319" s="50" t="s">
        <v>89</v>
      </c>
      <c r="H4319" s="51">
        <v>26.32</v>
      </c>
      <c r="I4319" s="49">
        <v>3.95</v>
      </c>
      <c r="J4319" s="51">
        <v>5.89</v>
      </c>
      <c r="K4319" s="74">
        <f>Tabela6[[#This Row],[CONSUMO]]*Tabela6[[#This Row],[VALOR UNIT]]-Tabela6[[#This Row],[DESCONTO]]</f>
        <v>151.07480000000001</v>
      </c>
      <c r="L4319" s="53">
        <f>Tabela6[[#This Row],[CUSTO TOTAL]]/Tabela6[[#This Row],[CONSUMO]]</f>
        <v>5.7399240121580553</v>
      </c>
      <c r="M4319" s="50">
        <f>Tabela6[[#This Row],[KM ATUAL]]-E4264</f>
        <v>300372</v>
      </c>
      <c r="N4319" s="51">
        <f>Tabela6[[#This Row],[KM Rodados ]]/Tabela6[[#This Row],[CONSUMO]]</f>
        <v>11412.310030395136</v>
      </c>
    </row>
    <row r="4320" spans="1:14" x14ac:dyDescent="0.25">
      <c r="A4320" s="47">
        <v>354944</v>
      </c>
      <c r="B4320" s="78">
        <v>45384</v>
      </c>
      <c r="C4320" s="47" t="s">
        <v>72</v>
      </c>
      <c r="D4320" s="49" t="s">
        <v>270</v>
      </c>
      <c r="E4320" s="47">
        <v>450378</v>
      </c>
      <c r="G4320" s="50" t="s">
        <v>89</v>
      </c>
      <c r="H4320" s="51">
        <v>59.070999999999998</v>
      </c>
      <c r="J4320" s="51">
        <v>5.65</v>
      </c>
      <c r="K4320" s="74">
        <f>Tabela6[[#This Row],[CONSUMO]]*Tabela6[[#This Row],[VALOR UNIT]]-Tabela6[[#This Row],[DESCONTO]]</f>
        <v>333.75115</v>
      </c>
      <c r="L4320" s="53">
        <f>Tabela6[[#This Row],[CUSTO TOTAL]]/Tabela6[[#This Row],[CONSUMO]]</f>
        <v>5.65</v>
      </c>
      <c r="M4320" s="50">
        <f>Tabela6[[#This Row],[KM ATUAL]]-E4265</f>
        <v>300337</v>
      </c>
      <c r="N4320" s="51">
        <f>Tabela6[[#This Row],[KM Rodados ]]/Tabela6[[#This Row],[CONSUMO]]</f>
        <v>5084.3391850485013</v>
      </c>
    </row>
    <row r="4321" spans="1:14" x14ac:dyDescent="0.25">
      <c r="A4321" s="47">
        <v>465707</v>
      </c>
      <c r="B4321" s="78">
        <v>45384</v>
      </c>
      <c r="C4321" s="47" t="s">
        <v>301</v>
      </c>
      <c r="D4321" s="49" t="s">
        <v>333</v>
      </c>
      <c r="G4321" s="50" t="s">
        <v>89</v>
      </c>
      <c r="H4321" s="51">
        <v>475.01100000000002</v>
      </c>
      <c r="J4321" s="51">
        <v>5.65</v>
      </c>
      <c r="K4321" s="74">
        <f>Tabela6[[#This Row],[CONSUMO]]*Tabela6[[#This Row],[VALOR UNIT]]-Tabela6[[#This Row],[DESCONTO]]</f>
        <v>2683.8121500000002</v>
      </c>
      <c r="L4321" s="53">
        <f>Tabela6[[#This Row],[CUSTO TOTAL]]/Tabela6[[#This Row],[CONSUMO]]</f>
        <v>5.65</v>
      </c>
      <c r="M4321" s="50">
        <f>Tabela6[[#This Row],[KM ATUAL]]-E4310</f>
        <v>-706142</v>
      </c>
      <c r="N4321" s="51">
        <f>Tabela6[[#This Row],[KM Rodados ]]/Tabela6[[#This Row],[CONSUMO]]</f>
        <v>-1486.5803107717504</v>
      </c>
    </row>
    <row r="4322" spans="1:14" x14ac:dyDescent="0.25">
      <c r="A4322" s="47">
        <v>197690</v>
      </c>
      <c r="B4322" s="78">
        <v>45384</v>
      </c>
      <c r="C4322" s="47" t="s">
        <v>12</v>
      </c>
      <c r="D4322" s="49" t="s">
        <v>253</v>
      </c>
      <c r="E4322" s="47">
        <v>335229</v>
      </c>
      <c r="G4322" s="50" t="s">
        <v>89</v>
      </c>
      <c r="H4322" s="51">
        <v>104.54</v>
      </c>
      <c r="J4322" s="51">
        <v>6.09</v>
      </c>
      <c r="K4322" s="74">
        <f>Tabela6[[#This Row],[CONSUMO]]*Tabela6[[#This Row],[VALOR UNIT]]-Tabela6[[#This Row],[DESCONTO]]</f>
        <v>636.64859999999999</v>
      </c>
      <c r="L4322" s="53">
        <f>Tabela6[[#This Row],[CUSTO TOTAL]]/Tabela6[[#This Row],[CONSUMO]]</f>
        <v>6.09</v>
      </c>
      <c r="M4322" s="50">
        <f>Tabela6[[#This Row],[KM ATUAL]]-E4267</f>
        <v>-112800</v>
      </c>
      <c r="N4322" s="51">
        <f>Tabela6[[#This Row],[KM Rodados ]]/Tabela6[[#This Row],[CONSUMO]]</f>
        <v>-1079.0128180600727</v>
      </c>
    </row>
    <row r="4323" spans="1:14" x14ac:dyDescent="0.25">
      <c r="A4323" s="47">
        <v>1657</v>
      </c>
      <c r="B4323" s="78">
        <v>45384</v>
      </c>
      <c r="C4323" s="47" t="s">
        <v>18</v>
      </c>
      <c r="D4323" s="49" t="s">
        <v>255</v>
      </c>
      <c r="E4323" s="47">
        <v>353655</v>
      </c>
      <c r="G4323" s="50" t="s">
        <v>89</v>
      </c>
      <c r="H4323" s="51">
        <v>76.22</v>
      </c>
      <c r="J4323" s="51">
        <v>6.16</v>
      </c>
      <c r="K4323" s="74">
        <f>Tabela6[[#This Row],[CONSUMO]]*Tabela6[[#This Row],[VALOR UNIT]]-Tabela6[[#This Row],[DESCONTO]]</f>
        <v>469.51519999999999</v>
      </c>
      <c r="L4323" s="53">
        <f>Tabela6[[#This Row],[CUSTO TOTAL]]/Tabela6[[#This Row],[CONSUMO]]</f>
        <v>6.16</v>
      </c>
      <c r="M4323" s="50">
        <f>Tabela6[[#This Row],[KM ATUAL]]-E4268</f>
        <v>29273</v>
      </c>
      <c r="N4323" s="51">
        <f>Tabela6[[#This Row],[KM Rodados ]]/Tabela6[[#This Row],[CONSUMO]]</f>
        <v>384.0593020204671</v>
      </c>
    </row>
    <row r="4324" spans="1:14" x14ac:dyDescent="0.25">
      <c r="A4324" s="47">
        <v>44450</v>
      </c>
      <c r="B4324" s="78">
        <v>45384</v>
      </c>
      <c r="C4324" s="47" t="s">
        <v>401</v>
      </c>
      <c r="D4324" s="49" t="s">
        <v>247</v>
      </c>
      <c r="E4324" s="47">
        <v>266470</v>
      </c>
      <c r="G4324" s="50" t="s">
        <v>89</v>
      </c>
      <c r="H4324" s="51">
        <v>25</v>
      </c>
      <c r="J4324" s="51">
        <v>2.89</v>
      </c>
      <c r="K4324" s="74">
        <f>Tabela6[[#This Row],[CONSUMO]]*Tabela6[[#This Row],[VALOR UNIT]]-Tabela6[[#This Row],[DESCONTO]]</f>
        <v>72.25</v>
      </c>
      <c r="L4324" s="53">
        <f>Tabela6[[#This Row],[CUSTO TOTAL]]/Tabela6[[#This Row],[CONSUMO]]</f>
        <v>2.89</v>
      </c>
      <c r="M4324" s="50">
        <f>Tabela6[[#This Row],[KM ATUAL]]-E4269</f>
        <v>-153687</v>
      </c>
      <c r="N4324" s="51">
        <f>Tabela6[[#This Row],[KM Rodados ]]/Tabela6[[#This Row],[CONSUMO]]</f>
        <v>-6147.48</v>
      </c>
    </row>
    <row r="4325" spans="1:14" x14ac:dyDescent="0.25">
      <c r="A4325" s="47">
        <v>44450</v>
      </c>
      <c r="B4325" s="78">
        <v>45384</v>
      </c>
      <c r="C4325" s="47" t="s">
        <v>401</v>
      </c>
      <c r="D4325" s="49" t="s">
        <v>247</v>
      </c>
      <c r="E4325" s="47">
        <v>266470</v>
      </c>
      <c r="G4325" s="50" t="s">
        <v>89</v>
      </c>
      <c r="H4325" s="51">
        <v>66.78</v>
      </c>
      <c r="J4325" s="51">
        <v>5.99</v>
      </c>
      <c r="K4325" s="74">
        <f>Tabela6[[#This Row],[CONSUMO]]*Tabela6[[#This Row],[VALOR UNIT]]-Tabela6[[#This Row],[DESCONTO]]</f>
        <v>400.01220000000001</v>
      </c>
      <c r="L4325" s="53">
        <f>Tabela6[[#This Row],[CUSTO TOTAL]]/Tabela6[[#This Row],[CONSUMO]]</f>
        <v>5.99</v>
      </c>
      <c r="M4325" s="50">
        <f>Tabela6[[#This Row],[KM ATUAL]]-E4270</f>
        <v>-85863</v>
      </c>
      <c r="N4325" s="51">
        <f>Tabela6[[#This Row],[KM Rodados ]]/Tabela6[[#This Row],[CONSUMO]]</f>
        <v>-1285.7592093441149</v>
      </c>
    </row>
    <row r="4326" spans="1:14" x14ac:dyDescent="0.25">
      <c r="A4326" s="47">
        <v>2092</v>
      </c>
      <c r="B4326" s="78">
        <v>45385</v>
      </c>
      <c r="C4326" s="47" t="s">
        <v>9</v>
      </c>
      <c r="D4326" s="49" t="s">
        <v>255</v>
      </c>
      <c r="E4326" s="47">
        <v>654706</v>
      </c>
      <c r="G4326" s="50" t="s">
        <v>89</v>
      </c>
      <c r="H4326" s="51">
        <v>118.53</v>
      </c>
      <c r="J4326" s="51">
        <v>6.16</v>
      </c>
      <c r="K4326" s="74">
        <f>Tabela6[[#This Row],[CONSUMO]]*Tabela6[[#This Row],[VALOR UNIT]]-Tabela6[[#This Row],[DESCONTO]]</f>
        <v>730.14480000000003</v>
      </c>
      <c r="L4326" s="53">
        <f>Tabela6[[#This Row],[CUSTO TOTAL]]/Tabela6[[#This Row],[CONSUMO]]</f>
        <v>6.16</v>
      </c>
      <c r="M4326" s="50">
        <f>Tabela6[[#This Row],[KM ATUAL]]-E4271</f>
        <v>533143</v>
      </c>
      <c r="N4326" s="51">
        <f>Tabela6[[#This Row],[KM Rodados ]]/Tabela6[[#This Row],[CONSUMO]]</f>
        <v>4497.95832278748</v>
      </c>
    </row>
    <row r="4327" spans="1:14" x14ac:dyDescent="0.25">
      <c r="A4327" s="47">
        <v>254254</v>
      </c>
      <c r="B4327" s="78">
        <v>45385</v>
      </c>
      <c r="C4327" s="47" t="s">
        <v>203</v>
      </c>
      <c r="D4327" s="49" t="s">
        <v>262</v>
      </c>
      <c r="E4327" s="47">
        <v>152664</v>
      </c>
      <c r="G4327" s="50" t="s">
        <v>244</v>
      </c>
      <c r="H4327" s="51">
        <v>46.55</v>
      </c>
      <c r="J4327" s="51">
        <v>5.69</v>
      </c>
      <c r="K4327" s="74">
        <f>Tabela6[[#This Row],[CONSUMO]]*Tabela6[[#This Row],[VALOR UNIT]]-Tabela6[[#This Row],[DESCONTO]]</f>
        <v>264.86950000000002</v>
      </c>
      <c r="L4327" s="53">
        <f>Tabela6[[#This Row],[CUSTO TOTAL]]/Tabela6[[#This Row],[CONSUMO]]</f>
        <v>5.69</v>
      </c>
      <c r="M4327" s="50">
        <f>Tabela6[[#This Row],[KM ATUAL]]-E4272</f>
        <v>130115</v>
      </c>
      <c r="N4327" s="51">
        <f>Tabela6[[#This Row],[KM Rodados ]]/Tabela6[[#This Row],[CONSUMO]]</f>
        <v>2795.1664876476907</v>
      </c>
    </row>
    <row r="4328" spans="1:14" x14ac:dyDescent="0.25">
      <c r="A4328" s="47">
        <v>254231</v>
      </c>
      <c r="B4328" s="78">
        <v>45385</v>
      </c>
      <c r="C4328" s="47" t="s">
        <v>14</v>
      </c>
      <c r="D4328" s="49" t="s">
        <v>262</v>
      </c>
      <c r="E4328" s="47">
        <v>326258</v>
      </c>
      <c r="G4328" s="50" t="s">
        <v>244</v>
      </c>
      <c r="H4328" s="51">
        <v>28.58</v>
      </c>
      <c r="J4328" s="51">
        <v>5.69</v>
      </c>
      <c r="K4328" s="74">
        <f>Tabela6[[#This Row],[CONSUMO]]*Tabela6[[#This Row],[VALOR UNIT]]-Tabela6[[#This Row],[DESCONTO]]</f>
        <v>162.62020000000001</v>
      </c>
      <c r="L4328" s="53">
        <f>Tabela6[[#This Row],[CUSTO TOTAL]]/Tabela6[[#This Row],[CONSUMO]]</f>
        <v>5.69</v>
      </c>
      <c r="M4328" s="50">
        <f>Tabela6[[#This Row],[KM ATUAL]]-E4273</f>
        <v>175559</v>
      </c>
      <c r="N4328" s="51">
        <f>Tabela6[[#This Row],[KM Rodados ]]/Tabela6[[#This Row],[CONSUMO]]</f>
        <v>6142.7221833449967</v>
      </c>
    </row>
    <row r="4329" spans="1:14" x14ac:dyDescent="0.25">
      <c r="A4329" s="47">
        <v>254263</v>
      </c>
      <c r="B4329" s="78">
        <v>45385</v>
      </c>
      <c r="C4329" s="47" t="s">
        <v>17</v>
      </c>
      <c r="D4329" s="49" t="s">
        <v>262</v>
      </c>
      <c r="E4329" s="47">
        <v>404745</v>
      </c>
      <c r="G4329" s="50" t="s">
        <v>241</v>
      </c>
      <c r="H4329" s="51">
        <v>26.196999999999999</v>
      </c>
      <c r="I4329" s="49">
        <v>9.43</v>
      </c>
      <c r="J4329" s="51">
        <v>3.69</v>
      </c>
      <c r="K4329" s="74">
        <f>Tabela6[[#This Row],[CONSUMO]]*Tabela6[[#This Row],[VALOR UNIT]]-Tabela6[[#This Row],[DESCONTO]]</f>
        <v>87.236930000000001</v>
      </c>
      <c r="L4329" s="53">
        <f>Tabela6[[#This Row],[CUSTO TOTAL]]/Tabela6[[#This Row],[CONSUMO]]</f>
        <v>3.3300351185250219</v>
      </c>
      <c r="M4329" s="50">
        <f>Tabela6[[#This Row],[KM ATUAL]]-E4274</f>
        <v>-43433</v>
      </c>
      <c r="N4329" s="51">
        <f>Tabela6[[#This Row],[KM Rodados ]]/Tabela6[[#This Row],[CONSUMO]]</f>
        <v>-1657.9379318242547</v>
      </c>
    </row>
    <row r="4330" spans="1:14" x14ac:dyDescent="0.25">
      <c r="A4330" s="47">
        <v>254306</v>
      </c>
      <c r="B4330" s="78">
        <v>45385</v>
      </c>
      <c r="C4330" s="47" t="s">
        <v>40</v>
      </c>
      <c r="D4330" s="49" t="s">
        <v>262</v>
      </c>
      <c r="E4330" s="47">
        <v>195761</v>
      </c>
      <c r="G4330" s="50" t="s">
        <v>244</v>
      </c>
      <c r="H4330" s="51">
        <v>44.91</v>
      </c>
      <c r="J4330" s="51">
        <v>5.69</v>
      </c>
      <c r="K4330" s="74">
        <f>Tabela6[[#This Row],[CONSUMO]]*Tabela6[[#This Row],[VALOR UNIT]]-Tabela6[[#This Row],[DESCONTO]]</f>
        <v>255.53790000000001</v>
      </c>
      <c r="L4330" s="53">
        <f>Tabela6[[#This Row],[CUSTO TOTAL]]/Tabela6[[#This Row],[CONSUMO]]</f>
        <v>5.69</v>
      </c>
      <c r="M4330" s="50">
        <f>Tabela6[[#This Row],[KM ATUAL]]-E4275</f>
        <v>-1459262</v>
      </c>
      <c r="N4330" s="51">
        <f>Tabela6[[#This Row],[KM Rodados ]]/Tabela6[[#This Row],[CONSUMO]]</f>
        <v>-32493.030505455357</v>
      </c>
    </row>
    <row r="4331" spans="1:14" x14ac:dyDescent="0.25">
      <c r="A4331" s="47">
        <v>877926</v>
      </c>
      <c r="B4331" s="78">
        <v>45385</v>
      </c>
      <c r="C4331" s="47" t="s">
        <v>401</v>
      </c>
      <c r="D4331" s="49" t="s">
        <v>264</v>
      </c>
      <c r="E4331" s="47">
        <v>267199</v>
      </c>
      <c r="G4331" s="50" t="s">
        <v>89</v>
      </c>
      <c r="H4331" s="51">
        <v>60.878999999999998</v>
      </c>
      <c r="J4331" s="51">
        <v>5.75</v>
      </c>
      <c r="K4331" s="74">
        <f>Tabela6[[#This Row],[CONSUMO]]*Tabela6[[#This Row],[VALOR UNIT]]-Tabela6[[#This Row],[DESCONTO]]</f>
        <v>350.05424999999997</v>
      </c>
      <c r="L4331" s="53">
        <f>Tabela6[[#This Row],[CUSTO TOTAL]]/Tabela6[[#This Row],[CONSUMO]]</f>
        <v>5.75</v>
      </c>
      <c r="M4331" s="50">
        <f>Tabela6[[#This Row],[KM ATUAL]]-E4276</f>
        <v>-67452</v>
      </c>
      <c r="N4331" s="51">
        <f>Tabela6[[#This Row],[KM Rodados ]]/Tabela6[[#This Row],[CONSUMO]]</f>
        <v>-1107.9682649189376</v>
      </c>
    </row>
    <row r="4332" spans="1:14" x14ac:dyDescent="0.25">
      <c r="A4332" s="47">
        <v>294069</v>
      </c>
      <c r="B4332" s="78">
        <v>45386</v>
      </c>
      <c r="C4332" s="47" t="s">
        <v>67</v>
      </c>
      <c r="D4332" s="49" t="s">
        <v>273</v>
      </c>
      <c r="E4332" s="47">
        <v>707110</v>
      </c>
      <c r="G4332" s="50" t="s">
        <v>89</v>
      </c>
      <c r="H4332" s="51">
        <v>130.85</v>
      </c>
      <c r="J4332" s="51">
        <v>5.65</v>
      </c>
      <c r="K4332" s="74">
        <f>Tabela6[[#This Row],[CONSUMO]]*Tabela6[[#This Row],[VALOR UNIT]]-Tabela6[[#This Row],[DESCONTO]]</f>
        <v>739.30250000000001</v>
      </c>
      <c r="L4332" s="53">
        <f>Tabela6[[#This Row],[CUSTO TOTAL]]/Tabela6[[#This Row],[CONSUMO]]</f>
        <v>5.65</v>
      </c>
      <c r="M4332" s="50">
        <f>Tabela6[[#This Row],[KM ATUAL]]-E4277</f>
        <v>382485</v>
      </c>
      <c r="N4332" s="51">
        <f>Tabela6[[#This Row],[KM Rodados ]]/Tabela6[[#This Row],[CONSUMO]]</f>
        <v>2923.0798624379063</v>
      </c>
    </row>
    <row r="4333" spans="1:14" x14ac:dyDescent="0.25">
      <c r="A4333" s="47">
        <v>254507</v>
      </c>
      <c r="B4333" s="78">
        <v>45386</v>
      </c>
      <c r="C4333" s="47" t="s">
        <v>203</v>
      </c>
      <c r="D4333" s="49" t="s">
        <v>262</v>
      </c>
      <c r="E4333" s="47">
        <v>153212</v>
      </c>
      <c r="G4333" s="50" t="s">
        <v>244</v>
      </c>
      <c r="H4333" s="51">
        <v>39.140999999999998</v>
      </c>
      <c r="J4333" s="51">
        <v>5.69</v>
      </c>
      <c r="K4333" s="74">
        <f>Tabela6[[#This Row],[CONSUMO]]*Tabela6[[#This Row],[VALOR UNIT]]-Tabela6[[#This Row],[DESCONTO]]</f>
        <v>222.71229</v>
      </c>
      <c r="L4333" s="53">
        <f>Tabela6[[#This Row],[CUSTO TOTAL]]/Tabela6[[#This Row],[CONSUMO]]</f>
        <v>5.69</v>
      </c>
      <c r="M4333" s="50">
        <f>Tabela6[[#This Row],[KM ATUAL]]-E4278</f>
        <v>-267479</v>
      </c>
      <c r="N4333" s="51">
        <f>Tabela6[[#This Row],[KM Rodados ]]/Tabela6[[#This Row],[CONSUMO]]</f>
        <v>-6833.729337523313</v>
      </c>
    </row>
    <row r="4334" spans="1:14" x14ac:dyDescent="0.25">
      <c r="A4334" s="47">
        <v>178737</v>
      </c>
      <c r="B4334" s="78">
        <v>45386</v>
      </c>
      <c r="C4334" s="47" t="s">
        <v>72</v>
      </c>
      <c r="D4334" s="49" t="s">
        <v>300</v>
      </c>
      <c r="G4334" s="50" t="s">
        <v>89</v>
      </c>
      <c r="H4334" s="51">
        <v>39.89</v>
      </c>
      <c r="J4334" s="51">
        <v>5.69</v>
      </c>
      <c r="K4334" s="74">
        <f>Tabela6[[#This Row],[CONSUMO]]*Tabela6[[#This Row],[VALOR UNIT]]-Tabela6[[#This Row],[DESCONTO]]</f>
        <v>226.97410000000002</v>
      </c>
      <c r="L4334" s="53">
        <f>Tabela6[[#This Row],[CUSTO TOTAL]]/Tabela6[[#This Row],[CONSUMO]]</f>
        <v>5.69</v>
      </c>
      <c r="M4334" s="50">
        <f>Tabela6[[#This Row],[KM ATUAL]]-E4279</f>
        <v>-313757</v>
      </c>
      <c r="N4334" s="51">
        <f>Tabela6[[#This Row],[KM Rodados ]]/Tabela6[[#This Row],[CONSUMO]]</f>
        <v>-7865.555277011782</v>
      </c>
    </row>
    <row r="4335" spans="1:14" x14ac:dyDescent="0.25">
      <c r="A4335" s="47">
        <v>207213</v>
      </c>
      <c r="B4335" s="78">
        <v>45386</v>
      </c>
      <c r="C4335" s="47" t="s">
        <v>72</v>
      </c>
      <c r="D4335" s="49" t="s">
        <v>263</v>
      </c>
      <c r="E4335" s="47">
        <v>450636</v>
      </c>
      <c r="G4335" s="50" t="s">
        <v>89</v>
      </c>
      <c r="H4335" s="51">
        <v>32.750999999999998</v>
      </c>
      <c r="I4335" s="49">
        <v>4.91</v>
      </c>
      <c r="J4335" s="51">
        <v>5.89</v>
      </c>
      <c r="K4335" s="74">
        <f>Tabela6[[#This Row],[CONSUMO]]*Tabela6[[#This Row],[VALOR UNIT]]-Tabela6[[#This Row],[DESCONTO]]</f>
        <v>187.99338999999998</v>
      </c>
      <c r="L4335" s="53">
        <f>Tabela6[[#This Row],[CUSTO TOTAL]]/Tabela6[[#This Row],[CONSUMO]]</f>
        <v>5.7400809135598907</v>
      </c>
      <c r="M4335" s="50">
        <f>Tabela6[[#This Row],[KM ATUAL]]-E4280</f>
        <v>-202648</v>
      </c>
      <c r="N4335" s="51">
        <f>Tabela6[[#This Row],[KM Rodados ]]/Tabela6[[#This Row],[CONSUMO]]</f>
        <v>-6187.5362584348577</v>
      </c>
    </row>
    <row r="4336" spans="1:14" x14ac:dyDescent="0.25">
      <c r="A4336" s="47">
        <v>199579</v>
      </c>
      <c r="B4336" s="78">
        <v>45386</v>
      </c>
      <c r="C4336" s="47" t="s">
        <v>10</v>
      </c>
      <c r="D4336" s="49" t="s">
        <v>253</v>
      </c>
      <c r="E4336" s="47">
        <v>199579</v>
      </c>
      <c r="G4336" s="50" t="s">
        <v>89</v>
      </c>
      <c r="H4336" s="51">
        <v>30</v>
      </c>
      <c r="J4336" s="51">
        <v>6.09</v>
      </c>
      <c r="K4336" s="74">
        <f>Tabela6[[#This Row],[CONSUMO]]*Tabela6[[#This Row],[VALOR UNIT]]-Tabela6[[#This Row],[DESCONTO]]</f>
        <v>182.7</v>
      </c>
      <c r="L4336" s="53">
        <f>Tabela6[[#This Row],[CUSTO TOTAL]]/Tabela6[[#This Row],[CONSUMO]]</f>
        <v>6.09</v>
      </c>
      <c r="M4336" s="50">
        <f>Tabela6[[#This Row],[KM ATUAL]]-E4281</f>
        <v>-505586</v>
      </c>
      <c r="N4336" s="51">
        <f>Tabela6[[#This Row],[KM Rodados ]]/Tabela6[[#This Row],[CONSUMO]]</f>
        <v>-16852.866666666665</v>
      </c>
    </row>
    <row r="4337" spans="1:14" x14ac:dyDescent="0.25">
      <c r="A4337" s="47">
        <v>388610</v>
      </c>
      <c r="B4337" s="78">
        <v>45386</v>
      </c>
      <c r="C4337" s="47" t="s">
        <v>14</v>
      </c>
      <c r="D4337" s="49" t="s">
        <v>276</v>
      </c>
      <c r="E4337" s="47">
        <v>326735</v>
      </c>
      <c r="G4337" s="50" t="s">
        <v>244</v>
      </c>
      <c r="H4337" s="51">
        <v>39.57</v>
      </c>
      <c r="J4337" s="51">
        <v>5.79</v>
      </c>
      <c r="K4337" s="74">
        <f>Tabela6[[#This Row],[CONSUMO]]*Tabela6[[#This Row],[VALOR UNIT]]-Tabela6[[#This Row],[DESCONTO]]</f>
        <v>229.1103</v>
      </c>
      <c r="L4337" s="53">
        <f>Tabela6[[#This Row],[CUSTO TOTAL]]/Tabela6[[#This Row],[CONSUMO]]</f>
        <v>5.79</v>
      </c>
      <c r="M4337" s="50">
        <f>Tabela6[[#This Row],[KM ATUAL]]-E4282</f>
        <v>73642</v>
      </c>
      <c r="N4337" s="51">
        <f>Tabela6[[#This Row],[KM Rodados ]]/Tabela6[[#This Row],[CONSUMO]]</f>
        <v>1861.0563558251201</v>
      </c>
    </row>
    <row r="4338" spans="1:14" x14ac:dyDescent="0.25">
      <c r="A4338" s="47">
        <v>762373</v>
      </c>
      <c r="B4338" s="78">
        <v>45386</v>
      </c>
      <c r="C4338" s="47" t="s">
        <v>40</v>
      </c>
      <c r="D4338" s="49" t="s">
        <v>271</v>
      </c>
      <c r="E4338" s="47">
        <v>196173</v>
      </c>
      <c r="G4338" s="50" t="s">
        <v>244</v>
      </c>
      <c r="H4338" s="51">
        <v>34.07</v>
      </c>
      <c r="J4338" s="51">
        <v>5.59</v>
      </c>
      <c r="K4338" s="74">
        <f>Tabela6[[#This Row],[CONSUMO]]*Tabela6[[#This Row],[VALOR UNIT]]-Tabela6[[#This Row],[DESCONTO]]</f>
        <v>190.4513</v>
      </c>
      <c r="L4338" s="53">
        <f>Tabela6[[#This Row],[CUSTO TOTAL]]/Tabela6[[#This Row],[CONSUMO]]</f>
        <v>5.59</v>
      </c>
      <c r="M4338" s="50">
        <f>Tabela6[[#This Row],[KM ATUAL]]-E4283</f>
        <v>-128925</v>
      </c>
      <c r="N4338" s="51">
        <f>Tabela6[[#This Row],[KM Rodados ]]/Tabela6[[#This Row],[CONSUMO]]</f>
        <v>-3784.1209275022015</v>
      </c>
    </row>
    <row r="4339" spans="1:14" x14ac:dyDescent="0.25">
      <c r="A4339" s="47">
        <v>199292</v>
      </c>
      <c r="B4339" s="78">
        <v>45386</v>
      </c>
      <c r="C4339" s="47" t="s">
        <v>315</v>
      </c>
      <c r="D4339" s="49" t="s">
        <v>253</v>
      </c>
      <c r="E4339" s="47">
        <v>23748</v>
      </c>
      <c r="G4339" s="50" t="s">
        <v>89</v>
      </c>
      <c r="H4339" s="51">
        <v>51.42</v>
      </c>
      <c r="J4339" s="51">
        <v>6.09</v>
      </c>
      <c r="K4339" s="74">
        <f>Tabela6[[#This Row],[CONSUMO]]*Tabela6[[#This Row],[VALOR UNIT]]-Tabela6[[#This Row],[DESCONTO]]</f>
        <v>313.14780000000002</v>
      </c>
      <c r="L4339" s="53">
        <f>Tabela6[[#This Row],[CUSTO TOTAL]]/Tabela6[[#This Row],[CONSUMO]]</f>
        <v>6.09</v>
      </c>
      <c r="M4339" s="50">
        <f>Tabela6[[#This Row],[KM ATUAL]]-E4284</f>
        <v>-320783</v>
      </c>
      <c r="N4339" s="51">
        <f>Tabela6[[#This Row],[KM Rodados ]]/Tabela6[[#This Row],[CONSUMO]]</f>
        <v>-6238.4869700505642</v>
      </c>
    </row>
    <row r="4340" spans="1:14" x14ac:dyDescent="0.25">
      <c r="A4340" s="47">
        <v>2050496</v>
      </c>
      <c r="B4340" s="78">
        <v>45386</v>
      </c>
      <c r="C4340" s="47" t="s">
        <v>446</v>
      </c>
      <c r="D4340" s="49" t="s">
        <v>412</v>
      </c>
      <c r="E4340" s="47">
        <v>3153</v>
      </c>
      <c r="G4340" s="50" t="s">
        <v>89</v>
      </c>
      <c r="H4340" s="51">
        <v>219.43</v>
      </c>
      <c r="J4340" s="51">
        <v>5.9</v>
      </c>
      <c r="K4340" s="74">
        <f>Tabela6[[#This Row],[CONSUMO]]*Tabela6[[#This Row],[VALOR UNIT]]-Tabela6[[#This Row],[DESCONTO]]</f>
        <v>1294.6370000000002</v>
      </c>
      <c r="L4340" s="53">
        <f>Tabela6[[#This Row],[CUSTO TOTAL]]/Tabela6[[#This Row],[CONSUMO]]</f>
        <v>5.9</v>
      </c>
      <c r="M4340" s="50" t="e">
        <f>Tabela6[[#This Row],[KM ATUAL]]-#REF!</f>
        <v>#REF!</v>
      </c>
      <c r="N4340" s="51" t="e">
        <f>Tabela6[[#This Row],[KM Rodados ]]/Tabela6[[#This Row],[CONSUMO]]</f>
        <v>#REF!</v>
      </c>
    </row>
    <row r="4341" spans="1:14" x14ac:dyDescent="0.25">
      <c r="A4341" s="47">
        <v>1508383</v>
      </c>
      <c r="B4341" s="78">
        <v>45386</v>
      </c>
      <c r="C4341" s="47" t="s">
        <v>446</v>
      </c>
      <c r="D4341" s="49" t="s">
        <v>252</v>
      </c>
      <c r="E4341" s="47">
        <v>2710</v>
      </c>
      <c r="G4341" s="50" t="s">
        <v>241</v>
      </c>
      <c r="H4341" s="51">
        <v>31.35</v>
      </c>
      <c r="J4341" s="51">
        <v>3.29</v>
      </c>
      <c r="K4341" s="74">
        <f>Tabela6[[#This Row],[CONSUMO]]*Tabela6[[#This Row],[VALOR UNIT]]-Tabela6[[#This Row],[DESCONTO]]</f>
        <v>103.14150000000001</v>
      </c>
      <c r="L4341" s="53">
        <f>Tabela6[[#This Row],[CUSTO TOTAL]]/Tabela6[[#This Row],[CONSUMO]]</f>
        <v>3.29</v>
      </c>
      <c r="M4341" s="50" t="e">
        <f>Tabela6[[#This Row],[KM ATUAL]]-#REF!</f>
        <v>#REF!</v>
      </c>
      <c r="N4341" s="51" t="e">
        <f>Tabela6[[#This Row],[KM Rodados ]]/Tabela6[[#This Row],[CONSUMO]]</f>
        <v>#REF!</v>
      </c>
    </row>
    <row r="4342" spans="1:14" x14ac:dyDescent="0.25">
      <c r="A4342" s="47">
        <v>207433</v>
      </c>
      <c r="B4342" s="78">
        <v>45387</v>
      </c>
      <c r="C4342" s="47" t="s">
        <v>42</v>
      </c>
      <c r="D4342" s="49" t="s">
        <v>263</v>
      </c>
      <c r="E4342" s="47">
        <v>390660</v>
      </c>
      <c r="G4342" s="50" t="s">
        <v>89</v>
      </c>
      <c r="H4342" s="51">
        <v>34.18</v>
      </c>
      <c r="I4342" s="49">
        <v>5.13</v>
      </c>
      <c r="J4342" s="51">
        <v>5.89</v>
      </c>
      <c r="K4342" s="74">
        <f>Tabela6[[#This Row],[CONSUMO]]*Tabela6[[#This Row],[VALOR UNIT]]-Tabela6[[#This Row],[DESCONTO]]</f>
        <v>196.1902</v>
      </c>
      <c r="L4342" s="53">
        <f>Tabela6[[#This Row],[CUSTO TOTAL]]/Tabela6[[#This Row],[CONSUMO]]</f>
        <v>5.7399122293739033</v>
      </c>
      <c r="M4342" s="50">
        <f>Tabela6[[#This Row],[KM ATUAL]]-E4287</f>
        <v>-31177</v>
      </c>
      <c r="N4342" s="51">
        <f>Tabela6[[#This Row],[KM Rodados ]]/Tabela6[[#This Row],[CONSUMO]]</f>
        <v>-912.14160327677007</v>
      </c>
    </row>
    <row r="4343" spans="1:14" x14ac:dyDescent="0.25">
      <c r="A4343" s="47">
        <v>388829</v>
      </c>
      <c r="B4343" s="78">
        <v>45387</v>
      </c>
      <c r="C4343" s="47" t="s">
        <v>203</v>
      </c>
      <c r="D4343" s="49" t="s">
        <v>276</v>
      </c>
      <c r="E4343" s="47">
        <v>153632</v>
      </c>
      <c r="G4343" s="50" t="s">
        <v>244</v>
      </c>
      <c r="H4343" s="51">
        <v>32.659999999999997</v>
      </c>
      <c r="J4343" s="51">
        <v>5.79</v>
      </c>
      <c r="K4343" s="74">
        <f>Tabela6[[#This Row],[CONSUMO]]*Tabela6[[#This Row],[VALOR UNIT]]-Tabela6[[#This Row],[DESCONTO]]</f>
        <v>189.10139999999998</v>
      </c>
      <c r="L4343" s="53">
        <f>Tabela6[[#This Row],[CUSTO TOTAL]]/Tabela6[[#This Row],[CONSUMO]]</f>
        <v>5.79</v>
      </c>
      <c r="M4343" s="50">
        <f>Tabela6[[#This Row],[KM ATUAL]]-E4288</f>
        <v>-268021</v>
      </c>
      <c r="N4343" s="51">
        <f>Tabela6[[#This Row],[KM Rodados ]]/Tabela6[[#This Row],[CONSUMO]]</f>
        <v>-8206.3992651561548</v>
      </c>
    </row>
    <row r="4344" spans="1:14" x14ac:dyDescent="0.25">
      <c r="A4344" s="47">
        <v>2583</v>
      </c>
      <c r="B4344" s="78">
        <v>45387</v>
      </c>
      <c r="C4344" s="47" t="s">
        <v>16</v>
      </c>
      <c r="D4344" s="49" t="s">
        <v>255</v>
      </c>
      <c r="E4344" s="47">
        <v>319715</v>
      </c>
      <c r="G4344" s="50" t="s">
        <v>89</v>
      </c>
      <c r="H4344" s="51">
        <v>100.61</v>
      </c>
      <c r="J4344" s="51">
        <v>6.16</v>
      </c>
      <c r="K4344" s="74">
        <f>Tabela6[[#This Row],[CONSUMO]]*Tabela6[[#This Row],[VALOR UNIT]]-Tabela6[[#This Row],[DESCONTO]]</f>
        <v>619.75760000000002</v>
      </c>
      <c r="L4344" s="53">
        <f>Tabela6[[#This Row],[CUSTO TOTAL]]/Tabela6[[#This Row],[CONSUMO]]</f>
        <v>6.16</v>
      </c>
      <c r="M4344" s="50">
        <f>Tabela6[[#This Row],[KM ATUAL]]-E4289</f>
        <v>125310</v>
      </c>
      <c r="N4344" s="51">
        <f>Tabela6[[#This Row],[KM Rodados ]]/Tabela6[[#This Row],[CONSUMO]]</f>
        <v>1245.5024351456118</v>
      </c>
    </row>
    <row r="4345" spans="1:14" x14ac:dyDescent="0.25">
      <c r="A4345" s="47">
        <v>386476</v>
      </c>
      <c r="B4345" s="78">
        <v>45388</v>
      </c>
      <c r="C4345" s="47" t="s">
        <v>14</v>
      </c>
      <c r="D4345" s="49" t="s">
        <v>268</v>
      </c>
      <c r="G4345" s="50" t="s">
        <v>244</v>
      </c>
      <c r="H4345" s="51">
        <v>45.73</v>
      </c>
      <c r="J4345" s="51">
        <v>5.59</v>
      </c>
      <c r="K4345" s="74">
        <f>Tabela6[[#This Row],[CONSUMO]]*Tabela6[[#This Row],[VALOR UNIT]]-Tabela6[[#This Row],[DESCONTO]]</f>
        <v>255.63069999999996</v>
      </c>
      <c r="L4345" s="53">
        <f>Tabela6[[#This Row],[CUSTO TOTAL]]/Tabela6[[#This Row],[CONSUMO]]</f>
        <v>5.59</v>
      </c>
      <c r="M4345" s="50">
        <f>Tabela6[[#This Row],[KM ATUAL]]-E4290</f>
        <v>-6182</v>
      </c>
      <c r="N4345" s="51">
        <f>Tabela6[[#This Row],[KM Rodados ]]/Tabela6[[#This Row],[CONSUMO]]</f>
        <v>-135.18478023179534</v>
      </c>
    </row>
    <row r="4346" spans="1:14" x14ac:dyDescent="0.25">
      <c r="A4346" s="47">
        <v>1075322</v>
      </c>
      <c r="B4346" s="78">
        <v>45388</v>
      </c>
      <c r="C4346" s="47" t="s">
        <v>446</v>
      </c>
      <c r="D4346" s="49" t="s">
        <v>448</v>
      </c>
      <c r="E4346" s="47">
        <v>4185</v>
      </c>
      <c r="G4346" s="50" t="s">
        <v>89</v>
      </c>
      <c r="H4346" s="51">
        <v>150.01900000000001</v>
      </c>
      <c r="J4346" s="51">
        <v>6.5</v>
      </c>
      <c r="K4346" s="74">
        <f>Tabela6[[#This Row],[CONSUMO]]*Tabela6[[#This Row],[VALOR UNIT]]-Tabela6[[#This Row],[DESCONTO]]</f>
        <v>975.12350000000004</v>
      </c>
      <c r="L4346" s="53">
        <f>Tabela6[[#This Row],[CUSTO TOTAL]]/Tabela6[[#This Row],[CONSUMO]]</f>
        <v>6.5</v>
      </c>
      <c r="M4346" s="50" t="e">
        <f>Tabela6[[#This Row],[KM ATUAL]]-#REF!</f>
        <v>#REF!</v>
      </c>
      <c r="N4346" s="51" t="e">
        <f>Tabela6[[#This Row],[KM Rodados ]]/Tabela6[[#This Row],[CONSUMO]]</f>
        <v>#REF!</v>
      </c>
    </row>
    <row r="4347" spans="1:14" x14ac:dyDescent="0.25">
      <c r="A4347" s="47">
        <v>398902</v>
      </c>
      <c r="B4347" s="78">
        <v>45389</v>
      </c>
      <c r="C4347" s="47" t="s">
        <v>358</v>
      </c>
      <c r="D4347" s="49" t="s">
        <v>361</v>
      </c>
      <c r="E4347" s="47">
        <v>836985</v>
      </c>
      <c r="G4347" s="50" t="s">
        <v>89</v>
      </c>
      <c r="H4347" s="51">
        <v>415</v>
      </c>
      <c r="J4347" s="51">
        <v>5.69</v>
      </c>
      <c r="K4347" s="74">
        <f>Tabela6[[#This Row],[CONSUMO]]*Tabela6[[#This Row],[VALOR UNIT]]-Tabela6[[#This Row],[DESCONTO]]</f>
        <v>2361.3500000000004</v>
      </c>
      <c r="L4347" s="53">
        <f>Tabela6[[#This Row],[CUSTO TOTAL]]/Tabela6[[#This Row],[CONSUMO]]</f>
        <v>5.6900000000000013</v>
      </c>
      <c r="M4347" s="50" t="e">
        <f>Tabela6[[#This Row],[KM ATUAL]]-#REF!</f>
        <v>#REF!</v>
      </c>
      <c r="N4347" s="51" t="e">
        <f>Tabela6[[#This Row],[KM Rodados ]]/Tabela6[[#This Row],[CONSUMO]]</f>
        <v>#REF!</v>
      </c>
    </row>
    <row r="4348" spans="1:14" x14ac:dyDescent="0.25">
      <c r="A4348" s="47">
        <v>923746</v>
      </c>
      <c r="B4348" s="78">
        <v>45390</v>
      </c>
      <c r="C4348" s="47" t="s">
        <v>358</v>
      </c>
      <c r="D4348" s="49" t="s">
        <v>376</v>
      </c>
      <c r="E4348" s="47">
        <v>838105</v>
      </c>
      <c r="G4348" s="50" t="s">
        <v>89</v>
      </c>
      <c r="H4348" s="51">
        <v>526</v>
      </c>
      <c r="J4348" s="51">
        <v>7.27</v>
      </c>
      <c r="K4348" s="74">
        <f>Tabela6[[#This Row],[CONSUMO]]*Tabela6[[#This Row],[VALOR UNIT]]-Tabela6[[#This Row],[DESCONTO]]</f>
        <v>3824.02</v>
      </c>
      <c r="L4348" s="53">
        <f>Tabela6[[#This Row],[CUSTO TOTAL]]/Tabela6[[#This Row],[CONSUMO]]</f>
        <v>7.27</v>
      </c>
      <c r="M4348" s="50" t="e">
        <f>Tabela6[[#This Row],[KM ATUAL]]-#REF!</f>
        <v>#REF!</v>
      </c>
      <c r="N4348" s="51" t="e">
        <f>Tabela6[[#This Row],[KM Rodados ]]/Tabela6[[#This Row],[CONSUMO]]</f>
        <v>#REF!</v>
      </c>
    </row>
    <row r="4349" spans="1:14" x14ac:dyDescent="0.25">
      <c r="A4349" s="47">
        <v>356319</v>
      </c>
      <c r="B4349" s="78">
        <v>45390</v>
      </c>
      <c r="C4349" s="47" t="s">
        <v>222</v>
      </c>
      <c r="D4349" s="49" t="s">
        <v>270</v>
      </c>
      <c r="E4349" s="47">
        <v>567932</v>
      </c>
      <c r="G4349" s="50" t="s">
        <v>89</v>
      </c>
      <c r="H4349" s="51">
        <v>530</v>
      </c>
      <c r="J4349" s="51">
        <v>5.65</v>
      </c>
      <c r="K4349" s="74">
        <f>Tabela6[[#This Row],[CONSUMO]]*Tabela6[[#This Row],[VALOR UNIT]]-Tabela6[[#This Row],[DESCONTO]]</f>
        <v>2994.5</v>
      </c>
      <c r="L4349" s="53">
        <f>Tabela6[[#This Row],[CUSTO TOTAL]]/Tabela6[[#This Row],[CONSUMO]]</f>
        <v>5.65</v>
      </c>
      <c r="M4349" s="50">
        <f>Tabela6[[#This Row],[KM ATUAL]]-E4294</f>
        <v>119194</v>
      </c>
      <c r="N4349" s="51">
        <f>Tabela6[[#This Row],[KM Rodados ]]/Tabela6[[#This Row],[CONSUMO]]</f>
        <v>224.8943396226415</v>
      </c>
    </row>
    <row r="4350" spans="1:14" x14ac:dyDescent="0.25">
      <c r="A4350" s="47">
        <v>294785</v>
      </c>
      <c r="B4350" s="78">
        <v>45390</v>
      </c>
      <c r="C4350" s="47" t="s">
        <v>67</v>
      </c>
      <c r="D4350" s="49" t="s">
        <v>273</v>
      </c>
      <c r="E4350" s="47">
        <v>707555</v>
      </c>
      <c r="G4350" s="50" t="s">
        <v>89</v>
      </c>
      <c r="H4350" s="51">
        <v>116.211</v>
      </c>
      <c r="J4350" s="51">
        <v>5.65</v>
      </c>
      <c r="K4350" s="74">
        <f>Tabela6[[#This Row],[CONSUMO]]*Tabela6[[#This Row],[VALOR UNIT]]-Tabela6[[#This Row],[DESCONTO]]</f>
        <v>656.59215000000006</v>
      </c>
      <c r="L4350" s="53">
        <f>Tabela6[[#This Row],[CUSTO TOTAL]]/Tabela6[[#This Row],[CONSUMO]]</f>
        <v>5.65</v>
      </c>
      <c r="M4350" s="50">
        <f>Tabela6[[#This Row],[KM ATUAL]]-E4295</f>
        <v>294145</v>
      </c>
      <c r="N4350" s="51">
        <f>Tabela6[[#This Row],[KM Rodados ]]/Tabela6[[#This Row],[CONSUMO]]</f>
        <v>2531.1287227543003</v>
      </c>
    </row>
    <row r="4351" spans="1:14" x14ac:dyDescent="0.25">
      <c r="A4351" s="47">
        <v>255295</v>
      </c>
      <c r="B4351" s="78">
        <v>45390</v>
      </c>
      <c r="C4351" s="47" t="s">
        <v>72</v>
      </c>
      <c r="D4351" s="49" t="s">
        <v>262</v>
      </c>
      <c r="E4351" s="47">
        <v>451212</v>
      </c>
      <c r="G4351" s="50" t="s">
        <v>89</v>
      </c>
      <c r="H4351" s="51">
        <v>26.69</v>
      </c>
      <c r="J4351" s="51">
        <v>6.09</v>
      </c>
      <c r="K4351" s="74">
        <f>Tabela6[[#This Row],[CONSUMO]]*Tabela6[[#This Row],[VALOR UNIT]]-Tabela6[[#This Row],[DESCONTO]]</f>
        <v>162.5421</v>
      </c>
      <c r="L4351" s="53">
        <f>Tabela6[[#This Row],[CUSTO TOTAL]]/Tabela6[[#This Row],[CONSUMO]]</f>
        <v>6.09</v>
      </c>
      <c r="M4351" s="50">
        <f>Tabela6[[#This Row],[KM ATUAL]]-E4296</f>
        <v>98194</v>
      </c>
      <c r="N4351" s="51">
        <f>Tabela6[[#This Row],[KM Rodados ]]/Tabela6[[#This Row],[CONSUMO]]</f>
        <v>3679.0558261521169</v>
      </c>
    </row>
    <row r="4352" spans="1:14" x14ac:dyDescent="0.25">
      <c r="A4352" s="47">
        <v>202689</v>
      </c>
      <c r="B4352" s="78">
        <v>45390</v>
      </c>
      <c r="C4352" s="47" t="s">
        <v>11</v>
      </c>
      <c r="D4352" s="49" t="s">
        <v>253</v>
      </c>
      <c r="E4352" s="47">
        <v>414126</v>
      </c>
      <c r="G4352" s="50" t="s">
        <v>89</v>
      </c>
      <c r="H4352" s="51">
        <v>6.09</v>
      </c>
      <c r="J4352" s="51">
        <v>118.83</v>
      </c>
      <c r="K4352" s="74">
        <f>Tabela6[[#This Row],[CONSUMO]]*Tabela6[[#This Row],[VALOR UNIT]]-Tabela6[[#This Row],[DESCONTO]]</f>
        <v>723.67469999999992</v>
      </c>
      <c r="L4352" s="53">
        <f>Tabela6[[#This Row],[CUSTO TOTAL]]/Tabela6[[#This Row],[CONSUMO]]</f>
        <v>118.82999999999998</v>
      </c>
      <c r="M4352" s="50">
        <f>Tabela6[[#This Row],[KM ATUAL]]-E4297</f>
        <v>219180</v>
      </c>
      <c r="N4352" s="51">
        <f>Tabela6[[#This Row],[KM Rodados ]]/Tabela6[[#This Row],[CONSUMO]]</f>
        <v>35990.147783251232</v>
      </c>
    </row>
    <row r="4353" spans="1:14" x14ac:dyDescent="0.25">
      <c r="A4353" s="47">
        <v>3406</v>
      </c>
      <c r="B4353" s="78">
        <v>45390</v>
      </c>
      <c r="C4353" s="47" t="s">
        <v>18</v>
      </c>
      <c r="D4353" s="49" t="s">
        <v>255</v>
      </c>
      <c r="E4353" s="47">
        <v>354406</v>
      </c>
      <c r="G4353" s="50" t="s">
        <v>89</v>
      </c>
      <c r="H4353" s="51">
        <v>52.72</v>
      </c>
      <c r="J4353" s="51">
        <v>5.69</v>
      </c>
      <c r="K4353" s="74">
        <f>Tabela6[[#This Row],[CONSUMO]]*Tabela6[[#This Row],[VALOR UNIT]]-Tabela6[[#This Row],[DESCONTO]]</f>
        <v>299.97680000000003</v>
      </c>
      <c r="L4353" s="53">
        <f>Tabela6[[#This Row],[CUSTO TOTAL]]/Tabela6[[#This Row],[CONSUMO]]</f>
        <v>5.69</v>
      </c>
      <c r="M4353" s="50">
        <f>Tabela6[[#This Row],[KM ATUAL]]-E4298</f>
        <v>319791</v>
      </c>
      <c r="N4353" s="51">
        <f>Tabela6[[#This Row],[KM Rodados ]]/Tabela6[[#This Row],[CONSUMO]]</f>
        <v>6065.838391502276</v>
      </c>
    </row>
    <row r="4354" spans="1:14" x14ac:dyDescent="0.25">
      <c r="A4354" s="47">
        <v>3384</v>
      </c>
      <c r="B4354" s="78">
        <v>45390</v>
      </c>
      <c r="C4354" s="47" t="s">
        <v>38</v>
      </c>
      <c r="D4354" s="49" t="s">
        <v>255</v>
      </c>
      <c r="E4354" s="47">
        <v>146048</v>
      </c>
      <c r="G4354" s="50" t="s">
        <v>244</v>
      </c>
      <c r="H4354" s="51">
        <v>5.95</v>
      </c>
      <c r="J4354" s="51">
        <v>46.460999999999999</v>
      </c>
      <c r="K4354" s="74">
        <f>Tabela6[[#This Row],[CONSUMO]]*Tabela6[[#This Row],[VALOR UNIT]]-Tabela6[[#This Row],[DESCONTO]]</f>
        <v>276.44295</v>
      </c>
      <c r="L4354" s="53">
        <f>Tabela6[[#This Row],[CUSTO TOTAL]]/Tabela6[[#This Row],[CONSUMO]]</f>
        <v>46.460999999999999</v>
      </c>
      <c r="M4354" s="50">
        <f>Tabela6[[#This Row],[KM ATUAL]]-E4299</f>
        <v>-119644</v>
      </c>
      <c r="N4354" s="51">
        <f>Tabela6[[#This Row],[KM Rodados ]]/Tabela6[[#This Row],[CONSUMO]]</f>
        <v>-20108.235294117647</v>
      </c>
    </row>
    <row r="4355" spans="1:14" x14ac:dyDescent="0.25">
      <c r="A4355" s="47">
        <v>166790</v>
      </c>
      <c r="B4355" s="78">
        <v>45390</v>
      </c>
      <c r="C4355" s="47" t="s">
        <v>40</v>
      </c>
      <c r="D4355" s="49" t="s">
        <v>262</v>
      </c>
      <c r="E4355" s="47">
        <v>196737</v>
      </c>
      <c r="G4355" s="50" t="s">
        <v>244</v>
      </c>
      <c r="H4355" s="51">
        <v>48.359000000000002</v>
      </c>
      <c r="J4355" s="51">
        <v>5.79</v>
      </c>
      <c r="K4355" s="74">
        <f>Tabela6[[#This Row],[CONSUMO]]*Tabela6[[#This Row],[VALOR UNIT]]-Tabela6[[#This Row],[DESCONTO]]</f>
        <v>279.99860999999999</v>
      </c>
      <c r="L4355" s="53">
        <f>Tabela6[[#This Row],[CUSTO TOTAL]]/Tabela6[[#This Row],[CONSUMO]]</f>
        <v>5.7899999999999991</v>
      </c>
      <c r="M4355" s="50">
        <f>Tabela6[[#This Row],[KM ATUAL]]-E4300</f>
        <v>44718</v>
      </c>
      <c r="N4355" s="51">
        <f>Tabela6[[#This Row],[KM Rodados ]]/Tabela6[[#This Row],[CONSUMO]]</f>
        <v>924.70894766227582</v>
      </c>
    </row>
    <row r="4356" spans="1:14" x14ac:dyDescent="0.25">
      <c r="A4356" s="47">
        <v>202620</v>
      </c>
      <c r="B4356" s="78">
        <v>45390</v>
      </c>
      <c r="C4356" s="47" t="s">
        <v>315</v>
      </c>
      <c r="D4356" s="49" t="s">
        <v>253</v>
      </c>
      <c r="E4356" s="47">
        <v>24368</v>
      </c>
      <c r="G4356" s="50" t="s">
        <v>89</v>
      </c>
      <c r="H4356" s="51">
        <v>6.09</v>
      </c>
      <c r="J4356" s="51">
        <v>60.32</v>
      </c>
      <c r="K4356" s="74">
        <f>Tabela6[[#This Row],[CONSUMO]]*Tabela6[[#This Row],[VALOR UNIT]]-Tabela6[[#This Row],[DESCONTO]]</f>
        <v>367.34879999999998</v>
      </c>
      <c r="L4356" s="53">
        <f>Tabela6[[#This Row],[CUSTO TOTAL]]/Tabela6[[#This Row],[CONSUMO]]</f>
        <v>60.32</v>
      </c>
      <c r="M4356" s="50">
        <f>Tabela6[[#This Row],[KM ATUAL]]-E4301</f>
        <v>-170796</v>
      </c>
      <c r="N4356" s="51">
        <f>Tabela6[[#This Row],[KM Rodados ]]/Tabela6[[#This Row],[CONSUMO]]</f>
        <v>-28045.320197044337</v>
      </c>
    </row>
    <row r="4357" spans="1:14" x14ac:dyDescent="0.25">
      <c r="A4357" s="47">
        <v>294785</v>
      </c>
      <c r="B4357" s="78">
        <v>45390</v>
      </c>
      <c r="C4357" s="47" t="s">
        <v>426</v>
      </c>
      <c r="D4357" s="49" t="s">
        <v>300</v>
      </c>
      <c r="E4357" s="47">
        <v>10461</v>
      </c>
      <c r="G4357" s="50" t="s">
        <v>89</v>
      </c>
      <c r="H4357" s="51">
        <v>8.7889999999999997</v>
      </c>
      <c r="J4357" s="51">
        <v>5.69</v>
      </c>
      <c r="K4357" s="74">
        <f>Tabela6[[#This Row],[CONSUMO]]*Tabela6[[#This Row],[VALOR UNIT]]-Tabela6[[#This Row],[DESCONTO]]</f>
        <v>50.009410000000003</v>
      </c>
      <c r="L4357" s="53">
        <f>Tabela6[[#This Row],[CUSTO TOTAL]]/Tabela6[[#This Row],[CONSUMO]]</f>
        <v>5.69</v>
      </c>
      <c r="M4357" s="50">
        <f>Tabela6[[#This Row],[KM ATUAL]]-E4302</f>
        <v>-12621</v>
      </c>
      <c r="N4357" s="51">
        <f>Tabela6[[#This Row],[KM Rodados ]]/Tabela6[[#This Row],[CONSUMO]]</f>
        <v>-1435.9995448856525</v>
      </c>
    </row>
    <row r="4358" spans="1:14" x14ac:dyDescent="0.25">
      <c r="A4358" s="47">
        <v>3849</v>
      </c>
      <c r="B4358" s="78">
        <v>45391</v>
      </c>
      <c r="C4358" s="47" t="s">
        <v>9</v>
      </c>
      <c r="D4358" s="49" t="s">
        <v>255</v>
      </c>
      <c r="E4358" s="47">
        <v>657585</v>
      </c>
      <c r="G4358" s="50" t="s">
        <v>89</v>
      </c>
      <c r="H4358" s="51">
        <v>143.72</v>
      </c>
      <c r="J4358" s="51">
        <v>5.89</v>
      </c>
      <c r="K4358" s="74">
        <f>Tabela6[[#This Row],[CONSUMO]]*Tabela6[[#This Row],[VALOR UNIT]]-Tabela6[[#This Row],[DESCONTO]]</f>
        <v>846.5107999999999</v>
      </c>
      <c r="L4358" s="53">
        <f>Tabela6[[#This Row],[CUSTO TOTAL]]/Tabela6[[#This Row],[CONSUMO]]</f>
        <v>5.89</v>
      </c>
      <c r="M4358" s="50">
        <f>Tabela6[[#This Row],[KM ATUAL]]-E4303</f>
        <v>634503</v>
      </c>
      <c r="N4358" s="51">
        <f>Tabela6[[#This Row],[KM Rodados ]]/Tabela6[[#This Row],[CONSUMO]]</f>
        <v>4414.855274144169</v>
      </c>
    </row>
    <row r="4359" spans="1:14" x14ac:dyDescent="0.25">
      <c r="A4359" s="47">
        <v>166932</v>
      </c>
      <c r="B4359" s="78">
        <v>45391</v>
      </c>
      <c r="C4359" s="47" t="s">
        <v>203</v>
      </c>
      <c r="D4359" s="49" t="s">
        <v>260</v>
      </c>
      <c r="E4359" s="47">
        <v>154128</v>
      </c>
      <c r="G4359" s="50" t="s">
        <v>244</v>
      </c>
      <c r="H4359" s="51">
        <v>38.770000000000003</v>
      </c>
      <c r="J4359" s="51">
        <v>5.79</v>
      </c>
      <c r="K4359" s="74">
        <f>Tabela6[[#This Row],[CONSUMO]]*Tabela6[[#This Row],[VALOR UNIT]]-Tabela6[[#This Row],[DESCONTO]]</f>
        <v>224.47830000000002</v>
      </c>
      <c r="L4359" s="53">
        <f>Tabela6[[#This Row],[CUSTO TOTAL]]/Tabela6[[#This Row],[CONSUMO]]</f>
        <v>5.79</v>
      </c>
      <c r="M4359" s="50">
        <f>Tabela6[[#This Row],[KM ATUAL]]-E4304</f>
        <v>-12101</v>
      </c>
      <c r="N4359" s="51">
        <f>Tabela6[[#This Row],[KM Rodados ]]/Tabela6[[#This Row],[CONSUMO]]</f>
        <v>-312.12277534175905</v>
      </c>
    </row>
    <row r="4360" spans="1:14" x14ac:dyDescent="0.25">
      <c r="A4360" s="47">
        <v>255459</v>
      </c>
      <c r="B4360" s="78">
        <v>45391</v>
      </c>
      <c r="C4360" s="47" t="s">
        <v>14</v>
      </c>
      <c r="D4360" s="49" t="s">
        <v>262</v>
      </c>
      <c r="E4360" s="47">
        <v>327680</v>
      </c>
      <c r="G4360" s="50" t="s">
        <v>244</v>
      </c>
      <c r="H4360" s="51">
        <v>32.130000000000003</v>
      </c>
      <c r="J4360" s="51">
        <v>5.69</v>
      </c>
      <c r="K4360" s="74">
        <f>Tabela6[[#This Row],[CONSUMO]]*Tabela6[[#This Row],[VALOR UNIT]]-Tabela6[[#This Row],[DESCONTO]]</f>
        <v>182.81970000000004</v>
      </c>
      <c r="L4360" s="53">
        <f>Tabela6[[#This Row],[CUSTO TOTAL]]/Tabela6[[#This Row],[CONSUMO]]</f>
        <v>5.69</v>
      </c>
      <c r="M4360" s="50" t="e">
        <f>Tabela6[[#This Row],[KM ATUAL]]-E4305</f>
        <v>#VALUE!</v>
      </c>
      <c r="N4360" s="51" t="e">
        <f>Tabela6[[#This Row],[KM Rodados ]]/Tabela6[[#This Row],[CONSUMO]]</f>
        <v>#VALUE!</v>
      </c>
    </row>
    <row r="4361" spans="1:14" x14ac:dyDescent="0.25">
      <c r="A4361" s="47">
        <v>356810</v>
      </c>
      <c r="B4361" s="78">
        <v>45391</v>
      </c>
      <c r="C4361" s="47" t="s">
        <v>40</v>
      </c>
      <c r="D4361" s="49" t="s">
        <v>270</v>
      </c>
      <c r="G4361" s="50" t="s">
        <v>244</v>
      </c>
      <c r="H4361" s="51">
        <v>48.86</v>
      </c>
      <c r="J4361" s="51">
        <v>5.49</v>
      </c>
      <c r="K4361" s="74">
        <f>Tabela6[[#This Row],[CONSUMO]]*Tabela6[[#This Row],[VALOR UNIT]]-Tabela6[[#This Row],[DESCONTO]]</f>
        <v>268.2414</v>
      </c>
      <c r="L4361" s="53">
        <f>Tabela6[[#This Row],[CUSTO TOTAL]]/Tabela6[[#This Row],[CONSUMO]]</f>
        <v>5.49</v>
      </c>
      <c r="M4361" s="50">
        <f>Tabela6[[#This Row],[KM ATUAL]]-E4306</f>
        <v>-1111577</v>
      </c>
      <c r="N4361" s="51">
        <f>Tabela6[[#This Row],[KM Rodados ]]/Tabela6[[#This Row],[CONSUMO]]</f>
        <v>-22750.245599672533</v>
      </c>
    </row>
    <row r="4362" spans="1:14" x14ac:dyDescent="0.25">
      <c r="A4362" s="47">
        <v>255412</v>
      </c>
      <c r="B4362" s="78">
        <v>45391</v>
      </c>
      <c r="C4362" s="47" t="s">
        <v>426</v>
      </c>
      <c r="D4362" s="49" t="s">
        <v>262</v>
      </c>
      <c r="G4362" s="50" t="s">
        <v>241</v>
      </c>
      <c r="H4362" s="51">
        <v>15.513</v>
      </c>
      <c r="I4362" s="49">
        <v>5.58</v>
      </c>
      <c r="J4362" s="51">
        <v>3.69</v>
      </c>
      <c r="K4362" s="74">
        <f>Tabela6[[#This Row],[CONSUMO]]*Tabela6[[#This Row],[VALOR UNIT]]-Tabela6[[#This Row],[DESCONTO]]</f>
        <v>51.662970000000001</v>
      </c>
      <c r="L4362" s="53">
        <f>Tabela6[[#This Row],[CUSTO TOTAL]]/Tabela6[[#This Row],[CONSUMO]]</f>
        <v>3.3303016824598726</v>
      </c>
      <c r="M4362" s="50">
        <f>Tabela6[[#This Row],[KM ATUAL]]-E4307</f>
        <v>-654114</v>
      </c>
      <c r="N4362" s="51">
        <f>Tabela6[[#This Row],[KM Rodados ]]/Tabela6[[#This Row],[CONSUMO]]</f>
        <v>-42165.538580545348</v>
      </c>
    </row>
    <row r="4363" spans="1:14" x14ac:dyDescent="0.25">
      <c r="A4363" s="47">
        <v>389709</v>
      </c>
      <c r="B4363" s="78">
        <v>45391</v>
      </c>
      <c r="C4363" s="47" t="s">
        <v>446</v>
      </c>
      <c r="D4363" s="49" t="s">
        <v>276</v>
      </c>
      <c r="E4363" s="47">
        <v>389709</v>
      </c>
      <c r="G4363" s="50" t="s">
        <v>241</v>
      </c>
      <c r="H4363" s="51">
        <v>31.140999999999998</v>
      </c>
      <c r="J4363" s="51">
        <v>3.69</v>
      </c>
      <c r="K4363" s="74">
        <f>Tabela6[[#This Row],[CONSUMO]]*Tabela6[[#This Row],[VALOR UNIT]]-Tabela6[[#This Row],[DESCONTO]]</f>
        <v>114.91028999999999</v>
      </c>
      <c r="L4363" s="53">
        <f>Tabela6[[#This Row],[CUSTO TOTAL]]/Tabela6[[#This Row],[CONSUMO]]</f>
        <v>3.69</v>
      </c>
      <c r="M4363" s="50" t="e">
        <f>Tabela6[[#This Row],[KM ATUAL]]-#REF!</f>
        <v>#REF!</v>
      </c>
      <c r="N4363" s="51" t="e">
        <f>Tabela6[[#This Row],[KM Rodados ]]/Tabela6[[#This Row],[CONSUMO]]</f>
        <v>#REF!</v>
      </c>
    </row>
    <row r="4364" spans="1:14" x14ac:dyDescent="0.25">
      <c r="A4364" s="47">
        <v>295220</v>
      </c>
      <c r="B4364" s="78">
        <v>45392</v>
      </c>
      <c r="C4364" s="47" t="s">
        <v>67</v>
      </c>
      <c r="D4364" s="49" t="s">
        <v>273</v>
      </c>
      <c r="E4364" s="47">
        <v>708110</v>
      </c>
      <c r="G4364" s="50" t="s">
        <v>89</v>
      </c>
      <c r="H4364" s="51">
        <v>144.9</v>
      </c>
      <c r="J4364" s="51">
        <v>5.65</v>
      </c>
      <c r="K4364" s="74">
        <f>Tabela6[[#This Row],[CONSUMO]]*Tabela6[[#This Row],[VALOR UNIT]]-Tabela6[[#This Row],[DESCONTO]]</f>
        <v>818.68500000000006</v>
      </c>
      <c r="L4364" s="53">
        <f>Tabela6[[#This Row],[CUSTO TOTAL]]/Tabela6[[#This Row],[CONSUMO]]</f>
        <v>5.65</v>
      </c>
      <c r="M4364" s="50">
        <f>Tabela6[[#This Row],[KM ATUAL]]-E4309</f>
        <v>318654</v>
      </c>
      <c r="N4364" s="51">
        <f>Tabela6[[#This Row],[KM Rodados ]]/Tabela6[[#This Row],[CONSUMO]]</f>
        <v>2199.1304347826085</v>
      </c>
    </row>
    <row r="4365" spans="1:14" x14ac:dyDescent="0.25">
      <c r="A4365" s="47">
        <v>255771</v>
      </c>
      <c r="B4365" s="78">
        <v>45392</v>
      </c>
      <c r="C4365" s="47" t="s">
        <v>203</v>
      </c>
      <c r="D4365" s="49" t="s">
        <v>262</v>
      </c>
      <c r="E4365" s="47">
        <v>154548</v>
      </c>
      <c r="G4365" s="50" t="s">
        <v>244</v>
      </c>
      <c r="H4365" s="51">
        <v>34.790999999999997</v>
      </c>
      <c r="J4365" s="51">
        <v>5.69</v>
      </c>
      <c r="K4365" s="74">
        <f>Tabela6[[#This Row],[CONSUMO]]*Tabela6[[#This Row],[VALOR UNIT]]-Tabela6[[#This Row],[DESCONTO]]</f>
        <v>197.96079</v>
      </c>
      <c r="L4365" s="53">
        <f>Tabela6[[#This Row],[CUSTO TOTAL]]/Tabela6[[#This Row],[CONSUMO]]</f>
        <v>5.69</v>
      </c>
      <c r="M4365" s="50">
        <f>Tabela6[[#This Row],[KM ATUAL]]-E4310</f>
        <v>-551594</v>
      </c>
      <c r="N4365" s="51">
        <f>Tabela6[[#This Row],[KM Rodados ]]/Tabela6[[#This Row],[CONSUMO]]</f>
        <v>-15854.50260124745</v>
      </c>
    </row>
    <row r="4366" spans="1:14" x14ac:dyDescent="0.25">
      <c r="A4366" s="47">
        <v>262493</v>
      </c>
      <c r="B4366" s="78">
        <v>45392</v>
      </c>
      <c r="C4366" s="47" t="s">
        <v>301</v>
      </c>
      <c r="D4366" s="49" t="s">
        <v>329</v>
      </c>
      <c r="E4366" s="47">
        <v>1114791</v>
      </c>
      <c r="G4366" s="50" t="s">
        <v>89</v>
      </c>
      <c r="H4366" s="51">
        <v>349.81099999999998</v>
      </c>
      <c r="J4366" s="51">
        <v>5.69</v>
      </c>
      <c r="K4366" s="74">
        <f>Tabela6[[#This Row],[CONSUMO]]*Tabela6[[#This Row],[VALOR UNIT]]-Tabela6[[#This Row],[DESCONTO]]</f>
        <v>1990.4245900000001</v>
      </c>
      <c r="L4366" s="53">
        <f>Tabela6[[#This Row],[CUSTO TOTAL]]/Tabela6[[#This Row],[CONSUMO]]</f>
        <v>5.69</v>
      </c>
      <c r="M4366" s="50">
        <f>Tabela6[[#This Row],[KM ATUAL]]-E4311</f>
        <v>665434</v>
      </c>
      <c r="N4366" s="51">
        <f>Tabela6[[#This Row],[KM Rodados ]]/Tabela6[[#This Row],[CONSUMO]]</f>
        <v>1902.2672243011227</v>
      </c>
    </row>
    <row r="4367" spans="1:14" x14ac:dyDescent="0.25">
      <c r="A4367" s="47">
        <v>204033</v>
      </c>
      <c r="B4367" s="78">
        <v>45392</v>
      </c>
      <c r="C4367" s="47" t="s">
        <v>12</v>
      </c>
      <c r="D4367" s="49" t="s">
        <v>253</v>
      </c>
      <c r="E4367" s="47">
        <v>235750</v>
      </c>
      <c r="G4367" s="50" t="s">
        <v>89</v>
      </c>
      <c r="H4367" s="51">
        <v>102.88</v>
      </c>
      <c r="J4367" s="51">
        <v>6.09</v>
      </c>
      <c r="K4367" s="74">
        <f>Tabela6[[#This Row],[CONSUMO]]*Tabela6[[#This Row],[VALOR UNIT]]-Tabela6[[#This Row],[DESCONTO]]</f>
        <v>626.53919999999994</v>
      </c>
      <c r="L4367" s="53">
        <f>Tabela6[[#This Row],[CUSTO TOTAL]]/Tabela6[[#This Row],[CONSUMO]]</f>
        <v>6.09</v>
      </c>
      <c r="M4367" s="50">
        <f>Tabela6[[#This Row],[KM ATUAL]]-E4312</f>
        <v>-875454</v>
      </c>
      <c r="N4367" s="51">
        <f>Tabela6[[#This Row],[KM Rodados ]]/Tabela6[[#This Row],[CONSUMO]]</f>
        <v>-8509.4673405909798</v>
      </c>
    </row>
    <row r="4368" spans="1:14" x14ac:dyDescent="0.25">
      <c r="A4368" s="47">
        <v>255617</v>
      </c>
      <c r="B4368" s="78">
        <v>45392</v>
      </c>
      <c r="C4368" s="47" t="s">
        <v>14</v>
      </c>
      <c r="D4368" s="49" t="s">
        <v>262</v>
      </c>
      <c r="E4368" s="47">
        <v>328086</v>
      </c>
      <c r="G4368" s="50" t="s">
        <v>244</v>
      </c>
      <c r="H4368" s="51">
        <v>28.97</v>
      </c>
      <c r="J4368" s="51">
        <v>5.69</v>
      </c>
      <c r="K4368" s="74">
        <f>Tabela6[[#This Row],[CONSUMO]]*Tabela6[[#This Row],[VALOR UNIT]]-Tabela6[[#This Row],[DESCONTO]]</f>
        <v>164.83930000000001</v>
      </c>
      <c r="L4368" s="53">
        <f>Tabela6[[#This Row],[CUSTO TOTAL]]/Tabela6[[#This Row],[CONSUMO]]</f>
        <v>5.69</v>
      </c>
      <c r="M4368" s="50">
        <f>Tabela6[[#This Row],[KM ATUAL]]-E4313</f>
        <v>2249</v>
      </c>
      <c r="N4368" s="51">
        <f>Tabela6[[#This Row],[KM Rodados ]]/Tabela6[[#This Row],[CONSUMO]]</f>
        <v>77.632033137728683</v>
      </c>
    </row>
    <row r="4369" spans="1:14" x14ac:dyDescent="0.25">
      <c r="A4369" s="47">
        <v>634819</v>
      </c>
      <c r="B4369" s="78">
        <v>45393</v>
      </c>
      <c r="C4369" s="47" t="s">
        <v>358</v>
      </c>
      <c r="D4369" s="49" t="s">
        <v>378</v>
      </c>
      <c r="E4369" s="47">
        <v>839616</v>
      </c>
      <c r="G4369" s="50" t="s">
        <v>89</v>
      </c>
      <c r="H4369" s="51">
        <v>467</v>
      </c>
      <c r="J4369" s="51">
        <v>5.69</v>
      </c>
      <c r="K4369" s="74">
        <f>Tabela6[[#This Row],[CONSUMO]]*Tabela6[[#This Row],[VALOR UNIT]]-Tabela6[[#This Row],[DESCONTO]]</f>
        <v>2657.23</v>
      </c>
      <c r="L4369" s="53">
        <f>Tabela6[[#This Row],[CUSTO TOTAL]]/Tabela6[[#This Row],[CONSUMO]]</f>
        <v>5.69</v>
      </c>
      <c r="M4369" s="50" t="e">
        <f>Tabela6[[#This Row],[KM ATUAL]]-#REF!</f>
        <v>#REF!</v>
      </c>
      <c r="N4369" s="51" t="e">
        <f>Tabela6[[#This Row],[KM Rodados ]]/Tabela6[[#This Row],[CONSUMO]]</f>
        <v>#REF!</v>
      </c>
    </row>
    <row r="4370" spans="1:14" x14ac:dyDescent="0.25">
      <c r="A4370" s="47">
        <v>54545</v>
      </c>
      <c r="B4370" s="78">
        <v>45393</v>
      </c>
      <c r="C4370" s="47" t="s">
        <v>203</v>
      </c>
      <c r="D4370" s="49" t="s">
        <v>413</v>
      </c>
      <c r="E4370" s="47">
        <v>166057</v>
      </c>
      <c r="G4370" s="50" t="s">
        <v>244</v>
      </c>
      <c r="H4370" s="51">
        <v>17.271999999999998</v>
      </c>
      <c r="J4370" s="51">
        <v>5.79</v>
      </c>
      <c r="K4370" s="74">
        <f>Tabela6[[#This Row],[CONSUMO]]*Tabela6[[#This Row],[VALOR UNIT]]-Tabela6[[#This Row],[DESCONTO]]</f>
        <v>100.00487999999999</v>
      </c>
      <c r="L4370" s="53">
        <f>Tabela6[[#This Row],[CUSTO TOTAL]]/Tabela6[[#This Row],[CONSUMO]]</f>
        <v>5.79</v>
      </c>
      <c r="M4370" s="50">
        <f>Tabela6[[#This Row],[KM ATUAL]]-E4315</f>
        <v>-200420</v>
      </c>
      <c r="N4370" s="51">
        <f>Tabela6[[#This Row],[KM Rodados ]]/Tabela6[[#This Row],[CONSUMO]]</f>
        <v>-11603.751736915239</v>
      </c>
    </row>
    <row r="4371" spans="1:14" x14ac:dyDescent="0.25">
      <c r="A4371" s="47">
        <v>390353</v>
      </c>
      <c r="B4371" s="78">
        <v>45393</v>
      </c>
      <c r="C4371" s="47" t="s">
        <v>203</v>
      </c>
      <c r="D4371" s="49" t="s">
        <v>276</v>
      </c>
      <c r="E4371" s="47">
        <v>155440</v>
      </c>
      <c r="G4371" s="50" t="s">
        <v>244</v>
      </c>
      <c r="H4371" s="51">
        <v>46.459000000000003</v>
      </c>
      <c r="J4371" s="51">
        <v>5.79</v>
      </c>
      <c r="K4371" s="74">
        <f>Tabela6[[#This Row],[CONSUMO]]*Tabela6[[#This Row],[VALOR UNIT]]-Tabela6[[#This Row],[DESCONTO]]</f>
        <v>268.99761000000001</v>
      </c>
      <c r="L4371" s="53">
        <f>Tabela6[[#This Row],[CUSTO TOTAL]]/Tabela6[[#This Row],[CONSUMO]]</f>
        <v>5.79</v>
      </c>
      <c r="M4371" s="50">
        <f>Tabela6[[#This Row],[KM ATUAL]]-E4316</f>
        <v>-551165</v>
      </c>
      <c r="N4371" s="51">
        <f>Tabela6[[#This Row],[KM Rodados ]]/Tabela6[[#This Row],[CONSUMO]]</f>
        <v>-11863.471017456252</v>
      </c>
    </row>
    <row r="4372" spans="1:14" x14ac:dyDescent="0.25">
      <c r="A4372" s="47">
        <v>467996</v>
      </c>
      <c r="B4372" s="78">
        <v>45393</v>
      </c>
      <c r="C4372" s="47" t="s">
        <v>301</v>
      </c>
      <c r="D4372" s="49" t="s">
        <v>333</v>
      </c>
      <c r="E4372" s="47">
        <v>1115490</v>
      </c>
      <c r="G4372" s="50" t="s">
        <v>89</v>
      </c>
      <c r="H4372" s="51">
        <v>540</v>
      </c>
      <c r="J4372" s="51">
        <v>5.69</v>
      </c>
      <c r="K4372" s="74">
        <f>Tabela6[[#This Row],[CONSUMO]]*Tabela6[[#This Row],[VALOR UNIT]]-Tabela6[[#This Row],[DESCONTO]]</f>
        <v>3072.6000000000004</v>
      </c>
      <c r="L4372" s="53">
        <f>Tabela6[[#This Row],[CUSTO TOTAL]]/Tabela6[[#This Row],[CONSUMO]]</f>
        <v>5.69</v>
      </c>
      <c r="M4372" s="50">
        <f>Tabela6[[#This Row],[KM ATUAL]]-E4317</f>
        <v>993463</v>
      </c>
      <c r="N4372" s="51">
        <f>Tabela6[[#This Row],[KM Rodados ]]/Tabela6[[#This Row],[CONSUMO]]</f>
        <v>1839.7462962962964</v>
      </c>
    </row>
    <row r="4373" spans="1:14" x14ac:dyDescent="0.25">
      <c r="A4373" s="47">
        <v>87227</v>
      </c>
      <c r="B4373" s="78">
        <v>45393</v>
      </c>
      <c r="C4373" s="47" t="s">
        <v>14</v>
      </c>
      <c r="D4373" s="49" t="s">
        <v>256</v>
      </c>
      <c r="E4373" s="47">
        <v>328352</v>
      </c>
      <c r="G4373" s="50" t="s">
        <v>244</v>
      </c>
      <c r="H4373" s="51">
        <v>19.66</v>
      </c>
      <c r="J4373" s="51">
        <v>5.39</v>
      </c>
      <c r="K4373" s="74">
        <f>Tabela6[[#This Row],[CONSUMO]]*Tabela6[[#This Row],[VALOR UNIT]]-Tabela6[[#This Row],[DESCONTO]]</f>
        <v>105.9674</v>
      </c>
      <c r="L4373" s="53">
        <f>Tabela6[[#This Row],[CUSTO TOTAL]]/Tabela6[[#This Row],[CONSUMO]]</f>
        <v>5.39</v>
      </c>
      <c r="M4373" s="50">
        <f>Tabela6[[#This Row],[KM ATUAL]]-E4318</f>
        <v>206325</v>
      </c>
      <c r="N4373" s="51">
        <f>Tabela6[[#This Row],[KM Rodados ]]/Tabela6[[#This Row],[CONSUMO]]</f>
        <v>10494.659206510682</v>
      </c>
    </row>
    <row r="4374" spans="1:14" x14ac:dyDescent="0.25">
      <c r="B4374" s="78">
        <v>45393</v>
      </c>
      <c r="C4374" s="47" t="s">
        <v>17</v>
      </c>
      <c r="D4374" s="49" t="s">
        <v>262</v>
      </c>
      <c r="E4374" s="47">
        <v>255822</v>
      </c>
      <c r="G4374" s="50" t="s">
        <v>241</v>
      </c>
      <c r="H4374" s="51">
        <v>21.536000000000001</v>
      </c>
      <c r="I4374" s="49">
        <v>7.76</v>
      </c>
      <c r="J4374" s="51">
        <v>3.69</v>
      </c>
      <c r="K4374" s="74">
        <f>Tabela6[[#This Row],[CONSUMO]]*Tabela6[[#This Row],[VALOR UNIT]]-Tabela6[[#This Row],[DESCONTO]]</f>
        <v>71.707840000000004</v>
      </c>
      <c r="L4374" s="53">
        <f>Tabela6[[#This Row],[CUSTO TOTAL]]/Tabela6[[#This Row],[CONSUMO]]</f>
        <v>3.3296731054977711</v>
      </c>
      <c r="M4374" s="50">
        <f>Tabela6[[#This Row],[KM ATUAL]]-E4319</f>
        <v>-194073</v>
      </c>
      <c r="N4374" s="51">
        <f>Tabela6[[#This Row],[KM Rodados ]]/Tabela6[[#This Row],[CONSUMO]]</f>
        <v>-9011.562035661218</v>
      </c>
    </row>
    <row r="4375" spans="1:14" x14ac:dyDescent="0.25">
      <c r="A4375" s="47">
        <v>327516</v>
      </c>
      <c r="B4375" s="78">
        <v>45393</v>
      </c>
      <c r="C4375" s="47" t="s">
        <v>23</v>
      </c>
      <c r="D4375" s="49" t="s">
        <v>402</v>
      </c>
      <c r="E4375" s="47">
        <v>268508</v>
      </c>
      <c r="G4375" s="50" t="s">
        <v>89</v>
      </c>
      <c r="H4375" s="51">
        <v>50.082999999999998</v>
      </c>
      <c r="J4375" s="51">
        <v>5.99</v>
      </c>
      <c r="K4375" s="74">
        <f>Tabela6[[#This Row],[CONSUMO]]*Tabela6[[#This Row],[VALOR UNIT]]-Tabela6[[#This Row],[DESCONTO]]</f>
        <v>299.99716999999998</v>
      </c>
      <c r="L4375" s="53">
        <f>Tabela6[[#This Row],[CUSTO TOTAL]]/Tabela6[[#This Row],[CONSUMO]]</f>
        <v>5.99</v>
      </c>
      <c r="M4375" s="50">
        <f>Tabela6[[#This Row],[KM ATUAL]]-E4320</f>
        <v>-181870</v>
      </c>
      <c r="N4375" s="51">
        <f>Tabela6[[#This Row],[KM Rodados ]]/Tabela6[[#This Row],[CONSUMO]]</f>
        <v>-3631.37192260847</v>
      </c>
    </row>
    <row r="4376" spans="1:14" x14ac:dyDescent="0.25">
      <c r="B4376" s="78">
        <v>45393</v>
      </c>
      <c r="C4376" s="47" t="s">
        <v>40</v>
      </c>
      <c r="D4376" s="49" t="s">
        <v>276</v>
      </c>
      <c r="E4376" s="47">
        <v>390290</v>
      </c>
      <c r="G4376" s="50" t="s">
        <v>244</v>
      </c>
      <c r="H4376" s="51">
        <v>27.82</v>
      </c>
      <c r="J4376" s="51">
        <v>5.79</v>
      </c>
      <c r="K4376" s="74">
        <f>Tabela6[[#This Row],[CONSUMO]]*Tabela6[[#This Row],[VALOR UNIT]]-Tabela6[[#This Row],[DESCONTO]]</f>
        <v>161.0778</v>
      </c>
      <c r="L4376" s="53">
        <f>Tabela6[[#This Row],[CUSTO TOTAL]]/Tabela6[[#This Row],[CONSUMO]]</f>
        <v>5.79</v>
      </c>
      <c r="M4376" s="50">
        <f>Tabela6[[#This Row],[KM ATUAL]]-E4321</f>
        <v>390290</v>
      </c>
      <c r="N4376" s="51">
        <f>Tabela6[[#This Row],[KM Rodados ]]/Tabela6[[#This Row],[CONSUMO]]</f>
        <v>14029.115744069015</v>
      </c>
    </row>
    <row r="4377" spans="1:14" x14ac:dyDescent="0.25">
      <c r="B4377" s="78">
        <v>45393</v>
      </c>
      <c r="C4377" s="47" t="s">
        <v>40</v>
      </c>
      <c r="D4377" s="49" t="s">
        <v>263</v>
      </c>
      <c r="E4377" s="47">
        <v>197580</v>
      </c>
      <c r="G4377" s="50" t="s">
        <v>244</v>
      </c>
      <c r="H4377" s="51">
        <v>19.5</v>
      </c>
      <c r="J4377" s="51">
        <v>5.74</v>
      </c>
      <c r="K4377" s="74">
        <f>Tabela6[[#This Row],[CONSUMO]]*Tabela6[[#This Row],[VALOR UNIT]]-Tabela6[[#This Row],[DESCONTO]]</f>
        <v>111.93</v>
      </c>
      <c r="L4377" s="53">
        <f>Tabela6[[#This Row],[CUSTO TOTAL]]/Tabela6[[#This Row],[CONSUMO]]</f>
        <v>5.74</v>
      </c>
      <c r="M4377" s="50">
        <f>Tabela6[[#This Row],[KM ATUAL]]-E4322</f>
        <v>-137649</v>
      </c>
      <c r="N4377" s="51">
        <f>Tabela6[[#This Row],[KM Rodados ]]/Tabela6[[#This Row],[CONSUMO]]</f>
        <v>-7058.9230769230771</v>
      </c>
    </row>
    <row r="4378" spans="1:14" x14ac:dyDescent="0.25">
      <c r="A4378" s="47">
        <v>205744</v>
      </c>
      <c r="B4378" s="78">
        <v>45394</v>
      </c>
      <c r="C4378" s="47" t="s">
        <v>9</v>
      </c>
      <c r="D4378" s="49" t="s">
        <v>253</v>
      </c>
      <c r="E4378" s="47">
        <v>656464</v>
      </c>
      <c r="G4378" s="50" t="s">
        <v>89</v>
      </c>
      <c r="H4378" s="51">
        <v>164.65</v>
      </c>
      <c r="J4378" s="51">
        <v>6.09</v>
      </c>
      <c r="K4378" s="74">
        <f>Tabela6[[#This Row],[CONSUMO]]*Tabela6[[#This Row],[VALOR UNIT]]-Tabela6[[#This Row],[DESCONTO]]</f>
        <v>1002.7185000000001</v>
      </c>
      <c r="L4378" s="53">
        <f>Tabela6[[#This Row],[CUSTO TOTAL]]/Tabela6[[#This Row],[CONSUMO]]</f>
        <v>6.09</v>
      </c>
      <c r="M4378" s="50">
        <f>Tabela6[[#This Row],[KM ATUAL]]-E4323</f>
        <v>302809</v>
      </c>
      <c r="N4378" s="51">
        <f>Tabela6[[#This Row],[KM Rodados ]]/Tabela6[[#This Row],[CONSUMO]]</f>
        <v>1839.1071970847252</v>
      </c>
    </row>
    <row r="4379" spans="1:14" x14ac:dyDescent="0.25">
      <c r="A4379" s="47">
        <v>31817</v>
      </c>
      <c r="B4379" s="78">
        <v>45394</v>
      </c>
      <c r="C4379" s="47" t="s">
        <v>203</v>
      </c>
      <c r="D4379" s="49" t="s">
        <v>274</v>
      </c>
      <c r="E4379" s="47">
        <v>156290</v>
      </c>
      <c r="G4379" s="50" t="s">
        <v>244</v>
      </c>
      <c r="H4379" s="51">
        <v>32.33</v>
      </c>
      <c r="J4379" s="51">
        <v>5.84</v>
      </c>
      <c r="K4379" s="74">
        <f>Tabela6[[#This Row],[CONSUMO]]*Tabela6[[#This Row],[VALOR UNIT]]-Tabela6[[#This Row],[DESCONTO]]</f>
        <v>188.80719999999999</v>
      </c>
      <c r="L4379" s="53">
        <f>Tabela6[[#This Row],[CUSTO TOTAL]]/Tabela6[[#This Row],[CONSUMO]]</f>
        <v>5.84</v>
      </c>
      <c r="M4379" s="50">
        <f>Tabela6[[#This Row],[KM ATUAL]]-E4324</f>
        <v>-110180</v>
      </c>
      <c r="N4379" s="51">
        <f>Tabela6[[#This Row],[KM Rodados ]]/Tabela6[[#This Row],[CONSUMO]]</f>
        <v>-3407.9802041447574</v>
      </c>
    </row>
    <row r="4380" spans="1:14" x14ac:dyDescent="0.25">
      <c r="A4380" s="47">
        <v>1682843</v>
      </c>
      <c r="B4380" s="78">
        <v>45394</v>
      </c>
      <c r="C4380" s="47" t="s">
        <v>203</v>
      </c>
      <c r="D4380" s="49" t="s">
        <v>305</v>
      </c>
      <c r="E4380" s="47">
        <v>155880</v>
      </c>
      <c r="G4380" s="50" t="s">
        <v>244</v>
      </c>
      <c r="H4380" s="51">
        <v>38.72</v>
      </c>
      <c r="J4380" s="51">
        <v>5.99</v>
      </c>
      <c r="K4380" s="74">
        <f>Tabela6[[#This Row],[CONSUMO]]*Tabela6[[#This Row],[VALOR UNIT]]-Tabela6[[#This Row],[DESCONTO]]</f>
        <v>231.93280000000001</v>
      </c>
      <c r="L4380" s="53">
        <f>Tabela6[[#This Row],[CUSTO TOTAL]]/Tabela6[[#This Row],[CONSUMO]]</f>
        <v>5.99</v>
      </c>
      <c r="M4380" s="50">
        <f>Tabela6[[#This Row],[KM ATUAL]]-E4325</f>
        <v>-110590</v>
      </c>
      <c r="N4380" s="51">
        <f>Tabela6[[#This Row],[KM Rodados ]]/Tabela6[[#This Row],[CONSUMO]]</f>
        <v>-2856.1466942148763</v>
      </c>
    </row>
    <row r="4381" spans="1:14" x14ac:dyDescent="0.25">
      <c r="A4381" s="47">
        <v>924878</v>
      </c>
      <c r="B4381" s="78">
        <v>45394</v>
      </c>
      <c r="C4381" s="47" t="s">
        <v>301</v>
      </c>
      <c r="D4381" s="49" t="s">
        <v>376</v>
      </c>
      <c r="E4381" s="47">
        <v>1116941</v>
      </c>
      <c r="G4381" s="50" t="s">
        <v>89</v>
      </c>
      <c r="H4381" s="51">
        <v>430</v>
      </c>
      <c r="J4381" s="51">
        <v>7.27</v>
      </c>
      <c r="K4381" s="74">
        <f>Tabela6[[#This Row],[CONSUMO]]*Tabela6[[#This Row],[VALOR UNIT]]-Tabela6[[#This Row],[DESCONTO]]</f>
        <v>3126.1</v>
      </c>
      <c r="L4381" s="53">
        <f>Tabela6[[#This Row],[CUSTO TOTAL]]/Tabela6[[#This Row],[CONSUMO]]</f>
        <v>7.27</v>
      </c>
      <c r="M4381" s="50">
        <f>Tabela6[[#This Row],[KM ATUAL]]-E4374</f>
        <v>861119</v>
      </c>
      <c r="N4381" s="51">
        <f>Tabela6[[#This Row],[KM Rodados ]]/Tabela6[[#This Row],[CONSUMO]]</f>
        <v>2002.6023255813955</v>
      </c>
    </row>
    <row r="4382" spans="1:14" x14ac:dyDescent="0.25">
      <c r="A4382" s="47">
        <v>4603</v>
      </c>
      <c r="B4382" s="78">
        <v>45394</v>
      </c>
      <c r="C4382" s="47" t="s">
        <v>18</v>
      </c>
      <c r="D4382" s="49" t="s">
        <v>255</v>
      </c>
      <c r="E4382" s="47">
        <v>355170</v>
      </c>
      <c r="G4382" s="50" t="s">
        <v>89</v>
      </c>
      <c r="H4382" s="51">
        <v>37.36</v>
      </c>
      <c r="J4382" s="51">
        <v>5.89</v>
      </c>
      <c r="K4382" s="74">
        <f>Tabela6[[#This Row],[CONSUMO]]*Tabela6[[#This Row],[VALOR UNIT]]-Tabela6[[#This Row],[DESCONTO]]</f>
        <v>220.0504</v>
      </c>
      <c r="L4382" s="53">
        <f>Tabela6[[#This Row],[CUSTO TOTAL]]/Tabela6[[#This Row],[CONSUMO]]</f>
        <v>5.89</v>
      </c>
      <c r="M4382" s="50">
        <f>Tabela6[[#This Row],[KM ATUAL]]-E4327</f>
        <v>202506</v>
      </c>
      <c r="N4382" s="51">
        <f>Tabela6[[#This Row],[KM Rodados ]]/Tabela6[[#This Row],[CONSUMO]]</f>
        <v>5420.3961456102788</v>
      </c>
    </row>
    <row r="4383" spans="1:14" x14ac:dyDescent="0.25">
      <c r="A4383" s="47">
        <v>256051</v>
      </c>
      <c r="B4383" s="78">
        <v>45394</v>
      </c>
      <c r="C4383" s="47" t="s">
        <v>19</v>
      </c>
      <c r="D4383" s="49" t="s">
        <v>262</v>
      </c>
      <c r="E4383" s="47">
        <v>368716</v>
      </c>
      <c r="G4383" s="50" t="s">
        <v>241</v>
      </c>
      <c r="H4383" s="51">
        <v>16.814</v>
      </c>
      <c r="I4383" s="49">
        <v>6.05</v>
      </c>
      <c r="J4383" s="51">
        <v>3.69</v>
      </c>
      <c r="K4383" s="74">
        <f>Tabela6[[#This Row],[CONSUMO]]*Tabela6[[#This Row],[VALOR UNIT]]-Tabela6[[#This Row],[DESCONTO]]</f>
        <v>55.993660000000006</v>
      </c>
      <c r="L4383" s="53">
        <f>Tabela6[[#This Row],[CUSTO TOTAL]]/Tabela6[[#This Row],[CONSUMO]]</f>
        <v>3.3301808017128587</v>
      </c>
      <c r="M4383" s="50">
        <f>Tabela6[[#This Row],[KM ATUAL]]-E4328</f>
        <v>42458</v>
      </c>
      <c r="N4383" s="51">
        <f>Tabela6[[#This Row],[KM Rodados ]]/Tabela6[[#This Row],[CONSUMO]]</f>
        <v>2525.1576067562746</v>
      </c>
    </row>
    <row r="4384" spans="1:14" x14ac:dyDescent="0.25">
      <c r="A4384" s="47">
        <v>205782</v>
      </c>
      <c r="B4384" s="78">
        <v>45394</v>
      </c>
      <c r="C4384" s="47" t="s">
        <v>315</v>
      </c>
      <c r="D4384" s="49" t="s">
        <v>253</v>
      </c>
      <c r="E4384" s="47">
        <v>2488</v>
      </c>
      <c r="G4384" s="50" t="s">
        <v>89</v>
      </c>
      <c r="H4384" s="51">
        <v>44.09</v>
      </c>
      <c r="J4384" s="51">
        <v>6.09</v>
      </c>
      <c r="K4384" s="74">
        <f>Tabela6[[#This Row],[CONSUMO]]*Tabela6[[#This Row],[VALOR UNIT]]-Tabela6[[#This Row],[DESCONTO]]</f>
        <v>268.50810000000001</v>
      </c>
      <c r="L4384" s="53">
        <f>Tabela6[[#This Row],[CUSTO TOTAL]]/Tabela6[[#This Row],[CONSUMO]]</f>
        <v>6.09</v>
      </c>
      <c r="M4384" s="50">
        <f>Tabela6[[#This Row],[KM ATUAL]]-E4329</f>
        <v>-402257</v>
      </c>
      <c r="N4384" s="51">
        <f>Tabela6[[#This Row],[KM Rodados ]]/Tabela6[[#This Row],[CONSUMO]]</f>
        <v>-9123.5427534588343</v>
      </c>
    </row>
    <row r="4385" spans="1:14" x14ac:dyDescent="0.25">
      <c r="A4385" s="47">
        <v>256020</v>
      </c>
      <c r="B4385" s="78">
        <v>45394</v>
      </c>
      <c r="C4385" s="47" t="s">
        <v>426</v>
      </c>
      <c r="D4385" s="49" t="s">
        <v>262</v>
      </c>
      <c r="E4385" s="47">
        <v>11692</v>
      </c>
      <c r="G4385" s="50" t="s">
        <v>89</v>
      </c>
      <c r="H4385" s="51">
        <v>89.64</v>
      </c>
      <c r="J4385" s="51">
        <v>6.09</v>
      </c>
      <c r="K4385" s="74">
        <f>Tabela6[[#This Row],[CONSUMO]]*Tabela6[[#This Row],[VALOR UNIT]]-Tabela6[[#This Row],[DESCONTO]]</f>
        <v>545.9076</v>
      </c>
      <c r="L4385" s="53">
        <f>Tabela6[[#This Row],[CUSTO TOTAL]]/Tabela6[[#This Row],[CONSUMO]]</f>
        <v>6.09</v>
      </c>
      <c r="M4385" s="50">
        <f>Tabela6[[#This Row],[KM ATUAL]]-E4330</f>
        <v>-184069</v>
      </c>
      <c r="N4385" s="51">
        <f>Tabela6[[#This Row],[KM Rodados ]]/Tabela6[[#This Row],[CONSUMO]]</f>
        <v>-2053.424810352521</v>
      </c>
    </row>
    <row r="4386" spans="1:14" x14ac:dyDescent="0.25">
      <c r="A4386" s="47">
        <v>256399</v>
      </c>
      <c r="B4386" s="78">
        <v>45395</v>
      </c>
      <c r="C4386" s="47" t="s">
        <v>73</v>
      </c>
      <c r="D4386" s="49" t="s">
        <v>262</v>
      </c>
      <c r="E4386" s="47">
        <v>189530</v>
      </c>
      <c r="G4386" s="50" t="s">
        <v>241</v>
      </c>
      <c r="H4386" s="51">
        <v>15.778</v>
      </c>
      <c r="I4386" s="49">
        <v>5.68</v>
      </c>
      <c r="J4386" s="51">
        <v>3.69</v>
      </c>
      <c r="K4386" s="74">
        <f>Tabela6[[#This Row],[CONSUMO]]*Tabela6[[#This Row],[VALOR UNIT]]-Tabela6[[#This Row],[DESCONTO]]</f>
        <v>52.540820000000004</v>
      </c>
      <c r="L4386" s="53">
        <f>Tabela6[[#This Row],[CUSTO TOTAL]]/Tabela6[[#This Row],[CONSUMO]]</f>
        <v>3.3300050703511221</v>
      </c>
      <c r="M4386" s="50">
        <f>Tabela6[[#This Row],[KM ATUAL]]-E4331</f>
        <v>-77669</v>
      </c>
      <c r="N4386" s="51">
        <f>Tabela6[[#This Row],[KM Rodados ]]/Tabela6[[#This Row],[CONSUMO]]</f>
        <v>-4922.6137660032955</v>
      </c>
    </row>
    <row r="4387" spans="1:14" x14ac:dyDescent="0.25">
      <c r="A4387" s="47">
        <v>511561</v>
      </c>
      <c r="B4387" s="78">
        <v>45395</v>
      </c>
      <c r="C4387" s="47" t="s">
        <v>301</v>
      </c>
      <c r="D4387" s="49" t="s">
        <v>347</v>
      </c>
      <c r="E4387" s="47">
        <v>1117041</v>
      </c>
      <c r="G4387" s="50" t="s">
        <v>89</v>
      </c>
      <c r="H4387" s="51">
        <v>360</v>
      </c>
      <c r="J4387" s="51">
        <v>5.69</v>
      </c>
      <c r="K4387" s="74">
        <f>Tabela6[[#This Row],[CONSUMO]]*Tabela6[[#This Row],[VALOR UNIT]]-Tabela6[[#This Row],[DESCONTO]]</f>
        <v>2048.4</v>
      </c>
      <c r="L4387" s="53">
        <f>Tabela6[[#This Row],[CUSTO TOTAL]]/Tabela6[[#This Row],[CONSUMO]]</f>
        <v>5.69</v>
      </c>
      <c r="M4387" s="50">
        <f>Tabela6[[#This Row],[KM ATUAL]]-E4382</f>
        <v>761871</v>
      </c>
      <c r="N4387" s="51">
        <f>Tabela6[[#This Row],[KM Rodados ]]/Tabela6[[#This Row],[CONSUMO]]</f>
        <v>2116.3083333333334</v>
      </c>
    </row>
    <row r="4388" spans="1:14" x14ac:dyDescent="0.25">
      <c r="A4388" s="47">
        <v>106066</v>
      </c>
      <c r="B4388" s="78">
        <v>45396</v>
      </c>
      <c r="C4388" s="47" t="s">
        <v>70</v>
      </c>
      <c r="D4388" s="49" t="s">
        <v>361</v>
      </c>
      <c r="E4388" s="47">
        <v>274241</v>
      </c>
      <c r="G4388" s="50" t="s">
        <v>89</v>
      </c>
      <c r="H4388" s="51">
        <v>585</v>
      </c>
      <c r="J4388" s="51">
        <v>5.69</v>
      </c>
      <c r="K4388" s="74">
        <f>Tabela6[[#This Row],[CONSUMO]]*Tabela6[[#This Row],[VALOR UNIT]]-Tabela6[[#This Row],[DESCONTO]]</f>
        <v>3328.65</v>
      </c>
      <c r="L4388" s="53">
        <f>Tabela6[[#This Row],[CUSTO TOTAL]]/Tabela6[[#This Row],[CONSUMO]]</f>
        <v>5.69</v>
      </c>
      <c r="M4388" s="50">
        <f>Tabela6[[#This Row],[KM ATUAL]]-E4333</f>
        <v>121029</v>
      </c>
      <c r="N4388" s="51">
        <f>Tabela6[[#This Row],[KM Rodados ]]/Tabela6[[#This Row],[CONSUMO]]</f>
        <v>206.88717948717948</v>
      </c>
    </row>
    <row r="4389" spans="1:14" x14ac:dyDescent="0.25">
      <c r="A4389" s="47">
        <v>3045340</v>
      </c>
      <c r="B4389" s="78">
        <v>45396</v>
      </c>
      <c r="C4389" s="47" t="s">
        <v>73</v>
      </c>
      <c r="D4389" s="49" t="s">
        <v>252</v>
      </c>
      <c r="E4389" s="47">
        <v>3045340</v>
      </c>
      <c r="G4389" s="50" t="s">
        <v>89</v>
      </c>
      <c r="H4389" s="51">
        <v>244.55</v>
      </c>
      <c r="J4389" s="51">
        <v>5.95</v>
      </c>
      <c r="K4389" s="74">
        <f>Tabela6[[#This Row],[CONSUMO]]*Tabela6[[#This Row],[VALOR UNIT]]-Tabela6[[#This Row],[DESCONTO]]</f>
        <v>1455.0725000000002</v>
      </c>
      <c r="L4389" s="53">
        <f>Tabela6[[#This Row],[CUSTO TOTAL]]/Tabela6[[#This Row],[CONSUMO]]</f>
        <v>5.95</v>
      </c>
      <c r="M4389" s="50">
        <f>Tabela6[[#This Row],[KM ATUAL]]-E4334</f>
        <v>3045340</v>
      </c>
      <c r="N4389" s="51">
        <f>Tabela6[[#This Row],[KM Rodados ]]/Tabela6[[#This Row],[CONSUMO]]</f>
        <v>12452.831731752198</v>
      </c>
    </row>
    <row r="4390" spans="1:14" x14ac:dyDescent="0.25">
      <c r="A4390" s="47">
        <v>444398</v>
      </c>
      <c r="B4390" s="78">
        <v>45396</v>
      </c>
      <c r="C4390" s="47" t="s">
        <v>19</v>
      </c>
      <c r="D4390" s="49" t="s">
        <v>281</v>
      </c>
      <c r="E4390" s="47">
        <v>368950</v>
      </c>
      <c r="G4390" s="50" t="s">
        <v>89</v>
      </c>
      <c r="H4390" s="51">
        <v>42.277000000000001</v>
      </c>
      <c r="J4390" s="51">
        <v>5.59</v>
      </c>
      <c r="K4390" s="74">
        <f>Tabela6[[#This Row],[CONSUMO]]*Tabela6[[#This Row],[VALOR UNIT]]-Tabela6[[#This Row],[DESCONTO]]</f>
        <v>236.32843</v>
      </c>
      <c r="L4390" s="53">
        <f>Tabela6[[#This Row],[CUSTO TOTAL]]/Tabela6[[#This Row],[CONSUMO]]</f>
        <v>5.59</v>
      </c>
      <c r="M4390" s="50">
        <f>Tabela6[[#This Row],[KM ATUAL]]-E4335</f>
        <v>-81686</v>
      </c>
      <c r="N4390" s="51">
        <f>Tabela6[[#This Row],[KM Rodados ]]/Tabela6[[#This Row],[CONSUMO]]</f>
        <v>-1932.1616954845424</v>
      </c>
    </row>
    <row r="4391" spans="1:14" x14ac:dyDescent="0.25">
      <c r="A4391" s="47">
        <v>358043</v>
      </c>
      <c r="B4391" s="78">
        <v>45396</v>
      </c>
      <c r="C4391" s="47" t="s">
        <v>40</v>
      </c>
      <c r="D4391" s="49" t="s">
        <v>270</v>
      </c>
      <c r="E4391" s="47">
        <v>198473</v>
      </c>
      <c r="G4391" s="50" t="s">
        <v>244</v>
      </c>
      <c r="H4391" s="51">
        <v>46.381</v>
      </c>
      <c r="J4391" s="51">
        <v>5.49</v>
      </c>
      <c r="K4391" s="74">
        <f>Tabela6[[#This Row],[CONSUMO]]*Tabela6[[#This Row],[VALOR UNIT]]-Tabela6[[#This Row],[DESCONTO]]</f>
        <v>254.63169000000002</v>
      </c>
      <c r="L4391" s="53">
        <f>Tabela6[[#This Row],[CUSTO TOTAL]]/Tabela6[[#This Row],[CONSUMO]]</f>
        <v>5.49</v>
      </c>
      <c r="M4391" s="50">
        <f>Tabela6[[#This Row],[KM ATUAL]]-E4336</f>
        <v>-1106</v>
      </c>
      <c r="N4391" s="51">
        <f>Tabela6[[#This Row],[KM Rodados ]]/Tabela6[[#This Row],[CONSUMO]]</f>
        <v>-23.845971410706969</v>
      </c>
    </row>
    <row r="4392" spans="1:14" x14ac:dyDescent="0.25">
      <c r="A4392" s="47">
        <v>295893</v>
      </c>
      <c r="B4392" s="78">
        <v>45397</v>
      </c>
      <c r="C4392" s="47" t="s">
        <v>67</v>
      </c>
      <c r="D4392" s="49" t="s">
        <v>273</v>
      </c>
      <c r="E4392" s="47">
        <v>708550</v>
      </c>
      <c r="G4392" s="50" t="s">
        <v>89</v>
      </c>
      <c r="H4392" s="51">
        <v>572.005</v>
      </c>
      <c r="J4392" s="51">
        <v>5.55</v>
      </c>
      <c r="K4392" s="74">
        <f>Tabela6[[#This Row],[CONSUMO]]*Tabela6[[#This Row],[VALOR UNIT]]-Tabela6[[#This Row],[DESCONTO]]</f>
        <v>3174.6277499999997</v>
      </c>
      <c r="L4392" s="53">
        <f>Tabela6[[#This Row],[CUSTO TOTAL]]/Tabela6[[#This Row],[CONSUMO]]</f>
        <v>5.55</v>
      </c>
      <c r="M4392" s="50">
        <f>Tabela6[[#This Row],[KM ATUAL]]-E4337</f>
        <v>381815</v>
      </c>
      <c r="N4392" s="51">
        <f>Tabela6[[#This Row],[KM Rodados ]]/Tabela6[[#This Row],[CONSUMO]]</f>
        <v>667.50290644312554</v>
      </c>
    </row>
    <row r="4393" spans="1:14" x14ac:dyDescent="0.25">
      <c r="A4393" s="47">
        <v>207957</v>
      </c>
      <c r="B4393" s="78">
        <v>45397</v>
      </c>
      <c r="C4393" s="47" t="s">
        <v>39</v>
      </c>
      <c r="D4393" s="49" t="s">
        <v>253</v>
      </c>
      <c r="E4393" s="47">
        <v>122687</v>
      </c>
      <c r="G4393" s="50" t="s">
        <v>89</v>
      </c>
      <c r="H4393" s="51">
        <v>123.38</v>
      </c>
      <c r="J4393" s="51">
        <v>6.09</v>
      </c>
      <c r="K4393" s="74">
        <f>Tabela6[[#This Row],[CONSUMO]]*Tabela6[[#This Row],[VALOR UNIT]]-Tabela6[[#This Row],[DESCONTO]]</f>
        <v>751.38419999999996</v>
      </c>
      <c r="L4393" s="53">
        <f>Tabela6[[#This Row],[CUSTO TOTAL]]/Tabela6[[#This Row],[CONSUMO]]</f>
        <v>6.09</v>
      </c>
      <c r="M4393" s="50">
        <f>Tabela6[[#This Row],[KM ATUAL]]-E4338</f>
        <v>-73486</v>
      </c>
      <c r="N4393" s="51">
        <f>Tabela6[[#This Row],[KM Rodados ]]/Tabela6[[#This Row],[CONSUMO]]</f>
        <v>-595.60706759604477</v>
      </c>
    </row>
    <row r="4394" spans="1:14" x14ac:dyDescent="0.25">
      <c r="A4394" s="47">
        <v>256856</v>
      </c>
      <c r="B4394" s="78">
        <v>45397</v>
      </c>
      <c r="C4394" s="47" t="s">
        <v>203</v>
      </c>
      <c r="D4394" s="49" t="s">
        <v>262</v>
      </c>
      <c r="E4394" s="47">
        <v>156559</v>
      </c>
      <c r="G4394" s="50" t="s">
        <v>244</v>
      </c>
      <c r="H4394" s="51">
        <v>21.699000000000002</v>
      </c>
      <c r="J4394" s="51">
        <v>5.69</v>
      </c>
      <c r="K4394" s="74">
        <f>Tabela6[[#This Row],[CONSUMO]]*Tabela6[[#This Row],[VALOR UNIT]]-Tabela6[[#This Row],[DESCONTO]]</f>
        <v>123.46731000000001</v>
      </c>
      <c r="L4394" s="53">
        <f>Tabela6[[#This Row],[CUSTO TOTAL]]/Tabela6[[#This Row],[CONSUMO]]</f>
        <v>5.69</v>
      </c>
      <c r="M4394" s="50">
        <f>Tabela6[[#This Row],[KM ATUAL]]-E4339</f>
        <v>132811</v>
      </c>
      <c r="N4394" s="51">
        <f>Tabela6[[#This Row],[KM Rodados ]]/Tabela6[[#This Row],[CONSUMO]]</f>
        <v>6120.6046361583476</v>
      </c>
    </row>
    <row r="4395" spans="1:14" x14ac:dyDescent="0.25">
      <c r="A4395" s="47">
        <v>256912</v>
      </c>
      <c r="B4395" s="78">
        <v>45397</v>
      </c>
      <c r="C4395" s="47" t="s">
        <v>72</v>
      </c>
      <c r="D4395" s="49" t="s">
        <v>262</v>
      </c>
      <c r="E4395" s="47">
        <v>453231</v>
      </c>
      <c r="G4395" s="50" t="s">
        <v>89</v>
      </c>
      <c r="H4395" s="51">
        <v>20.390999999999998</v>
      </c>
      <c r="J4395" s="51">
        <v>6.09</v>
      </c>
      <c r="K4395" s="74">
        <f>Tabela6[[#This Row],[CONSUMO]]*Tabela6[[#This Row],[VALOR UNIT]]-Tabela6[[#This Row],[DESCONTO]]</f>
        <v>124.18118999999999</v>
      </c>
      <c r="L4395" s="53">
        <f>Tabela6[[#This Row],[CUSTO TOTAL]]/Tabela6[[#This Row],[CONSUMO]]</f>
        <v>6.09</v>
      </c>
      <c r="M4395" s="50">
        <f>Tabela6[[#This Row],[KM ATUAL]]-E4340</f>
        <v>450078</v>
      </c>
      <c r="N4395" s="51">
        <f>Tabela6[[#This Row],[KM Rodados ]]/Tabela6[[#This Row],[CONSUMO]]</f>
        <v>22072.384875680451</v>
      </c>
    </row>
    <row r="4396" spans="1:14" x14ac:dyDescent="0.25">
      <c r="A4396" s="47">
        <v>2063796</v>
      </c>
      <c r="B4396" s="78">
        <v>45397</v>
      </c>
      <c r="C4396" s="47" t="s">
        <v>73</v>
      </c>
      <c r="D4396" s="49" t="s">
        <v>252</v>
      </c>
      <c r="E4396" s="47">
        <v>190784</v>
      </c>
      <c r="G4396" s="50" t="s">
        <v>241</v>
      </c>
      <c r="H4396" s="51">
        <v>17.260000000000002</v>
      </c>
      <c r="J4396" s="51">
        <v>2.6</v>
      </c>
      <c r="K4396" s="74">
        <f>Tabela6[[#This Row],[CONSUMO]]*Tabela6[[#This Row],[VALOR UNIT]]-Tabela6[[#This Row],[DESCONTO]]</f>
        <v>44.876000000000005</v>
      </c>
      <c r="L4396" s="53">
        <f>Tabela6[[#This Row],[CUSTO TOTAL]]/Tabela6[[#This Row],[CONSUMO]]</f>
        <v>2.6</v>
      </c>
      <c r="M4396" s="50">
        <f>Tabela6[[#This Row],[KM ATUAL]]-E4341</f>
        <v>188074</v>
      </c>
      <c r="N4396" s="51">
        <f>Tabela6[[#This Row],[KM Rodados ]]/Tabela6[[#This Row],[CONSUMO]]</f>
        <v>10896.523754345306</v>
      </c>
    </row>
    <row r="4397" spans="1:14" x14ac:dyDescent="0.25">
      <c r="A4397" s="47">
        <v>2063796</v>
      </c>
      <c r="B4397" s="78">
        <v>45397</v>
      </c>
      <c r="C4397" s="47" t="s">
        <v>73</v>
      </c>
      <c r="D4397" s="49" t="s">
        <v>252</v>
      </c>
      <c r="E4397" s="47">
        <v>190784</v>
      </c>
      <c r="G4397" s="50" t="s">
        <v>89</v>
      </c>
      <c r="H4397" s="51">
        <v>62.1</v>
      </c>
      <c r="J4397" s="51">
        <v>5.95</v>
      </c>
      <c r="K4397" s="74">
        <f>Tabela6[[#This Row],[CONSUMO]]*Tabela6[[#This Row],[VALOR UNIT]]-Tabela6[[#This Row],[DESCONTO]]</f>
        <v>369.495</v>
      </c>
      <c r="L4397" s="53">
        <f>Tabela6[[#This Row],[CUSTO TOTAL]]/Tabela6[[#This Row],[CONSUMO]]</f>
        <v>5.95</v>
      </c>
      <c r="M4397" s="50">
        <f>Tabela6[[#This Row],[KM ATUAL]]-E4342</f>
        <v>-199876</v>
      </c>
      <c r="N4397" s="51">
        <f>Tabela6[[#This Row],[KM Rodados ]]/Tabela6[[#This Row],[CONSUMO]]</f>
        <v>-3218.6151368760065</v>
      </c>
    </row>
    <row r="4398" spans="1:14" x14ac:dyDescent="0.25">
      <c r="A4398" s="47">
        <v>256934</v>
      </c>
      <c r="B4398" s="78">
        <v>45397</v>
      </c>
      <c r="C4398" s="47" t="s">
        <v>15</v>
      </c>
      <c r="D4398" s="49" t="s">
        <v>262</v>
      </c>
      <c r="E4398" s="47">
        <v>424913</v>
      </c>
      <c r="G4398" s="50" t="s">
        <v>89</v>
      </c>
      <c r="H4398" s="51">
        <v>95.24</v>
      </c>
      <c r="J4398" s="51">
        <v>6.09</v>
      </c>
      <c r="K4398" s="74">
        <f>Tabela6[[#This Row],[CONSUMO]]*Tabela6[[#This Row],[VALOR UNIT]]-Tabela6[[#This Row],[DESCONTO]]</f>
        <v>580.01159999999993</v>
      </c>
      <c r="L4398" s="53">
        <f>Tabela6[[#This Row],[CUSTO TOTAL]]/Tabela6[[#This Row],[CONSUMO]]</f>
        <v>6.09</v>
      </c>
      <c r="M4398" s="50">
        <f>Tabela6[[#This Row],[KM ATUAL]]-E4343</f>
        <v>271281</v>
      </c>
      <c r="N4398" s="51">
        <f>Tabela6[[#This Row],[KM Rodados ]]/Tabela6[[#This Row],[CONSUMO]]</f>
        <v>2848.3935321293575</v>
      </c>
    </row>
    <row r="4399" spans="1:14" x14ac:dyDescent="0.25">
      <c r="A4399" s="47">
        <v>209246</v>
      </c>
      <c r="B4399" s="78">
        <v>45398</v>
      </c>
      <c r="C4399" s="47" t="s">
        <v>9</v>
      </c>
      <c r="D4399" s="49" t="s">
        <v>253</v>
      </c>
      <c r="E4399" s="47">
        <v>656919</v>
      </c>
      <c r="G4399" s="50" t="s">
        <v>89</v>
      </c>
      <c r="H4399" s="51">
        <v>111.53</v>
      </c>
      <c r="J4399" s="51">
        <v>6.09</v>
      </c>
      <c r="K4399" s="74">
        <f>Tabela6[[#This Row],[CONSUMO]]*Tabela6[[#This Row],[VALOR UNIT]]-Tabela6[[#This Row],[DESCONTO]]</f>
        <v>679.21770000000004</v>
      </c>
      <c r="L4399" s="53">
        <f>Tabela6[[#This Row],[CUSTO TOTAL]]/Tabela6[[#This Row],[CONSUMO]]</f>
        <v>6.09</v>
      </c>
      <c r="M4399" s="50">
        <f>Tabela6[[#This Row],[KM ATUAL]]-E4344</f>
        <v>337204</v>
      </c>
      <c r="N4399" s="51">
        <f>Tabela6[[#This Row],[KM Rodados ]]/Tabela6[[#This Row],[CONSUMO]]</f>
        <v>3023.4376400968349</v>
      </c>
    </row>
    <row r="4400" spans="1:14" x14ac:dyDescent="0.25">
      <c r="A4400" s="47">
        <v>186362</v>
      </c>
      <c r="B4400" s="78">
        <v>45398</v>
      </c>
      <c r="C4400" s="47" t="s">
        <v>222</v>
      </c>
      <c r="D4400" s="49" t="s">
        <v>300</v>
      </c>
      <c r="E4400" s="47">
        <v>569269</v>
      </c>
      <c r="G4400" s="50" t="s">
        <v>241</v>
      </c>
      <c r="H4400" s="51">
        <v>47.091000000000001</v>
      </c>
      <c r="J4400" s="51">
        <v>2.99</v>
      </c>
      <c r="K4400" s="74">
        <f>Tabela6[[#This Row],[CONSUMO]]*Tabela6[[#This Row],[VALOR UNIT]]-Tabela6[[#This Row],[DESCONTO]]</f>
        <v>140.80209000000002</v>
      </c>
      <c r="L4400" s="53">
        <f>Tabela6[[#This Row],[CUSTO TOTAL]]/Tabela6[[#This Row],[CONSUMO]]</f>
        <v>2.99</v>
      </c>
      <c r="M4400" s="50">
        <f>Tabela6[[#This Row],[KM ATUAL]]-E4345</f>
        <v>569269</v>
      </c>
      <c r="N4400" s="51">
        <f>Tabela6[[#This Row],[KM Rodados ]]/Tabela6[[#This Row],[CONSUMO]]</f>
        <v>12088.70060096409</v>
      </c>
    </row>
    <row r="4401" spans="1:14" x14ac:dyDescent="0.25">
      <c r="A4401" s="47">
        <v>490732</v>
      </c>
      <c r="B4401" s="78">
        <v>45398</v>
      </c>
      <c r="C4401" s="47" t="s">
        <v>67</v>
      </c>
      <c r="D4401" s="49" t="s">
        <v>269</v>
      </c>
      <c r="E4401" s="47">
        <v>709045</v>
      </c>
      <c r="G4401" s="50" t="s">
        <v>89</v>
      </c>
      <c r="H4401" s="51">
        <v>132.40100000000001</v>
      </c>
      <c r="J4401" s="51">
        <v>5.69</v>
      </c>
      <c r="K4401" s="74">
        <f>Tabela6[[#This Row],[CONSUMO]]*Tabela6[[#This Row],[VALOR UNIT]]-Tabela6[[#This Row],[DESCONTO]]</f>
        <v>753.36169000000007</v>
      </c>
      <c r="L4401" s="53">
        <f>Tabela6[[#This Row],[CUSTO TOTAL]]/Tabela6[[#This Row],[CONSUMO]]</f>
        <v>5.69</v>
      </c>
      <c r="M4401" s="50">
        <f>Tabela6[[#This Row],[KM ATUAL]]-E4346</f>
        <v>704860</v>
      </c>
      <c r="N4401" s="51">
        <f>Tabela6[[#This Row],[KM Rodados ]]/Tabela6[[#This Row],[CONSUMO]]</f>
        <v>5323.6758030528463</v>
      </c>
    </row>
    <row r="4402" spans="1:14" x14ac:dyDescent="0.25">
      <c r="A4402" s="47">
        <v>42933</v>
      </c>
      <c r="B4402" s="78">
        <v>45398</v>
      </c>
      <c r="C4402" s="47" t="s">
        <v>70</v>
      </c>
      <c r="D4402" s="49" t="s">
        <v>332</v>
      </c>
      <c r="E4402" s="47">
        <v>275434</v>
      </c>
      <c r="G4402" s="50" t="s">
        <v>89</v>
      </c>
      <c r="H4402" s="51">
        <v>572.005</v>
      </c>
      <c r="J4402" s="51">
        <v>5.55</v>
      </c>
      <c r="K4402" s="74">
        <f>Tabela6[[#This Row],[CONSUMO]]*Tabela6[[#This Row],[VALOR UNIT]]-Tabela6[[#This Row],[DESCONTO]]</f>
        <v>3174.6277499999997</v>
      </c>
      <c r="L4402" s="53">
        <f>Tabela6[[#This Row],[CUSTO TOTAL]]/Tabela6[[#This Row],[CONSUMO]]</f>
        <v>5.55</v>
      </c>
      <c r="M4402" s="50">
        <f>Tabela6[[#This Row],[KM ATUAL]]-E4347</f>
        <v>-561551</v>
      </c>
      <c r="N4402" s="51">
        <f>Tabela6[[#This Row],[KM Rodados ]]/Tabela6[[#This Row],[CONSUMO]]</f>
        <v>-981.72393597958057</v>
      </c>
    </row>
    <row r="4403" spans="1:14" x14ac:dyDescent="0.25">
      <c r="A4403" s="47">
        <v>391628</v>
      </c>
      <c r="B4403" s="78">
        <v>45398</v>
      </c>
      <c r="C4403" s="47" t="s">
        <v>203</v>
      </c>
      <c r="D4403" s="49" t="s">
        <v>276</v>
      </c>
      <c r="E4403" s="47">
        <v>43.82</v>
      </c>
      <c r="G4403" s="50" t="s">
        <v>244</v>
      </c>
      <c r="H4403" s="51">
        <v>43.82</v>
      </c>
      <c r="J4403" s="51">
        <v>5.79</v>
      </c>
      <c r="K4403" s="74">
        <f>Tabela6[[#This Row],[CONSUMO]]*Tabela6[[#This Row],[VALOR UNIT]]-Tabela6[[#This Row],[DESCONTO]]</f>
        <v>253.71780000000001</v>
      </c>
      <c r="L4403" s="53">
        <f>Tabela6[[#This Row],[CUSTO TOTAL]]/Tabela6[[#This Row],[CONSUMO]]</f>
        <v>5.79</v>
      </c>
      <c r="M4403" s="50">
        <f>Tabela6[[#This Row],[KM ATUAL]]-E4348</f>
        <v>-838061.18</v>
      </c>
      <c r="N4403" s="51">
        <f>Tabela6[[#This Row],[KM Rodados ]]/Tabela6[[#This Row],[CONSUMO]]</f>
        <v>-19125.083979917847</v>
      </c>
    </row>
    <row r="4404" spans="1:14" x14ac:dyDescent="0.25">
      <c r="A4404" s="47">
        <v>298599</v>
      </c>
      <c r="B4404" s="78">
        <v>45398</v>
      </c>
      <c r="C4404" s="47" t="s">
        <v>14</v>
      </c>
      <c r="D4404" s="49" t="s">
        <v>269</v>
      </c>
      <c r="E4404" s="47">
        <v>328798</v>
      </c>
      <c r="G4404" s="50" t="s">
        <v>244</v>
      </c>
      <c r="H4404" s="51">
        <v>42.093000000000004</v>
      </c>
      <c r="J4404" s="51">
        <v>5.49</v>
      </c>
      <c r="K4404" s="74">
        <f>Tabela6[[#This Row],[CONSUMO]]*Tabela6[[#This Row],[VALOR UNIT]]-Tabela6[[#This Row],[DESCONTO]]</f>
        <v>231.09057000000004</v>
      </c>
      <c r="L4404" s="53">
        <f>Tabela6[[#This Row],[CUSTO TOTAL]]/Tabela6[[#This Row],[CONSUMO]]</f>
        <v>5.49</v>
      </c>
      <c r="M4404" s="50">
        <f>Tabela6[[#This Row],[KM ATUAL]]-E4349</f>
        <v>-239134</v>
      </c>
      <c r="N4404" s="51">
        <f>Tabela6[[#This Row],[KM Rodados ]]/Tabela6[[#This Row],[CONSUMO]]</f>
        <v>-5681.0871166227162</v>
      </c>
    </row>
    <row r="4405" spans="1:14" x14ac:dyDescent="0.25">
      <c r="A4405" s="47">
        <v>5665</v>
      </c>
      <c r="B4405" s="78">
        <v>45398</v>
      </c>
      <c r="C4405" s="47" t="s">
        <v>16</v>
      </c>
      <c r="D4405" s="49" t="s">
        <v>255</v>
      </c>
      <c r="E4405" s="47">
        <v>320264</v>
      </c>
      <c r="G4405" s="50" t="s">
        <v>89</v>
      </c>
      <c r="H4405" s="51">
        <v>110.431</v>
      </c>
      <c r="J4405" s="51">
        <v>6.16</v>
      </c>
      <c r="K4405" s="74">
        <f>Tabela6[[#This Row],[CONSUMO]]*Tabela6[[#This Row],[VALOR UNIT]]-Tabela6[[#This Row],[DESCONTO]]</f>
        <v>680.25495999999998</v>
      </c>
      <c r="L4405" s="53">
        <f>Tabela6[[#This Row],[CUSTO TOTAL]]/Tabela6[[#This Row],[CONSUMO]]</f>
        <v>6.16</v>
      </c>
      <c r="M4405" s="50">
        <f>Tabela6[[#This Row],[KM ATUAL]]-E4350</f>
        <v>-387291</v>
      </c>
      <c r="N4405" s="51">
        <f>Tabela6[[#This Row],[KM Rodados ]]/Tabela6[[#This Row],[CONSUMO]]</f>
        <v>-3507.0858726263459</v>
      </c>
    </row>
    <row r="4406" spans="1:14" x14ac:dyDescent="0.25">
      <c r="A4406" s="47">
        <v>329208</v>
      </c>
      <c r="B4406" s="78">
        <v>45398</v>
      </c>
      <c r="C4406" s="47" t="s">
        <v>23</v>
      </c>
      <c r="D4406" s="49" t="s">
        <v>402</v>
      </c>
      <c r="E4406" s="47">
        <v>269408</v>
      </c>
      <c r="G4406" s="50" t="s">
        <v>89</v>
      </c>
      <c r="H4406" s="51">
        <v>50.082999999999998</v>
      </c>
      <c r="J4406" s="51">
        <v>5.99</v>
      </c>
      <c r="K4406" s="74">
        <f>Tabela6[[#This Row],[CONSUMO]]*Tabela6[[#This Row],[VALOR UNIT]]-Tabela6[[#This Row],[DESCONTO]]</f>
        <v>299.99716999999998</v>
      </c>
      <c r="L4406" s="53">
        <f>Tabela6[[#This Row],[CUSTO TOTAL]]/Tabela6[[#This Row],[CONSUMO]]</f>
        <v>5.99</v>
      </c>
      <c r="M4406" s="50">
        <f>Tabela6[[#This Row],[KM ATUAL]]-E4351</f>
        <v>-181804</v>
      </c>
      <c r="N4406" s="51">
        <f>Tabela6[[#This Row],[KM Rodados ]]/Tabela6[[#This Row],[CONSUMO]]</f>
        <v>-3630.0541101771059</v>
      </c>
    </row>
    <row r="4407" spans="1:14" x14ac:dyDescent="0.25">
      <c r="A4407" s="47">
        <v>256997</v>
      </c>
      <c r="B4407" s="78">
        <v>45398</v>
      </c>
      <c r="C4407" s="47" t="s">
        <v>354</v>
      </c>
      <c r="D4407" s="49" t="s">
        <v>262</v>
      </c>
      <c r="E4407" s="47">
        <v>36164</v>
      </c>
      <c r="G4407" s="50" t="s">
        <v>241</v>
      </c>
      <c r="H4407" s="51">
        <v>28.088000000000001</v>
      </c>
      <c r="I4407" s="49">
        <v>10.11</v>
      </c>
      <c r="J4407" s="51">
        <v>3.69</v>
      </c>
      <c r="K4407" s="74">
        <f>Tabela6[[#This Row],[CONSUMO]]*Tabela6[[#This Row],[VALOR UNIT]]-Tabela6[[#This Row],[DESCONTO]]</f>
        <v>93.534720000000007</v>
      </c>
      <c r="L4407" s="53">
        <f>Tabela6[[#This Row],[CUSTO TOTAL]]/Tabela6[[#This Row],[CONSUMO]]</f>
        <v>3.3300598120193676</v>
      </c>
      <c r="M4407" s="50">
        <f>Tabela6[[#This Row],[KM ATUAL]]-E4352</f>
        <v>-377962</v>
      </c>
      <c r="N4407" s="51">
        <f>Tabela6[[#This Row],[KM Rodados ]]/Tabela6[[#This Row],[CONSUMO]]</f>
        <v>-13456.351466818569</v>
      </c>
    </row>
    <row r="4408" spans="1:14" x14ac:dyDescent="0.25">
      <c r="A4408" s="47">
        <v>257040</v>
      </c>
      <c r="B4408" s="78">
        <v>45398</v>
      </c>
      <c r="C4408" s="47" t="s">
        <v>401</v>
      </c>
      <c r="D4408" s="49" t="s">
        <v>262</v>
      </c>
      <c r="E4408" s="47">
        <v>19351</v>
      </c>
      <c r="G4408" s="50" t="s">
        <v>241</v>
      </c>
      <c r="H4408" s="51">
        <v>26.498999999999999</v>
      </c>
      <c r="I4408" s="49">
        <v>9.5399999999999991</v>
      </c>
      <c r="J4408" s="51">
        <v>3.69</v>
      </c>
      <c r="K4408" s="74">
        <f>Tabela6[[#This Row],[CONSUMO]]*Tabela6[[#This Row],[VALOR UNIT]]-Tabela6[[#This Row],[DESCONTO]]</f>
        <v>88.241309999999999</v>
      </c>
      <c r="L4408" s="53">
        <f>Tabela6[[#This Row],[CUSTO TOTAL]]/Tabela6[[#This Row],[CONSUMO]]</f>
        <v>3.3299864145816822</v>
      </c>
      <c r="M4408" s="50">
        <f>Tabela6[[#This Row],[KM ATUAL]]-E4353</f>
        <v>-335055</v>
      </c>
      <c r="N4408" s="51">
        <f>Tabela6[[#This Row],[KM Rodados ]]/Tabela6[[#This Row],[CONSUMO]]</f>
        <v>-12644.062040076984</v>
      </c>
    </row>
    <row r="4409" spans="1:14" x14ac:dyDescent="0.25">
      <c r="A4409" s="47">
        <v>419657</v>
      </c>
      <c r="B4409" s="78">
        <v>45399</v>
      </c>
      <c r="C4409" s="47" t="s">
        <v>43</v>
      </c>
      <c r="D4409" s="49" t="s">
        <v>271</v>
      </c>
      <c r="E4409" s="47">
        <v>183.714</v>
      </c>
      <c r="G4409" s="50" t="s">
        <v>89</v>
      </c>
      <c r="H4409" s="51">
        <v>44.93</v>
      </c>
      <c r="J4409" s="51">
        <v>5.99</v>
      </c>
      <c r="K4409" s="74">
        <f>Tabela6[[#This Row],[CONSUMO]]*Tabela6[[#This Row],[VALOR UNIT]]-Tabela6[[#This Row],[DESCONTO]]</f>
        <v>269.13069999999999</v>
      </c>
      <c r="L4409" s="53">
        <f>Tabela6[[#This Row],[CUSTO TOTAL]]/Tabela6[[#This Row],[CONSUMO]]</f>
        <v>5.99</v>
      </c>
      <c r="M4409" s="50">
        <f>Tabela6[[#This Row],[KM ATUAL]]-E4354</f>
        <v>-145864.28599999999</v>
      </c>
      <c r="N4409" s="51">
        <f>Tabela6[[#This Row],[KM Rodados ]]/Tabela6[[#This Row],[CONSUMO]]</f>
        <v>-3246.4786556866234</v>
      </c>
    </row>
    <row r="4410" spans="1:14" x14ac:dyDescent="0.25">
      <c r="A4410" s="47">
        <v>153023</v>
      </c>
      <c r="B4410" s="78">
        <v>45399</v>
      </c>
      <c r="C4410" s="47" t="s">
        <v>67</v>
      </c>
      <c r="D4410" s="49" t="s">
        <v>279</v>
      </c>
      <c r="E4410" s="47">
        <v>352.45</v>
      </c>
      <c r="G4410" s="50" t="s">
        <v>89</v>
      </c>
      <c r="H4410" s="51">
        <v>132.40100000000001</v>
      </c>
      <c r="J4410" s="51">
        <v>5.49</v>
      </c>
      <c r="K4410" s="74">
        <f>Tabela6[[#This Row],[CONSUMO]]*Tabela6[[#This Row],[VALOR UNIT]]-Tabela6[[#This Row],[DESCONTO]]</f>
        <v>726.8814900000001</v>
      </c>
      <c r="L4410" s="53">
        <f>Tabela6[[#This Row],[CUSTO TOTAL]]/Tabela6[[#This Row],[CONSUMO]]</f>
        <v>5.49</v>
      </c>
      <c r="M4410" s="50">
        <f>Tabela6[[#This Row],[KM ATUAL]]-E4355</f>
        <v>-196384.55</v>
      </c>
      <c r="N4410" s="51">
        <f>Tabela6[[#This Row],[KM Rodados ]]/Tabela6[[#This Row],[CONSUMO]]</f>
        <v>-1483.2557911194021</v>
      </c>
    </row>
    <row r="4411" spans="1:14" x14ac:dyDescent="0.25">
      <c r="A4411" s="47">
        <v>392020</v>
      </c>
      <c r="B4411" s="78">
        <v>45399</v>
      </c>
      <c r="C4411" s="47" t="s">
        <v>203</v>
      </c>
      <c r="D4411" s="49" t="s">
        <v>276</v>
      </c>
      <c r="E4411" s="47">
        <v>157670</v>
      </c>
      <c r="G4411" s="50" t="s">
        <v>244</v>
      </c>
      <c r="H4411" s="51">
        <v>46.82</v>
      </c>
      <c r="J4411" s="51">
        <v>5.79</v>
      </c>
      <c r="K4411" s="74">
        <f>Tabela6[[#This Row],[CONSUMO]]*Tabela6[[#This Row],[VALOR UNIT]]-Tabela6[[#This Row],[DESCONTO]]</f>
        <v>271.08780000000002</v>
      </c>
      <c r="L4411" s="53">
        <f>Tabela6[[#This Row],[CUSTO TOTAL]]/Tabela6[[#This Row],[CONSUMO]]</f>
        <v>5.79</v>
      </c>
      <c r="M4411" s="50">
        <f>Tabela6[[#This Row],[KM ATUAL]]-E4356</f>
        <v>133302</v>
      </c>
      <c r="N4411" s="51">
        <f>Tabela6[[#This Row],[KM Rodados ]]/Tabela6[[#This Row],[CONSUMO]]</f>
        <v>2847.1166168304144</v>
      </c>
    </row>
    <row r="4412" spans="1:14" x14ac:dyDescent="0.25">
      <c r="A4412" s="47">
        <v>391909</v>
      </c>
      <c r="B4412" s="78">
        <v>45399</v>
      </c>
      <c r="C4412" s="47" t="s">
        <v>73</v>
      </c>
      <c r="D4412" s="49" t="s">
        <v>276</v>
      </c>
      <c r="E4412" s="47">
        <v>391909</v>
      </c>
      <c r="G4412" s="50" t="s">
        <v>241</v>
      </c>
      <c r="H4412" s="51">
        <v>12.196999999999999</v>
      </c>
      <c r="J4412" s="51">
        <v>3.69</v>
      </c>
      <c r="K4412" s="74">
        <f>Tabela6[[#This Row],[CONSUMO]]*Tabela6[[#This Row],[VALOR UNIT]]-Tabela6[[#This Row],[DESCONTO]]</f>
        <v>45.006929999999997</v>
      </c>
      <c r="L4412" s="53">
        <f>Tabela6[[#This Row],[CUSTO TOTAL]]/Tabela6[[#This Row],[CONSUMO]]</f>
        <v>3.69</v>
      </c>
      <c r="M4412" s="50">
        <f>Tabela6[[#This Row],[KM ATUAL]]-E4357</f>
        <v>381448</v>
      </c>
      <c r="N4412" s="51">
        <f>Tabela6[[#This Row],[KM Rodados ]]/Tabela6[[#This Row],[CONSUMO]]</f>
        <v>31273.919816348283</v>
      </c>
    </row>
    <row r="4413" spans="1:14" x14ac:dyDescent="0.25">
      <c r="A4413" s="47">
        <v>257176</v>
      </c>
      <c r="B4413" s="78">
        <v>45399</v>
      </c>
      <c r="C4413" s="47" t="s">
        <v>207</v>
      </c>
      <c r="D4413" s="49" t="s">
        <v>262</v>
      </c>
      <c r="E4413" s="47">
        <v>65963</v>
      </c>
      <c r="G4413" s="50" t="s">
        <v>244</v>
      </c>
      <c r="H4413" s="51">
        <v>12.84</v>
      </c>
      <c r="J4413" s="51">
        <v>5.69</v>
      </c>
      <c r="K4413" s="74">
        <f>Tabela6[[#This Row],[CONSUMO]]*Tabela6[[#This Row],[VALOR UNIT]]-Tabela6[[#This Row],[DESCONTO]]</f>
        <v>73.059600000000003</v>
      </c>
      <c r="L4413" s="53">
        <f>Tabela6[[#This Row],[CUSTO TOTAL]]/Tabela6[[#This Row],[CONSUMO]]</f>
        <v>5.69</v>
      </c>
      <c r="M4413" s="50">
        <f>Tabela6[[#This Row],[KM ATUAL]]-E4358</f>
        <v>-591622</v>
      </c>
      <c r="N4413" s="51">
        <f>Tabela6[[#This Row],[KM Rodados ]]/Tabela6[[#This Row],[CONSUMO]]</f>
        <v>-46076.479750778817</v>
      </c>
    </row>
    <row r="4414" spans="1:14" x14ac:dyDescent="0.25">
      <c r="A4414" s="47">
        <v>209752</v>
      </c>
      <c r="B4414" s="78">
        <v>45399</v>
      </c>
      <c r="C4414" s="47" t="s">
        <v>11</v>
      </c>
      <c r="D4414" s="49" t="s">
        <v>253</v>
      </c>
      <c r="E4414" s="47">
        <v>414743</v>
      </c>
      <c r="G4414" s="50" t="s">
        <v>89</v>
      </c>
      <c r="H4414" s="51">
        <v>104.67</v>
      </c>
      <c r="J4414" s="51">
        <v>6.09</v>
      </c>
      <c r="K4414" s="74">
        <f>Tabela6[[#This Row],[CONSUMO]]*Tabela6[[#This Row],[VALOR UNIT]]-Tabela6[[#This Row],[DESCONTO]]</f>
        <v>637.44029999999998</v>
      </c>
      <c r="L4414" s="53">
        <f>Tabela6[[#This Row],[CUSTO TOTAL]]/Tabela6[[#This Row],[CONSUMO]]</f>
        <v>6.09</v>
      </c>
      <c r="M4414" s="50">
        <f>Tabela6[[#This Row],[KM ATUAL]]-E4359</f>
        <v>260615</v>
      </c>
      <c r="N4414" s="51">
        <f>Tabela6[[#This Row],[KM Rodados ]]/Tabela6[[#This Row],[CONSUMO]]</f>
        <v>2489.8729339829943</v>
      </c>
    </row>
    <row r="4415" spans="1:14" x14ac:dyDescent="0.25">
      <c r="A4415" s="47">
        <v>209745</v>
      </c>
      <c r="B4415" s="78">
        <v>45399</v>
      </c>
      <c r="C4415" s="47" t="s">
        <v>12</v>
      </c>
      <c r="D4415" s="49" t="s">
        <v>253</v>
      </c>
      <c r="E4415" s="47">
        <v>336299</v>
      </c>
      <c r="G4415" s="50" t="s">
        <v>89</v>
      </c>
      <c r="H4415" s="51">
        <v>97.91</v>
      </c>
      <c r="J4415" s="51">
        <v>6.09</v>
      </c>
      <c r="K4415" s="74">
        <f>Tabela6[[#This Row],[CONSUMO]]*Tabela6[[#This Row],[VALOR UNIT]]-Tabela6[[#This Row],[DESCONTO]]</f>
        <v>596.27189999999996</v>
      </c>
      <c r="L4415" s="53">
        <f>Tabela6[[#This Row],[CUSTO TOTAL]]/Tabela6[[#This Row],[CONSUMO]]</f>
        <v>6.09</v>
      </c>
      <c r="M4415" s="50">
        <f>Tabela6[[#This Row],[KM ATUAL]]-E4360</f>
        <v>8619</v>
      </c>
      <c r="N4415" s="51">
        <f>Tabela6[[#This Row],[KM Rodados ]]/Tabela6[[#This Row],[CONSUMO]]</f>
        <v>88.029823307118789</v>
      </c>
    </row>
    <row r="4416" spans="1:14" x14ac:dyDescent="0.25">
      <c r="A4416" s="47">
        <v>5792</v>
      </c>
      <c r="B4416" s="78">
        <v>45399</v>
      </c>
      <c r="C4416" s="47" t="s">
        <v>18</v>
      </c>
      <c r="D4416" s="49" t="s">
        <v>255</v>
      </c>
      <c r="E4416" s="47">
        <v>355825</v>
      </c>
      <c r="G4416" s="50" t="s">
        <v>89</v>
      </c>
      <c r="H4416" s="51">
        <v>77.171000000000006</v>
      </c>
      <c r="J4416" s="51">
        <v>6.16</v>
      </c>
      <c r="K4416" s="74">
        <f>Tabela6[[#This Row],[CONSUMO]]*Tabela6[[#This Row],[VALOR UNIT]]-Tabela6[[#This Row],[DESCONTO]]</f>
        <v>475.37336000000005</v>
      </c>
      <c r="L4416" s="53">
        <f>Tabela6[[#This Row],[CUSTO TOTAL]]/Tabela6[[#This Row],[CONSUMO]]</f>
        <v>6.16</v>
      </c>
      <c r="M4416" s="50">
        <f>Tabela6[[#This Row],[KM ATUAL]]-E4361</f>
        <v>355825</v>
      </c>
      <c r="N4416" s="51">
        <f>Tabela6[[#This Row],[KM Rodados ]]/Tabela6[[#This Row],[CONSUMO]]</f>
        <v>4610.8641847326062</v>
      </c>
    </row>
    <row r="4417" spans="1:14" x14ac:dyDescent="0.25">
      <c r="B4417" s="78">
        <v>45399</v>
      </c>
      <c r="C4417" s="47" t="s">
        <v>38</v>
      </c>
      <c r="D4417" s="49" t="s">
        <v>255</v>
      </c>
      <c r="E4417" s="47">
        <v>146444</v>
      </c>
      <c r="G4417" s="50" t="s">
        <v>244</v>
      </c>
      <c r="H4417" s="51">
        <v>46.82</v>
      </c>
      <c r="J4417" s="51">
        <v>5.84</v>
      </c>
      <c r="K4417" s="74">
        <f>Tabela6[[#This Row],[CONSUMO]]*Tabela6[[#This Row],[VALOR UNIT]]-Tabela6[[#This Row],[DESCONTO]]</f>
        <v>273.42879999999997</v>
      </c>
      <c r="L4417" s="53">
        <f>Tabela6[[#This Row],[CUSTO TOTAL]]/Tabela6[[#This Row],[CONSUMO]]</f>
        <v>5.839999999999999</v>
      </c>
      <c r="M4417" s="50">
        <f>Tabela6[[#This Row],[KM ATUAL]]-E4362</f>
        <v>146444</v>
      </c>
      <c r="N4417" s="51">
        <f>Tabela6[[#This Row],[KM Rodados ]]/Tabela6[[#This Row],[CONSUMO]]</f>
        <v>3127.8086287911151</v>
      </c>
    </row>
    <row r="4418" spans="1:14" x14ac:dyDescent="0.25">
      <c r="B4418" s="78">
        <v>45399</v>
      </c>
      <c r="C4418" s="47" t="s">
        <v>38</v>
      </c>
      <c r="D4418" s="49" t="s">
        <v>255</v>
      </c>
      <c r="E4418" s="47">
        <v>146444</v>
      </c>
      <c r="G4418" s="50" t="s">
        <v>244</v>
      </c>
      <c r="H4418" s="51">
        <v>46.021000000000001</v>
      </c>
      <c r="J4418" s="51">
        <v>5.95</v>
      </c>
      <c r="K4418" s="74">
        <f>Tabela6[[#This Row],[CONSUMO]]*Tabela6[[#This Row],[VALOR UNIT]]-Tabela6[[#This Row],[DESCONTO]]</f>
        <v>273.82495</v>
      </c>
      <c r="L4418" s="53">
        <f>Tabela6[[#This Row],[CUSTO TOTAL]]/Tabela6[[#This Row],[CONSUMO]]</f>
        <v>5.95</v>
      </c>
      <c r="M4418" s="50">
        <f>Tabela6[[#This Row],[KM ATUAL]]-E4363</f>
        <v>-243265</v>
      </c>
      <c r="N4418" s="51">
        <f>Tabela6[[#This Row],[KM Rodados ]]/Tabela6[[#This Row],[CONSUMO]]</f>
        <v>-5285.9564112035805</v>
      </c>
    </row>
    <row r="4419" spans="1:14" x14ac:dyDescent="0.25">
      <c r="A4419" s="47">
        <v>209689</v>
      </c>
      <c r="B4419" s="78">
        <v>45399</v>
      </c>
      <c r="C4419" s="47" t="s">
        <v>315</v>
      </c>
      <c r="D4419" s="49" t="s">
        <v>253</v>
      </c>
      <c r="E4419" s="47">
        <v>25591</v>
      </c>
      <c r="G4419" s="50" t="s">
        <v>89</v>
      </c>
      <c r="H4419" s="51">
        <v>50.18</v>
      </c>
      <c r="J4419" s="51">
        <v>6.09</v>
      </c>
      <c r="K4419" s="74">
        <f>Tabela6[[#This Row],[CONSUMO]]*Tabela6[[#This Row],[VALOR UNIT]]-Tabela6[[#This Row],[DESCONTO]]</f>
        <v>305.59620000000001</v>
      </c>
      <c r="L4419" s="53">
        <f>Tabela6[[#This Row],[CUSTO TOTAL]]/Tabela6[[#This Row],[CONSUMO]]</f>
        <v>6.09</v>
      </c>
      <c r="M4419" s="50">
        <f>Tabela6[[#This Row],[KM ATUAL]]-E4364</f>
        <v>-682519</v>
      </c>
      <c r="N4419" s="51">
        <f>Tabela6[[#This Row],[KM Rodados ]]/Tabela6[[#This Row],[CONSUMO]]</f>
        <v>-13601.414906337186</v>
      </c>
    </row>
    <row r="4420" spans="1:14" x14ac:dyDescent="0.25">
      <c r="A4420" s="47">
        <v>209757</v>
      </c>
      <c r="B4420" s="78">
        <v>45400</v>
      </c>
      <c r="C4420" s="47" t="s">
        <v>43</v>
      </c>
      <c r="D4420" s="49" t="s">
        <v>263</v>
      </c>
      <c r="E4420" s="47">
        <v>183887</v>
      </c>
      <c r="G4420" s="50" t="s">
        <v>89</v>
      </c>
      <c r="H4420" s="51">
        <v>21.83</v>
      </c>
      <c r="J4420" s="51">
        <v>5.94</v>
      </c>
      <c r="K4420" s="74">
        <f>Tabela6[[#This Row],[CONSUMO]]*Tabela6[[#This Row],[VALOR UNIT]]-Tabela6[[#This Row],[DESCONTO]]</f>
        <v>129.67019999999999</v>
      </c>
      <c r="L4420" s="53">
        <f>Tabela6[[#This Row],[CUSTO TOTAL]]/Tabela6[[#This Row],[CONSUMO]]</f>
        <v>5.94</v>
      </c>
      <c r="M4420" s="50">
        <f>Tabela6[[#This Row],[KM ATUAL]]-E4365</f>
        <v>29339</v>
      </c>
      <c r="N4420" s="51">
        <f>Tabela6[[#This Row],[KM Rodados ]]/Tabela6[[#This Row],[CONSUMO]]</f>
        <v>1343.9761795694001</v>
      </c>
    </row>
    <row r="4421" spans="1:14" x14ac:dyDescent="0.25">
      <c r="A4421" s="47">
        <v>210905</v>
      </c>
      <c r="B4421" s="78">
        <v>45400</v>
      </c>
      <c r="C4421" s="47" t="s">
        <v>9</v>
      </c>
      <c r="D4421" s="49" t="s">
        <v>253</v>
      </c>
      <c r="E4421" s="47">
        <v>657478</v>
      </c>
      <c r="G4421" s="50" t="s">
        <v>89</v>
      </c>
      <c r="H4421" s="51">
        <v>145.66999999999999</v>
      </c>
      <c r="J4421" s="51">
        <v>6.09</v>
      </c>
      <c r="K4421" s="74">
        <f>Tabela6[[#This Row],[CONSUMO]]*Tabela6[[#This Row],[VALOR UNIT]]-Tabela6[[#This Row],[DESCONTO]]</f>
        <v>887.13029999999992</v>
      </c>
      <c r="L4421" s="53">
        <f>Tabela6[[#This Row],[CUSTO TOTAL]]/Tabela6[[#This Row],[CONSUMO]]</f>
        <v>6.09</v>
      </c>
      <c r="M4421" s="50">
        <f>Tabela6[[#This Row],[KM ATUAL]]-E4366</f>
        <v>-457313</v>
      </c>
      <c r="N4421" s="51">
        <f>Tabela6[[#This Row],[KM Rodados ]]/Tabela6[[#This Row],[CONSUMO]]</f>
        <v>-3139.3766733026705</v>
      </c>
    </row>
    <row r="4422" spans="1:14" x14ac:dyDescent="0.25">
      <c r="A4422" s="47">
        <v>803488</v>
      </c>
      <c r="B4422" s="78">
        <v>45400</v>
      </c>
      <c r="C4422" s="47" t="s">
        <v>203</v>
      </c>
      <c r="D4422" s="49" t="s">
        <v>380</v>
      </c>
      <c r="E4422" s="47">
        <v>158117</v>
      </c>
      <c r="G4422" s="50" t="s">
        <v>244</v>
      </c>
      <c r="H4422" s="51">
        <v>39.430999999999997</v>
      </c>
      <c r="J4422" s="51">
        <v>5.69</v>
      </c>
      <c r="K4422" s="74">
        <f>Tabela6[[#This Row],[CONSUMO]]*Tabela6[[#This Row],[VALOR UNIT]]-Tabela6[[#This Row],[DESCONTO]]</f>
        <v>224.36239</v>
      </c>
      <c r="L4422" s="53">
        <f>Tabela6[[#This Row],[CUSTO TOTAL]]/Tabela6[[#This Row],[CONSUMO]]</f>
        <v>5.69</v>
      </c>
      <c r="M4422" s="50">
        <f>Tabela6[[#This Row],[KM ATUAL]]-E4367</f>
        <v>-77633</v>
      </c>
      <c r="N4422" s="51">
        <f>Tabela6[[#This Row],[KM Rodados ]]/Tabela6[[#This Row],[CONSUMO]]</f>
        <v>-1968.8316299358373</v>
      </c>
    </row>
    <row r="4423" spans="1:14" x14ac:dyDescent="0.25">
      <c r="A4423" s="47">
        <v>210895</v>
      </c>
      <c r="B4423" s="78">
        <v>45400</v>
      </c>
      <c r="C4423" s="47" t="s">
        <v>315</v>
      </c>
      <c r="D4423" s="49" t="s">
        <v>253</v>
      </c>
      <c r="E4423" s="47">
        <v>25847</v>
      </c>
      <c r="G4423" s="50" t="s">
        <v>89</v>
      </c>
      <c r="H4423" s="51">
        <v>25.49</v>
      </c>
      <c r="J4423" s="51">
        <v>6.09</v>
      </c>
      <c r="K4423" s="74">
        <f>Tabela6[[#This Row],[CONSUMO]]*Tabela6[[#This Row],[VALOR UNIT]]-Tabela6[[#This Row],[DESCONTO]]</f>
        <v>155.23409999999998</v>
      </c>
      <c r="L4423" s="53">
        <f>Tabela6[[#This Row],[CUSTO TOTAL]]/Tabela6[[#This Row],[CONSUMO]]</f>
        <v>6.09</v>
      </c>
      <c r="M4423" s="50">
        <f>Tabela6[[#This Row],[KM ATUAL]]-E4368</f>
        <v>-302239</v>
      </c>
      <c r="N4423" s="51">
        <f>Tabela6[[#This Row],[KM Rodados ]]/Tabela6[[#This Row],[CONSUMO]]</f>
        <v>-11857.159670459005</v>
      </c>
    </row>
    <row r="4424" spans="1:14" x14ac:dyDescent="0.25">
      <c r="A4424" s="47">
        <v>329867</v>
      </c>
      <c r="B4424" s="78">
        <v>45400</v>
      </c>
      <c r="C4424" s="47" t="s">
        <v>401</v>
      </c>
      <c r="D4424" s="49" t="s">
        <v>402</v>
      </c>
      <c r="E4424" s="47">
        <v>20097</v>
      </c>
      <c r="G4424" s="50" t="s">
        <v>89</v>
      </c>
      <c r="H4424" s="51">
        <v>50.082999999999998</v>
      </c>
      <c r="J4424" s="51">
        <v>5.99</v>
      </c>
      <c r="K4424" s="74">
        <f>Tabela6[[#This Row],[CONSUMO]]*Tabela6[[#This Row],[VALOR UNIT]]-Tabela6[[#This Row],[DESCONTO]]</f>
        <v>299.99716999999998</v>
      </c>
      <c r="L4424" s="53">
        <f>Tabela6[[#This Row],[CUSTO TOTAL]]/Tabela6[[#This Row],[CONSUMO]]</f>
        <v>5.99</v>
      </c>
      <c r="M4424" s="50">
        <f>Tabela6[[#This Row],[KM ATUAL]]-E4369</f>
        <v>-819519</v>
      </c>
      <c r="N4424" s="51">
        <f>Tabela6[[#This Row],[KM Rodados ]]/Tabela6[[#This Row],[CONSUMO]]</f>
        <v>-16363.21705968093</v>
      </c>
    </row>
    <row r="4425" spans="1:14" x14ac:dyDescent="0.25">
      <c r="A4425" s="47">
        <v>257427</v>
      </c>
      <c r="B4425" s="78">
        <v>45400</v>
      </c>
      <c r="C4425" s="47" t="s">
        <v>446</v>
      </c>
      <c r="D4425" s="49" t="s">
        <v>262</v>
      </c>
      <c r="E4425" s="47">
        <v>6541</v>
      </c>
      <c r="G4425" s="50" t="s">
        <v>241</v>
      </c>
      <c r="H4425" s="51">
        <v>26.763000000000002</v>
      </c>
      <c r="I4425" s="49">
        <v>9.64</v>
      </c>
      <c r="J4425" s="51">
        <v>3.69</v>
      </c>
      <c r="K4425" s="74">
        <f>Tabela6[[#This Row],[CONSUMO]]*Tabela6[[#This Row],[VALOR UNIT]]-Tabela6[[#This Row],[DESCONTO]]</f>
        <v>89.115470000000002</v>
      </c>
      <c r="L4425" s="53">
        <f>Tabela6[[#This Row],[CUSTO TOTAL]]/Tabela6[[#This Row],[CONSUMO]]</f>
        <v>3.329801218099615</v>
      </c>
      <c r="M4425" s="50" t="e">
        <f>Tabela6[[#This Row],[KM ATUAL]]-#REF!</f>
        <v>#REF!</v>
      </c>
      <c r="N4425" s="51" t="e">
        <f>Tabela6[[#This Row],[KM Rodados ]]/Tabela6[[#This Row],[CONSUMO]]</f>
        <v>#REF!</v>
      </c>
    </row>
    <row r="4426" spans="1:14" x14ac:dyDescent="0.25">
      <c r="A4426" s="47">
        <v>137944</v>
      </c>
      <c r="B4426" s="78">
        <v>45400</v>
      </c>
      <c r="C4426" s="47" t="s">
        <v>446</v>
      </c>
      <c r="D4426" s="49" t="s">
        <v>272</v>
      </c>
      <c r="E4426" s="47">
        <v>136554</v>
      </c>
      <c r="G4426" s="50" t="s">
        <v>89</v>
      </c>
      <c r="H4426" s="51">
        <v>87.905000000000001</v>
      </c>
      <c r="J4426" s="51">
        <v>5.55</v>
      </c>
      <c r="K4426" s="74">
        <f>Tabela6[[#This Row],[CONSUMO]]*Tabela6[[#This Row],[VALOR UNIT]]-Tabela6[[#This Row],[DESCONTO]]</f>
        <v>487.87275</v>
      </c>
      <c r="L4426" s="53">
        <f>Tabela6[[#This Row],[CUSTO TOTAL]]/Tabela6[[#This Row],[CONSUMO]]</f>
        <v>5.55</v>
      </c>
      <c r="M4426" s="50" t="e">
        <f>Tabela6[[#This Row],[KM ATUAL]]-#REF!</f>
        <v>#REF!</v>
      </c>
      <c r="N4426" s="51" t="e">
        <f>Tabela6[[#This Row],[KM Rodados ]]/Tabela6[[#This Row],[CONSUMO]]</f>
        <v>#REF!</v>
      </c>
    </row>
    <row r="4427" spans="1:14" x14ac:dyDescent="0.25">
      <c r="A4427" s="47">
        <v>209919</v>
      </c>
      <c r="B4427" s="78">
        <v>45401</v>
      </c>
      <c r="C4427" s="47" t="s">
        <v>43</v>
      </c>
      <c r="D4427" s="49" t="s">
        <v>263</v>
      </c>
      <c r="E4427" s="47">
        <v>184326</v>
      </c>
      <c r="G4427" s="50" t="s">
        <v>89</v>
      </c>
      <c r="H4427" s="51">
        <v>16.5</v>
      </c>
      <c r="J4427" s="51">
        <v>5.94</v>
      </c>
      <c r="K4427" s="74">
        <f>Tabela6[[#This Row],[CONSUMO]]*Tabela6[[#This Row],[VALOR UNIT]]-Tabela6[[#This Row],[DESCONTO]]</f>
        <v>98.01</v>
      </c>
      <c r="L4427" s="53">
        <f>Tabela6[[#This Row],[CUSTO TOTAL]]/Tabela6[[#This Row],[CONSUMO]]</f>
        <v>5.94</v>
      </c>
      <c r="M4427" s="50">
        <f>Tabela6[[#This Row],[KM ATUAL]]-E4372</f>
        <v>-931164</v>
      </c>
      <c r="N4427" s="51">
        <f>Tabela6[[#This Row],[KM Rodados ]]/Tabela6[[#This Row],[CONSUMO]]</f>
        <v>-56434.181818181816</v>
      </c>
    </row>
    <row r="4428" spans="1:14" x14ac:dyDescent="0.25">
      <c r="A4428" s="47">
        <v>211670</v>
      </c>
      <c r="B4428" s="78">
        <v>45401</v>
      </c>
      <c r="C4428" s="47" t="s">
        <v>9</v>
      </c>
      <c r="D4428" s="49" t="s">
        <v>253</v>
      </c>
      <c r="E4428" s="47">
        <v>709690</v>
      </c>
      <c r="G4428" s="50" t="s">
        <v>89</v>
      </c>
      <c r="H4428" s="51">
        <v>50.06</v>
      </c>
      <c r="J4428" s="51">
        <v>6.09</v>
      </c>
      <c r="K4428" s="74">
        <f>Tabela6[[#This Row],[CONSUMO]]*Tabela6[[#This Row],[VALOR UNIT]]-Tabela6[[#This Row],[DESCONTO]]</f>
        <v>304.86540000000002</v>
      </c>
      <c r="L4428" s="53">
        <f>Tabela6[[#This Row],[CUSTO TOTAL]]/Tabela6[[#This Row],[CONSUMO]]</f>
        <v>6.09</v>
      </c>
      <c r="M4428" s="50">
        <f>Tabela6[[#This Row],[KM ATUAL]]-E4373</f>
        <v>381338</v>
      </c>
      <c r="N4428" s="51">
        <f>Tabela6[[#This Row],[KM Rodados ]]/Tabela6[[#This Row],[CONSUMO]]</f>
        <v>7617.6188573711543</v>
      </c>
    </row>
    <row r="4429" spans="1:14" x14ac:dyDescent="0.25">
      <c r="A4429" s="47">
        <v>394784</v>
      </c>
      <c r="B4429" s="78">
        <v>45401</v>
      </c>
      <c r="C4429" s="47" t="s">
        <v>42</v>
      </c>
      <c r="D4429" s="49" t="s">
        <v>268</v>
      </c>
      <c r="E4429" s="47">
        <v>393165</v>
      </c>
      <c r="G4429" s="50" t="s">
        <v>89</v>
      </c>
      <c r="H4429" s="51">
        <v>83.03</v>
      </c>
      <c r="J4429" s="51">
        <v>5.69</v>
      </c>
      <c r="K4429" s="74">
        <f>Tabela6[[#This Row],[CONSUMO]]*Tabela6[[#This Row],[VALOR UNIT]]-Tabela6[[#This Row],[DESCONTO]]</f>
        <v>472.44070000000005</v>
      </c>
      <c r="L4429" s="53">
        <f>Tabela6[[#This Row],[CUSTO TOTAL]]/Tabela6[[#This Row],[CONSUMO]]</f>
        <v>5.69</v>
      </c>
      <c r="M4429" s="50">
        <f>Tabela6[[#This Row],[KM ATUAL]]-E4374</f>
        <v>137343</v>
      </c>
      <c r="N4429" s="51">
        <f>Tabela6[[#This Row],[KM Rodados ]]/Tabela6[[#This Row],[CONSUMO]]</f>
        <v>1654.1370588943755</v>
      </c>
    </row>
    <row r="4430" spans="1:14" x14ac:dyDescent="0.25">
      <c r="A4430" s="47">
        <v>82795</v>
      </c>
      <c r="B4430" s="78">
        <v>45401</v>
      </c>
      <c r="C4430" s="47" t="s">
        <v>42</v>
      </c>
      <c r="D4430" s="49" t="s">
        <v>449</v>
      </c>
      <c r="E4430" s="47">
        <v>392353</v>
      </c>
      <c r="G4430" s="50" t="s">
        <v>89</v>
      </c>
      <c r="H4430" s="51">
        <v>47.68</v>
      </c>
      <c r="J4430" s="51">
        <v>6.17</v>
      </c>
      <c r="K4430" s="74">
        <f>Tabela6[[#This Row],[CONSUMO]]*Tabela6[[#This Row],[VALOR UNIT]]-Tabela6[[#This Row],[DESCONTO]]</f>
        <v>294.18560000000002</v>
      </c>
      <c r="L4430" s="53">
        <f>Tabela6[[#This Row],[CUSTO TOTAL]]/Tabela6[[#This Row],[CONSUMO]]</f>
        <v>6.1700000000000008</v>
      </c>
      <c r="M4430" s="50">
        <f>Tabela6[[#This Row],[KM ATUAL]]-E4375</f>
        <v>123845</v>
      </c>
      <c r="N4430" s="51">
        <f>Tabela6[[#This Row],[KM Rodados ]]/Tabela6[[#This Row],[CONSUMO]]</f>
        <v>2597.4203020134228</v>
      </c>
    </row>
    <row r="4431" spans="1:14" x14ac:dyDescent="0.25">
      <c r="A4431" s="47">
        <v>6432</v>
      </c>
      <c r="B4431" s="78">
        <v>45401</v>
      </c>
      <c r="C4431" s="47" t="s">
        <v>42</v>
      </c>
      <c r="D4431" s="49" t="s">
        <v>450</v>
      </c>
      <c r="E4431" s="47">
        <v>392672</v>
      </c>
      <c r="G4431" s="50" t="s">
        <v>89</v>
      </c>
      <c r="H4431" s="51">
        <v>47.64</v>
      </c>
      <c r="J4431" s="51">
        <v>5.85</v>
      </c>
      <c r="K4431" s="74">
        <f>Tabela6[[#This Row],[CONSUMO]]*Tabela6[[#This Row],[VALOR UNIT]]-Tabela6[[#This Row],[DESCONTO]]</f>
        <v>278.69399999999996</v>
      </c>
      <c r="L4431" s="53">
        <f>Tabela6[[#This Row],[CUSTO TOTAL]]/Tabela6[[#This Row],[CONSUMO]]</f>
        <v>5.8499999999999988</v>
      </c>
      <c r="M4431" s="50">
        <f>Tabela6[[#This Row],[KM ATUAL]]-E4376</f>
        <v>2382</v>
      </c>
      <c r="N4431" s="51">
        <f>Tabela6[[#This Row],[KM Rodados ]]/Tabela6[[#This Row],[CONSUMO]]</f>
        <v>50</v>
      </c>
    </row>
    <row r="4432" spans="1:14" x14ac:dyDescent="0.25">
      <c r="A4432" s="47">
        <v>257639</v>
      </c>
      <c r="B4432" s="78">
        <v>45401</v>
      </c>
      <c r="C4432" s="47" t="s">
        <v>222</v>
      </c>
      <c r="D4432" s="49" t="s">
        <v>262</v>
      </c>
      <c r="E4432" s="47">
        <v>570155</v>
      </c>
      <c r="G4432" s="50" t="s">
        <v>89</v>
      </c>
      <c r="H4432" s="51">
        <v>164.03</v>
      </c>
      <c r="I4432" s="49">
        <v>8.07</v>
      </c>
      <c r="J4432" s="51">
        <v>6.09</v>
      </c>
      <c r="K4432" s="74">
        <f>Tabela6[[#This Row],[CONSUMO]]*Tabela6[[#This Row],[VALOR UNIT]]-Tabela6[[#This Row],[DESCONTO]]</f>
        <v>990.8726999999999</v>
      </c>
      <c r="L4432" s="53">
        <f>Tabela6[[#This Row],[CUSTO TOTAL]]/Tabela6[[#This Row],[CONSUMO]]</f>
        <v>6.0408016826190325</v>
      </c>
      <c r="M4432" s="50">
        <f>Tabela6[[#This Row],[KM ATUAL]]-E4377</f>
        <v>372575</v>
      </c>
      <c r="N4432" s="51">
        <f>Tabela6[[#This Row],[KM Rodados ]]/Tabela6[[#This Row],[CONSUMO]]</f>
        <v>2271.3832835456928</v>
      </c>
    </row>
    <row r="4433" spans="1:14" x14ac:dyDescent="0.25">
      <c r="A4433" s="47">
        <v>257639</v>
      </c>
      <c r="B4433" s="78">
        <v>45401</v>
      </c>
      <c r="C4433" s="47" t="s">
        <v>222</v>
      </c>
      <c r="D4433" s="49" t="s">
        <v>262</v>
      </c>
      <c r="E4433" s="47">
        <v>570155</v>
      </c>
      <c r="G4433" s="50" t="s">
        <v>241</v>
      </c>
      <c r="H4433" s="51">
        <v>22.414999999999999</v>
      </c>
      <c r="J4433" s="51">
        <v>3.69</v>
      </c>
      <c r="K4433" s="74">
        <f>Tabela6[[#This Row],[CONSUMO]]*Tabela6[[#This Row],[VALOR UNIT]]-Tabela6[[#This Row],[DESCONTO]]</f>
        <v>82.711349999999996</v>
      </c>
      <c r="L4433" s="53">
        <f>Tabela6[[#This Row],[CUSTO TOTAL]]/Tabela6[[#This Row],[CONSUMO]]</f>
        <v>3.69</v>
      </c>
      <c r="M4433" s="50">
        <f>Tabela6[[#This Row],[KM ATUAL]]-E4378</f>
        <v>-86309</v>
      </c>
      <c r="N4433" s="51">
        <f>Tabela6[[#This Row],[KM Rodados ]]/Tabela6[[#This Row],[CONSUMO]]</f>
        <v>-3850.5018960517514</v>
      </c>
    </row>
    <row r="4434" spans="1:14" x14ac:dyDescent="0.25">
      <c r="A4434" s="47">
        <v>432073</v>
      </c>
      <c r="B4434" s="78">
        <v>45401</v>
      </c>
      <c r="C4434" s="47" t="s">
        <v>67</v>
      </c>
      <c r="D4434" s="49" t="s">
        <v>271</v>
      </c>
      <c r="E4434" s="47">
        <v>709868</v>
      </c>
      <c r="G4434" s="50" t="s">
        <v>89</v>
      </c>
      <c r="H4434" s="51">
        <v>164.131</v>
      </c>
      <c r="J4434" s="51">
        <v>5.69</v>
      </c>
      <c r="K4434" s="74">
        <f>Tabela6[[#This Row],[CONSUMO]]*Tabela6[[#This Row],[VALOR UNIT]]-Tabela6[[#This Row],[DESCONTO]]</f>
        <v>933.90539000000001</v>
      </c>
      <c r="L4434" s="53">
        <f>Tabela6[[#This Row],[CUSTO TOTAL]]/Tabela6[[#This Row],[CONSUMO]]</f>
        <v>5.69</v>
      </c>
      <c r="M4434" s="50">
        <f>Tabela6[[#This Row],[KM ATUAL]]-E4379</f>
        <v>553578</v>
      </c>
      <c r="N4434" s="51">
        <f>Tabela6[[#This Row],[KM Rodados ]]/Tabela6[[#This Row],[CONSUMO]]</f>
        <v>3372.7814977061007</v>
      </c>
    </row>
    <row r="4435" spans="1:14" x14ac:dyDescent="0.25">
      <c r="A4435" s="47">
        <v>211641</v>
      </c>
      <c r="B4435" s="78">
        <v>45401</v>
      </c>
      <c r="C4435" s="47" t="s">
        <v>39</v>
      </c>
      <c r="D4435" s="49" t="s">
        <v>253</v>
      </c>
      <c r="E4435" s="47">
        <v>123048</v>
      </c>
      <c r="G4435" s="50" t="s">
        <v>89</v>
      </c>
      <c r="H4435" s="51">
        <v>63.3</v>
      </c>
      <c r="J4435" s="51">
        <v>6.09</v>
      </c>
      <c r="K4435" s="74">
        <f>Tabela6[[#This Row],[CONSUMO]]*Tabela6[[#This Row],[VALOR UNIT]]-Tabela6[[#This Row],[DESCONTO]]</f>
        <v>385.49699999999996</v>
      </c>
      <c r="L4435" s="53">
        <f>Tabela6[[#This Row],[CUSTO TOTAL]]/Tabela6[[#This Row],[CONSUMO]]</f>
        <v>6.09</v>
      </c>
      <c r="M4435" s="50">
        <f>Tabela6[[#This Row],[KM ATUAL]]-E4380</f>
        <v>-32832</v>
      </c>
      <c r="N4435" s="51">
        <f>Tabela6[[#This Row],[KM Rodados ]]/Tabela6[[#This Row],[CONSUMO]]</f>
        <v>-518.67298578199052</v>
      </c>
    </row>
    <row r="4436" spans="1:14" x14ac:dyDescent="0.25">
      <c r="A4436" s="47">
        <v>145724</v>
      </c>
      <c r="B4436" s="78">
        <v>45401</v>
      </c>
      <c r="C4436" s="47" t="s">
        <v>70</v>
      </c>
      <c r="D4436" s="49" t="s">
        <v>259</v>
      </c>
      <c r="E4436" s="47">
        <v>277117</v>
      </c>
      <c r="G4436" s="50" t="s">
        <v>89</v>
      </c>
      <c r="H4436" s="51">
        <v>570</v>
      </c>
      <c r="J4436" s="51">
        <v>5.69</v>
      </c>
      <c r="K4436" s="74">
        <f>Tabela6[[#This Row],[CONSUMO]]*Tabela6[[#This Row],[VALOR UNIT]]-Tabela6[[#This Row],[DESCONTO]]</f>
        <v>3243.3</v>
      </c>
      <c r="L4436" s="53">
        <f>Tabela6[[#This Row],[CUSTO TOTAL]]/Tabela6[[#This Row],[CONSUMO]]</f>
        <v>5.69</v>
      </c>
      <c r="M4436" s="50">
        <f>Tabela6[[#This Row],[KM ATUAL]]-E4381</f>
        <v>-839824</v>
      </c>
      <c r="N4436" s="51">
        <f>Tabela6[[#This Row],[KM Rodados ]]/Tabela6[[#This Row],[CONSUMO]]</f>
        <v>-1473.3754385964912</v>
      </c>
    </row>
    <row r="4437" spans="1:14" x14ac:dyDescent="0.25">
      <c r="A4437" s="47">
        <v>392407</v>
      </c>
      <c r="B4437" s="78">
        <v>45401</v>
      </c>
      <c r="C4437" s="47" t="s">
        <v>203</v>
      </c>
      <c r="D4437" s="49" t="s">
        <v>276</v>
      </c>
      <c r="E4437" s="47">
        <v>158689</v>
      </c>
      <c r="G4437" s="50" t="s">
        <v>244</v>
      </c>
      <c r="H4437" s="51">
        <v>42.29</v>
      </c>
      <c r="J4437" s="51">
        <v>5.79</v>
      </c>
      <c r="K4437" s="74">
        <f>Tabela6[[#This Row],[CONSUMO]]*Tabela6[[#This Row],[VALOR UNIT]]-Tabela6[[#This Row],[DESCONTO]]</f>
        <v>244.85909999999998</v>
      </c>
      <c r="L4437" s="53">
        <f>Tabela6[[#This Row],[CUSTO TOTAL]]/Tabela6[[#This Row],[CONSUMO]]</f>
        <v>5.79</v>
      </c>
      <c r="M4437" s="50">
        <f>Tabela6[[#This Row],[KM ATUAL]]-E4382</f>
        <v>-196481</v>
      </c>
      <c r="N4437" s="51">
        <f>Tabela6[[#This Row],[KM Rodados ]]/Tabela6[[#This Row],[CONSUMO]]</f>
        <v>-4646.0392527784343</v>
      </c>
    </row>
    <row r="4438" spans="1:14" x14ac:dyDescent="0.25">
      <c r="A4438" s="47">
        <v>375870</v>
      </c>
      <c r="B4438" s="78">
        <v>45401</v>
      </c>
      <c r="C4438" s="47" t="s">
        <v>301</v>
      </c>
      <c r="D4438" s="49" t="s">
        <v>462</v>
      </c>
      <c r="E4438" s="47">
        <v>1111928</v>
      </c>
      <c r="G4438" s="50" t="s">
        <v>89</v>
      </c>
      <c r="H4438" s="51">
        <v>100</v>
      </c>
      <c r="J4438" s="51">
        <v>6.49</v>
      </c>
      <c r="K4438" s="74">
        <f>Tabela6[[#This Row],[CONSUMO]]*Tabela6[[#This Row],[VALOR UNIT]]-Tabela6[[#This Row],[DESCONTO]]</f>
        <v>649</v>
      </c>
      <c r="L4438" s="53">
        <f>Tabela6[[#This Row],[CUSTO TOTAL]]/Tabela6[[#This Row],[CONSUMO]]</f>
        <v>6.49</v>
      </c>
      <c r="M4438" s="50">
        <f>Tabela6[[#This Row],[KM ATUAL]]-E4383</f>
        <v>743212</v>
      </c>
      <c r="N4438" s="51">
        <f>Tabela6[[#This Row],[KM Rodados ]]/Tabela6[[#This Row],[CONSUMO]]</f>
        <v>7432.12</v>
      </c>
    </row>
    <row r="4439" spans="1:14" x14ac:dyDescent="0.25">
      <c r="A4439" s="47">
        <v>257603</v>
      </c>
      <c r="B4439" s="78">
        <v>45401</v>
      </c>
      <c r="C4439" s="47" t="s">
        <v>40</v>
      </c>
      <c r="D4439" s="49" t="s">
        <v>262</v>
      </c>
      <c r="E4439" s="47">
        <v>199070</v>
      </c>
      <c r="G4439" s="50" t="s">
        <v>244</v>
      </c>
      <c r="H4439" s="51">
        <v>48.45</v>
      </c>
      <c r="J4439" s="51">
        <v>5.69</v>
      </c>
      <c r="K4439" s="74">
        <f>Tabela6[[#This Row],[CONSUMO]]*Tabela6[[#This Row],[VALOR UNIT]]-Tabela6[[#This Row],[DESCONTO]]</f>
        <v>275.68050000000005</v>
      </c>
      <c r="L4439" s="53">
        <f>Tabela6[[#This Row],[CUSTO TOTAL]]/Tabela6[[#This Row],[CONSUMO]]</f>
        <v>5.69</v>
      </c>
      <c r="M4439" s="50">
        <f>Tabela6[[#This Row],[KM ATUAL]]-E4384</f>
        <v>196582</v>
      </c>
      <c r="N4439" s="51">
        <f>Tabela6[[#This Row],[KM Rodados ]]/Tabela6[[#This Row],[CONSUMO]]</f>
        <v>4057.4200206398345</v>
      </c>
    </row>
    <row r="4440" spans="1:14" x14ac:dyDescent="0.25">
      <c r="A4440" s="47">
        <v>259262</v>
      </c>
      <c r="B4440" s="78">
        <v>45402</v>
      </c>
      <c r="C4440" s="47" t="s">
        <v>358</v>
      </c>
      <c r="D4440" s="49" t="s">
        <v>374</v>
      </c>
      <c r="E4440" s="47">
        <v>842341</v>
      </c>
      <c r="G4440" s="50" t="s">
        <v>89</v>
      </c>
      <c r="H4440" s="51">
        <v>526</v>
      </c>
      <c r="J4440" s="51">
        <v>5.69</v>
      </c>
      <c r="K4440" s="74">
        <f>Tabela6[[#This Row],[CONSUMO]]*Tabela6[[#This Row],[VALOR UNIT]]-Tabela6[[#This Row],[DESCONTO]]</f>
        <v>2992.94</v>
      </c>
      <c r="L4440" s="53">
        <f>Tabela6[[#This Row],[CUSTO TOTAL]]/Tabela6[[#This Row],[CONSUMO]]</f>
        <v>5.69</v>
      </c>
      <c r="M4440" s="50" t="e">
        <f>Tabela6[[#This Row],[KM ATUAL]]-#REF!</f>
        <v>#REF!</v>
      </c>
      <c r="N4440" s="51" t="e">
        <f>Tabela6[[#This Row],[KM Rodados ]]/Tabela6[[#This Row],[CONSUMO]]</f>
        <v>#REF!</v>
      </c>
    </row>
    <row r="4441" spans="1:14" x14ac:dyDescent="0.25">
      <c r="A4441" s="47">
        <v>189041</v>
      </c>
      <c r="B4441" s="78">
        <v>45402</v>
      </c>
      <c r="C4441" s="47" t="s">
        <v>13</v>
      </c>
      <c r="D4441" s="49" t="s">
        <v>300</v>
      </c>
      <c r="E4441" s="47">
        <v>682759</v>
      </c>
      <c r="G4441" s="50" t="s">
        <v>89</v>
      </c>
      <c r="H4441" s="51">
        <v>175.57499999999999</v>
      </c>
      <c r="J4441" s="51">
        <v>5.69</v>
      </c>
      <c r="K4441" s="74">
        <f>Tabela6[[#This Row],[CONSUMO]]*Tabela6[[#This Row],[VALOR UNIT]]-Tabela6[[#This Row],[DESCONTO]]</f>
        <v>999.02175</v>
      </c>
      <c r="L4441" s="53">
        <f>Tabela6[[#This Row],[CUSTO TOTAL]]/Tabela6[[#This Row],[CONSUMO]]</f>
        <v>5.69</v>
      </c>
      <c r="M4441" s="50">
        <f>Tabela6[[#This Row],[KM ATUAL]]-E4386</f>
        <v>493229</v>
      </c>
      <c r="N4441" s="51">
        <f>Tabela6[[#This Row],[KM Rodados ]]/Tabela6[[#This Row],[CONSUMO]]</f>
        <v>2809.2211305709811</v>
      </c>
    </row>
    <row r="4442" spans="1:14" x14ac:dyDescent="0.25">
      <c r="A4442" s="47">
        <v>927592</v>
      </c>
      <c r="B4442" s="78">
        <v>45403</v>
      </c>
      <c r="C4442" s="47" t="s">
        <v>358</v>
      </c>
      <c r="D4442" s="49" t="s">
        <v>376</v>
      </c>
      <c r="E4442" s="47">
        <v>843117</v>
      </c>
      <c r="G4442" s="50" t="s">
        <v>89</v>
      </c>
      <c r="H4442" s="51">
        <v>448.58</v>
      </c>
      <c r="J4442" s="51">
        <v>7.51</v>
      </c>
      <c r="K4442" s="74">
        <f>Tabela6[[#This Row],[CONSUMO]]*Tabela6[[#This Row],[VALOR UNIT]]-Tabela6[[#This Row],[DESCONTO]]</f>
        <v>3368.8357999999998</v>
      </c>
      <c r="L4442" s="53">
        <f>Tabela6[[#This Row],[CUSTO TOTAL]]/Tabela6[[#This Row],[CONSUMO]]</f>
        <v>7.51</v>
      </c>
      <c r="M4442" s="50" t="e">
        <f>Tabela6[[#This Row],[KM ATUAL]]-#REF!</f>
        <v>#REF!</v>
      </c>
      <c r="N4442" s="51" t="e">
        <f>Tabela6[[#This Row],[KM Rodados ]]/Tabela6[[#This Row],[CONSUMO]]</f>
        <v>#REF!</v>
      </c>
    </row>
    <row r="4443" spans="1:14" x14ac:dyDescent="0.25">
      <c r="A4443" s="47">
        <v>154527</v>
      </c>
      <c r="B4443" s="78">
        <v>45404</v>
      </c>
      <c r="C4443" s="47" t="s">
        <v>43</v>
      </c>
      <c r="D4443" s="49" t="s">
        <v>279</v>
      </c>
      <c r="G4443" s="50" t="s">
        <v>89</v>
      </c>
      <c r="H4443" s="51">
        <v>34.76</v>
      </c>
      <c r="J4443" s="51">
        <v>5.49</v>
      </c>
      <c r="K4443" s="74">
        <f>Tabela6[[#This Row],[CONSUMO]]*Tabela6[[#This Row],[VALOR UNIT]]-Tabela6[[#This Row],[DESCONTO]]</f>
        <v>190.83240000000001</v>
      </c>
      <c r="L4443" s="53">
        <f>Tabela6[[#This Row],[CUSTO TOTAL]]/Tabela6[[#This Row],[CONSUMO]]</f>
        <v>5.49</v>
      </c>
      <c r="M4443" s="50">
        <f>Tabela6[[#This Row],[KM ATUAL]]-E4388</f>
        <v>-274241</v>
      </c>
      <c r="N4443" s="51">
        <f>Tabela6[[#This Row],[KM Rodados ]]/Tabela6[[#This Row],[CONSUMO]]</f>
        <v>-7889.5569620253173</v>
      </c>
    </row>
    <row r="4444" spans="1:14" x14ac:dyDescent="0.25">
      <c r="A4444" s="47">
        <v>760838</v>
      </c>
      <c r="B4444" s="78">
        <v>45404</v>
      </c>
      <c r="C4444" s="47" t="s">
        <v>43</v>
      </c>
      <c r="D4444" s="49" t="s">
        <v>334</v>
      </c>
      <c r="G4444" s="50" t="s">
        <v>89</v>
      </c>
      <c r="H4444" s="51">
        <v>45.429000000000002</v>
      </c>
      <c r="J4444" s="51">
        <v>5.89</v>
      </c>
      <c r="K4444" s="74">
        <f>Tabela6[[#This Row],[CONSUMO]]*Tabela6[[#This Row],[VALOR UNIT]]-Tabela6[[#This Row],[DESCONTO]]</f>
        <v>267.57681000000002</v>
      </c>
      <c r="L4444" s="53">
        <f>Tabela6[[#This Row],[CUSTO TOTAL]]/Tabela6[[#This Row],[CONSUMO]]</f>
        <v>5.8900000000000006</v>
      </c>
      <c r="M4444" s="50">
        <f>Tabela6[[#This Row],[KM ATUAL]]-E4389</f>
        <v>-3045340</v>
      </c>
      <c r="N4444" s="51">
        <f>Tabela6[[#This Row],[KM Rodados ]]/Tabela6[[#This Row],[CONSUMO]]</f>
        <v>-67035.153756411106</v>
      </c>
    </row>
    <row r="4445" spans="1:14" x14ac:dyDescent="0.25">
      <c r="A4445" s="47">
        <v>213674</v>
      </c>
      <c r="B4445" s="78">
        <v>45404</v>
      </c>
      <c r="C4445" s="47" t="s">
        <v>9</v>
      </c>
      <c r="D4445" s="49" t="s">
        <v>253</v>
      </c>
      <c r="E4445" s="47">
        <v>657973</v>
      </c>
      <c r="G4445" s="50" t="s">
        <v>89</v>
      </c>
      <c r="H4445" s="51">
        <v>111.12</v>
      </c>
      <c r="J4445" s="51">
        <v>6.09</v>
      </c>
      <c r="K4445" s="74">
        <f>Tabela6[[#This Row],[CONSUMO]]*Tabela6[[#This Row],[VALOR UNIT]]-Tabela6[[#This Row],[DESCONTO]]</f>
        <v>676.72080000000005</v>
      </c>
      <c r="L4445" s="53">
        <f>Tabela6[[#This Row],[CUSTO TOTAL]]/Tabela6[[#This Row],[CONSUMO]]</f>
        <v>6.09</v>
      </c>
      <c r="M4445" s="50">
        <f>Tabela6[[#This Row],[KM ATUAL]]-E4390</f>
        <v>289023</v>
      </c>
      <c r="N4445" s="51">
        <f>Tabela6[[#This Row],[KM Rodados ]]/Tabela6[[#This Row],[CONSUMO]]</f>
        <v>2600.9989200863929</v>
      </c>
    </row>
    <row r="4446" spans="1:14" x14ac:dyDescent="0.25">
      <c r="A4446" s="47">
        <v>168306</v>
      </c>
      <c r="B4446" s="78">
        <v>45404</v>
      </c>
      <c r="C4446" s="47" t="s">
        <v>203</v>
      </c>
      <c r="D4446" s="49" t="s">
        <v>262</v>
      </c>
      <c r="E4446" s="47">
        <v>159226</v>
      </c>
      <c r="G4446" s="50" t="s">
        <v>244</v>
      </c>
      <c r="H4446" s="51">
        <v>42.9</v>
      </c>
      <c r="J4446" s="51">
        <v>5.79</v>
      </c>
      <c r="K4446" s="74">
        <f>Tabela6[[#This Row],[CONSUMO]]*Tabela6[[#This Row],[VALOR UNIT]]-Tabela6[[#This Row],[DESCONTO]]</f>
        <v>248.39099999999999</v>
      </c>
      <c r="L4446" s="53">
        <f>Tabela6[[#This Row],[CUSTO TOTAL]]/Tabela6[[#This Row],[CONSUMO]]</f>
        <v>5.79</v>
      </c>
      <c r="M4446" s="50">
        <f>Tabela6[[#This Row],[KM ATUAL]]-E4391</f>
        <v>-39247</v>
      </c>
      <c r="N4446" s="51">
        <f>Tabela6[[#This Row],[KM Rodados ]]/Tabela6[[#This Row],[CONSUMO]]</f>
        <v>-914.84848484848487</v>
      </c>
    </row>
    <row r="4447" spans="1:14" x14ac:dyDescent="0.25">
      <c r="A4447" s="47">
        <v>6927</v>
      </c>
      <c r="B4447" s="78">
        <v>45404</v>
      </c>
      <c r="C4447" s="47" t="s">
        <v>14</v>
      </c>
      <c r="D4447" s="49" t="s">
        <v>255</v>
      </c>
      <c r="G4447" s="50" t="s">
        <v>244</v>
      </c>
      <c r="H4447" s="51">
        <v>37.790999999999997</v>
      </c>
      <c r="J4447" s="51">
        <v>5.69</v>
      </c>
      <c r="K4447" s="74">
        <f>Tabela6[[#This Row],[CONSUMO]]*Tabela6[[#This Row],[VALOR UNIT]]-Tabela6[[#This Row],[DESCONTO]]</f>
        <v>215.03079</v>
      </c>
      <c r="L4447" s="53">
        <f>Tabela6[[#This Row],[CUSTO TOTAL]]/Tabela6[[#This Row],[CONSUMO]]</f>
        <v>5.69</v>
      </c>
      <c r="M4447" s="50">
        <f>Tabela6[[#This Row],[KM ATUAL]]-E4392</f>
        <v>-708550</v>
      </c>
      <c r="N4447" s="51">
        <f>Tabela6[[#This Row],[KM Rodados ]]/Tabela6[[#This Row],[CONSUMO]]</f>
        <v>-18749.173083538411</v>
      </c>
    </row>
    <row r="4448" spans="1:14" x14ac:dyDescent="0.25">
      <c r="A4448" s="47">
        <v>6938</v>
      </c>
      <c r="B4448" s="78">
        <v>45404</v>
      </c>
      <c r="C4448" s="47" t="s">
        <v>18</v>
      </c>
      <c r="D4448" s="49" t="s">
        <v>255</v>
      </c>
      <c r="E4448" s="47">
        <v>356397</v>
      </c>
      <c r="G4448" s="50" t="s">
        <v>89</v>
      </c>
      <c r="H4448" s="51">
        <v>80.239999999999995</v>
      </c>
      <c r="J4448" s="51">
        <v>5.89</v>
      </c>
      <c r="K4448" s="74">
        <f>Tabela6[[#This Row],[CONSUMO]]*Tabela6[[#This Row],[VALOR UNIT]]-Tabela6[[#This Row],[DESCONTO]]</f>
        <v>472.61359999999996</v>
      </c>
      <c r="L4448" s="53">
        <f>Tabela6[[#This Row],[CUSTO TOTAL]]/Tabela6[[#This Row],[CONSUMO]]</f>
        <v>5.89</v>
      </c>
      <c r="M4448" s="50">
        <f>Tabela6[[#This Row],[KM ATUAL]]-E4393</f>
        <v>233710</v>
      </c>
      <c r="N4448" s="51">
        <f>Tabela6[[#This Row],[KM Rodados ]]/Tabela6[[#This Row],[CONSUMO]]</f>
        <v>2912.6370887337989</v>
      </c>
    </row>
    <row r="4449" spans="1:14" x14ac:dyDescent="0.25">
      <c r="A4449" s="47">
        <v>288803</v>
      </c>
      <c r="B4449" s="78">
        <v>45404</v>
      </c>
      <c r="C4449" s="47" t="s">
        <v>23</v>
      </c>
      <c r="D4449" s="49" t="s">
        <v>416</v>
      </c>
      <c r="E4449" s="47">
        <v>270401</v>
      </c>
      <c r="G4449" s="50" t="s">
        <v>89</v>
      </c>
      <c r="H4449" s="51">
        <v>68.97</v>
      </c>
      <c r="J4449" s="51">
        <v>6.09</v>
      </c>
      <c r="K4449" s="74">
        <f>Tabela6[[#This Row],[CONSUMO]]*Tabela6[[#This Row],[VALOR UNIT]]-Tabela6[[#This Row],[DESCONTO]]</f>
        <v>420.02729999999997</v>
      </c>
      <c r="L4449" s="53">
        <f>Tabela6[[#This Row],[CUSTO TOTAL]]/Tabela6[[#This Row],[CONSUMO]]</f>
        <v>6.09</v>
      </c>
      <c r="M4449" s="50">
        <f>Tabela6[[#This Row],[KM ATUAL]]-E4394</f>
        <v>113842</v>
      </c>
      <c r="N4449" s="51">
        <f>Tabela6[[#This Row],[KM Rodados ]]/Tabela6[[#This Row],[CONSUMO]]</f>
        <v>1650.6017108887922</v>
      </c>
    </row>
    <row r="4450" spans="1:14" x14ac:dyDescent="0.25">
      <c r="A4450" s="47">
        <v>258351</v>
      </c>
      <c r="B4450" s="78">
        <v>45404</v>
      </c>
      <c r="C4450" s="47" t="s">
        <v>23</v>
      </c>
      <c r="D4450" s="49" t="s">
        <v>262</v>
      </c>
      <c r="G4450" s="50" t="s">
        <v>241</v>
      </c>
      <c r="H4450" s="51">
        <v>26.619</v>
      </c>
      <c r="I4450" s="49">
        <v>9.58</v>
      </c>
      <c r="J4450" s="51">
        <v>3.69</v>
      </c>
      <c r="K4450" s="74">
        <f>Tabela6[[#This Row],[CONSUMO]]*Tabela6[[#This Row],[VALOR UNIT]]-Tabela6[[#This Row],[DESCONTO]]</f>
        <v>88.644109999999998</v>
      </c>
      <c r="L4450" s="53">
        <f>Tabela6[[#This Row],[CUSTO TOTAL]]/Tabela6[[#This Row],[CONSUMO]]</f>
        <v>3.3301066907096435</v>
      </c>
      <c r="M4450" s="50">
        <f>Tabela6[[#This Row],[KM ATUAL]]-E4395</f>
        <v>-453231</v>
      </c>
      <c r="N4450" s="51">
        <f>Tabela6[[#This Row],[KM Rodados ]]/Tabela6[[#This Row],[CONSUMO]]</f>
        <v>-17026.597543108306</v>
      </c>
    </row>
    <row r="4451" spans="1:14" x14ac:dyDescent="0.25">
      <c r="A4451" s="47">
        <v>258548</v>
      </c>
      <c r="B4451" s="78">
        <v>45405</v>
      </c>
      <c r="C4451" s="47" t="s">
        <v>72</v>
      </c>
      <c r="D4451" s="49" t="s">
        <v>262</v>
      </c>
      <c r="E4451" s="47">
        <v>555129</v>
      </c>
      <c r="G4451" s="50" t="s">
        <v>89</v>
      </c>
      <c r="H4451" s="51">
        <v>54.9</v>
      </c>
      <c r="J4451" s="51">
        <v>6.09</v>
      </c>
      <c r="K4451" s="74">
        <f>Tabela6[[#This Row],[CONSUMO]]*Tabela6[[#This Row],[VALOR UNIT]]-Tabela6[[#This Row],[DESCONTO]]</f>
        <v>334.34100000000001</v>
      </c>
      <c r="L4451" s="53">
        <f>Tabela6[[#This Row],[CUSTO TOTAL]]/Tabela6[[#This Row],[CONSUMO]]</f>
        <v>6.0900000000000007</v>
      </c>
      <c r="M4451" s="50">
        <f>Tabela6[[#This Row],[KM ATUAL]]-E4396</f>
        <v>364345</v>
      </c>
      <c r="N4451" s="51">
        <f>Tabela6[[#This Row],[KM Rodados ]]/Tabela6[[#This Row],[CONSUMO]]</f>
        <v>6636.5209471766848</v>
      </c>
    </row>
    <row r="4452" spans="1:14" x14ac:dyDescent="0.25">
      <c r="A4452" s="47">
        <v>487579</v>
      </c>
      <c r="B4452" s="78">
        <v>45405</v>
      </c>
      <c r="C4452" s="47" t="s">
        <v>301</v>
      </c>
      <c r="D4452" s="49" t="s">
        <v>333</v>
      </c>
      <c r="E4452" s="47">
        <v>1113799</v>
      </c>
      <c r="G4452" s="50" t="s">
        <v>89</v>
      </c>
      <c r="H4452" s="51">
        <v>255.018</v>
      </c>
      <c r="J4452" s="51">
        <v>5.79</v>
      </c>
      <c r="K4452" s="74">
        <f>Tabela6[[#This Row],[CONSUMO]]*Tabela6[[#This Row],[VALOR UNIT]]-Tabela6[[#This Row],[DESCONTO]]</f>
        <v>1476.55422</v>
      </c>
      <c r="L4452" s="53">
        <f>Tabela6[[#This Row],[CUSTO TOTAL]]/Tabela6[[#This Row],[CONSUMO]]</f>
        <v>5.79</v>
      </c>
      <c r="M4452" s="50">
        <f>Tabela6[[#This Row],[KM ATUAL]]-E4393</f>
        <v>991112</v>
      </c>
      <c r="N4452" s="51">
        <f>Tabela6[[#This Row],[KM Rodados ]]/Tabela6[[#This Row],[CONSUMO]]</f>
        <v>3886.4393885921777</v>
      </c>
    </row>
    <row r="4453" spans="1:14" x14ac:dyDescent="0.25">
      <c r="A4453" s="47">
        <v>258524</v>
      </c>
      <c r="B4453" s="78">
        <v>45405</v>
      </c>
      <c r="C4453" s="47" t="s">
        <v>13</v>
      </c>
      <c r="D4453" s="49" t="s">
        <v>262</v>
      </c>
      <c r="E4453" s="47">
        <v>682837</v>
      </c>
      <c r="G4453" s="50" t="s">
        <v>241</v>
      </c>
      <c r="H4453" s="51">
        <v>21.693000000000001</v>
      </c>
      <c r="I4453" s="49">
        <v>7.81</v>
      </c>
      <c r="J4453" s="51">
        <v>3.69</v>
      </c>
      <c r="K4453" s="74">
        <f>Tabela6[[#This Row],[CONSUMO]]*Tabela6[[#This Row],[VALOR UNIT]]-Tabela6[[#This Row],[DESCONTO]]</f>
        <v>72.237170000000006</v>
      </c>
      <c r="L4453" s="53">
        <f>Tabela6[[#This Row],[CUSTO TOTAL]]/Tabela6[[#This Row],[CONSUMO]]</f>
        <v>3.3299760291338218</v>
      </c>
      <c r="M4453" s="50">
        <f>Tabela6[[#This Row],[KM ATUAL]]-E4398</f>
        <v>257924</v>
      </c>
      <c r="N4453" s="51">
        <f>Tabela6[[#This Row],[KM Rodados ]]/Tabela6[[#This Row],[CONSUMO]]</f>
        <v>11889.734015581062</v>
      </c>
    </row>
    <row r="4454" spans="1:14" x14ac:dyDescent="0.25">
      <c r="A4454" s="47">
        <v>7440</v>
      </c>
      <c r="B4454" s="78">
        <v>45405</v>
      </c>
      <c r="C4454" s="47" t="s">
        <v>14</v>
      </c>
      <c r="D4454" s="49" t="s">
        <v>255</v>
      </c>
      <c r="E4454" s="47">
        <v>329719</v>
      </c>
      <c r="G4454" s="50" t="s">
        <v>244</v>
      </c>
      <c r="H4454" s="51">
        <v>41.691000000000003</v>
      </c>
      <c r="J4454" s="51">
        <v>5.95</v>
      </c>
      <c r="K4454" s="74">
        <f>Tabela6[[#This Row],[CONSUMO]]*Tabela6[[#This Row],[VALOR UNIT]]-Tabela6[[#This Row],[DESCONTO]]</f>
        <v>248.06145000000004</v>
      </c>
      <c r="L4454" s="53">
        <f>Tabela6[[#This Row],[CUSTO TOTAL]]/Tabela6[[#This Row],[CONSUMO]]</f>
        <v>5.95</v>
      </c>
      <c r="M4454" s="50">
        <f>Tabela6[[#This Row],[KM ATUAL]]-E4399</f>
        <v>-327200</v>
      </c>
      <c r="N4454" s="51">
        <f>Tabela6[[#This Row],[KM Rodados ]]/Tabela6[[#This Row],[CONSUMO]]</f>
        <v>-7848.2166414813746</v>
      </c>
    </row>
    <row r="4455" spans="1:14" x14ac:dyDescent="0.25">
      <c r="A4455" s="47">
        <v>107213</v>
      </c>
      <c r="B4455" s="78">
        <v>45405</v>
      </c>
      <c r="C4455" s="47" t="s">
        <v>23</v>
      </c>
      <c r="D4455" s="49" t="s">
        <v>305</v>
      </c>
      <c r="E4455" s="47">
        <v>274220</v>
      </c>
      <c r="G4455" s="50" t="s">
        <v>89</v>
      </c>
      <c r="H4455" s="51">
        <v>95.01</v>
      </c>
      <c r="J4455" s="51">
        <v>5.73</v>
      </c>
      <c r="K4455" s="74">
        <f>Tabela6[[#This Row],[CONSUMO]]*Tabela6[[#This Row],[VALOR UNIT]]-Tabela6[[#This Row],[DESCONTO]]</f>
        <v>544.40730000000008</v>
      </c>
      <c r="L4455" s="53">
        <f>Tabela6[[#This Row],[CUSTO TOTAL]]/Tabela6[[#This Row],[CONSUMO]]</f>
        <v>5.73</v>
      </c>
      <c r="M4455" s="50">
        <f>Tabela6[[#This Row],[KM ATUAL]]-E4400</f>
        <v>-295049</v>
      </c>
      <c r="N4455" s="51">
        <f>Tabela6[[#This Row],[KM Rodados ]]/Tabela6[[#This Row],[CONSUMO]]</f>
        <v>-3105.4520576781388</v>
      </c>
    </row>
    <row r="4456" spans="1:14" x14ac:dyDescent="0.25">
      <c r="A4456" s="47">
        <v>251749</v>
      </c>
      <c r="B4456" s="78">
        <v>45405</v>
      </c>
      <c r="C4456" s="47" t="s">
        <v>23</v>
      </c>
      <c r="D4456" s="49" t="s">
        <v>308</v>
      </c>
      <c r="E4456" s="47">
        <v>270763</v>
      </c>
      <c r="G4456" s="50" t="s">
        <v>89</v>
      </c>
      <c r="H4456" s="51">
        <v>89.69</v>
      </c>
      <c r="J4456" s="51">
        <v>5.64</v>
      </c>
      <c r="K4456" s="74">
        <f>Tabela6[[#This Row],[CONSUMO]]*Tabela6[[#This Row],[VALOR UNIT]]-Tabela6[[#This Row],[DESCONTO]]</f>
        <v>505.85159999999996</v>
      </c>
      <c r="L4456" s="53">
        <f>Tabela6[[#This Row],[CUSTO TOTAL]]/Tabela6[[#This Row],[CONSUMO]]</f>
        <v>5.64</v>
      </c>
      <c r="M4456" s="50">
        <f>Tabela6[[#This Row],[KM ATUAL]]-E4401</f>
        <v>-438282</v>
      </c>
      <c r="N4456" s="51">
        <f>Tabela6[[#This Row],[KM Rodados ]]/Tabela6[[#This Row],[CONSUMO]]</f>
        <v>-4886.6317315196793</v>
      </c>
    </row>
    <row r="4457" spans="1:14" x14ac:dyDescent="0.25">
      <c r="A4457" s="47">
        <v>214269</v>
      </c>
      <c r="B4457" s="78">
        <v>45405</v>
      </c>
      <c r="C4457" s="47" t="s">
        <v>315</v>
      </c>
      <c r="D4457" s="49" t="s">
        <v>253</v>
      </c>
      <c r="E4457" s="47">
        <v>26541</v>
      </c>
      <c r="G4457" s="50" t="s">
        <v>89</v>
      </c>
      <c r="H4457" s="51">
        <v>53.55</v>
      </c>
      <c r="J4457" s="51">
        <v>6.09</v>
      </c>
      <c r="K4457" s="74">
        <f>Tabela6[[#This Row],[CONSUMO]]*Tabela6[[#This Row],[VALOR UNIT]]-Tabela6[[#This Row],[DESCONTO]]</f>
        <v>326.11949999999996</v>
      </c>
      <c r="L4457" s="53">
        <f>Tabela6[[#This Row],[CUSTO TOTAL]]/Tabela6[[#This Row],[CONSUMO]]</f>
        <v>6.09</v>
      </c>
      <c r="M4457" s="50">
        <f>Tabela6[[#This Row],[KM ATUAL]]-E4402</f>
        <v>-248893</v>
      </c>
      <c r="N4457" s="51">
        <f>Tabela6[[#This Row],[KM Rodados ]]/Tabela6[[#This Row],[CONSUMO]]</f>
        <v>-4647.8618113912235</v>
      </c>
    </row>
    <row r="4458" spans="1:14" x14ac:dyDescent="0.25">
      <c r="A4458" s="47">
        <v>169933</v>
      </c>
      <c r="B4458" s="78">
        <v>45405</v>
      </c>
      <c r="C4458" s="47" t="s">
        <v>401</v>
      </c>
      <c r="D4458" s="49" t="s">
        <v>277</v>
      </c>
      <c r="E4458" s="47">
        <v>21631</v>
      </c>
      <c r="G4458" s="50" t="s">
        <v>89</v>
      </c>
      <c r="H4458" s="51">
        <v>66.777100000000004</v>
      </c>
      <c r="J4458" s="51">
        <v>6.19</v>
      </c>
      <c r="K4458" s="74">
        <f>Tabela6[[#This Row],[CONSUMO]]*Tabela6[[#This Row],[VALOR UNIT]]-Tabela6[[#This Row],[DESCONTO]]</f>
        <v>413.35024900000008</v>
      </c>
      <c r="L4458" s="53">
        <f>Tabela6[[#This Row],[CUSTO TOTAL]]/Tabela6[[#This Row],[CONSUMO]]</f>
        <v>6.19</v>
      </c>
      <c r="M4458" s="50">
        <f>Tabela6[[#This Row],[KM ATUAL]]-E4403</f>
        <v>21587.18</v>
      </c>
      <c r="N4458" s="51">
        <f>Tabela6[[#This Row],[KM Rodados ]]/Tabela6[[#This Row],[CONSUMO]]</f>
        <v>323.27219960136034</v>
      </c>
    </row>
    <row r="4459" spans="1:14" x14ac:dyDescent="0.25">
      <c r="A4459" s="47">
        <v>258512</v>
      </c>
      <c r="B4459" s="78">
        <v>45405</v>
      </c>
      <c r="C4459" s="47" t="s">
        <v>426</v>
      </c>
      <c r="D4459" s="49" t="s">
        <v>262</v>
      </c>
      <c r="E4459" s="47">
        <v>14825</v>
      </c>
      <c r="G4459" s="50" t="s">
        <v>241</v>
      </c>
      <c r="H4459" s="51">
        <v>15.285</v>
      </c>
      <c r="I4459" s="49">
        <v>5.5</v>
      </c>
      <c r="J4459" s="51">
        <v>3.69</v>
      </c>
      <c r="K4459" s="74">
        <f>Tabela6[[#This Row],[CONSUMO]]*Tabela6[[#This Row],[VALOR UNIT]]-Tabela6[[#This Row],[DESCONTO]]</f>
        <v>50.901649999999997</v>
      </c>
      <c r="L4459" s="53">
        <f>Tabela6[[#This Row],[CUSTO TOTAL]]/Tabela6[[#This Row],[CONSUMO]]</f>
        <v>3.3301701014066074</v>
      </c>
      <c r="M4459" s="50">
        <f>Tabela6[[#This Row],[KM ATUAL]]-E4404</f>
        <v>-313973</v>
      </c>
      <c r="N4459" s="51">
        <f>Tabela6[[#This Row],[KM Rodados ]]/Tabela6[[#This Row],[CONSUMO]]</f>
        <v>-20541.249591102387</v>
      </c>
    </row>
    <row r="4460" spans="1:14" x14ac:dyDescent="0.25">
      <c r="A4460" s="47">
        <v>640862</v>
      </c>
      <c r="B4460" s="78">
        <v>45406</v>
      </c>
      <c r="C4460" s="47" t="s">
        <v>358</v>
      </c>
      <c r="D4460" s="49" t="s">
        <v>378</v>
      </c>
      <c r="E4460" s="47">
        <v>844628</v>
      </c>
      <c r="G4460" s="50" t="s">
        <v>89</v>
      </c>
      <c r="H4460" s="51">
        <v>494</v>
      </c>
      <c r="J4460" s="51">
        <v>5.69</v>
      </c>
      <c r="K4460" s="74">
        <f>Tabela6[[#This Row],[CONSUMO]]*Tabela6[[#This Row],[VALOR UNIT]]-Tabela6[[#This Row],[DESCONTO]]</f>
        <v>2810.86</v>
      </c>
      <c r="L4460" s="53">
        <f>Tabela6[[#This Row],[CUSTO TOTAL]]/Tabela6[[#This Row],[CONSUMO]]</f>
        <v>5.69</v>
      </c>
      <c r="M4460" s="50" t="e">
        <f>Tabela6[[#This Row],[KM ATUAL]]-#REF!</f>
        <v>#REF!</v>
      </c>
      <c r="N4460" s="51" t="e">
        <f>Tabela6[[#This Row],[KM Rodados ]]/Tabela6[[#This Row],[CONSUMO]]</f>
        <v>#REF!</v>
      </c>
    </row>
    <row r="4461" spans="1:14" x14ac:dyDescent="0.25">
      <c r="A4461" s="47">
        <v>258756</v>
      </c>
      <c r="B4461" s="78">
        <v>45406</v>
      </c>
      <c r="C4461" s="47" t="s">
        <v>43</v>
      </c>
      <c r="D4461" s="49" t="s">
        <v>262</v>
      </c>
      <c r="E4461" s="47">
        <v>185729</v>
      </c>
      <c r="G4461" s="50" t="s">
        <v>89</v>
      </c>
      <c r="H4461" s="51">
        <v>15.21</v>
      </c>
      <c r="J4461" s="51">
        <v>6.09</v>
      </c>
      <c r="K4461" s="74">
        <f>Tabela6[[#This Row],[CONSUMO]]*Tabela6[[#This Row],[VALOR UNIT]]-Tabela6[[#This Row],[DESCONTO]]</f>
        <v>92.628900000000002</v>
      </c>
      <c r="L4461" s="53">
        <f>Tabela6[[#This Row],[CUSTO TOTAL]]/Tabela6[[#This Row],[CONSUMO]]</f>
        <v>6.09</v>
      </c>
      <c r="M4461" s="50">
        <f>Tabela6[[#This Row],[KM ATUAL]]-E4406</f>
        <v>-83679</v>
      </c>
      <c r="N4461" s="51">
        <f>Tabela6[[#This Row],[KM Rodados ]]/Tabela6[[#This Row],[CONSUMO]]</f>
        <v>-5501.5779092702169</v>
      </c>
    </row>
    <row r="4462" spans="1:14" x14ac:dyDescent="0.25">
      <c r="A4462" s="47">
        <v>215673</v>
      </c>
      <c r="B4462" s="78">
        <v>45406</v>
      </c>
      <c r="C4462" s="47" t="s">
        <v>9</v>
      </c>
      <c r="D4462" s="49" t="s">
        <v>253</v>
      </c>
      <c r="E4462" s="47">
        <v>658394</v>
      </c>
      <c r="G4462" s="50" t="s">
        <v>89</v>
      </c>
      <c r="H4462" s="51">
        <v>117.98</v>
      </c>
      <c r="J4462" s="51">
        <v>6.09</v>
      </c>
      <c r="K4462" s="74">
        <f>Tabela6[[#This Row],[CONSUMO]]*Tabela6[[#This Row],[VALOR UNIT]]-Tabela6[[#This Row],[DESCONTO]]</f>
        <v>718.4982</v>
      </c>
      <c r="L4462" s="53">
        <f>Tabela6[[#This Row],[CUSTO TOTAL]]/Tabela6[[#This Row],[CONSUMO]]</f>
        <v>6.09</v>
      </c>
      <c r="M4462" s="50">
        <f>Tabela6[[#This Row],[KM ATUAL]]-E4407</f>
        <v>622230</v>
      </c>
      <c r="N4462" s="51">
        <f>Tabela6[[#This Row],[KM Rodados ]]/Tabela6[[#This Row],[CONSUMO]]</f>
        <v>5274.0294965248349</v>
      </c>
    </row>
    <row r="4463" spans="1:14" x14ac:dyDescent="0.25">
      <c r="A4463" s="47">
        <v>191899</v>
      </c>
      <c r="B4463" s="78">
        <v>45406</v>
      </c>
      <c r="C4463" s="47" t="s">
        <v>67</v>
      </c>
      <c r="D4463" s="49" t="s">
        <v>300</v>
      </c>
      <c r="E4463" s="47">
        <v>710500</v>
      </c>
      <c r="G4463" s="50" t="s">
        <v>89</v>
      </c>
      <c r="H4463" s="51">
        <v>172.73</v>
      </c>
      <c r="J4463" s="51">
        <v>5.69</v>
      </c>
      <c r="K4463" s="74">
        <f>Tabela6[[#This Row],[CONSUMO]]*Tabela6[[#This Row],[VALOR UNIT]]-Tabela6[[#This Row],[DESCONTO]]</f>
        <v>982.83370000000002</v>
      </c>
      <c r="L4463" s="53">
        <f>Tabela6[[#This Row],[CUSTO TOTAL]]/Tabela6[[#This Row],[CONSUMO]]</f>
        <v>5.69</v>
      </c>
      <c r="M4463" s="50">
        <f>Tabela6[[#This Row],[KM ATUAL]]-E4408</f>
        <v>691149</v>
      </c>
      <c r="N4463" s="51">
        <f>Tabela6[[#This Row],[KM Rodados ]]/Tabela6[[#This Row],[CONSUMO]]</f>
        <v>4001.3257685404969</v>
      </c>
    </row>
    <row r="4464" spans="1:14" x14ac:dyDescent="0.25">
      <c r="A4464" s="47">
        <v>358753</v>
      </c>
      <c r="B4464" s="78">
        <v>45406</v>
      </c>
      <c r="C4464" s="47" t="s">
        <v>40</v>
      </c>
      <c r="D4464" s="49" t="s">
        <v>262</v>
      </c>
      <c r="E4464" s="47">
        <v>199506</v>
      </c>
      <c r="G4464" s="50" t="s">
        <v>244</v>
      </c>
      <c r="H4464" s="51">
        <v>35.96</v>
      </c>
      <c r="J4464" s="51">
        <v>5.69</v>
      </c>
      <c r="K4464" s="74">
        <f>Tabela6[[#This Row],[CONSUMO]]*Tabela6[[#This Row],[VALOR UNIT]]-Tabela6[[#This Row],[DESCONTO]]</f>
        <v>204.61240000000001</v>
      </c>
      <c r="L4464" s="53">
        <f>Tabela6[[#This Row],[CUSTO TOTAL]]/Tabela6[[#This Row],[CONSUMO]]</f>
        <v>5.69</v>
      </c>
      <c r="M4464" s="50">
        <f>Tabela6[[#This Row],[KM ATUAL]]-E4409</f>
        <v>199322.28599999999</v>
      </c>
      <c r="N4464" s="51">
        <f>Tabela6[[#This Row],[KM Rodados ]]/Tabela6[[#This Row],[CONSUMO]]</f>
        <v>5542.8889321468296</v>
      </c>
    </row>
    <row r="4465" spans="1:14" x14ac:dyDescent="0.25">
      <c r="A4465" s="47">
        <v>258789</v>
      </c>
      <c r="B4465" s="78">
        <v>45406</v>
      </c>
      <c r="C4465" s="47" t="s">
        <v>401</v>
      </c>
      <c r="D4465" s="49" t="s">
        <v>262</v>
      </c>
      <c r="E4465" s="47">
        <v>21790</v>
      </c>
      <c r="G4465" s="50" t="s">
        <v>241</v>
      </c>
      <c r="H4465" s="51">
        <v>28.98</v>
      </c>
      <c r="I4465" s="49">
        <v>10.44</v>
      </c>
      <c r="J4465" s="51">
        <v>3.69</v>
      </c>
      <c r="K4465" s="74">
        <f>Tabela6[[#This Row],[CONSUMO]]*Tabela6[[#This Row],[VALOR UNIT]]-Tabela6[[#This Row],[DESCONTO]]</f>
        <v>96.496200000000002</v>
      </c>
      <c r="L4465" s="53">
        <f>Tabela6[[#This Row],[CUSTO TOTAL]]/Tabela6[[#This Row],[CONSUMO]]</f>
        <v>3.329751552795031</v>
      </c>
      <c r="M4465" s="50">
        <f>Tabela6[[#This Row],[KM ATUAL]]-E4410</f>
        <v>21437.55</v>
      </c>
      <c r="N4465" s="51">
        <f>Tabela6[[#This Row],[KM Rodados ]]/Tabela6[[#This Row],[CONSUMO]]</f>
        <v>739.73602484472042</v>
      </c>
    </row>
    <row r="4466" spans="1:14" x14ac:dyDescent="0.25">
      <c r="A4466" s="47">
        <v>259015</v>
      </c>
      <c r="B4466" s="78">
        <v>45407</v>
      </c>
      <c r="C4466" s="47" t="s">
        <v>215</v>
      </c>
      <c r="D4466" s="49" t="s">
        <v>262</v>
      </c>
      <c r="E4466" s="47">
        <v>23823</v>
      </c>
      <c r="G4466" s="50" t="s">
        <v>244</v>
      </c>
      <c r="H4466" s="51">
        <v>33.301000000000002</v>
      </c>
      <c r="J4466" s="51">
        <v>5.69</v>
      </c>
      <c r="K4466" s="74">
        <f>Tabela6[[#This Row],[CONSUMO]]*Tabela6[[#This Row],[VALOR UNIT]]-Tabela6[[#This Row],[DESCONTO]]</f>
        <v>189.48269000000002</v>
      </c>
      <c r="L4466" s="53">
        <f>Tabela6[[#This Row],[CUSTO TOTAL]]/Tabela6[[#This Row],[CONSUMO]]</f>
        <v>5.69</v>
      </c>
      <c r="M4466" s="50">
        <f>Tabela6[[#This Row],[KM ATUAL]]-E4411</f>
        <v>-133847</v>
      </c>
      <c r="N4466" s="51">
        <f>Tabela6[[#This Row],[KM Rodados ]]/Tabela6[[#This Row],[CONSUMO]]</f>
        <v>-4019.3087294675834</v>
      </c>
    </row>
    <row r="4467" spans="1:14" x14ac:dyDescent="0.25">
      <c r="A4467" s="47">
        <v>168689</v>
      </c>
      <c r="B4467" s="78">
        <v>45407</v>
      </c>
      <c r="C4467" s="47" t="s">
        <v>203</v>
      </c>
      <c r="D4467" s="49" t="s">
        <v>260</v>
      </c>
      <c r="E4467" s="47">
        <v>159610</v>
      </c>
      <c r="G4467" s="50" t="s">
        <v>244</v>
      </c>
      <c r="H4467" s="51">
        <v>33.33</v>
      </c>
      <c r="J4467" s="51">
        <v>5.79</v>
      </c>
      <c r="K4467" s="74">
        <f>Tabela6[[#This Row],[CONSUMO]]*Tabela6[[#This Row],[VALOR UNIT]]-Tabela6[[#This Row],[DESCONTO]]</f>
        <v>192.98069999999998</v>
      </c>
      <c r="L4467" s="53">
        <f>Tabela6[[#This Row],[CUSTO TOTAL]]/Tabela6[[#This Row],[CONSUMO]]</f>
        <v>5.79</v>
      </c>
      <c r="M4467" s="50">
        <f>Tabela6[[#This Row],[KM ATUAL]]-E4412</f>
        <v>-232299</v>
      </c>
      <c r="N4467" s="51">
        <f>Tabela6[[#This Row],[KM Rodados ]]/Tabela6[[#This Row],[CONSUMO]]</f>
        <v>-6969.66696669667</v>
      </c>
    </row>
    <row r="4468" spans="1:14" x14ac:dyDescent="0.25">
      <c r="A4468" s="47">
        <v>216070</v>
      </c>
      <c r="B4468" s="78">
        <v>45407</v>
      </c>
      <c r="C4468" s="47" t="s">
        <v>11</v>
      </c>
      <c r="D4468" s="49" t="s">
        <v>253</v>
      </c>
      <c r="E4468" s="47">
        <v>415374</v>
      </c>
      <c r="G4468" s="50" t="s">
        <v>89</v>
      </c>
      <c r="H4468" s="51">
        <v>103.93</v>
      </c>
      <c r="J4468" s="51">
        <v>6.09</v>
      </c>
      <c r="K4468" s="74">
        <f>Tabela6[[#This Row],[CONSUMO]]*Tabela6[[#This Row],[VALOR UNIT]]-Tabela6[[#This Row],[DESCONTO]]</f>
        <v>632.93370000000004</v>
      </c>
      <c r="L4468" s="53">
        <f>Tabela6[[#This Row],[CUSTO TOTAL]]/Tabela6[[#This Row],[CONSUMO]]</f>
        <v>6.09</v>
      </c>
      <c r="M4468" s="50">
        <f>Tabela6[[#This Row],[KM ATUAL]]-E4413</f>
        <v>349411</v>
      </c>
      <c r="N4468" s="51">
        <f>Tabela6[[#This Row],[KM Rodados ]]/Tabela6[[#This Row],[CONSUMO]]</f>
        <v>3361.9840277109593</v>
      </c>
    </row>
    <row r="4469" spans="1:14" x14ac:dyDescent="0.25">
      <c r="A4469" s="47">
        <v>216310</v>
      </c>
      <c r="B4469" s="78">
        <v>45407</v>
      </c>
      <c r="C4469" s="47" t="s">
        <v>12</v>
      </c>
      <c r="D4469" s="49" t="s">
        <v>253</v>
      </c>
      <c r="E4469" s="47">
        <v>336797</v>
      </c>
      <c r="G4469" s="50" t="s">
        <v>241</v>
      </c>
      <c r="H4469" s="51">
        <v>12.779</v>
      </c>
      <c r="J4469" s="51">
        <v>3.49</v>
      </c>
      <c r="K4469" s="74">
        <f>Tabela6[[#This Row],[CONSUMO]]*Tabela6[[#This Row],[VALOR UNIT]]-Tabela6[[#This Row],[DESCONTO]]</f>
        <v>44.598710000000004</v>
      </c>
      <c r="L4469" s="53">
        <f>Tabela6[[#This Row],[CUSTO TOTAL]]/Tabela6[[#This Row],[CONSUMO]]</f>
        <v>3.49</v>
      </c>
      <c r="M4469" s="50">
        <f>Tabela6[[#This Row],[KM ATUAL]]-E4414</f>
        <v>-77946</v>
      </c>
      <c r="N4469" s="51">
        <f>Tabela6[[#This Row],[KM Rodados ]]/Tabela6[[#This Row],[CONSUMO]]</f>
        <v>-6099.5383050316923</v>
      </c>
    </row>
    <row r="4470" spans="1:14" x14ac:dyDescent="0.25">
      <c r="A4470" s="47">
        <v>216310</v>
      </c>
      <c r="B4470" s="78">
        <v>45407</v>
      </c>
      <c r="C4470" s="47" t="s">
        <v>12</v>
      </c>
      <c r="D4470" s="49" t="s">
        <v>253</v>
      </c>
      <c r="E4470" s="47">
        <v>336797</v>
      </c>
      <c r="G4470" s="50" t="s">
        <v>89</v>
      </c>
      <c r="H4470" s="51">
        <v>92.05</v>
      </c>
      <c r="J4470" s="51">
        <v>6.09</v>
      </c>
      <c r="K4470" s="74">
        <f>Tabela6[[#This Row],[CONSUMO]]*Tabela6[[#This Row],[VALOR UNIT]]-Tabela6[[#This Row],[DESCONTO]]</f>
        <v>560.58449999999993</v>
      </c>
      <c r="L4470" s="53">
        <f>Tabela6[[#This Row],[CUSTO TOTAL]]/Tabela6[[#This Row],[CONSUMO]]</f>
        <v>6.09</v>
      </c>
      <c r="M4470" s="50">
        <f>Tabela6[[#This Row],[KM ATUAL]]-E4415</f>
        <v>498</v>
      </c>
      <c r="N4470" s="51">
        <f>Tabela6[[#This Row],[KM Rodados ]]/Tabela6[[#This Row],[CONSUMO]]</f>
        <v>5.4101032047800111</v>
      </c>
    </row>
    <row r="4471" spans="1:14" x14ac:dyDescent="0.25">
      <c r="A4471" s="47">
        <v>131015</v>
      </c>
      <c r="B4471" s="78">
        <v>45407</v>
      </c>
      <c r="C4471" s="47" t="s">
        <v>13</v>
      </c>
      <c r="D4471" s="49" t="s">
        <v>451</v>
      </c>
      <c r="E4471" s="47">
        <v>683664</v>
      </c>
      <c r="G4471" s="50" t="s">
        <v>89</v>
      </c>
      <c r="H4471" s="51">
        <v>106.97</v>
      </c>
      <c r="J4471" s="51">
        <v>5.59</v>
      </c>
      <c r="K4471" s="74">
        <f>Tabela6[[#This Row],[CONSUMO]]*Tabela6[[#This Row],[VALOR UNIT]]-Tabela6[[#This Row],[DESCONTO]]</f>
        <v>597.96230000000003</v>
      </c>
      <c r="L4471" s="53">
        <f>Tabela6[[#This Row],[CUSTO TOTAL]]/Tabela6[[#This Row],[CONSUMO]]</f>
        <v>5.5900000000000007</v>
      </c>
      <c r="M4471" s="50">
        <f>Tabela6[[#This Row],[KM ATUAL]]-E4416</f>
        <v>327839</v>
      </c>
      <c r="N4471" s="51">
        <f>Tabela6[[#This Row],[KM Rodados ]]/Tabela6[[#This Row],[CONSUMO]]</f>
        <v>3064.7751706085819</v>
      </c>
    </row>
    <row r="4472" spans="1:14" x14ac:dyDescent="0.25">
      <c r="A4472" s="47">
        <v>119733</v>
      </c>
      <c r="B4472" s="78">
        <v>45407</v>
      </c>
      <c r="C4472" s="47" t="s">
        <v>14</v>
      </c>
      <c r="D4472" s="49" t="s">
        <v>263</v>
      </c>
      <c r="E4472" s="47">
        <v>330072</v>
      </c>
      <c r="G4472" s="50" t="s">
        <v>244</v>
      </c>
      <c r="H4472" s="51">
        <v>27.18</v>
      </c>
      <c r="J4472" s="51">
        <v>5.79</v>
      </c>
      <c r="K4472" s="74">
        <f>Tabela6[[#This Row],[CONSUMO]]*Tabela6[[#This Row],[VALOR UNIT]]-Tabela6[[#This Row],[DESCONTO]]</f>
        <v>157.37219999999999</v>
      </c>
      <c r="L4472" s="53">
        <f>Tabela6[[#This Row],[CUSTO TOTAL]]/Tabela6[[#This Row],[CONSUMO]]</f>
        <v>5.79</v>
      </c>
      <c r="M4472" s="50">
        <f>Tabela6[[#This Row],[KM ATUAL]]-E4417</f>
        <v>183628</v>
      </c>
      <c r="N4472" s="51">
        <f>Tabela6[[#This Row],[KM Rodados ]]/Tabela6[[#This Row],[CONSUMO]]</f>
        <v>6755.9970566593083</v>
      </c>
    </row>
    <row r="4473" spans="1:14" x14ac:dyDescent="0.25">
      <c r="A4473" s="47">
        <v>7915</v>
      </c>
      <c r="B4473" s="78">
        <v>45407</v>
      </c>
      <c r="C4473" s="47" t="s">
        <v>16</v>
      </c>
      <c r="D4473" s="49" t="s">
        <v>255</v>
      </c>
      <c r="E4473" s="47">
        <v>320716</v>
      </c>
      <c r="G4473" s="50" t="s">
        <v>89</v>
      </c>
      <c r="H4473" s="51">
        <v>92.35</v>
      </c>
      <c r="J4473" s="51">
        <v>6.26</v>
      </c>
      <c r="K4473" s="74">
        <f>Tabela6[[#This Row],[CONSUMO]]*Tabela6[[#This Row],[VALOR UNIT]]-Tabela6[[#This Row],[DESCONTO]]</f>
        <v>578.11099999999999</v>
      </c>
      <c r="L4473" s="53">
        <f>Tabela6[[#This Row],[CUSTO TOTAL]]/Tabela6[[#This Row],[CONSUMO]]</f>
        <v>6.2600000000000007</v>
      </c>
      <c r="M4473" s="50">
        <f>Tabela6[[#This Row],[KM ATUAL]]-E4418</f>
        <v>174272</v>
      </c>
      <c r="N4473" s="51">
        <f>Tabela6[[#This Row],[KM Rodados ]]/Tabela6[[#This Row],[CONSUMO]]</f>
        <v>1887.0817541959937</v>
      </c>
    </row>
    <row r="4474" spans="1:14" x14ac:dyDescent="0.25">
      <c r="A4474" s="47">
        <v>259044</v>
      </c>
      <c r="B4474" s="78">
        <v>45407</v>
      </c>
      <c r="C4474" s="49" t="s">
        <v>17</v>
      </c>
      <c r="D4474" s="49" t="s">
        <v>262</v>
      </c>
      <c r="E4474" s="47">
        <v>408389</v>
      </c>
      <c r="G4474" s="49" t="s">
        <v>241</v>
      </c>
      <c r="H4474" s="51">
        <v>26.547000000000001</v>
      </c>
      <c r="I4474" s="49">
        <v>9.56</v>
      </c>
      <c r="J4474" s="51">
        <v>3.69</v>
      </c>
      <c r="K4474" s="74">
        <f>Tabela6[[#This Row],[CONSUMO]]*Tabela6[[#This Row],[VALOR UNIT]]-Tabela6[[#This Row],[DESCONTO]]</f>
        <v>88.398430000000005</v>
      </c>
      <c r="M4474" s="50">
        <f>Tabela6[[#This Row],[KM ATUAL]]-E4419</f>
        <v>382798</v>
      </c>
      <c r="N4474" s="51">
        <f>Tabela6[[#This Row],[KM Rodados ]]/Tabela6[[#This Row],[CONSUMO]]</f>
        <v>14419.633103552191</v>
      </c>
    </row>
    <row r="4475" spans="1:14" x14ac:dyDescent="0.25">
      <c r="A4475" s="47">
        <v>7772</v>
      </c>
      <c r="B4475" s="78">
        <v>45407</v>
      </c>
      <c r="C4475" s="47" t="s">
        <v>18</v>
      </c>
      <c r="D4475" s="49" t="s">
        <v>255</v>
      </c>
      <c r="E4475" s="47">
        <v>357042</v>
      </c>
      <c r="G4475" s="50" t="s">
        <v>89</v>
      </c>
      <c r="H4475" s="51">
        <v>85.361000000000004</v>
      </c>
      <c r="J4475" s="51">
        <v>5.99</v>
      </c>
      <c r="K4475" s="74">
        <f>Tabela6[[#This Row],[CONSUMO]]*Tabela6[[#This Row],[VALOR UNIT]]-Tabela6[[#This Row],[DESCONTO]]</f>
        <v>511.31239000000005</v>
      </c>
      <c r="L4475" s="53">
        <f>Tabela6[[#This Row],[CUSTO TOTAL]]/Tabela6[[#This Row],[CONSUMO]]</f>
        <v>5.99</v>
      </c>
      <c r="M4475" s="50">
        <f>Tabela6[[#This Row],[KM ATUAL]]-E4420</f>
        <v>173155</v>
      </c>
      <c r="N4475" s="51">
        <f>Tabela6[[#This Row],[KM Rodados ]]/Tabela6[[#This Row],[CONSUMO]]</f>
        <v>2028.5024777123042</v>
      </c>
    </row>
    <row r="4476" spans="1:14" x14ac:dyDescent="0.25">
      <c r="A4476" s="47">
        <v>894952</v>
      </c>
      <c r="B4476" s="78">
        <v>45407</v>
      </c>
      <c r="C4476" s="47" t="s">
        <v>19</v>
      </c>
      <c r="D4476" s="49" t="s">
        <v>264</v>
      </c>
      <c r="E4476" s="47">
        <v>371070</v>
      </c>
      <c r="G4476" s="50" t="s">
        <v>89</v>
      </c>
      <c r="H4476" s="51">
        <v>115.74</v>
      </c>
      <c r="J4476" s="51">
        <v>5.81</v>
      </c>
      <c r="K4476" s="74">
        <f>Tabela6[[#This Row],[CONSUMO]]*Tabela6[[#This Row],[VALOR UNIT]]-Tabela6[[#This Row],[DESCONTO]]</f>
        <v>672.44939999999997</v>
      </c>
      <c r="L4476" s="53">
        <f>Tabela6[[#This Row],[CUSTO TOTAL]]/Tabela6[[#This Row],[CONSUMO]]</f>
        <v>5.81</v>
      </c>
      <c r="M4476" s="50">
        <f>Tabela6[[#This Row],[KM ATUAL]]-E4421</f>
        <v>-286408</v>
      </c>
      <c r="N4476" s="51">
        <f>Tabela6[[#This Row],[KM Rodados ]]/Tabela6[[#This Row],[CONSUMO]]</f>
        <v>-2474.5809573181268</v>
      </c>
    </row>
    <row r="4477" spans="1:14" x14ac:dyDescent="0.25">
      <c r="A4477" s="47">
        <v>894535</v>
      </c>
      <c r="B4477" s="78">
        <v>45407</v>
      </c>
      <c r="C4477" s="49" t="s">
        <v>401</v>
      </c>
      <c r="D4477" s="49" t="s">
        <v>357</v>
      </c>
      <c r="E4477" s="47">
        <v>22300</v>
      </c>
      <c r="G4477" s="49" t="s">
        <v>89</v>
      </c>
      <c r="H4477" s="51">
        <v>51.64</v>
      </c>
      <c r="J4477" s="51">
        <v>5.81</v>
      </c>
      <c r="K4477" s="74">
        <f>Tabela6[[#This Row],[CONSUMO]]*Tabela6[[#This Row],[VALOR UNIT]]-Tabela6[[#This Row],[DESCONTO]]</f>
        <v>300.02839999999998</v>
      </c>
      <c r="M4477" s="50">
        <f>Tabela6[[#This Row],[KM ATUAL]]-E4422</f>
        <v>-135817</v>
      </c>
      <c r="N4477" s="51">
        <f>Tabela6[[#This Row],[KM Rodados ]]/Tabela6[[#This Row],[CONSUMO]]</f>
        <v>-2630.0735863671571</v>
      </c>
    </row>
    <row r="4478" spans="1:14" x14ac:dyDescent="0.25">
      <c r="A4478" s="47">
        <v>216850</v>
      </c>
      <c r="B4478" s="78">
        <v>45408</v>
      </c>
      <c r="C4478" s="47" t="s">
        <v>9</v>
      </c>
      <c r="D4478" s="49" t="s">
        <v>253</v>
      </c>
      <c r="E4478" s="47">
        <v>657842</v>
      </c>
      <c r="G4478" s="50" t="s">
        <v>89</v>
      </c>
      <c r="H4478" s="51">
        <v>111.2</v>
      </c>
      <c r="J4478" s="51">
        <v>6.09</v>
      </c>
      <c r="K4478" s="74">
        <f>Tabela6[[#This Row],[CONSUMO]]*Tabela6[[#This Row],[VALOR UNIT]]-Tabela6[[#This Row],[DESCONTO]]</f>
        <v>677.20799999999997</v>
      </c>
      <c r="L4478" s="53">
        <f>Tabela6[[#This Row],[CUSTO TOTAL]]/Tabela6[[#This Row],[CONSUMO]]</f>
        <v>6.09</v>
      </c>
      <c r="M4478" s="50">
        <f>Tabela6[[#This Row],[KM ATUAL]]-E4423</f>
        <v>631995</v>
      </c>
      <c r="N4478" s="51">
        <f>Tabela6[[#This Row],[KM Rodados ]]/Tabela6[[#This Row],[CONSUMO]]</f>
        <v>5683.4082733812947</v>
      </c>
    </row>
    <row r="4479" spans="1:14" x14ac:dyDescent="0.25">
      <c r="A4479" s="47">
        <v>216923</v>
      </c>
      <c r="B4479" s="78">
        <v>45408</v>
      </c>
      <c r="C4479" s="47" t="s">
        <v>39</v>
      </c>
      <c r="D4479" s="49" t="s">
        <v>253</v>
      </c>
      <c r="E4479" s="47">
        <v>123369</v>
      </c>
      <c r="G4479" s="50" t="s">
        <v>89</v>
      </c>
      <c r="H4479" s="51">
        <v>65.59</v>
      </c>
      <c r="J4479" s="51">
        <v>6.09</v>
      </c>
      <c r="K4479" s="74">
        <f>Tabela6[[#This Row],[CONSUMO]]*Tabela6[[#This Row],[VALOR UNIT]]-Tabela6[[#This Row],[DESCONTO]]</f>
        <v>399.44310000000002</v>
      </c>
      <c r="L4479" s="53">
        <f>Tabela6[[#This Row],[CUSTO TOTAL]]/Tabela6[[#This Row],[CONSUMO]]</f>
        <v>6.09</v>
      </c>
      <c r="M4479" s="50">
        <f>Tabela6[[#This Row],[KM ATUAL]]-E4424</f>
        <v>103272</v>
      </c>
      <c r="N4479" s="51">
        <f>Tabela6[[#This Row],[KM Rodados ]]/Tabela6[[#This Row],[CONSUMO]]</f>
        <v>1574.5083091934746</v>
      </c>
    </row>
    <row r="4480" spans="1:14" x14ac:dyDescent="0.25">
      <c r="A4480" s="47">
        <v>168822</v>
      </c>
      <c r="B4480" s="78">
        <v>45408</v>
      </c>
      <c r="C4480" s="47" t="s">
        <v>203</v>
      </c>
      <c r="D4480" s="49" t="s">
        <v>260</v>
      </c>
      <c r="E4480" s="47">
        <v>160164</v>
      </c>
      <c r="G4480" s="50" t="s">
        <v>244</v>
      </c>
      <c r="H4480" s="51">
        <v>44.591000000000001</v>
      </c>
      <c r="J4480" s="51">
        <v>5.79</v>
      </c>
      <c r="K4480" s="74">
        <f>Tabela6[[#This Row],[CONSUMO]]*Tabela6[[#This Row],[VALOR UNIT]]-Tabela6[[#This Row],[DESCONTO]]</f>
        <v>258.18189000000001</v>
      </c>
      <c r="L4480" s="53">
        <f>Tabela6[[#This Row],[CUSTO TOTAL]]/Tabela6[[#This Row],[CONSUMO]]</f>
        <v>5.79</v>
      </c>
      <c r="M4480" s="50">
        <f>Tabela6[[#This Row],[KM ATUAL]]-E4425</f>
        <v>153623</v>
      </c>
      <c r="N4480" s="51">
        <f>Tabela6[[#This Row],[KM Rodados ]]/Tabela6[[#This Row],[CONSUMO]]</f>
        <v>3445.1570944809491</v>
      </c>
    </row>
    <row r="4481" spans="1:14" x14ac:dyDescent="0.25">
      <c r="A4481" s="47">
        <v>259354</v>
      </c>
      <c r="B4481" s="78">
        <v>45408</v>
      </c>
      <c r="C4481" s="47" t="s">
        <v>14</v>
      </c>
      <c r="D4481" s="49" t="s">
        <v>262</v>
      </c>
      <c r="E4481" s="47">
        <v>330477</v>
      </c>
      <c r="G4481" s="50" t="s">
        <v>244</v>
      </c>
      <c r="H4481" s="51">
        <v>31.75</v>
      </c>
      <c r="J4481" s="51">
        <v>5.69</v>
      </c>
      <c r="K4481" s="74">
        <f>Tabela6[[#This Row],[CONSUMO]]*Tabela6[[#This Row],[VALOR UNIT]]-Tabela6[[#This Row],[DESCONTO]]</f>
        <v>180.6575</v>
      </c>
      <c r="L4481" s="53">
        <f>Tabela6[[#This Row],[CUSTO TOTAL]]/Tabela6[[#This Row],[CONSUMO]]</f>
        <v>5.69</v>
      </c>
      <c r="M4481" s="50">
        <f>Tabela6[[#This Row],[KM ATUAL]]-E4426</f>
        <v>193923</v>
      </c>
      <c r="N4481" s="51">
        <f>Tabela6[[#This Row],[KM Rodados ]]/Tabela6[[#This Row],[CONSUMO]]</f>
        <v>6107.8110236220473</v>
      </c>
    </row>
    <row r="4482" spans="1:14" x14ac:dyDescent="0.25">
      <c r="A4482" s="47">
        <v>259197</v>
      </c>
      <c r="B4482" s="78">
        <v>45408</v>
      </c>
      <c r="C4482" s="47" t="s">
        <v>23</v>
      </c>
      <c r="D4482" s="49" t="s">
        <v>262</v>
      </c>
      <c r="E4482" s="47">
        <v>272436</v>
      </c>
      <c r="G4482" s="50" t="s">
        <v>89</v>
      </c>
      <c r="H4482" s="51">
        <v>95.87</v>
      </c>
      <c r="J4482" s="51">
        <v>6.09</v>
      </c>
      <c r="K4482" s="74">
        <f>Tabela6[[#This Row],[CONSUMO]]*Tabela6[[#This Row],[VALOR UNIT]]-Tabela6[[#This Row],[DESCONTO]]</f>
        <v>583.84829999999999</v>
      </c>
      <c r="L4482" s="53">
        <f>Tabela6[[#This Row],[CUSTO TOTAL]]/Tabela6[[#This Row],[CONSUMO]]</f>
        <v>6.09</v>
      </c>
      <c r="M4482" s="50">
        <f>Tabela6[[#This Row],[KM ATUAL]]-E4427</f>
        <v>88110</v>
      </c>
      <c r="N4482" s="51">
        <f>Tabela6[[#This Row],[KM Rodados ]]/Tabela6[[#This Row],[CONSUMO]]</f>
        <v>919.05705643058309</v>
      </c>
    </row>
    <row r="4483" spans="1:14" x14ac:dyDescent="0.25">
      <c r="A4483" s="47">
        <v>259197</v>
      </c>
      <c r="B4483" s="78">
        <v>45408</v>
      </c>
      <c r="C4483" s="47" t="s">
        <v>23</v>
      </c>
      <c r="D4483" s="49" t="s">
        <v>262</v>
      </c>
      <c r="E4483" s="47">
        <v>272436</v>
      </c>
      <c r="G4483" s="50" t="s">
        <v>241</v>
      </c>
      <c r="H4483" s="51">
        <v>21.163</v>
      </c>
      <c r="I4483" s="49">
        <v>7.62</v>
      </c>
      <c r="J4483" s="51">
        <v>3.69</v>
      </c>
      <c r="K4483" s="74">
        <f>Tabela6[[#This Row],[CONSUMO]]*Tabela6[[#This Row],[VALOR UNIT]]-Tabela6[[#This Row],[DESCONTO]]</f>
        <v>70.471469999999997</v>
      </c>
      <c r="L4483" s="53">
        <f>Tabela6[[#This Row],[CUSTO TOTAL]]/Tabela6[[#This Row],[CONSUMO]]</f>
        <v>3.3299376269905019</v>
      </c>
      <c r="M4483" s="50">
        <f>Tabela6[[#This Row],[KM ATUAL]]-E4428</f>
        <v>-437254</v>
      </c>
      <c r="N4483" s="51">
        <f>Tabela6[[#This Row],[KM Rodados ]]/Tabela6[[#This Row],[CONSUMO]]</f>
        <v>-20661.248405235554</v>
      </c>
    </row>
    <row r="4484" spans="1:14" x14ac:dyDescent="0.25">
      <c r="A4484" s="47">
        <v>259181</v>
      </c>
      <c r="B4484" s="78">
        <v>45408</v>
      </c>
      <c r="C4484" s="47" t="s">
        <v>40</v>
      </c>
      <c r="D4484" s="49" t="s">
        <v>262</v>
      </c>
      <c r="E4484" s="47">
        <v>199919</v>
      </c>
      <c r="G4484" s="50" t="s">
        <v>244</v>
      </c>
      <c r="H4484" s="51">
        <v>32.54</v>
      </c>
      <c r="J4484" s="51">
        <v>5.69</v>
      </c>
      <c r="K4484" s="74">
        <f>Tabela6[[#This Row],[CONSUMO]]*Tabela6[[#This Row],[VALOR UNIT]]-Tabela6[[#This Row],[DESCONTO]]</f>
        <v>185.15260000000001</v>
      </c>
      <c r="L4484" s="53">
        <f>Tabela6[[#This Row],[CUSTO TOTAL]]/Tabela6[[#This Row],[CONSUMO]]</f>
        <v>5.69</v>
      </c>
      <c r="M4484" s="50">
        <f>Tabela6[[#This Row],[KM ATUAL]]-E4429</f>
        <v>-193246</v>
      </c>
      <c r="N4484" s="51">
        <f>Tabela6[[#This Row],[KM Rodados ]]/Tabela6[[#This Row],[CONSUMO]]</f>
        <v>-5938.7215734480642</v>
      </c>
    </row>
    <row r="4485" spans="1:14" x14ac:dyDescent="0.25">
      <c r="A4485" s="47">
        <v>216892</v>
      </c>
      <c r="B4485" s="78">
        <v>45408</v>
      </c>
      <c r="C4485" s="47" t="s">
        <v>315</v>
      </c>
      <c r="D4485" s="49" t="s">
        <v>253</v>
      </c>
      <c r="E4485" s="47">
        <v>26941</v>
      </c>
      <c r="G4485" s="50" t="s">
        <v>89</v>
      </c>
      <c r="H4485" s="51">
        <v>38.590000000000003</v>
      </c>
      <c r="J4485" s="51">
        <v>6.09</v>
      </c>
      <c r="K4485" s="74">
        <f>Tabela6[[#This Row],[CONSUMO]]*Tabela6[[#This Row],[VALOR UNIT]]-Tabela6[[#This Row],[DESCONTO]]</f>
        <v>235.01310000000001</v>
      </c>
      <c r="L4485" s="53">
        <f>Tabela6[[#This Row],[CUSTO TOTAL]]/Tabela6[[#This Row],[CONSUMO]]</f>
        <v>6.09</v>
      </c>
      <c r="M4485" s="50">
        <f>Tabela6[[#This Row],[KM ATUAL]]-E4430</f>
        <v>-365412</v>
      </c>
      <c r="N4485" s="51">
        <f>Tabela6[[#This Row],[KM Rodados ]]/Tabela6[[#This Row],[CONSUMO]]</f>
        <v>-9469.0852552474735</v>
      </c>
    </row>
    <row r="4486" spans="1:14" x14ac:dyDescent="0.25">
      <c r="A4486" s="47">
        <v>259229</v>
      </c>
      <c r="B4486" s="78">
        <v>45408</v>
      </c>
      <c r="C4486" s="47" t="s">
        <v>446</v>
      </c>
      <c r="D4486" s="49" t="s">
        <v>262</v>
      </c>
      <c r="E4486" s="47">
        <v>7897</v>
      </c>
      <c r="G4486" s="50" t="s">
        <v>241</v>
      </c>
      <c r="H4486" s="51">
        <v>24.559000000000001</v>
      </c>
      <c r="I4486" s="49">
        <v>8.84</v>
      </c>
      <c r="J4486" s="51">
        <v>3.69</v>
      </c>
      <c r="K4486" s="74">
        <f>Tabela6[[#This Row],[CONSUMO]]*Tabela6[[#This Row],[VALOR UNIT]]-Tabela6[[#This Row],[DESCONTO]]</f>
        <v>81.782709999999994</v>
      </c>
      <c r="L4486" s="53">
        <f>Tabela6[[#This Row],[CUSTO TOTAL]]/Tabela6[[#This Row],[CONSUMO]]</f>
        <v>3.3300504906551565</v>
      </c>
      <c r="M4486" s="50" t="e">
        <f>Tabela6[[#This Row],[KM ATUAL]]-#REF!</f>
        <v>#REF!</v>
      </c>
      <c r="N4486" s="51" t="e">
        <f>Tabela6[[#This Row],[KM Rodados ]]/Tabela6[[#This Row],[CONSUMO]]</f>
        <v>#REF!</v>
      </c>
    </row>
    <row r="4487" spans="1:14" x14ac:dyDescent="0.25">
      <c r="A4487" s="47">
        <v>361392</v>
      </c>
      <c r="B4487" s="78">
        <v>45409</v>
      </c>
      <c r="C4487" s="47" t="s">
        <v>301</v>
      </c>
      <c r="D4487" s="49" t="s">
        <v>270</v>
      </c>
      <c r="E4487" s="47">
        <v>1111986</v>
      </c>
      <c r="G4487" s="50" t="s">
        <v>89</v>
      </c>
      <c r="H4487" s="51">
        <v>2107.4899999999998</v>
      </c>
      <c r="J4487" s="51">
        <v>5.59</v>
      </c>
      <c r="K4487" s="74">
        <f>Tabela6[[#This Row],[CONSUMO]]*Tabela6[[#This Row],[VALOR UNIT]]-Tabela6[[#This Row],[DESCONTO]]</f>
        <v>11780.869099999998</v>
      </c>
      <c r="L4487" s="53">
        <f>Tabela6[[#This Row],[CUSTO TOTAL]]/Tabela6[[#This Row],[CONSUMO]]</f>
        <v>5.59</v>
      </c>
      <c r="M4487" s="50">
        <f>Tabela6[[#This Row],[KM ATUAL]]-E4432</f>
        <v>541831</v>
      </c>
      <c r="N4487" s="51">
        <f>Tabela6[[#This Row],[KM Rodados ]]/Tabela6[[#This Row],[CONSUMO]]</f>
        <v>257.09777982339182</v>
      </c>
    </row>
    <row r="4488" spans="1:14" x14ac:dyDescent="0.25">
      <c r="A4488" s="47">
        <v>493994</v>
      </c>
      <c r="B4488" s="78">
        <v>45410</v>
      </c>
      <c r="C4488" s="47" t="s">
        <v>67</v>
      </c>
      <c r="D4488" s="49" t="s">
        <v>273</v>
      </c>
      <c r="E4488" s="47">
        <v>710860</v>
      </c>
      <c r="G4488" s="50" t="s">
        <v>89</v>
      </c>
      <c r="H4488" s="51">
        <v>95.35</v>
      </c>
      <c r="J4488" s="51">
        <v>5.69</v>
      </c>
      <c r="K4488" s="74">
        <f>Tabela6[[#This Row],[CONSUMO]]*Tabela6[[#This Row],[VALOR UNIT]]-Tabela6[[#This Row],[DESCONTO]]</f>
        <v>542.54150000000004</v>
      </c>
      <c r="L4488" s="53">
        <f>Tabela6[[#This Row],[CUSTO TOTAL]]/Tabela6[[#This Row],[CONSUMO]]</f>
        <v>5.69</v>
      </c>
      <c r="M4488" s="50">
        <f>Tabela6[[#This Row],[KM ATUAL]]-E4433</f>
        <v>140705</v>
      </c>
      <c r="N4488" s="51">
        <f>Tabela6[[#This Row],[KM Rodados ]]/Tabela6[[#This Row],[CONSUMO]]</f>
        <v>1475.6685894074462</v>
      </c>
    </row>
    <row r="4489" spans="1:14" x14ac:dyDescent="0.25">
      <c r="A4489" s="47" t="s">
        <v>455</v>
      </c>
      <c r="B4489" s="78">
        <v>45410</v>
      </c>
      <c r="C4489" s="47" t="s">
        <v>301</v>
      </c>
      <c r="D4489" s="49" t="s">
        <v>374</v>
      </c>
      <c r="E4489" s="47">
        <v>1112077</v>
      </c>
      <c r="G4489" s="50" t="s">
        <v>89</v>
      </c>
      <c r="H4489" s="51">
        <v>2695.47</v>
      </c>
      <c r="J4489" s="51">
        <v>5.69</v>
      </c>
      <c r="K4489" s="74">
        <f>Tabela6[[#This Row],[CONSUMO]]*Tabela6[[#This Row],[VALOR UNIT]]-Tabela6[[#This Row],[DESCONTO]]</f>
        <v>15337.2243</v>
      </c>
      <c r="L4489" s="53">
        <f>Tabela6[[#This Row],[CUSTO TOTAL]]/Tabela6[[#This Row],[CONSUMO]]</f>
        <v>5.69</v>
      </c>
      <c r="M4489" s="50">
        <f>Tabela6[[#This Row],[KM ATUAL]]-E4434</f>
        <v>402209</v>
      </c>
      <c r="N4489" s="51">
        <f>Tabela6[[#This Row],[KM Rodados ]]/Tabela6[[#This Row],[CONSUMO]]</f>
        <v>149.21664867351521</v>
      </c>
    </row>
    <row r="4490" spans="1:14" x14ac:dyDescent="0.25">
      <c r="A4490" s="47">
        <v>472828</v>
      </c>
      <c r="B4490" s="78">
        <v>45410</v>
      </c>
      <c r="C4490" s="47" t="s">
        <v>301</v>
      </c>
      <c r="D4490" s="49" t="s">
        <v>333</v>
      </c>
      <c r="E4490" s="47">
        <v>1112120</v>
      </c>
      <c r="G4490" s="50" t="s">
        <v>89</v>
      </c>
      <c r="H4490" s="51">
        <v>1158.17</v>
      </c>
      <c r="J4490" s="51">
        <v>5.79</v>
      </c>
      <c r="K4490" s="74">
        <f>Tabela6[[#This Row],[CONSUMO]]*Tabela6[[#This Row],[VALOR UNIT]]-Tabela6[[#This Row],[DESCONTO]]</f>
        <v>6705.8043000000007</v>
      </c>
      <c r="L4490" s="53">
        <f>Tabela6[[#This Row],[CUSTO TOTAL]]/Tabela6[[#This Row],[CONSUMO]]</f>
        <v>5.79</v>
      </c>
      <c r="M4490" s="50">
        <f>Tabela6[[#This Row],[KM ATUAL]]-E4435</f>
        <v>989072</v>
      </c>
      <c r="N4490" s="51">
        <f>Tabela6[[#This Row],[KM Rodados ]]/Tabela6[[#This Row],[CONSUMO]]</f>
        <v>853.99552742688888</v>
      </c>
    </row>
    <row r="4491" spans="1:14" x14ac:dyDescent="0.25">
      <c r="A4491" s="47">
        <v>211929</v>
      </c>
      <c r="B4491" s="78">
        <v>45411</v>
      </c>
      <c r="C4491" s="47" t="s">
        <v>68</v>
      </c>
      <c r="D4491" s="49" t="s">
        <v>263</v>
      </c>
      <c r="E4491" s="47">
        <v>970190</v>
      </c>
      <c r="G4491" s="50" t="s">
        <v>89</v>
      </c>
      <c r="H4491" s="51">
        <v>200</v>
      </c>
      <c r="I4491" s="49">
        <v>30</v>
      </c>
      <c r="J4491" s="51">
        <v>5.94</v>
      </c>
      <c r="K4491" s="74">
        <f>Tabela6[[#This Row],[CONSUMO]]*Tabela6[[#This Row],[VALOR UNIT]]-Tabela6[[#This Row],[DESCONTO]]</f>
        <v>1158</v>
      </c>
      <c r="L4491" s="53">
        <f>Tabela6[[#This Row],[CUSTO TOTAL]]/Tabela6[[#This Row],[CONSUMO]]</f>
        <v>5.79</v>
      </c>
      <c r="M4491" s="50">
        <f>Tabela6[[#This Row],[KM ATUAL]]-E4436</f>
        <v>693073</v>
      </c>
      <c r="N4491" s="51">
        <f>Tabela6[[#This Row],[KM Rodados ]]/Tabela6[[#This Row],[CONSUMO]]</f>
        <v>3465.3649999999998</v>
      </c>
    </row>
    <row r="4492" spans="1:14" x14ac:dyDescent="0.25">
      <c r="A4492" s="47">
        <v>211753</v>
      </c>
      <c r="B4492" s="78">
        <v>45411</v>
      </c>
      <c r="C4492" s="47" t="s">
        <v>43</v>
      </c>
      <c r="D4492" s="49" t="s">
        <v>263</v>
      </c>
      <c r="E4492" s="47">
        <v>186521</v>
      </c>
      <c r="G4492" s="50" t="s">
        <v>89</v>
      </c>
      <c r="H4492" s="51">
        <v>23.82</v>
      </c>
      <c r="I4492" s="49">
        <v>3.58</v>
      </c>
      <c r="J4492" s="51">
        <v>5.94</v>
      </c>
      <c r="K4492" s="74">
        <f>Tabela6[[#This Row],[CONSUMO]]*Tabela6[[#This Row],[VALOR UNIT]]-Tabela6[[#This Row],[DESCONTO]]</f>
        <v>137.91079999999999</v>
      </c>
      <c r="L4492" s="53">
        <f>Tabela6[[#This Row],[CUSTO TOTAL]]/Tabela6[[#This Row],[CONSUMO]]</f>
        <v>5.7897061293031067</v>
      </c>
      <c r="M4492" s="50">
        <f>Tabela6[[#This Row],[KM ATUAL]]-E4437</f>
        <v>27832</v>
      </c>
      <c r="N4492" s="51">
        <f>Tabela6[[#This Row],[KM Rodados ]]/Tabela6[[#This Row],[CONSUMO]]</f>
        <v>1168.4298908480268</v>
      </c>
    </row>
    <row r="4493" spans="1:14" x14ac:dyDescent="0.25">
      <c r="A4493" s="47">
        <v>773512</v>
      </c>
      <c r="B4493" s="78">
        <v>45411</v>
      </c>
      <c r="C4493" s="47" t="s">
        <v>43</v>
      </c>
      <c r="D4493" s="49" t="s">
        <v>271</v>
      </c>
      <c r="E4493" s="47">
        <v>186909</v>
      </c>
      <c r="G4493" s="50" t="s">
        <v>89</v>
      </c>
      <c r="H4493" s="51">
        <v>292.64</v>
      </c>
      <c r="J4493" s="51">
        <v>5.69</v>
      </c>
      <c r="K4493" s="74">
        <f>Tabela6[[#This Row],[CONSUMO]]*Tabela6[[#This Row],[VALOR UNIT]]-Tabela6[[#This Row],[DESCONTO]]</f>
        <v>1665.1215999999999</v>
      </c>
      <c r="L4493" s="53">
        <f>Tabela6[[#This Row],[CUSTO TOTAL]]/Tabela6[[#This Row],[CONSUMO]]</f>
        <v>5.69</v>
      </c>
      <c r="M4493" s="50">
        <f>Tabela6[[#This Row],[KM ATUAL]]-E4438</f>
        <v>-925019</v>
      </c>
      <c r="N4493" s="51">
        <f>Tabela6[[#This Row],[KM Rodados ]]/Tabela6[[#This Row],[CONSUMO]]</f>
        <v>-3160.9451886276656</v>
      </c>
    </row>
    <row r="4494" spans="1:14" x14ac:dyDescent="0.25">
      <c r="A4494" s="47">
        <v>194929</v>
      </c>
      <c r="B4494" s="78">
        <v>45411</v>
      </c>
      <c r="C4494" s="47" t="s">
        <v>222</v>
      </c>
      <c r="D4494" s="49" t="s">
        <v>300</v>
      </c>
      <c r="E4494" s="47">
        <v>572090</v>
      </c>
      <c r="G4494" s="50" t="s">
        <v>241</v>
      </c>
      <c r="H4494" s="51">
        <v>140.59</v>
      </c>
      <c r="J4494" s="51">
        <v>2.99</v>
      </c>
      <c r="K4494" s="74">
        <f>Tabela6[[#This Row],[CONSUMO]]*Tabela6[[#This Row],[VALOR UNIT]]-Tabela6[[#This Row],[DESCONTO]]</f>
        <v>420.36410000000006</v>
      </c>
      <c r="L4494" s="53">
        <f>Tabela6[[#This Row],[CUSTO TOTAL]]/Tabela6[[#This Row],[CONSUMO]]</f>
        <v>2.99</v>
      </c>
      <c r="M4494" s="50">
        <f>Tabela6[[#This Row],[KM ATUAL]]-E4439</f>
        <v>373020</v>
      </c>
      <c r="N4494" s="51">
        <f>Tabela6[[#This Row],[KM Rodados ]]/Tabela6[[#This Row],[CONSUMO]]</f>
        <v>2653.2470303720038</v>
      </c>
    </row>
    <row r="4495" spans="1:14" x14ac:dyDescent="0.25">
      <c r="A4495" s="47">
        <v>929898</v>
      </c>
      <c r="B4495" s="78">
        <v>45411</v>
      </c>
      <c r="C4495" s="47" t="s">
        <v>301</v>
      </c>
      <c r="D4495" s="49" t="s">
        <v>376</v>
      </c>
      <c r="E4495" s="47">
        <v>1112140</v>
      </c>
      <c r="G4495" s="50" t="s">
        <v>89</v>
      </c>
      <c r="H4495" s="51">
        <v>481.1</v>
      </c>
      <c r="J4495" s="51">
        <v>7.51</v>
      </c>
      <c r="K4495" s="74">
        <f>Tabela6[[#This Row],[CONSUMO]]*Tabela6[[#This Row],[VALOR UNIT]]-Tabela6[[#This Row],[DESCONTO]]</f>
        <v>3613.0610000000001</v>
      </c>
      <c r="L4495" s="53">
        <f>Tabela6[[#This Row],[CUSTO TOTAL]]/Tabela6[[#This Row],[CONSUMO]]</f>
        <v>7.51</v>
      </c>
      <c r="M4495" s="50">
        <f>Tabela6[[#This Row],[KM ATUAL]]-E4440</f>
        <v>269799</v>
      </c>
      <c r="N4495" s="51">
        <f>Tabela6[[#This Row],[KM Rodados ]]/Tabela6[[#This Row],[CONSUMO]]</f>
        <v>560.79609228850552</v>
      </c>
    </row>
    <row r="4496" spans="1:14" x14ac:dyDescent="0.25">
      <c r="A4496" s="47">
        <v>362092</v>
      </c>
      <c r="B4496" s="78">
        <v>45411</v>
      </c>
      <c r="C4496" s="47" t="s">
        <v>20</v>
      </c>
      <c r="D4496" s="49" t="s">
        <v>270</v>
      </c>
      <c r="E4496" s="47">
        <v>16755</v>
      </c>
      <c r="G4496" s="50" t="s">
        <v>89</v>
      </c>
      <c r="H4496" s="51">
        <v>508.02</v>
      </c>
      <c r="J4496" s="51">
        <v>5.59</v>
      </c>
      <c r="K4496" s="74">
        <f>Tabela6[[#This Row],[CONSUMO]]*Tabela6[[#This Row],[VALOR UNIT]]-Tabela6[[#This Row],[DESCONTO]]</f>
        <v>2839.8317999999999</v>
      </c>
      <c r="L4496" s="53">
        <f>Tabela6[[#This Row],[CUSTO TOTAL]]/Tabela6[[#This Row],[CONSUMO]]</f>
        <v>5.59</v>
      </c>
      <c r="M4496" s="50">
        <f>Tabela6[[#This Row],[KM ATUAL]]-E4441</f>
        <v>-666004</v>
      </c>
      <c r="N4496" s="51">
        <f>Tabela6[[#This Row],[KM Rodados ]]/Tabela6[[#This Row],[CONSUMO]]</f>
        <v>-1310.9798826817841</v>
      </c>
    </row>
    <row r="4497" spans="1:14" x14ac:dyDescent="0.25">
      <c r="A4497" s="47">
        <v>8847</v>
      </c>
      <c r="B4497" s="78">
        <v>45411</v>
      </c>
      <c r="C4497" s="47" t="s">
        <v>38</v>
      </c>
      <c r="D4497" s="49" t="s">
        <v>255</v>
      </c>
      <c r="E4497" s="47">
        <v>146911</v>
      </c>
      <c r="G4497" s="50" t="s">
        <v>244</v>
      </c>
      <c r="H4497" s="51">
        <v>51.95</v>
      </c>
      <c r="J4497" s="51">
        <v>5.95</v>
      </c>
      <c r="K4497" s="74">
        <f>Tabela6[[#This Row],[CONSUMO]]*Tabela6[[#This Row],[VALOR UNIT]]-Tabela6[[#This Row],[DESCONTO]]</f>
        <v>309.10250000000002</v>
      </c>
      <c r="L4497" s="53">
        <f>Tabela6[[#This Row],[CUSTO TOTAL]]/Tabela6[[#This Row],[CONSUMO]]</f>
        <v>5.95</v>
      </c>
      <c r="M4497" s="50">
        <f>Tabela6[[#This Row],[KM ATUAL]]-E4442</f>
        <v>-696206</v>
      </c>
      <c r="N4497" s="51">
        <f>Tabela6[[#This Row],[KM Rodados ]]/Tabela6[[#This Row],[CONSUMO]]</f>
        <v>-13401.462945139556</v>
      </c>
    </row>
    <row r="4498" spans="1:14" x14ac:dyDescent="0.25">
      <c r="A4498" s="47">
        <v>259779</v>
      </c>
      <c r="B4498" s="78">
        <v>45411</v>
      </c>
      <c r="C4498" s="47" t="s">
        <v>40</v>
      </c>
      <c r="D4498" s="49" t="s">
        <v>262</v>
      </c>
      <c r="E4498" s="47">
        <v>200275</v>
      </c>
      <c r="G4498" s="50" t="s">
        <v>244</v>
      </c>
      <c r="H4498" s="51">
        <v>34.17</v>
      </c>
      <c r="J4498" s="51">
        <v>5.69</v>
      </c>
      <c r="K4498" s="74">
        <f>Tabela6[[#This Row],[CONSUMO]]*Tabela6[[#This Row],[VALOR UNIT]]-Tabela6[[#This Row],[DESCONTO]]</f>
        <v>194.42730000000003</v>
      </c>
      <c r="L4498" s="53">
        <f>Tabela6[[#This Row],[CUSTO TOTAL]]/Tabela6[[#This Row],[CONSUMO]]</f>
        <v>5.69</v>
      </c>
      <c r="M4498" s="50">
        <f>Tabela6[[#This Row],[KM ATUAL]]-E4443</f>
        <v>200275</v>
      </c>
      <c r="N4498" s="51">
        <f>Tabela6[[#This Row],[KM Rodados ]]/Tabela6[[#This Row],[CONSUMO]]</f>
        <v>5861.1354989757092</v>
      </c>
    </row>
    <row r="4499" spans="1:14" x14ac:dyDescent="0.25">
      <c r="A4499" s="47">
        <v>897930</v>
      </c>
      <c r="B4499" s="78">
        <v>45411</v>
      </c>
      <c r="C4499" s="47" t="s">
        <v>401</v>
      </c>
      <c r="D4499" s="49" t="s">
        <v>264</v>
      </c>
      <c r="E4499" s="47">
        <v>23308</v>
      </c>
      <c r="G4499" s="50" t="s">
        <v>89</v>
      </c>
      <c r="H4499" s="51">
        <v>51.64</v>
      </c>
      <c r="J4499" s="51">
        <v>5.81</v>
      </c>
      <c r="K4499" s="74">
        <f>Tabela6[[#This Row],[CONSUMO]]*Tabela6[[#This Row],[VALOR UNIT]]-Tabela6[[#This Row],[DESCONTO]]</f>
        <v>300.02839999999998</v>
      </c>
      <c r="L4499" s="53">
        <f>Tabela6[[#This Row],[CUSTO TOTAL]]/Tabela6[[#This Row],[CONSUMO]]</f>
        <v>5.81</v>
      </c>
      <c r="M4499" s="50">
        <f>Tabela6[[#This Row],[KM ATUAL]]-E4444</f>
        <v>23308</v>
      </c>
      <c r="N4499" s="51">
        <f>Tabela6[[#This Row],[KM Rodados ]]/Tabela6[[#This Row],[CONSUMO]]</f>
        <v>451.35553834237027</v>
      </c>
    </row>
    <row r="4500" spans="1:14" x14ac:dyDescent="0.25">
      <c r="A4500" s="47">
        <v>30012</v>
      </c>
      <c r="B4500" s="78">
        <v>45412</v>
      </c>
      <c r="C4500" s="47" t="s">
        <v>70</v>
      </c>
      <c r="D4500" s="49" t="s">
        <v>344</v>
      </c>
      <c r="E4500" s="47">
        <v>278721</v>
      </c>
      <c r="G4500" s="50" t="s">
        <v>241</v>
      </c>
      <c r="H4500" s="51">
        <v>74.051000000000002</v>
      </c>
      <c r="J4500" s="51">
        <v>2.99</v>
      </c>
      <c r="K4500" s="74">
        <f>Tabela6[[#This Row],[CONSUMO]]*Tabela6[[#This Row],[VALOR UNIT]]-Tabela6[[#This Row],[DESCONTO]]</f>
        <v>221.41249000000002</v>
      </c>
      <c r="L4500" s="53">
        <f>Tabela6[[#This Row],[CUSTO TOTAL]]/Tabela6[[#This Row],[CONSUMO]]</f>
        <v>2.99</v>
      </c>
      <c r="M4500" s="50">
        <f>Tabela6[[#This Row],[KM ATUAL]]-E4445</f>
        <v>-379252</v>
      </c>
      <c r="N4500" s="51">
        <f>Tabela6[[#This Row],[KM Rodados ]]/Tabela6[[#This Row],[CONSUMO]]</f>
        <v>-5121.4973464234108</v>
      </c>
    </row>
    <row r="4501" spans="1:14" x14ac:dyDescent="0.25">
      <c r="A4501" s="47">
        <v>395286</v>
      </c>
      <c r="B4501" s="78">
        <v>45412</v>
      </c>
      <c r="C4501" s="47" t="s">
        <v>203</v>
      </c>
      <c r="D4501" s="49" t="s">
        <v>276</v>
      </c>
      <c r="E4501" s="47">
        <v>160624</v>
      </c>
      <c r="G4501" s="50" t="s">
        <v>244</v>
      </c>
      <c r="H4501" s="51">
        <v>41.38</v>
      </c>
      <c r="J4501" s="51">
        <v>5.79</v>
      </c>
      <c r="K4501" s="74">
        <f>Tabela6[[#This Row],[CONSUMO]]*Tabela6[[#This Row],[VALOR UNIT]]-Tabela6[[#This Row],[DESCONTO]]</f>
        <v>239.59020000000001</v>
      </c>
      <c r="L4501" s="53"/>
      <c r="M4501" s="50">
        <f>Tabela6[[#This Row],[KM ATUAL]]-E4446</f>
        <v>1398</v>
      </c>
      <c r="N4501" s="51">
        <f>Tabela6[[#This Row],[KM Rodados ]]/Tabela6[[#This Row],[CONSUMO]]</f>
        <v>33.784436926051228</v>
      </c>
    </row>
    <row r="4502" spans="1:14" x14ac:dyDescent="0.25">
      <c r="A4502" s="47">
        <v>260014</v>
      </c>
      <c r="B4502" s="78">
        <v>45412</v>
      </c>
      <c r="C4502" s="47" t="s">
        <v>14</v>
      </c>
      <c r="D4502" s="49" t="s">
        <v>262</v>
      </c>
      <c r="E4502" s="47">
        <v>330862</v>
      </c>
      <c r="G4502" s="50" t="s">
        <v>244</v>
      </c>
      <c r="H4502" s="51">
        <v>28.68</v>
      </c>
      <c r="J4502" s="51">
        <v>5.69</v>
      </c>
      <c r="K4502" s="74">
        <f>Tabela6[[#This Row],[CONSUMO]]*Tabela6[[#This Row],[VALOR UNIT]]-Tabela6[[#This Row],[DESCONTO]]</f>
        <v>163.1892</v>
      </c>
      <c r="L4502" s="53">
        <f>Tabela6[[#This Row],[CUSTO TOTAL]]/Tabela6[[#This Row],[CONSUMO]]</f>
        <v>5.69</v>
      </c>
      <c r="M4502" s="50">
        <f>Tabela6[[#This Row],[KM ATUAL]]-E4447</f>
        <v>330862</v>
      </c>
      <c r="N4502" s="51">
        <f>Tabela6[[#This Row],[KM Rodados ]]/Tabela6[[#This Row],[CONSUMO]]</f>
        <v>11536.331938633193</v>
      </c>
    </row>
    <row r="4503" spans="1:14" x14ac:dyDescent="0.25">
      <c r="A4503" s="47">
        <v>9137</v>
      </c>
      <c r="B4503" s="78">
        <v>45412</v>
      </c>
      <c r="C4503" s="47" t="s">
        <v>18</v>
      </c>
      <c r="D4503" s="49" t="s">
        <v>255</v>
      </c>
      <c r="E4503" s="47">
        <v>9137</v>
      </c>
      <c r="G4503" s="50" t="s">
        <v>89</v>
      </c>
      <c r="H4503" s="51">
        <v>76.021000000000001</v>
      </c>
      <c r="J4503" s="51">
        <v>5.99</v>
      </c>
      <c r="K4503" s="74">
        <f>Tabela6[[#This Row],[CONSUMO]]*Tabela6[[#This Row],[VALOR UNIT]]-Tabela6[[#This Row],[DESCONTO]]</f>
        <v>455.36579</v>
      </c>
      <c r="L4503" s="53">
        <f>Tabela6[[#This Row],[CUSTO TOTAL]]/Tabela6[[#This Row],[CONSUMO]]</f>
        <v>5.99</v>
      </c>
      <c r="M4503" s="50">
        <f>Tabela6[[#This Row],[KM ATUAL]]-E4448</f>
        <v>-347260</v>
      </c>
      <c r="N4503" s="51">
        <f>Tabela6[[#This Row],[KM Rodados ]]/Tabela6[[#This Row],[CONSUMO]]</f>
        <v>-4567.9483300666916</v>
      </c>
    </row>
    <row r="4504" spans="1:14" x14ac:dyDescent="0.25">
      <c r="A4504" s="47">
        <v>219745</v>
      </c>
      <c r="B4504" s="78">
        <v>45412</v>
      </c>
      <c r="C4504" s="47" t="s">
        <v>23</v>
      </c>
      <c r="D4504" s="49" t="s">
        <v>253</v>
      </c>
      <c r="E4504" s="47">
        <v>273111</v>
      </c>
      <c r="G4504" s="50" t="s">
        <v>89</v>
      </c>
      <c r="H4504" s="51">
        <v>148.07</v>
      </c>
      <c r="J4504" s="51">
        <v>6.09</v>
      </c>
      <c r="K4504" s="74">
        <f>Tabela6[[#This Row],[CONSUMO]]*Tabela6[[#This Row],[VALOR UNIT]]-Tabela6[[#This Row],[DESCONTO]]</f>
        <v>901.74629999999991</v>
      </c>
      <c r="L4504" s="53">
        <f>Tabela6[[#This Row],[CUSTO TOTAL]]/Tabela6[[#This Row],[CONSUMO]]</f>
        <v>6.09</v>
      </c>
      <c r="M4504" s="50">
        <f>Tabela6[[#This Row],[KM ATUAL]]-E4449</f>
        <v>2710</v>
      </c>
      <c r="N4504" s="51">
        <f>Tabela6[[#This Row],[KM Rodados ]]/Tabela6[[#This Row],[CONSUMO]]</f>
        <v>18.302154386438847</v>
      </c>
    </row>
    <row r="4505" spans="1:14" x14ac:dyDescent="0.25">
      <c r="A4505" s="47">
        <v>220128</v>
      </c>
      <c r="B4505" s="78">
        <v>45412</v>
      </c>
      <c r="C4505" s="47" t="s">
        <v>315</v>
      </c>
      <c r="D4505" s="49" t="s">
        <v>253</v>
      </c>
      <c r="E4505" s="47">
        <v>27544</v>
      </c>
      <c r="G4505" s="50" t="s">
        <v>89</v>
      </c>
      <c r="H4505" s="51">
        <v>53.19</v>
      </c>
      <c r="J4505" s="51">
        <v>6.09</v>
      </c>
      <c r="K4505" s="74">
        <f>Tabela6[[#This Row],[CONSUMO]]*Tabela6[[#This Row],[VALOR UNIT]]-Tabela6[[#This Row],[DESCONTO]]</f>
        <v>323.9271</v>
      </c>
      <c r="L4505" s="53">
        <f>Tabela6[[#This Row],[CUSTO TOTAL]]/Tabela6[[#This Row],[CONSUMO]]</f>
        <v>6.09</v>
      </c>
      <c r="M4505" s="50">
        <f>Tabela6[[#This Row],[KM ATUAL]]-E4450</f>
        <v>27544</v>
      </c>
      <c r="N4505" s="51">
        <f>Tabela6[[#This Row],[KM Rodados ]]/Tabela6[[#This Row],[CONSUMO]]</f>
        <v>517.84169956758797</v>
      </c>
    </row>
    <row r="4506" spans="1:14" x14ac:dyDescent="0.25">
      <c r="A4506" s="47">
        <v>176149</v>
      </c>
      <c r="B4506" s="78">
        <v>45412</v>
      </c>
      <c r="C4506" s="47" t="s">
        <v>446</v>
      </c>
      <c r="D4506" s="49" t="s">
        <v>448</v>
      </c>
      <c r="E4506" s="47">
        <v>9978</v>
      </c>
      <c r="G4506" s="50" t="s">
        <v>89</v>
      </c>
      <c r="H4506" s="51">
        <v>150</v>
      </c>
      <c r="J4506" s="51">
        <v>5.89</v>
      </c>
      <c r="K4506" s="74">
        <f>Tabela6[[#This Row],[CONSUMO]]*Tabela6[[#This Row],[VALOR UNIT]]-Tabela6[[#This Row],[DESCONTO]]</f>
        <v>883.5</v>
      </c>
      <c r="L4506" s="53">
        <f>Tabela6[[#This Row],[CUSTO TOTAL]]/Tabela6[[#This Row],[CONSUMO]]</f>
        <v>5.89</v>
      </c>
      <c r="M4506" s="50" t="e">
        <f>Tabela6[[#This Row],[KM ATUAL]]-#REF!</f>
        <v>#REF!</v>
      </c>
      <c r="N4506" s="51" t="e">
        <f>Tabela6[[#This Row],[KM Rodados ]]/Tabela6[[#This Row],[CONSUMO]]</f>
        <v>#REF!</v>
      </c>
    </row>
    <row r="4507" spans="1:14" x14ac:dyDescent="0.25">
      <c r="A4507" s="47">
        <v>176150</v>
      </c>
      <c r="B4507" s="78">
        <v>45412</v>
      </c>
      <c r="C4507" s="47" t="s">
        <v>446</v>
      </c>
      <c r="D4507" s="49" t="s">
        <v>448</v>
      </c>
      <c r="E4507" s="47">
        <v>9978</v>
      </c>
      <c r="G4507" s="50" t="s">
        <v>241</v>
      </c>
      <c r="H4507" s="51">
        <v>15</v>
      </c>
      <c r="J4507" s="51">
        <v>2.89</v>
      </c>
      <c r="K4507" s="74">
        <f>Tabela6[[#This Row],[CONSUMO]]*Tabela6[[#This Row],[VALOR UNIT]]-Tabela6[[#This Row],[DESCONTO]]</f>
        <v>43.35</v>
      </c>
      <c r="L4507" s="53">
        <f>Tabela6[[#This Row],[CUSTO TOTAL]]/Tabela6[[#This Row],[CONSUMO]]</f>
        <v>2.89</v>
      </c>
      <c r="M4507" s="50" t="e">
        <f>Tabela6[[#This Row],[KM ATUAL]]-#REF!</f>
        <v>#REF!</v>
      </c>
      <c r="N4507" s="51" t="e">
        <f>Tabela6[[#This Row],[KM Rodados ]]/Tabela6[[#This Row],[CONSUMO]]</f>
        <v>#REF!</v>
      </c>
    </row>
    <row r="4508" spans="1:14" x14ac:dyDescent="0.25">
      <c r="A4508" s="47" t="s">
        <v>457</v>
      </c>
      <c r="B4508" s="78">
        <v>45413</v>
      </c>
      <c r="C4508" s="47" t="s">
        <v>67</v>
      </c>
      <c r="D4508" s="49" t="s">
        <v>273</v>
      </c>
      <c r="E4508" s="47">
        <v>711430</v>
      </c>
      <c r="G4508" s="50" t="s">
        <v>89</v>
      </c>
      <c r="H4508" s="51">
        <v>146.20099999999999</v>
      </c>
      <c r="J4508" s="51">
        <v>5.69</v>
      </c>
      <c r="K4508" s="74">
        <f>Tabela6[[#This Row],[CONSUMO]]*Tabela6[[#This Row],[VALOR UNIT]]-Tabela6[[#This Row],[DESCONTO]]</f>
        <v>831.88369</v>
      </c>
      <c r="L4508" s="53">
        <f>Tabela6[[#This Row],[CUSTO TOTAL]]/Tabela6[[#This Row],[CONSUMO]]</f>
        <v>5.69</v>
      </c>
      <c r="M4508" s="50">
        <f>Tabela6[[#This Row],[KM ATUAL]]-E4453</f>
        <v>28593</v>
      </c>
      <c r="N4508" s="51">
        <f>Tabela6[[#This Row],[KM Rodados ]]/Tabela6[[#This Row],[CONSUMO]]</f>
        <v>195.57321769344944</v>
      </c>
    </row>
    <row r="4509" spans="1:14" x14ac:dyDescent="0.25">
      <c r="A4509" s="47">
        <v>260286</v>
      </c>
      <c r="B4509" s="78">
        <v>45413</v>
      </c>
      <c r="C4509" s="47" t="s">
        <v>401</v>
      </c>
      <c r="D4509" s="49" t="s">
        <v>262</v>
      </c>
      <c r="G4509" s="50" t="s">
        <v>241</v>
      </c>
      <c r="H4509" s="51">
        <v>22.62</v>
      </c>
      <c r="I4509" s="49">
        <v>8.15</v>
      </c>
      <c r="J4509" s="51">
        <v>3.69</v>
      </c>
      <c r="K4509" s="74">
        <f>Tabela6[[#This Row],[CONSUMO]]*Tabela6[[#This Row],[VALOR UNIT]]-Tabela6[[#This Row],[DESCONTO]]</f>
        <v>75.317799999999991</v>
      </c>
      <c r="L4509" s="53">
        <f>Tabela6[[#This Row],[CUSTO TOTAL]]/Tabela6[[#This Row],[CONSUMO]]</f>
        <v>3.329699381078691</v>
      </c>
      <c r="M4509" s="50">
        <f>Tabela6[[#This Row],[KM ATUAL]]-E4454</f>
        <v>-329719</v>
      </c>
      <c r="N4509" s="51">
        <f>Tabela6[[#This Row],[KM Rodados ]]/Tabela6[[#This Row],[CONSUMO]]</f>
        <v>-14576.436781609194</v>
      </c>
    </row>
    <row r="4510" spans="1:14" x14ac:dyDescent="0.25">
      <c r="A4510" s="47">
        <v>426129</v>
      </c>
      <c r="B4510" s="78">
        <v>45414</v>
      </c>
      <c r="C4510" s="47" t="s">
        <v>358</v>
      </c>
      <c r="D4510" s="49" t="s">
        <v>343</v>
      </c>
      <c r="E4510" s="47">
        <v>847782</v>
      </c>
      <c r="G4510" s="50" t="s">
        <v>89</v>
      </c>
      <c r="H4510" s="51">
        <v>478.7</v>
      </c>
      <c r="J4510" s="51">
        <v>5.79</v>
      </c>
      <c r="K4510" s="74">
        <f>Tabela6[[#This Row],[CONSUMO]]*Tabela6[[#This Row],[VALOR UNIT]]-Tabela6[[#This Row],[DESCONTO]]</f>
        <v>2771.6729999999998</v>
      </c>
      <c r="L4510" s="53">
        <f>Tabela6[[#This Row],[CUSTO TOTAL]]/Tabela6[[#This Row],[CONSUMO]]</f>
        <v>5.79</v>
      </c>
      <c r="M4510" s="50" t="e">
        <f>Tabela6[[#This Row],[KM ATUAL]]-#REF!</f>
        <v>#REF!</v>
      </c>
      <c r="N4510" s="51" t="e">
        <f>Tabela6[[#This Row],[KM Rodados ]]/Tabela6[[#This Row],[CONSUMO]]</f>
        <v>#REF!</v>
      </c>
    </row>
    <row r="4511" spans="1:14" x14ac:dyDescent="0.25">
      <c r="A4511" s="47">
        <v>260395</v>
      </c>
      <c r="B4511" s="78">
        <v>45414</v>
      </c>
      <c r="C4511" s="47" t="s">
        <v>43</v>
      </c>
      <c r="D4511" s="49" t="s">
        <v>262</v>
      </c>
      <c r="E4511" s="47">
        <v>187523</v>
      </c>
      <c r="G4511" s="50" t="s">
        <v>89</v>
      </c>
      <c r="H4511" s="51">
        <v>15.929</v>
      </c>
      <c r="J4511" s="51">
        <v>6.09</v>
      </c>
      <c r="K4511" s="74">
        <f>Tabela6[[#This Row],[CONSUMO]]*Tabela6[[#This Row],[VALOR UNIT]]-Tabela6[[#This Row],[DESCONTO]]</f>
        <v>97.00761</v>
      </c>
      <c r="L4511" s="53">
        <f>Tabela6[[#This Row],[CUSTO TOTAL]]/Tabela6[[#This Row],[CONSUMO]]</f>
        <v>6.09</v>
      </c>
      <c r="M4511" s="50">
        <f>Tabela6[[#This Row],[KM ATUAL]]-E4456</f>
        <v>-83240</v>
      </c>
      <c r="N4511" s="51">
        <f>Tabela6[[#This Row],[KM Rodados ]]/Tabela6[[#This Row],[CONSUMO]]</f>
        <v>-5225.6889949149345</v>
      </c>
    </row>
    <row r="4512" spans="1:14" x14ac:dyDescent="0.25">
      <c r="A4512" s="47">
        <v>9667</v>
      </c>
      <c r="B4512" s="78">
        <v>45414</v>
      </c>
      <c r="C4512" s="47" t="s">
        <v>9</v>
      </c>
      <c r="D4512" s="49" t="s">
        <v>255</v>
      </c>
      <c r="E4512" s="47">
        <v>659456</v>
      </c>
      <c r="G4512" s="50" t="s">
        <v>89</v>
      </c>
      <c r="H4512" s="51">
        <v>126.47</v>
      </c>
      <c r="J4512" s="51">
        <v>6.26</v>
      </c>
      <c r="K4512" s="74">
        <f>Tabela6[[#This Row],[CONSUMO]]*Tabela6[[#This Row],[VALOR UNIT]]-Tabela6[[#This Row],[DESCONTO]]</f>
        <v>791.70219999999995</v>
      </c>
      <c r="L4512" s="53">
        <f>Tabela6[[#This Row],[CUSTO TOTAL]]/Tabela6[[#This Row],[CONSUMO]]</f>
        <v>6.26</v>
      </c>
      <c r="M4512" s="50">
        <f>Tabela6[[#This Row],[KM ATUAL]]-E4457</f>
        <v>632915</v>
      </c>
      <c r="N4512" s="51">
        <f>Tabela6[[#This Row],[KM Rodados ]]/Tabela6[[#This Row],[CONSUMO]]</f>
        <v>5004.4674626393607</v>
      </c>
    </row>
    <row r="4513" spans="1:14" x14ac:dyDescent="0.25">
      <c r="A4513" s="47">
        <v>810123</v>
      </c>
      <c r="B4513" s="78">
        <v>45414</v>
      </c>
      <c r="C4513" s="47" t="s">
        <v>203</v>
      </c>
      <c r="D4513" s="49" t="s">
        <v>452</v>
      </c>
      <c r="E4513" s="47">
        <v>161223</v>
      </c>
      <c r="G4513" s="50" t="s">
        <v>244</v>
      </c>
      <c r="H4513" s="51">
        <v>31.38</v>
      </c>
      <c r="J4513" s="51">
        <v>5.19</v>
      </c>
      <c r="K4513" s="74">
        <f>Tabela6[[#This Row],[CONSUMO]]*Tabela6[[#This Row],[VALOR UNIT]]-Tabela6[[#This Row],[DESCONTO]]</f>
        <v>162.8622</v>
      </c>
      <c r="L4513" s="53">
        <f>Tabela6[[#This Row],[CUSTO TOTAL]]/Tabela6[[#This Row],[CONSUMO]]</f>
        <v>5.19</v>
      </c>
      <c r="M4513" s="50">
        <f>Tabela6[[#This Row],[KM ATUAL]]-E4458</f>
        <v>139592</v>
      </c>
      <c r="N4513" s="51">
        <f>Tabela6[[#This Row],[KM Rodados ]]/Tabela6[[#This Row],[CONSUMO]]</f>
        <v>4448.4384958572336</v>
      </c>
    </row>
    <row r="4514" spans="1:14" x14ac:dyDescent="0.25">
      <c r="A4514" s="47">
        <v>28048</v>
      </c>
      <c r="B4514" s="78">
        <v>45414</v>
      </c>
      <c r="C4514" s="47" t="s">
        <v>203</v>
      </c>
      <c r="D4514" s="49" t="s">
        <v>277</v>
      </c>
      <c r="E4514" s="47">
        <v>161150</v>
      </c>
      <c r="G4514" s="50" t="s">
        <v>244</v>
      </c>
      <c r="H4514" s="51">
        <v>16.690000000000001</v>
      </c>
      <c r="J4514" s="51">
        <v>6.19</v>
      </c>
      <c r="K4514" s="74">
        <f>Tabela6[[#This Row],[CONSUMO]]*Tabela6[[#This Row],[VALOR UNIT]]-Tabela6[[#This Row],[DESCONTO]]</f>
        <v>103.31110000000001</v>
      </c>
      <c r="L4514" s="53"/>
      <c r="M4514" s="50">
        <f>Tabela6[[#This Row],[KM ATUAL]]-E4459</f>
        <v>146325</v>
      </c>
      <c r="N4514" s="51">
        <f>Tabela6[[#This Row],[KM Rodados ]]/Tabela6[[#This Row],[CONSUMO]]</f>
        <v>8767.2258837627323</v>
      </c>
    </row>
    <row r="4515" spans="1:14" x14ac:dyDescent="0.25">
      <c r="A4515" s="47">
        <v>262556</v>
      </c>
      <c r="B4515" s="78">
        <v>45414</v>
      </c>
      <c r="C4515" s="47" t="s">
        <v>301</v>
      </c>
      <c r="D4515" s="49" t="s">
        <v>374</v>
      </c>
      <c r="E4515" s="47">
        <v>1112265</v>
      </c>
      <c r="G4515" s="50" t="s">
        <v>89</v>
      </c>
      <c r="H4515" s="51">
        <v>2263.31</v>
      </c>
      <c r="J4515" s="51">
        <v>5.69</v>
      </c>
      <c r="K4515" s="74">
        <f>Tabela6[[#This Row],[CONSUMO]]*Tabela6[[#This Row],[VALOR UNIT]]-Tabela6[[#This Row],[DESCONTO]]</f>
        <v>12878.233900000001</v>
      </c>
      <c r="L4515" s="53">
        <f>Tabela6[[#This Row],[CUSTO TOTAL]]/Tabela6[[#This Row],[CONSUMO]]</f>
        <v>5.69</v>
      </c>
      <c r="M4515" s="50">
        <f>Tabela6[[#This Row],[KM ATUAL]]-E4460</f>
        <v>267637</v>
      </c>
      <c r="N4515" s="51">
        <f>Tabela6[[#This Row],[KM Rodados ]]/Tabela6[[#This Row],[CONSUMO]]</f>
        <v>118.25026178473121</v>
      </c>
    </row>
    <row r="4516" spans="1:14" x14ac:dyDescent="0.25">
      <c r="A4516" s="47">
        <v>260496</v>
      </c>
      <c r="B4516" s="78">
        <v>45414</v>
      </c>
      <c r="C4516" s="47" t="s">
        <v>206</v>
      </c>
      <c r="D4516" s="49" t="s">
        <v>262</v>
      </c>
      <c r="E4516" s="47">
        <v>1004180</v>
      </c>
      <c r="G4516" s="50" t="s">
        <v>241</v>
      </c>
      <c r="H4516" s="51">
        <v>33.786000000000001</v>
      </c>
      <c r="I4516" s="49">
        <v>12.16</v>
      </c>
      <c r="J4516" s="51">
        <v>3.69</v>
      </c>
      <c r="K4516" s="74">
        <f>Tabela6[[#This Row],[CONSUMO]]*Tabela6[[#This Row],[VALOR UNIT]]-Tabela6[[#This Row],[DESCONTO]]</f>
        <v>112.51034000000001</v>
      </c>
      <c r="L4516" s="53">
        <f>Tabela6[[#This Row],[CUSTO TOTAL]]/Tabela6[[#This Row],[CONSUMO]]</f>
        <v>3.3300876102527677</v>
      </c>
      <c r="M4516" s="50">
        <f>Tabela6[[#This Row],[KM ATUAL]]-E4461</f>
        <v>818451</v>
      </c>
      <c r="N4516" s="51">
        <f>Tabela6[[#This Row],[KM Rodados ]]/Tabela6[[#This Row],[CONSUMO]]</f>
        <v>24224.560468833242</v>
      </c>
    </row>
    <row r="4517" spans="1:14" x14ac:dyDescent="0.25">
      <c r="A4517" s="47">
        <v>395712</v>
      </c>
      <c r="B4517" s="78">
        <v>45414</v>
      </c>
      <c r="C4517" s="47" t="s">
        <v>13</v>
      </c>
      <c r="D4517" s="49" t="s">
        <v>276</v>
      </c>
      <c r="E4517" s="47">
        <v>684019</v>
      </c>
      <c r="G4517" s="50" t="s">
        <v>89</v>
      </c>
      <c r="H4517" s="51">
        <v>69.930999999999997</v>
      </c>
      <c r="J4517" s="51">
        <v>6.19</v>
      </c>
      <c r="K4517" s="74">
        <f>Tabela6[[#This Row],[CONSUMO]]*Tabela6[[#This Row],[VALOR UNIT]]-Tabela6[[#This Row],[DESCONTO]]</f>
        <v>432.87288999999998</v>
      </c>
      <c r="L4517" s="53">
        <f>Tabela6[[#This Row],[CUSTO TOTAL]]/Tabela6[[#This Row],[CONSUMO]]</f>
        <v>6.19</v>
      </c>
      <c r="M4517" s="50">
        <f>Tabela6[[#This Row],[KM ATUAL]]-E4462</f>
        <v>25625</v>
      </c>
      <c r="N4517" s="51">
        <f>Tabela6[[#This Row],[KM Rodados ]]/Tabela6[[#This Row],[CONSUMO]]</f>
        <v>366.4326264460683</v>
      </c>
    </row>
    <row r="4518" spans="1:14" x14ac:dyDescent="0.25">
      <c r="A4518" s="47">
        <v>260455</v>
      </c>
      <c r="B4518" s="78">
        <v>45414</v>
      </c>
      <c r="C4518" s="47" t="s">
        <v>40</v>
      </c>
      <c r="D4518" s="49" t="s">
        <v>262</v>
      </c>
      <c r="E4518" s="47">
        <v>200798</v>
      </c>
      <c r="G4518" s="50" t="s">
        <v>244</v>
      </c>
      <c r="H4518" s="51">
        <v>41.67</v>
      </c>
      <c r="J4518" s="51">
        <v>5.69</v>
      </c>
      <c r="K4518" s="74">
        <f>Tabela6[[#This Row],[CONSUMO]]*Tabela6[[#This Row],[VALOR UNIT]]-Tabela6[[#This Row],[DESCONTO]]</f>
        <v>237.10230000000001</v>
      </c>
      <c r="L4518" s="53">
        <f>Tabela6[[#This Row],[CUSTO TOTAL]]/Tabela6[[#This Row],[CONSUMO]]</f>
        <v>5.69</v>
      </c>
      <c r="M4518" s="50">
        <f>Tabela6[[#This Row],[KM ATUAL]]-E4463</f>
        <v>-509702</v>
      </c>
      <c r="N4518" s="51">
        <f>Tabela6[[#This Row],[KM Rodados ]]/Tabela6[[#This Row],[CONSUMO]]</f>
        <v>-12231.869450443965</v>
      </c>
    </row>
    <row r="4519" spans="1:14" x14ac:dyDescent="0.25">
      <c r="A4519" s="47">
        <v>260396</v>
      </c>
      <c r="B4519" s="78">
        <v>45414</v>
      </c>
      <c r="C4519" s="47" t="s">
        <v>74</v>
      </c>
      <c r="D4519" s="49" t="s">
        <v>262</v>
      </c>
      <c r="E4519" s="47">
        <v>130207</v>
      </c>
      <c r="G4519" s="50" t="s">
        <v>89</v>
      </c>
      <c r="H4519" s="51">
        <v>41.061</v>
      </c>
      <c r="J4519" s="51">
        <v>6.09</v>
      </c>
      <c r="K4519" s="74">
        <f>Tabela6[[#This Row],[CONSUMO]]*Tabela6[[#This Row],[VALOR UNIT]]-Tabela6[[#This Row],[DESCONTO]]</f>
        <v>250.06148999999999</v>
      </c>
      <c r="L4519" s="53">
        <f>Tabela6[[#This Row],[CUSTO TOTAL]]/Tabela6[[#This Row],[CONSUMO]]</f>
        <v>6.09</v>
      </c>
      <c r="M4519" s="50">
        <f>Tabela6[[#This Row],[KM ATUAL]]-E4464</f>
        <v>-69299</v>
      </c>
      <c r="N4519" s="51">
        <f>Tabela6[[#This Row],[KM Rodados ]]/Tabela6[[#This Row],[CONSUMO]]</f>
        <v>-1687.7085312096638</v>
      </c>
    </row>
    <row r="4520" spans="1:14" x14ac:dyDescent="0.25">
      <c r="A4520" s="47">
        <v>260418</v>
      </c>
      <c r="B4520" s="78">
        <v>45414</v>
      </c>
      <c r="C4520" s="47" t="s">
        <v>446</v>
      </c>
      <c r="D4520" s="49" t="s">
        <v>262</v>
      </c>
      <c r="E4520" s="47">
        <v>10361</v>
      </c>
      <c r="G4520" s="50" t="s">
        <v>241</v>
      </c>
      <c r="H4520" s="51">
        <v>23.016999999999999</v>
      </c>
      <c r="I4520" s="49">
        <v>8.2799999999999994</v>
      </c>
      <c r="J4520" s="51">
        <v>3.69</v>
      </c>
      <c r="K4520" s="74">
        <f>Tabela6[[#This Row],[CONSUMO]]*Tabela6[[#This Row],[VALOR UNIT]]-Tabela6[[#This Row],[DESCONTO]]</f>
        <v>76.652729999999991</v>
      </c>
      <c r="L4520" s="53">
        <f>Tabela6[[#This Row],[CUSTO TOTAL]]/Tabela6[[#This Row],[CONSUMO]]</f>
        <v>3.3302658904288132</v>
      </c>
      <c r="M4520" s="50" t="e">
        <f>Tabela6[[#This Row],[KM ATUAL]]-#REF!</f>
        <v>#REF!</v>
      </c>
      <c r="N4520" s="51" t="e">
        <f>Tabela6[[#This Row],[KM Rodados ]]/Tabela6[[#This Row],[CONSUMO]]</f>
        <v>#REF!</v>
      </c>
    </row>
    <row r="4521" spans="1:14" x14ac:dyDescent="0.25">
      <c r="A4521" s="47">
        <v>222608</v>
      </c>
      <c r="B4521" s="78">
        <v>45415</v>
      </c>
      <c r="C4521" s="47" t="s">
        <v>9</v>
      </c>
      <c r="D4521" s="49" t="s">
        <v>253</v>
      </c>
      <c r="E4521" s="47">
        <v>659741</v>
      </c>
      <c r="G4521" s="50" t="s">
        <v>89</v>
      </c>
      <c r="H4521" s="51">
        <v>78.16</v>
      </c>
      <c r="J4521" s="51">
        <v>6.09</v>
      </c>
      <c r="K4521" s="74">
        <f>Tabela6[[#This Row],[CONSUMO]]*Tabela6[[#This Row],[VALOR UNIT]]-Tabela6[[#This Row],[DESCONTO]]</f>
        <v>475.99439999999998</v>
      </c>
      <c r="L4521" s="53">
        <f>Tabela6[[#This Row],[CUSTO TOTAL]]/Tabela6[[#This Row],[CONSUMO]]</f>
        <v>6.09</v>
      </c>
      <c r="M4521" s="50">
        <f>Tabela6[[#This Row],[KM ATUAL]]-E4466</f>
        <v>635918</v>
      </c>
      <c r="N4521" s="51">
        <f>Tabela6[[#This Row],[KM Rodados ]]/Tabela6[[#This Row],[CONSUMO]]</f>
        <v>8136.1054247697039</v>
      </c>
    </row>
    <row r="4522" spans="1:14" x14ac:dyDescent="0.25">
      <c r="A4522" s="47">
        <v>197500</v>
      </c>
      <c r="B4522" s="78">
        <v>45415</v>
      </c>
      <c r="C4522" s="47" t="s">
        <v>222</v>
      </c>
      <c r="D4522" s="49" t="s">
        <v>300</v>
      </c>
      <c r="E4522" s="47">
        <v>572888</v>
      </c>
      <c r="G4522" s="50" t="s">
        <v>89</v>
      </c>
      <c r="H4522" s="47">
        <v>498</v>
      </c>
      <c r="J4522" s="51">
        <v>5.69</v>
      </c>
      <c r="K4522" s="74">
        <f>Tabela6[[#This Row],[CONSUMO]]*Tabela6[[#This Row],[VALOR UNIT]]-Tabela6[[#This Row],[DESCONTO]]</f>
        <v>2833.6200000000003</v>
      </c>
      <c r="L4522" s="53">
        <f>Tabela6[[#This Row],[CUSTO TOTAL]]/Tabela6[[#This Row],[CONSUMO]]</f>
        <v>5.69</v>
      </c>
      <c r="M4522" s="50">
        <f>Tabela6[[#This Row],[KM ATUAL]]-E4467</f>
        <v>413278</v>
      </c>
      <c r="N4522" s="51">
        <f>Tabela6[[#This Row],[KM Rodados ]]/Tabela6[[#This Row],[CONSUMO]]</f>
        <v>829.87550200803207</v>
      </c>
    </row>
    <row r="4523" spans="1:14" x14ac:dyDescent="0.25">
      <c r="A4523" s="47">
        <v>197501</v>
      </c>
      <c r="B4523" s="78">
        <v>45415</v>
      </c>
      <c r="C4523" s="47" t="s">
        <v>222</v>
      </c>
      <c r="D4523" s="49" t="s">
        <v>300</v>
      </c>
      <c r="E4523" s="47">
        <v>572888</v>
      </c>
      <c r="G4523" s="50" t="s">
        <v>241</v>
      </c>
      <c r="H4523" s="47">
        <v>22.74</v>
      </c>
      <c r="J4523" s="51">
        <v>2.99</v>
      </c>
      <c r="K4523" s="74">
        <f>Tabela6[[#This Row],[CONSUMO]]*Tabela6[[#This Row],[VALOR UNIT]]-Tabela6[[#This Row],[DESCONTO]]</f>
        <v>67.992599999999996</v>
      </c>
      <c r="L4523" s="53">
        <f>Tabela6[[#This Row],[CUSTO TOTAL]]/Tabela6[[#This Row],[CONSUMO]]</f>
        <v>2.99</v>
      </c>
      <c r="M4523" s="50">
        <f>Tabela6[[#This Row],[KM ATUAL]]-E4468</f>
        <v>157514</v>
      </c>
      <c r="N4523" s="51">
        <f>Tabela6[[#This Row],[KM Rodados ]]/Tabela6[[#This Row],[CONSUMO]]</f>
        <v>6926.7370272647322</v>
      </c>
    </row>
    <row r="4524" spans="1:14" x14ac:dyDescent="0.25">
      <c r="A4524" s="47">
        <v>222259</v>
      </c>
      <c r="B4524" s="78">
        <v>45415</v>
      </c>
      <c r="C4524" s="47" t="s">
        <v>72</v>
      </c>
      <c r="D4524" s="49" t="s">
        <v>253</v>
      </c>
      <c r="E4524" s="47">
        <v>456429</v>
      </c>
      <c r="G4524" s="50" t="s">
        <v>89</v>
      </c>
      <c r="H4524" s="51">
        <v>35.71</v>
      </c>
      <c r="J4524" s="51">
        <v>6.09</v>
      </c>
      <c r="K4524" s="74">
        <f>Tabela6[[#This Row],[CONSUMO]]*Tabela6[[#This Row],[VALOR UNIT]]-Tabela6[[#This Row],[DESCONTO]]</f>
        <v>217.47389999999999</v>
      </c>
      <c r="L4524" s="53">
        <f>Tabela6[[#This Row],[CUSTO TOTAL]]/Tabela6[[#This Row],[CONSUMO]]</f>
        <v>6.09</v>
      </c>
      <c r="M4524" s="50">
        <f>Tabela6[[#This Row],[KM ATUAL]]-E4469</f>
        <v>119632</v>
      </c>
      <c r="N4524" s="51">
        <f>Tabela6[[#This Row],[KM Rodados ]]/Tabela6[[#This Row],[CONSUMO]]</f>
        <v>3350.0980117614113</v>
      </c>
    </row>
    <row r="4525" spans="1:14" x14ac:dyDescent="0.25">
      <c r="A4525" s="47">
        <v>222314</v>
      </c>
      <c r="B4525" s="78">
        <v>45415</v>
      </c>
      <c r="C4525" s="47" t="s">
        <v>12</v>
      </c>
      <c r="D4525" s="49" t="s">
        <v>253</v>
      </c>
      <c r="E4525" s="47">
        <v>337169</v>
      </c>
      <c r="G4525" s="50" t="s">
        <v>89</v>
      </c>
      <c r="H4525" s="51">
        <v>78.5</v>
      </c>
      <c r="J4525" s="51">
        <v>6.09</v>
      </c>
      <c r="K4525" s="74">
        <f>Tabela6[[#This Row],[CONSUMO]]*Tabela6[[#This Row],[VALOR UNIT]]-Tabela6[[#This Row],[DESCONTO]]</f>
        <v>478.065</v>
      </c>
      <c r="L4525" s="53">
        <f>Tabela6[[#This Row],[CUSTO TOTAL]]/Tabela6[[#This Row],[CONSUMO]]</f>
        <v>6.09</v>
      </c>
      <c r="M4525" s="50">
        <f>Tabela6[[#This Row],[KM ATUAL]]-E4470</f>
        <v>372</v>
      </c>
      <c r="N4525" s="51">
        <f>Tabela6[[#This Row],[KM Rodados ]]/Tabela6[[#This Row],[CONSUMO]]</f>
        <v>4.7388535031847132</v>
      </c>
    </row>
    <row r="4526" spans="1:14" x14ac:dyDescent="0.25">
      <c r="A4526" s="47">
        <v>10130</v>
      </c>
      <c r="B4526" s="78">
        <v>45415</v>
      </c>
      <c r="C4526" s="47" t="s">
        <v>14</v>
      </c>
      <c r="D4526" s="49" t="s">
        <v>255</v>
      </c>
      <c r="E4526" s="47">
        <v>331245</v>
      </c>
      <c r="G4526" s="50" t="s">
        <v>244</v>
      </c>
      <c r="H4526" s="51">
        <v>31.231000000000002</v>
      </c>
      <c r="J4526" s="51">
        <v>5.95</v>
      </c>
      <c r="K4526" s="74">
        <f>Tabela6[[#This Row],[CONSUMO]]*Tabela6[[#This Row],[VALOR UNIT]]-Tabela6[[#This Row],[DESCONTO]]</f>
        <v>185.82445000000001</v>
      </c>
      <c r="L4526" s="53">
        <f>Tabela6[[#This Row],[CUSTO TOTAL]]/Tabela6[[#This Row],[CONSUMO]]</f>
        <v>5.95</v>
      </c>
      <c r="M4526" s="50">
        <f>Tabela6[[#This Row],[KM ATUAL]]-E4471</f>
        <v>-352419</v>
      </c>
      <c r="N4526" s="51">
        <f>Tabela6[[#This Row],[KM Rodados ]]/Tabela6[[#This Row],[CONSUMO]]</f>
        <v>-11284.268835451954</v>
      </c>
    </row>
    <row r="4527" spans="1:14" x14ac:dyDescent="0.25">
      <c r="A4527" s="47">
        <v>76048</v>
      </c>
      <c r="B4527" s="78">
        <v>45415</v>
      </c>
      <c r="C4527" s="47" t="s">
        <v>15</v>
      </c>
      <c r="D4527" s="49" t="s">
        <v>450</v>
      </c>
      <c r="E4527" s="47">
        <v>427901</v>
      </c>
      <c r="G4527" s="50" t="s">
        <v>89</v>
      </c>
      <c r="H4527" s="51">
        <v>105.001</v>
      </c>
      <c r="J4527" s="51">
        <v>5.85</v>
      </c>
      <c r="K4527" s="74">
        <f>Tabela6[[#This Row],[CONSUMO]]*Tabela6[[#This Row],[VALOR UNIT]]-Tabela6[[#This Row],[DESCONTO]]</f>
        <v>614.25585000000001</v>
      </c>
      <c r="L4527" s="53">
        <f>Tabela6[[#This Row],[CUSTO TOTAL]]/Tabela6[[#This Row],[CONSUMO]]</f>
        <v>5.85</v>
      </c>
      <c r="M4527" s="50">
        <f>Tabela6[[#This Row],[KM ATUAL]]-E4472</f>
        <v>97829</v>
      </c>
      <c r="N4527" s="51">
        <f>Tabela6[[#This Row],[KM Rodados ]]/Tabela6[[#This Row],[CONSUMO]]</f>
        <v>931.69588861058457</v>
      </c>
    </row>
    <row r="4528" spans="1:14" x14ac:dyDescent="0.25">
      <c r="A4528" s="47">
        <v>395973</v>
      </c>
      <c r="B4528" s="78">
        <v>45415</v>
      </c>
      <c r="C4528" s="47" t="s">
        <v>15</v>
      </c>
      <c r="D4528" s="49" t="s">
        <v>276</v>
      </c>
      <c r="E4528" s="47">
        <v>427313</v>
      </c>
      <c r="G4528" s="50" t="s">
        <v>89</v>
      </c>
      <c r="H4528" s="51">
        <v>100.83</v>
      </c>
      <c r="J4528" s="51">
        <v>6.1906999999999996</v>
      </c>
      <c r="K4528" s="74">
        <f>Tabela6[[#This Row],[CONSUMO]]*Tabela6[[#This Row],[VALOR UNIT]]-Tabela6[[#This Row],[DESCONTO]]</f>
        <v>624.20828099999994</v>
      </c>
      <c r="L4528" s="53">
        <f>Tabela6[[#This Row],[CUSTO TOTAL]]/Tabela6[[#This Row],[CONSUMO]]</f>
        <v>6.1906999999999996</v>
      </c>
      <c r="M4528" s="50">
        <f>Tabela6[[#This Row],[KM ATUAL]]-E4473</f>
        <v>106597</v>
      </c>
      <c r="N4528" s="51">
        <f>Tabela6[[#This Row],[KM Rodados ]]/Tabela6[[#This Row],[CONSUMO]]</f>
        <v>1057.195279182783</v>
      </c>
    </row>
    <row r="4529" spans="1:14" x14ac:dyDescent="0.25">
      <c r="A4529" s="47">
        <v>10065</v>
      </c>
      <c r="B4529" s="78">
        <v>45415</v>
      </c>
      <c r="C4529" s="47" t="s">
        <v>16</v>
      </c>
      <c r="D4529" s="49" t="s">
        <v>255</v>
      </c>
      <c r="E4529" s="47">
        <v>321312</v>
      </c>
      <c r="G4529" s="50" t="s">
        <v>89</v>
      </c>
      <c r="H4529" s="51">
        <v>116.181</v>
      </c>
      <c r="J4529" s="51">
        <v>5.99</v>
      </c>
      <c r="K4529" s="74">
        <f>Tabela6[[#This Row],[CONSUMO]]*Tabela6[[#This Row],[VALOR UNIT]]-Tabela6[[#This Row],[DESCONTO]]</f>
        <v>695.92418999999995</v>
      </c>
      <c r="L4529" s="53">
        <f>Tabela6[[#This Row],[CUSTO TOTAL]]/Tabela6[[#This Row],[CONSUMO]]</f>
        <v>5.9899999999999993</v>
      </c>
      <c r="M4529" s="50">
        <f>Tabela6[[#This Row],[KM ATUAL]]-E4474</f>
        <v>-87077</v>
      </c>
      <c r="N4529" s="51">
        <f>Tabela6[[#This Row],[KM Rodados ]]/Tabela6[[#This Row],[CONSUMO]]</f>
        <v>-749.49432351245036</v>
      </c>
    </row>
    <row r="4530" spans="1:14" x14ac:dyDescent="0.25">
      <c r="A4530" s="47">
        <v>222703</v>
      </c>
      <c r="B4530" s="78">
        <v>45415</v>
      </c>
      <c r="C4530" s="47" t="s">
        <v>315</v>
      </c>
      <c r="D4530" s="49" t="s">
        <v>253</v>
      </c>
      <c r="E4530" s="47">
        <v>28214</v>
      </c>
      <c r="G4530" s="50" t="s">
        <v>89</v>
      </c>
      <c r="H4530" s="51">
        <v>52.33</v>
      </c>
      <c r="J4530" s="51">
        <v>6.09</v>
      </c>
      <c r="K4530" s="74">
        <f>Tabela6[[#This Row],[CONSUMO]]*Tabela6[[#This Row],[VALOR UNIT]]-Tabela6[[#This Row],[DESCONTO]]</f>
        <v>318.68969999999996</v>
      </c>
      <c r="L4530" s="53">
        <f>Tabela6[[#This Row],[CUSTO TOTAL]]/Tabela6[[#This Row],[CONSUMO]]</f>
        <v>6.09</v>
      </c>
      <c r="M4530" s="50">
        <f>Tabela6[[#This Row],[KM ATUAL]]-E4475</f>
        <v>-328828</v>
      </c>
      <c r="N4530" s="51">
        <f>Tabela6[[#This Row],[KM Rodados ]]/Tabela6[[#This Row],[CONSUMO]]</f>
        <v>-6283.7378176953944</v>
      </c>
    </row>
    <row r="4531" spans="1:14" x14ac:dyDescent="0.25">
      <c r="A4531" s="47">
        <v>207785</v>
      </c>
      <c r="B4531" s="78">
        <v>45416</v>
      </c>
      <c r="C4531" s="47" t="s">
        <v>74</v>
      </c>
      <c r="D4531" s="49" t="s">
        <v>453</v>
      </c>
      <c r="E4531" s="47">
        <v>249477</v>
      </c>
      <c r="G4531" s="50" t="s">
        <v>241</v>
      </c>
      <c r="H4531" s="51">
        <v>11.81</v>
      </c>
      <c r="J4531" s="51">
        <v>3.59</v>
      </c>
      <c r="K4531" s="74">
        <f>Tabela6[[#This Row],[CONSUMO]]*Tabela6[[#This Row],[VALOR UNIT]]-Tabela6[[#This Row],[DESCONTO]]</f>
        <v>42.3979</v>
      </c>
      <c r="L4531" s="53">
        <f>Tabela6[[#This Row],[CUSTO TOTAL]]/Tabela6[[#This Row],[CONSUMO]]</f>
        <v>3.59</v>
      </c>
      <c r="M4531" s="50">
        <f>Tabela6[[#This Row],[KM ATUAL]]-E4476</f>
        <v>-121593</v>
      </c>
      <c r="N4531" s="51">
        <f>Tabela6[[#This Row],[KM Rodados ]]/Tabela6[[#This Row],[CONSUMO]]</f>
        <v>-10295.766299745977</v>
      </c>
    </row>
    <row r="4532" spans="1:14" x14ac:dyDescent="0.25">
      <c r="A4532" s="47">
        <v>297783</v>
      </c>
      <c r="B4532" s="78">
        <v>45416</v>
      </c>
      <c r="C4532" s="47" t="s">
        <v>74</v>
      </c>
      <c r="D4532" s="49" t="s">
        <v>453</v>
      </c>
      <c r="E4532" s="47">
        <v>249472</v>
      </c>
      <c r="G4532" s="50" t="s">
        <v>89</v>
      </c>
      <c r="H4532" s="51">
        <v>96.384</v>
      </c>
      <c r="J4532" s="51">
        <v>5.83</v>
      </c>
      <c r="K4532" s="74">
        <f>Tabela6[[#This Row],[CONSUMO]]*Tabela6[[#This Row],[VALOR UNIT]]-Tabela6[[#This Row],[DESCONTO]]</f>
        <v>561.91872000000001</v>
      </c>
      <c r="L4532" s="53">
        <f>Tabela6[[#This Row],[CUSTO TOTAL]]/Tabela6[[#This Row],[CONSUMO]]</f>
        <v>5.83</v>
      </c>
      <c r="M4532" s="50">
        <f>Tabela6[[#This Row],[KM ATUAL]]-E4477</f>
        <v>227172</v>
      </c>
      <c r="N4532" s="51">
        <f>Tabela6[[#This Row],[KM Rodados ]]/Tabela6[[#This Row],[CONSUMO]]</f>
        <v>2356.9472111553787</v>
      </c>
    </row>
    <row r="4533" spans="1:14" x14ac:dyDescent="0.25">
      <c r="A4533" s="47">
        <v>260912</v>
      </c>
      <c r="B4533" s="78">
        <v>45416</v>
      </c>
      <c r="C4533" s="47" t="s">
        <v>315</v>
      </c>
      <c r="D4533" s="49" t="s">
        <v>262</v>
      </c>
      <c r="G4533" s="50" t="s">
        <v>241</v>
      </c>
      <c r="H4533" s="51">
        <v>12.153</v>
      </c>
      <c r="I4533" s="49">
        <v>4.37</v>
      </c>
      <c r="J4533" s="51">
        <v>3.69</v>
      </c>
      <c r="K4533" s="74">
        <f>Tabela6[[#This Row],[CONSUMO]]*Tabela6[[#This Row],[VALOR UNIT]]-Tabela6[[#This Row],[DESCONTO]]</f>
        <v>40.474570000000007</v>
      </c>
      <c r="L4533" s="53">
        <f>Tabela6[[#This Row],[CUSTO TOTAL]]/Tabela6[[#This Row],[CONSUMO]]</f>
        <v>3.3304180037850739</v>
      </c>
      <c r="M4533" s="50">
        <f>Tabela6[[#This Row],[KM ATUAL]]-E4478</f>
        <v>-657842</v>
      </c>
      <c r="N4533" s="51">
        <f>Tabela6[[#This Row],[KM Rodados ]]/Tabela6[[#This Row],[CONSUMO]]</f>
        <v>-54130.009051263063</v>
      </c>
    </row>
    <row r="4534" spans="1:14" x14ac:dyDescent="0.25">
      <c r="A4534" s="47">
        <v>263439</v>
      </c>
      <c r="B4534" s="78">
        <v>45417</v>
      </c>
      <c r="C4534" s="47" t="s">
        <v>222</v>
      </c>
      <c r="D4534" s="49" t="s">
        <v>374</v>
      </c>
      <c r="E4534" s="47">
        <v>573864</v>
      </c>
      <c r="G4534" s="50" t="s">
        <v>89</v>
      </c>
      <c r="H4534" s="51">
        <v>438.6</v>
      </c>
      <c r="J4534" s="51">
        <v>5.69</v>
      </c>
      <c r="K4534" s="74">
        <f>Tabela6[[#This Row],[CONSUMO]]*Tabela6[[#This Row],[VALOR UNIT]]-Tabela6[[#This Row],[DESCONTO]]</f>
        <v>2495.6340000000005</v>
      </c>
      <c r="L4534" s="53">
        <f>Tabela6[[#This Row],[CUSTO TOTAL]]/Tabela6[[#This Row],[CONSUMO]]</f>
        <v>5.69</v>
      </c>
      <c r="M4534" s="50">
        <f>Tabela6[[#This Row],[KM ATUAL]]-E4479</f>
        <v>450495</v>
      </c>
      <c r="N4534" s="51">
        <f>Tabela6[[#This Row],[KM Rodados ]]/Tabela6[[#This Row],[CONSUMO]]</f>
        <v>1027.1203830369357</v>
      </c>
    </row>
    <row r="4535" spans="1:14" x14ac:dyDescent="0.25">
      <c r="A4535" s="47">
        <v>263439</v>
      </c>
      <c r="B4535" s="78">
        <v>45417</v>
      </c>
      <c r="C4535" s="47" t="s">
        <v>222</v>
      </c>
      <c r="D4535" s="49" t="s">
        <v>374</v>
      </c>
      <c r="E4535" s="47">
        <v>573864</v>
      </c>
      <c r="G4535" s="50" t="s">
        <v>89</v>
      </c>
      <c r="H4535" s="51">
        <v>438.6</v>
      </c>
      <c r="J4535" s="51">
        <v>5.69</v>
      </c>
      <c r="K4535" s="74">
        <f>Tabela6[[#This Row],[CONSUMO]]*Tabela6[[#This Row],[VALOR UNIT]]-Tabela6[[#This Row],[DESCONTO]]</f>
        <v>2495.6340000000005</v>
      </c>
      <c r="L4535" s="53">
        <f>Tabela6[[#This Row],[CUSTO TOTAL]]/Tabela6[[#This Row],[CONSUMO]]</f>
        <v>5.69</v>
      </c>
      <c r="M4535" s="50">
        <f>Tabela6[[#This Row],[KM ATUAL]]-E4480</f>
        <v>413700</v>
      </c>
      <c r="N4535" s="51">
        <f>Tabela6[[#This Row],[KM Rodados ]]/Tabela6[[#This Row],[CONSUMO]]</f>
        <v>943.22845417236658</v>
      </c>
    </row>
    <row r="4536" spans="1:14" x14ac:dyDescent="0.25">
      <c r="A4536" s="47">
        <v>263440</v>
      </c>
      <c r="B4536" s="78">
        <v>45417</v>
      </c>
      <c r="C4536" s="47" t="s">
        <v>222</v>
      </c>
      <c r="D4536" s="49" t="s">
        <v>374</v>
      </c>
      <c r="E4536" s="47">
        <v>573864</v>
      </c>
      <c r="G4536" s="50" t="s">
        <v>241</v>
      </c>
      <c r="H4536" s="51">
        <v>26.271000000000001</v>
      </c>
      <c r="J4536" s="51">
        <v>2.99</v>
      </c>
      <c r="K4536" s="74">
        <f>Tabela6[[#This Row],[CONSUMO]]*Tabela6[[#This Row],[VALOR UNIT]]-Tabela6[[#This Row],[DESCONTO]]</f>
        <v>78.550290000000004</v>
      </c>
      <c r="L4536" s="53">
        <f>Tabela6[[#This Row],[CUSTO TOTAL]]/Tabela6[[#This Row],[CONSUMO]]</f>
        <v>2.99</v>
      </c>
      <c r="M4536" s="50">
        <f>Tabela6[[#This Row],[KM ATUAL]]-E4481</f>
        <v>243387</v>
      </c>
      <c r="N4536" s="51">
        <f>Tabela6[[#This Row],[KM Rodados ]]/Tabela6[[#This Row],[CONSUMO]]</f>
        <v>9264.4741349777323</v>
      </c>
    </row>
    <row r="4537" spans="1:14" x14ac:dyDescent="0.25">
      <c r="A4537" s="47">
        <v>495757</v>
      </c>
      <c r="B4537" s="78">
        <v>45417</v>
      </c>
      <c r="C4537" s="47" t="s">
        <v>67</v>
      </c>
      <c r="D4537" s="49" t="s">
        <v>273</v>
      </c>
      <c r="E4537" s="47">
        <v>712030</v>
      </c>
      <c r="G4537" s="50" t="s">
        <v>89</v>
      </c>
      <c r="H4537" s="51">
        <v>152</v>
      </c>
      <c r="J4537" s="51">
        <v>5.69</v>
      </c>
      <c r="K4537" s="74">
        <f>Tabela6[[#This Row],[CONSUMO]]*Tabela6[[#This Row],[VALOR UNIT]]-Tabela6[[#This Row],[DESCONTO]]</f>
        <v>864.88000000000011</v>
      </c>
      <c r="L4537" s="53">
        <f>Tabela6[[#This Row],[CUSTO TOTAL]]/Tabela6[[#This Row],[CONSUMO]]</f>
        <v>5.69</v>
      </c>
      <c r="M4537" s="50">
        <f>Tabela6[[#This Row],[KM ATUAL]]-E4482</f>
        <v>439594</v>
      </c>
      <c r="N4537" s="51">
        <f>Tabela6[[#This Row],[KM Rodados ]]/Tabela6[[#This Row],[CONSUMO]]</f>
        <v>2892.0657894736842</v>
      </c>
    </row>
    <row r="4538" spans="1:14" x14ac:dyDescent="0.25">
      <c r="A4538" s="47" t="s">
        <v>458</v>
      </c>
      <c r="B4538" s="78">
        <v>45417</v>
      </c>
      <c r="C4538" s="47" t="s">
        <v>67</v>
      </c>
      <c r="D4538" s="49" t="s">
        <v>273</v>
      </c>
      <c r="E4538" s="47">
        <v>712030</v>
      </c>
      <c r="G4538" s="50" t="s">
        <v>241</v>
      </c>
      <c r="H4538" s="51">
        <v>20.77</v>
      </c>
      <c r="J4538" s="51">
        <v>2.99</v>
      </c>
      <c r="K4538" s="74">
        <f>Tabela6[[#This Row],[CONSUMO]]*Tabela6[[#This Row],[VALOR UNIT]]-Tabela6[[#This Row],[DESCONTO]]</f>
        <v>62.1023</v>
      </c>
      <c r="L4538" s="53">
        <f>Tabela6[[#This Row],[CUSTO TOTAL]]/Tabela6[[#This Row],[CONSUMO]]</f>
        <v>2.99</v>
      </c>
      <c r="M4538" s="50">
        <f>Tabela6[[#This Row],[KM ATUAL]]-E4483</f>
        <v>439594</v>
      </c>
      <c r="N4538" s="51">
        <f>Tabela6[[#This Row],[KM Rodados ]]/Tabela6[[#This Row],[CONSUMO]]</f>
        <v>21164.853153586904</v>
      </c>
    </row>
    <row r="4539" spans="1:14" x14ac:dyDescent="0.25">
      <c r="A4539" s="47">
        <v>213122</v>
      </c>
      <c r="B4539" s="78">
        <v>45418</v>
      </c>
      <c r="C4539" s="47" t="s">
        <v>42</v>
      </c>
      <c r="D4539" s="49" t="s">
        <v>263</v>
      </c>
      <c r="E4539" s="47">
        <v>394346</v>
      </c>
      <c r="G4539" s="50" t="s">
        <v>89</v>
      </c>
      <c r="H4539" s="51">
        <v>43.051000000000002</v>
      </c>
      <c r="I4539" s="49">
        <v>6.46</v>
      </c>
      <c r="J4539" s="51">
        <v>5.94</v>
      </c>
      <c r="K4539" s="74">
        <f>Tabela6[[#This Row],[CONSUMO]]*Tabela6[[#This Row],[VALOR UNIT]]-Tabela6[[#This Row],[DESCONTO]]</f>
        <v>249.26294000000001</v>
      </c>
      <c r="L4539" s="53">
        <f>Tabela6[[#This Row],[CUSTO TOTAL]]/Tabela6[[#This Row],[CONSUMO]]</f>
        <v>5.7899454135792432</v>
      </c>
      <c r="M4539" s="50">
        <f>Tabela6[[#This Row],[KM ATUAL]]-E4484</f>
        <v>194427</v>
      </c>
      <c r="N4539" s="51">
        <f>Tabela6[[#This Row],[KM Rodados ]]/Tabela6[[#This Row],[CONSUMO]]</f>
        <v>4516.2017142458944</v>
      </c>
    </row>
    <row r="4540" spans="1:14" x14ac:dyDescent="0.25">
      <c r="A4540" s="47">
        <v>224959</v>
      </c>
      <c r="B4540" s="78">
        <v>45418</v>
      </c>
      <c r="C4540" s="47" t="s">
        <v>39</v>
      </c>
      <c r="D4540" s="49" t="s">
        <v>253</v>
      </c>
      <c r="E4540" s="47">
        <v>123869</v>
      </c>
      <c r="G4540" s="50" t="s">
        <v>89</v>
      </c>
      <c r="H4540" s="51">
        <v>85.55</v>
      </c>
      <c r="J4540" s="51">
        <v>6.09</v>
      </c>
      <c r="K4540" s="74">
        <f>Tabela6[[#This Row],[CONSUMO]]*Tabela6[[#This Row],[VALOR UNIT]]-Tabela6[[#This Row],[DESCONTO]]</f>
        <v>520.99950000000001</v>
      </c>
      <c r="L4540" s="53">
        <f>Tabela6[[#This Row],[CUSTO TOTAL]]/Tabela6[[#This Row],[CONSUMO]]</f>
        <v>6.0900000000000007</v>
      </c>
      <c r="M4540" s="50">
        <f>Tabela6[[#This Row],[KM ATUAL]]-E4485</f>
        <v>96928</v>
      </c>
      <c r="N4540" s="51">
        <f>Tabela6[[#This Row],[KM Rodados ]]/Tabela6[[#This Row],[CONSUMO]]</f>
        <v>1132.9982466393922</v>
      </c>
    </row>
    <row r="4541" spans="1:14" x14ac:dyDescent="0.25">
      <c r="A4541" s="47">
        <v>47905</v>
      </c>
      <c r="B4541" s="78">
        <v>45418</v>
      </c>
      <c r="C4541" s="47" t="s">
        <v>70</v>
      </c>
      <c r="D4541" s="49" t="s">
        <v>332</v>
      </c>
      <c r="E4541" s="47">
        <v>285236</v>
      </c>
      <c r="G4541" s="50" t="s">
        <v>241</v>
      </c>
      <c r="H4541" s="51">
        <v>72</v>
      </c>
      <c r="J4541" s="51">
        <v>215.3</v>
      </c>
      <c r="K4541" s="74">
        <f>Tabela6[[#This Row],[CONSUMO]]*Tabela6[[#This Row],[VALOR UNIT]]-Tabela6[[#This Row],[DESCONTO]]</f>
        <v>15501.6</v>
      </c>
      <c r="L4541" s="53">
        <f>Tabela6[[#This Row],[CUSTO TOTAL]]/Tabela6[[#This Row],[CONSUMO]]</f>
        <v>215.3</v>
      </c>
      <c r="M4541" s="50">
        <f>Tabela6[[#This Row],[KM ATUAL]]-E4486</f>
        <v>277339</v>
      </c>
      <c r="N4541" s="51">
        <f>Tabela6[[#This Row],[KM Rodados ]]/Tabela6[[#This Row],[CONSUMO]]</f>
        <v>3851.9305555555557</v>
      </c>
    </row>
    <row r="4542" spans="1:14" x14ac:dyDescent="0.25">
      <c r="A4542" s="47">
        <v>169943</v>
      </c>
      <c r="B4542" s="78">
        <v>45418</v>
      </c>
      <c r="C4542" s="47" t="s">
        <v>203</v>
      </c>
      <c r="D4542" s="49" t="s">
        <v>260</v>
      </c>
      <c r="E4542" s="47">
        <v>161588</v>
      </c>
      <c r="G4542" s="50" t="s">
        <v>244</v>
      </c>
      <c r="H4542" s="51">
        <v>30.99</v>
      </c>
      <c r="J4542" s="51">
        <v>5.79</v>
      </c>
      <c r="K4542" s="74">
        <f>Tabela6[[#This Row],[CONSUMO]]*Tabela6[[#This Row],[VALOR UNIT]]-Tabela6[[#This Row],[DESCONTO]]</f>
        <v>179.43209999999999</v>
      </c>
      <c r="L4542" s="53">
        <f>Tabela6[[#This Row],[CUSTO TOTAL]]/Tabela6[[#This Row],[CONSUMO]]</f>
        <v>5.79</v>
      </c>
      <c r="M4542" s="50">
        <f>Tabela6[[#This Row],[KM ATUAL]]-E4487</f>
        <v>-950398</v>
      </c>
      <c r="N4542" s="51">
        <f>Tabela6[[#This Row],[KM Rodados ]]/Tabela6[[#This Row],[CONSUMO]]</f>
        <v>-30667.892868667313</v>
      </c>
    </row>
    <row r="4543" spans="1:14" x14ac:dyDescent="0.25">
      <c r="A4543" s="47">
        <v>261562</v>
      </c>
      <c r="B4543" s="78">
        <v>45418</v>
      </c>
      <c r="C4543" s="47" t="s">
        <v>207</v>
      </c>
      <c r="D4543" s="49" t="s">
        <v>262</v>
      </c>
      <c r="E4543" s="47">
        <v>66183</v>
      </c>
      <c r="G4543" s="50" t="s">
        <v>244</v>
      </c>
      <c r="H4543" s="51">
        <v>9.6289999999999996</v>
      </c>
      <c r="J4543" s="51">
        <v>5.69</v>
      </c>
      <c r="K4543" s="74">
        <f>Tabela6[[#This Row],[CONSUMO]]*Tabela6[[#This Row],[VALOR UNIT]]-Tabela6[[#This Row],[DESCONTO]]</f>
        <v>54.789010000000005</v>
      </c>
      <c r="L4543" s="53">
        <f>Tabela6[[#This Row],[CUSTO TOTAL]]/Tabela6[[#This Row],[CONSUMO]]</f>
        <v>5.69</v>
      </c>
      <c r="M4543" s="50">
        <f>Tabela6[[#This Row],[KM ATUAL]]-E4488</f>
        <v>-644677</v>
      </c>
      <c r="N4543" s="51">
        <f>Tabela6[[#This Row],[KM Rodados ]]/Tabela6[[#This Row],[CONSUMO]]</f>
        <v>-66951.604527988369</v>
      </c>
    </row>
    <row r="4544" spans="1:14" x14ac:dyDescent="0.25">
      <c r="A4544" s="47">
        <v>261533</v>
      </c>
      <c r="B4544" s="78">
        <v>45418</v>
      </c>
      <c r="C4544" s="47" t="s">
        <v>19</v>
      </c>
      <c r="D4544" s="49" t="s">
        <v>262</v>
      </c>
      <c r="E4544" s="47">
        <v>371951</v>
      </c>
      <c r="G4544" s="50" t="s">
        <v>241</v>
      </c>
      <c r="H4544" s="51">
        <v>24.68</v>
      </c>
      <c r="I4544" s="49">
        <v>8.89</v>
      </c>
      <c r="J4544" s="51">
        <v>3.69</v>
      </c>
      <c r="K4544" s="74">
        <f>Tabela6[[#This Row],[CONSUMO]]*Tabela6[[#This Row],[VALOR UNIT]]-Tabela6[[#This Row],[DESCONTO]]</f>
        <v>82.179199999999994</v>
      </c>
      <c r="L4544" s="53">
        <f>Tabela6[[#This Row],[CUSTO TOTAL]]/Tabela6[[#This Row],[CONSUMO]]</f>
        <v>3.3297893030794166</v>
      </c>
      <c r="M4544" s="50">
        <f>Tabela6[[#This Row],[KM ATUAL]]-E4489</f>
        <v>-740126</v>
      </c>
      <c r="N4544" s="51">
        <f>Tabela6[[#This Row],[KM Rodados ]]/Tabela6[[#This Row],[CONSUMO]]</f>
        <v>-29988.897893030793</v>
      </c>
    </row>
    <row r="4545" spans="1:14" x14ac:dyDescent="0.25">
      <c r="A4545" s="47">
        <v>404904</v>
      </c>
      <c r="B4545" s="78">
        <v>45418</v>
      </c>
      <c r="C4545" s="47" t="s">
        <v>40</v>
      </c>
      <c r="D4545" s="49" t="s">
        <v>268</v>
      </c>
      <c r="E4545" s="47">
        <v>201654</v>
      </c>
      <c r="G4545" s="50" t="s">
        <v>244</v>
      </c>
      <c r="H4545" s="51">
        <v>221.03</v>
      </c>
      <c r="J4545" s="51">
        <v>5.59</v>
      </c>
      <c r="K4545" s="74">
        <f>Tabela6[[#This Row],[CONSUMO]]*Tabela6[[#This Row],[VALOR UNIT]]-Tabela6[[#This Row],[DESCONTO]]</f>
        <v>1235.5577000000001</v>
      </c>
      <c r="L4545" s="53">
        <f>Tabela6[[#This Row],[CUSTO TOTAL]]/Tabela6[[#This Row],[CONSUMO]]</f>
        <v>5.59</v>
      </c>
      <c r="M4545" s="50">
        <f>Tabela6[[#This Row],[KM ATUAL]]-E4490</f>
        <v>-910466</v>
      </c>
      <c r="N4545" s="51">
        <f>Tabela6[[#This Row],[KM Rodados ]]/Tabela6[[#This Row],[CONSUMO]]</f>
        <v>-4119.1964891643665</v>
      </c>
    </row>
    <row r="4546" spans="1:14" x14ac:dyDescent="0.25">
      <c r="A4546" s="47" t="s">
        <v>454</v>
      </c>
      <c r="B4546" s="78">
        <v>45418</v>
      </c>
      <c r="C4546" s="47" t="s">
        <v>354</v>
      </c>
      <c r="D4546" s="49" t="s">
        <v>268</v>
      </c>
      <c r="E4546" s="47">
        <v>39376</v>
      </c>
      <c r="G4546" s="50" t="s">
        <v>241</v>
      </c>
      <c r="H4546" s="51">
        <v>81.66</v>
      </c>
      <c r="J4546" s="51">
        <v>2.99</v>
      </c>
      <c r="K4546" s="74">
        <f>Tabela6[[#This Row],[CONSUMO]]*Tabela6[[#This Row],[VALOR UNIT]]-Tabela6[[#This Row],[DESCONTO]]</f>
        <v>244.1634</v>
      </c>
      <c r="L4546" s="53">
        <f>Tabela6[[#This Row],[CUSTO TOTAL]]/Tabela6[[#This Row],[CONSUMO]]</f>
        <v>2.99</v>
      </c>
      <c r="M4546" s="50">
        <f>Tabela6[[#This Row],[KM ATUAL]]-E4491</f>
        <v>-930814</v>
      </c>
      <c r="N4546" s="51">
        <f>Tabela6[[#This Row],[KM Rodados ]]/Tabela6[[#This Row],[CONSUMO]]</f>
        <v>-11398.652951261329</v>
      </c>
    </row>
    <row r="4547" spans="1:14" x14ac:dyDescent="0.25">
      <c r="A4547" s="47">
        <v>226000</v>
      </c>
      <c r="B4547" s="78">
        <v>45419</v>
      </c>
      <c r="C4547" s="47" t="s">
        <v>9</v>
      </c>
      <c r="D4547" s="49" t="s">
        <v>253</v>
      </c>
      <c r="E4547" s="47">
        <v>660260</v>
      </c>
      <c r="G4547" s="50" t="s">
        <v>89</v>
      </c>
      <c r="H4547" s="51">
        <v>142.34</v>
      </c>
      <c r="J4547" s="51">
        <v>6.09</v>
      </c>
      <c r="K4547" s="74">
        <f>Tabela6[[#This Row],[CONSUMO]]*Tabela6[[#This Row],[VALOR UNIT]]-Tabela6[[#This Row],[DESCONTO]]</f>
        <v>866.85059999999999</v>
      </c>
      <c r="L4547" s="53">
        <f>Tabela6[[#This Row],[CUSTO TOTAL]]/Tabela6[[#This Row],[CONSUMO]]</f>
        <v>6.09</v>
      </c>
      <c r="M4547" s="50">
        <f>Tabela6[[#This Row],[KM ATUAL]]-E4492</f>
        <v>473739</v>
      </c>
      <c r="N4547" s="51">
        <f>Tabela6[[#This Row],[KM Rodados ]]/Tabela6[[#This Row],[CONSUMO]]</f>
        <v>3328.2211606013771</v>
      </c>
    </row>
    <row r="4548" spans="1:14" x14ac:dyDescent="0.25">
      <c r="A4548" s="47">
        <v>45584</v>
      </c>
      <c r="B4548" s="78">
        <v>45419</v>
      </c>
      <c r="C4548" s="47" t="s">
        <v>222</v>
      </c>
      <c r="D4548" s="49" t="s">
        <v>332</v>
      </c>
      <c r="E4548" s="47">
        <v>574701</v>
      </c>
      <c r="G4548" s="50" t="s">
        <v>89</v>
      </c>
      <c r="H4548" s="51">
        <v>418</v>
      </c>
      <c r="J4548" s="51">
        <v>5.66</v>
      </c>
      <c r="K4548" s="74">
        <f>Tabela6[[#This Row],[CONSUMO]]*Tabela6[[#This Row],[VALOR UNIT]]-Tabela6[[#This Row],[DESCONTO]]</f>
        <v>2365.88</v>
      </c>
      <c r="L4548" s="53">
        <f>Tabela6[[#This Row],[CUSTO TOTAL]]/Tabela6[[#This Row],[CONSUMO]]</f>
        <v>5.66</v>
      </c>
      <c r="M4548" s="50">
        <f>Tabela6[[#This Row],[KM ATUAL]]-E4493</f>
        <v>387792</v>
      </c>
      <c r="N4548" s="51">
        <f>Tabela6[[#This Row],[KM Rodados ]]/Tabela6[[#This Row],[CONSUMO]]</f>
        <v>927.73205741626793</v>
      </c>
    </row>
    <row r="4549" spans="1:14" x14ac:dyDescent="0.25">
      <c r="A4549" s="47" t="s">
        <v>459</v>
      </c>
      <c r="B4549" s="78">
        <v>45419</v>
      </c>
      <c r="C4549" s="47" t="s">
        <v>67</v>
      </c>
      <c r="D4549" s="49" t="s">
        <v>273</v>
      </c>
      <c r="E4549" s="47">
        <v>712590</v>
      </c>
      <c r="G4549" s="50" t="s">
        <v>89</v>
      </c>
      <c r="H4549" s="51">
        <v>145</v>
      </c>
      <c r="J4549" s="51">
        <v>5.69</v>
      </c>
      <c r="K4549" s="74">
        <f>Tabela6[[#This Row],[CONSUMO]]*Tabela6[[#This Row],[VALOR UNIT]]-Tabela6[[#This Row],[DESCONTO]]</f>
        <v>825.05000000000007</v>
      </c>
      <c r="L4549" s="53">
        <f>Tabela6[[#This Row],[CUSTO TOTAL]]/Tabela6[[#This Row],[CONSUMO]]</f>
        <v>5.69</v>
      </c>
      <c r="M4549" s="50">
        <f>Tabela6[[#This Row],[KM ATUAL]]-E4494</f>
        <v>140500</v>
      </c>
      <c r="N4549" s="51">
        <f>Tabela6[[#This Row],[KM Rodados ]]/Tabela6[[#This Row],[CONSUMO]]</f>
        <v>968.9655172413793</v>
      </c>
    </row>
    <row r="4550" spans="1:14" x14ac:dyDescent="0.25">
      <c r="A4550" s="47">
        <v>397173</v>
      </c>
      <c r="B4550" s="78">
        <v>45419</v>
      </c>
      <c r="C4550" s="47" t="s">
        <v>14</v>
      </c>
      <c r="D4550" s="49" t="s">
        <v>276</v>
      </c>
      <c r="E4550" s="47">
        <v>331444</v>
      </c>
      <c r="G4550" s="50" t="s">
        <v>244</v>
      </c>
      <c r="H4550" s="51">
        <v>21.079000000000001</v>
      </c>
      <c r="J4550" s="51">
        <v>5.79</v>
      </c>
      <c r="K4550" s="74">
        <f>Tabela6[[#This Row],[CONSUMO]]*Tabela6[[#This Row],[VALOR UNIT]]-Tabela6[[#This Row],[DESCONTO]]</f>
        <v>122.04741</v>
      </c>
      <c r="L4550" s="53">
        <f>Tabela6[[#This Row],[CUSTO TOTAL]]/Tabela6[[#This Row],[CONSUMO]]</f>
        <v>5.79</v>
      </c>
      <c r="M4550" s="50">
        <f>Tabela6[[#This Row],[KM ATUAL]]-E4495</f>
        <v>-780696</v>
      </c>
      <c r="N4550" s="51">
        <f>Tabela6[[#This Row],[KM Rodados ]]/Tabela6[[#This Row],[CONSUMO]]</f>
        <v>-37036.671568860002</v>
      </c>
    </row>
    <row r="4551" spans="1:14" x14ac:dyDescent="0.25">
      <c r="A4551" s="47">
        <v>397305</v>
      </c>
      <c r="B4551" s="78">
        <v>45419</v>
      </c>
      <c r="C4551" s="47" t="s">
        <v>14</v>
      </c>
      <c r="D4551" s="49" t="s">
        <v>276</v>
      </c>
      <c r="E4551" s="47">
        <v>331838</v>
      </c>
      <c r="G4551" s="50" t="s">
        <v>244</v>
      </c>
      <c r="H4551" s="51">
        <v>28.501000000000001</v>
      </c>
      <c r="J4551" s="51">
        <v>5.79</v>
      </c>
      <c r="K4551" s="74">
        <f>Tabela6[[#This Row],[CONSUMO]]*Tabela6[[#This Row],[VALOR UNIT]]-Tabela6[[#This Row],[DESCONTO]]</f>
        <v>165.02079000000001</v>
      </c>
      <c r="L4551" s="53">
        <f>Tabela6[[#This Row],[CUSTO TOTAL]]/Tabela6[[#This Row],[CONSUMO]]</f>
        <v>5.79</v>
      </c>
      <c r="M4551" s="50">
        <f>Tabela6[[#This Row],[KM ATUAL]]-E4496</f>
        <v>315083</v>
      </c>
      <c r="N4551" s="51">
        <f>Tabela6[[#This Row],[KM Rodados ]]/Tabela6[[#This Row],[CONSUMO]]</f>
        <v>11055.155959440019</v>
      </c>
    </row>
    <row r="4552" spans="1:14" x14ac:dyDescent="0.25">
      <c r="A4552" s="47">
        <v>261642</v>
      </c>
      <c r="B4552" s="78">
        <v>45419</v>
      </c>
      <c r="C4552" s="47" t="s">
        <v>15</v>
      </c>
      <c r="D4552" s="49" t="s">
        <v>262</v>
      </c>
      <c r="E4552" s="47">
        <v>428594</v>
      </c>
      <c r="G4552" s="50" t="s">
        <v>241</v>
      </c>
      <c r="H4552" s="51">
        <v>18.728999999999999</v>
      </c>
      <c r="I4552" s="49">
        <v>6.74</v>
      </c>
      <c r="J4552" s="51">
        <v>3.69</v>
      </c>
      <c r="K4552" s="74">
        <f>Tabela6[[#This Row],[CONSUMO]]*Tabela6[[#This Row],[VALOR UNIT]]-Tabela6[[#This Row],[DESCONTO]]</f>
        <v>62.370010000000001</v>
      </c>
      <c r="L4552" s="53">
        <f>Tabela6[[#This Row],[CUSTO TOTAL]]/Tabela6[[#This Row],[CONSUMO]]</f>
        <v>3.330130279246089</v>
      </c>
      <c r="M4552" s="50">
        <f>Tabela6[[#This Row],[KM ATUAL]]-E4497</f>
        <v>281683</v>
      </c>
      <c r="N4552" s="51">
        <f>Tabela6[[#This Row],[KM Rodados ]]/Tabela6[[#This Row],[CONSUMO]]</f>
        <v>15039.938063964975</v>
      </c>
    </row>
    <row r="4553" spans="1:14" x14ac:dyDescent="0.25">
      <c r="A4553" s="47">
        <v>50334</v>
      </c>
      <c r="B4553" s="78">
        <v>45419</v>
      </c>
      <c r="C4553" s="47" t="s">
        <v>401</v>
      </c>
      <c r="D4553" s="49" t="s">
        <v>247</v>
      </c>
      <c r="E4553" s="47">
        <v>25142</v>
      </c>
      <c r="G4553" s="50" t="s">
        <v>89</v>
      </c>
      <c r="H4553" s="51">
        <v>66.78</v>
      </c>
      <c r="J4553" s="51">
        <v>5.99</v>
      </c>
      <c r="K4553" s="74">
        <f>Tabela6[[#This Row],[CONSUMO]]*Tabela6[[#This Row],[VALOR UNIT]]-Tabela6[[#This Row],[DESCONTO]]</f>
        <v>400.01220000000001</v>
      </c>
      <c r="L4553" s="53">
        <f>Tabela6[[#This Row],[CUSTO TOTAL]]/Tabela6[[#This Row],[CONSUMO]]</f>
        <v>5.99</v>
      </c>
      <c r="M4553" s="50">
        <f>Tabela6[[#This Row],[KM ATUAL]]-E4498</f>
        <v>-175133</v>
      </c>
      <c r="N4553" s="51">
        <f>Tabela6[[#This Row],[KM Rodados ]]/Tabela6[[#This Row],[CONSUMO]]</f>
        <v>-2622.5366876310272</v>
      </c>
    </row>
    <row r="4554" spans="1:14" x14ac:dyDescent="0.25">
      <c r="A4554" s="47">
        <v>45585</v>
      </c>
      <c r="B4554" s="78">
        <v>45419</v>
      </c>
      <c r="C4554" s="47"/>
      <c r="D4554" s="49" t="s">
        <v>332</v>
      </c>
      <c r="E4554" s="47">
        <v>574701</v>
      </c>
      <c r="G4554" s="50" t="s">
        <v>241</v>
      </c>
      <c r="H4554" s="51">
        <v>27.233000000000001</v>
      </c>
      <c r="J4554" s="51">
        <v>2.99</v>
      </c>
      <c r="K4554" s="74">
        <f>Tabela6[[#This Row],[CONSUMO]]*Tabela6[[#This Row],[VALOR UNIT]]-Tabela6[[#This Row],[DESCONTO]]</f>
        <v>81.426670000000001</v>
      </c>
      <c r="L4554" s="53">
        <f>Tabela6[[#This Row],[CUSTO TOTAL]]/Tabela6[[#This Row],[CONSUMO]]</f>
        <v>2.99</v>
      </c>
      <c r="M4554" s="50">
        <f>Tabela6[[#This Row],[KM ATUAL]]-E4499</f>
        <v>551393</v>
      </c>
      <c r="N4554" s="51">
        <f>Tabela6[[#This Row],[KM Rodados ]]/Tabela6[[#This Row],[CONSUMO]]</f>
        <v>20247.236808284066</v>
      </c>
    </row>
    <row r="4555" spans="1:14" x14ac:dyDescent="0.25">
      <c r="A4555" s="47">
        <v>226662</v>
      </c>
      <c r="B4555" s="78">
        <v>45420</v>
      </c>
      <c r="C4555" s="47" t="s">
        <v>43</v>
      </c>
      <c r="D4555" s="49" t="s">
        <v>253</v>
      </c>
      <c r="E4555" s="47">
        <v>189108</v>
      </c>
      <c r="G4555" s="50" t="s">
        <v>89</v>
      </c>
      <c r="H4555" s="51">
        <v>38.96</v>
      </c>
      <c r="J4555" s="51">
        <v>6.09</v>
      </c>
      <c r="K4555" s="74">
        <f>Tabela6[[#This Row],[CONSUMO]]*Tabela6[[#This Row],[VALOR UNIT]]-Tabela6[[#This Row],[DESCONTO]]</f>
        <v>237.2664</v>
      </c>
      <c r="L4555" s="53">
        <f>Tabela6[[#This Row],[CUSTO TOTAL]]/Tabela6[[#This Row],[CONSUMO]]</f>
        <v>6.09</v>
      </c>
      <c r="M4555" s="50">
        <f>Tabela6[[#This Row],[KM ATUAL]]-E4500</f>
        <v>-89613</v>
      </c>
      <c r="N4555" s="51">
        <f>Tabela6[[#This Row],[KM Rodados ]]/Tabela6[[#This Row],[CONSUMO]]</f>
        <v>-2300.1283367556466</v>
      </c>
    </row>
    <row r="4556" spans="1:14" x14ac:dyDescent="0.25">
      <c r="A4556" s="47">
        <v>397625</v>
      </c>
      <c r="B4556" s="78">
        <v>45420</v>
      </c>
      <c r="C4556" s="47" t="s">
        <v>203</v>
      </c>
      <c r="D4556" s="49" t="s">
        <v>276</v>
      </c>
      <c r="E4556" s="47">
        <v>162021</v>
      </c>
      <c r="G4556" s="50" t="s">
        <v>244</v>
      </c>
      <c r="H4556" s="51">
        <v>37.401000000000003</v>
      </c>
      <c r="J4556" s="51">
        <v>5.79</v>
      </c>
      <c r="K4556" s="74">
        <f>Tabela6[[#This Row],[CONSUMO]]*Tabela6[[#This Row],[VALOR UNIT]]-Tabela6[[#This Row],[DESCONTO]]</f>
        <v>216.55179000000001</v>
      </c>
      <c r="L4556" s="53">
        <f>Tabela6[[#This Row],[CUSTO TOTAL]]/Tabela6[[#This Row],[CONSUMO]]</f>
        <v>5.79</v>
      </c>
      <c r="M4556" s="50">
        <f>Tabela6[[#This Row],[KM ATUAL]]-E4501</f>
        <v>1397</v>
      </c>
      <c r="N4556" s="51">
        <f>Tabela6[[#This Row],[KM Rodados ]]/Tabela6[[#This Row],[CONSUMO]]</f>
        <v>37.351942461431506</v>
      </c>
    </row>
    <row r="4557" spans="1:14" x14ac:dyDescent="0.25">
      <c r="A4557" s="47">
        <v>226797</v>
      </c>
      <c r="B4557" s="78">
        <v>45420</v>
      </c>
      <c r="C4557" s="47" t="s">
        <v>11</v>
      </c>
      <c r="D4557" s="49" t="s">
        <v>253</v>
      </c>
      <c r="E4557" s="47">
        <v>416015</v>
      </c>
      <c r="G4557" s="50" t="s">
        <v>89</v>
      </c>
      <c r="H4557" s="51">
        <v>108.55</v>
      </c>
      <c r="J4557" s="51">
        <v>6.09</v>
      </c>
      <c r="K4557" s="74">
        <f>Tabela6[[#This Row],[CONSUMO]]*Tabela6[[#This Row],[VALOR UNIT]]-Tabela6[[#This Row],[DESCONTO]]</f>
        <v>661.06949999999995</v>
      </c>
      <c r="L4557" s="53">
        <f>Tabela6[[#This Row],[CUSTO TOTAL]]/Tabela6[[#This Row],[CONSUMO]]</f>
        <v>6.09</v>
      </c>
      <c r="M4557" s="50">
        <f>Tabela6[[#This Row],[KM ATUAL]]-E4502</f>
        <v>85153</v>
      </c>
      <c r="N4557" s="51">
        <f>Tabela6[[#This Row],[KM Rodados ]]/Tabela6[[#This Row],[CONSUMO]]</f>
        <v>784.45877475817599</v>
      </c>
    </row>
    <row r="4558" spans="1:14" x14ac:dyDescent="0.25">
      <c r="A4558" s="47">
        <v>11221</v>
      </c>
      <c r="B4558" s="78">
        <v>45420</v>
      </c>
      <c r="C4558" s="47" t="s">
        <v>18</v>
      </c>
      <c r="D4558" s="49" t="s">
        <v>255</v>
      </c>
      <c r="E4558" s="47">
        <v>358319</v>
      </c>
      <c r="G4558" s="50" t="s">
        <v>89</v>
      </c>
      <c r="H4558" s="51">
        <v>94.870999999999995</v>
      </c>
      <c r="J4558" s="51">
        <v>6.26</v>
      </c>
      <c r="K4558" s="74">
        <f>Tabela6[[#This Row],[CONSUMO]]*Tabela6[[#This Row],[VALOR UNIT]]-Tabela6[[#This Row],[DESCONTO]]</f>
        <v>593.89245999999991</v>
      </c>
      <c r="L4558" s="53">
        <f>Tabela6[[#This Row],[CUSTO TOTAL]]/Tabela6[[#This Row],[CONSUMO]]</f>
        <v>6.26</v>
      </c>
      <c r="M4558" s="50">
        <f>Tabela6[[#This Row],[KM ATUAL]]-E4503</f>
        <v>349182</v>
      </c>
      <c r="N4558" s="51">
        <f>Tabela6[[#This Row],[KM Rodados ]]/Tabela6[[#This Row],[CONSUMO]]</f>
        <v>3680.5978644685943</v>
      </c>
    </row>
    <row r="4559" spans="1:14" x14ac:dyDescent="0.25">
      <c r="A4559" s="47">
        <v>11237</v>
      </c>
      <c r="B4559" s="78">
        <v>45420</v>
      </c>
      <c r="C4559" s="47" t="s">
        <v>38</v>
      </c>
      <c r="D4559" s="49" t="s">
        <v>255</v>
      </c>
      <c r="E4559" s="47">
        <v>147398</v>
      </c>
      <c r="G4559" s="50" t="s">
        <v>244</v>
      </c>
      <c r="H4559" s="51">
        <v>52.271000000000001</v>
      </c>
      <c r="J4559" s="51">
        <v>5.95</v>
      </c>
      <c r="K4559" s="74">
        <f>Tabela6[[#This Row],[CONSUMO]]*Tabela6[[#This Row],[VALOR UNIT]]-Tabela6[[#This Row],[DESCONTO]]</f>
        <v>311.01245</v>
      </c>
      <c r="L4559" s="53">
        <f>Tabela6[[#This Row],[CUSTO TOTAL]]/Tabela6[[#This Row],[CONSUMO]]</f>
        <v>5.95</v>
      </c>
      <c r="M4559" s="50">
        <f>Tabela6[[#This Row],[KM ATUAL]]-E4504</f>
        <v>-125713</v>
      </c>
      <c r="N4559" s="51">
        <f>Tabela6[[#This Row],[KM Rodados ]]/Tabela6[[#This Row],[CONSUMO]]</f>
        <v>-2405.0238181783398</v>
      </c>
    </row>
    <row r="4560" spans="1:14" x14ac:dyDescent="0.25">
      <c r="A4560" s="47">
        <v>261897</v>
      </c>
      <c r="B4560" s="78">
        <v>45420</v>
      </c>
      <c r="C4560" s="47" t="s">
        <v>40</v>
      </c>
      <c r="D4560" s="49" t="s">
        <v>262</v>
      </c>
      <c r="E4560" s="47">
        <v>202231</v>
      </c>
      <c r="G4560" s="50" t="s">
        <v>244</v>
      </c>
      <c r="H4560" s="51">
        <v>47.46</v>
      </c>
      <c r="J4560" s="51">
        <v>5.69</v>
      </c>
      <c r="K4560" s="74">
        <f>Tabela6[[#This Row],[CONSUMO]]*Tabela6[[#This Row],[VALOR UNIT]]-Tabela6[[#This Row],[DESCONTO]]</f>
        <v>270.04740000000004</v>
      </c>
      <c r="L4560" s="53">
        <f>Tabela6[[#This Row],[CUSTO TOTAL]]/Tabela6[[#This Row],[CONSUMO]]</f>
        <v>5.69</v>
      </c>
      <c r="M4560" s="50">
        <f>Tabela6[[#This Row],[KM ATUAL]]-E4505</f>
        <v>174687</v>
      </c>
      <c r="N4560" s="51">
        <f>Tabela6[[#This Row],[KM Rodados ]]/Tabela6[[#This Row],[CONSUMO]]</f>
        <v>3680.7206068268015</v>
      </c>
    </row>
    <row r="4561" spans="1:14" x14ac:dyDescent="0.25">
      <c r="A4561" s="47">
        <v>226461</v>
      </c>
      <c r="B4561" s="78">
        <v>45420</v>
      </c>
      <c r="C4561" s="47" t="s">
        <v>315</v>
      </c>
      <c r="D4561" s="49" t="s">
        <v>253</v>
      </c>
      <c r="E4561" s="47">
        <v>28840</v>
      </c>
      <c r="G4561" s="50" t="s">
        <v>89</v>
      </c>
      <c r="H4561" s="51">
        <v>52</v>
      </c>
      <c r="J4561" s="51">
        <v>6.09</v>
      </c>
      <c r="K4561" s="74">
        <f>Tabela6[[#This Row],[CONSUMO]]*Tabela6[[#This Row],[VALOR UNIT]]-Tabela6[[#This Row],[DESCONTO]]</f>
        <v>316.68</v>
      </c>
      <c r="L4561" s="53">
        <f>Tabela6[[#This Row],[CUSTO TOTAL]]/Tabela6[[#This Row],[CONSUMO]]</f>
        <v>6.09</v>
      </c>
      <c r="M4561" s="50">
        <f>Tabela6[[#This Row],[KM ATUAL]]-E4506</f>
        <v>18862</v>
      </c>
      <c r="N4561" s="51">
        <f>Tabela6[[#This Row],[KM Rodados ]]/Tabela6[[#This Row],[CONSUMO]]</f>
        <v>362.73076923076923</v>
      </c>
    </row>
    <row r="4562" spans="1:14" x14ac:dyDescent="0.25">
      <c r="A4562" s="47">
        <v>227933</v>
      </c>
      <c r="B4562" s="78">
        <v>45421</v>
      </c>
      <c r="C4562" s="47" t="s">
        <v>9</v>
      </c>
      <c r="D4562" s="49" t="s">
        <v>253</v>
      </c>
      <c r="E4562" s="47">
        <v>660706</v>
      </c>
      <c r="G4562" s="50" t="s">
        <v>89</v>
      </c>
      <c r="H4562" s="51">
        <v>112.93</v>
      </c>
      <c r="J4562" s="51">
        <v>6.09</v>
      </c>
      <c r="K4562" s="74">
        <f>Tabela6[[#This Row],[CONSUMO]]*Tabela6[[#This Row],[VALOR UNIT]]-Tabela6[[#This Row],[DESCONTO]]</f>
        <v>687.74369999999999</v>
      </c>
      <c r="L4562" s="53">
        <f>Tabela6[[#This Row],[CUSTO TOTAL]]/Tabela6[[#This Row],[CONSUMO]]</f>
        <v>6.09</v>
      </c>
      <c r="M4562" s="50">
        <f>Tabela6[[#This Row],[KM ATUAL]]-E4507</f>
        <v>650728</v>
      </c>
      <c r="N4562" s="51">
        <f>Tabela6[[#This Row],[KM Rodados ]]/Tabela6[[#This Row],[CONSUMO]]</f>
        <v>5762.2243867882753</v>
      </c>
    </row>
    <row r="4563" spans="1:14" x14ac:dyDescent="0.25">
      <c r="A4563" s="47">
        <v>264472</v>
      </c>
      <c r="B4563" s="78">
        <v>45421</v>
      </c>
      <c r="C4563" s="47" t="s">
        <v>222</v>
      </c>
      <c r="D4563" s="49" t="s">
        <v>374</v>
      </c>
      <c r="E4563" s="47">
        <v>575850</v>
      </c>
      <c r="G4563" s="50" t="s">
        <v>89</v>
      </c>
      <c r="H4563" s="51">
        <v>368</v>
      </c>
      <c r="J4563" s="51">
        <v>5.69</v>
      </c>
      <c r="K4563" s="74">
        <f>Tabela6[[#This Row],[CONSUMO]]*Tabela6[[#This Row],[VALOR UNIT]]-Tabela6[[#This Row],[DESCONTO]]</f>
        <v>2093.92</v>
      </c>
      <c r="L4563" s="53">
        <f>Tabela6[[#This Row],[CUSTO TOTAL]]/Tabela6[[#This Row],[CONSUMO]]</f>
        <v>5.69</v>
      </c>
      <c r="M4563" s="50">
        <f>Tabela6[[#This Row],[KM ATUAL]]-E4508</f>
        <v>-135580</v>
      </c>
      <c r="N4563" s="51">
        <f>Tabela6[[#This Row],[KM Rodados ]]/Tabela6[[#This Row],[CONSUMO]]</f>
        <v>-368.42391304347825</v>
      </c>
    </row>
    <row r="4564" spans="1:14" x14ac:dyDescent="0.25">
      <c r="A4564" s="47">
        <v>496774</v>
      </c>
      <c r="B4564" s="78">
        <v>45421</v>
      </c>
      <c r="C4564" s="47" t="s">
        <v>67</v>
      </c>
      <c r="D4564" s="49" t="s">
        <v>273</v>
      </c>
      <c r="E4564" s="47">
        <v>713030</v>
      </c>
      <c r="G4564" s="50" t="s">
        <v>89</v>
      </c>
      <c r="H4564" s="51">
        <v>112.941</v>
      </c>
      <c r="J4564" s="51">
        <v>5.69</v>
      </c>
      <c r="K4564" s="74">
        <f>Tabela6[[#This Row],[CONSUMO]]*Tabela6[[#This Row],[VALOR UNIT]]-Tabela6[[#This Row],[DESCONTO]]</f>
        <v>642.63429000000008</v>
      </c>
      <c r="L4564" s="53">
        <f>Tabela6[[#This Row],[CUSTO TOTAL]]/Tabela6[[#This Row],[CONSUMO]]</f>
        <v>5.69</v>
      </c>
      <c r="M4564" s="50">
        <f>Tabela6[[#This Row],[KM ATUAL]]-E4509</f>
        <v>713030</v>
      </c>
      <c r="N4564" s="51">
        <f>Tabela6[[#This Row],[KM Rodados ]]/Tabela6[[#This Row],[CONSUMO]]</f>
        <v>6313.2963228588378</v>
      </c>
    </row>
    <row r="4565" spans="1:14" x14ac:dyDescent="0.25">
      <c r="A4565" s="47" t="s">
        <v>456</v>
      </c>
      <c r="B4565" s="78">
        <v>45421</v>
      </c>
      <c r="C4565" s="47" t="s">
        <v>67</v>
      </c>
      <c r="D4565" s="49" t="s">
        <v>273</v>
      </c>
      <c r="E4565" s="47">
        <v>713030</v>
      </c>
      <c r="G4565" s="50" t="s">
        <v>241</v>
      </c>
      <c r="H4565" s="51">
        <v>10.462</v>
      </c>
      <c r="J4565" s="51">
        <v>2.99</v>
      </c>
      <c r="K4565" s="74">
        <f>Tabela6[[#This Row],[CONSUMO]]*Tabela6[[#This Row],[VALOR UNIT]]-Tabela6[[#This Row],[DESCONTO]]</f>
        <v>31.281380000000002</v>
      </c>
      <c r="L4565" s="53">
        <f>Tabela6[[#This Row],[CUSTO TOTAL]]/Tabela6[[#This Row],[CONSUMO]]</f>
        <v>2.99</v>
      </c>
      <c r="M4565" s="50">
        <f>Tabela6[[#This Row],[KM ATUAL]]-E4510</f>
        <v>-134752</v>
      </c>
      <c r="N4565" s="51">
        <f>Tabela6[[#This Row],[KM Rodados ]]/Tabela6[[#This Row],[CONSUMO]]</f>
        <v>-12880.137640986428</v>
      </c>
    </row>
    <row r="4566" spans="1:14" x14ac:dyDescent="0.25">
      <c r="A4566" s="47">
        <v>145784</v>
      </c>
      <c r="B4566" s="78">
        <v>45421</v>
      </c>
      <c r="C4566" s="47" t="s">
        <v>203</v>
      </c>
      <c r="D4566" s="49" t="s">
        <v>334</v>
      </c>
      <c r="E4566" s="47">
        <v>162543</v>
      </c>
      <c r="G4566" s="50" t="s">
        <v>244</v>
      </c>
      <c r="H4566" s="51">
        <v>42.75</v>
      </c>
      <c r="J4566" s="51">
        <v>5.99</v>
      </c>
      <c r="K4566" s="74">
        <f>Tabela6[[#This Row],[CONSUMO]]*Tabela6[[#This Row],[VALOR UNIT]]-Tabela6[[#This Row],[DESCONTO]]</f>
        <v>256.07249999999999</v>
      </c>
      <c r="L4566" s="53">
        <f>Tabela6[[#This Row],[CUSTO TOTAL]]/Tabela6[[#This Row],[CONSUMO]]</f>
        <v>5.99</v>
      </c>
      <c r="M4566" s="50">
        <f>Tabela6[[#This Row],[KM ATUAL]]-E4511</f>
        <v>-24980</v>
      </c>
      <c r="N4566" s="51">
        <f>Tabela6[[#This Row],[KM Rodados ]]/Tabela6[[#This Row],[CONSUMO]]</f>
        <v>-584.32748538011697</v>
      </c>
    </row>
    <row r="4567" spans="1:14" x14ac:dyDescent="0.25">
      <c r="A4567" s="47">
        <v>262103</v>
      </c>
      <c r="B4567" s="78">
        <v>45421</v>
      </c>
      <c r="C4567" s="47" t="s">
        <v>72</v>
      </c>
      <c r="D4567" s="49" t="s">
        <v>276</v>
      </c>
      <c r="E4567" s="47">
        <v>457278</v>
      </c>
      <c r="G4567" s="50" t="s">
        <v>89</v>
      </c>
      <c r="H4567" s="51">
        <v>21.12</v>
      </c>
      <c r="J4567" s="51">
        <v>6.09</v>
      </c>
      <c r="K4567" s="74">
        <f>Tabela6[[#This Row],[CONSUMO]]*Tabela6[[#This Row],[VALOR UNIT]]-Tabela6[[#This Row],[DESCONTO]]</f>
        <v>128.6208</v>
      </c>
      <c r="L4567" s="53">
        <f>Tabela6[[#This Row],[CUSTO TOTAL]]/Tabela6[[#This Row],[CONSUMO]]</f>
        <v>6.09</v>
      </c>
      <c r="M4567" s="50">
        <f>Tabela6[[#This Row],[KM ATUAL]]-E4512</f>
        <v>-202178</v>
      </c>
      <c r="N4567" s="51">
        <f>Tabela6[[#This Row],[KM Rodados ]]/Tabela6[[#This Row],[CONSUMO]]</f>
        <v>-9572.82196969697</v>
      </c>
    </row>
    <row r="4568" spans="1:14" x14ac:dyDescent="0.25">
      <c r="A4568" s="47">
        <v>397853</v>
      </c>
      <c r="B4568" s="78">
        <v>45421</v>
      </c>
      <c r="C4568" s="47" t="s">
        <v>40</v>
      </c>
      <c r="D4568" s="49" t="s">
        <v>276</v>
      </c>
      <c r="E4568" s="47">
        <v>202823</v>
      </c>
      <c r="G4568" s="50" t="s">
        <v>244</v>
      </c>
      <c r="H4568" s="51">
        <v>45.161000000000001</v>
      </c>
      <c r="J4568" s="51">
        <v>5.79</v>
      </c>
      <c r="K4568" s="74">
        <f>Tabela6[[#This Row],[CONSUMO]]*Tabela6[[#This Row],[VALOR UNIT]]-Tabela6[[#This Row],[DESCONTO]]</f>
        <v>261.48219</v>
      </c>
      <c r="L4568" s="53">
        <f>Tabela6[[#This Row],[CUSTO TOTAL]]/Tabela6[[#This Row],[CONSUMO]]</f>
        <v>5.79</v>
      </c>
      <c r="M4568" s="50">
        <f>Tabela6[[#This Row],[KM ATUAL]]-E4513</f>
        <v>41600</v>
      </c>
      <c r="N4568" s="51">
        <f>Tabela6[[#This Row],[KM Rodados ]]/Tabela6[[#This Row],[CONSUMO]]</f>
        <v>921.14877881357802</v>
      </c>
    </row>
    <row r="4569" spans="1:14" x14ac:dyDescent="0.25">
      <c r="A4569" s="47">
        <v>50675</v>
      </c>
      <c r="B4569" s="78">
        <v>45421</v>
      </c>
      <c r="C4569" s="47" t="s">
        <v>401</v>
      </c>
      <c r="D4569" s="49" t="s">
        <v>247</v>
      </c>
      <c r="E4569" s="47">
        <v>26018</v>
      </c>
      <c r="G4569" s="50" t="s">
        <v>241</v>
      </c>
      <c r="H4569" s="51">
        <v>27</v>
      </c>
      <c r="J4569" s="51">
        <v>2.89</v>
      </c>
      <c r="K4569" s="74">
        <f>Tabela6[[#This Row],[CONSUMO]]*Tabela6[[#This Row],[VALOR UNIT]]-Tabela6[[#This Row],[DESCONTO]]</f>
        <v>78.03</v>
      </c>
      <c r="L4569" s="53">
        <f>Tabela6[[#This Row],[CUSTO TOTAL]]/Tabela6[[#This Row],[CONSUMO]]</f>
        <v>2.89</v>
      </c>
      <c r="M4569" s="50">
        <f>Tabela6[[#This Row],[KM ATUAL]]-E4514</f>
        <v>-135132</v>
      </c>
      <c r="N4569" s="51">
        <f>Tabela6[[#This Row],[KM Rodados ]]/Tabela6[[#This Row],[CONSUMO]]</f>
        <v>-5004.8888888888887</v>
      </c>
    </row>
    <row r="4570" spans="1:14" x14ac:dyDescent="0.25">
      <c r="A4570" s="47">
        <v>50674</v>
      </c>
      <c r="B4570" s="78">
        <v>45421</v>
      </c>
      <c r="C4570" s="47" t="s">
        <v>401</v>
      </c>
      <c r="D4570" s="49" t="s">
        <v>247</v>
      </c>
      <c r="E4570" s="47">
        <v>26018</v>
      </c>
      <c r="G4570" s="50" t="s">
        <v>89</v>
      </c>
      <c r="H4570" s="51">
        <v>83.47</v>
      </c>
      <c r="J4570" s="51">
        <v>5.99</v>
      </c>
      <c r="K4570" s="74">
        <f>Tabela6[[#This Row],[CONSUMO]]*Tabela6[[#This Row],[VALOR UNIT]]-Tabela6[[#This Row],[DESCONTO]]</f>
        <v>499.9853</v>
      </c>
      <c r="L4570" s="53">
        <f>Tabela6[[#This Row],[CUSTO TOTAL]]/Tabela6[[#This Row],[CONSUMO]]</f>
        <v>5.99</v>
      </c>
      <c r="M4570" s="50">
        <f>Tabela6[[#This Row],[KM ATUAL]]-E4515</f>
        <v>-1086247</v>
      </c>
      <c r="N4570" s="51">
        <f>Tabela6[[#This Row],[KM Rodados ]]/Tabela6[[#This Row],[CONSUMO]]</f>
        <v>-13013.621660476818</v>
      </c>
    </row>
    <row r="4571" spans="1:14" x14ac:dyDescent="0.25">
      <c r="A4571" s="47">
        <v>264473</v>
      </c>
      <c r="B4571" s="78">
        <v>45421</v>
      </c>
      <c r="C4571" s="47"/>
      <c r="D4571" s="49" t="s">
        <v>374</v>
      </c>
      <c r="E4571" s="47">
        <v>575850</v>
      </c>
      <c r="G4571" s="50" t="s">
        <v>241</v>
      </c>
      <c r="H4571" s="51">
        <v>21.352</v>
      </c>
      <c r="J4571" s="51">
        <v>2.99</v>
      </c>
      <c r="K4571" s="74">
        <f>Tabela6[[#This Row],[CONSUMO]]*Tabela6[[#This Row],[VALOR UNIT]]-Tabela6[[#This Row],[DESCONTO]]</f>
        <v>63.842480000000009</v>
      </c>
      <c r="L4571" s="53">
        <f>Tabela6[[#This Row],[CUSTO TOTAL]]/Tabela6[[#This Row],[CONSUMO]]</f>
        <v>2.99</v>
      </c>
      <c r="M4571" s="50">
        <f>Tabela6[[#This Row],[KM ATUAL]]-E4516</f>
        <v>-428330</v>
      </c>
      <c r="N4571" s="51">
        <f>Tabela6[[#This Row],[KM Rodados ]]/Tabela6[[#This Row],[CONSUMO]]</f>
        <v>-20060.415886099661</v>
      </c>
    </row>
    <row r="4572" spans="1:14" x14ac:dyDescent="0.25">
      <c r="A4572" s="47">
        <v>228472</v>
      </c>
      <c r="B4572" s="78">
        <v>45422</v>
      </c>
      <c r="C4572" s="47" t="s">
        <v>43</v>
      </c>
      <c r="D4572" s="49" t="s">
        <v>253</v>
      </c>
      <c r="E4572" s="47">
        <v>189587</v>
      </c>
      <c r="G4572" s="50" t="s">
        <v>89</v>
      </c>
      <c r="H4572" s="51">
        <v>36.520000000000003</v>
      </c>
      <c r="J4572" s="51">
        <v>6.09</v>
      </c>
      <c r="K4572" s="74">
        <f>Tabela6[[#This Row],[CONSUMO]]*Tabela6[[#This Row],[VALOR UNIT]]-Tabela6[[#This Row],[DESCONTO]]</f>
        <v>222.4068</v>
      </c>
      <c r="L4572" s="53">
        <f>Tabela6[[#This Row],[CUSTO TOTAL]]/Tabela6[[#This Row],[CONSUMO]]</f>
        <v>6.09</v>
      </c>
      <c r="M4572" s="50">
        <f>Tabela6[[#This Row],[KM ATUAL]]-E4517</f>
        <v>-494432</v>
      </c>
      <c r="N4572" s="51">
        <f>Tabela6[[#This Row],[KM Rodados ]]/Tabela6[[#This Row],[CONSUMO]]</f>
        <v>-13538.66374589266</v>
      </c>
    </row>
    <row r="4573" spans="1:14" x14ac:dyDescent="0.25">
      <c r="A4573" s="47">
        <v>398104</v>
      </c>
      <c r="B4573" s="78">
        <v>45422</v>
      </c>
      <c r="C4573" s="47" t="s">
        <v>203</v>
      </c>
      <c r="D4573" s="49" t="s">
        <v>276</v>
      </c>
      <c r="E4573" s="47">
        <v>162998</v>
      </c>
      <c r="G4573" s="50" t="s">
        <v>244</v>
      </c>
      <c r="H4573" s="51">
        <v>37.978999999999999</v>
      </c>
      <c r="J4573" s="51">
        <v>5.79</v>
      </c>
      <c r="K4573" s="74">
        <f>Tabela6[[#This Row],[CONSUMO]]*Tabela6[[#This Row],[VALOR UNIT]]-Tabela6[[#This Row],[DESCONTO]]</f>
        <v>219.89840999999998</v>
      </c>
      <c r="L4573" s="53">
        <f>Tabela6[[#This Row],[CUSTO TOTAL]]/Tabela6[[#This Row],[CONSUMO]]</f>
        <v>5.79</v>
      </c>
      <c r="M4573" s="50">
        <f>Tabela6[[#This Row],[KM ATUAL]]-E4518</f>
        <v>-37800</v>
      </c>
      <c r="N4573" s="51">
        <f>Tabela6[[#This Row],[KM Rodados ]]/Tabela6[[#This Row],[CONSUMO]]</f>
        <v>-995.286869059217</v>
      </c>
    </row>
    <row r="4574" spans="1:14" x14ac:dyDescent="0.25">
      <c r="A4574" s="47" t="s">
        <v>464</v>
      </c>
      <c r="B4574" s="78">
        <v>45422</v>
      </c>
      <c r="C4574" s="47" t="s">
        <v>73</v>
      </c>
      <c r="D4574" s="49" t="s">
        <v>271</v>
      </c>
      <c r="E4574" s="47">
        <v>195518</v>
      </c>
      <c r="G4574" s="50" t="s">
        <v>241</v>
      </c>
      <c r="H4574" s="51">
        <v>27.391999999999999</v>
      </c>
      <c r="J4574" s="51">
        <v>2.99</v>
      </c>
      <c r="K4574" s="74">
        <f>Tabela6[[#This Row],[CONSUMO]]*Tabela6[[#This Row],[VALOR UNIT]]-Tabela6[[#This Row],[DESCONTO]]</f>
        <v>81.902079999999998</v>
      </c>
      <c r="L4574" s="53">
        <f>Tabela6[[#This Row],[CUSTO TOTAL]]/Tabela6[[#This Row],[CONSUMO]]</f>
        <v>2.9899999999999998</v>
      </c>
      <c r="M4574" s="50">
        <f>Tabela6[[#This Row],[KM ATUAL]]-E4519</f>
        <v>65311</v>
      </c>
      <c r="N4574" s="51">
        <f>Tabela6[[#This Row],[KM Rodados ]]/Tabela6[[#This Row],[CONSUMO]]</f>
        <v>2384.3092873831774</v>
      </c>
    </row>
    <row r="4575" spans="1:14" x14ac:dyDescent="0.25">
      <c r="A4575" s="47">
        <v>268754</v>
      </c>
      <c r="B4575" s="78">
        <v>45422</v>
      </c>
      <c r="C4575" s="47" t="s">
        <v>10</v>
      </c>
      <c r="D4575" s="49" t="s">
        <v>460</v>
      </c>
      <c r="E4575" s="47">
        <v>756402</v>
      </c>
      <c r="G4575" s="50" t="s">
        <v>89</v>
      </c>
      <c r="H4575" s="51">
        <v>168.31100000000001</v>
      </c>
      <c r="J4575" s="51">
        <v>5.74</v>
      </c>
      <c r="K4575" s="74">
        <f>Tabela6[[#This Row],[CONSUMO]]*Tabela6[[#This Row],[VALOR UNIT]]-Tabela6[[#This Row],[DESCONTO]]</f>
        <v>966.10514000000012</v>
      </c>
      <c r="L4575" s="53">
        <f>Tabela6[[#This Row],[CUSTO TOTAL]]/Tabela6[[#This Row],[CONSUMO]]</f>
        <v>5.74</v>
      </c>
      <c r="M4575" s="50">
        <f>Tabela6[[#This Row],[KM ATUAL]]-E4520</f>
        <v>746041</v>
      </c>
      <c r="N4575" s="51">
        <f>Tabela6[[#This Row],[KM Rodados ]]/Tabela6[[#This Row],[CONSUMO]]</f>
        <v>4432.5148088954375</v>
      </c>
    </row>
    <row r="4576" spans="1:14" x14ac:dyDescent="0.25">
      <c r="A4576" s="47">
        <v>228724</v>
      </c>
      <c r="B4576" s="78">
        <v>45422</v>
      </c>
      <c r="C4576" s="47" t="s">
        <v>315</v>
      </c>
      <c r="D4576" s="49" t="s">
        <v>253</v>
      </c>
      <c r="E4576" s="47">
        <v>29356</v>
      </c>
      <c r="G4576" s="50" t="s">
        <v>89</v>
      </c>
      <c r="H4576" s="51">
        <v>44.95</v>
      </c>
      <c r="J4576" s="51">
        <v>6.09</v>
      </c>
      <c r="K4576" s="74">
        <f>Tabela6[[#This Row],[CONSUMO]]*Tabela6[[#This Row],[VALOR UNIT]]-Tabela6[[#This Row],[DESCONTO]]</f>
        <v>273.74549999999999</v>
      </c>
      <c r="L4576" s="53">
        <f>Tabela6[[#This Row],[CUSTO TOTAL]]/Tabela6[[#This Row],[CONSUMO]]</f>
        <v>6.09</v>
      </c>
      <c r="M4576" s="50">
        <f>Tabela6[[#This Row],[KM ATUAL]]-E4521</f>
        <v>-630385</v>
      </c>
      <c r="N4576" s="51">
        <f>Tabela6[[#This Row],[KM Rodados ]]/Tabela6[[#This Row],[CONSUMO]]</f>
        <v>-14024.137931034482</v>
      </c>
    </row>
    <row r="4577" spans="1:14" x14ac:dyDescent="0.25">
      <c r="A4577" s="47">
        <v>262327</v>
      </c>
      <c r="B4577" s="78">
        <v>45422</v>
      </c>
      <c r="C4577" s="47" t="s">
        <v>446</v>
      </c>
      <c r="D4577" s="49" t="s">
        <v>260</v>
      </c>
      <c r="E4577" s="47">
        <v>12036</v>
      </c>
      <c r="G4577" s="50" t="s">
        <v>241</v>
      </c>
      <c r="H4577" s="51">
        <v>26.98</v>
      </c>
      <c r="I4577" s="49">
        <v>9.7200000000000006</v>
      </c>
      <c r="J4577" s="51">
        <v>3.69</v>
      </c>
      <c r="K4577" s="74">
        <f>Tabela6[[#This Row],[CONSUMO]]*Tabela6[[#This Row],[VALOR UNIT]]-Tabela6[[#This Row],[DESCONTO]]</f>
        <v>89.836200000000005</v>
      </c>
      <c r="L4577" s="53">
        <f>Tabela6[[#This Row],[CUSTO TOTAL]]/Tabela6[[#This Row],[CONSUMO]]</f>
        <v>3.3297331356560416</v>
      </c>
      <c r="M4577" s="50" t="e">
        <f>Tabela6[[#This Row],[KM ATUAL]]-#REF!</f>
        <v>#REF!</v>
      </c>
      <c r="N4577" s="51" t="e">
        <f>Tabela6[[#This Row],[KM Rodados ]]/Tabela6[[#This Row],[CONSUMO]]</f>
        <v>#REF!</v>
      </c>
    </row>
    <row r="4578" spans="1:14" x14ac:dyDescent="0.25">
      <c r="A4578" s="47">
        <v>455788</v>
      </c>
      <c r="B4578" s="78">
        <v>45424</v>
      </c>
      <c r="C4578" s="47" t="s">
        <v>19</v>
      </c>
      <c r="D4578" s="49" t="s">
        <v>237</v>
      </c>
      <c r="E4578" s="47">
        <v>372808</v>
      </c>
      <c r="G4578" s="50" t="s">
        <v>89</v>
      </c>
      <c r="H4578" s="51">
        <v>40.262</v>
      </c>
      <c r="J4578" s="51">
        <v>7.1</v>
      </c>
      <c r="K4578" s="74">
        <f>Tabela6[[#This Row],[CONSUMO]]*Tabela6[[#This Row],[VALOR UNIT]]-Tabela6[[#This Row],[DESCONTO]]</f>
        <v>285.86019999999996</v>
      </c>
      <c r="L4578" s="53">
        <f>Tabela6[[#This Row],[CUSTO TOTAL]]/Tabela6[[#This Row],[CONSUMO]]</f>
        <v>7.0999999999999988</v>
      </c>
      <c r="M4578" s="50">
        <f>Tabela6[[#This Row],[KM ATUAL]]-E4523</f>
        <v>-200080</v>
      </c>
      <c r="N4578" s="51">
        <f>Tabela6[[#This Row],[KM Rodados ]]/Tabela6[[#This Row],[CONSUMO]]</f>
        <v>-4969.4501018329938</v>
      </c>
    </row>
    <row r="4579" spans="1:14" x14ac:dyDescent="0.25">
      <c r="A4579" s="47" t="s">
        <v>466</v>
      </c>
      <c r="B4579" s="78">
        <v>45425</v>
      </c>
      <c r="C4579" s="47" t="s">
        <v>67</v>
      </c>
      <c r="D4579" s="49" t="s">
        <v>273</v>
      </c>
      <c r="E4579" s="47">
        <v>713540</v>
      </c>
      <c r="G4579" s="50" t="s">
        <v>89</v>
      </c>
      <c r="H4579" s="51">
        <v>124</v>
      </c>
      <c r="J4579" s="51">
        <v>5.69</v>
      </c>
      <c r="K4579" s="74">
        <f>Tabela6[[#This Row],[CONSUMO]]*Tabela6[[#This Row],[VALOR UNIT]]-Tabela6[[#This Row],[DESCONTO]]</f>
        <v>705.56000000000006</v>
      </c>
      <c r="L4579" s="53">
        <f>Tabela6[[#This Row],[CUSTO TOTAL]]/Tabela6[[#This Row],[CONSUMO]]</f>
        <v>5.69</v>
      </c>
      <c r="M4579" s="50">
        <f>Tabela6[[#This Row],[KM ATUAL]]-E4524</f>
        <v>257111</v>
      </c>
      <c r="N4579" s="51">
        <f>Tabela6[[#This Row],[KM Rodados ]]/Tabela6[[#This Row],[CONSUMO]]</f>
        <v>2073.4758064516127</v>
      </c>
    </row>
    <row r="4580" spans="1:14" x14ac:dyDescent="0.25">
      <c r="A4580" s="47">
        <v>17163</v>
      </c>
      <c r="B4580" s="78">
        <v>45425</v>
      </c>
      <c r="C4580" s="47" t="s">
        <v>203</v>
      </c>
      <c r="D4580" s="49" t="s">
        <v>262</v>
      </c>
      <c r="E4580" s="47">
        <v>163434</v>
      </c>
      <c r="G4580" s="50" t="s">
        <v>244</v>
      </c>
      <c r="H4580" s="51">
        <v>35.6</v>
      </c>
      <c r="J4580" s="51">
        <v>5.78</v>
      </c>
      <c r="K4580" s="74">
        <f>Tabela6[[#This Row],[CONSUMO]]*Tabela6[[#This Row],[VALOR UNIT]]-Tabela6[[#This Row],[DESCONTO]]</f>
        <v>205.76800000000003</v>
      </c>
      <c r="L4580" s="53">
        <f>Tabela6[[#This Row],[CUSTO TOTAL]]/Tabela6[[#This Row],[CONSUMO]]</f>
        <v>5.78</v>
      </c>
      <c r="M4580" s="50">
        <f>Tabela6[[#This Row],[KM ATUAL]]-E4525</f>
        <v>-173735</v>
      </c>
      <c r="N4580" s="51">
        <f>Tabela6[[#This Row],[KM Rodados ]]/Tabela6[[#This Row],[CONSUMO]]</f>
        <v>-4880.196629213483</v>
      </c>
    </row>
    <row r="4581" spans="1:14" x14ac:dyDescent="0.25">
      <c r="A4581" s="47">
        <v>263093</v>
      </c>
      <c r="B4581" s="78">
        <v>45425</v>
      </c>
      <c r="C4581" s="47" t="s">
        <v>71</v>
      </c>
      <c r="D4581" s="49" t="s">
        <v>262</v>
      </c>
      <c r="E4581" s="47">
        <v>169146</v>
      </c>
      <c r="G4581" s="50" t="s">
        <v>241</v>
      </c>
      <c r="H4581" s="51">
        <v>66.716999999999999</v>
      </c>
      <c r="J4581" s="51">
        <v>3.69</v>
      </c>
      <c r="K4581" s="74">
        <f>Tabela6[[#This Row],[CONSUMO]]*Tabela6[[#This Row],[VALOR UNIT]]-Tabela6[[#This Row],[DESCONTO]]</f>
        <v>246.18572999999998</v>
      </c>
      <c r="L4581" s="53">
        <f>Tabela6[[#This Row],[CUSTO TOTAL]]/Tabela6[[#This Row],[CONSUMO]]</f>
        <v>3.69</v>
      </c>
      <c r="M4581" s="50">
        <f>Tabela6[[#This Row],[KM ATUAL]]-E4526</f>
        <v>-162099</v>
      </c>
      <c r="N4581" s="51">
        <f>Tabela6[[#This Row],[KM Rodados ]]/Tabela6[[#This Row],[CONSUMO]]</f>
        <v>-2429.6506137865913</v>
      </c>
    </row>
    <row r="4582" spans="1:14" x14ac:dyDescent="0.25">
      <c r="A4582" s="47">
        <v>230583</v>
      </c>
      <c r="B4582" s="78">
        <v>45425</v>
      </c>
      <c r="C4582" s="47" t="s">
        <v>12</v>
      </c>
      <c r="D4582" s="49" t="s">
        <v>253</v>
      </c>
      <c r="E4582" s="47">
        <v>337788</v>
      </c>
      <c r="G4582" s="50" t="s">
        <v>89</v>
      </c>
      <c r="H4582" s="51">
        <v>99.8</v>
      </c>
      <c r="J4582" s="51">
        <v>6.09</v>
      </c>
      <c r="K4582" s="74">
        <f>Tabela6[[#This Row],[CONSUMO]]*Tabela6[[#This Row],[VALOR UNIT]]-Tabela6[[#This Row],[DESCONTO]]</f>
        <v>607.78199999999993</v>
      </c>
      <c r="L4582" s="53">
        <f>Tabela6[[#This Row],[CUSTO TOTAL]]/Tabela6[[#This Row],[CONSUMO]]</f>
        <v>6.09</v>
      </c>
      <c r="M4582" s="50">
        <f>Tabela6[[#This Row],[KM ATUAL]]-E4527</f>
        <v>-90113</v>
      </c>
      <c r="N4582" s="51">
        <f>Tabela6[[#This Row],[KM Rodados ]]/Tabela6[[#This Row],[CONSUMO]]</f>
        <v>-902.93587174348704</v>
      </c>
    </row>
    <row r="4583" spans="1:14" x14ac:dyDescent="0.25">
      <c r="A4583" s="47">
        <v>263102</v>
      </c>
      <c r="B4583" s="78">
        <v>45425</v>
      </c>
      <c r="C4583" s="47" t="s">
        <v>14</v>
      </c>
      <c r="D4583" s="49" t="s">
        <v>262</v>
      </c>
      <c r="E4583" s="47">
        <v>332475</v>
      </c>
      <c r="G4583" s="50" t="s">
        <v>244</v>
      </c>
      <c r="H4583" s="51">
        <v>43.29</v>
      </c>
      <c r="J4583" s="51">
        <v>5.69</v>
      </c>
      <c r="K4583" s="74">
        <f>Tabela6[[#This Row],[CONSUMO]]*Tabela6[[#This Row],[VALOR UNIT]]-Tabela6[[#This Row],[DESCONTO]]</f>
        <v>246.32010000000002</v>
      </c>
      <c r="L4583" s="53">
        <f>Tabela6[[#This Row],[CUSTO TOTAL]]/Tabela6[[#This Row],[CONSUMO]]</f>
        <v>5.69</v>
      </c>
      <c r="M4583" s="50">
        <f>Tabela6[[#This Row],[KM ATUAL]]-E4528</f>
        <v>-94838</v>
      </c>
      <c r="N4583" s="51">
        <f>Tabela6[[#This Row],[KM Rodados ]]/Tabela6[[#This Row],[CONSUMO]]</f>
        <v>-2190.7599907599906</v>
      </c>
    </row>
    <row r="4584" spans="1:14" x14ac:dyDescent="0.25">
      <c r="A4584" s="47">
        <v>263293</v>
      </c>
      <c r="B4584" s="78">
        <v>45425</v>
      </c>
      <c r="C4584" s="47" t="s">
        <v>14</v>
      </c>
      <c r="D4584" s="49" t="s">
        <v>262</v>
      </c>
      <c r="E4584" s="47">
        <v>332648</v>
      </c>
      <c r="G4584" s="50" t="s">
        <v>244</v>
      </c>
      <c r="H4584" s="51">
        <v>11.87</v>
      </c>
      <c r="J4584" s="51">
        <v>5.69</v>
      </c>
      <c r="K4584" s="74">
        <f>Tabela6[[#This Row],[CONSUMO]]*Tabela6[[#This Row],[VALOR UNIT]]-Tabela6[[#This Row],[DESCONTO]]</f>
        <v>67.540300000000002</v>
      </c>
      <c r="L4584" s="53">
        <f>Tabela6[[#This Row],[CUSTO TOTAL]]/Tabela6[[#This Row],[CONSUMO]]</f>
        <v>5.69</v>
      </c>
      <c r="M4584" s="50">
        <f>Tabela6[[#This Row],[KM ATUAL]]-E4529</f>
        <v>11336</v>
      </c>
      <c r="N4584" s="51">
        <f>Tabela6[[#This Row],[KM Rodados ]]/Tabela6[[#This Row],[CONSUMO]]</f>
        <v>955.01263689974735</v>
      </c>
    </row>
    <row r="4585" spans="1:14" x14ac:dyDescent="0.25">
      <c r="A4585" s="47">
        <v>230917</v>
      </c>
      <c r="B4585" s="78">
        <v>45425</v>
      </c>
      <c r="C4585" s="47" t="s">
        <v>23</v>
      </c>
      <c r="D4585" s="49" t="s">
        <v>253</v>
      </c>
      <c r="E4585" s="47">
        <v>274440</v>
      </c>
      <c r="G4585" s="50" t="s">
        <v>89</v>
      </c>
      <c r="H4585" s="51">
        <v>81.64</v>
      </c>
      <c r="J4585" s="51">
        <v>6.09</v>
      </c>
      <c r="K4585" s="74">
        <f>Tabela6[[#This Row],[CONSUMO]]*Tabela6[[#This Row],[VALOR UNIT]]-Tabela6[[#This Row],[DESCONTO]]</f>
        <v>497.18759999999997</v>
      </c>
      <c r="L4585" s="53">
        <f>Tabela6[[#This Row],[CUSTO TOTAL]]/Tabela6[[#This Row],[CONSUMO]]</f>
        <v>6.09</v>
      </c>
      <c r="M4585" s="50">
        <f>Tabela6[[#This Row],[KM ATUAL]]-E4530</f>
        <v>246226</v>
      </c>
      <c r="N4585" s="51">
        <f>Tabela6[[#This Row],[KM Rodados ]]/Tabela6[[#This Row],[CONSUMO]]</f>
        <v>3015.9970602645762</v>
      </c>
    </row>
    <row r="4586" spans="1:14" x14ac:dyDescent="0.25">
      <c r="A4586" s="47">
        <v>366012</v>
      </c>
      <c r="B4586" s="78">
        <v>45426</v>
      </c>
      <c r="C4586" s="47" t="s">
        <v>222</v>
      </c>
      <c r="D4586" s="49" t="s">
        <v>270</v>
      </c>
      <c r="E4586" s="47">
        <v>577239</v>
      </c>
      <c r="G4586" s="50" t="s">
        <v>89</v>
      </c>
      <c r="H4586" s="51">
        <v>460.03100000000001</v>
      </c>
      <c r="J4586" s="51">
        <v>5.59</v>
      </c>
      <c r="K4586" s="74">
        <f>Tabela6[[#This Row],[CONSUMO]]*Tabela6[[#This Row],[VALOR UNIT]]-Tabela6[[#This Row],[DESCONTO]]</f>
        <v>2571.5732899999998</v>
      </c>
      <c r="L4586" s="53">
        <f>Tabela6[[#This Row],[CUSTO TOTAL]]/Tabela6[[#This Row],[CONSUMO]]</f>
        <v>5.59</v>
      </c>
      <c r="M4586" s="50">
        <f>Tabela6[[#This Row],[KM ATUAL]]-E4531</f>
        <v>327762</v>
      </c>
      <c r="N4586" s="51">
        <f>Tabela6[[#This Row],[KM Rodados ]]/Tabela6[[#This Row],[CONSUMO]]</f>
        <v>712.47807212992166</v>
      </c>
    </row>
    <row r="4587" spans="1:14" x14ac:dyDescent="0.25">
      <c r="A4587" s="47">
        <v>512506</v>
      </c>
      <c r="B4587" s="78">
        <v>45426</v>
      </c>
      <c r="C4587" s="47" t="s">
        <v>203</v>
      </c>
      <c r="D4587" s="49" t="s">
        <v>309</v>
      </c>
      <c r="E4587" s="47">
        <v>163853</v>
      </c>
      <c r="G4587" s="50" t="s">
        <v>244</v>
      </c>
      <c r="H4587" s="51">
        <v>34.651000000000003</v>
      </c>
      <c r="J4587" s="51">
        <v>5.55</v>
      </c>
      <c r="K4587" s="74">
        <f>Tabela6[[#This Row],[CONSUMO]]*Tabela6[[#This Row],[VALOR UNIT]]-Tabela6[[#This Row],[DESCONTO]]</f>
        <v>192.31305</v>
      </c>
      <c r="L4587" s="53">
        <f>Tabela6[[#This Row],[CUSTO TOTAL]]/Tabela6[[#This Row],[CONSUMO]]</f>
        <v>5.55</v>
      </c>
      <c r="M4587" s="50">
        <f>Tabela6[[#This Row],[KM ATUAL]]-E4532</f>
        <v>-85619</v>
      </c>
      <c r="N4587" s="51">
        <f>Tabela6[[#This Row],[KM Rodados ]]/Tabela6[[#This Row],[CONSUMO]]</f>
        <v>-2470.8955008513462</v>
      </c>
    </row>
    <row r="4588" spans="1:14" x14ac:dyDescent="0.25">
      <c r="A4588" s="47">
        <v>231520</v>
      </c>
      <c r="B4588" s="78">
        <v>45426</v>
      </c>
      <c r="C4588" s="47" t="s">
        <v>72</v>
      </c>
      <c r="D4588" s="49" t="s">
        <v>253</v>
      </c>
      <c r="E4588" s="47">
        <v>458283</v>
      </c>
      <c r="G4588" s="50" t="s">
        <v>89</v>
      </c>
      <c r="H4588" s="51">
        <v>52.37</v>
      </c>
      <c r="J4588" s="51">
        <v>6.09</v>
      </c>
      <c r="K4588" s="74">
        <f>Tabela6[[#This Row],[CONSUMO]]*Tabela6[[#This Row],[VALOR UNIT]]-Tabela6[[#This Row],[DESCONTO]]</f>
        <v>318.93329999999997</v>
      </c>
      <c r="L4588" s="53">
        <f>Tabela6[[#This Row],[CUSTO TOTAL]]/Tabela6[[#This Row],[CONSUMO]]</f>
        <v>6.09</v>
      </c>
      <c r="M4588" s="50">
        <f>Tabela6[[#This Row],[KM ATUAL]]-E4533</f>
        <v>458283</v>
      </c>
      <c r="N4588" s="51">
        <f>Tabela6[[#This Row],[KM Rodados ]]/Tabela6[[#This Row],[CONSUMO]]</f>
        <v>8750.8688180255867</v>
      </c>
    </row>
    <row r="4589" spans="1:14" x14ac:dyDescent="0.25">
      <c r="A4589" s="47">
        <v>800796</v>
      </c>
      <c r="B4589" s="78">
        <v>45426</v>
      </c>
      <c r="C4589" s="47" t="s">
        <v>10</v>
      </c>
      <c r="D4589" s="49" t="s">
        <v>390</v>
      </c>
      <c r="E4589" s="47">
        <v>757437</v>
      </c>
      <c r="G4589" s="50" t="s">
        <v>89</v>
      </c>
      <c r="H4589" s="51">
        <v>142.22800000000001</v>
      </c>
      <c r="J4589" s="51">
        <v>5.58</v>
      </c>
      <c r="K4589" s="74">
        <f>Tabela6[[#This Row],[CONSUMO]]*Tabela6[[#This Row],[VALOR UNIT]]-Tabela6[[#This Row],[DESCONTO]]</f>
        <v>793.63224000000002</v>
      </c>
      <c r="L4589" s="53">
        <f>Tabela6[[#This Row],[CUSTO TOTAL]]/Tabela6[[#This Row],[CONSUMO]]</f>
        <v>5.58</v>
      </c>
      <c r="M4589" s="50">
        <f>Tabela6[[#This Row],[KM ATUAL]]-E4534</f>
        <v>183573</v>
      </c>
      <c r="N4589" s="51">
        <f>Tabela6[[#This Row],[KM Rodados ]]/Tabela6[[#This Row],[CONSUMO]]</f>
        <v>1290.6952217566161</v>
      </c>
    </row>
    <row r="4590" spans="1:14" x14ac:dyDescent="0.25">
      <c r="A4590" s="47">
        <v>399207</v>
      </c>
      <c r="B4590" s="78">
        <v>45426</v>
      </c>
      <c r="C4590" s="47" t="s">
        <v>14</v>
      </c>
      <c r="D4590" s="49" t="s">
        <v>276</v>
      </c>
      <c r="E4590" s="47">
        <v>333053</v>
      </c>
      <c r="G4590" s="50" t="s">
        <v>244</v>
      </c>
      <c r="H4590" s="51">
        <v>28.548999999999999</v>
      </c>
      <c r="J4590" s="51">
        <v>28.548999999999999</v>
      </c>
      <c r="K4590" s="74">
        <f>Tabela6[[#This Row],[CONSUMO]]*Tabela6[[#This Row],[VALOR UNIT]]-Tabela6[[#This Row],[DESCONTO]]</f>
        <v>815.04540099999997</v>
      </c>
      <c r="L4590" s="53">
        <f>Tabela6[[#This Row],[CUSTO TOTAL]]/Tabela6[[#This Row],[CONSUMO]]</f>
        <v>28.548999999999999</v>
      </c>
      <c r="M4590" s="50">
        <f>Tabela6[[#This Row],[KM ATUAL]]-E4535</f>
        <v>-240811</v>
      </c>
      <c r="N4590" s="51">
        <f>Tabela6[[#This Row],[KM Rodados ]]/Tabela6[[#This Row],[CONSUMO]]</f>
        <v>-8435.0064800868677</v>
      </c>
    </row>
    <row r="4591" spans="1:14" x14ac:dyDescent="0.25">
      <c r="A4591" s="47">
        <v>608481</v>
      </c>
      <c r="B4591" s="78">
        <v>45426</v>
      </c>
      <c r="C4591" s="47" t="s">
        <v>19</v>
      </c>
      <c r="D4591" s="49" t="s">
        <v>306</v>
      </c>
      <c r="E4591" s="47">
        <v>373807</v>
      </c>
      <c r="G4591" s="50" t="s">
        <v>89</v>
      </c>
      <c r="H4591" s="51">
        <v>57.3</v>
      </c>
      <c r="J4591" s="51">
        <v>5.69</v>
      </c>
      <c r="K4591" s="74">
        <f>Tabela6[[#This Row],[CONSUMO]]*Tabela6[[#This Row],[VALOR UNIT]]-Tabela6[[#This Row],[DESCONTO]]</f>
        <v>326.03700000000003</v>
      </c>
      <c r="L4591" s="53">
        <f>Tabela6[[#This Row],[CUSTO TOTAL]]/Tabela6[[#This Row],[CONSUMO]]</f>
        <v>5.6900000000000013</v>
      </c>
      <c r="M4591" s="50">
        <f>Tabela6[[#This Row],[KM ATUAL]]-E4536</f>
        <v>-200057</v>
      </c>
      <c r="N4591" s="51">
        <f>Tabela6[[#This Row],[KM Rodados ]]/Tabela6[[#This Row],[CONSUMO]]</f>
        <v>-3491.3961605584645</v>
      </c>
    </row>
    <row r="4592" spans="1:14" x14ac:dyDescent="0.25">
      <c r="A4592" s="47">
        <v>231787</v>
      </c>
      <c r="B4592" s="78">
        <v>45426</v>
      </c>
      <c r="C4592" s="47" t="s">
        <v>315</v>
      </c>
      <c r="D4592" s="49" t="s">
        <v>253</v>
      </c>
      <c r="E4592" s="47">
        <v>30016</v>
      </c>
      <c r="G4592" s="50" t="s">
        <v>89</v>
      </c>
      <c r="H4592" s="51">
        <v>47.01</v>
      </c>
      <c r="J4592" s="51">
        <v>6.09</v>
      </c>
      <c r="K4592" s="74">
        <f>Tabela6[[#This Row],[CONSUMO]]*Tabela6[[#This Row],[VALOR UNIT]]-Tabela6[[#This Row],[DESCONTO]]</f>
        <v>286.29089999999997</v>
      </c>
      <c r="L4592" s="53">
        <f>Tabela6[[#This Row],[CUSTO TOTAL]]/Tabela6[[#This Row],[CONSUMO]]</f>
        <v>6.09</v>
      </c>
      <c r="M4592" s="50">
        <f>Tabela6[[#This Row],[KM ATUAL]]-E4537</f>
        <v>-682014</v>
      </c>
      <c r="N4592" s="51">
        <f>Tabela6[[#This Row],[KM Rodados ]]/Tabela6[[#This Row],[CONSUMO]]</f>
        <v>-14507.849393746012</v>
      </c>
    </row>
    <row r="4593" spans="1:14" x14ac:dyDescent="0.25">
      <c r="A4593" s="47">
        <v>1331018</v>
      </c>
      <c r="B4593" s="78">
        <v>45426</v>
      </c>
      <c r="C4593" s="47" t="s">
        <v>401</v>
      </c>
      <c r="D4593" s="49" t="s">
        <v>247</v>
      </c>
      <c r="E4593" s="47">
        <v>27079</v>
      </c>
      <c r="G4593" s="50" t="s">
        <v>89</v>
      </c>
      <c r="H4593" s="51">
        <v>66.78</v>
      </c>
      <c r="J4593" s="51">
        <v>5.99</v>
      </c>
      <c r="K4593" s="74">
        <f>Tabela6[[#This Row],[CONSUMO]]*Tabela6[[#This Row],[VALOR UNIT]]-Tabela6[[#This Row],[DESCONTO]]</f>
        <v>400.01220000000001</v>
      </c>
      <c r="L4593" s="53">
        <f>Tabela6[[#This Row],[CUSTO TOTAL]]/Tabela6[[#This Row],[CONSUMO]]</f>
        <v>5.99</v>
      </c>
      <c r="M4593" s="50">
        <f>Tabela6[[#This Row],[KM ATUAL]]-E4538</f>
        <v>-684951</v>
      </c>
      <c r="N4593" s="51">
        <f>Tabela6[[#This Row],[KM Rodados ]]/Tabela6[[#This Row],[CONSUMO]]</f>
        <v>-10256.828391734052</v>
      </c>
    </row>
    <row r="4594" spans="1:14" x14ac:dyDescent="0.25">
      <c r="A4594" s="47">
        <v>263302</v>
      </c>
      <c r="B4594" s="78">
        <v>45426</v>
      </c>
      <c r="C4594" s="47" t="s">
        <v>426</v>
      </c>
      <c r="D4594" s="49" t="s">
        <v>262</v>
      </c>
      <c r="G4594" s="50" t="s">
        <v>241</v>
      </c>
      <c r="H4594" s="51">
        <v>15.994999999999999</v>
      </c>
      <c r="I4594" s="49">
        <v>5.76</v>
      </c>
      <c r="J4594" s="51">
        <v>3.69</v>
      </c>
      <c r="K4594" s="74">
        <f>Tabela6[[#This Row],[CONSUMO]]*Tabela6[[#This Row],[VALOR UNIT]]-Tabela6[[#This Row],[DESCONTO]]</f>
        <v>53.26155</v>
      </c>
      <c r="L4594" s="53">
        <f>Tabela6[[#This Row],[CUSTO TOTAL]]/Tabela6[[#This Row],[CONSUMO]]</f>
        <v>3.3298874648327605</v>
      </c>
      <c r="M4594" s="50">
        <f>Tabela6[[#This Row],[KM ATUAL]]-E4539</f>
        <v>-394346</v>
      </c>
      <c r="N4594" s="51">
        <f>Tabela6[[#This Row],[KM Rodados ]]/Tabela6[[#This Row],[CONSUMO]]</f>
        <v>-24654.329477961863</v>
      </c>
    </row>
    <row r="4595" spans="1:14" x14ac:dyDescent="0.25">
      <c r="A4595" s="47">
        <v>498272</v>
      </c>
      <c r="B4595" s="78">
        <v>45427</v>
      </c>
      <c r="C4595" s="47" t="s">
        <v>67</v>
      </c>
      <c r="D4595" s="49" t="s">
        <v>273</v>
      </c>
      <c r="E4595" s="47">
        <v>713928</v>
      </c>
      <c r="G4595" s="50" t="s">
        <v>89</v>
      </c>
      <c r="H4595" s="51">
        <v>113.47</v>
      </c>
      <c r="J4595" s="51">
        <v>5.69</v>
      </c>
      <c r="K4595" s="74">
        <f>Tabela6[[#This Row],[CONSUMO]]*Tabela6[[#This Row],[VALOR UNIT]]-Tabela6[[#This Row],[DESCONTO]]</f>
        <v>645.64430000000004</v>
      </c>
      <c r="L4595" s="53">
        <f>Tabela6[[#This Row],[CUSTO TOTAL]]/Tabela6[[#This Row],[CONSUMO]]</f>
        <v>5.69</v>
      </c>
      <c r="M4595" s="50">
        <f>Tabela6[[#This Row],[KM ATUAL]]-E4540</f>
        <v>590059</v>
      </c>
      <c r="N4595" s="51">
        <f>Tabela6[[#This Row],[KM Rodados ]]/Tabela6[[#This Row],[CONSUMO]]</f>
        <v>5200.1321935313299</v>
      </c>
    </row>
    <row r="4596" spans="1:14" x14ac:dyDescent="0.25">
      <c r="A4596" s="47">
        <v>232313</v>
      </c>
      <c r="B4596" s="78">
        <v>45427</v>
      </c>
      <c r="C4596" s="47" t="s">
        <v>39</v>
      </c>
      <c r="D4596" s="49" t="s">
        <v>253</v>
      </c>
      <c r="E4596" s="47">
        <v>124338</v>
      </c>
      <c r="G4596" s="50" t="s">
        <v>89</v>
      </c>
      <c r="H4596" s="51">
        <v>53.96</v>
      </c>
      <c r="J4596" s="51">
        <v>6.09</v>
      </c>
      <c r="K4596" s="74">
        <f>Tabela6[[#This Row],[CONSUMO]]*Tabela6[[#This Row],[VALOR UNIT]]-Tabela6[[#This Row],[DESCONTO]]</f>
        <v>328.6164</v>
      </c>
      <c r="L4596" s="53">
        <f>Tabela6[[#This Row],[CUSTO TOTAL]]/Tabela6[[#This Row],[CONSUMO]]</f>
        <v>6.09</v>
      </c>
      <c r="M4596" s="50">
        <f>Tabela6[[#This Row],[KM ATUAL]]-E4541</f>
        <v>-160898</v>
      </c>
      <c r="N4596" s="51">
        <f>Tabela6[[#This Row],[KM Rodados ]]/Tabela6[[#This Row],[CONSUMO]]</f>
        <v>-2981.8013343217199</v>
      </c>
    </row>
    <row r="4597" spans="1:14" x14ac:dyDescent="0.25">
      <c r="A4597" s="47">
        <v>399570</v>
      </c>
      <c r="B4597" s="78">
        <v>45427</v>
      </c>
      <c r="C4597" s="47" t="s">
        <v>203</v>
      </c>
      <c r="D4597" s="49" t="s">
        <v>276</v>
      </c>
      <c r="E4597" s="47">
        <v>164385</v>
      </c>
      <c r="G4597" s="50" t="s">
        <v>244</v>
      </c>
      <c r="H4597" s="51">
        <v>42.32</v>
      </c>
      <c r="J4597" s="51">
        <v>5.79</v>
      </c>
      <c r="K4597" s="74">
        <f>Tabela6[[#This Row],[CONSUMO]]*Tabela6[[#This Row],[VALOR UNIT]]-Tabela6[[#This Row],[DESCONTO]]</f>
        <v>245.03280000000001</v>
      </c>
      <c r="L4597" s="53">
        <f>Tabela6[[#This Row],[CUSTO TOTAL]]/Tabela6[[#This Row],[CONSUMO]]</f>
        <v>5.79</v>
      </c>
      <c r="M4597" s="50">
        <f>Tabela6[[#This Row],[KM ATUAL]]-E4542</f>
        <v>2797</v>
      </c>
      <c r="N4597" s="51">
        <f>Tabela6[[#This Row],[KM Rodados ]]/Tabela6[[#This Row],[CONSUMO]]</f>
        <v>66.091682419659733</v>
      </c>
    </row>
    <row r="4598" spans="1:14" x14ac:dyDescent="0.25">
      <c r="A4598" s="47">
        <v>2702991</v>
      </c>
      <c r="B4598" s="78">
        <v>45427</v>
      </c>
      <c r="C4598" s="47" t="s">
        <v>10</v>
      </c>
      <c r="D4598" s="49" t="s">
        <v>252</v>
      </c>
      <c r="E4598" s="47">
        <v>758183</v>
      </c>
      <c r="G4598" s="50" t="s">
        <v>89</v>
      </c>
      <c r="H4598" s="51">
        <v>185.81</v>
      </c>
      <c r="J4598" s="51">
        <v>6.05</v>
      </c>
      <c r="K4598" s="74">
        <f>Tabela6[[#This Row],[CONSUMO]]*Tabela6[[#This Row],[VALOR UNIT]]-Tabela6[[#This Row],[DESCONTO]]</f>
        <v>1124.1505</v>
      </c>
      <c r="L4598" s="53">
        <f>Tabela6[[#This Row],[CUSTO TOTAL]]/Tabela6[[#This Row],[CONSUMO]]</f>
        <v>6.05</v>
      </c>
      <c r="M4598" s="50">
        <f>Tabela6[[#This Row],[KM ATUAL]]-E4543</f>
        <v>692000</v>
      </c>
      <c r="N4598" s="51">
        <f>Tabela6[[#This Row],[KM Rodados ]]/Tabela6[[#This Row],[CONSUMO]]</f>
        <v>3724.2344330229803</v>
      </c>
    </row>
    <row r="4599" spans="1:14" x14ac:dyDescent="0.25">
      <c r="A4599" s="47">
        <v>232641</v>
      </c>
      <c r="B4599" s="78">
        <v>45427</v>
      </c>
      <c r="C4599" s="47" t="s">
        <v>23</v>
      </c>
      <c r="D4599" s="49" t="s">
        <v>253</v>
      </c>
      <c r="E4599" s="47">
        <v>274972</v>
      </c>
      <c r="G4599" s="50" t="s">
        <v>89</v>
      </c>
      <c r="H4599" s="51">
        <v>125.29</v>
      </c>
      <c r="J4599" s="51">
        <v>6.09</v>
      </c>
      <c r="K4599" s="74">
        <f>Tabela6[[#This Row],[CONSUMO]]*Tabela6[[#This Row],[VALOR UNIT]]-Tabela6[[#This Row],[DESCONTO]]</f>
        <v>763.01610000000005</v>
      </c>
      <c r="L4599" s="53">
        <f>Tabela6[[#This Row],[CUSTO TOTAL]]/Tabela6[[#This Row],[CONSUMO]]</f>
        <v>6.09</v>
      </c>
      <c r="M4599" s="50">
        <f>Tabela6[[#This Row],[KM ATUAL]]-E4544</f>
        <v>-96979</v>
      </c>
      <c r="N4599" s="51">
        <f>Tabela6[[#This Row],[KM Rodados ]]/Tabela6[[#This Row],[CONSUMO]]</f>
        <v>-774.03623593263626</v>
      </c>
    </row>
    <row r="4600" spans="1:14" x14ac:dyDescent="0.25">
      <c r="A4600" s="47">
        <v>399456</v>
      </c>
      <c r="B4600" s="78">
        <v>45427</v>
      </c>
      <c r="C4600" s="47" t="s">
        <v>40</v>
      </c>
      <c r="D4600" s="49" t="s">
        <v>276</v>
      </c>
      <c r="E4600" s="47">
        <v>203391</v>
      </c>
      <c r="G4600" s="50" t="s">
        <v>244</v>
      </c>
      <c r="H4600" s="51">
        <v>46.32</v>
      </c>
      <c r="J4600" s="51">
        <v>5.79</v>
      </c>
      <c r="K4600" s="74">
        <f>Tabela6[[#This Row],[CONSUMO]]*Tabela6[[#This Row],[VALOR UNIT]]-Tabela6[[#This Row],[DESCONTO]]</f>
        <v>268.19279999999998</v>
      </c>
      <c r="L4600" s="53">
        <f>Tabela6[[#This Row],[CUSTO TOTAL]]/Tabela6[[#This Row],[CONSUMO]]</f>
        <v>5.7899999999999991</v>
      </c>
      <c r="M4600" s="50">
        <f>Tabela6[[#This Row],[KM ATUAL]]-E4545</f>
        <v>1737</v>
      </c>
      <c r="N4600" s="51">
        <f>Tabela6[[#This Row],[KM Rodados ]]/Tabela6[[#This Row],[CONSUMO]]</f>
        <v>37.5</v>
      </c>
    </row>
    <row r="4601" spans="1:14" x14ac:dyDescent="0.25">
      <c r="A4601" s="47">
        <v>263748</v>
      </c>
      <c r="B4601" s="78">
        <v>45428</v>
      </c>
      <c r="C4601" s="47" t="s">
        <v>68</v>
      </c>
      <c r="D4601" s="49" t="s">
        <v>260</v>
      </c>
      <c r="E4601" s="47">
        <v>973374</v>
      </c>
      <c r="G4601" s="50" t="s">
        <v>241</v>
      </c>
      <c r="H4601" s="51">
        <v>15.007999999999999</v>
      </c>
      <c r="I4601" s="49">
        <v>5.4</v>
      </c>
      <c r="J4601" s="51">
        <v>3.69</v>
      </c>
      <c r="K4601" s="74">
        <f>Tabela6[[#This Row],[CONSUMO]]*Tabela6[[#This Row],[VALOR UNIT]]-Tabela6[[#This Row],[DESCONTO]]</f>
        <v>49.979520000000001</v>
      </c>
      <c r="L4601" s="53">
        <f>Tabela6[[#This Row],[CUSTO TOTAL]]/Tabela6[[#This Row],[CONSUMO]]</f>
        <v>3.3301918976545846</v>
      </c>
      <c r="M4601" s="50">
        <f>Tabela6[[#This Row],[KM ATUAL]]-E4546</f>
        <v>933998</v>
      </c>
      <c r="N4601" s="51">
        <f>Tabela6[[#This Row],[KM Rodados ]]/Tabela6[[#This Row],[CONSUMO]]</f>
        <v>62233.342217484009</v>
      </c>
    </row>
    <row r="4602" spans="1:14" x14ac:dyDescent="0.25">
      <c r="A4602" s="47">
        <v>263696</v>
      </c>
      <c r="B4602" s="78">
        <v>45428</v>
      </c>
      <c r="C4602" s="47" t="s">
        <v>42</v>
      </c>
      <c r="D4602" s="49" t="s">
        <v>260</v>
      </c>
      <c r="E4602" s="47">
        <v>394723</v>
      </c>
      <c r="G4602" s="50" t="s">
        <v>89</v>
      </c>
      <c r="H4602" s="51">
        <v>28.46</v>
      </c>
      <c r="J4602" s="51">
        <v>6.09</v>
      </c>
      <c r="K4602" s="74">
        <f>Tabela6[[#This Row],[CONSUMO]]*Tabela6[[#This Row],[VALOR UNIT]]-Tabela6[[#This Row],[DESCONTO]]</f>
        <v>173.32140000000001</v>
      </c>
      <c r="L4602" s="53">
        <f>Tabela6[[#This Row],[CUSTO TOTAL]]/Tabela6[[#This Row],[CONSUMO]]</f>
        <v>6.09</v>
      </c>
      <c r="M4602" s="50">
        <f>Tabela6[[#This Row],[KM ATUAL]]-E4547</f>
        <v>-265537</v>
      </c>
      <c r="N4602" s="51">
        <f>Tabela6[[#This Row],[KM Rodados ]]/Tabela6[[#This Row],[CONSUMO]]</f>
        <v>-9330.1827125790587</v>
      </c>
    </row>
    <row r="4603" spans="1:14" x14ac:dyDescent="0.25">
      <c r="A4603" s="47" t="s">
        <v>474</v>
      </c>
      <c r="B4603" s="78">
        <v>45428</v>
      </c>
      <c r="C4603" s="47" t="s">
        <v>222</v>
      </c>
      <c r="D4603" s="49" t="s">
        <v>300</v>
      </c>
      <c r="G4603" s="50" t="s">
        <v>241</v>
      </c>
      <c r="H4603" s="51">
        <v>45.52</v>
      </c>
      <c r="J4603" s="51">
        <v>2.99</v>
      </c>
      <c r="K4603" s="74">
        <f>Tabela6[[#This Row],[CONSUMO]]*Tabela6[[#This Row],[VALOR UNIT]]-Tabela6[[#This Row],[DESCONTO]]</f>
        <v>136.10480000000001</v>
      </c>
      <c r="L4603" s="53">
        <f>Tabela6[[#This Row],[CUSTO TOTAL]]/Tabela6[[#This Row],[CONSUMO]]</f>
        <v>2.99</v>
      </c>
      <c r="M4603" s="50">
        <f>Tabela6[[#This Row],[KM ATUAL]]-E4548</f>
        <v>-574701</v>
      </c>
      <c r="N4603" s="51">
        <f>Tabela6[[#This Row],[KM Rodados ]]/Tabela6[[#This Row],[CONSUMO]]</f>
        <v>-12625.241652021088</v>
      </c>
    </row>
    <row r="4604" spans="1:14" x14ac:dyDescent="0.25">
      <c r="A4604" s="47">
        <v>263772</v>
      </c>
      <c r="B4604" s="78">
        <v>45428</v>
      </c>
      <c r="C4604" s="47" t="s">
        <v>215</v>
      </c>
      <c r="D4604" s="49" t="s">
        <v>260</v>
      </c>
      <c r="E4604" s="47">
        <v>239010</v>
      </c>
      <c r="G4604" s="50" t="s">
        <v>244</v>
      </c>
      <c r="H4604" s="51">
        <v>33.1</v>
      </c>
      <c r="J4604" s="51">
        <v>5.69</v>
      </c>
      <c r="K4604" s="74">
        <f>Tabela6[[#This Row],[CONSUMO]]*Tabela6[[#This Row],[VALOR UNIT]]-Tabela6[[#This Row],[DESCONTO]]</f>
        <v>188.33900000000003</v>
      </c>
      <c r="L4604" s="53">
        <f>Tabela6[[#This Row],[CUSTO TOTAL]]/Tabela6[[#This Row],[CONSUMO]]</f>
        <v>5.69</v>
      </c>
      <c r="M4604" s="50">
        <f>Tabela6[[#This Row],[KM ATUAL]]-E4549</f>
        <v>-473580</v>
      </c>
      <c r="N4604" s="51">
        <f>Tabela6[[#This Row],[KM Rodados ]]/Tabela6[[#This Row],[CONSUMO]]</f>
        <v>-14307.552870090634</v>
      </c>
    </row>
    <row r="4605" spans="1:14" x14ac:dyDescent="0.25">
      <c r="A4605" s="47">
        <v>817824</v>
      </c>
      <c r="B4605" s="78">
        <v>45428</v>
      </c>
      <c r="C4605" s="47" t="s">
        <v>203</v>
      </c>
      <c r="D4605" s="49" t="s">
        <v>380</v>
      </c>
      <c r="E4605" s="47">
        <v>164892</v>
      </c>
      <c r="G4605" s="50" t="s">
        <v>244</v>
      </c>
      <c r="H4605" s="51">
        <v>39.89</v>
      </c>
      <c r="J4605" s="51">
        <v>5.69</v>
      </c>
      <c r="K4605" s="74">
        <f>Tabela6[[#This Row],[CONSUMO]]*Tabela6[[#This Row],[VALOR UNIT]]-Tabela6[[#This Row],[DESCONTO]]</f>
        <v>226.97410000000002</v>
      </c>
      <c r="L4605" s="53">
        <f>Tabela6[[#This Row],[CUSTO TOTAL]]/Tabela6[[#This Row],[CONSUMO]]</f>
        <v>5.69</v>
      </c>
      <c r="M4605" s="50">
        <f>Tabela6[[#This Row],[KM ATUAL]]-E4550</f>
        <v>-166552</v>
      </c>
      <c r="N4605" s="51">
        <f>Tabela6[[#This Row],[KM Rodados ]]/Tabela6[[#This Row],[CONSUMO]]</f>
        <v>-4175.2820255703182</v>
      </c>
    </row>
    <row r="4606" spans="1:14" x14ac:dyDescent="0.25">
      <c r="A4606" s="47">
        <v>214571</v>
      </c>
      <c r="B4606" s="78">
        <v>45428</v>
      </c>
      <c r="C4606" s="47" t="s">
        <v>10</v>
      </c>
      <c r="D4606" s="49" t="s">
        <v>453</v>
      </c>
      <c r="G4606" s="50" t="s">
        <v>89</v>
      </c>
      <c r="H4606" s="51">
        <v>192.00200000000001</v>
      </c>
      <c r="J4606" s="51">
        <v>5.83</v>
      </c>
      <c r="K4606" s="74">
        <f>Tabela6[[#This Row],[CONSUMO]]*Tabela6[[#This Row],[VALOR UNIT]]-Tabela6[[#This Row],[DESCONTO]]</f>
        <v>1119.37166</v>
      </c>
      <c r="L4606" s="53">
        <f>Tabela6[[#This Row],[CUSTO TOTAL]]/Tabela6[[#This Row],[CONSUMO]]</f>
        <v>5.83</v>
      </c>
      <c r="M4606" s="50">
        <f>Tabela6[[#This Row],[KM ATUAL]]-E4551</f>
        <v>-331838</v>
      </c>
      <c r="N4606" s="51">
        <f>Tabela6[[#This Row],[KM Rodados ]]/Tabela6[[#This Row],[CONSUMO]]</f>
        <v>-1728.3049134904843</v>
      </c>
    </row>
    <row r="4607" spans="1:14" x14ac:dyDescent="0.25">
      <c r="A4607" s="47">
        <v>263755</v>
      </c>
      <c r="B4607" s="78">
        <v>45428</v>
      </c>
      <c r="C4607" s="47" t="s">
        <v>301</v>
      </c>
      <c r="D4607" s="49" t="s">
        <v>262</v>
      </c>
      <c r="E4607" s="47">
        <v>1125145</v>
      </c>
      <c r="G4607" s="50" t="s">
        <v>241</v>
      </c>
      <c r="H4607" s="51">
        <v>10.045</v>
      </c>
      <c r="I4607" s="49">
        <v>3.62</v>
      </c>
      <c r="J4607" s="51">
        <v>3.69</v>
      </c>
      <c r="K4607" s="74">
        <f>Tabela6[[#This Row],[CONSUMO]]*Tabela6[[#This Row],[VALOR UNIT]]-Tabela6[[#This Row],[DESCONTO]]</f>
        <v>33.44605</v>
      </c>
      <c r="L4607" s="53">
        <f>Tabela6[[#This Row],[CUSTO TOTAL]]/Tabela6[[#This Row],[CONSUMO]]</f>
        <v>3.3296217023394723</v>
      </c>
      <c r="M4607" s="50">
        <f>Tabela6[[#This Row],[KM ATUAL]]-E4552</f>
        <v>696551</v>
      </c>
      <c r="N4607" s="51">
        <f>Tabela6[[#This Row],[KM Rodados ]]/Tabela6[[#This Row],[CONSUMO]]</f>
        <v>69343.056246888998</v>
      </c>
    </row>
    <row r="4608" spans="1:14" x14ac:dyDescent="0.25">
      <c r="A4608" s="47">
        <v>706907</v>
      </c>
      <c r="B4608" s="78">
        <v>45428</v>
      </c>
      <c r="C4608" s="47" t="s">
        <v>301</v>
      </c>
      <c r="D4608" s="49" t="s">
        <v>275</v>
      </c>
      <c r="E4608" s="47">
        <v>1112517</v>
      </c>
      <c r="G4608" s="50" t="s">
        <v>89</v>
      </c>
      <c r="H4608" s="51">
        <v>223.09</v>
      </c>
      <c r="J4608" s="51">
        <v>5.8890000000000002</v>
      </c>
      <c r="K4608" s="74">
        <f>Tabela6[[#This Row],[CONSUMO]]*Tabela6[[#This Row],[VALOR UNIT]]-Tabela6[[#This Row],[DESCONTO]]</f>
        <v>1313.77701</v>
      </c>
      <c r="L4608" s="53">
        <f>Tabela6[[#This Row],[CUSTO TOTAL]]/Tabela6[[#This Row],[CONSUMO]]</f>
        <v>5.8890000000000002</v>
      </c>
      <c r="M4608" s="50">
        <f>Tabela6[[#This Row],[KM ATUAL]]-E4553</f>
        <v>1087375</v>
      </c>
      <c r="N4608" s="51">
        <f>Tabela6[[#This Row],[KM Rodados ]]/Tabela6[[#This Row],[CONSUMO]]</f>
        <v>4874.1539289076154</v>
      </c>
    </row>
    <row r="4609" spans="1:14" x14ac:dyDescent="0.25">
      <c r="A4609" s="47">
        <v>514491</v>
      </c>
      <c r="B4609" s="78">
        <v>45429</v>
      </c>
      <c r="C4609" s="47" t="s">
        <v>203</v>
      </c>
      <c r="D4609" s="49" t="s">
        <v>309</v>
      </c>
      <c r="E4609" s="47">
        <v>165455</v>
      </c>
      <c r="G4609" s="50" t="s">
        <v>244</v>
      </c>
      <c r="H4609" s="51">
        <v>44.8</v>
      </c>
      <c r="J4609" s="51">
        <v>5.55</v>
      </c>
      <c r="K4609" s="74">
        <f>Tabela6[[#This Row],[CONSUMO]]*Tabela6[[#This Row],[VALOR UNIT]]-Tabela6[[#This Row],[DESCONTO]]</f>
        <v>248.64</v>
      </c>
      <c r="L4609" s="53">
        <f>Tabela6[[#This Row],[CUSTO TOTAL]]/Tabela6[[#This Row],[CONSUMO]]</f>
        <v>5.55</v>
      </c>
      <c r="M4609" s="50">
        <f>Tabela6[[#This Row],[KM ATUAL]]-E4554</f>
        <v>-409246</v>
      </c>
      <c r="N4609" s="51">
        <f>Tabela6[[#This Row],[KM Rodados ]]/Tabela6[[#This Row],[CONSUMO]]</f>
        <v>-9134.9553571428569</v>
      </c>
    </row>
    <row r="4610" spans="1:14" x14ac:dyDescent="0.25">
      <c r="A4610" s="47">
        <v>393206</v>
      </c>
      <c r="B4610" s="78">
        <v>45429</v>
      </c>
      <c r="C4610" s="47" t="s">
        <v>71</v>
      </c>
      <c r="D4610" s="49" t="s">
        <v>478</v>
      </c>
      <c r="E4610" s="47">
        <v>171534</v>
      </c>
      <c r="G4610" s="50" t="s">
        <v>89</v>
      </c>
      <c r="H4610" s="51">
        <v>472.03</v>
      </c>
      <c r="J4610" s="51">
        <v>5.83</v>
      </c>
      <c r="K4610" s="74">
        <f>Tabela6[[#This Row],[CONSUMO]]*Tabela6[[#This Row],[VALOR UNIT]]-Tabela6[[#This Row],[DESCONTO]]</f>
        <v>2751.9348999999997</v>
      </c>
      <c r="L4610" s="53">
        <f>Tabela6[[#This Row],[CUSTO TOTAL]]/Tabela6[[#This Row],[CONSUMO]]</f>
        <v>5.83</v>
      </c>
      <c r="M4610" s="50">
        <f>Tabela6[[#This Row],[KM ATUAL]]-E4555</f>
        <v>-17574</v>
      </c>
      <c r="N4610" s="51">
        <f>Tabela6[[#This Row],[KM Rodados ]]/Tabela6[[#This Row],[CONSUMO]]</f>
        <v>-37.230684490392562</v>
      </c>
    </row>
    <row r="4611" spans="1:14" x14ac:dyDescent="0.25">
      <c r="A4611" s="47">
        <v>114122</v>
      </c>
      <c r="B4611" s="78">
        <v>45429</v>
      </c>
      <c r="C4611" s="47" t="s">
        <v>64</v>
      </c>
      <c r="D4611" s="49" t="s">
        <v>463</v>
      </c>
      <c r="E4611" s="47">
        <v>114780</v>
      </c>
      <c r="G4611" s="50" t="s">
        <v>89</v>
      </c>
      <c r="H4611" s="51">
        <v>168.04</v>
      </c>
      <c r="J4611" s="51">
        <v>5.59</v>
      </c>
      <c r="K4611" s="74">
        <f>Tabela6[[#This Row],[CONSUMO]]*Tabela6[[#This Row],[VALOR UNIT]]-Tabela6[[#This Row],[DESCONTO]]</f>
        <v>939.34359999999992</v>
      </c>
      <c r="L4611" s="53">
        <f>Tabela6[[#This Row],[CUSTO TOTAL]]/Tabela6[[#This Row],[CONSUMO]]</f>
        <v>5.59</v>
      </c>
      <c r="M4611" s="50">
        <f>Tabela6[[#This Row],[KM ATUAL]]-E4556</f>
        <v>-47241</v>
      </c>
      <c r="N4611" s="51">
        <f>Tabela6[[#This Row],[KM Rodados ]]/Tabela6[[#This Row],[CONSUMO]]</f>
        <v>-281.12949297786241</v>
      </c>
    </row>
    <row r="4612" spans="1:14" x14ac:dyDescent="0.25">
      <c r="A4612" s="47">
        <v>22221</v>
      </c>
      <c r="B4612" s="78">
        <v>45429</v>
      </c>
      <c r="C4612" s="47" t="s">
        <v>10</v>
      </c>
      <c r="D4612" s="49" t="s">
        <v>461</v>
      </c>
      <c r="E4612" s="47">
        <v>759742</v>
      </c>
      <c r="G4612" s="50" t="s">
        <v>89</v>
      </c>
      <c r="H4612" s="51">
        <v>185.49100000000001</v>
      </c>
      <c r="J4612" s="51">
        <v>5.81</v>
      </c>
      <c r="K4612" s="74">
        <f>Tabela6[[#This Row],[CONSUMO]]*Tabela6[[#This Row],[VALOR UNIT]]-Tabela6[[#This Row],[DESCONTO]]</f>
        <v>1077.70271</v>
      </c>
      <c r="L4612" s="53">
        <f>Tabela6[[#This Row],[CUSTO TOTAL]]/Tabela6[[#This Row],[CONSUMO]]</f>
        <v>5.81</v>
      </c>
      <c r="M4612" s="50">
        <f>Tabela6[[#This Row],[KM ATUAL]]-E4557</f>
        <v>343727</v>
      </c>
      <c r="N4612" s="51">
        <f>Tabela6[[#This Row],[KM Rodados ]]/Tabela6[[#This Row],[CONSUMO]]</f>
        <v>1853.0656473899003</v>
      </c>
    </row>
    <row r="4613" spans="1:14" x14ac:dyDescent="0.25">
      <c r="A4613" s="47">
        <v>13692</v>
      </c>
      <c r="B4613" s="78">
        <v>45429</v>
      </c>
      <c r="C4613" s="47" t="s">
        <v>38</v>
      </c>
      <c r="D4613" s="49" t="s">
        <v>255</v>
      </c>
      <c r="E4613" s="47">
        <v>147848</v>
      </c>
      <c r="G4613" s="50" t="s">
        <v>244</v>
      </c>
      <c r="H4613" s="51">
        <v>51.280999999999999</v>
      </c>
      <c r="J4613" s="51">
        <v>5.95</v>
      </c>
      <c r="K4613" s="74">
        <f>Tabela6[[#This Row],[CONSUMO]]*Tabela6[[#This Row],[VALOR UNIT]]-Tabela6[[#This Row],[DESCONTO]]</f>
        <v>305.12195000000003</v>
      </c>
      <c r="L4613" s="53">
        <f>Tabela6[[#This Row],[CUSTO TOTAL]]/Tabela6[[#This Row],[CONSUMO]]</f>
        <v>5.9500000000000011</v>
      </c>
      <c r="M4613" s="50">
        <f>Tabela6[[#This Row],[KM ATUAL]]-E4558</f>
        <v>-210471</v>
      </c>
      <c r="N4613" s="51">
        <f>Tabela6[[#This Row],[KM Rodados ]]/Tabela6[[#This Row],[CONSUMO]]</f>
        <v>-4104.2686375070689</v>
      </c>
    </row>
    <row r="4614" spans="1:14" x14ac:dyDescent="0.25">
      <c r="A4614" s="47">
        <v>234215</v>
      </c>
      <c r="B4614" s="78">
        <v>45429</v>
      </c>
      <c r="C4614" s="47" t="s">
        <v>23</v>
      </c>
      <c r="D4614" s="49" t="s">
        <v>253</v>
      </c>
      <c r="E4614" s="47">
        <v>275578</v>
      </c>
      <c r="G4614" s="50" t="s">
        <v>89</v>
      </c>
      <c r="H4614" s="51">
        <v>145.04</v>
      </c>
      <c r="J4614" s="51">
        <v>6.09</v>
      </c>
      <c r="K4614" s="74">
        <f>Tabela6[[#This Row],[CONSUMO]]*Tabela6[[#This Row],[VALOR UNIT]]-Tabela6[[#This Row],[DESCONTO]]</f>
        <v>883.29359999999997</v>
      </c>
      <c r="L4614" s="53">
        <f>Tabela6[[#This Row],[CUSTO TOTAL]]/Tabela6[[#This Row],[CONSUMO]]</f>
        <v>6.09</v>
      </c>
      <c r="M4614" s="50">
        <f>Tabela6[[#This Row],[KM ATUAL]]-E4559</f>
        <v>128180</v>
      </c>
      <c r="N4614" s="51">
        <f>Tabela6[[#This Row],[KM Rodados ]]/Tabela6[[#This Row],[CONSUMO]]</f>
        <v>883.75620518477672</v>
      </c>
    </row>
    <row r="4615" spans="1:14" x14ac:dyDescent="0.25">
      <c r="A4615" s="47">
        <v>264026</v>
      </c>
      <c r="B4615" s="78">
        <v>45429</v>
      </c>
      <c r="C4615" s="47" t="s">
        <v>74</v>
      </c>
      <c r="D4615" s="49" t="s">
        <v>262</v>
      </c>
      <c r="E4615" s="47">
        <v>134340</v>
      </c>
      <c r="G4615" s="50" t="s">
        <v>241</v>
      </c>
      <c r="H4615" s="51">
        <v>13.092000000000001</v>
      </c>
      <c r="I4615" s="49">
        <v>4.71</v>
      </c>
      <c r="J4615" s="51">
        <v>3.69</v>
      </c>
      <c r="K4615" s="74">
        <f>Tabela6[[#This Row],[CONSUMO]]*Tabela6[[#This Row],[VALOR UNIT]]-Tabela6[[#This Row],[DESCONTO]]</f>
        <v>43.59948</v>
      </c>
      <c r="L4615" s="53">
        <f>Tabela6[[#This Row],[CUSTO TOTAL]]/Tabela6[[#This Row],[CONSUMO]]</f>
        <v>3.3302383134738771</v>
      </c>
      <c r="M4615" s="50">
        <f>Tabela6[[#This Row],[KM ATUAL]]-E4560</f>
        <v>-67891</v>
      </c>
      <c r="N4615" s="51">
        <f>Tabela6[[#This Row],[KM Rodados ]]/Tabela6[[#This Row],[CONSUMO]]</f>
        <v>-5185.6859150626333</v>
      </c>
    </row>
    <row r="4616" spans="1:14" x14ac:dyDescent="0.25">
      <c r="A4616" s="47">
        <v>234362</v>
      </c>
      <c r="B4616" s="78">
        <v>45429</v>
      </c>
      <c r="C4616" s="47" t="s">
        <v>315</v>
      </c>
      <c r="D4616" s="49" t="s">
        <v>253</v>
      </c>
      <c r="E4616" s="47">
        <v>30477</v>
      </c>
      <c r="G4616" s="50" t="s">
        <v>89</v>
      </c>
      <c r="H4616" s="51">
        <v>41.79</v>
      </c>
      <c r="J4616" s="51">
        <v>6.09</v>
      </c>
      <c r="K4616" s="74">
        <f>Tabela6[[#This Row],[CONSUMO]]*Tabela6[[#This Row],[VALOR UNIT]]-Tabela6[[#This Row],[DESCONTO]]</f>
        <v>254.50109999999998</v>
      </c>
      <c r="L4616" s="53">
        <f>Tabela6[[#This Row],[CUSTO TOTAL]]/Tabela6[[#This Row],[CONSUMO]]</f>
        <v>6.09</v>
      </c>
      <c r="M4616" s="50">
        <f>Tabela6[[#This Row],[KM ATUAL]]-E4561</f>
        <v>1637</v>
      </c>
      <c r="N4616" s="51">
        <f>Tabela6[[#This Row],[KM Rodados ]]/Tabela6[[#This Row],[CONSUMO]]</f>
        <v>39.172050729839675</v>
      </c>
    </row>
    <row r="4617" spans="1:14" x14ac:dyDescent="0.25">
      <c r="A4617" s="47">
        <v>264041</v>
      </c>
      <c r="B4617" s="78">
        <v>45429</v>
      </c>
      <c r="C4617" s="47" t="s">
        <v>354</v>
      </c>
      <c r="D4617" s="49" t="s">
        <v>262</v>
      </c>
      <c r="E4617" s="47">
        <v>41037</v>
      </c>
      <c r="G4617" s="50" t="s">
        <v>241</v>
      </c>
      <c r="H4617" s="51">
        <v>30.521999999999998</v>
      </c>
      <c r="I4617" s="49">
        <v>10.99</v>
      </c>
      <c r="J4617" s="51">
        <v>3.69</v>
      </c>
      <c r="K4617" s="74">
        <f>Tabela6[[#This Row],[CONSUMO]]*Tabela6[[#This Row],[VALOR UNIT]]-Tabela6[[#This Row],[DESCONTO]]</f>
        <v>101.63618</v>
      </c>
      <c r="L4617" s="53">
        <f>Tabela6[[#This Row],[CUSTO TOTAL]]/Tabela6[[#This Row],[CONSUMO]]</f>
        <v>3.3299318524343096</v>
      </c>
      <c r="M4617" s="53" t="e">
        <f t="array" ref="M4617">SE</f>
        <v>#NAME?</v>
      </c>
      <c r="N4617" s="49" t="e">
        <f>Tabela6[[#This Row],[KM Rodados ]]/Tabela6[[#This Row],[CONSUMO]]</f>
        <v>#NAME?</v>
      </c>
    </row>
    <row r="4618" spans="1:14" x14ac:dyDescent="0.25">
      <c r="A4618" s="47">
        <v>1331018</v>
      </c>
      <c r="B4618" s="78">
        <v>45429</v>
      </c>
      <c r="C4618" s="47" t="s">
        <v>401</v>
      </c>
      <c r="D4618" s="49" t="s">
        <v>247</v>
      </c>
      <c r="E4618" s="47">
        <v>28117</v>
      </c>
      <c r="G4618" s="50" t="s">
        <v>89</v>
      </c>
      <c r="H4618" s="51">
        <v>83.47</v>
      </c>
      <c r="J4618" s="51">
        <v>5.99</v>
      </c>
      <c r="K4618" s="74">
        <f>Tabela6[[#This Row],[CONSUMO]]*Tabela6[[#This Row],[VALOR UNIT]]-Tabela6[[#This Row],[DESCONTO]]</f>
        <v>499.9853</v>
      </c>
      <c r="L4618" s="53">
        <f>Tabela6[[#This Row],[CUSTO TOTAL]]/Tabela6[[#This Row],[CONSUMO]]</f>
        <v>5.99</v>
      </c>
      <c r="M4618" s="50">
        <f>Tabela6[[#This Row],[KM ATUAL]]-E4563</f>
        <v>-547733</v>
      </c>
      <c r="N4618" s="51">
        <f>Tabela6[[#This Row],[KM Rodados ]]/Tabela6[[#This Row],[CONSUMO]]</f>
        <v>-6562.0342638073562</v>
      </c>
    </row>
    <row r="4619" spans="1:14" x14ac:dyDescent="0.25">
      <c r="A4619" s="47">
        <v>1331018</v>
      </c>
      <c r="B4619" s="78">
        <v>45429</v>
      </c>
      <c r="C4619" s="47" t="s">
        <v>401</v>
      </c>
      <c r="D4619" s="49" t="s">
        <v>247</v>
      </c>
      <c r="E4619" s="47">
        <v>28117</v>
      </c>
      <c r="G4619" s="50" t="s">
        <v>241</v>
      </c>
      <c r="H4619" s="51">
        <v>26</v>
      </c>
      <c r="J4619" s="51">
        <v>2.89</v>
      </c>
      <c r="K4619" s="74">
        <f>Tabela6[[#This Row],[CONSUMO]]*Tabela6[[#This Row],[VALOR UNIT]]-Tabela6[[#This Row],[DESCONTO]]</f>
        <v>75.14</v>
      </c>
      <c r="L4619" s="53">
        <f>Tabela6[[#This Row],[CUSTO TOTAL]]/Tabela6[[#This Row],[CONSUMO]]</f>
        <v>2.89</v>
      </c>
      <c r="M4619" s="50">
        <f>Tabela6[[#This Row],[KM ATUAL]]-E4564</f>
        <v>-684913</v>
      </c>
      <c r="N4619" s="51">
        <f>Tabela6[[#This Row],[KM Rodados ]]/Tabela6[[#This Row],[CONSUMO]]</f>
        <v>-26342.807692307691</v>
      </c>
    </row>
    <row r="4620" spans="1:14" x14ac:dyDescent="0.25">
      <c r="A4620" s="47">
        <v>207893</v>
      </c>
      <c r="B4620" s="78">
        <v>45430</v>
      </c>
      <c r="C4620" s="47" t="s">
        <v>222</v>
      </c>
      <c r="D4620" s="49" t="s">
        <v>300</v>
      </c>
      <c r="E4620" s="47">
        <v>578344</v>
      </c>
      <c r="G4620" s="50" t="s">
        <v>89</v>
      </c>
      <c r="H4620" s="51">
        <v>493.49099999999999</v>
      </c>
      <c r="J4620" s="51">
        <v>5.69</v>
      </c>
      <c r="K4620" s="74">
        <f>Tabela6[[#This Row],[CONSUMO]]*Tabela6[[#This Row],[VALOR UNIT]]-Tabela6[[#This Row],[DESCONTO]]</f>
        <v>2807.9637900000002</v>
      </c>
      <c r="L4620" s="53">
        <f>Tabela6[[#This Row],[CUSTO TOTAL]]/Tabela6[[#This Row],[CONSUMO]]</f>
        <v>5.69</v>
      </c>
      <c r="M4620" s="50">
        <f>Tabela6[[#This Row],[KM ATUAL]]-E4564</f>
        <v>-134686</v>
      </c>
      <c r="N4620" s="51">
        <f>Tabela6[[#This Row],[KM Rodados ]]/Tabela6[[#This Row],[CONSUMO]]</f>
        <v>-272.92493682762199</v>
      </c>
    </row>
    <row r="4621" spans="1:14" x14ac:dyDescent="0.25">
      <c r="A4621" s="47">
        <v>367173</v>
      </c>
      <c r="B4621" s="78">
        <v>45430</v>
      </c>
      <c r="C4621" s="47" t="s">
        <v>70</v>
      </c>
      <c r="D4621" s="49" t="s">
        <v>270</v>
      </c>
      <c r="E4621" s="47">
        <v>281158</v>
      </c>
      <c r="G4621" s="50" t="s">
        <v>89</v>
      </c>
      <c r="H4621" s="51">
        <v>503.53</v>
      </c>
      <c r="J4621" s="51">
        <v>5.59</v>
      </c>
      <c r="K4621" s="74">
        <f>Tabela6[[#This Row],[CONSUMO]]*Tabela6[[#This Row],[VALOR UNIT]]-Tabela6[[#This Row],[DESCONTO]]</f>
        <v>2814.7326999999996</v>
      </c>
      <c r="L4621" s="53">
        <f>Tabela6[[#This Row],[CUSTO TOTAL]]/Tabela6[[#This Row],[CONSUMO]]</f>
        <v>5.59</v>
      </c>
      <c r="M4621" s="50">
        <f>Tabela6[[#This Row],[KM ATUAL]]-E4565</f>
        <v>-431872</v>
      </c>
      <c r="N4621" s="51">
        <f>Tabela6[[#This Row],[KM Rodados ]]/Tabela6[[#This Row],[CONSUMO]]</f>
        <v>-857.68871765336723</v>
      </c>
    </row>
    <row r="4622" spans="1:14" x14ac:dyDescent="0.25">
      <c r="A4622" s="47">
        <v>367174</v>
      </c>
      <c r="B4622" s="78">
        <v>45430</v>
      </c>
      <c r="C4622" s="47" t="s">
        <v>70</v>
      </c>
      <c r="D4622" s="49" t="s">
        <v>270</v>
      </c>
      <c r="E4622" s="47">
        <v>281158</v>
      </c>
      <c r="G4622" s="50" t="s">
        <v>241</v>
      </c>
      <c r="H4622" s="51">
        <v>60.92</v>
      </c>
      <c r="J4622" s="51">
        <v>2.99</v>
      </c>
      <c r="K4622" s="74">
        <f>Tabela6[[#This Row],[CONSUMO]]*Tabela6[[#This Row],[VALOR UNIT]]-Tabela6[[#This Row],[DESCONTO]]</f>
        <v>182.15080000000003</v>
      </c>
      <c r="L4622" s="53">
        <f>Tabela6[[#This Row],[CUSTO TOTAL]]/Tabela6[[#This Row],[CONSUMO]]</f>
        <v>2.9900000000000007</v>
      </c>
      <c r="M4622" s="50">
        <f>Tabela6[[#This Row],[KM ATUAL]]-E4566</f>
        <v>118615</v>
      </c>
      <c r="N4622" s="51">
        <f>Tabela6[[#This Row],[KM Rodados ]]/Tabela6[[#This Row],[CONSUMO]]</f>
        <v>1947.0617202889034</v>
      </c>
    </row>
    <row r="4623" spans="1:14" x14ac:dyDescent="0.25">
      <c r="A4623" s="47">
        <v>2708944</v>
      </c>
      <c r="B4623" s="78">
        <v>45430</v>
      </c>
      <c r="C4623" s="47" t="s">
        <v>10</v>
      </c>
      <c r="D4623" s="49" t="s">
        <v>252</v>
      </c>
      <c r="G4623" s="50" t="s">
        <v>89</v>
      </c>
      <c r="H4623" s="51">
        <v>200.03</v>
      </c>
      <c r="J4623" s="51">
        <v>5.95</v>
      </c>
      <c r="K4623" s="74">
        <f>Tabela6[[#This Row],[CONSUMO]]*Tabela6[[#This Row],[VALOR UNIT]]-Tabela6[[#This Row],[DESCONTO]]</f>
        <v>1190.1785</v>
      </c>
      <c r="L4623" s="53">
        <f>Tabela6[[#This Row],[CUSTO TOTAL]]/Tabela6[[#This Row],[CONSUMO]]</f>
        <v>5.95</v>
      </c>
      <c r="M4623" s="50">
        <f>Tabela6[[#This Row],[KM ATUAL]]-E4567</f>
        <v>-457278</v>
      </c>
      <c r="N4623" s="51">
        <f>Tabela6[[#This Row],[KM Rodados ]]/Tabela6[[#This Row],[CONSUMO]]</f>
        <v>-2286.0470929360595</v>
      </c>
    </row>
    <row r="4624" spans="1:14" x14ac:dyDescent="0.25">
      <c r="A4624" s="47">
        <v>134098</v>
      </c>
      <c r="B4624" s="78">
        <v>45430</v>
      </c>
      <c r="C4624" s="47" t="s">
        <v>10</v>
      </c>
      <c r="D4624" s="49" t="s">
        <v>252</v>
      </c>
      <c r="E4624" s="47">
        <v>761086</v>
      </c>
      <c r="G4624" s="50" t="s">
        <v>89</v>
      </c>
      <c r="H4624" s="51">
        <v>135</v>
      </c>
      <c r="J4624" s="51">
        <v>6.09</v>
      </c>
      <c r="K4624" s="74">
        <f>Tabela6[[#This Row],[CONSUMO]]*Tabela6[[#This Row],[VALOR UNIT]]-Tabela6[[#This Row],[DESCONTO]]</f>
        <v>822.15</v>
      </c>
      <c r="L4624" s="53">
        <f>Tabela6[[#This Row],[CUSTO TOTAL]]/Tabela6[[#This Row],[CONSUMO]]</f>
        <v>6.09</v>
      </c>
      <c r="M4624" s="50">
        <f>Tabela6[[#This Row],[KM ATUAL]]-E4568</f>
        <v>558263</v>
      </c>
      <c r="N4624" s="51">
        <f>Tabela6[[#This Row],[KM Rodados ]]/Tabela6[[#This Row],[CONSUMO]]</f>
        <v>4135.2814814814819</v>
      </c>
    </row>
    <row r="4625" spans="1:14" x14ac:dyDescent="0.25">
      <c r="A4625" s="47" t="s">
        <v>473</v>
      </c>
      <c r="B4625" s="78">
        <v>45431</v>
      </c>
      <c r="C4625" s="47" t="s">
        <v>301</v>
      </c>
      <c r="D4625" s="49" t="s">
        <v>329</v>
      </c>
      <c r="E4625" s="47">
        <v>1112581</v>
      </c>
      <c r="G4625" s="50" t="s">
        <v>89</v>
      </c>
      <c r="H4625" s="51">
        <v>472.18099999999998</v>
      </c>
      <c r="J4625" s="51">
        <v>5.59</v>
      </c>
      <c r="K4625" s="74">
        <f>Tabela6[[#This Row],[CONSUMO]]*Tabela6[[#This Row],[VALOR UNIT]]-Tabela6[[#This Row],[DESCONTO]]</f>
        <v>2639.49179</v>
      </c>
      <c r="L4625" s="53">
        <f>Tabela6[[#This Row],[CUSTO TOTAL]]/Tabela6[[#This Row],[CONSUMO]]</f>
        <v>5.59</v>
      </c>
      <c r="M4625" s="50">
        <f>Tabela6[[#This Row],[KM ATUAL]]-E4569</f>
        <v>1086563</v>
      </c>
      <c r="N4625" s="51">
        <f>Tabela6[[#This Row],[KM Rodados ]]/Tabela6[[#This Row],[CONSUMO]]</f>
        <v>2301.1578187178225</v>
      </c>
    </row>
    <row r="4626" spans="1:14" x14ac:dyDescent="0.25">
      <c r="A4626" s="47" t="s">
        <v>476</v>
      </c>
      <c r="B4626" s="78">
        <v>45432</v>
      </c>
      <c r="C4626" s="47" t="s">
        <v>222</v>
      </c>
      <c r="D4626" s="49" t="s">
        <v>333</v>
      </c>
      <c r="E4626" s="47">
        <v>579707</v>
      </c>
      <c r="G4626" s="50" t="s">
        <v>241</v>
      </c>
      <c r="H4626" s="51">
        <v>39.81</v>
      </c>
      <c r="J4626" s="51">
        <v>2.99</v>
      </c>
      <c r="K4626" s="74">
        <f>Tabela6[[#This Row],[CONSUMO]]*Tabela6[[#This Row],[VALOR UNIT]]-Tabela6[[#This Row],[DESCONTO]]</f>
        <v>119.03190000000002</v>
      </c>
      <c r="L4626" s="53">
        <f>Tabela6[[#This Row],[CUSTO TOTAL]]/Tabela6[[#This Row],[CONSUMO]]</f>
        <v>2.99</v>
      </c>
      <c r="M4626" s="50">
        <f>Tabela6[[#This Row],[KM ATUAL]]-E4570</f>
        <v>553689</v>
      </c>
      <c r="N4626" s="51">
        <f>Tabela6[[#This Row],[KM Rodados ]]/Tabela6[[#This Row],[CONSUMO]]</f>
        <v>13908.289374529011</v>
      </c>
    </row>
    <row r="4627" spans="1:14" x14ac:dyDescent="0.25">
      <c r="A4627" s="47">
        <v>499289</v>
      </c>
      <c r="B4627" s="78">
        <v>45432</v>
      </c>
      <c r="C4627" s="47" t="s">
        <v>67</v>
      </c>
      <c r="D4627" s="49" t="s">
        <v>273</v>
      </c>
      <c r="E4627" s="47">
        <v>714490</v>
      </c>
      <c r="G4627" s="50" t="s">
        <v>89</v>
      </c>
      <c r="H4627" s="51">
        <v>127.74</v>
      </c>
      <c r="J4627" s="51">
        <v>5.69</v>
      </c>
      <c r="K4627" s="74">
        <f>Tabela6[[#This Row],[CONSUMO]]*Tabela6[[#This Row],[VALOR UNIT]]-Tabela6[[#This Row],[DESCONTO]]</f>
        <v>726.84059999999999</v>
      </c>
      <c r="L4627" s="53">
        <f>Tabela6[[#This Row],[CUSTO TOTAL]]/Tabela6[[#This Row],[CONSUMO]]</f>
        <v>5.69</v>
      </c>
      <c r="M4627" s="50">
        <f>Tabela6[[#This Row],[KM ATUAL]]-E4571</f>
        <v>138640</v>
      </c>
      <c r="N4627" s="51">
        <f>Tabela6[[#This Row],[KM Rodados ]]/Tabela6[[#This Row],[CONSUMO]]</f>
        <v>1085.329575700642</v>
      </c>
    </row>
    <row r="4628" spans="1:14" x14ac:dyDescent="0.25">
      <c r="A4628" s="47">
        <v>236418</v>
      </c>
      <c r="B4628" s="78">
        <v>45432</v>
      </c>
      <c r="C4628" s="47" t="s">
        <v>39</v>
      </c>
      <c r="D4628" s="49" t="s">
        <v>253</v>
      </c>
      <c r="E4628" s="47">
        <v>124698</v>
      </c>
      <c r="G4628" s="50" t="s">
        <v>89</v>
      </c>
      <c r="H4628" s="51">
        <v>92.8</v>
      </c>
      <c r="J4628" s="51">
        <v>6.09</v>
      </c>
      <c r="K4628" s="74">
        <f>Tabela6[[#This Row],[CONSUMO]]*Tabela6[[#This Row],[VALOR UNIT]]-Tabela6[[#This Row],[DESCONTO]]</f>
        <v>565.15199999999993</v>
      </c>
      <c r="L4628" s="53">
        <f>Tabela6[[#This Row],[CUSTO TOTAL]]/Tabela6[[#This Row],[CONSUMO]]</f>
        <v>6.09</v>
      </c>
      <c r="M4628" s="50">
        <f>Tabela6[[#This Row],[KM ATUAL]]-E4572</f>
        <v>-64889</v>
      </c>
      <c r="N4628" s="51">
        <f>Tabela6[[#This Row],[KM Rodados ]]/Tabela6[[#This Row],[CONSUMO]]</f>
        <v>-699.23491379310349</v>
      </c>
    </row>
    <row r="4629" spans="1:14" x14ac:dyDescent="0.25">
      <c r="A4629" s="47">
        <v>236105</v>
      </c>
      <c r="B4629" s="78">
        <v>45432</v>
      </c>
      <c r="C4629" s="47" t="s">
        <v>72</v>
      </c>
      <c r="D4629" s="49" t="s">
        <v>253</v>
      </c>
      <c r="E4629" s="47">
        <v>459245</v>
      </c>
      <c r="G4629" s="50" t="s">
        <v>89</v>
      </c>
      <c r="H4629" s="51">
        <v>34.700000000000003</v>
      </c>
      <c r="J4629" s="51">
        <v>6.09</v>
      </c>
      <c r="K4629" s="74">
        <f>Tabela6[[#This Row],[CONSUMO]]*Tabela6[[#This Row],[VALOR UNIT]]-Tabela6[[#This Row],[DESCONTO]]</f>
        <v>211.32300000000001</v>
      </c>
      <c r="L4629" s="53">
        <f>Tabela6[[#This Row],[CUSTO TOTAL]]/Tabela6[[#This Row],[CONSUMO]]</f>
        <v>6.09</v>
      </c>
      <c r="M4629" s="50">
        <f>Tabela6[[#This Row],[KM ATUAL]]-E4573</f>
        <v>296247</v>
      </c>
      <c r="N4629" s="51">
        <f>Tabela6[[#This Row],[KM Rodados ]]/Tabela6[[#This Row],[CONSUMO]]</f>
        <v>8537.3775216138329</v>
      </c>
    </row>
    <row r="4630" spans="1:14" x14ac:dyDescent="0.25">
      <c r="A4630" s="47" t="s">
        <v>475</v>
      </c>
      <c r="B4630" s="78">
        <v>45432</v>
      </c>
      <c r="C4630" s="47" t="s">
        <v>301</v>
      </c>
      <c r="D4630" s="49" t="s">
        <v>333</v>
      </c>
      <c r="E4630" s="47">
        <v>1126612</v>
      </c>
      <c r="G4630" s="50" t="s">
        <v>89</v>
      </c>
      <c r="H4630" s="51">
        <v>396.983</v>
      </c>
      <c r="J4630" s="51">
        <v>5.59</v>
      </c>
      <c r="K4630" s="74">
        <f>Tabela6[[#This Row],[CONSUMO]]*Tabela6[[#This Row],[VALOR UNIT]]-Tabela6[[#This Row],[DESCONTO]]</f>
        <v>2219.1349700000001</v>
      </c>
      <c r="L4630" s="53">
        <f>Tabela6[[#This Row],[CUSTO TOTAL]]/Tabela6[[#This Row],[CONSUMO]]</f>
        <v>5.59</v>
      </c>
      <c r="M4630" s="50">
        <f>Tabela6[[#This Row],[KM ATUAL]]-E4574</f>
        <v>931094</v>
      </c>
      <c r="N4630" s="51">
        <f>Tabela6[[#This Row],[KM Rodados ]]/Tabela6[[#This Row],[CONSUMO]]</f>
        <v>2345.4253708597093</v>
      </c>
    </row>
    <row r="4631" spans="1:14" x14ac:dyDescent="0.25">
      <c r="A4631" s="47">
        <v>478423</v>
      </c>
      <c r="B4631" s="78">
        <v>45432</v>
      </c>
      <c r="C4631" s="47" t="s">
        <v>301</v>
      </c>
      <c r="D4631" s="49" t="s">
        <v>333</v>
      </c>
      <c r="E4631" s="47">
        <v>1126612</v>
      </c>
      <c r="G4631" s="50" t="s">
        <v>89</v>
      </c>
      <c r="H4631" s="51">
        <v>396.983</v>
      </c>
      <c r="J4631" s="51">
        <v>5.59</v>
      </c>
      <c r="K4631" s="74">
        <f>Tabela6[[#This Row],[CONSUMO]]*Tabela6[[#This Row],[VALOR UNIT]]-Tabela6[[#This Row],[DESCONTO]]</f>
        <v>2219.1349700000001</v>
      </c>
      <c r="L4631" s="53">
        <f>Tabela6[[#This Row],[CUSTO TOTAL]]/Tabela6[[#This Row],[CONSUMO]]</f>
        <v>5.59</v>
      </c>
      <c r="M4631" s="50">
        <f>Tabela6[[#This Row],[KM ATUAL]]-E4575</f>
        <v>370210</v>
      </c>
      <c r="N4631" s="51">
        <f>Tabela6[[#This Row],[KM Rodados ]]/Tabela6[[#This Row],[CONSUMO]]</f>
        <v>932.55882493708793</v>
      </c>
    </row>
    <row r="4632" spans="1:14" x14ac:dyDescent="0.25">
      <c r="A4632" s="47">
        <v>264679</v>
      </c>
      <c r="B4632" s="78">
        <v>45432</v>
      </c>
      <c r="C4632" s="47" t="s">
        <v>17</v>
      </c>
      <c r="D4632" s="49" t="s">
        <v>262</v>
      </c>
      <c r="E4632" s="47">
        <v>411996</v>
      </c>
      <c r="G4632" s="50" t="s">
        <v>241</v>
      </c>
      <c r="H4632" s="51">
        <v>28.715</v>
      </c>
      <c r="I4632" s="49">
        <v>10.34</v>
      </c>
      <c r="J4632" s="51">
        <v>3.69</v>
      </c>
      <c r="K4632" s="74">
        <f>Tabela6[[#This Row],[CONSUMO]]*Tabela6[[#This Row],[VALOR UNIT]]-Tabela6[[#This Row],[DESCONTO]]</f>
        <v>95.618349999999992</v>
      </c>
      <c r="L4632" s="53">
        <f>Tabela6[[#This Row],[CUSTO TOTAL]]/Tabela6[[#This Row],[CONSUMO]]</f>
        <v>3.3299094549886816</v>
      </c>
      <c r="M4632" s="50">
        <f>Tabela6[[#This Row],[KM ATUAL]]-E4576</f>
        <v>382640</v>
      </c>
      <c r="N4632" s="51">
        <f>Tabela6[[#This Row],[KM Rodados ]]/Tabela6[[#This Row],[CONSUMO]]</f>
        <v>13325.439665679958</v>
      </c>
    </row>
    <row r="4633" spans="1:14" x14ac:dyDescent="0.25">
      <c r="A4633" s="47">
        <v>14377</v>
      </c>
      <c r="B4633" s="78">
        <v>45432</v>
      </c>
      <c r="C4633" s="47" t="s">
        <v>18</v>
      </c>
      <c r="D4633" s="49" t="s">
        <v>255</v>
      </c>
      <c r="E4633" s="47">
        <v>359662</v>
      </c>
      <c r="G4633" s="50" t="s">
        <v>89</v>
      </c>
      <c r="H4633" s="51">
        <v>81.61</v>
      </c>
      <c r="J4633" s="51">
        <v>5.99</v>
      </c>
      <c r="K4633" s="74">
        <f>Tabela6[[#This Row],[CONSUMO]]*Tabela6[[#This Row],[VALOR UNIT]]-Tabela6[[#This Row],[DESCONTO]]</f>
        <v>488.84390000000002</v>
      </c>
      <c r="L4633" s="53">
        <f>Tabela6[[#This Row],[CUSTO TOTAL]]/Tabela6[[#This Row],[CONSUMO]]</f>
        <v>5.99</v>
      </c>
      <c r="M4633" s="50">
        <f>Tabela6[[#This Row],[KM ATUAL]]-E4577</f>
        <v>347626</v>
      </c>
      <c r="N4633" s="51">
        <f>Tabela6[[#This Row],[KM Rodados ]]/Tabela6[[#This Row],[CONSUMO]]</f>
        <v>4259.6005391496137</v>
      </c>
    </row>
    <row r="4634" spans="1:14" x14ac:dyDescent="0.25">
      <c r="A4634" s="47">
        <v>671266</v>
      </c>
      <c r="B4634" s="78">
        <v>45432</v>
      </c>
      <c r="C4634" s="47" t="s">
        <v>40</v>
      </c>
      <c r="D4634" s="49" t="s">
        <v>289</v>
      </c>
      <c r="E4634" s="47">
        <v>204133</v>
      </c>
      <c r="G4634" s="50" t="s">
        <v>244</v>
      </c>
      <c r="H4634" s="51">
        <v>13.83</v>
      </c>
      <c r="J4634" s="51">
        <v>5.69</v>
      </c>
      <c r="K4634" s="74">
        <f>Tabela6[[#This Row],[CONSUMO]]*Tabela6[[#This Row],[VALOR UNIT]]-Tabela6[[#This Row],[DESCONTO]]</f>
        <v>78.692700000000002</v>
      </c>
      <c r="L4634" s="53">
        <f>Tabela6[[#This Row],[CUSTO TOTAL]]/Tabela6[[#This Row],[CONSUMO]]</f>
        <v>5.69</v>
      </c>
      <c r="M4634" s="50">
        <f>Tabela6[[#This Row],[KM ATUAL]]-E4578</f>
        <v>-168675</v>
      </c>
      <c r="N4634" s="51">
        <f>Tabela6[[#This Row],[KM Rodados ]]/Tabela6[[#This Row],[CONSUMO]]</f>
        <v>-12196.312364425163</v>
      </c>
    </row>
    <row r="4635" spans="1:14" x14ac:dyDescent="0.25">
      <c r="A4635" s="47">
        <v>264630</v>
      </c>
      <c r="B4635" s="78">
        <v>45432</v>
      </c>
      <c r="C4635" s="47" t="s">
        <v>40</v>
      </c>
      <c r="D4635" s="49" t="s">
        <v>262</v>
      </c>
      <c r="E4635" s="47">
        <v>203960</v>
      </c>
      <c r="G4635" s="50" t="s">
        <v>244</v>
      </c>
      <c r="H4635" s="51">
        <v>43.84</v>
      </c>
      <c r="J4635" s="51">
        <v>5.69</v>
      </c>
      <c r="K4635" s="74">
        <f>Tabela6[[#This Row],[CONSUMO]]*Tabela6[[#This Row],[VALOR UNIT]]-Tabela6[[#This Row],[DESCONTO]]</f>
        <v>249.44960000000003</v>
      </c>
      <c r="L4635" s="53">
        <f>Tabela6[[#This Row],[CUSTO TOTAL]]/Tabela6[[#This Row],[CONSUMO]]</f>
        <v>5.69</v>
      </c>
      <c r="M4635" s="50">
        <f>Tabela6[[#This Row],[KM ATUAL]]-E4579</f>
        <v>-509580</v>
      </c>
      <c r="N4635" s="51">
        <f>Tabela6[[#This Row],[KM Rodados ]]/Tabela6[[#This Row],[CONSUMO]]</f>
        <v>-11623.631386861312</v>
      </c>
    </row>
    <row r="4636" spans="1:14" x14ac:dyDescent="0.25">
      <c r="A4636" s="47">
        <v>787531</v>
      </c>
      <c r="B4636" s="78">
        <v>45433</v>
      </c>
      <c r="C4636" s="47" t="s">
        <v>70</v>
      </c>
      <c r="D4636" s="49" t="s">
        <v>265</v>
      </c>
      <c r="E4636" s="47">
        <v>282516</v>
      </c>
      <c r="G4636" s="50" t="s">
        <v>89</v>
      </c>
      <c r="H4636" s="51">
        <v>200</v>
      </c>
      <c r="J4636" s="51">
        <v>5.96</v>
      </c>
      <c r="K4636" s="74">
        <f>Tabela6[[#This Row],[CONSUMO]]*Tabela6[[#This Row],[VALOR UNIT]]-Tabela6[[#This Row],[DESCONTO]]</f>
        <v>1192</v>
      </c>
      <c r="L4636" s="53">
        <f>Tabela6[[#This Row],[CUSTO TOTAL]]/Tabela6[[#This Row],[CONSUMO]]</f>
        <v>5.96</v>
      </c>
      <c r="M4636" s="50">
        <f>Tabela6[[#This Row],[KM ATUAL]]-E4580</f>
        <v>119082</v>
      </c>
      <c r="N4636" s="51">
        <f>Tabela6[[#This Row],[KM Rodados ]]/Tabela6[[#This Row],[CONSUMO]]</f>
        <v>595.41</v>
      </c>
    </row>
    <row r="4637" spans="1:14" x14ac:dyDescent="0.25">
      <c r="A4637" s="47">
        <v>401167</v>
      </c>
      <c r="B4637" s="78">
        <v>45433</v>
      </c>
      <c r="C4637" s="47" t="s">
        <v>203</v>
      </c>
      <c r="D4637" s="49" t="s">
        <v>276</v>
      </c>
      <c r="E4637" s="47">
        <v>166046</v>
      </c>
      <c r="G4637" s="50" t="s">
        <v>244</v>
      </c>
      <c r="H4637" s="51">
        <v>44.99</v>
      </c>
      <c r="J4637" s="51">
        <v>5.79</v>
      </c>
      <c r="K4637" s="74">
        <f>Tabela6[[#This Row],[CONSUMO]]*Tabela6[[#This Row],[VALOR UNIT]]-Tabela6[[#This Row],[DESCONTO]]</f>
        <v>260.49209999999999</v>
      </c>
      <c r="L4637" s="53">
        <f>Tabela6[[#This Row],[CUSTO TOTAL]]/Tabela6[[#This Row],[CONSUMO]]</f>
        <v>5.79</v>
      </c>
      <c r="M4637" s="50">
        <f>Tabela6[[#This Row],[KM ATUAL]]-E4581</f>
        <v>-3100</v>
      </c>
      <c r="N4637" s="51">
        <f>Tabela6[[#This Row],[KM Rodados ]]/Tabela6[[#This Row],[CONSUMO]]</f>
        <v>-68.904200933540778</v>
      </c>
    </row>
    <row r="4638" spans="1:14" x14ac:dyDescent="0.25">
      <c r="A4638" s="47">
        <v>149919</v>
      </c>
      <c r="B4638" s="78">
        <v>45433</v>
      </c>
      <c r="C4638" s="47" t="s">
        <v>71</v>
      </c>
      <c r="D4638" s="49" t="s">
        <v>265</v>
      </c>
      <c r="E4638" s="47">
        <v>173129</v>
      </c>
      <c r="G4638" s="50" t="s">
        <v>89</v>
      </c>
      <c r="H4638" s="51">
        <v>403.77</v>
      </c>
      <c r="J4638" s="51">
        <v>5.96</v>
      </c>
      <c r="K4638" s="74">
        <f>Tabela6[[#This Row],[CONSUMO]]*Tabela6[[#This Row],[VALOR UNIT]]-Tabela6[[#This Row],[DESCONTO]]</f>
        <v>2406.4692</v>
      </c>
      <c r="L4638" s="53">
        <f>Tabela6[[#This Row],[CUSTO TOTAL]]/Tabela6[[#This Row],[CONSUMO]]</f>
        <v>5.96</v>
      </c>
      <c r="M4638" s="50">
        <f>Tabela6[[#This Row],[KM ATUAL]]-E4582</f>
        <v>-164659</v>
      </c>
      <c r="N4638" s="51">
        <f>Tabela6[[#This Row],[KM Rodados ]]/Tabela6[[#This Row],[CONSUMO]]</f>
        <v>-407.80394779205983</v>
      </c>
    </row>
    <row r="4639" spans="1:14" x14ac:dyDescent="0.25">
      <c r="A4639" s="47">
        <v>149920</v>
      </c>
      <c r="B4639" s="78">
        <v>45433</v>
      </c>
      <c r="C4639" s="47" t="s">
        <v>71</v>
      </c>
      <c r="D4639" s="49" t="s">
        <v>265</v>
      </c>
      <c r="E4639" s="47">
        <v>173129</v>
      </c>
      <c r="G4639" s="50" t="s">
        <v>241</v>
      </c>
      <c r="H4639" s="51">
        <v>47.752000000000002</v>
      </c>
      <c r="J4639" s="51">
        <v>3.89</v>
      </c>
      <c r="K4639" s="74">
        <f>Tabela6[[#This Row],[CONSUMO]]*Tabela6[[#This Row],[VALOR UNIT]]-Tabela6[[#This Row],[DESCONTO]]</f>
        <v>185.75528000000003</v>
      </c>
      <c r="L4639" s="53">
        <f>Tabela6[[#This Row],[CUSTO TOTAL]]/Tabela6[[#This Row],[CONSUMO]]</f>
        <v>3.8900000000000006</v>
      </c>
      <c r="M4639" s="50">
        <f>Tabela6[[#This Row],[KM ATUAL]]-E4583</f>
        <v>-159346</v>
      </c>
      <c r="N4639" s="51">
        <f>Tabela6[[#This Row],[KM Rodados ]]/Tabela6[[#This Row],[CONSUMO]]</f>
        <v>-3336.9492377282627</v>
      </c>
    </row>
    <row r="4640" spans="1:14" x14ac:dyDescent="0.25">
      <c r="A4640" s="47">
        <v>384711</v>
      </c>
      <c r="B4640" s="78">
        <v>45433</v>
      </c>
      <c r="C4640" s="47" t="s">
        <v>301</v>
      </c>
      <c r="D4640" s="49" t="s">
        <v>465</v>
      </c>
      <c r="E4640" s="47">
        <v>1112733</v>
      </c>
      <c r="G4640" s="50" t="s">
        <v>89</v>
      </c>
      <c r="H4640" s="51">
        <v>483.02</v>
      </c>
      <c r="J4640" s="51">
        <v>5.62</v>
      </c>
      <c r="K4640" s="74">
        <f>Tabela6[[#This Row],[CONSUMO]]*Tabela6[[#This Row],[VALOR UNIT]]-Tabela6[[#This Row],[DESCONTO]]</f>
        <v>2714.5724</v>
      </c>
      <c r="L4640" s="53">
        <f>Tabela6[[#This Row],[CUSTO TOTAL]]/Tabela6[[#This Row],[CONSUMO]]</f>
        <v>5.62</v>
      </c>
      <c r="M4640" s="50">
        <f>Tabela6[[#This Row],[KM ATUAL]]-E4584</f>
        <v>780085</v>
      </c>
      <c r="N4640" s="51">
        <f>Tabela6[[#This Row],[KM Rodados ]]/Tabela6[[#This Row],[CONSUMO]]</f>
        <v>1615.0159413688875</v>
      </c>
    </row>
    <row r="4641" spans="1:14" x14ac:dyDescent="0.25">
      <c r="A4641" s="47">
        <v>236942</v>
      </c>
      <c r="B4641" s="78">
        <v>45433</v>
      </c>
      <c r="C4641" s="47" t="s">
        <v>12</v>
      </c>
      <c r="D4641" s="49" t="s">
        <v>253</v>
      </c>
      <c r="E4641" s="47">
        <v>338251</v>
      </c>
      <c r="G4641" s="50" t="s">
        <v>89</v>
      </c>
      <c r="H4641" s="51">
        <v>92.05</v>
      </c>
      <c r="J4641" s="51">
        <v>6.09</v>
      </c>
      <c r="K4641" s="74">
        <f>Tabela6[[#This Row],[CONSUMO]]*Tabela6[[#This Row],[VALOR UNIT]]-Tabela6[[#This Row],[DESCONTO]]</f>
        <v>560.58449999999993</v>
      </c>
      <c r="L4641" s="53">
        <f>Tabela6[[#This Row],[CUSTO TOTAL]]/Tabela6[[#This Row],[CONSUMO]]</f>
        <v>6.09</v>
      </c>
      <c r="M4641" s="50">
        <f>Tabela6[[#This Row],[KM ATUAL]]-E4585</f>
        <v>63811</v>
      </c>
      <c r="N4641" s="51">
        <f>Tabela6[[#This Row],[KM Rodados ]]/Tabela6[[#This Row],[CONSUMO]]</f>
        <v>693.22107550244436</v>
      </c>
    </row>
    <row r="4642" spans="1:14" x14ac:dyDescent="0.25">
      <c r="A4642" s="47">
        <v>216132</v>
      </c>
      <c r="B4642" s="78">
        <v>45433</v>
      </c>
      <c r="C4642" s="47" t="s">
        <v>13</v>
      </c>
      <c r="D4642" s="49" t="s">
        <v>263</v>
      </c>
      <c r="G4642" s="50" t="s">
        <v>241</v>
      </c>
      <c r="H4642" s="51">
        <v>21.28</v>
      </c>
      <c r="J4642" s="51">
        <v>3.29</v>
      </c>
      <c r="K4642" s="74">
        <f>Tabela6[[#This Row],[CONSUMO]]*Tabela6[[#This Row],[VALOR UNIT]]-Tabela6[[#This Row],[DESCONTO]]</f>
        <v>70.011200000000002</v>
      </c>
      <c r="L4642" s="53">
        <f>Tabela6[[#This Row],[CUSTO TOTAL]]/Tabela6[[#This Row],[CONSUMO]]</f>
        <v>3.29</v>
      </c>
      <c r="M4642" s="50">
        <f>Tabela6[[#This Row],[KM ATUAL]]-E4586</f>
        <v>-577239</v>
      </c>
      <c r="N4642" s="51">
        <f>Tabela6[[#This Row],[KM Rodados ]]/Tabela6[[#This Row],[CONSUMO]]</f>
        <v>-27125.892857142855</v>
      </c>
    </row>
    <row r="4643" spans="1:14" x14ac:dyDescent="0.25">
      <c r="A4643" s="47">
        <v>14521</v>
      </c>
      <c r="B4643" s="78">
        <v>45433</v>
      </c>
      <c r="C4643" s="47" t="s">
        <v>16</v>
      </c>
      <c r="D4643" s="49" t="s">
        <v>255</v>
      </c>
      <c r="E4643" s="47">
        <v>321761</v>
      </c>
      <c r="G4643" s="50" t="s">
        <v>89</v>
      </c>
      <c r="H4643" s="51">
        <v>95.721000000000004</v>
      </c>
      <c r="J4643" s="51">
        <v>6.26</v>
      </c>
      <c r="K4643" s="74">
        <f>Tabela6[[#This Row],[CONSUMO]]*Tabela6[[#This Row],[VALOR UNIT]]-Tabela6[[#This Row],[DESCONTO]]</f>
        <v>599.21346000000005</v>
      </c>
      <c r="L4643" s="53">
        <f>Tabela6[[#This Row],[CUSTO TOTAL]]/Tabela6[[#This Row],[CONSUMO]]</f>
        <v>6.2600000000000007</v>
      </c>
      <c r="M4643" s="50">
        <f>Tabela6[[#This Row],[KM ATUAL]]-E4587</f>
        <v>157908</v>
      </c>
      <c r="N4643" s="51">
        <f>Tabela6[[#This Row],[KM Rodados ]]/Tabela6[[#This Row],[CONSUMO]]</f>
        <v>1649.6693515529507</v>
      </c>
    </row>
    <row r="4644" spans="1:14" x14ac:dyDescent="0.25">
      <c r="A4644" s="47">
        <v>264932</v>
      </c>
      <c r="B4644" s="78">
        <v>45433</v>
      </c>
      <c r="C4644" s="47" t="s">
        <v>19</v>
      </c>
      <c r="D4644" s="49" t="s">
        <v>262</v>
      </c>
      <c r="E4644" s="47">
        <v>374901</v>
      </c>
      <c r="G4644" s="50" t="s">
        <v>241</v>
      </c>
      <c r="H4644" s="51">
        <v>23.933</v>
      </c>
      <c r="I4644" s="49">
        <v>8.61</v>
      </c>
      <c r="J4644" s="51">
        <v>3.69</v>
      </c>
      <c r="K4644" s="74">
        <f>Tabela6[[#This Row],[CONSUMO]]*Tabela6[[#This Row],[VALOR UNIT]]-Tabela6[[#This Row],[DESCONTO]]</f>
        <v>79.702770000000001</v>
      </c>
      <c r="L4644" s="53">
        <f>Tabela6[[#This Row],[CUSTO TOTAL]]/Tabela6[[#This Row],[CONSUMO]]</f>
        <v>3.3302456858730625</v>
      </c>
      <c r="M4644" s="50">
        <f>Tabela6[[#This Row],[KM ATUAL]]-E4588</f>
        <v>-83382</v>
      </c>
      <c r="N4644" s="51">
        <f>Tabela6[[#This Row],[KM Rodados ]]/Tabela6[[#This Row],[CONSUMO]]</f>
        <v>-3483.9760999456817</v>
      </c>
    </row>
    <row r="4645" spans="1:14" x14ac:dyDescent="0.25">
      <c r="A4645" s="47">
        <v>236909</v>
      </c>
      <c r="B4645" s="78">
        <v>45433</v>
      </c>
      <c r="C4645" s="47" t="s">
        <v>23</v>
      </c>
      <c r="D4645" s="49" t="s">
        <v>253</v>
      </c>
      <c r="E4645" s="47">
        <v>276037</v>
      </c>
      <c r="G4645" s="50" t="s">
        <v>89</v>
      </c>
      <c r="H4645" s="51">
        <v>101.94</v>
      </c>
      <c r="J4645" s="51">
        <v>6.09</v>
      </c>
      <c r="K4645" s="74">
        <f>Tabela6[[#This Row],[CONSUMO]]*Tabela6[[#This Row],[VALOR UNIT]]-Tabela6[[#This Row],[DESCONTO]]</f>
        <v>620.81459999999993</v>
      </c>
      <c r="L4645" s="53">
        <f>Tabela6[[#This Row],[CUSTO TOTAL]]/Tabela6[[#This Row],[CONSUMO]]</f>
        <v>6.09</v>
      </c>
      <c r="M4645" s="50">
        <f>Tabela6[[#This Row],[KM ATUAL]]-E4589</f>
        <v>-481400</v>
      </c>
      <c r="N4645" s="51">
        <f>Tabela6[[#This Row],[KM Rodados ]]/Tabela6[[#This Row],[CONSUMO]]</f>
        <v>-4722.3857170884839</v>
      </c>
    </row>
    <row r="4646" spans="1:14" x14ac:dyDescent="0.25">
      <c r="A4646" s="47">
        <v>264823</v>
      </c>
      <c r="B4646" s="78">
        <v>45433</v>
      </c>
      <c r="C4646" s="47" t="s">
        <v>40</v>
      </c>
      <c r="D4646" s="49" t="s">
        <v>262</v>
      </c>
      <c r="E4646" s="47">
        <v>204520</v>
      </c>
      <c r="G4646" s="50" t="s">
        <v>244</v>
      </c>
      <c r="H4646" s="51">
        <v>24.9</v>
      </c>
      <c r="J4646" s="51">
        <v>5.69</v>
      </c>
      <c r="K4646" s="74">
        <f>Tabela6[[#This Row],[CONSUMO]]*Tabela6[[#This Row],[VALOR UNIT]]-Tabela6[[#This Row],[DESCONTO]]</f>
        <v>141.68100000000001</v>
      </c>
      <c r="L4646" s="53">
        <f>Tabela6[[#This Row],[CUSTO TOTAL]]/Tabela6[[#This Row],[CONSUMO]]</f>
        <v>5.69</v>
      </c>
      <c r="M4646" s="50">
        <f>Tabela6[[#This Row],[KM ATUAL]]-E4590</f>
        <v>-128533</v>
      </c>
      <c r="N4646" s="51">
        <f>Tabela6[[#This Row],[KM Rodados ]]/Tabela6[[#This Row],[CONSUMO]]</f>
        <v>-5161.9678714859438</v>
      </c>
    </row>
    <row r="4647" spans="1:14" x14ac:dyDescent="0.25">
      <c r="A4647" s="47">
        <v>237358</v>
      </c>
      <c r="B4647" s="78">
        <v>45433</v>
      </c>
      <c r="C4647" s="47" t="s">
        <v>315</v>
      </c>
      <c r="D4647" s="49" t="s">
        <v>253</v>
      </c>
      <c r="E4647" s="47">
        <v>31097</v>
      </c>
      <c r="G4647" s="50" t="s">
        <v>89</v>
      </c>
      <c r="H4647" s="51">
        <v>51.9</v>
      </c>
      <c r="J4647" s="51">
        <v>6.09</v>
      </c>
      <c r="K4647" s="74">
        <f>Tabela6[[#This Row],[CONSUMO]]*Tabela6[[#This Row],[VALOR UNIT]]-Tabela6[[#This Row],[DESCONTO]]</f>
        <v>316.07099999999997</v>
      </c>
      <c r="L4647" s="53">
        <f>Tabela6[[#This Row],[CUSTO TOTAL]]/Tabela6[[#This Row],[CONSUMO]]</f>
        <v>6.09</v>
      </c>
      <c r="M4647" s="50">
        <f>Tabela6[[#This Row],[KM ATUAL]]-E4591</f>
        <v>-342710</v>
      </c>
      <c r="N4647" s="51">
        <f>Tabela6[[#This Row],[KM Rodados ]]/Tabela6[[#This Row],[CONSUMO]]</f>
        <v>-6603.2755298651255</v>
      </c>
    </row>
    <row r="4648" spans="1:14" x14ac:dyDescent="0.25">
      <c r="A4648" s="47">
        <v>237358</v>
      </c>
      <c r="B4648" s="78">
        <v>45433</v>
      </c>
      <c r="C4648" s="47" t="s">
        <v>315</v>
      </c>
      <c r="D4648" s="49" t="s">
        <v>253</v>
      </c>
      <c r="E4648" s="47">
        <v>31097</v>
      </c>
      <c r="G4648" s="50" t="s">
        <v>241</v>
      </c>
      <c r="H4648" s="51">
        <v>4</v>
      </c>
      <c r="J4648" s="51">
        <v>3.49</v>
      </c>
      <c r="K4648" s="74">
        <f>Tabela6[[#This Row],[CONSUMO]]*Tabela6[[#This Row],[VALOR UNIT]]-Tabela6[[#This Row],[DESCONTO]]</f>
        <v>13.96</v>
      </c>
      <c r="L4648" s="53">
        <f>Tabela6[[#This Row],[CUSTO TOTAL]]/Tabela6[[#This Row],[CONSUMO]]</f>
        <v>3.49</v>
      </c>
      <c r="M4648" s="50">
        <f>Tabela6[[#This Row],[KM ATUAL]]-E4592</f>
        <v>1081</v>
      </c>
      <c r="N4648" s="51">
        <f>Tabela6[[#This Row],[KM Rodados ]]/Tabela6[[#This Row],[CONSUMO]]</f>
        <v>270.25</v>
      </c>
    </row>
    <row r="4649" spans="1:14" x14ac:dyDescent="0.25">
      <c r="A4649" s="47">
        <v>52834</v>
      </c>
      <c r="B4649" s="78">
        <v>45433</v>
      </c>
      <c r="C4649" s="47" t="s">
        <v>401</v>
      </c>
      <c r="D4649" s="49" t="s">
        <v>247</v>
      </c>
      <c r="E4649" s="47">
        <v>29009</v>
      </c>
      <c r="G4649" s="50" t="s">
        <v>89</v>
      </c>
      <c r="H4649" s="51">
        <v>66.78</v>
      </c>
      <c r="J4649" s="51">
        <v>5.99</v>
      </c>
      <c r="K4649" s="74">
        <f>Tabela6[[#This Row],[CONSUMO]]*Tabela6[[#This Row],[VALOR UNIT]]-Tabela6[[#This Row],[DESCONTO]]</f>
        <v>400.01220000000001</v>
      </c>
      <c r="L4649" s="53">
        <f>Tabela6[[#This Row],[CUSTO TOTAL]]/Tabela6[[#This Row],[CONSUMO]]</f>
        <v>5.99</v>
      </c>
      <c r="M4649" s="50">
        <f>Tabela6[[#This Row],[KM ATUAL]]-E4593</f>
        <v>1930</v>
      </c>
      <c r="N4649" s="51">
        <f>Tabela6[[#This Row],[KM Rodados ]]/Tabela6[[#This Row],[CONSUMO]]</f>
        <v>28.900868523510031</v>
      </c>
    </row>
    <row r="4650" spans="1:14" x14ac:dyDescent="0.25">
      <c r="A4650" s="47" t="s">
        <v>477</v>
      </c>
      <c r="B4650" s="78">
        <v>45434</v>
      </c>
      <c r="C4650" s="47" t="s">
        <v>222</v>
      </c>
      <c r="D4650" s="49" t="s">
        <v>333</v>
      </c>
      <c r="E4650" s="47">
        <v>581021</v>
      </c>
      <c r="G4650" s="50" t="s">
        <v>241</v>
      </c>
      <c r="H4650" s="51">
        <v>21.95</v>
      </c>
      <c r="J4650" s="51">
        <v>2.99</v>
      </c>
      <c r="K4650" s="74">
        <f>Tabela6[[#This Row],[CONSUMO]]*Tabela6[[#This Row],[VALOR UNIT]]-Tabela6[[#This Row],[DESCONTO]]</f>
        <v>65.630499999999998</v>
      </c>
      <c r="L4650" s="53">
        <f>Tabela6[[#This Row],[CUSTO TOTAL]]/Tabela6[[#This Row],[CONSUMO]]</f>
        <v>2.99</v>
      </c>
      <c r="M4650" s="50">
        <f>Tabela6[[#This Row],[KM ATUAL]]-E4594</f>
        <v>581021</v>
      </c>
      <c r="N4650" s="51">
        <f>Tabela6[[#This Row],[KM Rodados ]]/Tabela6[[#This Row],[CONSUMO]]</f>
        <v>26470.205011389524</v>
      </c>
    </row>
    <row r="4651" spans="1:14" x14ac:dyDescent="0.25">
      <c r="A4651" s="47">
        <v>478882</v>
      </c>
      <c r="B4651" s="78">
        <v>45434</v>
      </c>
      <c r="C4651" s="47" t="s">
        <v>222</v>
      </c>
      <c r="D4651" s="49" t="s">
        <v>333</v>
      </c>
      <c r="E4651" s="47">
        <v>581021</v>
      </c>
      <c r="G4651" s="50" t="s">
        <v>89</v>
      </c>
      <c r="H4651" s="51">
        <v>434.01299999999998</v>
      </c>
      <c r="J4651" s="51">
        <v>5.59</v>
      </c>
      <c r="K4651" s="74">
        <f>Tabela6[[#This Row],[CONSUMO]]*Tabela6[[#This Row],[VALOR UNIT]]-Tabela6[[#This Row],[DESCONTO]]</f>
        <v>2426.13267</v>
      </c>
      <c r="L4651" s="53">
        <f>Tabela6[[#This Row],[CUSTO TOTAL]]/Tabela6[[#This Row],[CONSUMO]]</f>
        <v>5.59</v>
      </c>
      <c r="M4651" s="50">
        <f>Tabela6[[#This Row],[KM ATUAL]]-E4595</f>
        <v>-132907</v>
      </c>
      <c r="N4651" s="51">
        <f>Tabela6[[#This Row],[KM Rodados ]]/Tabela6[[#This Row],[CONSUMO]]</f>
        <v>-306.22815445620296</v>
      </c>
    </row>
    <row r="4652" spans="1:14" x14ac:dyDescent="0.25">
      <c r="A4652" s="47">
        <v>39461</v>
      </c>
      <c r="B4652" s="78">
        <v>45434</v>
      </c>
      <c r="C4652" s="47" t="s">
        <v>70</v>
      </c>
      <c r="D4652" s="49" t="s">
        <v>274</v>
      </c>
      <c r="E4652" s="47">
        <v>283216</v>
      </c>
      <c r="G4652" s="50" t="s">
        <v>89</v>
      </c>
      <c r="H4652" s="51">
        <v>570</v>
      </c>
      <c r="J4652" s="51">
        <v>5.45</v>
      </c>
      <c r="K4652" s="74">
        <f>Tabela6[[#This Row],[CONSUMO]]*Tabela6[[#This Row],[VALOR UNIT]]-Tabela6[[#This Row],[DESCONTO]]</f>
        <v>3106.5</v>
      </c>
      <c r="L4652" s="53">
        <f>Tabela6[[#This Row],[CUSTO TOTAL]]/Tabela6[[#This Row],[CONSUMO]]</f>
        <v>5.45</v>
      </c>
      <c r="M4652" s="50">
        <f>Tabela6[[#This Row],[KM ATUAL]]-E4596</f>
        <v>158878</v>
      </c>
      <c r="N4652" s="51">
        <f>Tabela6[[#This Row],[KM Rodados ]]/Tabela6[[#This Row],[CONSUMO]]</f>
        <v>278.73333333333335</v>
      </c>
    </row>
    <row r="4653" spans="1:14" x14ac:dyDescent="0.25">
      <c r="A4653" s="47">
        <v>149509</v>
      </c>
      <c r="B4653" s="78">
        <v>45434</v>
      </c>
      <c r="C4653" s="47" t="s">
        <v>203</v>
      </c>
      <c r="D4653" s="49" t="s">
        <v>334</v>
      </c>
      <c r="E4653" s="47">
        <v>166531</v>
      </c>
      <c r="G4653" s="50" t="s">
        <v>244</v>
      </c>
      <c r="H4653" s="51">
        <v>40</v>
      </c>
      <c r="J4653" s="51">
        <v>5.99</v>
      </c>
      <c r="K4653" s="74">
        <f>Tabela6[[#This Row],[CONSUMO]]*Tabela6[[#This Row],[VALOR UNIT]]-Tabela6[[#This Row],[DESCONTO]]</f>
        <v>239.60000000000002</v>
      </c>
      <c r="L4653" s="53">
        <f>Tabela6[[#This Row],[CUSTO TOTAL]]/Tabela6[[#This Row],[CONSUMO]]</f>
        <v>5.99</v>
      </c>
      <c r="M4653" s="50">
        <f>Tabela6[[#This Row],[KM ATUAL]]-E4597</f>
        <v>2146</v>
      </c>
      <c r="N4653" s="51">
        <f>Tabela6[[#This Row],[KM Rodados ]]/Tabela6[[#This Row],[CONSUMO]]</f>
        <v>53.65</v>
      </c>
    </row>
    <row r="4654" spans="1:14" x14ac:dyDescent="0.25">
      <c r="A4654" s="47">
        <v>1254931</v>
      </c>
      <c r="B4654" s="78">
        <v>45434</v>
      </c>
      <c r="C4654" s="47" t="s">
        <v>71</v>
      </c>
      <c r="D4654" s="49" t="s">
        <v>479</v>
      </c>
      <c r="E4654" s="47">
        <v>174360</v>
      </c>
      <c r="G4654" s="50" t="s">
        <v>89</v>
      </c>
      <c r="H4654" s="51">
        <v>494.25099999999998</v>
      </c>
      <c r="J4654" s="51">
        <v>6.78</v>
      </c>
      <c r="K4654" s="74">
        <f>Tabela6[[#This Row],[CONSUMO]]*Tabela6[[#This Row],[VALOR UNIT]]-Tabela6[[#This Row],[DESCONTO]]</f>
        <v>3351.02178</v>
      </c>
      <c r="L4654" s="53">
        <f>Tabela6[[#This Row],[CUSTO TOTAL]]/Tabela6[[#This Row],[CONSUMO]]</f>
        <v>6.78</v>
      </c>
      <c r="M4654" s="50">
        <f>Tabela6[[#This Row],[KM ATUAL]]-E4598</f>
        <v>-583823</v>
      </c>
      <c r="N4654" s="51">
        <f>Tabela6[[#This Row],[KM Rodados ]]/Tabela6[[#This Row],[CONSUMO]]</f>
        <v>-1181.227756747078</v>
      </c>
    </row>
    <row r="4655" spans="1:14" x14ac:dyDescent="0.25">
      <c r="A4655" s="47">
        <v>79888</v>
      </c>
      <c r="B4655" s="78">
        <v>45434</v>
      </c>
      <c r="C4655" s="47" t="s">
        <v>15</v>
      </c>
      <c r="D4655" s="49" t="s">
        <v>450</v>
      </c>
      <c r="E4655" s="47">
        <v>431710</v>
      </c>
      <c r="G4655" s="50" t="s">
        <v>89</v>
      </c>
      <c r="H4655" s="51">
        <v>101.001</v>
      </c>
      <c r="J4655" s="51">
        <v>5.85</v>
      </c>
      <c r="K4655" s="74">
        <f>Tabela6[[#This Row],[CONSUMO]]*Tabela6[[#This Row],[VALOR UNIT]]-Tabela6[[#This Row],[DESCONTO]]</f>
        <v>590.85585000000003</v>
      </c>
      <c r="L4655" s="53">
        <f>Tabela6[[#This Row],[CUSTO TOTAL]]/Tabela6[[#This Row],[CONSUMO]]</f>
        <v>5.85</v>
      </c>
      <c r="M4655" s="50">
        <f>Tabela6[[#This Row],[KM ATUAL]]-E4599</f>
        <v>156738</v>
      </c>
      <c r="N4655" s="51">
        <f>Tabela6[[#This Row],[KM Rodados ]]/Tabela6[[#This Row],[CONSUMO]]</f>
        <v>1551.8460213265214</v>
      </c>
    </row>
    <row r="4656" spans="1:14" x14ac:dyDescent="0.25">
      <c r="A4656" s="47">
        <v>915939</v>
      </c>
      <c r="B4656" s="78">
        <v>45434</v>
      </c>
      <c r="C4656" s="47" t="s">
        <v>19</v>
      </c>
      <c r="D4656" s="49" t="s">
        <v>264</v>
      </c>
      <c r="E4656" s="47">
        <v>375517</v>
      </c>
      <c r="G4656" s="50" t="s">
        <v>89</v>
      </c>
      <c r="H4656" s="51">
        <v>112.65</v>
      </c>
      <c r="J4656" s="51">
        <v>5.77</v>
      </c>
      <c r="K4656" s="74">
        <f>Tabela6[[#This Row],[CONSUMO]]*Tabela6[[#This Row],[VALOR UNIT]]-Tabela6[[#This Row],[DESCONTO]]</f>
        <v>649.9905</v>
      </c>
      <c r="L4656" s="53">
        <f>Tabela6[[#This Row],[CUSTO TOTAL]]/Tabela6[[#This Row],[CONSUMO]]</f>
        <v>5.77</v>
      </c>
      <c r="M4656" s="50">
        <f>Tabela6[[#This Row],[KM ATUAL]]-E4600</f>
        <v>172126</v>
      </c>
      <c r="N4656" s="51">
        <f>Tabela6[[#This Row],[KM Rodados ]]/Tabela6[[#This Row],[CONSUMO]]</f>
        <v>1527.9715934309809</v>
      </c>
    </row>
    <row r="4657" spans="1:14" x14ac:dyDescent="0.25">
      <c r="A4657" s="47">
        <v>401376</v>
      </c>
      <c r="B4657" s="78">
        <v>45434</v>
      </c>
      <c r="C4657" s="47" t="s">
        <v>40</v>
      </c>
      <c r="D4657" s="49" t="s">
        <v>276</v>
      </c>
      <c r="E4657" s="47">
        <v>205137</v>
      </c>
      <c r="G4657" s="50" t="s">
        <v>244</v>
      </c>
      <c r="H4657" s="51">
        <v>45.168999999999997</v>
      </c>
      <c r="J4657" s="51">
        <v>5.79</v>
      </c>
      <c r="K4657" s="74">
        <f>Tabela6[[#This Row],[CONSUMO]]*Tabela6[[#This Row],[VALOR UNIT]]-Tabela6[[#This Row],[DESCONTO]]</f>
        <v>261.52850999999998</v>
      </c>
      <c r="L4657" s="53">
        <f>Tabela6[[#This Row],[CUSTO TOTAL]]/Tabela6[[#This Row],[CONSUMO]]</f>
        <v>5.79</v>
      </c>
      <c r="M4657" s="50">
        <f>Tabela6[[#This Row],[KM ATUAL]]-E4601</f>
        <v>-768237</v>
      </c>
      <c r="N4657" s="51">
        <f>Tabela6[[#This Row],[KM Rodados ]]/Tabela6[[#This Row],[CONSUMO]]</f>
        <v>-17008.058624277714</v>
      </c>
    </row>
    <row r="4658" spans="1:14" x14ac:dyDescent="0.25">
      <c r="A4658" s="47">
        <v>265061</v>
      </c>
      <c r="B4658" s="78">
        <v>45434</v>
      </c>
      <c r="C4658" s="47" t="s">
        <v>446</v>
      </c>
      <c r="D4658" s="49" t="s">
        <v>262</v>
      </c>
      <c r="E4658" s="47">
        <v>265061</v>
      </c>
      <c r="G4658" s="50" t="s">
        <v>241</v>
      </c>
      <c r="H4658" s="51">
        <v>32.786000000000001</v>
      </c>
      <c r="I4658" s="49">
        <v>11.8</v>
      </c>
      <c r="J4658" s="51">
        <v>3.69</v>
      </c>
      <c r="K4658" s="74">
        <f>Tabela6[[#This Row],[CONSUMO]]*Tabela6[[#This Row],[VALOR UNIT]]-Tabela6[[#This Row],[DESCONTO]]</f>
        <v>109.18034</v>
      </c>
      <c r="L4658" s="53">
        <f>Tabela6[[#This Row],[CUSTO TOTAL]]/Tabela6[[#This Row],[CONSUMO]]</f>
        <v>3.3300902824376255</v>
      </c>
      <c r="M4658" s="50" t="e">
        <f>Tabela6[[#This Row],[KM ATUAL]]-#REF!</f>
        <v>#REF!</v>
      </c>
      <c r="N4658" s="51" t="e">
        <f>Tabela6[[#This Row],[KM Rodados ]]/Tabela6[[#This Row],[CONSUMO]]</f>
        <v>#REF!</v>
      </c>
    </row>
    <row r="4659" spans="1:14" x14ac:dyDescent="0.25">
      <c r="A4659" s="47">
        <v>784431</v>
      </c>
      <c r="B4659" s="78">
        <v>45435</v>
      </c>
      <c r="C4659" s="47" t="s">
        <v>222</v>
      </c>
      <c r="D4659" s="49" t="s">
        <v>271</v>
      </c>
      <c r="E4659" s="47">
        <v>582365</v>
      </c>
      <c r="G4659" s="50" t="s">
        <v>241</v>
      </c>
      <c r="H4659" s="51">
        <v>27.99</v>
      </c>
      <c r="J4659" s="51">
        <v>2.99</v>
      </c>
      <c r="K4659" s="74">
        <f>Tabela6[[#This Row],[CONSUMO]]*Tabela6[[#This Row],[VALOR UNIT]]-Tabela6[[#This Row],[DESCONTO]]</f>
        <v>83.690100000000001</v>
      </c>
      <c r="L4659" s="53">
        <f>Tabela6[[#This Row],[CUSTO TOTAL]]/Tabela6[[#This Row],[CONSUMO]]</f>
        <v>2.99</v>
      </c>
      <c r="M4659" s="50">
        <f>Tabela6[[#This Row],[KM ATUAL]]-E4603</f>
        <v>582365</v>
      </c>
      <c r="N4659" s="51">
        <f>Tabela6[[#This Row],[KM Rodados ]]/Tabela6[[#This Row],[CONSUMO]]</f>
        <v>20806.18077884959</v>
      </c>
    </row>
    <row r="4660" spans="1:14" x14ac:dyDescent="0.25">
      <c r="A4660" s="47">
        <v>784431</v>
      </c>
      <c r="B4660" s="78">
        <v>45435</v>
      </c>
      <c r="C4660" s="47" t="s">
        <v>222</v>
      </c>
      <c r="D4660" s="49" t="s">
        <v>271</v>
      </c>
      <c r="E4660" s="47">
        <v>582365</v>
      </c>
      <c r="G4660" s="50" t="s">
        <v>89</v>
      </c>
      <c r="H4660" s="51">
        <v>330</v>
      </c>
      <c r="J4660" s="51">
        <v>5.69</v>
      </c>
      <c r="K4660" s="74">
        <f>Tabela6[[#This Row],[CONSUMO]]*Tabela6[[#This Row],[VALOR UNIT]]-Tabela6[[#This Row],[DESCONTO]]</f>
        <v>1877.7</v>
      </c>
      <c r="L4660" s="53">
        <f>Tabela6[[#This Row],[CUSTO TOTAL]]/Tabela6[[#This Row],[CONSUMO]]</f>
        <v>5.69</v>
      </c>
      <c r="M4660" s="50">
        <f>Tabela6[[#This Row],[KM ATUAL]]-E4604</f>
        <v>343355</v>
      </c>
      <c r="N4660" s="51">
        <f>Tabela6[[#This Row],[KM Rodados ]]/Tabela6[[#This Row],[CONSUMO]]</f>
        <v>1040.469696969697</v>
      </c>
    </row>
    <row r="4661" spans="1:14" x14ac:dyDescent="0.25">
      <c r="A4661" s="47">
        <v>500267</v>
      </c>
      <c r="B4661" s="78">
        <v>45435</v>
      </c>
      <c r="C4661" s="47" t="s">
        <v>67</v>
      </c>
      <c r="D4661" s="49" t="s">
        <v>273</v>
      </c>
      <c r="E4661" s="47">
        <v>715500</v>
      </c>
      <c r="G4661" s="50" t="s">
        <v>89</v>
      </c>
      <c r="H4661" s="51">
        <v>130.691</v>
      </c>
      <c r="J4661" s="51">
        <v>5.69</v>
      </c>
      <c r="K4661" s="74">
        <f>Tabela6[[#This Row],[CONSUMO]]*Tabela6[[#This Row],[VALOR UNIT]]-Tabela6[[#This Row],[DESCONTO]]</f>
        <v>743.63179000000002</v>
      </c>
      <c r="L4661" s="53">
        <f>Tabela6[[#This Row],[CUSTO TOTAL]]/Tabela6[[#This Row],[CONSUMO]]</f>
        <v>5.69</v>
      </c>
      <c r="M4661" s="50">
        <f>Tabela6[[#This Row],[KM ATUAL]]-E4605</f>
        <v>550608</v>
      </c>
      <c r="N4661" s="51">
        <f>Tabela6[[#This Row],[KM Rodados ]]/Tabela6[[#This Row],[CONSUMO]]</f>
        <v>4213.0521612046732</v>
      </c>
    </row>
    <row r="4662" spans="1:14" x14ac:dyDescent="0.25">
      <c r="A4662" s="47">
        <v>500268</v>
      </c>
      <c r="B4662" s="78">
        <v>45435</v>
      </c>
      <c r="C4662" s="47" t="s">
        <v>67</v>
      </c>
      <c r="D4662" s="49" t="s">
        <v>273</v>
      </c>
      <c r="E4662" s="47">
        <v>715500</v>
      </c>
      <c r="G4662" s="50" t="s">
        <v>241</v>
      </c>
      <c r="H4662" s="51">
        <v>21.89</v>
      </c>
      <c r="J4662" s="51">
        <v>2.99</v>
      </c>
      <c r="K4662" s="74">
        <f>Tabela6[[#This Row],[CONSUMO]]*Tabela6[[#This Row],[VALOR UNIT]]-Tabela6[[#This Row],[DESCONTO]]</f>
        <v>65.451100000000011</v>
      </c>
      <c r="L4662" s="53">
        <f>Tabela6[[#This Row],[CUSTO TOTAL]]/Tabela6[[#This Row],[CONSUMO]]</f>
        <v>2.99</v>
      </c>
      <c r="M4662" s="50">
        <f>Tabela6[[#This Row],[KM ATUAL]]-E4606</f>
        <v>715500</v>
      </c>
      <c r="N4662" s="51">
        <f>Tabela6[[#This Row],[KM Rodados ]]/Tabela6[[#This Row],[CONSUMO]]</f>
        <v>32686.158063042483</v>
      </c>
    </row>
    <row r="4663" spans="1:14" x14ac:dyDescent="0.25">
      <c r="A4663" s="47">
        <v>401733</v>
      </c>
      <c r="B4663" s="78">
        <v>45435</v>
      </c>
      <c r="C4663" s="47" t="s">
        <v>203</v>
      </c>
      <c r="D4663" s="49" t="s">
        <v>276</v>
      </c>
      <c r="E4663" s="47">
        <v>166872</v>
      </c>
      <c r="G4663" s="50" t="s">
        <v>244</v>
      </c>
      <c r="H4663" s="51">
        <v>25.021000000000001</v>
      </c>
      <c r="J4663" s="51">
        <v>5.79</v>
      </c>
      <c r="K4663" s="74">
        <f>Tabela6[[#This Row],[CONSUMO]]*Tabela6[[#This Row],[VALOR UNIT]]-Tabela6[[#This Row],[DESCONTO]]</f>
        <v>144.87159</v>
      </c>
      <c r="L4663" s="53">
        <f>Tabela6[[#This Row],[CUSTO TOTAL]]/Tabela6[[#This Row],[CONSUMO]]</f>
        <v>5.79</v>
      </c>
      <c r="M4663" s="50">
        <f>Tabela6[[#This Row],[KM ATUAL]]-E4607</f>
        <v>-958273</v>
      </c>
      <c r="N4663" s="51">
        <f>Tabela6[[#This Row],[KM Rodados ]]/Tabela6[[#This Row],[CONSUMO]]</f>
        <v>-38298.749050797327</v>
      </c>
    </row>
    <row r="4664" spans="1:14" x14ac:dyDescent="0.25">
      <c r="A4664" s="47">
        <v>238788</v>
      </c>
      <c r="B4664" s="78">
        <v>45435</v>
      </c>
      <c r="C4664" s="47" t="s">
        <v>72</v>
      </c>
      <c r="D4664" s="49" t="s">
        <v>253</v>
      </c>
      <c r="E4664" s="47">
        <v>460325</v>
      </c>
      <c r="G4664" s="50" t="s">
        <v>89</v>
      </c>
      <c r="H4664" s="51">
        <v>45.17</v>
      </c>
      <c r="J4664" s="51">
        <v>6.09</v>
      </c>
      <c r="K4664" s="74">
        <f>Tabela6[[#This Row],[CONSUMO]]*Tabela6[[#This Row],[VALOR UNIT]]-Tabela6[[#This Row],[DESCONTO]]</f>
        <v>275.08530000000002</v>
      </c>
      <c r="L4664" s="53">
        <f>Tabela6[[#This Row],[CUSTO TOTAL]]/Tabela6[[#This Row],[CONSUMO]]</f>
        <v>6.09</v>
      </c>
      <c r="M4664" s="50">
        <f>Tabela6[[#This Row],[KM ATUAL]]-E4608</f>
        <v>-652192</v>
      </c>
      <c r="N4664" s="51">
        <f>Tabela6[[#This Row],[KM Rodados ]]/Tabela6[[#This Row],[CONSUMO]]</f>
        <v>-14438.609696701349</v>
      </c>
    </row>
    <row r="4665" spans="1:14" ht="15.75" customHeight="1" x14ac:dyDescent="0.25">
      <c r="A4665" s="47">
        <v>521266</v>
      </c>
      <c r="B4665" s="78">
        <v>45435</v>
      </c>
      <c r="C4665" s="47" t="s">
        <v>301</v>
      </c>
      <c r="D4665" s="49" t="s">
        <v>347</v>
      </c>
      <c r="E4665" s="47">
        <v>1112812</v>
      </c>
      <c r="G4665" s="50" t="s">
        <v>89</v>
      </c>
      <c r="H4665" s="51">
        <v>447</v>
      </c>
      <c r="J4665" s="51">
        <v>5.65</v>
      </c>
      <c r="K4665" s="74">
        <f>Tabela6[[#This Row],[CONSUMO]]*Tabela6[[#This Row],[VALOR UNIT]]-Tabela6[[#This Row],[DESCONTO]]</f>
        <v>2525.5500000000002</v>
      </c>
      <c r="L4665" s="53">
        <f>Tabela6[[#This Row],[CUSTO TOTAL]]/Tabela6[[#This Row],[CONSUMO]]</f>
        <v>5.65</v>
      </c>
      <c r="M4665" s="50">
        <f>Tabela6[[#This Row],[KM ATUAL]]-E4609</f>
        <v>947357</v>
      </c>
      <c r="N4665" s="51">
        <f>Tabela6[[#This Row],[KM Rodados ]]/Tabela6[[#This Row],[CONSUMO]]</f>
        <v>2119.3668903803132</v>
      </c>
    </row>
    <row r="4666" spans="1:14" ht="15.75" customHeight="1" x14ac:dyDescent="0.25">
      <c r="A4666" s="47">
        <v>15349</v>
      </c>
      <c r="B4666" s="78">
        <v>45435</v>
      </c>
      <c r="C4666" s="47" t="s">
        <v>14</v>
      </c>
      <c r="D4666" s="49" t="s">
        <v>255</v>
      </c>
      <c r="G4666" s="50" t="s">
        <v>244</v>
      </c>
      <c r="H4666" s="51">
        <v>44.011000000000003</v>
      </c>
      <c r="J4666" s="51">
        <v>5.69</v>
      </c>
      <c r="K4666" s="74">
        <f>Tabela6[[#This Row],[CONSUMO]]*Tabela6[[#This Row],[VALOR UNIT]]-Tabela6[[#This Row],[DESCONTO]]</f>
        <v>250.42259000000004</v>
      </c>
      <c r="L4666" s="53">
        <f>Tabela6[[#This Row],[CUSTO TOTAL]]/Tabela6[[#This Row],[CONSUMO]]</f>
        <v>5.69</v>
      </c>
      <c r="M4666" s="50">
        <f>Tabela6[[#This Row],[KM ATUAL]]-E4610</f>
        <v>-171534</v>
      </c>
      <c r="N4666" s="51">
        <f>Tabela6[[#This Row],[KM Rodados ]]/Tabela6[[#This Row],[CONSUMO]]</f>
        <v>-3897.5256185953508</v>
      </c>
    </row>
    <row r="4667" spans="1:14" ht="15.75" customHeight="1" x14ac:dyDescent="0.25">
      <c r="A4667" s="47">
        <v>15276</v>
      </c>
      <c r="B4667" s="78">
        <v>45435</v>
      </c>
      <c r="C4667" s="47" t="s">
        <v>18</v>
      </c>
      <c r="D4667" s="49" t="s">
        <v>255</v>
      </c>
      <c r="E4667" s="47">
        <v>148062</v>
      </c>
      <c r="G4667" s="50" t="s">
        <v>244</v>
      </c>
      <c r="H4667" s="51">
        <v>20.491</v>
      </c>
      <c r="J4667" s="51">
        <v>5.95</v>
      </c>
      <c r="K4667" s="74">
        <f>Tabela6[[#This Row],[CONSUMO]]*Tabela6[[#This Row],[VALOR UNIT]]-Tabela6[[#This Row],[DESCONTO]]</f>
        <v>121.92145000000001</v>
      </c>
      <c r="L4667" s="53">
        <f>Tabela6[[#This Row],[CUSTO TOTAL]]/Tabela6[[#This Row],[CONSUMO]]</f>
        <v>5.95</v>
      </c>
      <c r="M4667" s="50">
        <f>Tabela6[[#This Row],[KM ATUAL]]-E4611</f>
        <v>33282</v>
      </c>
      <c r="N4667" s="51">
        <f>Tabela6[[#This Row],[KM Rodados ]]/Tabela6[[#This Row],[CONSUMO]]</f>
        <v>1624.2252696305695</v>
      </c>
    </row>
    <row r="4668" spans="1:14" ht="15.75" customHeight="1" x14ac:dyDescent="0.25">
      <c r="A4668" s="47">
        <v>239100</v>
      </c>
      <c r="B4668" s="78">
        <v>45435</v>
      </c>
      <c r="C4668" s="47" t="s">
        <v>23</v>
      </c>
      <c r="D4668" s="49" t="s">
        <v>253</v>
      </c>
      <c r="E4668" s="47">
        <v>276562</v>
      </c>
      <c r="G4668" s="50" t="s">
        <v>89</v>
      </c>
      <c r="H4668" s="51">
        <v>132.18</v>
      </c>
      <c r="J4668" s="51">
        <v>6.09</v>
      </c>
      <c r="K4668" s="74">
        <f>Tabela6[[#This Row],[CONSUMO]]*Tabela6[[#This Row],[VALOR UNIT]]-Tabela6[[#This Row],[DESCONTO]]</f>
        <v>804.97620000000006</v>
      </c>
      <c r="L4668" s="53">
        <f>Tabela6[[#This Row],[CUSTO TOTAL]]/Tabela6[[#This Row],[CONSUMO]]</f>
        <v>6.09</v>
      </c>
      <c r="M4668" s="50">
        <f>Tabela6[[#This Row],[KM ATUAL]]-E4612</f>
        <v>-483180</v>
      </c>
      <c r="N4668" s="51">
        <f>Tabela6[[#This Row],[KM Rodados ]]/Tabela6[[#This Row],[CONSUMO]]</f>
        <v>-3655.4698138901495</v>
      </c>
    </row>
    <row r="4669" spans="1:14" ht="15.75" customHeight="1" x14ac:dyDescent="0.25">
      <c r="A4669" s="47" t="s">
        <v>468</v>
      </c>
      <c r="B4669" s="78">
        <v>45436</v>
      </c>
      <c r="C4669" s="47" t="s">
        <v>358</v>
      </c>
      <c r="D4669" s="49" t="s">
        <v>361</v>
      </c>
      <c r="E4669" s="47">
        <v>851152</v>
      </c>
      <c r="G4669" s="50" t="s">
        <v>89</v>
      </c>
      <c r="H4669" s="51">
        <v>418</v>
      </c>
      <c r="J4669" s="51">
        <v>5.69</v>
      </c>
      <c r="K4669" s="74">
        <f>Tabela6[[#This Row],[CONSUMO]]*Tabela6[[#This Row],[VALOR UNIT]]-Tabela6[[#This Row],[DESCONTO]]</f>
        <v>2378.42</v>
      </c>
      <c r="L4669" s="53">
        <f>Tabela6[[#This Row],[CUSTO TOTAL]]/Tabela6[[#This Row],[CONSUMO]]</f>
        <v>5.69</v>
      </c>
      <c r="M4669" s="50" t="e">
        <f>Tabela6[[#This Row],[KM ATUAL]]-#REF!</f>
        <v>#REF!</v>
      </c>
      <c r="N4669" s="51" t="e">
        <f>Tabela6[[#This Row],[KM Rodados ]]/Tabela6[[#This Row],[CONSUMO]]</f>
        <v>#REF!</v>
      </c>
    </row>
    <row r="4670" spans="1:14" ht="15.75" customHeight="1" x14ac:dyDescent="0.25">
      <c r="A4670" s="47" t="s">
        <v>467</v>
      </c>
      <c r="B4670" s="78">
        <v>45436</v>
      </c>
      <c r="C4670" s="47" t="s">
        <v>43</v>
      </c>
      <c r="D4670" s="49" t="s">
        <v>270</v>
      </c>
      <c r="E4670" s="47">
        <v>190305</v>
      </c>
      <c r="G4670" s="50" t="s">
        <v>89</v>
      </c>
      <c r="H4670" s="51">
        <v>46.401000000000003</v>
      </c>
      <c r="J4670" s="51">
        <v>5.59</v>
      </c>
      <c r="K4670" s="74">
        <f>Tabela6[[#This Row],[CONSUMO]]*Tabela6[[#This Row],[VALOR UNIT]]-Tabela6[[#This Row],[DESCONTO]]</f>
        <v>259.38159000000002</v>
      </c>
      <c r="L4670" s="53">
        <f>Tabela6[[#This Row],[CUSTO TOTAL]]/Tabela6[[#This Row],[CONSUMO]]</f>
        <v>5.59</v>
      </c>
      <c r="M4670" s="50">
        <f>Tabela6[[#This Row],[KM ATUAL]]-E4614</f>
        <v>-85273</v>
      </c>
      <c r="N4670" s="51">
        <f>Tabela6[[#This Row],[KM Rodados ]]/Tabela6[[#This Row],[CONSUMO]]</f>
        <v>-1837.7405659360788</v>
      </c>
    </row>
    <row r="4671" spans="1:14" x14ac:dyDescent="0.25">
      <c r="A4671" s="47" t="s">
        <v>469</v>
      </c>
      <c r="B4671" s="78">
        <v>45436</v>
      </c>
      <c r="C4671" s="47" t="s">
        <v>301</v>
      </c>
      <c r="E4671" s="47">
        <v>1112883</v>
      </c>
      <c r="G4671" s="50" t="s">
        <v>89</v>
      </c>
      <c r="H4671" s="51">
        <v>337.03100000000001</v>
      </c>
      <c r="J4671" s="51">
        <v>5.59</v>
      </c>
      <c r="K4671" s="74">
        <f>Tabela6[[#This Row],[CONSUMO]]*Tabela6[[#This Row],[VALOR UNIT]]-Tabela6[[#This Row],[DESCONTO]]</f>
        <v>1884.0032899999999</v>
      </c>
      <c r="L4671" s="53">
        <f>Tabela6[[#This Row],[CUSTO TOTAL]]/Tabela6[[#This Row],[CONSUMO]]</f>
        <v>5.59</v>
      </c>
      <c r="M4671" s="50">
        <f>Tabela6[[#This Row],[KM ATUAL]]-E4616</f>
        <v>1082406</v>
      </c>
      <c r="N4671" s="51">
        <f>Tabela6[[#This Row],[KM Rodados ]]/Tabela6[[#This Row],[CONSUMO]]</f>
        <v>3211.5918120291603</v>
      </c>
    </row>
    <row r="4672" spans="1:14" x14ac:dyDescent="0.25">
      <c r="A4672" s="47">
        <v>15485</v>
      </c>
      <c r="B4672" s="78">
        <v>45436</v>
      </c>
      <c r="C4672" s="47" t="s">
        <v>14</v>
      </c>
      <c r="D4672" s="49" t="s">
        <v>255</v>
      </c>
      <c r="E4672" s="47">
        <v>304082</v>
      </c>
      <c r="G4672" s="50" t="s">
        <v>244</v>
      </c>
      <c r="H4672" s="51">
        <v>47.360999999999997</v>
      </c>
      <c r="J4672" s="51">
        <v>5.69</v>
      </c>
      <c r="K4672" s="74">
        <f>Tabela6[[#This Row],[CONSUMO]]*Tabela6[[#This Row],[VALOR UNIT]]-Tabela6[[#This Row],[DESCONTO]]</f>
        <v>269.48408999999998</v>
      </c>
      <c r="L4672" s="53">
        <f>Tabela6[[#This Row],[CUSTO TOTAL]]/Tabela6[[#This Row],[CONSUMO]]</f>
        <v>5.6899999999999995</v>
      </c>
      <c r="M4672" s="50">
        <f>Tabela6[[#This Row],[KM ATUAL]]-E4616</f>
        <v>273605</v>
      </c>
      <c r="N4672" s="51">
        <f>Tabela6[[#This Row],[KM Rodados ]]/Tabela6[[#This Row],[CONSUMO]]</f>
        <v>5777.0106205527754</v>
      </c>
    </row>
    <row r="4673" spans="1:14" x14ac:dyDescent="0.25">
      <c r="A4673" s="47">
        <v>265500</v>
      </c>
      <c r="B4673" s="78">
        <v>45436</v>
      </c>
      <c r="C4673" s="47" t="s">
        <v>15</v>
      </c>
      <c r="D4673" s="49" t="s">
        <v>262</v>
      </c>
      <c r="G4673" s="50" t="s">
        <v>241</v>
      </c>
      <c r="H4673" s="51">
        <v>21.199000000000002</v>
      </c>
      <c r="I4673" s="49">
        <v>7.63</v>
      </c>
      <c r="J4673" s="51">
        <v>3.69</v>
      </c>
      <c r="K4673" s="74">
        <f>Tabela6[[#This Row],[CONSUMO]]*Tabela6[[#This Row],[VALOR UNIT]]-Tabela6[[#This Row],[DESCONTO]]</f>
        <v>70.594310000000007</v>
      </c>
      <c r="L4673" s="53">
        <f>Tabela6[[#This Row],[CUSTO TOTAL]]/Tabela6[[#This Row],[CONSUMO]]</f>
        <v>3.3300773621397237</v>
      </c>
      <c r="M4673" s="50">
        <f>Tabela6[[#This Row],[KM ATUAL]]-E4617</f>
        <v>-41037</v>
      </c>
      <c r="N4673" s="51">
        <f>Tabela6[[#This Row],[KM Rodados ]]/Tabela6[[#This Row],[CONSUMO]]</f>
        <v>-1935.7988584367185</v>
      </c>
    </row>
    <row r="4674" spans="1:14" x14ac:dyDescent="0.25">
      <c r="A4674" s="47">
        <v>15377</v>
      </c>
      <c r="B4674" s="78">
        <v>45436</v>
      </c>
      <c r="C4674" s="47" t="s">
        <v>18</v>
      </c>
      <c r="D4674" s="49" t="s">
        <v>255</v>
      </c>
      <c r="E4674" s="47">
        <v>360260</v>
      </c>
      <c r="G4674" s="50" t="s">
        <v>89</v>
      </c>
      <c r="H4674" s="51">
        <v>79.17</v>
      </c>
      <c r="J4674" s="51">
        <v>6.26</v>
      </c>
      <c r="K4674" s="74">
        <f>Tabela6[[#This Row],[CONSUMO]]*Tabela6[[#This Row],[VALOR UNIT]]-Tabela6[[#This Row],[DESCONTO]]</f>
        <v>495.60419999999999</v>
      </c>
      <c r="L4674" s="53">
        <f>Tabela6[[#This Row],[CUSTO TOTAL]]/Tabela6[[#This Row],[CONSUMO]]</f>
        <v>6.26</v>
      </c>
      <c r="M4674" s="50">
        <f>Tabela6[[#This Row],[KM ATUAL]]-E4618</f>
        <v>332143</v>
      </c>
      <c r="N4674" s="51">
        <f>Tabela6[[#This Row],[KM Rodados ]]/Tabela6[[#This Row],[CONSUMO]]</f>
        <v>4195.3138815207776</v>
      </c>
    </row>
    <row r="4675" spans="1:14" x14ac:dyDescent="0.25">
      <c r="A4675" s="47">
        <v>265706</v>
      </c>
      <c r="B4675" s="78">
        <v>45436</v>
      </c>
      <c r="C4675" s="47" t="s">
        <v>40</v>
      </c>
      <c r="D4675" s="49" t="s">
        <v>262</v>
      </c>
      <c r="E4675" s="47">
        <v>205920</v>
      </c>
      <c r="G4675" s="50" t="s">
        <v>244</v>
      </c>
      <c r="H4675" s="51">
        <v>35.790999999999997</v>
      </c>
      <c r="J4675" s="51">
        <v>5.69</v>
      </c>
      <c r="K4675" s="74">
        <f>Tabela6[[#This Row],[CONSUMO]]*Tabela6[[#This Row],[VALOR UNIT]]-Tabela6[[#This Row],[DESCONTO]]</f>
        <v>203.65079</v>
      </c>
      <c r="L4675" s="53">
        <f>Tabela6[[#This Row],[CUSTO TOTAL]]/Tabela6[[#This Row],[CONSUMO]]</f>
        <v>5.69</v>
      </c>
      <c r="M4675" s="50">
        <f>Tabela6[[#This Row],[KM ATUAL]]-E4619</f>
        <v>177803</v>
      </c>
      <c r="N4675" s="51">
        <f>Tabela6[[#This Row],[KM Rodados ]]/Tabela6[[#This Row],[CONSUMO]]</f>
        <v>4967.8131373809065</v>
      </c>
    </row>
    <row r="4676" spans="1:14" x14ac:dyDescent="0.25">
      <c r="A4676" s="47">
        <v>216595</v>
      </c>
      <c r="B4676" s="78">
        <v>45436</v>
      </c>
      <c r="C4676" s="47" t="s">
        <v>40</v>
      </c>
      <c r="D4676" s="49" t="s">
        <v>263</v>
      </c>
      <c r="E4676" s="47">
        <v>205496</v>
      </c>
      <c r="G4676" s="50" t="s">
        <v>244</v>
      </c>
      <c r="H4676" s="51">
        <v>29.111000000000001</v>
      </c>
      <c r="J4676" s="51">
        <v>5.79</v>
      </c>
      <c r="K4676" s="74">
        <f>Tabela6[[#This Row],[CONSUMO]]*Tabela6[[#This Row],[VALOR UNIT]]-Tabela6[[#This Row],[DESCONTO]]</f>
        <v>168.55269000000001</v>
      </c>
      <c r="L4676" s="53">
        <f>Tabela6[[#This Row],[CUSTO TOTAL]]/Tabela6[[#This Row],[CONSUMO]]</f>
        <v>5.79</v>
      </c>
      <c r="M4676" s="50">
        <f>Tabela6[[#This Row],[KM ATUAL]]-E4620</f>
        <v>-372848</v>
      </c>
      <c r="N4676" s="51">
        <f>Tabela6[[#This Row],[KM Rodados ]]/Tabela6[[#This Row],[CONSUMO]]</f>
        <v>-12807.804609941259</v>
      </c>
    </row>
    <row r="4677" spans="1:14" x14ac:dyDescent="0.25">
      <c r="A4677" s="47">
        <v>479691</v>
      </c>
      <c r="B4677" s="78">
        <v>45437</v>
      </c>
      <c r="C4677" s="47" t="s">
        <v>70</v>
      </c>
      <c r="D4677" s="49" t="s">
        <v>333</v>
      </c>
      <c r="E4677" s="47">
        <v>284752</v>
      </c>
      <c r="G4677" s="50" t="s">
        <v>89</v>
      </c>
      <c r="H4677" s="51">
        <v>510</v>
      </c>
      <c r="J4677" s="51">
        <v>5.59</v>
      </c>
      <c r="K4677" s="74">
        <f>Tabela6[[#This Row],[CONSUMO]]*Tabela6[[#This Row],[VALOR UNIT]]-Tabela6[[#This Row],[DESCONTO]]</f>
        <v>2850.9</v>
      </c>
      <c r="L4677" s="53">
        <f>Tabela6[[#This Row],[CUSTO TOTAL]]/Tabela6[[#This Row],[CONSUMO]]</f>
        <v>5.59</v>
      </c>
      <c r="M4677" s="50">
        <f>Tabela6[[#This Row],[KM ATUAL]]-E4622</f>
        <v>3594</v>
      </c>
      <c r="N4677" s="51">
        <f>Tabela6[[#This Row],[KM Rodados ]]/Tabela6[[#This Row],[CONSUMO]]</f>
        <v>7.0470588235294116</v>
      </c>
    </row>
    <row r="4678" spans="1:14" x14ac:dyDescent="0.25">
      <c r="A4678" s="47">
        <v>804089</v>
      </c>
      <c r="B4678" s="78">
        <v>45437</v>
      </c>
      <c r="C4678" s="47" t="s">
        <v>19</v>
      </c>
      <c r="D4678" s="49" t="s">
        <v>390</v>
      </c>
      <c r="E4678" s="47">
        <v>376453</v>
      </c>
      <c r="G4678" s="50" t="s">
        <v>89</v>
      </c>
      <c r="H4678" s="51">
        <v>115.45</v>
      </c>
      <c r="J4678" s="51">
        <v>5.5</v>
      </c>
      <c r="K4678" s="74">
        <f>Tabela6[[#This Row],[CONSUMO]]*Tabela6[[#This Row],[VALOR UNIT]]-Tabela6[[#This Row],[DESCONTO]]</f>
        <v>634.97500000000002</v>
      </c>
      <c r="L4678" s="53">
        <f>Tabela6[[#This Row],[CUSTO TOTAL]]/Tabela6[[#This Row],[CONSUMO]]</f>
        <v>5.5</v>
      </c>
      <c r="M4678" s="50">
        <f>Tabela6[[#This Row],[KM ATUAL]]-E4623</f>
        <v>376453</v>
      </c>
      <c r="N4678" s="51">
        <f>Tabela6[[#This Row],[KM Rodados ]]/Tabela6[[#This Row],[CONSUMO]]</f>
        <v>3260.744911216977</v>
      </c>
    </row>
    <row r="4679" spans="1:14" x14ac:dyDescent="0.25">
      <c r="A4679" s="47">
        <v>726112</v>
      </c>
      <c r="B4679" s="78">
        <v>45438</v>
      </c>
      <c r="C4679" s="47" t="s">
        <v>358</v>
      </c>
      <c r="D4679" s="49" t="s">
        <v>363</v>
      </c>
      <c r="E4679" s="47">
        <v>852143</v>
      </c>
      <c r="G4679" s="50" t="s">
        <v>89</v>
      </c>
      <c r="H4679" s="51">
        <v>452</v>
      </c>
      <c r="J4679" s="51">
        <v>5.45</v>
      </c>
      <c r="K4679" s="74">
        <f>Tabela6[[#This Row],[CONSUMO]]*Tabela6[[#This Row],[VALOR UNIT]]-Tabela6[[#This Row],[DESCONTO]]</f>
        <v>2463.4</v>
      </c>
      <c r="L4679" s="53">
        <f>Tabela6[[#This Row],[CUSTO TOTAL]]/Tabela6[[#This Row],[CONSUMO]]</f>
        <v>5.45</v>
      </c>
      <c r="M4679" s="50" t="e">
        <f>Tabela6[[#This Row],[KM ATUAL]]-#REF!</f>
        <v>#REF!</v>
      </c>
      <c r="N4679" s="51" t="e">
        <f>Tabela6[[#This Row],[KM Rodados ]]/Tabela6[[#This Row],[CONSUMO]]</f>
        <v>#REF!</v>
      </c>
    </row>
    <row r="4680" spans="1:14" x14ac:dyDescent="0.25">
      <c r="A4680" s="47">
        <v>1436455</v>
      </c>
      <c r="B4680" s="78">
        <v>45438</v>
      </c>
      <c r="C4680" s="47" t="s">
        <v>19</v>
      </c>
      <c r="D4680" s="49" t="s">
        <v>252</v>
      </c>
      <c r="E4680" s="47">
        <v>377068</v>
      </c>
      <c r="G4680" s="50" t="s">
        <v>89</v>
      </c>
      <c r="H4680" s="51">
        <v>127.7</v>
      </c>
      <c r="J4680" s="51">
        <v>6.19</v>
      </c>
      <c r="K4680" s="74">
        <f>Tabela6[[#This Row],[CONSUMO]]*Tabela6[[#This Row],[VALOR UNIT]]-Tabela6[[#This Row],[DESCONTO]]</f>
        <v>790.46300000000008</v>
      </c>
      <c r="L4680" s="53">
        <f>Tabela6[[#This Row],[CUSTO TOTAL]]/Tabela6[[#This Row],[CONSUMO]]</f>
        <v>6.19</v>
      </c>
      <c r="M4680" s="50">
        <f>Tabela6[[#This Row],[KM ATUAL]]-E4625</f>
        <v>-735513</v>
      </c>
      <c r="N4680" s="51">
        <f>Tabela6[[#This Row],[KM Rodados ]]/Tabela6[[#This Row],[CONSUMO]]</f>
        <v>-5759.6945967110414</v>
      </c>
    </row>
    <row r="4681" spans="1:14" x14ac:dyDescent="0.25">
      <c r="A4681" s="47">
        <v>266206</v>
      </c>
      <c r="B4681" s="78">
        <v>45439</v>
      </c>
      <c r="C4681" s="47" t="s">
        <v>43</v>
      </c>
      <c r="D4681" s="49" t="s">
        <v>262</v>
      </c>
      <c r="E4681" s="47">
        <v>190459</v>
      </c>
      <c r="G4681" s="50" t="s">
        <v>89</v>
      </c>
      <c r="H4681" s="51">
        <v>23.25</v>
      </c>
      <c r="J4681" s="51">
        <v>6.09</v>
      </c>
      <c r="K4681" s="74">
        <f>Tabela6[[#This Row],[CONSUMO]]*Tabela6[[#This Row],[VALOR UNIT]]-Tabela6[[#This Row],[DESCONTO]]</f>
        <v>141.5925</v>
      </c>
      <c r="L4681" s="53">
        <f>Tabela6[[#This Row],[CUSTO TOTAL]]/Tabela6[[#This Row],[CONSUMO]]</f>
        <v>6.09</v>
      </c>
      <c r="M4681" s="50">
        <f>Tabela6[[#This Row],[KM ATUAL]]-E4626</f>
        <v>-389248</v>
      </c>
      <c r="N4681" s="51">
        <f>Tabela6[[#This Row],[KM Rodados ]]/Tabela6[[#This Row],[CONSUMO]]</f>
        <v>-16741.84946236559</v>
      </c>
    </row>
    <row r="4682" spans="1:14" x14ac:dyDescent="0.25">
      <c r="A4682" s="47">
        <v>402698</v>
      </c>
      <c r="B4682" s="78">
        <v>45439</v>
      </c>
      <c r="C4682" s="47" t="s">
        <v>203</v>
      </c>
      <c r="D4682" s="49" t="s">
        <v>276</v>
      </c>
      <c r="E4682" s="47">
        <v>167123</v>
      </c>
      <c r="G4682" s="50" t="s">
        <v>244</v>
      </c>
      <c r="H4682" s="51">
        <v>20.789000000000001</v>
      </c>
      <c r="J4682" s="51">
        <v>5.79</v>
      </c>
      <c r="K4682" s="74">
        <f>Tabela6[[#This Row],[CONSUMO]]*Tabela6[[#This Row],[VALOR UNIT]]-Tabela6[[#This Row],[DESCONTO]]</f>
        <v>120.36831000000001</v>
      </c>
      <c r="L4682" s="53">
        <f>Tabela6[[#This Row],[CUSTO TOTAL]]/Tabela6[[#This Row],[CONSUMO]]</f>
        <v>5.79</v>
      </c>
      <c r="M4682" s="50">
        <f>Tabela6[[#This Row],[KM ATUAL]]-E4627</f>
        <v>-547367</v>
      </c>
      <c r="N4682" s="51">
        <f>Tabela6[[#This Row],[KM Rodados ]]/Tabela6[[#This Row],[CONSUMO]]</f>
        <v>-26329.645485593341</v>
      </c>
    </row>
    <row r="4683" spans="1:14" x14ac:dyDescent="0.25">
      <c r="A4683" s="47">
        <v>266207</v>
      </c>
      <c r="B4683" s="78">
        <v>45439</v>
      </c>
      <c r="C4683" s="47" t="s">
        <v>72</v>
      </c>
      <c r="D4683" s="49" t="s">
        <v>262</v>
      </c>
      <c r="E4683" s="47">
        <v>460644</v>
      </c>
      <c r="G4683" s="50" t="s">
        <v>89</v>
      </c>
      <c r="H4683" s="51">
        <v>17.579999999999998</v>
      </c>
      <c r="J4683" s="51">
        <v>6.09</v>
      </c>
      <c r="K4683" s="74">
        <f>Tabela6[[#This Row],[CONSUMO]]*Tabela6[[#This Row],[VALOR UNIT]]-Tabela6[[#This Row],[DESCONTO]]</f>
        <v>107.06219999999999</v>
      </c>
      <c r="L4683" s="53">
        <f>Tabela6[[#This Row],[CUSTO TOTAL]]/Tabela6[[#This Row],[CONSUMO]]</f>
        <v>6.09</v>
      </c>
      <c r="M4683" s="50">
        <f>Tabela6[[#This Row],[KM ATUAL]]-E4628</f>
        <v>335946</v>
      </c>
      <c r="N4683" s="51">
        <f>Tabela6[[#This Row],[KM Rodados ]]/Tabela6[[#This Row],[CONSUMO]]</f>
        <v>19109.556313993176</v>
      </c>
    </row>
    <row r="4684" spans="1:14" x14ac:dyDescent="0.25">
      <c r="A4684" s="47">
        <v>217062</v>
      </c>
      <c r="B4684" s="78">
        <v>45439</v>
      </c>
      <c r="C4684" s="47" t="s">
        <v>71</v>
      </c>
      <c r="D4684" s="49" t="s">
        <v>263</v>
      </c>
      <c r="E4684" s="47">
        <v>175323</v>
      </c>
      <c r="G4684" s="50" t="s">
        <v>241</v>
      </c>
      <c r="H4684" s="51">
        <v>29.49</v>
      </c>
      <c r="J4684" s="51">
        <v>3.29</v>
      </c>
      <c r="K4684" s="74">
        <f>Tabela6[[#This Row],[CONSUMO]]*Tabela6[[#This Row],[VALOR UNIT]]-Tabela6[[#This Row],[DESCONTO]]</f>
        <v>97.022099999999995</v>
      </c>
      <c r="L4684" s="53">
        <f>Tabela6[[#This Row],[CUSTO TOTAL]]/Tabela6[[#This Row],[CONSUMO]]</f>
        <v>3.29</v>
      </c>
      <c r="M4684" s="50">
        <f>Tabela6[[#This Row],[KM ATUAL]]-E4629</f>
        <v>-283922</v>
      </c>
      <c r="N4684" s="51">
        <f>Tabela6[[#This Row],[KM Rodados ]]/Tabela6[[#This Row],[CONSUMO]]</f>
        <v>-9627.7382163445236</v>
      </c>
    </row>
    <row r="4685" spans="1:14" x14ac:dyDescent="0.25">
      <c r="A4685" s="47">
        <v>217061</v>
      </c>
      <c r="B4685" s="78">
        <v>45439</v>
      </c>
      <c r="C4685" s="47" t="s">
        <v>71</v>
      </c>
      <c r="D4685" s="49" t="s">
        <v>263</v>
      </c>
      <c r="E4685" s="47">
        <v>175323</v>
      </c>
      <c r="G4685" s="50" t="s">
        <v>89</v>
      </c>
      <c r="H4685" s="51">
        <v>310.61</v>
      </c>
      <c r="I4685" s="49">
        <v>46.59</v>
      </c>
      <c r="J4685" s="51">
        <v>5.94</v>
      </c>
      <c r="K4685" s="74">
        <f>Tabela6[[#This Row],[CONSUMO]]*Tabela6[[#This Row],[VALOR UNIT]]-Tabela6[[#This Row],[DESCONTO]]</f>
        <v>1798.4334000000003</v>
      </c>
      <c r="L4685" s="53">
        <f>Tabela6[[#This Row],[CUSTO TOTAL]]/Tabela6[[#This Row],[CONSUMO]]</f>
        <v>5.790004829207045</v>
      </c>
      <c r="M4685" s="50">
        <f>Tabela6[[#This Row],[KM ATUAL]]-E4630</f>
        <v>-951289</v>
      </c>
      <c r="N4685" s="51">
        <f>Tabela6[[#This Row],[KM Rodados ]]/Tabela6[[#This Row],[CONSUMO]]</f>
        <v>-3062.6476932487685</v>
      </c>
    </row>
    <row r="4686" spans="1:14" x14ac:dyDescent="0.25">
      <c r="A4686" s="47">
        <v>188600</v>
      </c>
      <c r="B4686" s="78">
        <v>45439</v>
      </c>
      <c r="C4686" s="47" t="s">
        <v>301</v>
      </c>
      <c r="D4686" s="49" t="s">
        <v>275</v>
      </c>
      <c r="E4686" s="47">
        <v>1112962</v>
      </c>
      <c r="G4686" s="50" t="s">
        <v>89</v>
      </c>
      <c r="H4686" s="51">
        <v>417.84</v>
      </c>
      <c r="J4686" s="51">
        <v>5.66</v>
      </c>
      <c r="K4686" s="74">
        <f>Tabela6[[#This Row],[CONSUMO]]*Tabela6[[#This Row],[VALOR UNIT]]-Tabela6[[#This Row],[DESCONTO]]</f>
        <v>2364.9744000000001</v>
      </c>
      <c r="L4686" s="53">
        <f>Tabela6[[#This Row],[CUSTO TOTAL]]/Tabela6[[#This Row],[CONSUMO]]</f>
        <v>5.66</v>
      </c>
      <c r="M4686" s="50">
        <f>Tabela6[[#This Row],[KM ATUAL]]-E4631</f>
        <v>-13650</v>
      </c>
      <c r="N4686" s="51">
        <f>Tabela6[[#This Row],[KM Rodados ]]/Tabela6[[#This Row],[CONSUMO]]</f>
        <v>-32.668006892590469</v>
      </c>
    </row>
    <row r="4687" spans="1:14" x14ac:dyDescent="0.25">
      <c r="A4687" s="47">
        <v>266262</v>
      </c>
      <c r="B4687" s="78">
        <v>45439</v>
      </c>
      <c r="C4687" s="47" t="s">
        <v>206</v>
      </c>
      <c r="D4687" s="49" t="s">
        <v>262</v>
      </c>
      <c r="G4687" s="50" t="s">
        <v>241</v>
      </c>
      <c r="H4687" s="51">
        <v>25.690999999999999</v>
      </c>
      <c r="I4687" s="49">
        <v>9.25</v>
      </c>
      <c r="J4687" s="51">
        <v>3.69</v>
      </c>
      <c r="K4687" s="74">
        <f>Tabela6[[#This Row],[CONSUMO]]*Tabela6[[#This Row],[VALOR UNIT]]-Tabela6[[#This Row],[DESCONTO]]</f>
        <v>85.549790000000002</v>
      </c>
      <c r="L4687" s="53">
        <f>Tabela6[[#This Row],[CUSTO TOTAL]]/Tabela6[[#This Row],[CONSUMO]]</f>
        <v>3.3299517340702973</v>
      </c>
      <c r="M4687" s="53" t="e">
        <f t="array" ref="M4687">SE</f>
        <v>#NAME?</v>
      </c>
      <c r="N4687" s="49" t="e">
        <f>Tabela6[[#This Row],[KM Rodados ]]/Tabela6[[#This Row],[CONSUMO]]</f>
        <v>#NAME?</v>
      </c>
    </row>
    <row r="4688" spans="1:14" x14ac:dyDescent="0.25">
      <c r="A4688" s="47">
        <v>2115198</v>
      </c>
      <c r="B4688" s="78">
        <v>45439</v>
      </c>
      <c r="C4688" s="47" t="s">
        <v>19</v>
      </c>
      <c r="D4688" s="49" t="s">
        <v>252</v>
      </c>
      <c r="E4688" s="47">
        <v>377190</v>
      </c>
      <c r="G4688" s="50" t="s">
        <v>241</v>
      </c>
      <c r="H4688" s="51">
        <v>18.3</v>
      </c>
      <c r="J4688" s="51">
        <v>2.8</v>
      </c>
      <c r="K4688" s="74">
        <f>Tabela6[[#This Row],[CONSUMO]]*Tabela6[[#This Row],[VALOR UNIT]]-Tabela6[[#This Row],[DESCONTO]]</f>
        <v>51.24</v>
      </c>
      <c r="L4688" s="53">
        <f>Tabela6[[#This Row],[CUSTO TOTAL]]/Tabela6[[#This Row],[CONSUMO]]</f>
        <v>2.8</v>
      </c>
      <c r="M4688" s="50">
        <f>Tabela6[[#This Row],[KM ATUAL]]-E4633</f>
        <v>17528</v>
      </c>
      <c r="N4688" s="51">
        <f>Tabela6[[#This Row],[KM Rodados ]]/Tabela6[[#This Row],[CONSUMO]]</f>
        <v>957.81420765027315</v>
      </c>
    </row>
    <row r="4689" spans="1:14" x14ac:dyDescent="0.25">
      <c r="A4689" s="47">
        <v>241277</v>
      </c>
      <c r="B4689" s="78">
        <v>45439</v>
      </c>
      <c r="C4689" s="47" t="s">
        <v>23</v>
      </c>
      <c r="D4689" s="49" t="s">
        <v>253</v>
      </c>
      <c r="E4689" s="47">
        <v>277157</v>
      </c>
      <c r="G4689" s="50" t="s">
        <v>89</v>
      </c>
      <c r="H4689" s="51">
        <v>119.13</v>
      </c>
      <c r="J4689" s="51">
        <v>6.09</v>
      </c>
      <c r="K4689" s="74">
        <f>Tabela6[[#This Row],[CONSUMO]]*Tabela6[[#This Row],[VALOR UNIT]]-Tabela6[[#This Row],[DESCONTO]]</f>
        <v>725.50169999999991</v>
      </c>
      <c r="L4689" s="53">
        <f>Tabela6[[#This Row],[CUSTO TOTAL]]/Tabela6[[#This Row],[CONSUMO]]</f>
        <v>6.09</v>
      </c>
      <c r="M4689" s="50">
        <f>Tabela6[[#This Row],[KM ATUAL]]-E4634</f>
        <v>73024</v>
      </c>
      <c r="N4689" s="51">
        <f>Tabela6[[#This Row],[KM Rodados ]]/Tabela6[[#This Row],[CONSUMO]]</f>
        <v>612.97741962561906</v>
      </c>
    </row>
    <row r="4690" spans="1:14" x14ac:dyDescent="0.25">
      <c r="A4690" s="47">
        <v>265571</v>
      </c>
      <c r="B4690" s="78">
        <v>45439</v>
      </c>
      <c r="C4690" s="47" t="s">
        <v>23</v>
      </c>
      <c r="D4690" s="49" t="s">
        <v>253</v>
      </c>
      <c r="E4690" s="47">
        <v>282205</v>
      </c>
      <c r="G4690" s="50" t="s">
        <v>89</v>
      </c>
      <c r="H4690" s="51">
        <v>113.42</v>
      </c>
      <c r="J4690" s="51">
        <v>6.09</v>
      </c>
      <c r="K4690" s="74">
        <f>Tabela6[[#This Row],[CONSUMO]]*Tabela6[[#This Row],[VALOR UNIT]]-Tabela6[[#This Row],[DESCONTO]]</f>
        <v>690.7278</v>
      </c>
      <c r="L4690" s="53">
        <f>Tabela6[[#This Row],[CUSTO TOTAL]]/Tabela6[[#This Row],[CONSUMO]]</f>
        <v>6.09</v>
      </c>
      <c r="M4690" s="53" t="e">
        <f t="array" ref="M4690">SE</f>
        <v>#NAME?</v>
      </c>
      <c r="N4690" s="49" t="e">
        <f>Tabela6[[#This Row],[KM Rodados ]]/Tabela6[[#This Row],[CONSUMO]]</f>
        <v>#NAME?</v>
      </c>
    </row>
    <row r="4691" spans="1:14" x14ac:dyDescent="0.25">
      <c r="A4691" s="47">
        <v>269894</v>
      </c>
      <c r="B4691" s="78">
        <v>45440</v>
      </c>
      <c r="C4691" s="47" t="s">
        <v>358</v>
      </c>
      <c r="D4691" s="49" t="s">
        <v>374</v>
      </c>
      <c r="E4691" s="47">
        <v>853434</v>
      </c>
      <c r="G4691" s="50" t="s">
        <v>89</v>
      </c>
      <c r="H4691" s="51">
        <v>430</v>
      </c>
      <c r="J4691" s="51">
        <v>5.65</v>
      </c>
      <c r="K4691" s="74">
        <f>Tabela6[[#This Row],[CONSUMO]]*Tabela6[[#This Row],[VALOR UNIT]]-Tabela6[[#This Row],[DESCONTO]]</f>
        <v>2429.5</v>
      </c>
      <c r="L4691" s="53">
        <f>Tabela6[[#This Row],[CUSTO TOTAL]]/Tabela6[[#This Row],[CONSUMO]]</f>
        <v>5.65</v>
      </c>
      <c r="M4691" s="50" t="e">
        <f>Tabela6[[#This Row],[KM ATUAL]]-#REF!</f>
        <v>#REF!</v>
      </c>
      <c r="N4691" s="51" t="e">
        <f>Tabela6[[#This Row],[KM Rodados ]]/Tabela6[[#This Row],[CONSUMO]]</f>
        <v>#REF!</v>
      </c>
    </row>
    <row r="4692" spans="1:14" x14ac:dyDescent="0.25">
      <c r="A4692" s="47">
        <v>242549</v>
      </c>
      <c r="B4692" s="78">
        <v>45440</v>
      </c>
      <c r="C4692" s="47" t="s">
        <v>39</v>
      </c>
      <c r="D4692" s="49" t="s">
        <v>253</v>
      </c>
      <c r="E4692" s="47">
        <v>125194</v>
      </c>
      <c r="G4692" s="50" t="s">
        <v>89</v>
      </c>
      <c r="H4692" s="51">
        <v>90.44</v>
      </c>
      <c r="J4692" s="51">
        <v>6.09</v>
      </c>
      <c r="K4692" s="74">
        <f>Tabela6[[#This Row],[CONSUMO]]*Tabela6[[#This Row],[VALOR UNIT]]-Tabela6[[#This Row],[DESCONTO]]</f>
        <v>550.77959999999996</v>
      </c>
      <c r="L4692" s="53">
        <f>Tabela6[[#This Row],[CUSTO TOTAL]]/Tabela6[[#This Row],[CONSUMO]]</f>
        <v>6.09</v>
      </c>
      <c r="M4692" s="50">
        <f>Tabela6[[#This Row],[KM ATUAL]]-E4636</f>
        <v>-157322</v>
      </c>
      <c r="N4692" s="51">
        <f>Tabela6[[#This Row],[KM Rodados ]]/Tabela6[[#This Row],[CONSUMO]]</f>
        <v>-1739.5179124281292</v>
      </c>
    </row>
    <row r="4693" spans="1:14" x14ac:dyDescent="0.25">
      <c r="A4693" s="47">
        <v>858278</v>
      </c>
      <c r="B4693" s="78">
        <v>45440</v>
      </c>
      <c r="C4693" s="47" t="s">
        <v>70</v>
      </c>
      <c r="D4693" s="49" t="s">
        <v>378</v>
      </c>
      <c r="E4693" s="47">
        <v>286766</v>
      </c>
      <c r="G4693" s="50" t="s">
        <v>89</v>
      </c>
      <c r="H4693" s="51">
        <v>664</v>
      </c>
      <c r="J4693" s="51">
        <v>5.69</v>
      </c>
      <c r="K4693" s="74">
        <f>Tabela6[[#This Row],[CONSUMO]]*Tabela6[[#This Row],[VALOR UNIT]]-Tabela6[[#This Row],[DESCONTO]]</f>
        <v>3778.1600000000003</v>
      </c>
      <c r="L4693" s="53">
        <f>Tabela6[[#This Row],[CUSTO TOTAL]]/Tabela6[[#This Row],[CONSUMO]]</f>
        <v>5.69</v>
      </c>
      <c r="M4693" s="50">
        <f>Tabela6[[#This Row],[KM ATUAL]]-E4637</f>
        <v>120720</v>
      </c>
      <c r="N4693" s="51">
        <f>Tabela6[[#This Row],[KM Rodados ]]/Tabela6[[#This Row],[CONSUMO]]</f>
        <v>181.80722891566265</v>
      </c>
    </row>
    <row r="4694" spans="1:14" x14ac:dyDescent="0.25">
      <c r="A4694" s="47">
        <v>266384</v>
      </c>
      <c r="B4694" s="78">
        <v>45440</v>
      </c>
      <c r="C4694" s="47" t="s">
        <v>72</v>
      </c>
      <c r="D4694" s="49" t="s">
        <v>262</v>
      </c>
      <c r="E4694" s="47">
        <v>460988</v>
      </c>
      <c r="G4694" s="50" t="s">
        <v>89</v>
      </c>
      <c r="H4694" s="51">
        <v>36.67</v>
      </c>
      <c r="J4694" s="51">
        <v>6.09</v>
      </c>
      <c r="K4694" s="74">
        <f>Tabela6[[#This Row],[CONSUMO]]*Tabela6[[#This Row],[VALOR UNIT]]-Tabela6[[#This Row],[DESCONTO]]</f>
        <v>223.3203</v>
      </c>
      <c r="L4694" s="53">
        <f>Tabela6[[#This Row],[CUSTO TOTAL]]/Tabela6[[#This Row],[CONSUMO]]</f>
        <v>6.09</v>
      </c>
      <c r="M4694" s="50">
        <f>Tabela6[[#This Row],[KM ATUAL]]-E4638</f>
        <v>287859</v>
      </c>
      <c r="N4694" s="51">
        <f>Tabela6[[#This Row],[KM Rodados ]]/Tabela6[[#This Row],[CONSUMO]]</f>
        <v>7849.9863648759201</v>
      </c>
    </row>
    <row r="4695" spans="1:14" x14ac:dyDescent="0.25">
      <c r="A4695" s="47">
        <v>804686</v>
      </c>
      <c r="B4695" s="78">
        <v>45440</v>
      </c>
      <c r="C4695" s="47" t="s">
        <v>10</v>
      </c>
      <c r="D4695" s="49" t="s">
        <v>390</v>
      </c>
      <c r="E4695" s="47">
        <v>762980</v>
      </c>
      <c r="G4695" s="50" t="s">
        <v>89</v>
      </c>
      <c r="H4695" s="51">
        <v>143.63200000000001</v>
      </c>
      <c r="J4695" s="51">
        <v>5.51</v>
      </c>
      <c r="K4695" s="74">
        <f>Tabela6[[#This Row],[CONSUMO]]*Tabela6[[#This Row],[VALOR UNIT]]-Tabela6[[#This Row],[DESCONTO]]</f>
        <v>791.41232000000002</v>
      </c>
      <c r="L4695" s="53">
        <f>Tabela6[[#This Row],[CUSTO TOTAL]]/Tabela6[[#This Row],[CONSUMO]]</f>
        <v>5.51</v>
      </c>
      <c r="M4695" s="50">
        <f>Tabela6[[#This Row],[KM ATUAL]]-E4639</f>
        <v>589851</v>
      </c>
      <c r="N4695" s="51">
        <f>Tabela6[[#This Row],[KM Rodados ]]/Tabela6[[#This Row],[CONSUMO]]</f>
        <v>4106.6823549069841</v>
      </c>
    </row>
    <row r="4696" spans="1:14" x14ac:dyDescent="0.25">
      <c r="A4696" s="47">
        <v>2726774</v>
      </c>
      <c r="B4696" s="78">
        <v>45440</v>
      </c>
      <c r="C4696" s="47" t="s">
        <v>10</v>
      </c>
      <c r="D4696" s="49" t="s">
        <v>252</v>
      </c>
      <c r="E4696" s="47">
        <v>763727</v>
      </c>
      <c r="G4696" s="50" t="s">
        <v>89</v>
      </c>
      <c r="H4696" s="51">
        <v>196.02</v>
      </c>
      <c r="J4696" s="51">
        <v>5.95</v>
      </c>
      <c r="K4696" s="74">
        <f>Tabela6[[#This Row],[CONSUMO]]*Tabela6[[#This Row],[VALOR UNIT]]-Tabela6[[#This Row],[DESCONTO]]</f>
        <v>1166.3190000000002</v>
      </c>
      <c r="L4696" s="53">
        <f>Tabela6[[#This Row],[CUSTO TOTAL]]/Tabela6[[#This Row],[CONSUMO]]</f>
        <v>5.9500000000000011</v>
      </c>
      <c r="M4696" s="50">
        <f>Tabela6[[#This Row],[KM ATUAL]]-E4640</f>
        <v>-349006</v>
      </c>
      <c r="N4696" s="51">
        <f>Tabela6[[#This Row],[KM Rodados ]]/Tabela6[[#This Row],[CONSUMO]]</f>
        <v>-1780.4611774308744</v>
      </c>
    </row>
    <row r="4697" spans="1:14" x14ac:dyDescent="0.25">
      <c r="A4697" s="47">
        <v>242614</v>
      </c>
      <c r="B4697" s="78">
        <v>45440</v>
      </c>
      <c r="C4697" s="47" t="s">
        <v>12</v>
      </c>
      <c r="D4697" s="49" t="s">
        <v>253</v>
      </c>
      <c r="E4697" s="47">
        <v>242614</v>
      </c>
      <c r="G4697" s="50" t="s">
        <v>89</v>
      </c>
      <c r="H4697" s="51">
        <v>100.16</v>
      </c>
      <c r="J4697" s="51">
        <v>6.09</v>
      </c>
      <c r="K4697" s="74">
        <f>Tabela6[[#This Row],[CONSUMO]]*Tabela6[[#This Row],[VALOR UNIT]]-Tabela6[[#This Row],[DESCONTO]]</f>
        <v>609.97439999999995</v>
      </c>
      <c r="L4697" s="53">
        <f>Tabela6[[#This Row],[CUSTO TOTAL]]/Tabela6[[#This Row],[CONSUMO]]</f>
        <v>6.09</v>
      </c>
      <c r="M4697" s="50">
        <f>Tabela6[[#This Row],[KM ATUAL]]-E4641</f>
        <v>-95637</v>
      </c>
      <c r="N4697" s="51">
        <f>Tabela6[[#This Row],[KM Rodados ]]/Tabela6[[#This Row],[CONSUMO]]</f>
        <v>-954.84225239616615</v>
      </c>
    </row>
    <row r="4698" spans="1:14" x14ac:dyDescent="0.25">
      <c r="A4698" s="47" t="s">
        <v>472</v>
      </c>
      <c r="B4698" s="78">
        <v>45440</v>
      </c>
      <c r="C4698" s="47" t="s">
        <v>19</v>
      </c>
      <c r="D4698" s="49" t="s">
        <v>274</v>
      </c>
      <c r="E4698" s="47">
        <v>377.94799999999998</v>
      </c>
      <c r="G4698" s="50" t="s">
        <v>89</v>
      </c>
      <c r="H4698" s="51">
        <v>110</v>
      </c>
      <c r="J4698" s="51">
        <v>5.45</v>
      </c>
      <c r="K4698" s="74">
        <f>Tabela6[[#This Row],[CONSUMO]]*Tabela6[[#This Row],[VALOR UNIT]]-Tabela6[[#This Row],[DESCONTO]]</f>
        <v>599.5</v>
      </c>
      <c r="L4698" s="53">
        <f>Tabela6[[#This Row],[CUSTO TOTAL]]/Tabela6[[#This Row],[CONSUMO]]</f>
        <v>5.45</v>
      </c>
      <c r="M4698" s="50">
        <f>Tabela6[[#This Row],[KM ATUAL]]-E4642</f>
        <v>377.94799999999998</v>
      </c>
      <c r="N4698" s="51">
        <f>Tabela6[[#This Row],[KM Rodados ]]/Tabela6[[#This Row],[CONSUMO]]</f>
        <v>3.4358909090909089</v>
      </c>
    </row>
    <row r="4699" spans="1:14" x14ac:dyDescent="0.25">
      <c r="A4699" s="47">
        <v>417505</v>
      </c>
      <c r="B4699" s="78">
        <v>45440</v>
      </c>
      <c r="C4699" s="47" t="s">
        <v>20</v>
      </c>
      <c r="D4699" s="49" t="s">
        <v>268</v>
      </c>
      <c r="E4699" s="47">
        <v>318458</v>
      </c>
      <c r="G4699" s="50" t="s">
        <v>89</v>
      </c>
      <c r="H4699" s="51">
        <v>71.7</v>
      </c>
      <c r="J4699" s="51">
        <v>5.69</v>
      </c>
      <c r="K4699" s="74">
        <f>Tabela6[[#This Row],[CONSUMO]]*Tabela6[[#This Row],[VALOR UNIT]]-Tabela6[[#This Row],[DESCONTO]]</f>
        <v>407.97300000000007</v>
      </c>
      <c r="L4699" s="53">
        <f>Tabela6[[#This Row],[CUSTO TOTAL]]/Tabela6[[#This Row],[CONSUMO]]</f>
        <v>5.69</v>
      </c>
      <c r="M4699" s="50">
        <f>Tabela6[[#This Row],[KM ATUAL]]-E4643</f>
        <v>-3303</v>
      </c>
      <c r="N4699" s="51">
        <f>Tabela6[[#This Row],[KM Rodados ]]/Tabela6[[#This Row],[CONSUMO]]</f>
        <v>-46.06694560669456</v>
      </c>
    </row>
    <row r="4700" spans="1:14" x14ac:dyDescent="0.25">
      <c r="A4700" s="47" t="s">
        <v>470</v>
      </c>
      <c r="B4700" s="78">
        <v>45440</v>
      </c>
      <c r="C4700" s="47" t="s">
        <v>20</v>
      </c>
      <c r="D4700" s="49" t="s">
        <v>268</v>
      </c>
      <c r="E4700" s="47">
        <v>318458</v>
      </c>
      <c r="G4700" s="50" t="s">
        <v>89</v>
      </c>
      <c r="H4700" s="51">
        <v>71.7</v>
      </c>
      <c r="J4700" s="51">
        <v>5.69</v>
      </c>
      <c r="K4700" s="74">
        <f>Tabela6[[#This Row],[CONSUMO]]*Tabela6[[#This Row],[VALOR UNIT]]-Tabela6[[#This Row],[DESCONTO]]</f>
        <v>407.97300000000007</v>
      </c>
      <c r="L4700" s="53">
        <f>Tabela6[[#This Row],[CUSTO TOTAL]]/Tabela6[[#This Row],[CONSUMO]]</f>
        <v>5.69</v>
      </c>
      <c r="M4700" s="50">
        <f>Tabela6[[#This Row],[KM ATUAL]]-E4644</f>
        <v>-56443</v>
      </c>
      <c r="N4700" s="51">
        <f>Tabela6[[#This Row],[KM Rodados ]]/Tabela6[[#This Row],[CONSUMO]]</f>
        <v>-787.21059972105991</v>
      </c>
    </row>
    <row r="4701" spans="1:14" x14ac:dyDescent="0.25">
      <c r="A4701" s="47">
        <v>786306</v>
      </c>
      <c r="B4701" s="78">
        <v>45440</v>
      </c>
      <c r="C4701" s="47" t="s">
        <v>40</v>
      </c>
      <c r="D4701" s="49" t="s">
        <v>271</v>
      </c>
      <c r="E4701" s="47">
        <v>206354</v>
      </c>
      <c r="G4701" s="50" t="s">
        <v>244</v>
      </c>
      <c r="H4701" s="51">
        <v>36.640999999999998</v>
      </c>
      <c r="J4701" s="51">
        <v>5.59</v>
      </c>
      <c r="K4701" s="74">
        <f>Tabela6[[#This Row],[CONSUMO]]*Tabela6[[#This Row],[VALOR UNIT]]-Tabela6[[#This Row],[DESCONTO]]</f>
        <v>204.82318999999998</v>
      </c>
      <c r="L4701" s="53">
        <f>Tabela6[[#This Row],[CUSTO TOTAL]]/Tabela6[[#This Row],[CONSUMO]]</f>
        <v>5.59</v>
      </c>
      <c r="M4701" s="50">
        <f>Tabela6[[#This Row],[KM ATUAL]]-E4645</f>
        <v>-69683</v>
      </c>
      <c r="N4701" s="51">
        <f>Tabela6[[#This Row],[KM Rodados ]]/Tabela6[[#This Row],[CONSUMO]]</f>
        <v>-1901.7766982342187</v>
      </c>
    </row>
    <row r="4702" spans="1:14" x14ac:dyDescent="0.25">
      <c r="A4702" s="47">
        <v>242371</v>
      </c>
      <c r="B4702" s="78">
        <v>45440</v>
      </c>
      <c r="C4702" s="47" t="s">
        <v>315</v>
      </c>
      <c r="D4702" s="49" t="s">
        <v>253</v>
      </c>
      <c r="E4702" s="47">
        <v>242371</v>
      </c>
      <c r="G4702" s="50" t="s">
        <v>89</v>
      </c>
      <c r="H4702" s="51">
        <v>55.1</v>
      </c>
      <c r="J4702" s="51">
        <v>6.09</v>
      </c>
      <c r="K4702" s="74">
        <f>Tabela6[[#This Row],[CONSUMO]]*Tabela6[[#This Row],[VALOR UNIT]]-Tabela6[[#This Row],[DESCONTO]]</f>
        <v>335.55900000000003</v>
      </c>
      <c r="L4702" s="53">
        <f>Tabela6[[#This Row],[CUSTO TOTAL]]/Tabela6[[#This Row],[CONSUMO]]</f>
        <v>6.0900000000000007</v>
      </c>
      <c r="M4702" s="50">
        <f>Tabela6[[#This Row],[KM ATUAL]]-E4646</f>
        <v>37851</v>
      </c>
      <c r="N4702" s="51">
        <f>Tabela6[[#This Row],[KM Rodados ]]/Tabela6[[#This Row],[CONSUMO]]</f>
        <v>686.9509981851179</v>
      </c>
    </row>
    <row r="4703" spans="1:14" x14ac:dyDescent="0.25">
      <c r="A4703" s="47">
        <v>697320</v>
      </c>
      <c r="B4703" s="78">
        <v>45440</v>
      </c>
      <c r="C4703" s="47" t="s">
        <v>401</v>
      </c>
      <c r="D4703" s="49" t="s">
        <v>357</v>
      </c>
      <c r="E4703" s="47">
        <v>29912</v>
      </c>
      <c r="G4703" s="50" t="s">
        <v>89</v>
      </c>
      <c r="H4703" s="51">
        <v>136.96</v>
      </c>
      <c r="J4703" s="51">
        <v>5.7690000000000001</v>
      </c>
      <c r="K4703" s="74">
        <f>Tabela6[[#This Row],[CONSUMO]]*Tabela6[[#This Row],[VALOR UNIT]]-Tabela6[[#This Row],[DESCONTO]]</f>
        <v>790.12224000000003</v>
      </c>
      <c r="L4703" s="53">
        <f>Tabela6[[#This Row],[CUSTO TOTAL]]/Tabela6[[#This Row],[CONSUMO]]</f>
        <v>5.7690000000000001</v>
      </c>
      <c r="M4703" s="50">
        <f>Tabela6[[#This Row],[KM ATUAL]]-E4647</f>
        <v>-1185</v>
      </c>
      <c r="N4703" s="51">
        <f>Tabela6[[#This Row],[KM Rodados ]]/Tabela6[[#This Row],[CONSUMO]]</f>
        <v>-8.6521612149532707</v>
      </c>
    </row>
    <row r="4704" spans="1:14" x14ac:dyDescent="0.25">
      <c r="A4704" s="47">
        <v>217363</v>
      </c>
      <c r="B4704" s="78">
        <v>45441</v>
      </c>
      <c r="C4704" s="47" t="s">
        <v>43</v>
      </c>
      <c r="D4704" s="49" t="s">
        <v>263</v>
      </c>
      <c r="E4704" s="47">
        <v>191084</v>
      </c>
      <c r="G4704" s="50" t="s">
        <v>89</v>
      </c>
      <c r="H4704" s="51">
        <v>24.681000000000001</v>
      </c>
      <c r="J4704" s="51">
        <v>5.94</v>
      </c>
      <c r="K4704" s="74">
        <f>Tabela6[[#This Row],[CONSUMO]]*Tabela6[[#This Row],[VALOR UNIT]]-Tabela6[[#This Row],[DESCONTO]]</f>
        <v>146.60514000000001</v>
      </c>
      <c r="L4704" s="53">
        <f>Tabela6[[#This Row],[CUSTO TOTAL]]/Tabela6[[#This Row],[CONSUMO]]</f>
        <v>5.94</v>
      </c>
      <c r="M4704" s="50">
        <f>Tabela6[[#This Row],[KM ATUAL]]-E4648</f>
        <v>159987</v>
      </c>
      <c r="N4704" s="51">
        <f>Tabela6[[#This Row],[KM Rodados ]]/Tabela6[[#This Row],[CONSUMO]]</f>
        <v>6482.1927798711558</v>
      </c>
    </row>
    <row r="4705" spans="1:14" x14ac:dyDescent="0.25">
      <c r="A4705" s="47">
        <v>17190</v>
      </c>
      <c r="B4705" s="78">
        <v>45441</v>
      </c>
      <c r="C4705" s="47" t="s">
        <v>43</v>
      </c>
      <c r="D4705" s="49" t="s">
        <v>262</v>
      </c>
      <c r="G4705" s="50" t="s">
        <v>89</v>
      </c>
      <c r="H4705" s="51">
        <v>53.13</v>
      </c>
      <c r="J4705" s="51">
        <v>4.4000000000000004</v>
      </c>
      <c r="K4705" s="74">
        <f>Tabela6[[#This Row],[CONSUMO]]*Tabela6[[#This Row],[VALOR UNIT]]-Tabela6[[#This Row],[DESCONTO]]</f>
        <v>233.77200000000002</v>
      </c>
      <c r="L4705" s="53">
        <f>Tabela6[[#This Row],[CUSTO TOTAL]]/Tabela6[[#This Row],[CONSUMO]]</f>
        <v>4.4000000000000004</v>
      </c>
      <c r="M4705" s="50">
        <f>Tabela6[[#This Row],[KM ATUAL]]-E4649</f>
        <v>-29009</v>
      </c>
      <c r="N4705" s="51">
        <f>Tabela6[[#This Row],[KM Rodados ]]/Tabela6[[#This Row],[CONSUMO]]</f>
        <v>-546.00037643515907</v>
      </c>
    </row>
    <row r="4706" spans="1:14" x14ac:dyDescent="0.25">
      <c r="A4706" s="47" t="s">
        <v>471</v>
      </c>
      <c r="B4706" s="78">
        <v>45441</v>
      </c>
      <c r="C4706" s="47" t="s">
        <v>215</v>
      </c>
      <c r="D4706" s="49" t="s">
        <v>269</v>
      </c>
      <c r="G4706" s="50" t="s">
        <v>244</v>
      </c>
      <c r="H4706" s="51">
        <v>34.15</v>
      </c>
      <c r="J4706" s="51">
        <v>5.69</v>
      </c>
      <c r="K4706" s="74">
        <f>Tabela6[[#This Row],[CONSUMO]]*Tabela6[[#This Row],[VALOR UNIT]]-Tabela6[[#This Row],[DESCONTO]]</f>
        <v>194.3135</v>
      </c>
      <c r="L4706" s="53">
        <f>Tabela6[[#This Row],[CUSTO TOTAL]]/Tabela6[[#This Row],[CONSUMO]]</f>
        <v>5.69</v>
      </c>
      <c r="M4706" s="50">
        <f>Tabela6[[#This Row],[KM ATUAL]]-E4650</f>
        <v>-581021</v>
      </c>
      <c r="N4706" s="51">
        <f>Tabela6[[#This Row],[KM Rodados ]]/Tabela6[[#This Row],[CONSUMO]]</f>
        <v>-17013.792093704247</v>
      </c>
    </row>
    <row r="4707" spans="1:14" x14ac:dyDescent="0.25">
      <c r="A4707" s="47">
        <v>220816</v>
      </c>
      <c r="B4707" s="78">
        <v>45441</v>
      </c>
      <c r="C4707" s="47" t="s">
        <v>10</v>
      </c>
      <c r="D4707" s="49" t="s">
        <v>453</v>
      </c>
      <c r="E4707" s="47">
        <v>764528</v>
      </c>
      <c r="G4707" s="50" t="s">
        <v>89</v>
      </c>
      <c r="H4707" s="51">
        <v>188.99</v>
      </c>
      <c r="J4707" s="51">
        <v>5.83</v>
      </c>
      <c r="K4707" s="74">
        <f>Tabela6[[#This Row],[CONSUMO]]*Tabela6[[#This Row],[VALOR UNIT]]-Tabela6[[#This Row],[DESCONTO]]</f>
        <v>1101.8117</v>
      </c>
      <c r="L4707" s="53">
        <f>Tabela6[[#This Row],[CUSTO TOTAL]]/Tabela6[[#This Row],[CONSUMO]]</f>
        <v>5.8299999999999992</v>
      </c>
      <c r="M4707" s="50">
        <f>Tabela6[[#This Row],[KM ATUAL]]-E4651</f>
        <v>183507</v>
      </c>
      <c r="N4707" s="51">
        <f>Tabela6[[#This Row],[KM Rodados ]]/Tabela6[[#This Row],[CONSUMO]]</f>
        <v>970.98788295677014</v>
      </c>
    </row>
    <row r="4708" spans="1:14" x14ac:dyDescent="0.25">
      <c r="A4708" s="47">
        <v>266672</v>
      </c>
      <c r="B4708" s="78">
        <v>45441</v>
      </c>
      <c r="C4708" s="47" t="s">
        <v>14</v>
      </c>
      <c r="D4708" s="49" t="s">
        <v>262</v>
      </c>
      <c r="E4708" s="47">
        <v>334454</v>
      </c>
      <c r="G4708" s="50" t="s">
        <v>244</v>
      </c>
      <c r="H4708" s="51">
        <v>33.04</v>
      </c>
      <c r="J4708" s="51">
        <v>5.69</v>
      </c>
      <c r="K4708" s="74">
        <f>Tabela6[[#This Row],[CONSUMO]]*Tabela6[[#This Row],[VALOR UNIT]]-Tabela6[[#This Row],[DESCONTO]]</f>
        <v>187.99760000000001</v>
      </c>
      <c r="L4708" s="53">
        <f>Tabela6[[#This Row],[CUSTO TOTAL]]/Tabela6[[#This Row],[CONSUMO]]</f>
        <v>5.69</v>
      </c>
      <c r="M4708" s="50">
        <f>Tabela6[[#This Row],[KM ATUAL]]-E4652</f>
        <v>51238</v>
      </c>
      <c r="N4708" s="51">
        <f>Tabela6[[#This Row],[KM Rodados ]]/Tabela6[[#This Row],[CONSUMO]]</f>
        <v>1550.7869249394673</v>
      </c>
    </row>
    <row r="4709" spans="1:14" x14ac:dyDescent="0.25">
      <c r="A4709" s="47">
        <v>16623</v>
      </c>
      <c r="B4709" s="78">
        <v>45441</v>
      </c>
      <c r="C4709" s="47" t="s">
        <v>38</v>
      </c>
      <c r="D4709" s="49" t="s">
        <v>255</v>
      </c>
      <c r="E4709" s="47">
        <v>148640</v>
      </c>
      <c r="G4709" s="50" t="s">
        <v>244</v>
      </c>
      <c r="H4709" s="51">
        <v>51.2</v>
      </c>
      <c r="J4709" s="51">
        <v>5.95</v>
      </c>
      <c r="K4709" s="74">
        <f>Tabela6[[#This Row],[CONSUMO]]*Tabela6[[#This Row],[VALOR UNIT]]-Tabela6[[#This Row],[DESCONTO]]</f>
        <v>304.64000000000004</v>
      </c>
      <c r="L4709" s="53">
        <f>Tabela6[[#This Row],[CUSTO TOTAL]]/Tabela6[[#This Row],[CONSUMO]]</f>
        <v>5.95</v>
      </c>
      <c r="M4709" s="50">
        <f>Tabela6[[#This Row],[KM ATUAL]]-E4653</f>
        <v>-17891</v>
      </c>
      <c r="N4709" s="51">
        <f>Tabela6[[#This Row],[KM Rodados ]]/Tabela6[[#This Row],[CONSUMO]]</f>
        <v>-349.43359375</v>
      </c>
    </row>
    <row r="4710" spans="1:14" x14ac:dyDescent="0.25">
      <c r="A4710" s="47">
        <v>875603</v>
      </c>
      <c r="B4710" s="78">
        <v>45441</v>
      </c>
      <c r="C4710" s="47" t="s">
        <v>23</v>
      </c>
      <c r="D4710" s="49" t="s">
        <v>253</v>
      </c>
      <c r="E4710" s="47">
        <v>277665</v>
      </c>
      <c r="G4710" s="50" t="s">
        <v>89</v>
      </c>
      <c r="H4710" s="51">
        <v>137.66</v>
      </c>
      <c r="J4710" s="51">
        <v>6.09</v>
      </c>
      <c r="K4710" s="74">
        <f>Tabela6[[#This Row],[CONSUMO]]*Tabela6[[#This Row],[VALOR UNIT]]-Tabela6[[#This Row],[DESCONTO]]</f>
        <v>838.34939999999995</v>
      </c>
      <c r="L4710" s="53">
        <f>Tabela6[[#This Row],[CUSTO TOTAL]]/Tabela6[[#This Row],[CONSUMO]]</f>
        <v>6.09</v>
      </c>
      <c r="M4710" s="50">
        <f>Tabela6[[#This Row],[KM ATUAL]]-E4654</f>
        <v>103305</v>
      </c>
      <c r="N4710" s="51">
        <f>Tabela6[[#This Row],[KM Rodados ]]/Tabela6[[#This Row],[CONSUMO]]</f>
        <v>750.43585645793985</v>
      </c>
    </row>
    <row r="4711" spans="1:14" x14ac:dyDescent="0.25">
      <c r="A4711" s="47">
        <v>403293</v>
      </c>
      <c r="B4711" s="78">
        <v>45441</v>
      </c>
      <c r="C4711" s="47" t="s">
        <v>40</v>
      </c>
      <c r="D4711" s="49" t="s">
        <v>276</v>
      </c>
      <c r="E4711" s="47">
        <v>206860</v>
      </c>
      <c r="G4711" s="50" t="s">
        <v>244</v>
      </c>
      <c r="H4711" s="51">
        <v>40.070999999999998</v>
      </c>
      <c r="J4711" s="51">
        <v>5.79</v>
      </c>
      <c r="K4711" s="74">
        <f>Tabela6[[#This Row],[CONSUMO]]*Tabela6[[#This Row],[VALOR UNIT]]-Tabela6[[#This Row],[DESCONTO]]</f>
        <v>232.01109</v>
      </c>
      <c r="L4711" s="53">
        <f>Tabela6[[#This Row],[CUSTO TOTAL]]/Tabela6[[#This Row],[CONSUMO]]</f>
        <v>5.79</v>
      </c>
      <c r="M4711" s="50">
        <f>Tabela6[[#This Row],[KM ATUAL]]-E4655</f>
        <v>-224850</v>
      </c>
      <c r="N4711" s="51">
        <f>Tabela6[[#This Row],[KM Rodados ]]/Tabela6[[#This Row],[CONSUMO]]</f>
        <v>-5611.2899603204314</v>
      </c>
    </row>
    <row r="4712" spans="1:14" x14ac:dyDescent="0.25">
      <c r="A4712" s="47">
        <v>172552</v>
      </c>
      <c r="B4712" s="78">
        <v>45442</v>
      </c>
      <c r="C4712" s="47" t="s">
        <v>203</v>
      </c>
      <c r="D4712" s="49" t="s">
        <v>260</v>
      </c>
      <c r="E4712" s="47">
        <v>167462</v>
      </c>
      <c r="G4712" s="50" t="s">
        <v>244</v>
      </c>
      <c r="H4712" s="51">
        <v>27.86</v>
      </c>
      <c r="J4712" s="51">
        <v>5.79</v>
      </c>
      <c r="K4712" s="74">
        <f>Tabela6[[#This Row],[CONSUMO]]*Tabela6[[#This Row],[VALOR UNIT]]-Tabela6[[#This Row],[DESCONTO]]</f>
        <v>161.30940000000001</v>
      </c>
      <c r="L4712" s="53">
        <f>Tabela6[[#This Row],[CUSTO TOTAL]]/Tabela6[[#This Row],[CONSUMO]]</f>
        <v>5.7900000000000009</v>
      </c>
      <c r="M4712" s="50">
        <f>Tabela6[[#This Row],[KM ATUAL]]-E4656</f>
        <v>-208055</v>
      </c>
      <c r="N4712" s="51">
        <f>Tabela6[[#This Row],[KM Rodados ]]/Tabela6[[#This Row],[CONSUMO]]</f>
        <v>-7467.8750897343862</v>
      </c>
    </row>
    <row r="4713" spans="1:14" x14ac:dyDescent="0.25">
      <c r="A4713" s="47">
        <v>1294369</v>
      </c>
      <c r="B4713" s="78">
        <v>45442</v>
      </c>
      <c r="C4713" s="47" t="s">
        <v>206</v>
      </c>
      <c r="D4713" s="49" t="s">
        <v>252</v>
      </c>
      <c r="E4713" s="47">
        <v>1008838</v>
      </c>
      <c r="G4713" s="50" t="s">
        <v>89</v>
      </c>
      <c r="H4713" s="51">
        <v>400.1</v>
      </c>
      <c r="J4713" s="51">
        <v>5.95</v>
      </c>
      <c r="K4713" s="74">
        <f>Tabela6[[#This Row],[CONSUMO]]*Tabela6[[#This Row],[VALOR UNIT]]-Tabela6[[#This Row],[DESCONTO]]</f>
        <v>2380.5950000000003</v>
      </c>
      <c r="L4713" s="53">
        <f>Tabela6[[#This Row],[CUSTO TOTAL]]/Tabela6[[#This Row],[CONSUMO]]</f>
        <v>5.95</v>
      </c>
      <c r="M4713" s="50">
        <f>Tabela6[[#This Row],[KM ATUAL]]-E4657</f>
        <v>803701</v>
      </c>
      <c r="N4713" s="51">
        <f>Tabela6[[#This Row],[KM Rodados ]]/Tabela6[[#This Row],[CONSUMO]]</f>
        <v>2008.7503124218945</v>
      </c>
    </row>
    <row r="4714" spans="1:14" x14ac:dyDescent="0.25">
      <c r="A4714" s="47">
        <v>17267</v>
      </c>
      <c r="B4714" s="78">
        <v>45443</v>
      </c>
      <c r="C4714" s="47" t="s">
        <v>67</v>
      </c>
      <c r="D4714" s="49" t="s">
        <v>255</v>
      </c>
      <c r="E4714" s="47">
        <v>716800</v>
      </c>
      <c r="G4714" s="50" t="s">
        <v>89</v>
      </c>
      <c r="H4714" s="51">
        <v>36.110999999999997</v>
      </c>
      <c r="J4714" s="51">
        <v>6.26</v>
      </c>
      <c r="K4714" s="74">
        <f>Tabela6[[#This Row],[CONSUMO]]*Tabela6[[#This Row],[VALOR UNIT]]-Tabela6[[#This Row],[DESCONTO]]</f>
        <v>226.05485999999996</v>
      </c>
      <c r="L4714" s="53">
        <f>Tabela6[[#This Row],[CUSTO TOTAL]]/Tabela6[[#This Row],[CONSUMO]]</f>
        <v>6.26</v>
      </c>
      <c r="M4714" s="50">
        <f>Tabela6[[#This Row],[KM ATUAL]]-E4658</f>
        <v>451739</v>
      </c>
      <c r="N4714" s="51">
        <f>Tabela6[[#This Row],[KM Rodados ]]/Tabela6[[#This Row],[CONSUMO]]</f>
        <v>12509.733876104236</v>
      </c>
    </row>
    <row r="4715" spans="1:14" x14ac:dyDescent="0.25">
      <c r="A4715" s="47">
        <v>217691</v>
      </c>
      <c r="B4715" s="78">
        <v>45443</v>
      </c>
      <c r="C4715" s="47" t="s">
        <v>72</v>
      </c>
      <c r="D4715" s="49" t="s">
        <v>263</v>
      </c>
      <c r="E4715" s="47">
        <v>461583</v>
      </c>
      <c r="G4715" s="50" t="s">
        <v>89</v>
      </c>
      <c r="H4715" s="51">
        <v>29.581</v>
      </c>
      <c r="J4715" s="51">
        <v>5.94</v>
      </c>
      <c r="K4715" s="74">
        <f>Tabela6[[#This Row],[CONSUMO]]*Tabela6[[#This Row],[VALOR UNIT]]-Tabela6[[#This Row],[DESCONTO]]</f>
        <v>175.71114</v>
      </c>
      <c r="L4715" s="53">
        <f>Tabela6[[#This Row],[CUSTO TOTAL]]/Tabela6[[#This Row],[CONSUMO]]</f>
        <v>5.94</v>
      </c>
      <c r="M4715" s="50">
        <f>Tabela6[[#This Row],[KM ATUAL]]-E4659</f>
        <v>-120782</v>
      </c>
      <c r="N4715" s="51">
        <f>Tabela6[[#This Row],[KM Rodados ]]/Tabela6[[#This Row],[CONSUMO]]</f>
        <v>-4083.0938778269838</v>
      </c>
    </row>
    <row r="4716" spans="1:14" x14ac:dyDescent="0.25">
      <c r="A4716" s="47">
        <v>267152</v>
      </c>
      <c r="B4716" s="78">
        <v>45443</v>
      </c>
      <c r="C4716" s="47" t="s">
        <v>11</v>
      </c>
      <c r="D4716" s="49" t="s">
        <v>262</v>
      </c>
      <c r="G4716" s="50" t="s">
        <v>241</v>
      </c>
      <c r="H4716" s="51">
        <v>17.260000000000002</v>
      </c>
      <c r="I4716" s="49">
        <v>6.21</v>
      </c>
      <c r="J4716" s="51">
        <v>3.69</v>
      </c>
      <c r="K4716" s="74">
        <f>Tabela6[[#This Row],[CONSUMO]]*Tabela6[[#This Row],[VALOR UNIT]]-Tabela6[[#This Row],[DESCONTO]]</f>
        <v>57.479400000000005</v>
      </c>
      <c r="L4716" s="53">
        <f>Tabela6[[#This Row],[CUSTO TOTAL]]/Tabela6[[#This Row],[CONSUMO]]</f>
        <v>3.3302085747392818</v>
      </c>
      <c r="M4716" s="50">
        <f>Tabela6[[#This Row],[KM ATUAL]]-E4660</f>
        <v>-582365</v>
      </c>
      <c r="N4716" s="51">
        <f>Tabela6[[#This Row],[KM Rodados ]]/Tabela6[[#This Row],[CONSUMO]]</f>
        <v>-33740.730011587482</v>
      </c>
    </row>
    <row r="4717" spans="1:14" x14ac:dyDescent="0.25">
      <c r="A4717" s="47">
        <v>17210</v>
      </c>
      <c r="B4717" s="78">
        <v>45443</v>
      </c>
      <c r="C4717" s="47" t="s">
        <v>16</v>
      </c>
      <c r="D4717" s="49" t="s">
        <v>255</v>
      </c>
      <c r="E4717" s="47">
        <v>322167</v>
      </c>
      <c r="G4717" s="50" t="s">
        <v>89</v>
      </c>
      <c r="H4717" s="51">
        <v>89.641000000000005</v>
      </c>
      <c r="J4717" s="51">
        <v>6.26</v>
      </c>
      <c r="K4717" s="74">
        <f>Tabela6[[#This Row],[CONSUMO]]*Tabela6[[#This Row],[VALOR UNIT]]-Tabela6[[#This Row],[DESCONTO]]</f>
        <v>561.15265999999997</v>
      </c>
      <c r="L4717" s="53">
        <f>Tabela6[[#This Row],[CUSTO TOTAL]]/Tabela6[[#This Row],[CONSUMO]]</f>
        <v>6.2599999999999989</v>
      </c>
      <c r="M4717" s="50">
        <f>Tabela6[[#This Row],[KM ATUAL]]-E4661</f>
        <v>-393333</v>
      </c>
      <c r="N4717" s="51">
        <f>Tabela6[[#This Row],[KM Rodados ]]/Tabela6[[#This Row],[CONSUMO]]</f>
        <v>-4387.8693901228226</v>
      </c>
    </row>
    <row r="4718" spans="1:14" x14ac:dyDescent="0.25">
      <c r="A4718" s="47">
        <v>17014</v>
      </c>
      <c r="B4718" s="78">
        <v>45443</v>
      </c>
      <c r="C4718" s="47" t="s">
        <v>18</v>
      </c>
      <c r="D4718" s="49" t="s">
        <v>255</v>
      </c>
      <c r="E4718" s="47">
        <v>361003</v>
      </c>
      <c r="G4718" s="50" t="s">
        <v>89</v>
      </c>
      <c r="H4718" s="51">
        <v>94.730999999999995</v>
      </c>
      <c r="J4718" s="51">
        <v>6.26</v>
      </c>
      <c r="K4718" s="74">
        <f>Tabela6[[#This Row],[CONSUMO]]*Tabela6[[#This Row],[VALOR UNIT]]-Tabela6[[#This Row],[DESCONTO]]</f>
        <v>593.01605999999992</v>
      </c>
      <c r="L4718" s="53">
        <f>Tabela6[[#This Row],[CUSTO TOTAL]]/Tabela6[[#This Row],[CONSUMO]]</f>
        <v>6.26</v>
      </c>
      <c r="M4718" s="50">
        <f>Tabela6[[#This Row],[KM ATUAL]]-E4662</f>
        <v>-354497</v>
      </c>
      <c r="N4718" s="51">
        <f>Tabela6[[#This Row],[KM Rodados ]]/Tabela6[[#This Row],[CONSUMO]]</f>
        <v>-3742.1435432962812</v>
      </c>
    </row>
    <row r="4719" spans="1:14" x14ac:dyDescent="0.25">
      <c r="A4719" s="47">
        <v>1087535</v>
      </c>
      <c r="B4719" s="78">
        <v>45444</v>
      </c>
      <c r="C4719" s="47" t="s">
        <v>222</v>
      </c>
      <c r="D4719" s="49" t="s">
        <v>479</v>
      </c>
      <c r="E4719" s="47">
        <v>584216</v>
      </c>
      <c r="G4719" s="50" t="s">
        <v>89</v>
      </c>
      <c r="H4719" s="51">
        <v>200</v>
      </c>
      <c r="J4719" s="51">
        <v>5.76</v>
      </c>
      <c r="K4719" s="74">
        <f>Tabela6[[#This Row],[CONSUMO]]*Tabela6[[#This Row],[VALOR UNIT]]-Tabela6[[#This Row],[DESCONTO]]</f>
        <v>1152</v>
      </c>
      <c r="L4719" s="53">
        <f>Tabela6[[#This Row],[CUSTO TOTAL]]/Tabela6[[#This Row],[CONSUMO]]</f>
        <v>5.76</v>
      </c>
      <c r="M4719" s="50">
        <f>Tabela6[[#This Row],[KM ATUAL]]-E4663</f>
        <v>417344</v>
      </c>
      <c r="N4719" s="51">
        <f>Tabela6[[#This Row],[KM Rodados ]]/Tabela6[[#This Row],[CONSUMO]]</f>
        <v>2086.7199999999998</v>
      </c>
    </row>
    <row r="4720" spans="1:14" x14ac:dyDescent="0.25">
      <c r="A4720" s="47">
        <v>1087534</v>
      </c>
      <c r="B4720" s="78">
        <v>45444</v>
      </c>
      <c r="C4720" s="47" t="s">
        <v>222</v>
      </c>
      <c r="D4720" s="49" t="s">
        <v>479</v>
      </c>
      <c r="E4720" s="47">
        <v>584216</v>
      </c>
      <c r="G4720" s="50" t="s">
        <v>89</v>
      </c>
      <c r="H4720" s="51">
        <v>17.361999999999998</v>
      </c>
      <c r="J4720" s="51">
        <v>5.76</v>
      </c>
      <c r="K4720" s="74">
        <f>Tabela6[[#This Row],[CONSUMO]]*Tabela6[[#This Row],[VALOR UNIT]]-Tabela6[[#This Row],[DESCONTO]]</f>
        <v>100.00511999999999</v>
      </c>
      <c r="L4720" s="53">
        <f>Tabela6[[#This Row],[CUSTO TOTAL]]/Tabela6[[#This Row],[CONSUMO]]</f>
        <v>5.76</v>
      </c>
      <c r="M4720" s="50">
        <f>Tabela6[[#This Row],[KM ATUAL]]-E4664</f>
        <v>123891</v>
      </c>
      <c r="N4720" s="51">
        <f>Tabela6[[#This Row],[KM Rodados ]]/Tabela6[[#This Row],[CONSUMO]]</f>
        <v>7135.756249280038</v>
      </c>
    </row>
    <row r="4721" spans="1:14" x14ac:dyDescent="0.25">
      <c r="A4721" s="47">
        <v>4881</v>
      </c>
      <c r="B4721" s="78">
        <v>45444</v>
      </c>
      <c r="C4721" s="47" t="s">
        <v>301</v>
      </c>
      <c r="D4721" s="49" t="s">
        <v>480</v>
      </c>
      <c r="E4721" s="47">
        <v>1113081</v>
      </c>
      <c r="G4721" s="50" t="s">
        <v>89</v>
      </c>
      <c r="H4721" s="51">
        <v>461</v>
      </c>
      <c r="J4721" s="51">
        <v>6.59</v>
      </c>
      <c r="K4721" s="74">
        <f>Tabela6[[#This Row],[CONSUMO]]*Tabela6[[#This Row],[VALOR UNIT]]-Tabela6[[#This Row],[DESCONTO]]</f>
        <v>3037.99</v>
      </c>
      <c r="L4721" s="53">
        <f>Tabela6[[#This Row],[CUSTO TOTAL]]/Tabela6[[#This Row],[CONSUMO]]</f>
        <v>6.59</v>
      </c>
      <c r="M4721" s="50">
        <f>Tabela6[[#This Row],[KM ATUAL]]-E4665</f>
        <v>269</v>
      </c>
      <c r="N4721" s="51">
        <f>Tabela6[[#This Row],[KM Rodados ]]/Tabela6[[#This Row],[CONSUMO]]</f>
        <v>0.58351409978308022</v>
      </c>
    </row>
    <row r="4722" spans="1:14" x14ac:dyDescent="0.25">
      <c r="A4722" s="47">
        <v>789117</v>
      </c>
      <c r="B4722" s="78">
        <v>45445</v>
      </c>
      <c r="C4722" s="47" t="s">
        <v>64</v>
      </c>
      <c r="D4722" s="49" t="s">
        <v>271</v>
      </c>
      <c r="E4722" s="47">
        <v>116091</v>
      </c>
      <c r="G4722" s="50" t="s">
        <v>89</v>
      </c>
      <c r="H4722" s="51">
        <v>150</v>
      </c>
      <c r="J4722" s="51">
        <v>5.69</v>
      </c>
      <c r="K4722" s="74">
        <f>Tabela6[[#This Row],[CONSUMO]]*Tabela6[[#This Row],[VALOR UNIT]]-Tabela6[[#This Row],[DESCONTO]]</f>
        <v>853.50000000000011</v>
      </c>
      <c r="L4722" s="53">
        <f>Tabela6[[#This Row],[CUSTO TOTAL]]/Tabela6[[#This Row],[CONSUMO]]</f>
        <v>5.69</v>
      </c>
      <c r="M4722" s="50">
        <f>Tabela6[[#This Row],[KM ATUAL]]-E4666</f>
        <v>116091</v>
      </c>
      <c r="N4722" s="51">
        <f>Tabela6[[#This Row],[KM Rodados ]]/Tabela6[[#This Row],[CONSUMO]]</f>
        <v>773.94</v>
      </c>
    </row>
    <row r="4723" spans="1:14" x14ac:dyDescent="0.25">
      <c r="A4723" s="47">
        <v>168901</v>
      </c>
      <c r="B4723" s="78">
        <v>45446</v>
      </c>
      <c r="C4723" s="47" t="s">
        <v>9</v>
      </c>
      <c r="D4723" s="49" t="s">
        <v>279</v>
      </c>
      <c r="E4723" s="47">
        <v>662411</v>
      </c>
      <c r="G4723" s="50" t="s">
        <v>89</v>
      </c>
      <c r="H4723" s="51">
        <v>36.43</v>
      </c>
      <c r="J4723" s="51">
        <v>5.49</v>
      </c>
      <c r="K4723" s="74">
        <f>Tabela6[[#This Row],[CONSUMO]]*Tabela6[[#This Row],[VALOR UNIT]]-Tabela6[[#This Row],[DESCONTO]]</f>
        <v>200.00069999999999</v>
      </c>
      <c r="L4723" s="53">
        <f>Tabela6[[#This Row],[CUSTO TOTAL]]/Tabela6[[#This Row],[CONSUMO]]</f>
        <v>5.49</v>
      </c>
      <c r="M4723" s="50">
        <f>Tabela6[[#This Row],[KM ATUAL]]-E4667</f>
        <v>514349</v>
      </c>
      <c r="N4723" s="51">
        <f>Tabela6[[#This Row],[KM Rodados ]]/Tabela6[[#This Row],[CONSUMO]]</f>
        <v>14118.830634092781</v>
      </c>
    </row>
    <row r="4724" spans="1:14" x14ac:dyDescent="0.25">
      <c r="A4724" s="47">
        <v>485085</v>
      </c>
      <c r="B4724" s="78">
        <v>45446</v>
      </c>
      <c r="C4724" s="47" t="s">
        <v>222</v>
      </c>
      <c r="D4724" s="49" t="s">
        <v>252</v>
      </c>
      <c r="E4724" s="47">
        <v>585394</v>
      </c>
      <c r="G4724" s="50" t="s">
        <v>89</v>
      </c>
      <c r="H4724" s="51">
        <v>359.036</v>
      </c>
      <c r="J4724" s="51">
        <v>5.99</v>
      </c>
      <c r="K4724" s="74">
        <f>Tabela6[[#This Row],[CONSUMO]]*Tabela6[[#This Row],[VALOR UNIT]]-Tabela6[[#This Row],[DESCONTO]]</f>
        <v>2150.6256400000002</v>
      </c>
      <c r="L4724" s="53">
        <f>Tabela6[[#This Row],[CUSTO TOTAL]]/Tabela6[[#This Row],[CONSUMO]]</f>
        <v>5.99</v>
      </c>
      <c r="M4724" s="50">
        <f>Tabela6[[#This Row],[KM ATUAL]]-E4668</f>
        <v>308832</v>
      </c>
      <c r="N4724" s="51">
        <f>Tabela6[[#This Row],[KM Rodados ]]/Tabela6[[#This Row],[CONSUMO]]</f>
        <v>860.17001080671571</v>
      </c>
    </row>
    <row r="4725" spans="1:14" x14ac:dyDescent="0.25">
      <c r="A4725" s="47">
        <v>485088</v>
      </c>
      <c r="B4725" s="78">
        <v>45446</v>
      </c>
      <c r="C4725" s="47" t="s">
        <v>222</v>
      </c>
      <c r="D4725" s="49" t="s">
        <v>252</v>
      </c>
      <c r="E4725" s="47">
        <v>585394</v>
      </c>
      <c r="G4725" s="50" t="s">
        <v>241</v>
      </c>
      <c r="H4725" s="51">
        <v>25</v>
      </c>
      <c r="J4725" s="51">
        <v>3.24</v>
      </c>
      <c r="K4725" s="74">
        <f>Tabela6[[#This Row],[CONSUMO]]*Tabela6[[#This Row],[VALOR UNIT]]-Tabela6[[#This Row],[DESCONTO]]</f>
        <v>81</v>
      </c>
      <c r="L4725" s="53">
        <f>Tabela6[[#This Row],[CUSTO TOTAL]]/Tabela6[[#This Row],[CONSUMO]]</f>
        <v>3.24</v>
      </c>
      <c r="M4725" s="50">
        <f>Tabela6[[#This Row],[KM ATUAL]]-E4669</f>
        <v>-265758</v>
      </c>
      <c r="N4725" s="51">
        <f>Tabela6[[#This Row],[KM Rodados ]]/Tabela6[[#This Row],[CONSUMO]]</f>
        <v>-10630.32</v>
      </c>
    </row>
    <row r="4726" spans="1:14" x14ac:dyDescent="0.25">
      <c r="A4726" s="47">
        <v>172902</v>
      </c>
      <c r="B4726" s="78">
        <v>45446</v>
      </c>
      <c r="C4726" s="47" t="s">
        <v>203</v>
      </c>
      <c r="D4726" s="49" t="s">
        <v>260</v>
      </c>
      <c r="E4726" s="47">
        <v>1680600</v>
      </c>
      <c r="G4726" s="50" t="s">
        <v>244</v>
      </c>
      <c r="H4726" s="51">
        <v>46.459000000000003</v>
      </c>
      <c r="J4726" s="51">
        <v>5.79</v>
      </c>
      <c r="K4726" s="74">
        <f>Tabela6[[#This Row],[CONSUMO]]*Tabela6[[#This Row],[VALOR UNIT]]-Tabela6[[#This Row],[DESCONTO]]</f>
        <v>268.99761000000001</v>
      </c>
      <c r="L4726" s="53">
        <f>Tabela6[[#This Row],[CUSTO TOTAL]]/Tabela6[[#This Row],[CONSUMO]]</f>
        <v>5.79</v>
      </c>
      <c r="M4726" s="50">
        <f>Tabela6[[#This Row],[KM ATUAL]]-E4670</f>
        <v>1490295</v>
      </c>
      <c r="N4726" s="51">
        <f>Tabela6[[#This Row],[KM Rodados ]]/Tabela6[[#This Row],[CONSUMO]]</f>
        <v>32077.638347790522</v>
      </c>
    </row>
    <row r="4727" spans="1:14" x14ac:dyDescent="0.25">
      <c r="A4727" s="47">
        <v>218181</v>
      </c>
      <c r="B4727" s="78">
        <v>45446</v>
      </c>
      <c r="C4727" s="47" t="s">
        <v>20</v>
      </c>
      <c r="D4727" s="49" t="s">
        <v>263</v>
      </c>
      <c r="E4727" s="47">
        <v>118839</v>
      </c>
      <c r="G4727" s="50" t="s">
        <v>89</v>
      </c>
      <c r="H4727" s="51">
        <v>40.241</v>
      </c>
      <c r="J4727" s="51">
        <v>5.94</v>
      </c>
      <c r="K4727" s="74">
        <f>Tabela6[[#This Row],[CONSUMO]]*Tabela6[[#This Row],[VALOR UNIT]]-Tabela6[[#This Row],[DESCONTO]]</f>
        <v>239.03154000000001</v>
      </c>
      <c r="L4727" s="53">
        <f>Tabela6[[#This Row],[CUSTO TOTAL]]/Tabela6[[#This Row],[CONSUMO]]</f>
        <v>5.94</v>
      </c>
      <c r="M4727" s="50">
        <f>Tabela6[[#This Row],[KM ATUAL]]-E4671</f>
        <v>-994044</v>
      </c>
      <c r="N4727" s="51">
        <f>Tabela6[[#This Row],[KM Rodados ]]/Tabela6[[#This Row],[CONSUMO]]</f>
        <v>-24702.268830297457</v>
      </c>
    </row>
    <row r="4728" spans="1:14" x14ac:dyDescent="0.25">
      <c r="A4728" s="47">
        <v>404603</v>
      </c>
      <c r="B4728" s="78">
        <v>45446</v>
      </c>
      <c r="C4728" s="47" t="s">
        <v>40</v>
      </c>
      <c r="D4728" s="49" t="s">
        <v>276</v>
      </c>
      <c r="E4728" s="47">
        <v>207422</v>
      </c>
      <c r="G4728" s="50" t="s">
        <v>244</v>
      </c>
      <c r="H4728" s="51">
        <v>42.81</v>
      </c>
      <c r="J4728" s="51">
        <v>5.79</v>
      </c>
      <c r="K4728" s="74">
        <f>Tabela6[[#This Row],[CONSUMO]]*Tabela6[[#This Row],[VALOR UNIT]]-Tabela6[[#This Row],[DESCONTO]]</f>
        <v>247.8699</v>
      </c>
      <c r="L4728" s="53">
        <f>Tabela6[[#This Row],[CUSTO TOTAL]]/Tabela6[[#This Row],[CONSUMO]]</f>
        <v>5.79</v>
      </c>
      <c r="M4728" s="50">
        <f>Tabela6[[#This Row],[KM ATUAL]]-E4672</f>
        <v>-96660</v>
      </c>
      <c r="N4728" s="51">
        <f>Tabela6[[#This Row],[KM Rodados ]]/Tabela6[[#This Row],[CONSUMO]]</f>
        <v>-2257.8836720392433</v>
      </c>
    </row>
    <row r="4729" spans="1:14" x14ac:dyDescent="0.25">
      <c r="A4729" s="47">
        <v>267907</v>
      </c>
      <c r="B4729" s="78">
        <v>45446</v>
      </c>
      <c r="C4729" s="47" t="s">
        <v>401</v>
      </c>
      <c r="D4729" s="49" t="s">
        <v>262</v>
      </c>
      <c r="E4729" s="47">
        <v>30457</v>
      </c>
      <c r="G4729" s="50" t="s">
        <v>241</v>
      </c>
      <c r="H4729" s="51">
        <v>26.702999999999999</v>
      </c>
      <c r="I4729" s="49">
        <v>9.61</v>
      </c>
      <c r="J4729" s="51">
        <v>3.69</v>
      </c>
      <c r="K4729" s="74">
        <f>Tabela6[[#This Row],[CONSUMO]]*Tabela6[[#This Row],[VALOR UNIT]]-Tabela6[[#This Row],[DESCONTO]]</f>
        <v>88.92407</v>
      </c>
      <c r="L4729" s="53">
        <f>Tabela6[[#This Row],[CUSTO TOTAL]]/Tabela6[[#This Row],[CONSUMO]]</f>
        <v>3.3301153428453731</v>
      </c>
      <c r="M4729" s="50">
        <f>Tabela6[[#This Row],[KM ATUAL]]-E4673</f>
        <v>30457</v>
      </c>
      <c r="N4729" s="51">
        <f>Tabela6[[#This Row],[KM Rodados ]]/Tabela6[[#This Row],[CONSUMO]]</f>
        <v>1140.5834550425045</v>
      </c>
    </row>
    <row r="4730" spans="1:14" x14ac:dyDescent="0.25">
      <c r="A4730" s="47">
        <v>267991</v>
      </c>
      <c r="B4730" s="78">
        <v>45446</v>
      </c>
      <c r="C4730" s="47" t="s">
        <v>426</v>
      </c>
      <c r="D4730" s="49" t="s">
        <v>262</v>
      </c>
      <c r="E4730" s="47">
        <v>22622</v>
      </c>
      <c r="G4730" s="50" t="s">
        <v>241</v>
      </c>
      <c r="H4730" s="51">
        <v>13.561999999999999</v>
      </c>
      <c r="I4730" s="49">
        <v>4.88</v>
      </c>
      <c r="J4730" s="51">
        <v>3.69</v>
      </c>
      <c r="K4730" s="74">
        <f>Tabela6[[#This Row],[CONSUMO]]*Tabela6[[#This Row],[VALOR UNIT]]-Tabela6[[#This Row],[DESCONTO]]</f>
        <v>45.163779999999996</v>
      </c>
      <c r="L4730" s="53">
        <f>Tabela6[[#This Row],[CUSTO TOTAL]]/Tabela6[[#This Row],[CONSUMO]]</f>
        <v>3.3301710662144224</v>
      </c>
      <c r="M4730" s="50">
        <f>Tabela6[[#This Row],[KM ATUAL]]-E4674</f>
        <v>-337638</v>
      </c>
      <c r="N4730" s="51">
        <f>Tabela6[[#This Row],[KM Rodados ]]/Tabela6[[#This Row],[CONSUMO]]</f>
        <v>-24895.885562601386</v>
      </c>
    </row>
    <row r="4731" spans="1:14" x14ac:dyDescent="0.25">
      <c r="A4731" s="47">
        <v>267906</v>
      </c>
      <c r="B4731" s="78">
        <v>45446</v>
      </c>
      <c r="C4731" s="47" t="s">
        <v>446</v>
      </c>
      <c r="D4731" s="49" t="s">
        <v>262</v>
      </c>
      <c r="E4731" s="47">
        <v>15661</v>
      </c>
      <c r="G4731" s="50" t="s">
        <v>241</v>
      </c>
      <c r="H4731" s="51">
        <v>33.869999999999997</v>
      </c>
      <c r="I4731" s="49">
        <v>12.19</v>
      </c>
      <c r="J4731" s="51">
        <v>3.69</v>
      </c>
      <c r="K4731" s="74">
        <f>Tabela6[[#This Row],[CONSUMO]]*Tabela6[[#This Row],[VALOR UNIT]]-Tabela6[[#This Row],[DESCONTO]]</f>
        <v>112.79029999999999</v>
      </c>
      <c r="L4731" s="53">
        <f>Tabela6[[#This Row],[CUSTO TOTAL]]/Tabela6[[#This Row],[CONSUMO]]</f>
        <v>3.330094478889873</v>
      </c>
      <c r="M4731" s="50" t="e">
        <f>Tabela6[[#This Row],[KM ATUAL]]-#REF!</f>
        <v>#REF!</v>
      </c>
      <c r="N4731" s="51" t="e">
        <f>Tabela6[[#This Row],[KM Rodados ]]/Tabela6[[#This Row],[CONSUMO]]</f>
        <v>#REF!</v>
      </c>
    </row>
    <row r="4732" spans="1:14" x14ac:dyDescent="0.25">
      <c r="A4732" s="47" t="s">
        <v>492</v>
      </c>
      <c r="B4732" s="78">
        <v>45447</v>
      </c>
      <c r="C4732" s="47" t="s">
        <v>67</v>
      </c>
      <c r="D4732" s="49" t="s">
        <v>269</v>
      </c>
      <c r="E4732" s="47">
        <v>716863</v>
      </c>
      <c r="G4732" s="50" t="s">
        <v>89</v>
      </c>
      <c r="H4732" s="51">
        <v>109</v>
      </c>
      <c r="J4732" s="51">
        <v>5.69</v>
      </c>
      <c r="K4732" s="74">
        <f>Tabela6[[#This Row],[CONSUMO]]*Tabela6[[#This Row],[VALOR UNIT]]-Tabela6[[#This Row],[DESCONTO]]</f>
        <v>620.21</v>
      </c>
      <c r="L4732" s="53">
        <f>Tabela6[[#This Row],[CUSTO TOTAL]]/Tabela6[[#This Row],[CONSUMO]]</f>
        <v>5.69</v>
      </c>
      <c r="M4732" s="50">
        <f>Tabela6[[#This Row],[KM ATUAL]]-E4676</f>
        <v>511367</v>
      </c>
      <c r="N4732" s="51">
        <f>Tabela6[[#This Row],[KM Rodados ]]/Tabela6[[#This Row],[CONSUMO]]</f>
        <v>4691.440366972477</v>
      </c>
    </row>
    <row r="4733" spans="1:14" x14ac:dyDescent="0.25">
      <c r="A4733" s="47">
        <v>127454</v>
      </c>
      <c r="B4733" s="78">
        <v>45447</v>
      </c>
      <c r="C4733" s="47" t="s">
        <v>71</v>
      </c>
      <c r="D4733" s="49" t="s">
        <v>252</v>
      </c>
      <c r="E4733" s="47">
        <v>177249</v>
      </c>
      <c r="G4733" s="50" t="s">
        <v>241</v>
      </c>
      <c r="H4733" s="51">
        <v>22</v>
      </c>
      <c r="J4733" s="51">
        <v>3.24</v>
      </c>
      <c r="K4733" s="74">
        <f>Tabela6[[#This Row],[CONSUMO]]*Tabela6[[#This Row],[VALOR UNIT]]-Tabela6[[#This Row],[DESCONTO]]</f>
        <v>71.28</v>
      </c>
      <c r="L4733" s="53">
        <f>Tabela6[[#This Row],[CUSTO TOTAL]]/Tabela6[[#This Row],[CONSUMO]]</f>
        <v>3.24</v>
      </c>
      <c r="M4733" s="50">
        <f>Tabela6[[#This Row],[KM ATUAL]]-E4677</f>
        <v>-107503</v>
      </c>
      <c r="N4733" s="51">
        <f>Tabela6[[#This Row],[KM Rodados ]]/Tabela6[[#This Row],[CONSUMO]]</f>
        <v>-4886.5</v>
      </c>
    </row>
    <row r="4734" spans="1:14" x14ac:dyDescent="0.25">
      <c r="A4734" s="47">
        <v>127454</v>
      </c>
      <c r="B4734" s="78">
        <v>45447</v>
      </c>
      <c r="C4734" s="47" t="s">
        <v>71</v>
      </c>
      <c r="D4734" s="49" t="s">
        <v>252</v>
      </c>
      <c r="E4734" s="47">
        <v>177249</v>
      </c>
      <c r="G4734" s="50" t="s">
        <v>89</v>
      </c>
      <c r="H4734" s="51">
        <v>572.22199999999998</v>
      </c>
      <c r="J4734" s="51">
        <v>5.99</v>
      </c>
      <c r="K4734" s="74">
        <f>Tabela6[[#This Row],[CONSUMO]]*Tabela6[[#This Row],[VALOR UNIT]]-Tabela6[[#This Row],[DESCONTO]]</f>
        <v>3427.6097800000002</v>
      </c>
      <c r="L4734" s="53">
        <f>Tabela6[[#This Row],[CUSTO TOTAL]]/Tabela6[[#This Row],[CONSUMO]]</f>
        <v>5.99</v>
      </c>
      <c r="M4734" s="50">
        <f>Tabela6[[#This Row],[KM ATUAL]]-E4678</f>
        <v>-199204</v>
      </c>
      <c r="N4734" s="51">
        <f>Tabela6[[#This Row],[KM Rodados ]]/Tabela6[[#This Row],[CONSUMO]]</f>
        <v>-348.12363033927392</v>
      </c>
    </row>
    <row r="4735" spans="1:14" x14ac:dyDescent="0.25">
      <c r="A4735" s="47">
        <v>268115</v>
      </c>
      <c r="B4735" s="78">
        <v>45447</v>
      </c>
      <c r="C4735" s="47" t="s">
        <v>17</v>
      </c>
      <c r="D4735" s="49" t="s">
        <v>262</v>
      </c>
      <c r="E4735" s="47">
        <v>414075</v>
      </c>
      <c r="G4735" s="50" t="s">
        <v>241</v>
      </c>
      <c r="H4735" s="51">
        <v>25.619</v>
      </c>
      <c r="I4735" s="49">
        <v>9.2200000000000006</v>
      </c>
      <c r="J4735" s="51">
        <v>3.69</v>
      </c>
      <c r="K4735" s="74">
        <f>Tabela6[[#This Row],[CONSUMO]]*Tabela6[[#This Row],[VALOR UNIT]]-Tabela6[[#This Row],[DESCONTO]]</f>
        <v>85.314109999999999</v>
      </c>
      <c r="L4735" s="53">
        <f>Tabela6[[#This Row],[CUSTO TOTAL]]/Tabela6[[#This Row],[CONSUMO]]</f>
        <v>3.3301108552246381</v>
      </c>
      <c r="M4735" s="50">
        <f>Tabela6[[#This Row],[KM ATUAL]]-E4679</f>
        <v>-438068</v>
      </c>
      <c r="N4735" s="51">
        <f>Tabela6[[#This Row],[KM Rodados ]]/Tabela6[[#This Row],[CONSUMO]]</f>
        <v>-17099.340333346343</v>
      </c>
    </row>
    <row r="4736" spans="1:14" x14ac:dyDescent="0.25">
      <c r="A4736" s="47">
        <v>371887</v>
      </c>
      <c r="B4736" s="78">
        <v>45448</v>
      </c>
      <c r="C4736" s="47" t="s">
        <v>222</v>
      </c>
      <c r="D4736" s="49" t="s">
        <v>270</v>
      </c>
      <c r="E4736" s="47">
        <v>586391</v>
      </c>
      <c r="G4736" s="50" t="s">
        <v>241</v>
      </c>
      <c r="H4736" s="51">
        <v>20.140999999999998</v>
      </c>
      <c r="J4736" s="51">
        <v>2.99</v>
      </c>
      <c r="K4736" s="74">
        <f>Tabela6[[#This Row],[CONSUMO]]*Tabela6[[#This Row],[VALOR UNIT]]-Tabela6[[#This Row],[DESCONTO]]</f>
        <v>60.221589999999999</v>
      </c>
      <c r="L4736" s="53">
        <f>Tabela6[[#This Row],[CUSTO TOTAL]]/Tabela6[[#This Row],[CONSUMO]]</f>
        <v>2.99</v>
      </c>
      <c r="M4736" s="50">
        <f>Tabela6[[#This Row],[KM ATUAL]]-E4680</f>
        <v>209323</v>
      </c>
      <c r="N4736" s="51">
        <f>Tabela6[[#This Row],[KM Rodados ]]/Tabela6[[#This Row],[CONSUMO]]</f>
        <v>10392.880194627875</v>
      </c>
    </row>
    <row r="4737" spans="1:14" x14ac:dyDescent="0.25">
      <c r="A4737" s="47">
        <v>268510</v>
      </c>
      <c r="B4737" s="78">
        <v>45448</v>
      </c>
      <c r="C4737" s="47" t="s">
        <v>67</v>
      </c>
      <c r="D4737" s="49" t="s">
        <v>262</v>
      </c>
      <c r="E4737" s="47">
        <v>717470</v>
      </c>
      <c r="G4737" s="50" t="s">
        <v>89</v>
      </c>
      <c r="H4737" s="51">
        <v>146.13</v>
      </c>
      <c r="J4737" s="51">
        <v>6.09</v>
      </c>
      <c r="K4737" s="74">
        <f>Tabela6[[#This Row],[CONSUMO]]*Tabela6[[#This Row],[VALOR UNIT]]-Tabela6[[#This Row],[DESCONTO]]</f>
        <v>889.93169999999998</v>
      </c>
      <c r="L4737" s="53">
        <f>Tabela6[[#This Row],[CUSTO TOTAL]]/Tabela6[[#This Row],[CONSUMO]]</f>
        <v>6.09</v>
      </c>
      <c r="M4737" s="50">
        <f>Tabela6[[#This Row],[KM ATUAL]]-E4681</f>
        <v>527011</v>
      </c>
      <c r="N4737" s="51">
        <f>Tabela6[[#This Row],[KM Rodados ]]/Tabela6[[#This Row],[CONSUMO]]</f>
        <v>3606.4531581468555</v>
      </c>
    </row>
    <row r="4738" spans="1:14" x14ac:dyDescent="0.25">
      <c r="A4738" s="47">
        <v>248802</v>
      </c>
      <c r="B4738" s="78">
        <v>45448</v>
      </c>
      <c r="C4738" s="47" t="s">
        <v>39</v>
      </c>
      <c r="D4738" s="49" t="s">
        <v>253</v>
      </c>
      <c r="E4738" s="47">
        <v>125709</v>
      </c>
      <c r="G4738" s="50" t="s">
        <v>89</v>
      </c>
      <c r="H4738" s="51">
        <v>89.9</v>
      </c>
      <c r="J4738" s="51">
        <v>6.09</v>
      </c>
      <c r="K4738" s="74">
        <f>Tabela6[[#This Row],[CONSUMO]]*Tabela6[[#This Row],[VALOR UNIT]]-Tabela6[[#This Row],[DESCONTO]]</f>
        <v>547.49099999999999</v>
      </c>
      <c r="L4738" s="53">
        <f>Tabela6[[#This Row],[CUSTO TOTAL]]/Tabela6[[#This Row],[CONSUMO]]</f>
        <v>6.09</v>
      </c>
      <c r="M4738" s="50">
        <f>Tabela6[[#This Row],[KM ATUAL]]-E4682</f>
        <v>-41414</v>
      </c>
      <c r="N4738" s="51">
        <f>Tabela6[[#This Row],[KM Rodados ]]/Tabela6[[#This Row],[CONSUMO]]</f>
        <v>-460.66740823136814</v>
      </c>
    </row>
    <row r="4739" spans="1:14" x14ac:dyDescent="0.25">
      <c r="A4739" s="47">
        <v>248802</v>
      </c>
      <c r="B4739" s="78">
        <v>45448</v>
      </c>
      <c r="C4739" s="47" t="s">
        <v>39</v>
      </c>
      <c r="D4739" s="49" t="s">
        <v>253</v>
      </c>
      <c r="E4739" s="47">
        <v>125709</v>
      </c>
      <c r="G4739" s="50" t="s">
        <v>241</v>
      </c>
      <c r="H4739" s="51">
        <v>16.72</v>
      </c>
      <c r="J4739" s="51">
        <v>3.49</v>
      </c>
      <c r="K4739" s="74">
        <f>Tabela6[[#This Row],[CONSUMO]]*Tabela6[[#This Row],[VALOR UNIT]]-Tabela6[[#This Row],[DESCONTO]]</f>
        <v>58.352800000000002</v>
      </c>
      <c r="L4739" s="53">
        <f>Tabela6[[#This Row],[CUSTO TOTAL]]/Tabela6[[#This Row],[CONSUMO]]</f>
        <v>3.49</v>
      </c>
      <c r="M4739" s="50">
        <f>Tabela6[[#This Row],[KM ATUAL]]-E4683</f>
        <v>-334935</v>
      </c>
      <c r="N4739" s="51">
        <f>Tabela6[[#This Row],[KM Rodados ]]/Tabela6[[#This Row],[CONSUMO]]</f>
        <v>-20031.997607655503</v>
      </c>
    </row>
    <row r="4740" spans="1:14" x14ac:dyDescent="0.25">
      <c r="A4740" s="47">
        <v>234745</v>
      </c>
      <c r="B4740" s="78">
        <v>45448</v>
      </c>
      <c r="C4740" s="47" t="s">
        <v>203</v>
      </c>
      <c r="D4740" s="49" t="s">
        <v>261</v>
      </c>
      <c r="E4740" s="47">
        <v>168573</v>
      </c>
      <c r="G4740" s="50" t="s">
        <v>244</v>
      </c>
      <c r="H4740" s="51">
        <v>41.805999999999997</v>
      </c>
      <c r="J4740" s="51">
        <v>5.99</v>
      </c>
      <c r="K4740" s="74">
        <f>Tabela6[[#This Row],[CONSUMO]]*Tabela6[[#This Row],[VALOR UNIT]]-Tabela6[[#This Row],[DESCONTO]]</f>
        <v>250.41793999999999</v>
      </c>
      <c r="L4740" s="53">
        <f>Tabela6[[#This Row],[CUSTO TOTAL]]/Tabela6[[#This Row],[CONSUMO]]</f>
        <v>5.99</v>
      </c>
      <c r="M4740" s="50">
        <f>Tabela6[[#This Row],[KM ATUAL]]-E4684</f>
        <v>-6750</v>
      </c>
      <c r="N4740" s="51">
        <f>Tabela6[[#This Row],[KM Rodados ]]/Tabela6[[#This Row],[CONSUMO]]</f>
        <v>-161.4600775008372</v>
      </c>
    </row>
    <row r="4741" spans="1:14" x14ac:dyDescent="0.25">
      <c r="A4741" s="47">
        <v>27045</v>
      </c>
      <c r="B4741" s="78">
        <v>45448</v>
      </c>
      <c r="C4741" s="47" t="s">
        <v>301</v>
      </c>
      <c r="D4741" s="49" t="s">
        <v>275</v>
      </c>
      <c r="E4741" s="47">
        <v>1113160</v>
      </c>
      <c r="G4741" s="50" t="s">
        <v>89</v>
      </c>
      <c r="H4741" s="51">
        <v>141.71</v>
      </c>
      <c r="J4741" s="51">
        <v>5.66</v>
      </c>
      <c r="K4741" s="74">
        <f>Tabela6[[#This Row],[CONSUMO]]*Tabela6[[#This Row],[VALOR UNIT]]-Tabela6[[#This Row],[DESCONTO]]</f>
        <v>802.07860000000005</v>
      </c>
      <c r="L4741" s="53">
        <f>Tabela6[[#This Row],[CUSTO TOTAL]]/Tabela6[[#This Row],[CONSUMO]]</f>
        <v>5.66</v>
      </c>
      <c r="M4741" s="50">
        <f>Tabela6[[#This Row],[KM ATUAL]]-E4685</f>
        <v>937837</v>
      </c>
      <c r="N4741" s="51">
        <f>Tabela6[[#This Row],[KM Rodados ]]/Tabela6[[#This Row],[CONSUMO]]</f>
        <v>6618.001552466304</v>
      </c>
    </row>
    <row r="4742" spans="1:14" x14ac:dyDescent="0.25">
      <c r="A4742" s="47">
        <v>268416</v>
      </c>
      <c r="B4742" s="78">
        <v>45448</v>
      </c>
      <c r="C4742" s="47" t="s">
        <v>14</v>
      </c>
      <c r="D4742" s="49" t="s">
        <v>262</v>
      </c>
      <c r="E4742" s="47">
        <v>335274</v>
      </c>
      <c r="G4742" s="50" t="s">
        <v>244</v>
      </c>
      <c r="H4742" s="51">
        <v>34.58</v>
      </c>
      <c r="J4742" s="51">
        <v>5.69</v>
      </c>
      <c r="K4742" s="74">
        <f>Tabela6[[#This Row],[CONSUMO]]*Tabela6[[#This Row],[VALOR UNIT]]-Tabela6[[#This Row],[DESCONTO]]</f>
        <v>196.7602</v>
      </c>
      <c r="L4742" s="53">
        <f>Tabela6[[#This Row],[CUSTO TOTAL]]/Tabela6[[#This Row],[CONSUMO]]</f>
        <v>5.69</v>
      </c>
      <c r="M4742" s="50">
        <f>Tabela6[[#This Row],[KM ATUAL]]-E4686</f>
        <v>-777688</v>
      </c>
      <c r="N4742" s="51">
        <f>Tabela6[[#This Row],[KM Rodados ]]/Tabela6[[#This Row],[CONSUMO]]</f>
        <v>-22489.531521110468</v>
      </c>
    </row>
    <row r="4743" spans="1:14" x14ac:dyDescent="0.25">
      <c r="A4743" s="47">
        <v>790405</v>
      </c>
      <c r="B4743" s="78">
        <v>45448</v>
      </c>
      <c r="C4743" s="47" t="s">
        <v>40</v>
      </c>
      <c r="D4743" s="49" t="s">
        <v>271</v>
      </c>
      <c r="E4743" s="47">
        <v>207881</v>
      </c>
      <c r="G4743" s="50" t="s">
        <v>244</v>
      </c>
      <c r="H4743" s="51">
        <v>37.051000000000002</v>
      </c>
      <c r="J4743" s="51">
        <v>5.59</v>
      </c>
      <c r="K4743" s="74">
        <f>Tabela6[[#This Row],[CONSUMO]]*Tabela6[[#This Row],[VALOR UNIT]]-Tabela6[[#This Row],[DESCONTO]]</f>
        <v>207.11509000000001</v>
      </c>
      <c r="L4743" s="53">
        <f>Tabela6[[#This Row],[CUSTO TOTAL]]/Tabela6[[#This Row],[CONSUMO]]</f>
        <v>5.59</v>
      </c>
      <c r="M4743" s="50">
        <f>Tabela6[[#This Row],[KM ATUAL]]-E4687</f>
        <v>207881</v>
      </c>
      <c r="N4743" s="51">
        <f>Tabela6[[#This Row],[KM Rodados ]]/Tabela6[[#This Row],[CONSUMO]]</f>
        <v>5610.6717767401688</v>
      </c>
    </row>
    <row r="4744" spans="1:14" x14ac:dyDescent="0.25">
      <c r="A4744" s="47">
        <v>55422</v>
      </c>
      <c r="B4744" s="78">
        <v>45448</v>
      </c>
      <c r="C4744" s="47" t="s">
        <v>401</v>
      </c>
      <c r="D4744" s="49" t="s">
        <v>247</v>
      </c>
      <c r="E4744" s="47">
        <v>3176</v>
      </c>
      <c r="G4744" s="50" t="s">
        <v>89</v>
      </c>
      <c r="H4744" s="51">
        <v>66.78</v>
      </c>
      <c r="J4744" s="51">
        <v>5.99</v>
      </c>
      <c r="K4744" s="74">
        <f>Tabela6[[#This Row],[CONSUMO]]*Tabela6[[#This Row],[VALOR UNIT]]-Tabela6[[#This Row],[DESCONTO]]</f>
        <v>400.01220000000001</v>
      </c>
      <c r="L4744" s="53">
        <f>Tabela6[[#This Row],[CUSTO TOTAL]]/Tabela6[[#This Row],[CONSUMO]]</f>
        <v>5.99</v>
      </c>
      <c r="M4744" s="50">
        <f>Tabela6[[#This Row],[KM ATUAL]]-E4688</f>
        <v>-374014</v>
      </c>
      <c r="N4744" s="51">
        <f>Tabela6[[#This Row],[KM Rodados ]]/Tabela6[[#This Row],[CONSUMO]]</f>
        <v>-5600.6888289907156</v>
      </c>
    </row>
    <row r="4745" spans="1:14" x14ac:dyDescent="0.25">
      <c r="A4745" s="47">
        <v>466281</v>
      </c>
      <c r="B4745" s="78">
        <v>45449</v>
      </c>
      <c r="C4745" s="47" t="s">
        <v>68</v>
      </c>
      <c r="D4745" s="49" t="s">
        <v>237</v>
      </c>
      <c r="E4745" s="47">
        <v>978408</v>
      </c>
      <c r="G4745" s="50" t="s">
        <v>89</v>
      </c>
      <c r="H4745" s="51">
        <v>560.00599999999997</v>
      </c>
      <c r="J4745" s="51">
        <v>7.15</v>
      </c>
      <c r="K4745" s="74">
        <f>Tabela6[[#This Row],[CONSUMO]]*Tabela6[[#This Row],[VALOR UNIT]]-Tabela6[[#This Row],[DESCONTO]]</f>
        <v>4004.0428999999999</v>
      </c>
      <c r="L4745" s="53">
        <f>Tabela6[[#This Row],[CUSTO TOTAL]]/Tabela6[[#This Row],[CONSUMO]]</f>
        <v>7.15</v>
      </c>
      <c r="M4745" s="50">
        <f>Tabela6[[#This Row],[KM ATUAL]]-E4690</f>
        <v>696203</v>
      </c>
      <c r="N4745" s="51">
        <f>Tabela6[[#This Row],[KM Rodados ]]/Tabela6[[#This Row],[CONSUMO]]</f>
        <v>1243.2063227893987</v>
      </c>
    </row>
    <row r="4746" spans="1:14" x14ac:dyDescent="0.25">
      <c r="A4746" s="47">
        <v>268573</v>
      </c>
      <c r="B4746" s="78">
        <v>45449</v>
      </c>
      <c r="C4746" s="47" t="s">
        <v>15</v>
      </c>
      <c r="D4746" s="49" t="s">
        <v>262</v>
      </c>
      <c r="E4746" s="47">
        <v>434660</v>
      </c>
      <c r="G4746" s="50" t="s">
        <v>241</v>
      </c>
      <c r="H4746" s="51">
        <v>11.442</v>
      </c>
      <c r="I4746" s="49">
        <v>4.12</v>
      </c>
      <c r="J4746" s="51">
        <v>3.69</v>
      </c>
      <c r="K4746" s="74">
        <f>Tabela6[[#This Row],[CONSUMO]]*Tabela6[[#This Row],[VALOR UNIT]]-Tabela6[[#This Row],[DESCONTO]]</f>
        <v>38.10098</v>
      </c>
      <c r="L4746" s="53">
        <f>Tabela6[[#This Row],[CUSTO TOTAL]]/Tabela6[[#This Row],[CONSUMO]]</f>
        <v>3.3299230903688164</v>
      </c>
      <c r="M4746" s="50">
        <f>Tabela6[[#This Row],[KM ATUAL]]-E4691</f>
        <v>-418774</v>
      </c>
      <c r="N4746" s="51">
        <f>Tabela6[[#This Row],[KM Rodados ]]/Tabela6[[#This Row],[CONSUMO]]</f>
        <v>-36599.720328613876</v>
      </c>
    </row>
    <row r="4747" spans="1:14" x14ac:dyDescent="0.25">
      <c r="A4747" s="47">
        <v>18794</v>
      </c>
      <c r="B4747" s="78">
        <v>45449</v>
      </c>
      <c r="C4747" s="47" t="s">
        <v>16</v>
      </c>
      <c r="D4747" s="49" t="s">
        <v>255</v>
      </c>
      <c r="E4747" s="47">
        <v>323500</v>
      </c>
      <c r="G4747" s="50" t="s">
        <v>89</v>
      </c>
      <c r="H4747" s="51">
        <v>96.97</v>
      </c>
      <c r="J4747" s="51">
        <v>6.26</v>
      </c>
      <c r="K4747" s="74">
        <f>Tabela6[[#This Row],[CONSUMO]]*Tabela6[[#This Row],[VALOR UNIT]]-Tabela6[[#This Row],[DESCONTO]]</f>
        <v>607.03219999999999</v>
      </c>
      <c r="L4747" s="53">
        <f>Tabela6[[#This Row],[CUSTO TOTAL]]/Tabela6[[#This Row],[CONSUMO]]</f>
        <v>6.26</v>
      </c>
      <c r="M4747" s="50">
        <f>Tabela6[[#This Row],[KM ATUAL]]-E4692</f>
        <v>198306</v>
      </c>
      <c r="N4747" s="51">
        <f>Tabela6[[#This Row],[KM Rodados ]]/Tabela6[[#This Row],[CONSUMO]]</f>
        <v>2045.0242342992678</v>
      </c>
    </row>
    <row r="4748" spans="1:14" x14ac:dyDescent="0.25">
      <c r="A4748" s="47">
        <v>18765</v>
      </c>
      <c r="B4748" s="78">
        <v>45449</v>
      </c>
      <c r="C4748" s="47" t="s">
        <v>18</v>
      </c>
      <c r="D4748" s="49" t="s">
        <v>255</v>
      </c>
      <c r="E4748" s="47">
        <v>361690</v>
      </c>
      <c r="G4748" s="50" t="s">
        <v>89</v>
      </c>
      <c r="H4748" s="51">
        <v>86</v>
      </c>
      <c r="J4748" s="51">
        <v>6.26</v>
      </c>
      <c r="K4748" s="74">
        <f>Tabela6[[#This Row],[CONSUMO]]*Tabela6[[#This Row],[VALOR UNIT]]-Tabela6[[#This Row],[DESCONTO]]</f>
        <v>538.36</v>
      </c>
      <c r="L4748" s="53">
        <f>Tabela6[[#This Row],[CUSTO TOTAL]]/Tabela6[[#This Row],[CONSUMO]]</f>
        <v>6.26</v>
      </c>
      <c r="M4748" s="50">
        <f>Tabela6[[#This Row],[KM ATUAL]]-E4693</f>
        <v>74924</v>
      </c>
      <c r="N4748" s="51">
        <f>Tabela6[[#This Row],[KM Rodados ]]/Tabela6[[#This Row],[CONSUMO]]</f>
        <v>871.20930232558135</v>
      </c>
    </row>
    <row r="4749" spans="1:14" x14ac:dyDescent="0.25">
      <c r="A4749" s="47">
        <v>268638</v>
      </c>
      <c r="B4749" s="78">
        <v>45449</v>
      </c>
      <c r="C4749" s="47" t="s">
        <v>19</v>
      </c>
      <c r="D4749" s="49" t="s">
        <v>262</v>
      </c>
      <c r="E4749" s="47">
        <v>379551</v>
      </c>
      <c r="G4749" s="50" t="s">
        <v>241</v>
      </c>
      <c r="H4749" s="51">
        <v>19.018999999999998</v>
      </c>
      <c r="I4749" s="49">
        <v>6.85</v>
      </c>
      <c r="J4749" s="51">
        <v>3.69</v>
      </c>
      <c r="K4749" s="74">
        <f>Tabela6[[#This Row],[CONSUMO]]*Tabela6[[#This Row],[VALOR UNIT]]-Tabela6[[#This Row],[DESCONTO]]</f>
        <v>63.330109999999998</v>
      </c>
      <c r="L4749" s="53">
        <f>Tabela6[[#This Row],[CUSTO TOTAL]]/Tabela6[[#This Row],[CONSUMO]]</f>
        <v>3.3298338503601661</v>
      </c>
      <c r="M4749" s="50">
        <f>Tabela6[[#This Row],[KM ATUAL]]-E4694</f>
        <v>-81437</v>
      </c>
      <c r="N4749" s="51">
        <f>Tabela6[[#This Row],[KM Rodados ]]/Tabela6[[#This Row],[CONSUMO]]</f>
        <v>-4281.8760187181242</v>
      </c>
    </row>
    <row r="4750" spans="1:14" x14ac:dyDescent="0.25">
      <c r="A4750" s="47" t="s">
        <v>488</v>
      </c>
      <c r="B4750" s="78">
        <v>45449</v>
      </c>
      <c r="C4750" s="47" t="s">
        <v>23</v>
      </c>
      <c r="D4750" s="49" t="s">
        <v>268</v>
      </c>
      <c r="E4750" s="47">
        <v>278255</v>
      </c>
      <c r="G4750" s="50" t="s">
        <v>89</v>
      </c>
      <c r="H4750" s="51">
        <v>161.03</v>
      </c>
      <c r="J4750" s="51">
        <v>5.69</v>
      </c>
      <c r="K4750" s="74">
        <f>Tabela6[[#This Row],[CONSUMO]]*Tabela6[[#This Row],[VALOR UNIT]]-Tabela6[[#This Row],[DESCONTO]]</f>
        <v>916.26070000000004</v>
      </c>
      <c r="L4750" s="53">
        <f>Tabela6[[#This Row],[CUSTO TOTAL]]/Tabela6[[#This Row],[CONSUMO]]</f>
        <v>5.69</v>
      </c>
      <c r="M4750" s="50">
        <f>Tabela6[[#This Row],[KM ATUAL]]-E4694</f>
        <v>-182733</v>
      </c>
      <c r="N4750" s="51">
        <f>Tabela6[[#This Row],[KM Rodados ]]/Tabela6[[#This Row],[CONSUMO]]</f>
        <v>-1134.7761286716761</v>
      </c>
    </row>
    <row r="4751" spans="1:14" x14ac:dyDescent="0.25">
      <c r="A4751" s="47">
        <v>249132</v>
      </c>
      <c r="B4751" s="78">
        <v>45449</v>
      </c>
      <c r="C4751" s="47" t="s">
        <v>315</v>
      </c>
      <c r="D4751" s="49" t="s">
        <v>253</v>
      </c>
      <c r="E4751" s="47">
        <v>32591</v>
      </c>
      <c r="G4751" s="50" t="s">
        <v>89</v>
      </c>
      <c r="H4751" s="51">
        <v>59.16</v>
      </c>
      <c r="J4751" s="51">
        <v>6.09</v>
      </c>
      <c r="K4751" s="74">
        <f>Tabela6[[#This Row],[CONSUMO]]*Tabela6[[#This Row],[VALOR UNIT]]-Tabela6[[#This Row],[DESCONTO]]</f>
        <v>360.28439999999995</v>
      </c>
      <c r="L4751" s="53">
        <f>Tabela6[[#This Row],[CUSTO TOTAL]]/Tabela6[[#This Row],[CONSUMO]]</f>
        <v>6.09</v>
      </c>
      <c r="M4751" s="50">
        <f>Tabela6[[#This Row],[KM ATUAL]]-E4696</f>
        <v>-731136</v>
      </c>
      <c r="N4751" s="51">
        <f>Tabela6[[#This Row],[KM Rodados ]]/Tabela6[[#This Row],[CONSUMO]]</f>
        <v>-12358.620689655174</v>
      </c>
    </row>
    <row r="4752" spans="1:14" x14ac:dyDescent="0.25">
      <c r="A4752" s="47">
        <v>268549</v>
      </c>
      <c r="B4752" s="78">
        <v>45449</v>
      </c>
      <c r="C4752" s="47" t="s">
        <v>354</v>
      </c>
      <c r="D4752" s="49" t="s">
        <v>262</v>
      </c>
      <c r="E4752" s="47">
        <v>42433</v>
      </c>
      <c r="G4752" s="50" t="s">
        <v>241</v>
      </c>
      <c r="H4752" s="51">
        <v>26.353999999999999</v>
      </c>
      <c r="I4752" s="49">
        <v>9.49</v>
      </c>
      <c r="J4752" s="51">
        <v>3.69</v>
      </c>
      <c r="K4752" s="74">
        <f>Tabela6[[#This Row],[CONSUMO]]*Tabela6[[#This Row],[VALOR UNIT]]-Tabela6[[#This Row],[DESCONTO]]</f>
        <v>87.756259999999997</v>
      </c>
      <c r="L4752" s="53">
        <f>Tabela6[[#This Row],[CUSTO TOTAL]]/Tabela6[[#This Row],[CONSUMO]]</f>
        <v>3.3299028610457615</v>
      </c>
      <c r="M4752" s="50">
        <f>Tabela6[[#This Row],[KM ATUAL]]-E4697</f>
        <v>-200181</v>
      </c>
      <c r="N4752" s="51">
        <f>Tabela6[[#This Row],[KM Rodados ]]/Tabela6[[#This Row],[CONSUMO]]</f>
        <v>-7595.8488275024665</v>
      </c>
    </row>
    <row r="4753" spans="1:14" x14ac:dyDescent="0.25">
      <c r="A4753" s="47">
        <v>342388</v>
      </c>
      <c r="B4753" s="78">
        <v>45449</v>
      </c>
      <c r="C4753" s="47" t="s">
        <v>401</v>
      </c>
      <c r="D4753" s="49" t="s">
        <v>256</v>
      </c>
      <c r="E4753" s="47">
        <v>31874</v>
      </c>
      <c r="G4753" s="50" t="s">
        <v>89</v>
      </c>
      <c r="H4753" s="51">
        <v>71.149000000000001</v>
      </c>
      <c r="J4753" s="51">
        <v>5.59</v>
      </c>
      <c r="K4753" s="74">
        <f>Tabela6[[#This Row],[CONSUMO]]*Tabela6[[#This Row],[VALOR UNIT]]-Tabela6[[#This Row],[DESCONTO]]</f>
        <v>397.72291000000001</v>
      </c>
      <c r="L4753" s="53">
        <f>Tabela6[[#This Row],[CUSTO TOTAL]]/Tabela6[[#This Row],[CONSUMO]]</f>
        <v>5.59</v>
      </c>
      <c r="M4753" s="50">
        <f>Tabela6[[#This Row],[KM ATUAL]]-E4698</f>
        <v>31496.052</v>
      </c>
      <c r="N4753" s="51">
        <f>Tabela6[[#This Row],[KM Rodados ]]/Tabela6[[#This Row],[CONSUMO]]</f>
        <v>442.67736721528058</v>
      </c>
    </row>
    <row r="4754" spans="1:14" x14ac:dyDescent="0.25">
      <c r="A4754" s="47">
        <v>715602</v>
      </c>
      <c r="B4754" s="78">
        <v>45449</v>
      </c>
      <c r="C4754" s="47"/>
      <c r="D4754" s="49" t="s">
        <v>275</v>
      </c>
      <c r="G4754" s="50" t="s">
        <v>89</v>
      </c>
      <c r="H4754" s="51">
        <v>12.532</v>
      </c>
      <c r="J4754" s="51">
        <v>3.99</v>
      </c>
      <c r="K4754" s="74">
        <f>Tabela6[[#This Row],[CONSUMO]]*Tabela6[[#This Row],[VALOR UNIT]]-Tabela6[[#This Row],[DESCONTO]]</f>
        <v>50.002680000000005</v>
      </c>
      <c r="L4754" s="53">
        <f>Tabela6[[#This Row],[CUSTO TOTAL]]/Tabela6[[#This Row],[CONSUMO]]</f>
        <v>3.99</v>
      </c>
      <c r="M4754" s="53" t="e">
        <f t="array" ref="M4754">SE</f>
        <v>#NAME?</v>
      </c>
      <c r="N4754" s="49" t="e">
        <f>Tabela6[[#This Row],[KM Rodados ]]/Tabela6[[#This Row],[CONSUMO]]</f>
        <v>#NAME?</v>
      </c>
    </row>
    <row r="4755" spans="1:14" x14ac:dyDescent="0.25">
      <c r="A4755" s="47">
        <v>219033</v>
      </c>
      <c r="B4755" s="78">
        <v>45450</v>
      </c>
      <c r="C4755" s="47" t="s">
        <v>72</v>
      </c>
      <c r="D4755" s="49" t="s">
        <v>263</v>
      </c>
      <c r="E4755" s="47">
        <v>462651</v>
      </c>
      <c r="G4755" s="50" t="s">
        <v>89</v>
      </c>
      <c r="H4755" s="51">
        <v>43.401000000000003</v>
      </c>
      <c r="J4755" s="51">
        <v>5.94</v>
      </c>
      <c r="K4755" s="74">
        <f>Tabela6[[#This Row],[CONSUMO]]*Tabela6[[#This Row],[VALOR UNIT]]-Tabela6[[#This Row],[DESCONTO]]</f>
        <v>257.80194000000006</v>
      </c>
      <c r="L4755" s="53">
        <f>Tabela6[[#This Row],[CUSTO TOTAL]]/Tabela6[[#This Row],[CONSUMO]]</f>
        <v>5.9400000000000013</v>
      </c>
      <c r="M4755" s="50">
        <f>Tabela6[[#This Row],[KM ATUAL]]-E4699</f>
        <v>144193</v>
      </c>
      <c r="N4755" s="51">
        <f>Tabela6[[#This Row],[KM Rodados ]]/Tabela6[[#This Row],[CONSUMO]]</f>
        <v>3322.342803161217</v>
      </c>
    </row>
    <row r="4756" spans="1:14" x14ac:dyDescent="0.25">
      <c r="A4756" s="47">
        <v>25069</v>
      </c>
      <c r="B4756" s="78">
        <v>45450</v>
      </c>
      <c r="C4756" s="47" t="s">
        <v>12</v>
      </c>
      <c r="D4756" s="49" t="s">
        <v>253</v>
      </c>
      <c r="E4756" s="47">
        <v>339379</v>
      </c>
      <c r="G4756" s="50" t="s">
        <v>89</v>
      </c>
      <c r="H4756" s="51">
        <v>103.71</v>
      </c>
      <c r="J4756" s="51">
        <v>6.09</v>
      </c>
      <c r="K4756" s="74">
        <f>Tabela6[[#This Row],[CONSUMO]]*Tabela6[[#This Row],[VALOR UNIT]]-Tabela6[[#This Row],[DESCONTO]]</f>
        <v>631.59389999999996</v>
      </c>
      <c r="L4756" s="53">
        <f>Tabela6[[#This Row],[CUSTO TOTAL]]/Tabela6[[#This Row],[CONSUMO]]</f>
        <v>6.09</v>
      </c>
      <c r="M4756" s="50">
        <f>Tabela6[[#This Row],[KM ATUAL]]-E4700</f>
        <v>20921</v>
      </c>
      <c r="N4756" s="51">
        <f>Tabela6[[#This Row],[KM Rodados ]]/Tabela6[[#This Row],[CONSUMO]]</f>
        <v>201.72596663773987</v>
      </c>
    </row>
    <row r="4757" spans="1:14" x14ac:dyDescent="0.25">
      <c r="A4757" s="47">
        <v>268822</v>
      </c>
      <c r="B4757" s="78">
        <v>45450</v>
      </c>
      <c r="C4757" s="47" t="s">
        <v>14</v>
      </c>
      <c r="D4757" s="49" t="s">
        <v>262</v>
      </c>
      <c r="E4757" s="47">
        <v>335654</v>
      </c>
      <c r="G4757" s="50" t="s">
        <v>244</v>
      </c>
      <c r="H4757" s="51">
        <v>31.209</v>
      </c>
      <c r="J4757" s="51">
        <v>5.69</v>
      </c>
      <c r="K4757" s="74">
        <f>Tabela6[[#This Row],[CONSUMO]]*Tabela6[[#This Row],[VALOR UNIT]]-Tabela6[[#This Row],[DESCONTO]]</f>
        <v>177.57921000000002</v>
      </c>
      <c r="L4757" s="53">
        <f>Tabela6[[#This Row],[CUSTO TOTAL]]/Tabela6[[#This Row],[CONSUMO]]</f>
        <v>5.69</v>
      </c>
      <c r="M4757" s="53" t="e">
        <f t="array" ref="M4757">SE</f>
        <v>#NAME?</v>
      </c>
      <c r="N4757" s="49" t="e">
        <f>Tabela6[[#This Row],[KM Rodados ]]/Tabela6[[#This Row],[CONSUMO]]</f>
        <v>#NAME?</v>
      </c>
    </row>
    <row r="4758" spans="1:14" x14ac:dyDescent="0.25">
      <c r="A4758" s="47">
        <v>791344</v>
      </c>
      <c r="B4758" s="78">
        <v>45450</v>
      </c>
      <c r="C4758" s="47" t="s">
        <v>20</v>
      </c>
      <c r="D4758" s="49" t="s">
        <v>271</v>
      </c>
      <c r="E4758" s="47">
        <v>320414</v>
      </c>
      <c r="G4758" s="50" t="s">
        <v>89</v>
      </c>
      <c r="H4758" s="51">
        <v>67.03</v>
      </c>
      <c r="J4758" s="51">
        <v>5.69</v>
      </c>
      <c r="K4758" s="74">
        <f>Tabela6[[#This Row],[CONSUMO]]*Tabela6[[#This Row],[VALOR UNIT]]-Tabela6[[#This Row],[DESCONTO]]</f>
        <v>381.40070000000003</v>
      </c>
      <c r="L4758" s="53">
        <f>Tabela6[[#This Row],[CUSTO TOTAL]]/Tabela6[[#This Row],[CONSUMO]]</f>
        <v>5.69</v>
      </c>
      <c r="M4758" s="50">
        <f>Tabela6[[#This Row],[KM ATUAL]]-E4702</f>
        <v>78043</v>
      </c>
      <c r="N4758" s="51">
        <f>Tabela6[[#This Row],[KM Rodados ]]/Tabela6[[#This Row],[CONSUMO]]</f>
        <v>1164.2995673578994</v>
      </c>
    </row>
    <row r="4759" spans="1:14" x14ac:dyDescent="0.25">
      <c r="A4759" s="47">
        <v>19120</v>
      </c>
      <c r="B4759" s="78">
        <v>45450</v>
      </c>
      <c r="C4759" s="47" t="s">
        <v>38</v>
      </c>
      <c r="D4759" s="49" t="s">
        <v>255</v>
      </c>
      <c r="E4759" s="47">
        <v>149164</v>
      </c>
      <c r="G4759" s="50" t="s">
        <v>244</v>
      </c>
      <c r="H4759" s="51">
        <v>52.280999999999999</v>
      </c>
      <c r="J4759" s="51">
        <v>5.95</v>
      </c>
      <c r="K4759" s="74">
        <f>Tabela6[[#This Row],[CONSUMO]]*Tabela6[[#This Row],[VALOR UNIT]]-Tabela6[[#This Row],[DESCONTO]]</f>
        <v>311.07195000000002</v>
      </c>
      <c r="L4759" s="53">
        <f>Tabela6[[#This Row],[CUSTO TOTAL]]/Tabela6[[#This Row],[CONSUMO]]</f>
        <v>5.95</v>
      </c>
      <c r="M4759" s="50">
        <f>Tabela6[[#This Row],[KM ATUAL]]-E4703</f>
        <v>119252</v>
      </c>
      <c r="N4759" s="51">
        <f>Tabela6[[#This Row],[KM Rodados ]]/Tabela6[[#This Row],[CONSUMO]]</f>
        <v>2280.9816185612362</v>
      </c>
    </row>
    <row r="4760" spans="1:14" x14ac:dyDescent="0.25">
      <c r="A4760" s="47">
        <v>250163</v>
      </c>
      <c r="B4760" s="78">
        <v>45450</v>
      </c>
      <c r="C4760" s="47" t="s">
        <v>23</v>
      </c>
      <c r="D4760" s="49" t="s">
        <v>253</v>
      </c>
      <c r="E4760" s="47">
        <v>278637</v>
      </c>
      <c r="G4760" s="50" t="s">
        <v>241</v>
      </c>
      <c r="H4760" s="51">
        <v>28</v>
      </c>
      <c r="J4760" s="51">
        <v>3.49</v>
      </c>
      <c r="K4760" s="74">
        <f>Tabela6[[#This Row],[CONSUMO]]*Tabela6[[#This Row],[VALOR UNIT]]-Tabela6[[#This Row],[DESCONTO]]</f>
        <v>97.72</v>
      </c>
      <c r="L4760" s="53">
        <f>Tabela6[[#This Row],[CUSTO TOTAL]]/Tabela6[[#This Row],[CONSUMO]]</f>
        <v>3.4899999999999998</v>
      </c>
      <c r="M4760" s="50">
        <f>Tabela6[[#This Row],[KM ATUAL]]-E4704</f>
        <v>87553</v>
      </c>
      <c r="N4760" s="51">
        <f>Tabela6[[#This Row],[KM Rodados ]]/Tabela6[[#This Row],[CONSUMO]]</f>
        <v>3126.8928571428573</v>
      </c>
    </row>
    <row r="4761" spans="1:14" x14ac:dyDescent="0.25">
      <c r="A4761" s="47">
        <v>250163</v>
      </c>
      <c r="B4761" s="78">
        <v>45450</v>
      </c>
      <c r="C4761" s="47" t="s">
        <v>23</v>
      </c>
      <c r="D4761" s="49" t="s">
        <v>253</v>
      </c>
      <c r="E4761" s="47">
        <v>278637</v>
      </c>
      <c r="G4761" s="50" t="s">
        <v>89</v>
      </c>
      <c r="H4761" s="51">
        <v>81.48</v>
      </c>
      <c r="J4761" s="51">
        <v>6.09</v>
      </c>
      <c r="K4761" s="74">
        <f>Tabela6[[#This Row],[CONSUMO]]*Tabela6[[#This Row],[VALOR UNIT]]-Tabela6[[#This Row],[DESCONTO]]</f>
        <v>496.21320000000003</v>
      </c>
      <c r="L4761" s="53">
        <f>Tabela6[[#This Row],[CUSTO TOTAL]]/Tabela6[[#This Row],[CONSUMO]]</f>
        <v>6.09</v>
      </c>
      <c r="M4761" s="50">
        <f>Tabela6[[#This Row],[KM ATUAL]]-E4705</f>
        <v>278637</v>
      </c>
      <c r="N4761" s="51">
        <f>Tabela6[[#This Row],[KM Rodados ]]/Tabela6[[#This Row],[CONSUMO]]</f>
        <v>3419.6980854197345</v>
      </c>
    </row>
    <row r="4762" spans="1:14" x14ac:dyDescent="0.25">
      <c r="A4762" s="47">
        <v>372677</v>
      </c>
      <c r="B4762" s="78">
        <v>45451</v>
      </c>
      <c r="C4762" s="47" t="s">
        <v>222</v>
      </c>
      <c r="D4762" s="49" t="s">
        <v>270</v>
      </c>
      <c r="E4762" s="47">
        <v>586457</v>
      </c>
      <c r="G4762" s="50" t="s">
        <v>89</v>
      </c>
      <c r="H4762" s="51">
        <v>360</v>
      </c>
      <c r="J4762" s="51">
        <v>5.59</v>
      </c>
      <c r="K4762" s="74">
        <f>Tabela6[[#This Row],[CONSUMO]]*Tabela6[[#This Row],[VALOR UNIT]]-Tabela6[[#This Row],[DESCONTO]]</f>
        <v>2012.3999999999999</v>
      </c>
      <c r="L4762" s="53">
        <f>Tabela6[[#This Row],[CUSTO TOTAL]]/Tabela6[[#This Row],[CONSUMO]]</f>
        <v>5.59</v>
      </c>
      <c r="M4762" s="50">
        <f>Tabela6[[#This Row],[KM ATUAL]]-E4705</f>
        <v>586457</v>
      </c>
      <c r="N4762" s="51">
        <f>Tabela6[[#This Row],[KM Rodados ]]/Tabela6[[#This Row],[CONSUMO]]</f>
        <v>1629.0472222222222</v>
      </c>
    </row>
    <row r="4763" spans="1:14" x14ac:dyDescent="0.25">
      <c r="A4763" s="47">
        <v>273046</v>
      </c>
      <c r="B4763" s="78">
        <v>45451</v>
      </c>
      <c r="C4763" s="47" t="s">
        <v>301</v>
      </c>
      <c r="D4763" s="49" t="s">
        <v>374</v>
      </c>
      <c r="G4763" s="50" t="s">
        <v>89</v>
      </c>
      <c r="H4763" s="51">
        <v>483.53</v>
      </c>
      <c r="J4763" s="51">
        <v>5.65</v>
      </c>
      <c r="K4763" s="74">
        <f>Tabela6[[#This Row],[CONSUMO]]*Tabela6[[#This Row],[VALOR UNIT]]-Tabela6[[#This Row],[DESCONTO]]</f>
        <v>2731.9445000000001</v>
      </c>
      <c r="L4763" s="53">
        <f>Tabela6[[#This Row],[CUSTO TOTAL]]/Tabela6[[#This Row],[CONSUMO]]</f>
        <v>5.65</v>
      </c>
      <c r="M4763" s="50">
        <f>Tabela6[[#This Row],[KM ATUAL]]-E4706</f>
        <v>0</v>
      </c>
      <c r="N4763" s="51">
        <f>Tabela6[[#This Row],[KM Rodados ]]/Tabela6[[#This Row],[CONSUMO]]</f>
        <v>0</v>
      </c>
    </row>
    <row r="4764" spans="1:14" x14ac:dyDescent="0.25">
      <c r="A4764" s="47">
        <v>833426</v>
      </c>
      <c r="B4764" s="78">
        <v>45452</v>
      </c>
      <c r="C4764" s="47" t="s">
        <v>222</v>
      </c>
      <c r="D4764" s="49" t="s">
        <v>252</v>
      </c>
      <c r="E4764" s="47">
        <v>587868</v>
      </c>
      <c r="G4764" s="50" t="s">
        <v>89</v>
      </c>
      <c r="H4764" s="51">
        <v>379.01</v>
      </c>
      <c r="J4764" s="51">
        <v>5.95</v>
      </c>
      <c r="K4764" s="74">
        <f>Tabela6[[#This Row],[CONSUMO]]*Tabela6[[#This Row],[VALOR UNIT]]-Tabela6[[#This Row],[DESCONTO]]</f>
        <v>2255.1095</v>
      </c>
      <c r="L4764" s="53">
        <f>Tabela6[[#This Row],[CUSTO TOTAL]]/Tabela6[[#This Row],[CONSUMO]]</f>
        <v>5.95</v>
      </c>
      <c r="M4764" s="50">
        <f>Tabela6[[#This Row],[KM ATUAL]]-E4707</f>
        <v>-176660</v>
      </c>
      <c r="N4764" s="51">
        <f>Tabela6[[#This Row],[KM Rodados ]]/Tabela6[[#This Row],[CONSUMO]]</f>
        <v>-466.10907363921797</v>
      </c>
    </row>
    <row r="4765" spans="1:14" x14ac:dyDescent="0.25">
      <c r="A4765" s="47">
        <v>833426</v>
      </c>
      <c r="B4765" s="78">
        <v>45452</v>
      </c>
      <c r="C4765" s="47" t="s">
        <v>222</v>
      </c>
      <c r="D4765" s="49" t="s">
        <v>252</v>
      </c>
      <c r="E4765" s="47">
        <v>587868</v>
      </c>
      <c r="G4765" s="50" t="s">
        <v>241</v>
      </c>
      <c r="H4765" s="51">
        <v>25.04</v>
      </c>
      <c r="J4765" s="51">
        <v>2.6</v>
      </c>
      <c r="K4765" s="74">
        <f>Tabela6[[#This Row],[CONSUMO]]*Tabela6[[#This Row],[VALOR UNIT]]-Tabela6[[#This Row],[DESCONTO]]</f>
        <v>65.103999999999999</v>
      </c>
      <c r="L4765" s="53">
        <f>Tabela6[[#This Row],[CUSTO TOTAL]]/Tabela6[[#This Row],[CONSUMO]]</f>
        <v>2.6</v>
      </c>
      <c r="M4765" s="50">
        <f>Tabela6[[#This Row],[KM ATUAL]]-E4708</f>
        <v>253414</v>
      </c>
      <c r="N4765" s="51">
        <f>Tabela6[[#This Row],[KM Rodados ]]/Tabela6[[#This Row],[CONSUMO]]</f>
        <v>10120.367412140575</v>
      </c>
    </row>
    <row r="4766" spans="1:14" x14ac:dyDescent="0.25">
      <c r="A4766" s="47">
        <v>59462</v>
      </c>
      <c r="B4766" s="78">
        <v>45452</v>
      </c>
      <c r="C4766" s="47" t="s">
        <v>301</v>
      </c>
      <c r="E4766" s="47">
        <v>1113362</v>
      </c>
      <c r="G4766" s="50" t="s">
        <v>89</v>
      </c>
      <c r="H4766" s="51">
        <v>288.89</v>
      </c>
      <c r="J4766" s="51">
        <v>4.0259999999999998</v>
      </c>
      <c r="K4766" s="74">
        <f>Tabela6[[#This Row],[CONSUMO]]*Tabela6[[#This Row],[VALOR UNIT]]-Tabela6[[#This Row],[DESCONTO]]</f>
        <v>1163.0711399999998</v>
      </c>
      <c r="L4766" s="53">
        <f>Tabela6[[#This Row],[CUSTO TOTAL]]/Tabela6[[#This Row],[CONSUMO]]</f>
        <v>4.0259999999999998</v>
      </c>
      <c r="M4766" s="50">
        <f>Tabela6[[#This Row],[KM ATUAL]]-E4709</f>
        <v>964722</v>
      </c>
      <c r="N4766" s="51">
        <f>Tabela6[[#This Row],[KM Rodados ]]/Tabela6[[#This Row],[CONSUMO]]</f>
        <v>3339.4094638097549</v>
      </c>
    </row>
    <row r="4767" spans="1:14" x14ac:dyDescent="0.25">
      <c r="A4767" s="47">
        <v>1148183</v>
      </c>
      <c r="B4767" s="78">
        <v>45452</v>
      </c>
      <c r="C4767" s="47" t="s">
        <v>301</v>
      </c>
      <c r="D4767" s="49" t="s">
        <v>481</v>
      </c>
      <c r="E4767" s="47">
        <v>1113570</v>
      </c>
      <c r="G4767" s="50" t="s">
        <v>89</v>
      </c>
      <c r="H4767" s="51">
        <v>423</v>
      </c>
      <c r="J4767" s="51">
        <v>5.74</v>
      </c>
      <c r="K4767" s="74">
        <f>Tabela6[[#This Row],[CONSUMO]]*Tabela6[[#This Row],[VALOR UNIT]]-Tabela6[[#This Row],[DESCONTO]]</f>
        <v>2428.02</v>
      </c>
      <c r="L4767" s="53">
        <f>Tabela6[[#This Row],[CUSTO TOTAL]]/Tabela6[[#This Row],[CONSUMO]]</f>
        <v>5.74</v>
      </c>
      <c r="M4767" s="50">
        <f>Tabela6[[#This Row],[KM ATUAL]]-E4710</f>
        <v>835905</v>
      </c>
      <c r="N4767" s="51">
        <f>Tabela6[[#This Row],[KM Rodados ]]/Tabela6[[#This Row],[CONSUMO]]</f>
        <v>1976.1347517730496</v>
      </c>
    </row>
    <row r="4768" spans="1:14" x14ac:dyDescent="0.25">
      <c r="A4768" s="47">
        <v>504754</v>
      </c>
      <c r="B4768" s="78">
        <v>45453</v>
      </c>
      <c r="C4768" s="47" t="s">
        <v>67</v>
      </c>
      <c r="D4768" s="49" t="s">
        <v>269</v>
      </c>
      <c r="E4768" s="47">
        <v>717950</v>
      </c>
      <c r="G4768" s="50" t="s">
        <v>89</v>
      </c>
      <c r="H4768" s="51">
        <v>136</v>
      </c>
      <c r="J4768" s="51">
        <v>5.69</v>
      </c>
      <c r="K4768" s="74">
        <f>Tabela6[[#This Row],[CONSUMO]]*Tabela6[[#This Row],[VALOR UNIT]]-Tabela6[[#This Row],[DESCONTO]]</f>
        <v>773.84</v>
      </c>
      <c r="L4768" s="53">
        <f>Tabela6[[#This Row],[CUSTO TOTAL]]/Tabela6[[#This Row],[CONSUMO]]</f>
        <v>5.69</v>
      </c>
      <c r="M4768" s="50">
        <f>Tabela6[[#This Row],[KM ATUAL]]-E4711</f>
        <v>511090</v>
      </c>
      <c r="N4768" s="51">
        <f>Tabela6[[#This Row],[KM Rodados ]]/Tabela6[[#This Row],[CONSUMO]]</f>
        <v>3758.0147058823532</v>
      </c>
    </row>
    <row r="4769" spans="1:14" x14ac:dyDescent="0.25">
      <c r="A4769" s="47">
        <v>269492</v>
      </c>
      <c r="B4769" s="78">
        <v>45453</v>
      </c>
      <c r="C4769" s="47" t="s">
        <v>40</v>
      </c>
      <c r="D4769" s="49" t="s">
        <v>262</v>
      </c>
      <c r="E4769" s="47">
        <v>208361</v>
      </c>
      <c r="G4769" s="50" t="s">
        <v>244</v>
      </c>
      <c r="H4769" s="51">
        <v>38.209000000000003</v>
      </c>
      <c r="J4769" s="51">
        <v>5.69</v>
      </c>
      <c r="K4769" s="74">
        <f>Tabela6[[#This Row],[CONSUMO]]*Tabela6[[#This Row],[VALOR UNIT]]-Tabela6[[#This Row],[DESCONTO]]</f>
        <v>217.40921000000003</v>
      </c>
      <c r="L4769" s="53">
        <f>Tabela6[[#This Row],[CUSTO TOTAL]]/Tabela6[[#This Row],[CONSUMO]]</f>
        <v>5.69</v>
      </c>
      <c r="M4769" s="50">
        <f>Tabela6[[#This Row],[KM ATUAL]]-E4712</f>
        <v>40899</v>
      </c>
      <c r="N4769" s="51">
        <f>Tabela6[[#This Row],[KM Rodados ]]/Tabela6[[#This Row],[CONSUMO]]</f>
        <v>1070.40226124735</v>
      </c>
    </row>
    <row r="4770" spans="1:14" x14ac:dyDescent="0.25">
      <c r="A4770" s="47">
        <v>25284</v>
      </c>
      <c r="B4770" s="78">
        <v>45453</v>
      </c>
      <c r="C4770" s="47" t="s">
        <v>315</v>
      </c>
      <c r="D4770" s="49" t="s">
        <v>253</v>
      </c>
      <c r="E4770" s="47">
        <v>33310</v>
      </c>
      <c r="G4770" s="50" t="s">
        <v>241</v>
      </c>
      <c r="H4770" s="51">
        <v>8</v>
      </c>
      <c r="J4770" s="51">
        <v>3.49</v>
      </c>
      <c r="K4770" s="74">
        <f>Tabela6[[#This Row],[CONSUMO]]*Tabela6[[#This Row],[VALOR UNIT]]-Tabela6[[#This Row],[DESCONTO]]</f>
        <v>27.92</v>
      </c>
      <c r="L4770" s="53">
        <f>Tabela6[[#This Row],[CUSTO TOTAL]]/Tabela6[[#This Row],[CONSUMO]]</f>
        <v>3.49</v>
      </c>
      <c r="M4770" s="50">
        <f>Tabela6[[#This Row],[KM ATUAL]]-E4713</f>
        <v>-975528</v>
      </c>
      <c r="N4770" s="51">
        <f>Tabela6[[#This Row],[KM Rodados ]]/Tabela6[[#This Row],[CONSUMO]]</f>
        <v>-121941</v>
      </c>
    </row>
    <row r="4771" spans="1:14" x14ac:dyDescent="0.25">
      <c r="A4771" s="47">
        <v>25284</v>
      </c>
      <c r="B4771" s="78">
        <v>45453</v>
      </c>
      <c r="C4771" s="47" t="s">
        <v>315</v>
      </c>
      <c r="D4771" s="49" t="s">
        <v>253</v>
      </c>
      <c r="E4771" s="47">
        <v>33310</v>
      </c>
      <c r="G4771" s="50" t="s">
        <v>89</v>
      </c>
      <c r="H4771" s="51">
        <v>62</v>
      </c>
      <c r="J4771" s="51">
        <v>6.09</v>
      </c>
      <c r="K4771" s="74">
        <f>Tabela6[[#This Row],[CONSUMO]]*Tabela6[[#This Row],[VALOR UNIT]]-Tabela6[[#This Row],[DESCONTO]]</f>
        <v>377.58</v>
      </c>
      <c r="L4771" s="53">
        <f>Tabela6[[#This Row],[CUSTO TOTAL]]/Tabela6[[#This Row],[CONSUMO]]</f>
        <v>6.09</v>
      </c>
      <c r="M4771" s="50">
        <f>Tabela6[[#This Row],[KM ATUAL]]-E4714</f>
        <v>-683490</v>
      </c>
      <c r="N4771" s="51">
        <f>Tabela6[[#This Row],[KM Rodados ]]/Tabela6[[#This Row],[CONSUMO]]</f>
        <v>-11024.032258064517</v>
      </c>
    </row>
    <row r="4772" spans="1:14" x14ac:dyDescent="0.25">
      <c r="A4772" s="47">
        <v>505267</v>
      </c>
      <c r="B4772" s="78">
        <v>45454</v>
      </c>
      <c r="C4772" s="47" t="s">
        <v>67</v>
      </c>
      <c r="D4772" s="49" t="s">
        <v>269</v>
      </c>
      <c r="E4772" s="47">
        <v>718477</v>
      </c>
      <c r="G4772" s="50" t="s">
        <v>89</v>
      </c>
      <c r="H4772" s="51">
        <v>138.38</v>
      </c>
      <c r="J4772" s="51">
        <v>5.69</v>
      </c>
      <c r="K4772" s="74">
        <f>Tabela6[[#This Row],[CONSUMO]]*Tabela6[[#This Row],[VALOR UNIT]]-Tabela6[[#This Row],[DESCONTO]]</f>
        <v>787.38220000000001</v>
      </c>
      <c r="L4772" s="53">
        <f>Tabela6[[#This Row],[CUSTO TOTAL]]/Tabela6[[#This Row],[CONSUMO]]</f>
        <v>5.69</v>
      </c>
      <c r="M4772" s="50">
        <f>Tabela6[[#This Row],[KM ATUAL]]-E4715</f>
        <v>256894</v>
      </c>
      <c r="N4772" s="51">
        <f>Tabela6[[#This Row],[KM Rodados ]]/Tabela6[[#This Row],[CONSUMO]]</f>
        <v>1856.4387917329095</v>
      </c>
    </row>
    <row r="4773" spans="1:14" x14ac:dyDescent="0.25">
      <c r="A4773" s="47">
        <v>269679</v>
      </c>
      <c r="B4773" s="78">
        <v>45454</v>
      </c>
      <c r="C4773" s="49" t="s">
        <v>14</v>
      </c>
      <c r="D4773" s="49" t="s">
        <v>262</v>
      </c>
      <c r="E4773" s="47">
        <v>336030</v>
      </c>
      <c r="G4773" s="49" t="s">
        <v>244</v>
      </c>
      <c r="H4773" s="51">
        <v>28.439</v>
      </c>
      <c r="J4773" s="51">
        <v>5.69</v>
      </c>
      <c r="K4773" s="74">
        <f>Tabela6[[#This Row],[CONSUMO]]*Tabela6[[#This Row],[VALOR UNIT]]-Tabela6[[#This Row],[DESCONTO]]</f>
        <v>161.81791000000001</v>
      </c>
      <c r="M4773" s="50">
        <f>Tabela6[[#This Row],[KM ATUAL]]-E4716</f>
        <v>336030</v>
      </c>
      <c r="N4773" s="51">
        <f>Tabela6[[#This Row],[KM Rodados ]]/Tabela6[[#This Row],[CONSUMO]]</f>
        <v>11815.816308590316</v>
      </c>
    </row>
    <row r="4774" spans="1:14" x14ac:dyDescent="0.25">
      <c r="A4774" s="47">
        <v>406950</v>
      </c>
      <c r="B4774" s="78">
        <v>45454</v>
      </c>
      <c r="C4774" s="49" t="s">
        <v>40</v>
      </c>
      <c r="D4774" s="49" t="s">
        <v>276</v>
      </c>
      <c r="E4774" s="47">
        <v>208813</v>
      </c>
      <c r="G4774" s="49" t="s">
        <v>244</v>
      </c>
      <c r="H4774" s="51">
        <v>32.978999999999999</v>
      </c>
      <c r="J4774" s="51">
        <v>5.79</v>
      </c>
      <c r="K4774" s="74">
        <f>Tabela6[[#This Row],[CONSUMO]]*Tabela6[[#This Row],[VALOR UNIT]]-Tabela6[[#This Row],[DESCONTO]]</f>
        <v>190.94841</v>
      </c>
      <c r="M4774" s="50">
        <f>Tabela6[[#This Row],[KM ATUAL]]-E4717</f>
        <v>-113354</v>
      </c>
      <c r="N4774" s="51">
        <f>Tabela6[[#This Row],[KM Rodados ]]/Tabela6[[#This Row],[CONSUMO]]</f>
        <v>-3437.1569786834048</v>
      </c>
    </row>
    <row r="4775" spans="1:14" x14ac:dyDescent="0.25">
      <c r="A4775" s="47">
        <v>269870</v>
      </c>
      <c r="B4775" s="78">
        <v>45455</v>
      </c>
      <c r="C4775" s="47" t="s">
        <v>43</v>
      </c>
      <c r="D4775" s="49" t="s">
        <v>262</v>
      </c>
      <c r="E4775" s="47">
        <v>193017</v>
      </c>
      <c r="G4775" s="50" t="s">
        <v>89</v>
      </c>
      <c r="H4775" s="51">
        <v>14.55</v>
      </c>
      <c r="J4775" s="51">
        <v>6.09</v>
      </c>
      <c r="K4775" s="74">
        <f>Tabela6[[#This Row],[CONSUMO]]*Tabela6[[#This Row],[VALOR UNIT]]-Tabela6[[#This Row],[DESCONTO]]</f>
        <v>88.609499999999997</v>
      </c>
      <c r="L4775" s="53">
        <f>Tabela6[[#This Row],[CUSTO TOTAL]]/Tabela6[[#This Row],[CONSUMO]]</f>
        <v>6.09</v>
      </c>
      <c r="M4775" s="50">
        <f>Tabela6[[#This Row],[KM ATUAL]]-E4718</f>
        <v>-167986</v>
      </c>
      <c r="N4775" s="51">
        <f>Tabela6[[#This Row],[KM Rodados ]]/Tabela6[[#This Row],[CONSUMO]]</f>
        <v>-11545.429553264605</v>
      </c>
    </row>
    <row r="4776" spans="1:14" x14ac:dyDescent="0.25">
      <c r="A4776" s="47">
        <v>407101</v>
      </c>
      <c r="B4776" s="78">
        <v>45455</v>
      </c>
      <c r="C4776" s="47" t="s">
        <v>203</v>
      </c>
      <c r="D4776" s="49" t="s">
        <v>276</v>
      </c>
      <c r="E4776" s="47">
        <v>169102</v>
      </c>
      <c r="G4776" s="50" t="s">
        <v>244</v>
      </c>
      <c r="H4776" s="51">
        <v>44.76</v>
      </c>
      <c r="J4776" s="51">
        <v>5.79</v>
      </c>
      <c r="K4776" s="74">
        <f>Tabela6[[#This Row],[CONSUMO]]*Tabela6[[#This Row],[VALOR UNIT]]-Tabela6[[#This Row],[DESCONTO]]</f>
        <v>259.16039999999998</v>
      </c>
      <c r="L4776" s="53">
        <f>Tabela6[[#This Row],[CUSTO TOTAL]]/Tabela6[[#This Row],[CONSUMO]]</f>
        <v>5.79</v>
      </c>
      <c r="M4776" s="50">
        <f>Tabela6[[#This Row],[KM ATUAL]]-E4719</f>
        <v>-415114</v>
      </c>
      <c r="N4776" s="51">
        <f>Tabela6[[#This Row],[KM Rodados ]]/Tabela6[[#This Row],[CONSUMO]]</f>
        <v>-9274.2180518319929</v>
      </c>
    </row>
    <row r="4777" spans="1:14" x14ac:dyDescent="0.25">
      <c r="A4777" s="47">
        <v>219942</v>
      </c>
      <c r="B4777" s="78">
        <v>45455</v>
      </c>
      <c r="C4777" s="47" t="s">
        <v>72</v>
      </c>
      <c r="D4777" s="49" t="s">
        <v>263</v>
      </c>
      <c r="E4777" s="47">
        <v>463544</v>
      </c>
      <c r="G4777" s="50" t="s">
        <v>89</v>
      </c>
      <c r="H4777" s="51">
        <v>28.381</v>
      </c>
      <c r="J4777" s="51">
        <v>5.94</v>
      </c>
      <c r="K4777" s="74">
        <f>Tabela6[[#This Row],[CONSUMO]]*Tabela6[[#This Row],[VALOR UNIT]]-Tabela6[[#This Row],[DESCONTO]]</f>
        <v>168.58314000000001</v>
      </c>
      <c r="L4777" s="53">
        <f>Tabela6[[#This Row],[CUSTO TOTAL]]/Tabela6[[#This Row],[CONSUMO]]</f>
        <v>5.94</v>
      </c>
      <c r="M4777" s="50">
        <f>Tabela6[[#This Row],[KM ATUAL]]-E4720</f>
        <v>-120672</v>
      </c>
      <c r="N4777" s="51">
        <f>Tabela6[[#This Row],[KM Rodados ]]/Tabela6[[#This Row],[CONSUMO]]</f>
        <v>-4251.8586378210775</v>
      </c>
    </row>
    <row r="4778" spans="1:14" x14ac:dyDescent="0.25">
      <c r="A4778" s="47">
        <v>2465778</v>
      </c>
      <c r="B4778" s="78">
        <v>45455</v>
      </c>
      <c r="C4778" s="49" t="s">
        <v>10</v>
      </c>
      <c r="D4778" s="49" t="s">
        <v>482</v>
      </c>
      <c r="E4778" s="47">
        <v>766947</v>
      </c>
      <c r="G4778" s="49" t="s">
        <v>89</v>
      </c>
      <c r="H4778" s="51">
        <v>186.28700000000001</v>
      </c>
      <c r="J4778" s="51">
        <v>5.73</v>
      </c>
      <c r="K4778" s="74">
        <f>Tabela6[[#This Row],[CONSUMO]]*Tabela6[[#This Row],[VALOR UNIT]]-Tabela6[[#This Row],[DESCONTO]]</f>
        <v>1067.4245100000001</v>
      </c>
      <c r="M4778" s="50">
        <f>Tabela6[[#This Row],[KM ATUAL]]-E4721</f>
        <v>-346134</v>
      </c>
      <c r="N4778" s="51">
        <f>Tabela6[[#This Row],[KM Rodados ]]/Tabela6[[#This Row],[CONSUMO]]</f>
        <v>-1858.068464251397</v>
      </c>
    </row>
    <row r="4779" spans="1:14" x14ac:dyDescent="0.25">
      <c r="A4779" s="47">
        <v>496189</v>
      </c>
      <c r="B4779" s="78">
        <v>45455</v>
      </c>
      <c r="C4779" s="47" t="s">
        <v>301</v>
      </c>
      <c r="D4779" s="49" t="s">
        <v>487</v>
      </c>
      <c r="E4779" s="47">
        <v>1113433</v>
      </c>
      <c r="G4779" s="50" t="s">
        <v>89</v>
      </c>
      <c r="H4779" s="51">
        <v>357.00700000000001</v>
      </c>
      <c r="J4779" s="51">
        <v>5.59</v>
      </c>
      <c r="K4779" s="74">
        <f>Tabela6[[#This Row],[CONSUMO]]*Tabela6[[#This Row],[VALOR UNIT]]-Tabela6[[#This Row],[DESCONTO]]</f>
        <v>1995.66913</v>
      </c>
      <c r="L4779" s="53">
        <f>Tabela6[[#This Row],[CUSTO TOTAL]]/Tabela6[[#This Row],[CONSUMO]]</f>
        <v>5.59</v>
      </c>
      <c r="M4779" s="50">
        <f>Tabela6[[#This Row],[KM ATUAL]]-E4722</f>
        <v>997342</v>
      </c>
      <c r="N4779" s="51">
        <f>Tabela6[[#This Row],[KM Rodados ]]/Tabela6[[#This Row],[CONSUMO]]</f>
        <v>2793.620293159518</v>
      </c>
    </row>
    <row r="4780" spans="1:14" x14ac:dyDescent="0.25">
      <c r="A4780" s="47">
        <v>20435</v>
      </c>
      <c r="B4780" s="78">
        <v>45455</v>
      </c>
      <c r="C4780" s="47" t="s">
        <v>16</v>
      </c>
      <c r="D4780" s="49" t="s">
        <v>255</v>
      </c>
      <c r="E4780" s="47">
        <v>323157</v>
      </c>
      <c r="G4780" s="50" t="s">
        <v>89</v>
      </c>
      <c r="H4780" s="51">
        <v>111.471</v>
      </c>
      <c r="J4780" s="51">
        <v>5.99</v>
      </c>
      <c r="K4780" s="74">
        <f>Tabela6[[#This Row],[CONSUMO]]*Tabela6[[#This Row],[VALOR UNIT]]-Tabela6[[#This Row],[DESCONTO]]</f>
        <v>667.71129000000008</v>
      </c>
      <c r="L4780" s="53">
        <f>Tabela6[[#This Row],[CUSTO TOTAL]]/Tabela6[[#This Row],[CONSUMO]]</f>
        <v>5.99</v>
      </c>
      <c r="M4780" s="50">
        <f>Tabela6[[#This Row],[KM ATUAL]]-E4723</f>
        <v>-339254</v>
      </c>
      <c r="N4780" s="51">
        <f>Tabela6[[#This Row],[KM Rodados ]]/Tabela6[[#This Row],[CONSUMO]]</f>
        <v>-3043.4283356209239</v>
      </c>
    </row>
    <row r="4781" spans="1:14" x14ac:dyDescent="0.25">
      <c r="A4781" s="47">
        <v>20275</v>
      </c>
      <c r="B4781" s="78">
        <v>45455</v>
      </c>
      <c r="C4781" s="47" t="s">
        <v>18</v>
      </c>
      <c r="D4781" s="49" t="s">
        <v>255</v>
      </c>
      <c r="E4781" s="47">
        <v>362171</v>
      </c>
      <c r="G4781" s="50" t="s">
        <v>89</v>
      </c>
      <c r="H4781" s="51">
        <v>63.85</v>
      </c>
      <c r="J4781" s="51">
        <v>5.99</v>
      </c>
      <c r="K4781" s="74">
        <f>Tabela6[[#This Row],[CONSUMO]]*Tabela6[[#This Row],[VALOR UNIT]]-Tabela6[[#This Row],[DESCONTO]]</f>
        <v>382.4615</v>
      </c>
      <c r="L4781" s="53">
        <f>Tabela6[[#This Row],[CUSTO TOTAL]]/Tabela6[[#This Row],[CONSUMO]]</f>
        <v>5.99</v>
      </c>
      <c r="M4781" s="50">
        <f>Tabela6[[#This Row],[KM ATUAL]]-E4724</f>
        <v>-223223</v>
      </c>
      <c r="N4781" s="51">
        <f>Tabela6[[#This Row],[KM Rodados ]]/Tabela6[[#This Row],[CONSUMO]]</f>
        <v>-3496.0532498042285</v>
      </c>
    </row>
    <row r="4782" spans="1:14" x14ac:dyDescent="0.25">
      <c r="A4782" s="47">
        <v>1691708</v>
      </c>
      <c r="B4782" s="78">
        <v>45455</v>
      </c>
      <c r="C4782" s="47" t="s">
        <v>19</v>
      </c>
      <c r="D4782" s="49" t="s">
        <v>305</v>
      </c>
      <c r="E4782" s="47">
        <v>381108</v>
      </c>
      <c r="G4782" s="50" t="s">
        <v>89</v>
      </c>
      <c r="H4782" s="51">
        <v>130.02000000000001</v>
      </c>
      <c r="J4782" s="51">
        <v>5.82</v>
      </c>
      <c r="K4782" s="74">
        <f>Tabela6[[#This Row],[CONSUMO]]*Tabela6[[#This Row],[VALOR UNIT]]-Tabela6[[#This Row],[DESCONTO]]</f>
        <v>756.71640000000014</v>
      </c>
      <c r="L4782" s="53">
        <f>Tabela6[[#This Row],[CUSTO TOTAL]]/Tabela6[[#This Row],[CONSUMO]]</f>
        <v>5.82</v>
      </c>
      <c r="M4782" s="50">
        <f>Tabela6[[#This Row],[KM ATUAL]]-E4725</f>
        <v>-204286</v>
      </c>
      <c r="N4782" s="51">
        <f>Tabela6[[#This Row],[KM Rodados ]]/Tabela6[[#This Row],[CONSUMO]]</f>
        <v>-1571.1890478387938</v>
      </c>
    </row>
    <row r="4783" spans="1:14" x14ac:dyDescent="0.25">
      <c r="A4783" s="47">
        <v>2134953</v>
      </c>
      <c r="B4783" s="78">
        <v>45455</v>
      </c>
      <c r="C4783" s="47" t="s">
        <v>19</v>
      </c>
      <c r="D4783" s="49" t="s">
        <v>252</v>
      </c>
      <c r="E4783" s="47">
        <v>381553</v>
      </c>
      <c r="G4783" s="50" t="s">
        <v>89</v>
      </c>
      <c r="H4783" s="51">
        <v>95.27</v>
      </c>
      <c r="J4783" s="51">
        <v>5.95</v>
      </c>
      <c r="K4783" s="74">
        <f>Tabela6[[#This Row],[CONSUMO]]*Tabela6[[#This Row],[VALOR UNIT]]-Tabela6[[#This Row],[DESCONTO]]</f>
        <v>566.85649999999998</v>
      </c>
      <c r="L4783" s="53">
        <f>Tabela6[[#This Row],[CUSTO TOTAL]]/Tabela6[[#This Row],[CONSUMO]]</f>
        <v>5.95</v>
      </c>
      <c r="M4783" s="50">
        <f>Tabela6[[#This Row],[KM ATUAL]]-E4726</f>
        <v>-1299047</v>
      </c>
      <c r="N4783" s="51">
        <f>Tabela6[[#This Row],[KM Rodados ]]/Tabela6[[#This Row],[CONSUMO]]</f>
        <v>-13635.425632413142</v>
      </c>
    </row>
    <row r="4784" spans="1:14" x14ac:dyDescent="0.25">
      <c r="A4784" s="47">
        <v>20441</v>
      </c>
      <c r="B4784" s="78">
        <v>45455</v>
      </c>
      <c r="C4784" s="47" t="s">
        <v>23</v>
      </c>
      <c r="D4784" s="49" t="s">
        <v>255</v>
      </c>
      <c r="E4784" s="47">
        <v>279391</v>
      </c>
      <c r="G4784" s="50" t="s">
        <v>89</v>
      </c>
      <c r="H4784" s="51">
        <v>177.61099999999999</v>
      </c>
      <c r="J4784" s="51">
        <v>6.26</v>
      </c>
      <c r="K4784" s="74">
        <f>Tabela6[[#This Row],[CONSUMO]]*Tabela6[[#This Row],[VALOR UNIT]]-Tabela6[[#This Row],[DESCONTO]]</f>
        <v>1111.8448599999999</v>
      </c>
      <c r="L4784" s="53">
        <f>Tabela6[[#This Row],[CUSTO TOTAL]]/Tabela6[[#This Row],[CONSUMO]]</f>
        <v>6.26</v>
      </c>
      <c r="M4784" s="50">
        <f>Tabela6[[#This Row],[KM ATUAL]]-E4727</f>
        <v>160552</v>
      </c>
      <c r="N4784" s="51">
        <f>Tabela6[[#This Row],[KM Rodados ]]/Tabela6[[#This Row],[CONSUMO]]</f>
        <v>903.95302092775785</v>
      </c>
    </row>
    <row r="4785" spans="1:14" x14ac:dyDescent="0.25">
      <c r="A4785" s="47">
        <v>407199</v>
      </c>
      <c r="B4785" s="78">
        <v>45455</v>
      </c>
      <c r="C4785" s="47" t="s">
        <v>446</v>
      </c>
      <c r="D4785" s="49" t="s">
        <v>276</v>
      </c>
      <c r="E4785" s="47">
        <v>17603</v>
      </c>
      <c r="G4785" s="50" t="s">
        <v>241</v>
      </c>
      <c r="H4785" s="51">
        <v>33.296999999999997</v>
      </c>
      <c r="J4785" s="51">
        <v>3.69</v>
      </c>
      <c r="K4785" s="74">
        <f>Tabela6[[#This Row],[CONSUMO]]*Tabela6[[#This Row],[VALOR UNIT]]-Tabela6[[#This Row],[DESCONTO]]</f>
        <v>122.86592999999999</v>
      </c>
      <c r="L4785" s="53">
        <f>Tabela6[[#This Row],[CUSTO TOTAL]]/Tabela6[[#This Row],[CONSUMO]]</f>
        <v>3.69</v>
      </c>
      <c r="M4785" s="50" t="e">
        <f>Tabela6[[#This Row],[KM ATUAL]]-#REF!</f>
        <v>#REF!</v>
      </c>
      <c r="N4785" s="51" t="e">
        <f>Tabela6[[#This Row],[KM Rodados ]]/Tabela6[[#This Row],[CONSUMO]]</f>
        <v>#REF!</v>
      </c>
    </row>
    <row r="4786" spans="1:14" x14ac:dyDescent="0.25">
      <c r="A4786" s="47" t="s">
        <v>486</v>
      </c>
      <c r="B4786" s="78">
        <v>45456</v>
      </c>
      <c r="C4786" s="47" t="s">
        <v>43</v>
      </c>
      <c r="D4786" s="49" t="s">
        <v>271</v>
      </c>
      <c r="E4786" s="47">
        <v>193580</v>
      </c>
      <c r="G4786" s="50" t="s">
        <v>89</v>
      </c>
      <c r="H4786" s="51">
        <v>19.131</v>
      </c>
      <c r="J4786" s="51">
        <v>5.75</v>
      </c>
      <c r="K4786" s="74">
        <f>Tabela6[[#This Row],[CONSUMO]]*Tabela6[[#This Row],[VALOR UNIT]]-Tabela6[[#This Row],[DESCONTO]]</f>
        <v>110.00325000000001</v>
      </c>
      <c r="L4786" s="53">
        <f>Tabela6[[#This Row],[CUSTO TOTAL]]/Tabela6[[#This Row],[CONSUMO]]</f>
        <v>5.75</v>
      </c>
      <c r="M4786" s="50">
        <f>Tabela6[[#This Row],[KM ATUAL]]-E4729</f>
        <v>163123</v>
      </c>
      <c r="N4786" s="51">
        <f>Tabela6[[#This Row],[KM Rodados ]]/Tabela6[[#This Row],[CONSUMO]]</f>
        <v>8526.6321676859552</v>
      </c>
    </row>
    <row r="4787" spans="1:14" x14ac:dyDescent="0.25">
      <c r="A4787" s="47">
        <v>718390</v>
      </c>
      <c r="B4787" s="78">
        <v>45456</v>
      </c>
      <c r="C4787" s="47" t="s">
        <v>222</v>
      </c>
      <c r="D4787" s="49" t="s">
        <v>275</v>
      </c>
      <c r="E4787" s="47">
        <v>589432</v>
      </c>
      <c r="G4787" s="50" t="s">
        <v>89</v>
      </c>
      <c r="H4787" s="51">
        <v>470.72</v>
      </c>
      <c r="J4787" s="51">
        <v>5.66</v>
      </c>
      <c r="K4787" s="74">
        <f>Tabela6[[#This Row],[CONSUMO]]*Tabela6[[#This Row],[VALOR UNIT]]-Tabela6[[#This Row],[DESCONTO]]</f>
        <v>2664.2752</v>
      </c>
      <c r="L4787" s="53">
        <f>Tabela6[[#This Row],[CUSTO TOTAL]]/Tabela6[[#This Row],[CONSUMO]]</f>
        <v>5.66</v>
      </c>
      <c r="M4787" s="50">
        <f>Tabela6[[#This Row],[KM ATUAL]]-E4730</f>
        <v>566810</v>
      </c>
      <c r="N4787" s="51">
        <f>Tabela6[[#This Row],[KM Rodados ]]/Tabela6[[#This Row],[CONSUMO]]</f>
        <v>1204.1340924541128</v>
      </c>
    </row>
    <row r="4788" spans="1:14" x14ac:dyDescent="0.25">
      <c r="A4788" s="47">
        <v>225042</v>
      </c>
      <c r="B4788" s="78">
        <v>45456</v>
      </c>
      <c r="C4788" s="47" t="s">
        <v>222</v>
      </c>
      <c r="D4788" s="49" t="s">
        <v>300</v>
      </c>
      <c r="E4788" s="47">
        <v>589321</v>
      </c>
      <c r="G4788" s="50" t="s">
        <v>89</v>
      </c>
      <c r="H4788" s="51">
        <v>100</v>
      </c>
      <c r="J4788" s="51">
        <v>5.75</v>
      </c>
      <c r="K4788" s="74">
        <f>Tabela6[[#This Row],[CONSUMO]]*Tabela6[[#This Row],[VALOR UNIT]]-Tabela6[[#This Row],[DESCONTO]]</f>
        <v>575</v>
      </c>
      <c r="L4788" s="53">
        <f>Tabela6[[#This Row],[CUSTO TOTAL]]/Tabela6[[#This Row],[CONSUMO]]</f>
        <v>5.75</v>
      </c>
      <c r="M4788" s="50">
        <f>Tabela6[[#This Row],[KM ATUAL]]-E4731</f>
        <v>573660</v>
      </c>
      <c r="N4788" s="51">
        <f>Tabela6[[#This Row],[KM Rodados ]]/Tabela6[[#This Row],[CONSUMO]]</f>
        <v>5736.6</v>
      </c>
    </row>
    <row r="4789" spans="1:14" x14ac:dyDescent="0.25">
      <c r="A4789" s="47">
        <v>225044</v>
      </c>
      <c r="B4789" s="78">
        <v>45456</v>
      </c>
      <c r="C4789" s="47" t="s">
        <v>222</v>
      </c>
      <c r="D4789" s="49" t="s">
        <v>300</v>
      </c>
      <c r="E4789" s="47">
        <v>589321</v>
      </c>
      <c r="G4789" s="50" t="s">
        <v>241</v>
      </c>
      <c r="H4789" s="51">
        <v>25</v>
      </c>
      <c r="J4789" s="51">
        <v>2.99</v>
      </c>
      <c r="K4789" s="74">
        <f>Tabela6[[#This Row],[CONSUMO]]*Tabela6[[#This Row],[VALOR UNIT]]-Tabela6[[#This Row],[DESCONTO]]</f>
        <v>74.75</v>
      </c>
      <c r="L4789" s="53">
        <f>Tabela6[[#This Row],[CUSTO TOTAL]]/Tabela6[[#This Row],[CONSUMO]]</f>
        <v>2.99</v>
      </c>
      <c r="M4789" s="50">
        <f>Tabela6[[#This Row],[KM ATUAL]]-E4732</f>
        <v>-127542</v>
      </c>
      <c r="N4789" s="51">
        <f>Tabela6[[#This Row],[KM Rodados ]]/Tabela6[[#This Row],[CONSUMO]]</f>
        <v>-5101.68</v>
      </c>
    </row>
    <row r="4790" spans="1:14" x14ac:dyDescent="0.25">
      <c r="A4790" s="47">
        <v>505781</v>
      </c>
      <c r="B4790" s="78">
        <v>45456</v>
      </c>
      <c r="C4790" s="47" t="s">
        <v>67</v>
      </c>
      <c r="D4790" s="49" t="s">
        <v>269</v>
      </c>
      <c r="E4790" s="47">
        <v>719931</v>
      </c>
      <c r="G4790" s="50" t="s">
        <v>89</v>
      </c>
      <c r="H4790" s="51">
        <v>117</v>
      </c>
      <c r="J4790" s="51">
        <v>5.75</v>
      </c>
      <c r="K4790" s="74">
        <f>Tabela6[[#This Row],[CONSUMO]]*Tabela6[[#This Row],[VALOR UNIT]]-Tabela6[[#This Row],[DESCONTO]]</f>
        <v>672.75</v>
      </c>
      <c r="L4790" s="53">
        <f>Tabela6[[#This Row],[CUSTO TOTAL]]/Tabela6[[#This Row],[CONSUMO]]</f>
        <v>5.75</v>
      </c>
      <c r="M4790" s="50">
        <f>Tabela6[[#This Row],[KM ATUAL]]-E4733</f>
        <v>542682</v>
      </c>
      <c r="N4790" s="51">
        <f>Tabela6[[#This Row],[KM Rodados ]]/Tabela6[[#This Row],[CONSUMO]]</f>
        <v>4638.3076923076924</v>
      </c>
    </row>
    <row r="4791" spans="1:14" x14ac:dyDescent="0.25">
      <c r="A4791" s="47">
        <v>505782</v>
      </c>
      <c r="B4791" s="78">
        <v>45456</v>
      </c>
      <c r="C4791" s="47" t="s">
        <v>67</v>
      </c>
      <c r="D4791" s="49" t="s">
        <v>269</v>
      </c>
      <c r="E4791" s="47">
        <v>719931</v>
      </c>
      <c r="G4791" s="50" t="s">
        <v>241</v>
      </c>
      <c r="H4791" s="51">
        <v>16.989999999999998</v>
      </c>
      <c r="J4791" s="51">
        <v>2.99</v>
      </c>
      <c r="K4791" s="74">
        <f>Tabela6[[#This Row],[CONSUMO]]*Tabela6[[#This Row],[VALOR UNIT]]-Tabela6[[#This Row],[DESCONTO]]</f>
        <v>50.8001</v>
      </c>
      <c r="L4791" s="53">
        <f>Tabela6[[#This Row],[CUSTO TOTAL]]/Tabela6[[#This Row],[CONSUMO]]</f>
        <v>2.99</v>
      </c>
      <c r="M4791" s="50">
        <f>Tabela6[[#This Row],[KM ATUAL]]-E4734</f>
        <v>542682</v>
      </c>
      <c r="N4791" s="51">
        <f>Tabela6[[#This Row],[KM Rodados ]]/Tabela6[[#This Row],[CONSUMO]]</f>
        <v>31941.25956444968</v>
      </c>
    </row>
    <row r="4792" spans="1:14" x14ac:dyDescent="0.25">
      <c r="A4792" s="47">
        <v>270218</v>
      </c>
      <c r="B4792" s="78">
        <v>45456</v>
      </c>
      <c r="C4792" s="47" t="s">
        <v>215</v>
      </c>
      <c r="D4792" s="49" t="s">
        <v>262</v>
      </c>
      <c r="E4792" s="47">
        <v>239879</v>
      </c>
      <c r="G4792" s="50" t="s">
        <v>244</v>
      </c>
      <c r="H4792" s="51">
        <v>40.820999999999998</v>
      </c>
      <c r="J4792" s="51">
        <v>5.69</v>
      </c>
      <c r="K4792" s="74">
        <f>Tabela6[[#This Row],[CONSUMO]]*Tabela6[[#This Row],[VALOR UNIT]]-Tabela6[[#This Row],[DESCONTO]]</f>
        <v>232.27149</v>
      </c>
      <c r="L4792" s="53">
        <f>Tabela6[[#This Row],[CUSTO TOTAL]]/Tabela6[[#This Row],[CONSUMO]]</f>
        <v>5.69</v>
      </c>
      <c r="M4792" s="50">
        <f>Tabela6[[#This Row],[KM ATUAL]]-E4735</f>
        <v>-174196</v>
      </c>
      <c r="N4792" s="51">
        <f>Tabela6[[#This Row],[KM Rodados ]]/Tabela6[[#This Row],[CONSUMO]]</f>
        <v>-4267.3133926165456</v>
      </c>
    </row>
    <row r="4793" spans="1:14" x14ac:dyDescent="0.25">
      <c r="A4793" s="47">
        <v>254790</v>
      </c>
      <c r="B4793" s="78">
        <v>45456</v>
      </c>
      <c r="C4793" s="47" t="s">
        <v>39</v>
      </c>
      <c r="D4793" s="49" t="s">
        <v>253</v>
      </c>
      <c r="E4793" s="47">
        <v>126159</v>
      </c>
      <c r="G4793" s="50" t="s">
        <v>89</v>
      </c>
      <c r="H4793" s="51">
        <v>79.12</v>
      </c>
      <c r="J4793" s="51">
        <v>6.09</v>
      </c>
      <c r="K4793" s="74">
        <f>Tabela6[[#This Row],[CONSUMO]]*Tabela6[[#This Row],[VALOR UNIT]]-Tabela6[[#This Row],[DESCONTO]]</f>
        <v>481.8408</v>
      </c>
      <c r="L4793" s="53">
        <f>Tabela6[[#This Row],[CUSTO TOTAL]]/Tabela6[[#This Row],[CONSUMO]]</f>
        <v>6.09</v>
      </c>
      <c r="M4793" s="50">
        <f>Tabela6[[#This Row],[KM ATUAL]]-E4736</f>
        <v>-460232</v>
      </c>
      <c r="N4793" s="51">
        <f>Tabela6[[#This Row],[KM Rodados ]]/Tabela6[[#This Row],[CONSUMO]]</f>
        <v>-5816.8857431749238</v>
      </c>
    </row>
    <row r="4794" spans="1:14" x14ac:dyDescent="0.25">
      <c r="A4794" s="47">
        <v>402254</v>
      </c>
      <c r="B4794" s="78">
        <v>45456</v>
      </c>
      <c r="C4794" s="47" t="s">
        <v>72</v>
      </c>
      <c r="D4794" s="49" t="s">
        <v>285</v>
      </c>
      <c r="E4794" s="47">
        <v>464262</v>
      </c>
      <c r="G4794" s="50" t="s">
        <v>89</v>
      </c>
      <c r="H4794" s="51">
        <v>50.57</v>
      </c>
      <c r="J4794" s="51">
        <v>5.64</v>
      </c>
      <c r="K4794" s="74">
        <f>Tabela6[[#This Row],[CONSUMO]]*Tabela6[[#This Row],[VALOR UNIT]]-Tabela6[[#This Row],[DESCONTO]]</f>
        <v>285.21479999999997</v>
      </c>
      <c r="L4794" s="53">
        <f>Tabela6[[#This Row],[CUSTO TOTAL]]/Tabela6[[#This Row],[CONSUMO]]</f>
        <v>5.64</v>
      </c>
      <c r="M4794" s="50">
        <f>Tabela6[[#This Row],[KM ATUAL]]-E4737</f>
        <v>-253208</v>
      </c>
      <c r="N4794" s="51">
        <f>Tabela6[[#This Row],[KM Rodados ]]/Tabela6[[#This Row],[CONSUMO]]</f>
        <v>-5007.0792960253111</v>
      </c>
    </row>
    <row r="4795" spans="1:14" x14ac:dyDescent="0.25">
      <c r="A4795" s="47">
        <v>510871</v>
      </c>
      <c r="B4795" s="78">
        <v>45456</v>
      </c>
      <c r="C4795" s="47" t="s">
        <v>10</v>
      </c>
      <c r="D4795" s="49" t="s">
        <v>483</v>
      </c>
      <c r="E4795" s="47">
        <v>767561</v>
      </c>
      <c r="G4795" s="50" t="s">
        <v>89</v>
      </c>
      <c r="H4795" s="51">
        <v>175.94</v>
      </c>
      <c r="I4795" s="49">
        <v>35.19</v>
      </c>
      <c r="J4795" s="51">
        <v>5.95</v>
      </c>
      <c r="K4795" s="74">
        <f>Tabela6[[#This Row],[CONSUMO]]*Tabela6[[#This Row],[VALOR UNIT]]-Tabela6[[#This Row],[DESCONTO]]</f>
        <v>1011.653</v>
      </c>
      <c r="L4795" s="53"/>
      <c r="M4795" s="50">
        <f>Tabela6[[#This Row],[KM ATUAL]]-E4738</f>
        <v>641852</v>
      </c>
      <c r="N4795" s="51">
        <f>Tabela6[[#This Row],[KM Rodados ]]/Tabela6[[#This Row],[CONSUMO]]</f>
        <v>3648.1300443332957</v>
      </c>
    </row>
    <row r="4796" spans="1:14" x14ac:dyDescent="0.25">
      <c r="A4796" s="47">
        <v>254745</v>
      </c>
      <c r="B4796" s="78">
        <v>45456</v>
      </c>
      <c r="C4796" s="47" t="s">
        <v>12</v>
      </c>
      <c r="D4796" s="49" t="s">
        <v>253</v>
      </c>
      <c r="E4796" s="47">
        <v>339879</v>
      </c>
      <c r="G4796" s="50" t="s">
        <v>89</v>
      </c>
      <c r="H4796" s="51">
        <v>83.29</v>
      </c>
      <c r="J4796" s="51">
        <v>6.09</v>
      </c>
      <c r="K4796" s="74">
        <f>Tabela6[[#This Row],[CONSUMO]]*Tabela6[[#This Row],[VALOR UNIT]]-Tabela6[[#This Row],[DESCONTO]]</f>
        <v>507.23610000000002</v>
      </c>
      <c r="L4796" s="53">
        <f>Tabela6[[#This Row],[CUSTO TOTAL]]/Tabela6[[#This Row],[CONSUMO]]</f>
        <v>6.09</v>
      </c>
      <c r="M4796" s="50">
        <f>Tabela6[[#This Row],[KM ATUAL]]-E4739</f>
        <v>214170</v>
      </c>
      <c r="N4796" s="51">
        <f>Tabela6[[#This Row],[KM Rodados ]]/Tabela6[[#This Row],[CONSUMO]]</f>
        <v>2571.3771161003719</v>
      </c>
    </row>
    <row r="4797" spans="1:14" x14ac:dyDescent="0.25">
      <c r="A4797" s="47">
        <v>1786994</v>
      </c>
      <c r="B4797" s="78">
        <v>45456</v>
      </c>
      <c r="C4797" s="47" t="s">
        <v>19</v>
      </c>
      <c r="D4797" s="49" t="s">
        <v>252</v>
      </c>
      <c r="E4797" s="47">
        <v>382226</v>
      </c>
      <c r="G4797" s="50" t="s">
        <v>89</v>
      </c>
      <c r="H4797" s="51">
        <v>33.39</v>
      </c>
      <c r="J4797" s="51">
        <v>5.88</v>
      </c>
      <c r="K4797" s="74">
        <f>Tabela6[[#This Row],[CONSUMO]]*Tabela6[[#This Row],[VALOR UNIT]]-Tabela6[[#This Row],[DESCONTO]]</f>
        <v>196.33320000000001</v>
      </c>
      <c r="L4797" s="53">
        <f>Tabela6[[#This Row],[CUSTO TOTAL]]/Tabela6[[#This Row],[CONSUMO]]</f>
        <v>5.88</v>
      </c>
      <c r="M4797" s="50">
        <f>Tabela6[[#This Row],[KM ATUAL]]-E4740</f>
        <v>213653</v>
      </c>
      <c r="N4797" s="51">
        <f>Tabela6[[#This Row],[KM Rodados ]]/Tabela6[[#This Row],[CONSUMO]]</f>
        <v>6398.712189278227</v>
      </c>
    </row>
    <row r="4798" spans="1:14" x14ac:dyDescent="0.25">
      <c r="A4798" s="47">
        <v>176377</v>
      </c>
      <c r="B4798" s="78">
        <v>45457</v>
      </c>
      <c r="C4798" s="47" t="s">
        <v>358</v>
      </c>
      <c r="D4798" s="49" t="s">
        <v>362</v>
      </c>
      <c r="E4798" s="47">
        <v>857337</v>
      </c>
      <c r="G4798" s="50" t="s">
        <v>89</v>
      </c>
      <c r="H4798" s="51">
        <v>512</v>
      </c>
      <c r="J4798" s="51">
        <v>5.76</v>
      </c>
      <c r="K4798" s="74">
        <f>Tabela6[[#This Row],[CONSUMO]]*Tabela6[[#This Row],[VALOR UNIT]]-Tabela6[[#This Row],[DESCONTO]]</f>
        <v>2949.12</v>
      </c>
      <c r="L4798" s="53">
        <f>Tabela6[[#This Row],[CUSTO TOTAL]]/Tabela6[[#This Row],[CONSUMO]]</f>
        <v>5.76</v>
      </c>
      <c r="M4798" s="53" t="e">
        <f t="array" ref="M4798">SE</f>
        <v>#NAME?</v>
      </c>
      <c r="N4798" s="49" t="e">
        <f>Tabela6[[#This Row],[KM Rodados ]]/Tabela6[[#This Row],[CONSUMO]]</f>
        <v>#NAME?</v>
      </c>
    </row>
    <row r="4799" spans="1:14" x14ac:dyDescent="0.25">
      <c r="A4799" s="47">
        <v>220287</v>
      </c>
      <c r="B4799" s="78">
        <v>45457</v>
      </c>
      <c r="C4799" s="47" t="s">
        <v>43</v>
      </c>
      <c r="D4799" s="49" t="s">
        <v>263</v>
      </c>
      <c r="E4799" s="47">
        <v>193702</v>
      </c>
      <c r="G4799" s="50" t="s">
        <v>89</v>
      </c>
      <c r="H4799" s="51">
        <v>14.541</v>
      </c>
      <c r="J4799" s="51">
        <v>5.94</v>
      </c>
      <c r="K4799" s="74">
        <f>Tabela6[[#This Row],[CONSUMO]]*Tabela6[[#This Row],[VALOR UNIT]]-Tabela6[[#This Row],[DESCONTO]]</f>
        <v>86.373540000000006</v>
      </c>
      <c r="L4799" s="53">
        <f>Tabela6[[#This Row],[CUSTO TOTAL]]/Tabela6[[#This Row],[CONSUMO]]</f>
        <v>5.94</v>
      </c>
      <c r="M4799" s="50">
        <f>Tabela6[[#This Row],[KM ATUAL]]-E4742</f>
        <v>-141572</v>
      </c>
      <c r="N4799" s="51">
        <f>Tabela6[[#This Row],[KM Rodados ]]/Tabela6[[#This Row],[CONSUMO]]</f>
        <v>-9736.0566673543763</v>
      </c>
    </row>
    <row r="4800" spans="1:14" x14ac:dyDescent="0.25">
      <c r="A4800" s="47">
        <v>44303</v>
      </c>
      <c r="B4800" s="78">
        <v>45457</v>
      </c>
      <c r="C4800" s="47" t="s">
        <v>19</v>
      </c>
      <c r="D4800" s="49" t="s">
        <v>274</v>
      </c>
      <c r="E4800" s="47">
        <v>382542</v>
      </c>
      <c r="G4800" s="50" t="s">
        <v>89</v>
      </c>
      <c r="H4800" s="51">
        <v>110</v>
      </c>
      <c r="J4800" s="51">
        <v>5.52</v>
      </c>
      <c r="K4800" s="74">
        <f>Tabela6[[#This Row],[CONSUMO]]*Tabela6[[#This Row],[VALOR UNIT]]-Tabela6[[#This Row],[DESCONTO]]</f>
        <v>607.19999999999993</v>
      </c>
      <c r="L4800" s="53">
        <f>Tabela6[[#This Row],[CUSTO TOTAL]]/Tabela6[[#This Row],[CONSUMO]]</f>
        <v>5.52</v>
      </c>
      <c r="M4800" s="50">
        <f>Tabela6[[#This Row],[KM ATUAL]]-E4743</f>
        <v>174661</v>
      </c>
      <c r="N4800" s="51">
        <f>Tabela6[[#This Row],[KM Rodados ]]/Tabela6[[#This Row],[CONSUMO]]</f>
        <v>1587.8272727272727</v>
      </c>
    </row>
    <row r="4801" spans="1:14" x14ac:dyDescent="0.25">
      <c r="A4801" s="47">
        <v>255982</v>
      </c>
      <c r="B4801" s="78">
        <v>45457</v>
      </c>
      <c r="C4801" s="47" t="s">
        <v>315</v>
      </c>
      <c r="D4801" s="49" t="s">
        <v>253</v>
      </c>
      <c r="E4801" s="47">
        <v>33735</v>
      </c>
      <c r="G4801" s="50" t="s">
        <v>89</v>
      </c>
      <c r="H4801" s="51">
        <v>37.18</v>
      </c>
      <c r="J4801" s="51">
        <v>6.09</v>
      </c>
      <c r="K4801" s="74">
        <f>Tabela6[[#This Row],[CONSUMO]]*Tabela6[[#This Row],[VALOR UNIT]]-Tabela6[[#This Row],[DESCONTO]]</f>
        <v>226.42619999999999</v>
      </c>
      <c r="L4801" s="53">
        <f>Tabela6[[#This Row],[CUSTO TOTAL]]/Tabela6[[#This Row],[CONSUMO]]</f>
        <v>6.09</v>
      </c>
      <c r="M4801" s="50">
        <f>Tabela6[[#This Row],[KM ATUAL]]-E4744</f>
        <v>30559</v>
      </c>
      <c r="N4801" s="51">
        <f>Tabela6[[#This Row],[KM Rodados ]]/Tabela6[[#This Row],[CONSUMO]]</f>
        <v>821.92038730500269</v>
      </c>
    </row>
    <row r="4802" spans="1:14" x14ac:dyDescent="0.25">
      <c r="A4802" s="47">
        <v>932853</v>
      </c>
      <c r="B4802" s="78">
        <v>45457</v>
      </c>
      <c r="C4802" s="47" t="s">
        <v>401</v>
      </c>
      <c r="D4802" s="49" t="s">
        <v>264</v>
      </c>
      <c r="E4802" s="47">
        <v>33253</v>
      </c>
      <c r="G4802" s="50" t="s">
        <v>89</v>
      </c>
      <c r="H4802" s="51">
        <v>86.53</v>
      </c>
      <c r="J4802" s="51">
        <v>5.77</v>
      </c>
      <c r="K4802" s="74">
        <f>Tabela6[[#This Row],[CONSUMO]]*Tabela6[[#This Row],[VALOR UNIT]]-Tabela6[[#This Row],[DESCONTO]]</f>
        <v>499.27809999999999</v>
      </c>
      <c r="L4802" s="53">
        <f>Tabela6[[#This Row],[CUSTO TOTAL]]/Tabela6[[#This Row],[CONSUMO]]</f>
        <v>5.77</v>
      </c>
      <c r="M4802" s="50">
        <f>Tabela6[[#This Row],[KM ATUAL]]-E4745</f>
        <v>-945155</v>
      </c>
      <c r="N4802" s="51">
        <f>Tabela6[[#This Row],[KM Rodados ]]/Tabela6[[#This Row],[CONSUMO]]</f>
        <v>-10922.859124003237</v>
      </c>
    </row>
    <row r="4803" spans="1:14" x14ac:dyDescent="0.25">
      <c r="B4803" s="78">
        <v>45458</v>
      </c>
      <c r="C4803" s="47" t="s">
        <v>68</v>
      </c>
      <c r="D4803" s="49" t="s">
        <v>484</v>
      </c>
      <c r="E4803" s="47">
        <v>979907</v>
      </c>
      <c r="G4803" s="50" t="s">
        <v>89</v>
      </c>
      <c r="H4803" s="51">
        <v>494.02</v>
      </c>
      <c r="J4803" s="51">
        <v>5.65</v>
      </c>
      <c r="K4803" s="74">
        <f>Tabela6[[#This Row],[CONSUMO]]*Tabela6[[#This Row],[VALOR UNIT]]-Tabela6[[#This Row],[DESCONTO]]</f>
        <v>2791.2130000000002</v>
      </c>
      <c r="L4803" s="53">
        <f>Tabela6[[#This Row],[CUSTO TOTAL]]/Tabela6[[#This Row],[CONSUMO]]</f>
        <v>5.65</v>
      </c>
      <c r="M4803" s="50">
        <f>Tabela6[[#This Row],[KM ATUAL]]-E4745</f>
        <v>1499</v>
      </c>
      <c r="N4803" s="51">
        <f>Tabela6[[#This Row],[KM Rodados ]]/Tabela6[[#This Row],[CONSUMO]]</f>
        <v>3.0342901097121575</v>
      </c>
    </row>
    <row r="4804" spans="1:14" x14ac:dyDescent="0.25">
      <c r="A4804" s="47">
        <v>858146</v>
      </c>
      <c r="B4804" s="78">
        <v>45459</v>
      </c>
      <c r="C4804" s="47" t="s">
        <v>358</v>
      </c>
      <c r="D4804" s="49" t="s">
        <v>376</v>
      </c>
      <c r="E4804" s="47">
        <v>858146</v>
      </c>
      <c r="G4804" s="50" t="s">
        <v>89</v>
      </c>
      <c r="H4804" s="51">
        <v>440.45</v>
      </c>
      <c r="J4804" s="51">
        <v>7.63</v>
      </c>
      <c r="K4804" s="74">
        <f>Tabela6[[#This Row],[CONSUMO]]*Tabela6[[#This Row],[VALOR UNIT]]-Tabela6[[#This Row],[DESCONTO]]</f>
        <v>3360.6334999999999</v>
      </c>
      <c r="L4804" s="53">
        <f>Tabela6[[#This Row],[CUSTO TOTAL]]/Tabela6[[#This Row],[CONSUMO]]</f>
        <v>7.63</v>
      </c>
      <c r="M4804" s="50" t="e">
        <f>Tabela6[[#This Row],[KM ATUAL]]-#REF!</f>
        <v>#REF!</v>
      </c>
      <c r="N4804" s="51" t="e">
        <f>Tabela6[[#This Row],[KM Rodados ]]/Tabela6[[#This Row],[CONSUMO]]</f>
        <v>#REF!</v>
      </c>
    </row>
    <row r="4805" spans="1:14" x14ac:dyDescent="0.25">
      <c r="A4805" s="47">
        <v>795641</v>
      </c>
      <c r="B4805" s="78">
        <v>45459</v>
      </c>
      <c r="C4805" s="47" t="s">
        <v>23</v>
      </c>
      <c r="D4805" s="49" t="s">
        <v>271</v>
      </c>
      <c r="E4805" s="47">
        <v>280028</v>
      </c>
      <c r="G4805" s="50" t="s">
        <v>89</v>
      </c>
      <c r="H4805" s="51">
        <v>147.05099999999999</v>
      </c>
      <c r="J4805" s="51">
        <v>5.75</v>
      </c>
      <c r="K4805" s="74">
        <f>Tabela6[[#This Row],[CONSUMO]]*Tabela6[[#This Row],[VALOR UNIT]]-Tabela6[[#This Row],[DESCONTO]]</f>
        <v>845.54324999999994</v>
      </c>
      <c r="L4805" s="53">
        <f>Tabela6[[#This Row],[CUSTO TOTAL]]/Tabela6[[#This Row],[CONSUMO]]</f>
        <v>5.75</v>
      </c>
      <c r="M4805" s="50">
        <f>Tabela6[[#This Row],[KM ATUAL]]-E4747</f>
        <v>-43472</v>
      </c>
      <c r="N4805" s="51">
        <f>Tabela6[[#This Row],[KM Rodados ]]/Tabela6[[#This Row],[CONSUMO]]</f>
        <v>-295.62532726741063</v>
      </c>
    </row>
    <row r="4806" spans="1:14" x14ac:dyDescent="0.25">
      <c r="A4806" s="47">
        <v>506778</v>
      </c>
      <c r="B4806" s="78">
        <v>45460</v>
      </c>
      <c r="C4806" s="47" t="s">
        <v>67</v>
      </c>
      <c r="D4806" s="49" t="s">
        <v>273</v>
      </c>
      <c r="E4806" s="47">
        <v>719442</v>
      </c>
      <c r="G4806" s="50" t="s">
        <v>89</v>
      </c>
      <c r="H4806" s="51">
        <v>130.32</v>
      </c>
      <c r="J4806" s="51">
        <v>5.75</v>
      </c>
      <c r="K4806" s="74">
        <f>Tabela6[[#This Row],[CONSUMO]]*Tabela6[[#This Row],[VALOR UNIT]]-Tabela6[[#This Row],[DESCONTO]]</f>
        <v>749.33999999999992</v>
      </c>
      <c r="L4806" s="53">
        <f>Tabela6[[#This Row],[CUSTO TOTAL]]/Tabela6[[#This Row],[CONSUMO]]</f>
        <v>5.75</v>
      </c>
      <c r="M4806" s="50">
        <f>Tabela6[[#This Row],[KM ATUAL]]-E4749</f>
        <v>339891</v>
      </c>
      <c r="N4806" s="51">
        <f>Tabela6[[#This Row],[KM Rodados ]]/Tabela6[[#This Row],[CONSUMO]]</f>
        <v>2608.1261510128916</v>
      </c>
    </row>
    <row r="4807" spans="1:14" x14ac:dyDescent="0.25">
      <c r="A4807" s="47">
        <v>271103</v>
      </c>
      <c r="B4807" s="78">
        <v>45460</v>
      </c>
      <c r="C4807" s="47" t="s">
        <v>14</v>
      </c>
      <c r="D4807" s="49" t="s">
        <v>262</v>
      </c>
      <c r="E4807" s="47">
        <v>336440</v>
      </c>
      <c r="G4807" s="50" t="s">
        <v>244</v>
      </c>
      <c r="H4807" s="51">
        <v>38.338999999999999</v>
      </c>
      <c r="J4807" s="51">
        <v>5.69</v>
      </c>
      <c r="K4807" s="74">
        <f>Tabela6[[#This Row],[CONSUMO]]*Tabela6[[#This Row],[VALOR UNIT]]-Tabela6[[#This Row],[DESCONTO]]</f>
        <v>218.14891</v>
      </c>
      <c r="L4807" s="53">
        <f>Tabela6[[#This Row],[CUSTO TOTAL]]/Tabela6[[#This Row],[CONSUMO]]</f>
        <v>5.69</v>
      </c>
      <c r="M4807" s="50">
        <f>Tabela6[[#This Row],[KM ATUAL]]-E4749</f>
        <v>-43111</v>
      </c>
      <c r="N4807" s="51">
        <f>Tabela6[[#This Row],[KM Rodados ]]/Tabela6[[#This Row],[CONSUMO]]</f>
        <v>-1124.468556822035</v>
      </c>
    </row>
    <row r="4808" spans="1:14" x14ac:dyDescent="0.25">
      <c r="A4808" s="47">
        <v>21654</v>
      </c>
      <c r="B4808" s="78">
        <v>45460</v>
      </c>
      <c r="C4808" s="47" t="s">
        <v>18</v>
      </c>
      <c r="D4808" s="49" t="s">
        <v>255</v>
      </c>
      <c r="E4808" s="47">
        <v>362877</v>
      </c>
      <c r="G4808" s="50" t="s">
        <v>89</v>
      </c>
      <c r="H4808" s="51">
        <v>94.18</v>
      </c>
      <c r="J4808" s="51">
        <v>6.26</v>
      </c>
      <c r="K4808" s="74">
        <f>Tabela6[[#This Row],[CONSUMO]]*Tabela6[[#This Row],[VALOR UNIT]]-Tabela6[[#This Row],[DESCONTO]]</f>
        <v>589.56680000000006</v>
      </c>
      <c r="L4808" s="53">
        <f>Tabela6[[#This Row],[CUSTO TOTAL]]/Tabela6[[#This Row],[CONSUMO]]</f>
        <v>6.26</v>
      </c>
      <c r="M4808" s="53" t="e">
        <f t="array" ref="M4808">SE</f>
        <v>#NAME?</v>
      </c>
      <c r="N4808" s="49" t="e">
        <f>Tabela6[[#This Row],[KM Rodados ]]/Tabela6[[#This Row],[CONSUMO]]</f>
        <v>#NAME?</v>
      </c>
    </row>
    <row r="4809" spans="1:14" x14ac:dyDescent="0.25">
      <c r="A4809" s="47">
        <v>21665</v>
      </c>
      <c r="B4809" s="78">
        <v>45460</v>
      </c>
      <c r="C4809" s="47" t="s">
        <v>38</v>
      </c>
      <c r="D4809" s="49" t="s">
        <v>255</v>
      </c>
      <c r="E4809" s="47">
        <v>149584</v>
      </c>
      <c r="G4809" s="50" t="s">
        <v>244</v>
      </c>
      <c r="H4809" s="51">
        <v>48.98</v>
      </c>
      <c r="J4809" s="51">
        <v>5.95</v>
      </c>
      <c r="K4809" s="74">
        <f>Tabela6[[#This Row],[CONSUMO]]*Tabela6[[#This Row],[VALOR UNIT]]-Tabela6[[#This Row],[DESCONTO]]</f>
        <v>291.43099999999998</v>
      </c>
      <c r="L4809" s="53">
        <f>Tabela6[[#This Row],[CUSTO TOTAL]]/Tabela6[[#This Row],[CONSUMO]]</f>
        <v>5.95</v>
      </c>
      <c r="M4809" s="50">
        <f>Tabela6[[#This Row],[KM ATUAL]]-E4751</f>
        <v>116993</v>
      </c>
      <c r="N4809" s="51">
        <f>Tabela6[[#This Row],[KM Rodados ]]/Tabela6[[#This Row],[CONSUMO]]</f>
        <v>2388.5871784401797</v>
      </c>
    </row>
    <row r="4810" spans="1:14" x14ac:dyDescent="0.25">
      <c r="A4810" s="47">
        <v>21665</v>
      </c>
      <c r="B4810" s="78">
        <v>45460</v>
      </c>
      <c r="C4810" s="47" t="s">
        <v>38</v>
      </c>
      <c r="D4810" s="49" t="s">
        <v>255</v>
      </c>
      <c r="E4810" s="47">
        <v>149584</v>
      </c>
      <c r="G4810" s="50" t="s">
        <v>244</v>
      </c>
      <c r="H4810" s="51">
        <v>48.98</v>
      </c>
      <c r="J4810" s="51">
        <v>5.95</v>
      </c>
      <c r="K4810" s="74">
        <f>Tabela6[[#This Row],[CONSUMO]]*Tabela6[[#This Row],[VALOR UNIT]]-Tabela6[[#This Row],[DESCONTO]]</f>
        <v>291.43099999999998</v>
      </c>
      <c r="L4810" s="53">
        <f>Tabela6[[#This Row],[CUSTO TOTAL]]/Tabela6[[#This Row],[CONSUMO]]</f>
        <v>5.95</v>
      </c>
      <c r="M4810" s="53" t="e">
        <f t="array" ref="M4810">SE</f>
        <v>#NAME?</v>
      </c>
      <c r="N4810" s="49" t="e">
        <f>Tabela6[[#This Row],[KM Rodados ]]/Tabela6[[#This Row],[CONSUMO]]</f>
        <v>#NAME?</v>
      </c>
    </row>
    <row r="4811" spans="1:14" x14ac:dyDescent="0.25">
      <c r="A4811" s="47">
        <v>220754</v>
      </c>
      <c r="B4811" s="78">
        <v>45460</v>
      </c>
      <c r="C4811" s="47" t="s">
        <v>40</v>
      </c>
      <c r="D4811" s="49" t="s">
        <v>263</v>
      </c>
      <c r="E4811" s="47">
        <v>209121</v>
      </c>
      <c r="G4811" s="50" t="s">
        <v>244</v>
      </c>
      <c r="H4811" s="51">
        <v>27.42</v>
      </c>
      <c r="J4811" s="51">
        <v>5.79</v>
      </c>
      <c r="K4811" s="74">
        <f>Tabela6[[#This Row],[CONSUMO]]*Tabela6[[#This Row],[VALOR UNIT]]-Tabela6[[#This Row],[DESCONTO]]</f>
        <v>158.76180000000002</v>
      </c>
      <c r="L4811" s="53">
        <f>Tabela6[[#This Row],[CUSTO TOTAL]]/Tabela6[[#This Row],[CONSUMO]]</f>
        <v>5.79</v>
      </c>
      <c r="M4811" s="50">
        <f>Tabela6[[#This Row],[KM ATUAL]]-E4753</f>
        <v>177247</v>
      </c>
      <c r="N4811" s="51">
        <f>Tabela6[[#This Row],[KM Rodados ]]/Tabela6[[#This Row],[CONSUMO]]</f>
        <v>6464.1502552881102</v>
      </c>
    </row>
    <row r="4812" spans="1:14" x14ac:dyDescent="0.25">
      <c r="A4812" s="47">
        <v>271047</v>
      </c>
      <c r="B4812" s="78">
        <v>45460</v>
      </c>
      <c r="C4812" s="47" t="s">
        <v>354</v>
      </c>
      <c r="D4812" s="49" t="s">
        <v>262</v>
      </c>
      <c r="E4812" s="47">
        <v>43886</v>
      </c>
      <c r="G4812" s="50" t="s">
        <v>241</v>
      </c>
      <c r="H4812" s="51">
        <v>28.402000000000001</v>
      </c>
      <c r="I4812" s="49">
        <v>10.220000000000001</v>
      </c>
      <c r="J4812" s="51">
        <v>3.69</v>
      </c>
      <c r="K4812" s="74">
        <f>Tabela6[[#This Row],[CONSUMO]]*Tabela6[[#This Row],[VALOR UNIT]]-Tabela6[[#This Row],[DESCONTO]]</f>
        <v>94.583380000000005</v>
      </c>
      <c r="L4812" s="53">
        <f>Tabela6[[#This Row],[CUSTO TOTAL]]/Tabela6[[#This Row],[CONSUMO]]</f>
        <v>3.3301661854798961</v>
      </c>
      <c r="M4812" s="50">
        <f>Tabela6[[#This Row],[KM ATUAL]]-E4754</f>
        <v>43886</v>
      </c>
      <c r="N4812" s="51">
        <f>Tabela6[[#This Row],[KM Rodados ]]/Tabela6[[#This Row],[CONSUMO]]</f>
        <v>1545.1728751496373</v>
      </c>
    </row>
    <row r="4813" spans="1:14" x14ac:dyDescent="0.25">
      <c r="A4813" s="47">
        <v>1381193</v>
      </c>
      <c r="B4813" s="78">
        <v>45460</v>
      </c>
      <c r="C4813" s="47" t="s">
        <v>446</v>
      </c>
      <c r="D4813" s="49" t="s">
        <v>490</v>
      </c>
      <c r="E4813" s="47">
        <v>19479</v>
      </c>
      <c r="G4813" s="50" t="s">
        <v>89</v>
      </c>
      <c r="H4813" s="51">
        <v>150.00299999999999</v>
      </c>
      <c r="J4813" s="51">
        <v>6.06</v>
      </c>
      <c r="K4813" s="74">
        <f>Tabela6[[#This Row],[CONSUMO]]*Tabela6[[#This Row],[VALOR UNIT]]-Tabela6[[#This Row],[DESCONTO]]</f>
        <v>909.0181799999998</v>
      </c>
      <c r="L4813" s="53">
        <f>Tabela6[[#This Row],[CUSTO TOTAL]]/Tabela6[[#This Row],[CONSUMO]]</f>
        <v>6.06</v>
      </c>
      <c r="M4813" s="50" t="e">
        <f>Tabela6[[#This Row],[KM ATUAL]]-#REF!</f>
        <v>#REF!</v>
      </c>
      <c r="N4813" s="51" t="e">
        <f>Tabela6[[#This Row],[KM Rodados ]]/Tabela6[[#This Row],[CONSUMO]]</f>
        <v>#REF!</v>
      </c>
    </row>
    <row r="4814" spans="1:14" x14ac:dyDescent="0.25">
      <c r="A4814" s="47">
        <v>1381193</v>
      </c>
      <c r="B4814" s="78">
        <v>45460</v>
      </c>
      <c r="C4814" s="47" t="s">
        <v>446</v>
      </c>
      <c r="D4814" s="49" t="s">
        <v>490</v>
      </c>
      <c r="E4814" s="47">
        <v>19479</v>
      </c>
      <c r="G4814" s="50" t="s">
        <v>241</v>
      </c>
      <c r="H4814" s="51">
        <v>29.024000000000001</v>
      </c>
      <c r="J4814" s="51">
        <v>3.29</v>
      </c>
      <c r="K4814" s="74">
        <f>Tabela6[[#This Row],[CONSUMO]]*Tabela6[[#This Row],[VALOR UNIT]]-Tabela6[[#This Row],[DESCONTO]]</f>
        <v>95.488960000000006</v>
      </c>
      <c r="L4814" s="53">
        <f>Tabela6[[#This Row],[CUSTO TOTAL]]/Tabela6[[#This Row],[CONSUMO]]</f>
        <v>3.29</v>
      </c>
      <c r="M4814" s="50" t="e">
        <f>Tabela6[[#This Row],[KM ATUAL]]-#REF!</f>
        <v>#REF!</v>
      </c>
      <c r="N4814" s="51" t="e">
        <f>Tabela6[[#This Row],[KM Rodados ]]/Tabela6[[#This Row],[CONSUMO]]</f>
        <v>#REF!</v>
      </c>
    </row>
    <row r="4815" spans="1:14" x14ac:dyDescent="0.25">
      <c r="A4815" s="47">
        <v>752387</v>
      </c>
      <c r="B4815" s="78">
        <v>45461</v>
      </c>
      <c r="C4815" s="47" t="s">
        <v>68</v>
      </c>
      <c r="D4815" s="49" t="s">
        <v>485</v>
      </c>
      <c r="E4815" s="47">
        <v>981199</v>
      </c>
      <c r="G4815" s="50" t="s">
        <v>89</v>
      </c>
      <c r="H4815" s="51">
        <v>400.98</v>
      </c>
      <c r="J4815" s="51">
        <v>5.87</v>
      </c>
      <c r="K4815" s="74">
        <f>Tabela6[[#This Row],[CONSUMO]]*Tabela6[[#This Row],[VALOR UNIT]]-Tabela6[[#This Row],[DESCONTO]]</f>
        <v>2353.7526000000003</v>
      </c>
      <c r="L4815" s="53">
        <f>Tabela6[[#This Row],[CUSTO TOTAL]]/Tabela6[[#This Row],[CONSUMO]]</f>
        <v>5.87</v>
      </c>
      <c r="M4815" s="50">
        <f>Tabela6[[#This Row],[KM ATUAL]]-E4756</f>
        <v>641820</v>
      </c>
      <c r="N4815" s="51">
        <f>Tabela6[[#This Row],[KM Rodados ]]/Tabela6[[#This Row],[CONSUMO]]</f>
        <v>1600.6284602723326</v>
      </c>
    </row>
    <row r="4816" spans="1:14" x14ac:dyDescent="0.25">
      <c r="A4816" s="47">
        <v>408883</v>
      </c>
      <c r="B4816" s="78">
        <v>45461</v>
      </c>
      <c r="C4816" s="47" t="s">
        <v>203</v>
      </c>
      <c r="D4816" s="49" t="s">
        <v>276</v>
      </c>
      <c r="E4816" s="47">
        <v>169584</v>
      </c>
      <c r="G4816" s="50" t="s">
        <v>244</v>
      </c>
      <c r="H4816" s="51">
        <v>39.731000000000002</v>
      </c>
      <c r="J4816" s="51">
        <v>5.79</v>
      </c>
      <c r="K4816" s="74">
        <f>Tabela6[[#This Row],[CONSUMO]]*Tabela6[[#This Row],[VALOR UNIT]]-Tabela6[[#This Row],[DESCONTO]]</f>
        <v>230.04249000000002</v>
      </c>
      <c r="L4816" s="53">
        <f>Tabela6[[#This Row],[CUSTO TOTAL]]/Tabela6[[#This Row],[CONSUMO]]</f>
        <v>5.79</v>
      </c>
      <c r="M4816" s="50">
        <f>Tabela6[[#This Row],[KM ATUAL]]-E4757</f>
        <v>-166070</v>
      </c>
      <c r="N4816" s="51">
        <f>Tabela6[[#This Row],[KM Rodados ]]/Tabela6[[#This Row],[CONSUMO]]</f>
        <v>-4179.8595555108104</v>
      </c>
    </row>
    <row r="4817" spans="1:14" x14ac:dyDescent="0.25">
      <c r="A4817" s="47">
        <v>220898</v>
      </c>
      <c r="B4817" s="78">
        <v>45461</v>
      </c>
      <c r="C4817" s="47" t="s">
        <v>72</v>
      </c>
      <c r="D4817" s="49" t="s">
        <v>263</v>
      </c>
      <c r="E4817" s="47">
        <v>464814</v>
      </c>
      <c r="G4817" s="50" t="s">
        <v>89</v>
      </c>
      <c r="H4817" s="51">
        <v>30.381</v>
      </c>
      <c r="I4817" s="49">
        <v>4.5599999999999996</v>
      </c>
      <c r="J4817" s="51">
        <v>5.94</v>
      </c>
      <c r="K4817" s="74">
        <f>Tabela6[[#This Row],[CONSUMO]]*Tabela6[[#This Row],[VALOR UNIT]]-Tabela6[[#This Row],[DESCONTO]]</f>
        <v>175.90314000000001</v>
      </c>
      <c r="L4817" s="53">
        <f>Tabela6[[#This Row],[CUSTO TOTAL]]/Tabela6[[#This Row],[CONSUMO]]</f>
        <v>5.7899061913696066</v>
      </c>
      <c r="M4817" s="50">
        <f>Tabela6[[#This Row],[KM ATUAL]]-E4758</f>
        <v>144400</v>
      </c>
      <c r="N4817" s="51">
        <f>Tabela6[[#This Row],[KM Rodados ]]/Tabela6[[#This Row],[CONSUMO]]</f>
        <v>4752.9706066291428</v>
      </c>
    </row>
    <row r="4818" spans="1:14" x14ac:dyDescent="0.25">
      <c r="A4818" s="47">
        <v>258828</v>
      </c>
      <c r="B4818" s="78">
        <v>45461</v>
      </c>
      <c r="C4818" s="47" t="s">
        <v>11</v>
      </c>
      <c r="D4818" s="49" t="s">
        <v>253</v>
      </c>
      <c r="E4818" s="47">
        <v>418311</v>
      </c>
      <c r="G4818" s="50" t="s">
        <v>241</v>
      </c>
      <c r="H4818" s="51">
        <v>11.968</v>
      </c>
      <c r="J4818" s="51">
        <v>3.49</v>
      </c>
      <c r="K4818" s="74">
        <f>Tabela6[[#This Row],[CONSUMO]]*Tabela6[[#This Row],[VALOR UNIT]]-Tabela6[[#This Row],[DESCONTO]]</f>
        <v>41.768320000000003</v>
      </c>
      <c r="L4818" s="53">
        <f>Tabela6[[#This Row],[CUSTO TOTAL]]/Tabela6[[#This Row],[CONSUMO]]</f>
        <v>3.49</v>
      </c>
      <c r="M4818" s="50">
        <f>Tabela6[[#This Row],[KM ATUAL]]-E4759</f>
        <v>269147</v>
      </c>
      <c r="N4818" s="51">
        <f>Tabela6[[#This Row],[KM Rodados ]]/Tabela6[[#This Row],[CONSUMO]]</f>
        <v>22488.88703208556</v>
      </c>
    </row>
    <row r="4819" spans="1:14" x14ac:dyDescent="0.25">
      <c r="A4819" s="47">
        <v>258828</v>
      </c>
      <c r="B4819" s="78">
        <v>45461</v>
      </c>
      <c r="C4819" s="47" t="s">
        <v>11</v>
      </c>
      <c r="D4819" s="49" t="s">
        <v>253</v>
      </c>
      <c r="E4819" s="47">
        <v>418311</v>
      </c>
      <c r="G4819" s="50" t="s">
        <v>89</v>
      </c>
      <c r="H4819" s="51">
        <v>54.04</v>
      </c>
      <c r="J4819" s="51">
        <v>6.09</v>
      </c>
      <c r="K4819" s="74">
        <f>Tabela6[[#This Row],[CONSUMO]]*Tabela6[[#This Row],[VALOR UNIT]]-Tabela6[[#This Row],[DESCONTO]]</f>
        <v>329.10359999999997</v>
      </c>
      <c r="L4819" s="53">
        <f>Tabela6[[#This Row],[CUSTO TOTAL]]/Tabela6[[#This Row],[CONSUMO]]</f>
        <v>6.09</v>
      </c>
      <c r="M4819" s="50">
        <f>Tabela6[[#This Row],[KM ATUAL]]-E4760</f>
        <v>139674</v>
      </c>
      <c r="N4819" s="51">
        <f>Tabela6[[#This Row],[KM Rodados ]]/Tabela6[[#This Row],[CONSUMO]]</f>
        <v>2584.6410066617323</v>
      </c>
    </row>
    <row r="4820" spans="1:14" x14ac:dyDescent="0.25">
      <c r="A4820" s="47">
        <v>22225</v>
      </c>
      <c r="B4820" s="78">
        <v>45461</v>
      </c>
      <c r="C4820" s="47" t="s">
        <v>18</v>
      </c>
      <c r="D4820" s="49" t="s">
        <v>255</v>
      </c>
      <c r="E4820" s="47">
        <v>336606</v>
      </c>
      <c r="G4820" s="50" t="s">
        <v>89</v>
      </c>
      <c r="H4820" s="51">
        <v>53.78</v>
      </c>
      <c r="J4820" s="51">
        <v>6.26</v>
      </c>
      <c r="K4820" s="74">
        <f>Tabela6[[#This Row],[CONSUMO]]*Tabela6[[#This Row],[VALOR UNIT]]-Tabela6[[#This Row],[DESCONTO]]</f>
        <v>336.6628</v>
      </c>
      <c r="L4820" s="53">
        <f>Tabela6[[#This Row],[CUSTO TOTAL]]/Tabela6[[#This Row],[CONSUMO]]</f>
        <v>6.26</v>
      </c>
      <c r="M4820" s="53" t="e">
        <f t="array" ref="M4820">SE</f>
        <v>#NAME?</v>
      </c>
      <c r="N4820" s="49" t="e">
        <f>Tabela6[[#This Row],[KM Rodados ]]/Tabela6[[#This Row],[CONSUMO]]</f>
        <v>#NAME?</v>
      </c>
    </row>
    <row r="4821" spans="1:14" x14ac:dyDescent="0.25">
      <c r="A4821" s="47">
        <v>1134241</v>
      </c>
      <c r="B4821" s="78">
        <v>45462</v>
      </c>
      <c r="C4821" s="47" t="s">
        <v>358</v>
      </c>
      <c r="D4821" s="49" t="s">
        <v>497</v>
      </c>
      <c r="E4821" s="47">
        <v>859122</v>
      </c>
      <c r="G4821" s="50" t="s">
        <v>89</v>
      </c>
      <c r="H4821" s="51">
        <v>438.14100000000002</v>
      </c>
      <c r="J4821" s="51">
        <v>6.1</v>
      </c>
      <c r="K4821" s="74">
        <f>Tabela6[[#This Row],[CONSUMO]]*Tabela6[[#This Row],[VALOR UNIT]]-Tabela6[[#This Row],[DESCONTO]]</f>
        <v>2672.6601000000001</v>
      </c>
      <c r="L4821" s="53">
        <f>Tabela6[[#This Row],[CUSTO TOTAL]]/Tabela6[[#This Row],[CONSUMO]]</f>
        <v>6.1</v>
      </c>
      <c r="M4821" s="50" t="e">
        <f>Tabela6[[#This Row],[KM ATUAL]]-#REF!</f>
        <v>#REF!</v>
      </c>
      <c r="N4821" s="51" t="e">
        <f>Tabela6[[#This Row],[KM Rodados ]]/Tabela6[[#This Row],[CONSUMO]]</f>
        <v>#REF!</v>
      </c>
    </row>
    <row r="4822" spans="1:14" x14ac:dyDescent="0.25">
      <c r="A4822" s="47">
        <v>221082</v>
      </c>
      <c r="B4822" s="78">
        <v>45462</v>
      </c>
      <c r="C4822" s="47" t="s">
        <v>43</v>
      </c>
      <c r="D4822" s="49" t="s">
        <v>263</v>
      </c>
      <c r="E4822" s="47">
        <v>194332</v>
      </c>
      <c r="G4822" s="50" t="s">
        <v>89</v>
      </c>
      <c r="H4822" s="51">
        <v>22.201000000000001</v>
      </c>
      <c r="I4822" s="49">
        <v>3.33</v>
      </c>
      <c r="J4822" s="51">
        <v>5.94</v>
      </c>
      <c r="K4822" s="74">
        <f>Tabela6[[#This Row],[CONSUMO]]*Tabela6[[#This Row],[VALOR UNIT]]-Tabela6[[#This Row],[DESCONTO]]</f>
        <v>128.54393999999999</v>
      </c>
      <c r="L4822" s="53">
        <f>Tabela6[[#This Row],[CUSTO TOTAL]]/Tabela6[[#This Row],[CONSUMO]]</f>
        <v>5.7900067564524118</v>
      </c>
      <c r="M4822" s="50">
        <f>Tabela6[[#This Row],[KM ATUAL]]-E4763</f>
        <v>194332</v>
      </c>
      <c r="N4822" s="51">
        <f>Tabela6[[#This Row],[KM Rodados ]]/Tabela6[[#This Row],[CONSUMO]]</f>
        <v>8753.2994009278864</v>
      </c>
    </row>
    <row r="4823" spans="1:14" x14ac:dyDescent="0.25">
      <c r="A4823" s="47" t="s">
        <v>496</v>
      </c>
      <c r="B4823" s="78">
        <v>45462</v>
      </c>
      <c r="C4823" s="47" t="s">
        <v>222</v>
      </c>
      <c r="D4823" s="49" t="s">
        <v>329</v>
      </c>
      <c r="E4823" s="47">
        <v>590492</v>
      </c>
      <c r="G4823" s="50" t="s">
        <v>89</v>
      </c>
      <c r="H4823" s="51">
        <v>453.56</v>
      </c>
      <c r="J4823" s="51">
        <v>5.65</v>
      </c>
      <c r="K4823" s="74">
        <f>Tabela6[[#This Row],[CONSUMO]]*Tabela6[[#This Row],[VALOR UNIT]]-Tabela6[[#This Row],[DESCONTO]]</f>
        <v>2562.614</v>
      </c>
      <c r="L4823" s="53">
        <f>Tabela6[[#This Row],[CUSTO TOTAL]]/Tabela6[[#This Row],[CONSUMO]]</f>
        <v>5.65</v>
      </c>
      <c r="M4823" s="50">
        <f>Tabela6[[#This Row],[KM ATUAL]]-E4764</f>
        <v>2624</v>
      </c>
      <c r="N4823" s="51">
        <f>Tabela6[[#This Row],[KM Rodados ]]/Tabela6[[#This Row],[CONSUMO]]</f>
        <v>5.7853426228062439</v>
      </c>
    </row>
    <row r="4824" spans="1:14" x14ac:dyDescent="0.25">
      <c r="A4824" s="47">
        <v>275141</v>
      </c>
      <c r="B4824" s="78">
        <v>45462</v>
      </c>
      <c r="C4824" s="47" t="s">
        <v>222</v>
      </c>
      <c r="D4824" s="49" t="s">
        <v>329</v>
      </c>
      <c r="E4824" s="47">
        <v>590492</v>
      </c>
      <c r="G4824" s="50" t="s">
        <v>241</v>
      </c>
      <c r="H4824" s="51">
        <v>41.241</v>
      </c>
      <c r="J4824" s="51">
        <v>2.99</v>
      </c>
      <c r="K4824" s="74">
        <f>Tabela6[[#This Row],[CONSUMO]]*Tabela6[[#This Row],[VALOR UNIT]]-Tabela6[[#This Row],[DESCONTO]]</f>
        <v>123.31059</v>
      </c>
      <c r="L4824" s="53">
        <f>Tabela6[[#This Row],[CUSTO TOTAL]]/Tabela6[[#This Row],[CONSUMO]]</f>
        <v>2.99</v>
      </c>
      <c r="M4824" s="50">
        <f>Tabela6[[#This Row],[KM ATUAL]]-E4765</f>
        <v>2624</v>
      </c>
      <c r="N4824" s="51">
        <f>Tabela6[[#This Row],[KM Rodados ]]/Tabela6[[#This Row],[CONSUMO]]</f>
        <v>63.626003249193765</v>
      </c>
    </row>
    <row r="4825" spans="1:14" x14ac:dyDescent="0.25">
      <c r="A4825" s="47">
        <v>486356</v>
      </c>
      <c r="B4825" s="78">
        <v>45462</v>
      </c>
      <c r="C4825" s="47" t="s">
        <v>222</v>
      </c>
      <c r="D4825" s="49" t="s">
        <v>333</v>
      </c>
      <c r="E4825" s="47">
        <v>591443</v>
      </c>
      <c r="G4825" s="50" t="s">
        <v>89</v>
      </c>
      <c r="H4825" s="51">
        <v>74.95</v>
      </c>
      <c r="J4825" s="51">
        <v>5.79</v>
      </c>
      <c r="K4825" s="74">
        <f>Tabela6[[#This Row],[CONSUMO]]*Tabela6[[#This Row],[VALOR UNIT]]-Tabela6[[#This Row],[DESCONTO]]</f>
        <v>433.96050000000002</v>
      </c>
      <c r="L4825" s="53">
        <f>Tabela6[[#This Row],[CUSTO TOTAL]]/Tabela6[[#This Row],[CONSUMO]]</f>
        <v>5.79</v>
      </c>
      <c r="M4825" s="50">
        <f>Tabela6[[#This Row],[KM ATUAL]]-E4766</f>
        <v>-521919</v>
      </c>
      <c r="N4825" s="51">
        <f>Tabela6[[#This Row],[KM Rodados ]]/Tabela6[[#This Row],[CONSUMO]]</f>
        <v>-6963.5623749166107</v>
      </c>
    </row>
    <row r="4826" spans="1:14" x14ac:dyDescent="0.25">
      <c r="A4826" s="47">
        <v>486357</v>
      </c>
      <c r="B4826" s="78">
        <v>45462</v>
      </c>
      <c r="C4826" s="47" t="s">
        <v>222</v>
      </c>
      <c r="D4826" s="49" t="s">
        <v>333</v>
      </c>
      <c r="E4826" s="47">
        <v>591443</v>
      </c>
      <c r="G4826" s="50" t="s">
        <v>241</v>
      </c>
      <c r="H4826" s="51">
        <v>33.92</v>
      </c>
      <c r="J4826" s="51">
        <v>2.99</v>
      </c>
      <c r="K4826" s="74">
        <f>Tabela6[[#This Row],[CONSUMO]]*Tabela6[[#This Row],[VALOR UNIT]]-Tabela6[[#This Row],[DESCONTO]]</f>
        <v>101.42080000000001</v>
      </c>
      <c r="L4826" s="53">
        <f>Tabela6[[#This Row],[CUSTO TOTAL]]/Tabela6[[#This Row],[CONSUMO]]</f>
        <v>2.99</v>
      </c>
      <c r="M4826" s="50">
        <f>Tabela6[[#This Row],[KM ATUAL]]-E4767</f>
        <v>-522127</v>
      </c>
      <c r="N4826" s="51">
        <f>Tabela6[[#This Row],[KM Rodados ]]/Tabela6[[#This Row],[CONSUMO]]</f>
        <v>-15392.89504716981</v>
      </c>
    </row>
    <row r="4827" spans="1:14" x14ac:dyDescent="0.25">
      <c r="A4827" s="47">
        <v>507287</v>
      </c>
      <c r="B4827" s="78">
        <v>45462</v>
      </c>
      <c r="C4827" s="47" t="s">
        <v>67</v>
      </c>
      <c r="D4827" s="49" t="s">
        <v>273</v>
      </c>
      <c r="E4827" s="47">
        <v>719955</v>
      </c>
      <c r="G4827" s="50" t="s">
        <v>89</v>
      </c>
      <c r="H4827" s="51">
        <v>134.5</v>
      </c>
      <c r="J4827" s="51">
        <v>5.69</v>
      </c>
      <c r="K4827" s="74">
        <f>Tabela6[[#This Row],[CONSUMO]]*Tabela6[[#This Row],[VALOR UNIT]]-Tabela6[[#This Row],[DESCONTO]]</f>
        <v>765.30500000000006</v>
      </c>
      <c r="L4827" s="53">
        <f>Tabela6[[#This Row],[CUSTO TOTAL]]/Tabela6[[#This Row],[CONSUMO]]</f>
        <v>5.69</v>
      </c>
      <c r="M4827" s="50">
        <f>Tabela6[[#This Row],[KM ATUAL]]-E4768</f>
        <v>2005</v>
      </c>
      <c r="N4827" s="51">
        <f>Tabela6[[#This Row],[KM Rodados ]]/Tabela6[[#This Row],[CONSUMO]]</f>
        <v>14.907063197026023</v>
      </c>
    </row>
    <row r="4828" spans="1:14" x14ac:dyDescent="0.25">
      <c r="A4828" s="47">
        <v>259649</v>
      </c>
      <c r="B4828" s="78">
        <v>45462</v>
      </c>
      <c r="C4828" s="47" t="s">
        <v>39</v>
      </c>
      <c r="D4828" s="49" t="s">
        <v>253</v>
      </c>
      <c r="E4828" s="47">
        <v>126826</v>
      </c>
      <c r="G4828" s="50" t="s">
        <v>89</v>
      </c>
      <c r="H4828" s="51">
        <v>95.98</v>
      </c>
      <c r="J4828" s="51">
        <v>6.09</v>
      </c>
      <c r="K4828" s="74">
        <f>Tabela6[[#This Row],[CONSUMO]]*Tabela6[[#This Row],[VALOR UNIT]]-Tabela6[[#This Row],[DESCONTO]]</f>
        <v>584.51819999999998</v>
      </c>
      <c r="L4828" s="53">
        <f>Tabela6[[#This Row],[CUSTO TOTAL]]/Tabela6[[#This Row],[CONSUMO]]</f>
        <v>6.09</v>
      </c>
      <c r="M4828" s="50">
        <f>Tabela6[[#This Row],[KM ATUAL]]-E4769</f>
        <v>-81535</v>
      </c>
      <c r="N4828" s="51">
        <f>Tabela6[[#This Row],[KM Rodados ]]/Tabela6[[#This Row],[CONSUMO]]</f>
        <v>-849.49989581162743</v>
      </c>
    </row>
    <row r="4829" spans="1:14" x14ac:dyDescent="0.25">
      <c r="A4829" s="47">
        <v>409205</v>
      </c>
      <c r="B4829" s="78">
        <v>45462</v>
      </c>
      <c r="C4829" s="47" t="s">
        <v>203</v>
      </c>
      <c r="D4829" s="49" t="s">
        <v>276</v>
      </c>
      <c r="E4829" s="47">
        <v>170072</v>
      </c>
      <c r="G4829" s="50" t="s">
        <v>244</v>
      </c>
      <c r="H4829" s="51">
        <v>39.61</v>
      </c>
      <c r="J4829" s="51">
        <v>5.79</v>
      </c>
      <c r="K4829" s="74">
        <f>Tabela6[[#This Row],[CONSUMO]]*Tabela6[[#This Row],[VALOR UNIT]]-Tabela6[[#This Row],[DESCONTO]]</f>
        <v>229.34190000000001</v>
      </c>
      <c r="L4829" s="53">
        <f>Tabela6[[#This Row],[CUSTO TOTAL]]/Tabela6[[#This Row],[CONSUMO]]</f>
        <v>5.79</v>
      </c>
      <c r="M4829" s="50">
        <f>Tabela6[[#This Row],[KM ATUAL]]-E4770</f>
        <v>136762</v>
      </c>
      <c r="N4829" s="51">
        <f>Tabela6[[#This Row],[KM Rodados ]]/Tabela6[[#This Row],[CONSUMO]]</f>
        <v>3452.7139611209291</v>
      </c>
    </row>
    <row r="4830" spans="1:14" x14ac:dyDescent="0.25">
      <c r="A4830" s="47">
        <v>271536</v>
      </c>
      <c r="B4830" s="78">
        <v>45462</v>
      </c>
      <c r="C4830" s="47" t="s">
        <v>14</v>
      </c>
      <c r="D4830" s="49" t="s">
        <v>262</v>
      </c>
      <c r="E4830" s="47">
        <v>336876</v>
      </c>
      <c r="G4830" s="50" t="s">
        <v>244</v>
      </c>
      <c r="H4830" s="51">
        <v>35.840000000000003</v>
      </c>
      <c r="J4830" s="51">
        <v>5.69</v>
      </c>
      <c r="K4830" s="74">
        <f>Tabela6[[#This Row],[CONSUMO]]*Tabela6[[#This Row],[VALOR UNIT]]-Tabela6[[#This Row],[DESCONTO]]</f>
        <v>203.92960000000002</v>
      </c>
      <c r="L4830" s="53">
        <f>Tabela6[[#This Row],[CUSTO TOTAL]]/Tabela6[[#This Row],[CONSUMO]]</f>
        <v>5.69</v>
      </c>
      <c r="M4830" s="50">
        <f>Tabela6[[#This Row],[KM ATUAL]]-E4771</f>
        <v>303566</v>
      </c>
      <c r="N4830" s="51">
        <f>Tabela6[[#This Row],[KM Rodados ]]/Tabela6[[#This Row],[CONSUMO]]</f>
        <v>8470.0334821428569</v>
      </c>
    </row>
    <row r="4831" spans="1:14" x14ac:dyDescent="0.25">
      <c r="A4831" s="47">
        <v>259313</v>
      </c>
      <c r="B4831" s="78">
        <v>45462</v>
      </c>
      <c r="C4831" s="47" t="s">
        <v>23</v>
      </c>
      <c r="D4831" s="49" t="s">
        <v>253</v>
      </c>
      <c r="E4831" s="47">
        <v>280665</v>
      </c>
      <c r="G4831" s="50" t="s">
        <v>89</v>
      </c>
      <c r="H4831" s="51">
        <v>146.87</v>
      </c>
      <c r="J4831" s="51">
        <v>6.9</v>
      </c>
      <c r="K4831" s="74">
        <f>Tabela6[[#This Row],[CONSUMO]]*Tabela6[[#This Row],[VALOR UNIT]]-Tabela6[[#This Row],[DESCONTO]]</f>
        <v>1013.4030000000001</v>
      </c>
      <c r="L4831" s="53">
        <f>Tabela6[[#This Row],[CUSTO TOTAL]]/Tabela6[[#This Row],[CONSUMO]]</f>
        <v>6.9</v>
      </c>
      <c r="M4831" s="50">
        <f>Tabela6[[#This Row],[KM ATUAL]]-E4772</f>
        <v>-437812</v>
      </c>
      <c r="N4831" s="51">
        <f>Tabela6[[#This Row],[KM Rodados ]]/Tabela6[[#This Row],[CONSUMO]]</f>
        <v>-2980.9491386940831</v>
      </c>
    </row>
    <row r="4832" spans="1:14" x14ac:dyDescent="0.25">
      <c r="A4832" s="47">
        <v>229086</v>
      </c>
      <c r="B4832" s="78">
        <v>45462</v>
      </c>
      <c r="C4832" s="47" t="s">
        <v>74</v>
      </c>
      <c r="D4832" s="49" t="s">
        <v>300</v>
      </c>
      <c r="E4832" s="47">
        <v>141607</v>
      </c>
      <c r="G4832" s="50" t="s">
        <v>241</v>
      </c>
      <c r="H4832" s="51">
        <v>18.690000000000001</v>
      </c>
      <c r="J4832" s="51">
        <v>2.99</v>
      </c>
      <c r="K4832" s="74">
        <f>Tabela6[[#This Row],[CONSUMO]]*Tabela6[[#This Row],[VALOR UNIT]]-Tabela6[[#This Row],[DESCONTO]]</f>
        <v>55.883100000000006</v>
      </c>
      <c r="L4832" s="53">
        <f>Tabela6[[#This Row],[CUSTO TOTAL]]/Tabela6[[#This Row],[CONSUMO]]</f>
        <v>2.99</v>
      </c>
      <c r="M4832" s="50">
        <f>Tabela6[[#This Row],[KM ATUAL]]-E4773</f>
        <v>-194423</v>
      </c>
      <c r="N4832" s="51">
        <f>Tabela6[[#This Row],[KM Rodados ]]/Tabela6[[#This Row],[CONSUMO]]</f>
        <v>-10402.514713750668</v>
      </c>
    </row>
    <row r="4833" spans="1:14" x14ac:dyDescent="0.25">
      <c r="A4833" s="47">
        <v>271485</v>
      </c>
      <c r="B4833" s="78">
        <v>45462</v>
      </c>
      <c r="C4833" s="47" t="s">
        <v>401</v>
      </c>
      <c r="D4833" s="49" t="s">
        <v>262</v>
      </c>
      <c r="E4833" s="47">
        <v>34080</v>
      </c>
      <c r="G4833" s="50" t="s">
        <v>241</v>
      </c>
      <c r="H4833" s="51">
        <v>27.774999999999999</v>
      </c>
      <c r="I4833" s="49">
        <v>10</v>
      </c>
      <c r="J4833" s="51">
        <v>3.69</v>
      </c>
      <c r="K4833" s="74">
        <f>Tabela6[[#This Row],[CONSUMO]]*Tabela6[[#This Row],[VALOR UNIT]]-Tabela6[[#This Row],[DESCONTO]]</f>
        <v>92.489749999999987</v>
      </c>
      <c r="L4833" s="53">
        <f>Tabela6[[#This Row],[CUSTO TOTAL]]/Tabela6[[#This Row],[CONSUMO]]</f>
        <v>3.3299639963996395</v>
      </c>
      <c r="M4833" s="50">
        <f>Tabela6[[#This Row],[KM ATUAL]]-E4774</f>
        <v>-174733</v>
      </c>
      <c r="N4833" s="51">
        <f>Tabela6[[#This Row],[KM Rodados ]]/Tabela6[[#This Row],[CONSUMO]]</f>
        <v>-6291.0171017101711</v>
      </c>
    </row>
    <row r="4834" spans="1:14" x14ac:dyDescent="0.25">
      <c r="A4834" s="47">
        <v>55571</v>
      </c>
      <c r="B4834" s="78">
        <v>45463</v>
      </c>
      <c r="C4834" s="47" t="s">
        <v>222</v>
      </c>
      <c r="D4834" s="49" t="s">
        <v>332</v>
      </c>
      <c r="E4834" s="47">
        <v>592249</v>
      </c>
      <c r="G4834" s="50" t="s">
        <v>89</v>
      </c>
      <c r="H4834" s="51">
        <v>374.52100000000002</v>
      </c>
      <c r="J4834" s="51">
        <v>5.74</v>
      </c>
      <c r="K4834" s="74">
        <f>Tabela6[[#This Row],[CONSUMO]]*Tabela6[[#This Row],[VALOR UNIT]]-Tabela6[[#This Row],[DESCONTO]]</f>
        <v>2149.75054</v>
      </c>
      <c r="L4834" s="53">
        <f>Tabela6[[#This Row],[CUSTO TOTAL]]/Tabela6[[#This Row],[CONSUMO]]</f>
        <v>5.74</v>
      </c>
      <c r="M4834" s="50">
        <f>Tabela6[[#This Row],[KM ATUAL]]-E4775</f>
        <v>399232</v>
      </c>
      <c r="N4834" s="51">
        <f>Tabela6[[#This Row],[KM Rodados ]]/Tabela6[[#This Row],[CONSUMO]]</f>
        <v>1065.980278809466</v>
      </c>
    </row>
    <row r="4835" spans="1:14" x14ac:dyDescent="0.25">
      <c r="A4835" s="47">
        <v>55572</v>
      </c>
      <c r="B4835" s="78">
        <v>45463</v>
      </c>
      <c r="C4835" s="47" t="s">
        <v>222</v>
      </c>
      <c r="D4835" s="49" t="s">
        <v>332</v>
      </c>
      <c r="E4835" s="47">
        <v>592249</v>
      </c>
      <c r="G4835" s="50" t="s">
        <v>241</v>
      </c>
      <c r="H4835" s="51">
        <v>23.306999999999999</v>
      </c>
      <c r="J4835" s="51">
        <v>2.99</v>
      </c>
      <c r="K4835" s="74">
        <f>Tabela6[[#This Row],[CONSUMO]]*Tabela6[[#This Row],[VALOR UNIT]]-Tabela6[[#This Row],[DESCONTO]]</f>
        <v>69.687929999999994</v>
      </c>
      <c r="L4835" s="53">
        <f>Tabela6[[#This Row],[CUSTO TOTAL]]/Tabela6[[#This Row],[CONSUMO]]</f>
        <v>2.9899999999999998</v>
      </c>
      <c r="M4835" s="50">
        <f>Tabela6[[#This Row],[KM ATUAL]]-E4776</f>
        <v>423147</v>
      </c>
      <c r="N4835" s="51">
        <f>Tabela6[[#This Row],[KM Rodados ]]/Tabela6[[#This Row],[CONSUMO]]</f>
        <v>18155.361050328229</v>
      </c>
    </row>
    <row r="4836" spans="1:14" x14ac:dyDescent="0.25">
      <c r="A4836" s="47">
        <v>174806</v>
      </c>
      <c r="B4836" s="78">
        <v>45463</v>
      </c>
      <c r="C4836" s="47" t="s">
        <v>203</v>
      </c>
      <c r="D4836" s="49" t="s">
        <v>276</v>
      </c>
      <c r="E4836" s="47">
        <v>170513</v>
      </c>
      <c r="G4836" s="50" t="s">
        <v>244</v>
      </c>
      <c r="H4836" s="51">
        <v>36.29</v>
      </c>
      <c r="J4836" s="51">
        <v>5.79</v>
      </c>
      <c r="K4836" s="74">
        <f>Tabela6[[#This Row],[CONSUMO]]*Tabela6[[#This Row],[VALOR UNIT]]-Tabela6[[#This Row],[DESCONTO]]</f>
        <v>210.1191</v>
      </c>
      <c r="L4836" s="53">
        <f>Tabela6[[#This Row],[CUSTO TOTAL]]/Tabela6[[#This Row],[CONSUMO]]</f>
        <v>5.79</v>
      </c>
      <c r="M4836" s="50">
        <f>Tabela6[[#This Row],[KM ATUAL]]-E4777</f>
        <v>-293031</v>
      </c>
      <c r="N4836" s="51">
        <f>Tabela6[[#This Row],[KM Rodados ]]/Tabela6[[#This Row],[CONSUMO]]</f>
        <v>-8074.7037751446678</v>
      </c>
    </row>
    <row r="4837" spans="1:14" x14ac:dyDescent="0.25">
      <c r="A4837" s="47">
        <v>271704</v>
      </c>
      <c r="B4837" s="78">
        <v>45463</v>
      </c>
      <c r="C4837" s="47" t="s">
        <v>72</v>
      </c>
      <c r="D4837" s="49" t="s">
        <v>262</v>
      </c>
      <c r="E4837" s="47">
        <v>465360</v>
      </c>
      <c r="G4837" s="50" t="s">
        <v>89</v>
      </c>
      <c r="H4837" s="51">
        <v>17.039000000000001</v>
      </c>
      <c r="J4837" s="51">
        <v>6.09</v>
      </c>
      <c r="K4837" s="74">
        <f>Tabela6[[#This Row],[CONSUMO]]*Tabela6[[#This Row],[VALOR UNIT]]-Tabela6[[#This Row],[DESCONTO]]</f>
        <v>103.76751</v>
      </c>
      <c r="L4837" s="53">
        <f>Tabela6[[#This Row],[CUSTO TOTAL]]/Tabela6[[#This Row],[CONSUMO]]</f>
        <v>6.09</v>
      </c>
      <c r="M4837" s="50">
        <f>Tabela6[[#This Row],[KM ATUAL]]-E4778</f>
        <v>-301587</v>
      </c>
      <c r="N4837" s="51">
        <f>Tabela6[[#This Row],[KM Rodados ]]/Tabela6[[#This Row],[CONSUMO]]</f>
        <v>-17699.806326662361</v>
      </c>
    </row>
    <row r="4838" spans="1:14" x14ac:dyDescent="0.25">
      <c r="A4838" s="47">
        <v>6593</v>
      </c>
      <c r="B4838" s="78">
        <v>45463</v>
      </c>
      <c r="C4838" s="47" t="s">
        <v>301</v>
      </c>
      <c r="D4838" s="49" t="s">
        <v>324</v>
      </c>
      <c r="E4838" s="47">
        <v>1113678</v>
      </c>
      <c r="G4838" s="50" t="s">
        <v>89</v>
      </c>
      <c r="H4838" s="51">
        <v>93</v>
      </c>
      <c r="J4838" s="51">
        <v>5.52</v>
      </c>
      <c r="K4838" s="74">
        <f>Tabela6[[#This Row],[CONSUMO]]*Tabela6[[#This Row],[VALOR UNIT]]-Tabela6[[#This Row],[DESCONTO]]</f>
        <v>513.36</v>
      </c>
      <c r="L4838" s="53">
        <f>Tabela6[[#This Row],[CUSTO TOTAL]]/Tabela6[[#This Row],[CONSUMO]]</f>
        <v>5.5200000000000005</v>
      </c>
      <c r="M4838" s="50">
        <f>Tabela6[[#This Row],[KM ATUAL]]-E4779</f>
        <v>245</v>
      </c>
      <c r="N4838" s="51">
        <f>Tabela6[[#This Row],[KM Rodados ]]/Tabela6[[#This Row],[CONSUMO]]</f>
        <v>2.6344086021505375</v>
      </c>
    </row>
    <row r="4839" spans="1:14" x14ac:dyDescent="0.25">
      <c r="A4839" s="47">
        <v>271836</v>
      </c>
      <c r="B4839" s="78">
        <v>45463</v>
      </c>
      <c r="C4839" s="47" t="s">
        <v>206</v>
      </c>
      <c r="D4839" s="49" t="s">
        <v>262</v>
      </c>
      <c r="E4839" s="47">
        <v>122419</v>
      </c>
      <c r="G4839" s="50" t="s">
        <v>241</v>
      </c>
      <c r="H4839" s="51">
        <v>34.436</v>
      </c>
      <c r="I4839" s="49">
        <v>12.4</v>
      </c>
      <c r="J4839" s="51">
        <v>3.69</v>
      </c>
      <c r="K4839" s="74">
        <f>Tabela6[[#This Row],[CONSUMO]]*Tabela6[[#This Row],[VALOR UNIT]]-Tabela6[[#This Row],[DESCONTO]]</f>
        <v>114.66883999999999</v>
      </c>
      <c r="L4839" s="53">
        <f>Tabela6[[#This Row],[CUSTO TOTAL]]/Tabela6[[#This Row],[CONSUMO]]</f>
        <v>3.3299117202927166</v>
      </c>
      <c r="M4839" s="50">
        <f>Tabela6[[#This Row],[KM ATUAL]]-E4780</f>
        <v>-200738</v>
      </c>
      <c r="N4839" s="51">
        <f>Tabela6[[#This Row],[KM Rodados ]]/Tabela6[[#This Row],[CONSUMO]]</f>
        <v>-5829.3065396677894</v>
      </c>
    </row>
    <row r="4840" spans="1:14" x14ac:dyDescent="0.25">
      <c r="A4840" s="47">
        <v>260327</v>
      </c>
      <c r="B4840" s="78">
        <v>45463</v>
      </c>
      <c r="C4840" s="47" t="s">
        <v>12</v>
      </c>
      <c r="D4840" s="49" t="s">
        <v>253</v>
      </c>
      <c r="E4840" s="47">
        <v>340433</v>
      </c>
      <c r="G4840" s="50" t="s">
        <v>89</v>
      </c>
      <c r="H4840" s="51">
        <v>98.89</v>
      </c>
      <c r="J4840" s="51">
        <v>6.09</v>
      </c>
      <c r="K4840" s="74">
        <f>Tabela6[[#This Row],[CONSUMO]]*Tabela6[[#This Row],[VALOR UNIT]]-Tabela6[[#This Row],[DESCONTO]]</f>
        <v>602.24009999999998</v>
      </c>
      <c r="L4840" s="53">
        <f>Tabela6[[#This Row],[CUSTO TOTAL]]/Tabela6[[#This Row],[CONSUMO]]</f>
        <v>6.09</v>
      </c>
      <c r="M4840" s="50">
        <f>Tabela6[[#This Row],[KM ATUAL]]-E4781</f>
        <v>-21738</v>
      </c>
      <c r="N4840" s="51">
        <f>Tabela6[[#This Row],[KM Rodados ]]/Tabela6[[#This Row],[CONSUMO]]</f>
        <v>-219.82000202244919</v>
      </c>
    </row>
    <row r="4841" spans="1:14" x14ac:dyDescent="0.25">
      <c r="A4841" s="47">
        <v>260327</v>
      </c>
      <c r="B4841" s="78">
        <v>45463</v>
      </c>
      <c r="C4841" s="47" t="s">
        <v>12</v>
      </c>
      <c r="D4841" s="49" t="s">
        <v>253</v>
      </c>
      <c r="E4841" s="47">
        <v>340433</v>
      </c>
      <c r="G4841" s="50" t="s">
        <v>241</v>
      </c>
      <c r="H4841" s="51">
        <v>20.323</v>
      </c>
      <c r="J4841" s="51">
        <v>3.49</v>
      </c>
      <c r="K4841" s="74">
        <f>Tabela6[[#This Row],[CONSUMO]]*Tabela6[[#This Row],[VALOR UNIT]]-Tabela6[[#This Row],[DESCONTO]]</f>
        <v>70.927270000000007</v>
      </c>
      <c r="L4841" s="53">
        <f>Tabela6[[#This Row],[CUSTO TOTAL]]/Tabela6[[#This Row],[CONSUMO]]</f>
        <v>3.49</v>
      </c>
      <c r="M4841" s="50">
        <f>Tabela6[[#This Row],[KM ATUAL]]-E4782</f>
        <v>-40675</v>
      </c>
      <c r="N4841" s="51">
        <f>Tabela6[[#This Row],[KM Rodados ]]/Tabela6[[#This Row],[CONSUMO]]</f>
        <v>-2001.4269546818875</v>
      </c>
    </row>
    <row r="4842" spans="1:14" x14ac:dyDescent="0.25">
      <c r="A4842" s="47">
        <v>271791</v>
      </c>
      <c r="B4842" s="78">
        <v>45463</v>
      </c>
      <c r="C4842" s="47" t="s">
        <v>17</v>
      </c>
      <c r="D4842" s="49" t="s">
        <v>262</v>
      </c>
      <c r="E4842" s="47">
        <v>416218</v>
      </c>
      <c r="G4842" s="50" t="s">
        <v>241</v>
      </c>
      <c r="H4842" s="51">
        <v>25.294</v>
      </c>
      <c r="I4842" s="49">
        <v>9.1</v>
      </c>
      <c r="J4842" s="51">
        <v>3.69</v>
      </c>
      <c r="K4842" s="74">
        <f>Tabela6[[#This Row],[CONSUMO]]*Tabela6[[#This Row],[VALOR UNIT]]-Tabela6[[#This Row],[DESCONTO]]</f>
        <v>84.234860000000012</v>
      </c>
      <c r="L4842" s="53">
        <f>Tabela6[[#This Row],[CUSTO TOTAL]]/Tabela6[[#This Row],[CONSUMO]]</f>
        <v>3.3302308847948132</v>
      </c>
      <c r="M4842" s="50">
        <f>Tabela6[[#This Row],[KM ATUAL]]-E4783</f>
        <v>34665</v>
      </c>
      <c r="N4842" s="51">
        <f>Tabela6[[#This Row],[KM Rodados ]]/Tabela6[[#This Row],[CONSUMO]]</f>
        <v>1370.4831185261326</v>
      </c>
    </row>
    <row r="4843" spans="1:14" x14ac:dyDescent="0.25">
      <c r="A4843" s="47">
        <v>409599</v>
      </c>
      <c r="B4843" s="78">
        <v>45463</v>
      </c>
      <c r="C4843" s="47" t="s">
        <v>40</v>
      </c>
      <c r="D4843" s="49" t="s">
        <v>276</v>
      </c>
      <c r="G4843" s="50" t="s">
        <v>244</v>
      </c>
      <c r="H4843" s="51">
        <v>30.71</v>
      </c>
      <c r="J4843" s="51">
        <v>5.79</v>
      </c>
      <c r="K4843" s="74">
        <f>Tabela6[[#This Row],[CONSUMO]]*Tabela6[[#This Row],[VALOR UNIT]]-Tabela6[[#This Row],[DESCONTO]]</f>
        <v>177.8109</v>
      </c>
      <c r="L4843" s="53">
        <f>Tabela6[[#This Row],[CUSTO TOTAL]]/Tabela6[[#This Row],[CONSUMO]]</f>
        <v>5.79</v>
      </c>
      <c r="M4843" s="50">
        <f>Tabela6[[#This Row],[KM ATUAL]]-E4784</f>
        <v>-279391</v>
      </c>
      <c r="N4843" s="51">
        <f>Tabela6[[#This Row],[KM Rodados ]]/Tabela6[[#This Row],[CONSUMO]]</f>
        <v>-9097.7206121784438</v>
      </c>
    </row>
    <row r="4844" spans="1:14" x14ac:dyDescent="0.25">
      <c r="A4844" s="47">
        <v>271728</v>
      </c>
      <c r="B4844" s="78">
        <v>45463</v>
      </c>
      <c r="C4844" s="47" t="s">
        <v>40</v>
      </c>
      <c r="D4844" s="49" t="s">
        <v>262</v>
      </c>
      <c r="E4844" s="47">
        <v>209568</v>
      </c>
      <c r="G4844" s="50" t="s">
        <v>244</v>
      </c>
      <c r="H4844" s="51">
        <v>36.880000000000003</v>
      </c>
      <c r="J4844" s="51">
        <v>5.69</v>
      </c>
      <c r="K4844" s="74">
        <f>Tabela6[[#This Row],[CONSUMO]]*Tabela6[[#This Row],[VALOR UNIT]]-Tabela6[[#This Row],[DESCONTO]]</f>
        <v>209.84720000000002</v>
      </c>
      <c r="L4844" s="53">
        <f>Tabela6[[#This Row],[CUSTO TOTAL]]/Tabela6[[#This Row],[CONSUMO]]</f>
        <v>5.69</v>
      </c>
      <c r="M4844" s="50">
        <f>Tabela6[[#This Row],[KM ATUAL]]-E4785</f>
        <v>191965</v>
      </c>
      <c r="N4844" s="51">
        <f>Tabela6[[#This Row],[KM Rodados ]]/Tabela6[[#This Row],[CONSUMO]]</f>
        <v>5205.1247288503246</v>
      </c>
    </row>
    <row r="4845" spans="1:14" x14ac:dyDescent="0.25">
      <c r="A4845" s="47">
        <v>260436</v>
      </c>
      <c r="B4845" s="78">
        <v>45463</v>
      </c>
      <c r="C4845" s="47" t="s">
        <v>315</v>
      </c>
      <c r="D4845" s="49" t="s">
        <v>253</v>
      </c>
      <c r="E4845" s="47">
        <v>34669</v>
      </c>
      <c r="G4845" s="50" t="s">
        <v>89</v>
      </c>
      <c r="H4845" s="51">
        <v>57.77</v>
      </c>
      <c r="J4845" s="51">
        <v>6.09</v>
      </c>
      <c r="K4845" s="74">
        <f>Tabela6[[#This Row],[CONSUMO]]*Tabela6[[#This Row],[VALOR UNIT]]-Tabela6[[#This Row],[DESCONTO]]</f>
        <v>351.8193</v>
      </c>
      <c r="L4845" s="53">
        <f>Tabela6[[#This Row],[CUSTO TOTAL]]/Tabela6[[#This Row],[CONSUMO]]</f>
        <v>6.09</v>
      </c>
      <c r="M4845" s="50">
        <f>Tabela6[[#This Row],[KM ATUAL]]-E4786</f>
        <v>-158911</v>
      </c>
      <c r="N4845" s="51">
        <f>Tabela6[[#This Row],[KM Rodados ]]/Tabela6[[#This Row],[CONSUMO]]</f>
        <v>-2750.7529859788815</v>
      </c>
    </row>
    <row r="4846" spans="1:14" x14ac:dyDescent="0.25">
      <c r="A4846" s="47">
        <v>135626</v>
      </c>
      <c r="B4846" s="78">
        <v>45463</v>
      </c>
      <c r="C4846" s="47" t="s">
        <v>315</v>
      </c>
      <c r="D4846" s="49" t="s">
        <v>489</v>
      </c>
      <c r="E4846" s="47">
        <v>34508</v>
      </c>
      <c r="G4846" s="50" t="s">
        <v>89</v>
      </c>
      <c r="H4846" s="51">
        <v>20</v>
      </c>
      <c r="J4846" s="51">
        <v>6.44</v>
      </c>
      <c r="K4846" s="74">
        <f>Tabela6[[#This Row],[CONSUMO]]*Tabela6[[#This Row],[VALOR UNIT]]-Tabela6[[#This Row],[DESCONTO]]</f>
        <v>128.80000000000001</v>
      </c>
      <c r="L4846" s="53">
        <f>Tabela6[[#This Row],[CUSTO TOTAL]]/Tabela6[[#This Row],[CONSUMO]]</f>
        <v>6.44</v>
      </c>
      <c r="M4846" s="50">
        <f>Tabela6[[#This Row],[KM ATUAL]]-E4787</f>
        <v>-554924</v>
      </c>
      <c r="N4846" s="51">
        <f>Tabela6[[#This Row],[KM Rodados ]]/Tabela6[[#This Row],[CONSUMO]]</f>
        <v>-27746.2</v>
      </c>
    </row>
    <row r="4847" spans="1:14" x14ac:dyDescent="0.25">
      <c r="A4847" s="47">
        <v>221469</v>
      </c>
      <c r="B4847" s="78">
        <v>45464</v>
      </c>
      <c r="C4847" s="47" t="s">
        <v>43</v>
      </c>
      <c r="D4847" s="49" t="s">
        <v>263</v>
      </c>
      <c r="E4847" s="47">
        <v>194911</v>
      </c>
      <c r="G4847" s="50" t="s">
        <v>89</v>
      </c>
      <c r="H4847" s="51">
        <v>26.870999999999999</v>
      </c>
      <c r="J4847" s="51">
        <v>5.94</v>
      </c>
      <c r="K4847" s="74">
        <f>Tabela6[[#This Row],[CONSUMO]]*Tabela6[[#This Row],[VALOR UNIT]]-Tabela6[[#This Row],[DESCONTO]]</f>
        <v>159.61374000000001</v>
      </c>
      <c r="L4847" s="53">
        <f>Tabela6[[#This Row],[CUSTO TOTAL]]/Tabela6[[#This Row],[CONSUMO]]</f>
        <v>5.94</v>
      </c>
      <c r="M4847" s="50">
        <f>Tabela6[[#This Row],[KM ATUAL]]-E4788</f>
        <v>-394410</v>
      </c>
      <c r="N4847" s="51">
        <f>Tabela6[[#This Row],[KM Rodados ]]/Tabela6[[#This Row],[CONSUMO]]</f>
        <v>-14677.905548732835</v>
      </c>
    </row>
    <row r="4848" spans="1:14" x14ac:dyDescent="0.25">
      <c r="A4848" s="47">
        <v>277141</v>
      </c>
      <c r="B4848" s="78">
        <v>45464</v>
      </c>
      <c r="C4848" s="47" t="s">
        <v>222</v>
      </c>
      <c r="D4848" s="49" t="s">
        <v>374</v>
      </c>
      <c r="E4848" s="47">
        <v>593086</v>
      </c>
      <c r="G4848" s="50" t="s">
        <v>89</v>
      </c>
      <c r="H4848" s="51">
        <v>270</v>
      </c>
      <c r="J4848" s="51">
        <v>5.75</v>
      </c>
      <c r="K4848" s="74">
        <f>Tabela6[[#This Row],[CONSUMO]]*Tabela6[[#This Row],[VALOR UNIT]]-Tabela6[[#This Row],[DESCONTO]]</f>
        <v>1552.5</v>
      </c>
      <c r="L4848" s="53">
        <f>Tabela6[[#This Row],[CUSTO TOTAL]]/Tabela6[[#This Row],[CONSUMO]]</f>
        <v>5.75</v>
      </c>
      <c r="M4848" s="50">
        <f>Tabela6[[#This Row],[KM ATUAL]]-E4789</f>
        <v>3765</v>
      </c>
      <c r="N4848" s="51">
        <f>Tabela6[[#This Row],[KM Rodados ]]/Tabela6[[#This Row],[CONSUMO]]</f>
        <v>13.944444444444445</v>
      </c>
    </row>
    <row r="4849" spans="1:14" x14ac:dyDescent="0.25">
      <c r="A4849" s="47">
        <v>22660</v>
      </c>
      <c r="B4849" s="78">
        <v>45464</v>
      </c>
      <c r="C4849" s="47" t="s">
        <v>18</v>
      </c>
      <c r="D4849" s="49" t="s">
        <v>255</v>
      </c>
      <c r="E4849" s="47">
        <v>353609</v>
      </c>
      <c r="G4849" s="50" t="s">
        <v>89</v>
      </c>
      <c r="H4849" s="51">
        <v>43.081000000000003</v>
      </c>
      <c r="J4849" s="51">
        <v>5.99</v>
      </c>
      <c r="K4849" s="74">
        <f>Tabela6[[#This Row],[CONSUMO]]*Tabela6[[#This Row],[VALOR UNIT]]-Tabela6[[#This Row],[DESCONTO]]</f>
        <v>258.05519000000004</v>
      </c>
      <c r="L4849" s="53">
        <f>Tabela6[[#This Row],[CUSTO TOTAL]]/Tabela6[[#This Row],[CONSUMO]]</f>
        <v>5.99</v>
      </c>
      <c r="M4849" s="50">
        <f>Tabela6[[#This Row],[KM ATUAL]]-E4790</f>
        <v>-366322</v>
      </c>
      <c r="N4849" s="51">
        <f>Tabela6[[#This Row],[KM Rodados ]]/Tabela6[[#This Row],[CONSUMO]]</f>
        <v>-8503.0988138622597</v>
      </c>
    </row>
    <row r="4850" spans="1:14" x14ac:dyDescent="0.25">
      <c r="A4850" s="47">
        <v>261198</v>
      </c>
      <c r="B4850" s="78">
        <v>45464</v>
      </c>
      <c r="C4850" s="49" t="s">
        <v>23</v>
      </c>
      <c r="D4850" s="49" t="s">
        <v>253</v>
      </c>
      <c r="E4850" s="47">
        <v>281266</v>
      </c>
      <c r="G4850" s="49" t="s">
        <v>89</v>
      </c>
      <c r="H4850" s="51">
        <v>130.21</v>
      </c>
      <c r="J4850" s="51">
        <v>6.09</v>
      </c>
      <c r="K4850" s="74">
        <f>Tabela6[[#This Row],[CONSUMO]]*Tabela6[[#This Row],[VALOR UNIT]]-Tabela6[[#This Row],[DESCONTO]]</f>
        <v>792.97890000000007</v>
      </c>
      <c r="M4850" s="50">
        <f>Tabela6[[#This Row],[KM ATUAL]]-E4791</f>
        <v>-438665</v>
      </c>
      <c r="N4850" s="51">
        <f>Tabela6[[#This Row],[KM Rodados ]]/Tabela6[[#This Row],[CONSUMO]]</f>
        <v>-3368.904078027801</v>
      </c>
    </row>
    <row r="4851" spans="1:14" x14ac:dyDescent="0.25">
      <c r="A4851" s="47">
        <v>261198</v>
      </c>
      <c r="B4851" s="78">
        <v>45464</v>
      </c>
      <c r="C4851" s="47" t="s">
        <v>23</v>
      </c>
      <c r="D4851" s="49" t="s">
        <v>253</v>
      </c>
      <c r="E4851" s="47">
        <v>281266</v>
      </c>
      <c r="G4851" s="50" t="s">
        <v>89</v>
      </c>
      <c r="H4851" s="51">
        <v>7.34</v>
      </c>
      <c r="J4851" s="51">
        <v>6.09</v>
      </c>
      <c r="K4851" s="74">
        <f>Tabela6[[#This Row],[CONSUMO]]*Tabela6[[#This Row],[VALOR UNIT]]-Tabela6[[#This Row],[DESCONTO]]</f>
        <v>44.700600000000001</v>
      </c>
      <c r="L4851" s="53">
        <f>Tabela6[[#This Row],[CUSTO TOTAL]]/Tabela6[[#This Row],[CONSUMO]]</f>
        <v>6.0900000000000007</v>
      </c>
      <c r="M4851" s="50">
        <f>Tabela6[[#This Row],[KM ATUAL]]-E4792</f>
        <v>41387</v>
      </c>
      <c r="N4851" s="51">
        <f>Tabela6[[#This Row],[KM Rodados ]]/Tabela6[[#This Row],[CONSUMO]]</f>
        <v>5638.5558583106267</v>
      </c>
    </row>
    <row r="4852" spans="1:14" x14ac:dyDescent="0.25">
      <c r="A4852" s="47">
        <v>177692</v>
      </c>
      <c r="B4852" s="78">
        <v>45465</v>
      </c>
      <c r="C4852" s="47" t="s">
        <v>301</v>
      </c>
      <c r="D4852" s="49" t="s">
        <v>362</v>
      </c>
      <c r="G4852" s="50" t="s">
        <v>89</v>
      </c>
      <c r="H4852" s="51">
        <v>193</v>
      </c>
      <c r="J4852" s="51">
        <v>5.76</v>
      </c>
      <c r="K4852" s="74">
        <f>Tabela6[[#This Row],[CONSUMO]]*Tabela6[[#This Row],[VALOR UNIT]]-Tabela6[[#This Row],[DESCONTO]]</f>
        <v>1111.68</v>
      </c>
      <c r="L4852" s="53">
        <f>Tabela6[[#This Row],[CUSTO TOTAL]]/Tabela6[[#This Row],[CONSUMO]]</f>
        <v>5.7600000000000007</v>
      </c>
      <c r="M4852" s="50">
        <f>Tabela6[[#This Row],[KM ATUAL]]-E4793</f>
        <v>-126159</v>
      </c>
      <c r="N4852" s="51">
        <f>Tabela6[[#This Row],[KM Rodados ]]/Tabela6[[#This Row],[CONSUMO]]</f>
        <v>-653.67357512953367</v>
      </c>
    </row>
    <row r="4853" spans="1:14" x14ac:dyDescent="0.25">
      <c r="A4853" s="47">
        <v>90105</v>
      </c>
      <c r="B4853" s="78">
        <v>45465</v>
      </c>
      <c r="C4853" s="47" t="s">
        <v>301</v>
      </c>
      <c r="D4853" s="49" t="s">
        <v>348</v>
      </c>
      <c r="E4853" s="47">
        <v>1111373</v>
      </c>
      <c r="G4853" s="50" t="s">
        <v>89</v>
      </c>
      <c r="H4853" s="51">
        <v>305.02999999999997</v>
      </c>
      <c r="J4853" s="51">
        <v>5.89</v>
      </c>
      <c r="K4853" s="74">
        <f>Tabela6[[#This Row],[CONSUMO]]*Tabela6[[#This Row],[VALOR UNIT]]-Tabela6[[#This Row],[DESCONTO]]</f>
        <v>1796.6266999999998</v>
      </c>
      <c r="L4853" s="53">
        <f>Tabela6[[#This Row],[CUSTO TOTAL]]/Tabela6[[#This Row],[CONSUMO]]</f>
        <v>5.89</v>
      </c>
      <c r="M4853" s="50">
        <f>Tabela6[[#This Row],[KM ATUAL]]-E4794</f>
        <v>647111</v>
      </c>
      <c r="N4853" s="51">
        <f>Tabela6[[#This Row],[KM Rodados ]]/Tabela6[[#This Row],[CONSUMO]]</f>
        <v>2121.4667409762974</v>
      </c>
    </row>
    <row r="4854" spans="1:14" x14ac:dyDescent="0.25">
      <c r="A4854" s="47">
        <v>221854</v>
      </c>
      <c r="B4854" s="78">
        <v>45467</v>
      </c>
      <c r="C4854" s="47" t="s">
        <v>68</v>
      </c>
      <c r="D4854" s="49" t="s">
        <v>263</v>
      </c>
      <c r="E4854" s="47">
        <v>982635</v>
      </c>
      <c r="G4854" s="50" t="s">
        <v>89</v>
      </c>
      <c r="H4854" s="51">
        <v>572.4</v>
      </c>
      <c r="I4854" s="49">
        <v>85.86</v>
      </c>
      <c r="J4854" s="51">
        <v>5.94</v>
      </c>
      <c r="K4854" s="74">
        <f>Tabela6[[#This Row],[CONSUMO]]*Tabela6[[#This Row],[VALOR UNIT]]-Tabela6[[#This Row],[DESCONTO]]</f>
        <v>3314.1959999999999</v>
      </c>
      <c r="L4854" s="53">
        <f>Tabela6[[#This Row],[CUSTO TOTAL]]/Tabela6[[#This Row],[CONSUMO]]</f>
        <v>5.79</v>
      </c>
      <c r="M4854" s="50">
        <f>Tabela6[[#This Row],[KM ATUAL]]-E4795</f>
        <v>215074</v>
      </c>
      <c r="N4854" s="51">
        <f>Tabela6[[#This Row],[KM Rodados ]]/Tabela6[[#This Row],[CONSUMO]]</f>
        <v>375.74074074074076</v>
      </c>
    </row>
    <row r="4855" spans="1:14" x14ac:dyDescent="0.25">
      <c r="A4855" s="47">
        <v>508333</v>
      </c>
      <c r="B4855" s="78">
        <v>45467</v>
      </c>
      <c r="C4855" s="47" t="s">
        <v>67</v>
      </c>
      <c r="D4855" s="49" t="s">
        <v>273</v>
      </c>
      <c r="E4855" s="47">
        <v>720520</v>
      </c>
      <c r="G4855" s="50" t="s">
        <v>89</v>
      </c>
      <c r="H4855" s="51">
        <v>140.84100000000001</v>
      </c>
      <c r="J4855" s="51">
        <v>5.69</v>
      </c>
      <c r="K4855" s="74">
        <f>Tabela6[[#This Row],[CONSUMO]]*Tabela6[[#This Row],[VALOR UNIT]]-Tabela6[[#This Row],[DESCONTO]]</f>
        <v>801.38529000000005</v>
      </c>
      <c r="L4855" s="53">
        <f>Tabela6[[#This Row],[CUSTO TOTAL]]/Tabela6[[#This Row],[CONSUMO]]</f>
        <v>5.69</v>
      </c>
      <c r="M4855" s="50">
        <f>Tabela6[[#This Row],[KM ATUAL]]-E4796</f>
        <v>380641</v>
      </c>
      <c r="N4855" s="51">
        <f>Tabela6[[#This Row],[KM Rodados ]]/Tabela6[[#This Row],[CONSUMO]]</f>
        <v>2702.629205984053</v>
      </c>
    </row>
    <row r="4856" spans="1:14" x14ac:dyDescent="0.25">
      <c r="A4856" s="47">
        <v>221860</v>
      </c>
      <c r="B4856" s="78">
        <v>45467</v>
      </c>
      <c r="C4856" s="47" t="s">
        <v>72</v>
      </c>
      <c r="D4856" s="49" t="s">
        <v>263</v>
      </c>
      <c r="E4856" s="47">
        <v>466015</v>
      </c>
      <c r="G4856" s="50" t="s">
        <v>89</v>
      </c>
      <c r="H4856" s="51">
        <v>24.530999999999999</v>
      </c>
      <c r="I4856" s="49">
        <v>3.68</v>
      </c>
      <c r="J4856" s="51">
        <v>5.94</v>
      </c>
      <c r="K4856" s="74">
        <f>Tabela6[[#This Row],[CONSUMO]]*Tabela6[[#This Row],[VALOR UNIT]]-Tabela6[[#This Row],[DESCONTO]]</f>
        <v>142.03414000000001</v>
      </c>
      <c r="L4856" s="53">
        <f>Tabela6[[#This Row],[CUSTO TOTAL]]/Tabela6[[#This Row],[CONSUMO]]</f>
        <v>5.7899857323386739</v>
      </c>
      <c r="M4856" s="53" t="e">
        <f t="array" ref="M4856">SE</f>
        <v>#NAME?</v>
      </c>
      <c r="N4856" s="49" t="e">
        <f>Tabela6[[#This Row],[KM Rodados ]]/Tabela6[[#This Row],[CONSUMO]]</f>
        <v>#NAME?</v>
      </c>
    </row>
    <row r="4857" spans="1:14" x14ac:dyDescent="0.25">
      <c r="A4857" s="47">
        <v>160167</v>
      </c>
      <c r="B4857" s="78">
        <v>45467</v>
      </c>
      <c r="C4857" s="49" t="s">
        <v>301</v>
      </c>
      <c r="E4857" s="47">
        <v>1113839</v>
      </c>
      <c r="G4857" s="49" t="s">
        <v>89</v>
      </c>
      <c r="H4857" s="51">
        <v>250</v>
      </c>
      <c r="J4857" s="51">
        <v>5.99</v>
      </c>
      <c r="K4857" s="74">
        <f>Tabela6[[#This Row],[CONSUMO]]*Tabela6[[#This Row],[VALOR UNIT]]-Tabela6[[#This Row],[DESCONTO]]</f>
        <v>1497.5</v>
      </c>
      <c r="M4857" s="50">
        <f>Tabela6[[#This Row],[KM ATUAL]]-E4798</f>
        <v>256502</v>
      </c>
      <c r="N4857" s="51">
        <f>Tabela6[[#This Row],[KM Rodados ]]/Tabela6[[#This Row],[CONSUMO]]</f>
        <v>1026.008</v>
      </c>
    </row>
    <row r="4858" spans="1:14" x14ac:dyDescent="0.25">
      <c r="A4858" s="47">
        <v>410782</v>
      </c>
      <c r="B4858" s="78">
        <v>45467</v>
      </c>
      <c r="C4858" s="49" t="s">
        <v>446</v>
      </c>
      <c r="D4858" s="49" t="s">
        <v>276</v>
      </c>
      <c r="E4858" s="47">
        <v>21286</v>
      </c>
      <c r="G4858" s="49" t="s">
        <v>241</v>
      </c>
      <c r="H4858" s="51">
        <v>10</v>
      </c>
      <c r="J4858" s="51">
        <v>3.69</v>
      </c>
      <c r="K4858" s="74">
        <f>Tabela6[[#This Row],[CONSUMO]]*Tabela6[[#This Row],[VALOR UNIT]]-Tabela6[[#This Row],[DESCONTO]]</f>
        <v>36.9</v>
      </c>
      <c r="M4858" s="50" t="e">
        <f>Tabela6[[#This Row],[KM ATUAL]]-#REF!</f>
        <v>#REF!</v>
      </c>
      <c r="N4858" s="51" t="e">
        <f>Tabela6[[#This Row],[KM Rodados ]]/Tabela6[[#This Row],[CONSUMO]]</f>
        <v>#REF!</v>
      </c>
    </row>
    <row r="4859" spans="1:14" x14ac:dyDescent="0.25">
      <c r="A4859" s="47">
        <v>272859</v>
      </c>
      <c r="B4859" s="78">
        <v>45468</v>
      </c>
      <c r="C4859" s="47" t="s">
        <v>394</v>
      </c>
      <c r="D4859" s="49" t="s">
        <v>262</v>
      </c>
      <c r="E4859" s="47">
        <v>893733</v>
      </c>
      <c r="G4859" s="50" t="s">
        <v>89</v>
      </c>
      <c r="H4859" s="51">
        <v>90.33</v>
      </c>
      <c r="J4859" s="51">
        <v>6.09</v>
      </c>
      <c r="K4859" s="74">
        <f>Tabela6[[#This Row],[CONSUMO]]*Tabela6[[#This Row],[VALOR UNIT]]-Tabela6[[#This Row],[DESCONTO]]</f>
        <v>550.10969999999998</v>
      </c>
      <c r="L4859" s="53">
        <f>Tabela6[[#This Row],[CUSTO TOTAL]]/Tabela6[[#This Row],[CONSUMO]]</f>
        <v>6.09</v>
      </c>
      <c r="M4859" s="50">
        <f>Tabela6[[#This Row],[KM ATUAL]]-E4799</f>
        <v>700031</v>
      </c>
      <c r="N4859" s="51">
        <f>Tabela6[[#This Row],[KM Rodados ]]/Tabela6[[#This Row],[CONSUMO]]</f>
        <v>7749.7066312410052</v>
      </c>
    </row>
    <row r="4860" spans="1:14" x14ac:dyDescent="0.25">
      <c r="A4860" s="47">
        <v>233305</v>
      </c>
      <c r="B4860" s="78">
        <v>45468</v>
      </c>
      <c r="C4860" s="47" t="s">
        <v>222</v>
      </c>
      <c r="D4860" s="49" t="s">
        <v>300</v>
      </c>
      <c r="E4860" s="47">
        <v>594408</v>
      </c>
      <c r="G4860" s="50" t="s">
        <v>89</v>
      </c>
      <c r="H4860" s="51">
        <v>42.040999999999997</v>
      </c>
      <c r="J4860" s="51">
        <v>2.99</v>
      </c>
      <c r="K4860" s="74">
        <f>Tabela6[[#This Row],[CONSUMO]]*Tabela6[[#This Row],[VALOR UNIT]]-Tabela6[[#This Row],[DESCONTO]]</f>
        <v>125.70259</v>
      </c>
      <c r="L4860" s="53">
        <f>Tabela6[[#This Row],[CUSTO TOTAL]]/Tabela6[[#This Row],[CONSUMO]]</f>
        <v>2.99</v>
      </c>
      <c r="M4860" s="53" t="e">
        <f t="array" ref="M4860">SE</f>
        <v>#NAME?</v>
      </c>
      <c r="N4860" s="49" t="e">
        <f>Tabela6[[#This Row],[KM Rodados ]]/Tabela6[[#This Row],[CONSUMO]]</f>
        <v>#NAME?</v>
      </c>
    </row>
    <row r="4861" spans="1:14" x14ac:dyDescent="0.25">
      <c r="A4861" s="47">
        <v>508833</v>
      </c>
      <c r="B4861" s="78">
        <v>45468</v>
      </c>
      <c r="C4861" s="47" t="s">
        <v>67</v>
      </c>
      <c r="D4861" s="49" t="s">
        <v>269</v>
      </c>
      <c r="E4861" s="47">
        <v>721040</v>
      </c>
      <c r="G4861" s="50" t="s">
        <v>89</v>
      </c>
      <c r="H4861" s="51">
        <v>138.52099999999999</v>
      </c>
      <c r="J4861" s="51">
        <v>5.69</v>
      </c>
      <c r="K4861" s="74">
        <f>Tabela6[[#This Row],[CONSUMO]]*Tabela6[[#This Row],[VALOR UNIT]]-Tabela6[[#This Row],[DESCONTO]]</f>
        <v>788.18448999999998</v>
      </c>
      <c r="L4861" s="53">
        <f>Tabela6[[#This Row],[CUSTO TOTAL]]/Tabela6[[#This Row],[CONSUMO]]</f>
        <v>5.69</v>
      </c>
      <c r="M4861" s="50">
        <f>Tabela6[[#This Row],[KM ATUAL]]-E4801</f>
        <v>687305</v>
      </c>
      <c r="N4861" s="51">
        <f>Tabela6[[#This Row],[KM Rodados ]]/Tabela6[[#This Row],[CONSUMO]]</f>
        <v>4961.7386533449808</v>
      </c>
    </row>
    <row r="4862" spans="1:14" x14ac:dyDescent="0.25">
      <c r="A4862" s="47">
        <v>23840</v>
      </c>
      <c r="B4862" s="78">
        <v>45468</v>
      </c>
      <c r="C4862" s="47" t="s">
        <v>16</v>
      </c>
      <c r="D4862" s="49" t="s">
        <v>255</v>
      </c>
      <c r="E4862" s="47">
        <v>323709</v>
      </c>
      <c r="G4862" s="50" t="s">
        <v>89</v>
      </c>
      <c r="H4862" s="51">
        <v>104.55</v>
      </c>
      <c r="J4862" s="51">
        <v>6.26</v>
      </c>
      <c r="K4862" s="74">
        <f>Tabela6[[#This Row],[CONSUMO]]*Tabela6[[#This Row],[VALOR UNIT]]-Tabela6[[#This Row],[DESCONTO]]</f>
        <v>654.48299999999995</v>
      </c>
      <c r="L4862" s="53">
        <f>Tabela6[[#This Row],[CUSTO TOTAL]]/Tabela6[[#This Row],[CONSUMO]]</f>
        <v>6.26</v>
      </c>
      <c r="M4862" s="53" t="e">
        <f t="array" ref="M4862">SE</f>
        <v>#NAME?</v>
      </c>
      <c r="N4862" s="49" t="e">
        <f>Tabela6[[#This Row],[KM Rodados ]]/Tabela6[[#This Row],[CONSUMO]]</f>
        <v>#NAME?</v>
      </c>
    </row>
    <row r="4863" spans="1:14" x14ac:dyDescent="0.25">
      <c r="A4863" s="47">
        <v>508819</v>
      </c>
      <c r="B4863" s="78">
        <v>45468</v>
      </c>
      <c r="C4863" s="47" t="s">
        <v>20</v>
      </c>
      <c r="D4863" s="49" t="s">
        <v>273</v>
      </c>
      <c r="E4863" s="47">
        <v>323691</v>
      </c>
      <c r="G4863" s="50" t="s">
        <v>89</v>
      </c>
      <c r="H4863" s="51">
        <v>69</v>
      </c>
      <c r="J4863" s="51">
        <v>5.69</v>
      </c>
      <c r="K4863" s="74">
        <f>Tabela6[[#This Row],[CONSUMO]]*Tabela6[[#This Row],[VALOR UNIT]]-Tabela6[[#This Row],[DESCONTO]]</f>
        <v>392.61</v>
      </c>
      <c r="L4863" s="53">
        <f>Tabela6[[#This Row],[CUSTO TOTAL]]/Tabela6[[#This Row],[CONSUMO]]</f>
        <v>5.69</v>
      </c>
      <c r="M4863" s="50">
        <f>Tabela6[[#This Row],[KM ATUAL]]-E4803</f>
        <v>-656216</v>
      </c>
      <c r="N4863" s="51">
        <f>Tabela6[[#This Row],[KM Rodados ]]/Tabela6[[#This Row],[CONSUMO]]</f>
        <v>-9510.3768115942021</v>
      </c>
    </row>
    <row r="4864" spans="1:14" x14ac:dyDescent="0.25">
      <c r="A4864" s="47">
        <v>263945</v>
      </c>
      <c r="B4864" s="78">
        <v>45468</v>
      </c>
      <c r="C4864" s="47" t="s">
        <v>23</v>
      </c>
      <c r="D4864" s="49" t="s">
        <v>253</v>
      </c>
      <c r="E4864" s="47">
        <v>281735</v>
      </c>
      <c r="G4864" s="50" t="s">
        <v>89</v>
      </c>
      <c r="H4864" s="51">
        <v>110.89</v>
      </c>
      <c r="J4864" s="51">
        <v>6.09</v>
      </c>
      <c r="K4864" s="74">
        <f>Tabela6[[#This Row],[CONSUMO]]*Tabela6[[#This Row],[VALOR UNIT]]-Tabela6[[#This Row],[DESCONTO]]</f>
        <v>675.32010000000002</v>
      </c>
      <c r="L4864" s="53">
        <f>Tabela6[[#This Row],[CUSTO TOTAL]]/Tabela6[[#This Row],[CONSUMO]]</f>
        <v>6.09</v>
      </c>
      <c r="M4864" s="53" t="e">
        <f t="array" ref="M4864">SE</f>
        <v>#NAME?</v>
      </c>
      <c r="N4864" s="49" t="e">
        <f>Tabela6[[#This Row],[KM Rodados ]]/Tabela6[[#This Row],[CONSUMO]]</f>
        <v>#NAME?</v>
      </c>
    </row>
    <row r="4865" spans="1:14" x14ac:dyDescent="0.25">
      <c r="A4865" s="47">
        <v>263945</v>
      </c>
      <c r="B4865" s="78">
        <v>45468</v>
      </c>
      <c r="C4865" s="47" t="s">
        <v>23</v>
      </c>
      <c r="D4865" s="49" t="s">
        <v>253</v>
      </c>
      <c r="E4865" s="47">
        <v>281735</v>
      </c>
      <c r="G4865" s="50" t="s">
        <v>89</v>
      </c>
      <c r="H4865" s="51">
        <v>110.89</v>
      </c>
      <c r="J4865" s="51">
        <v>6.09</v>
      </c>
      <c r="K4865" s="74">
        <f>Tabela6[[#This Row],[CONSUMO]]*Tabela6[[#This Row],[VALOR UNIT]]-Tabela6[[#This Row],[DESCONTO]]</f>
        <v>675.32010000000002</v>
      </c>
      <c r="L4865" s="53">
        <f>Tabela6[[#This Row],[CUSTO TOTAL]]/Tabela6[[#This Row],[CONSUMO]]</f>
        <v>6.09</v>
      </c>
      <c r="M4865" s="50">
        <f>Tabela6[[#This Row],[KM ATUAL]]-E4805</f>
        <v>1707</v>
      </c>
      <c r="N4865" s="51">
        <f>Tabela6[[#This Row],[KM Rodados ]]/Tabela6[[#This Row],[CONSUMO]]</f>
        <v>15.393633330327351</v>
      </c>
    </row>
    <row r="4866" spans="1:14" x14ac:dyDescent="0.25">
      <c r="A4866" s="47">
        <v>264127</v>
      </c>
      <c r="B4866" s="78">
        <v>45468</v>
      </c>
      <c r="C4866" s="47" t="s">
        <v>315</v>
      </c>
      <c r="D4866" s="49" t="s">
        <v>253</v>
      </c>
      <c r="E4866" s="47">
        <v>35333</v>
      </c>
      <c r="G4866" s="50" t="s">
        <v>89</v>
      </c>
      <c r="H4866" s="51">
        <v>50.69</v>
      </c>
      <c r="J4866" s="51">
        <v>6.09</v>
      </c>
      <c r="K4866" s="74">
        <f>Tabela6[[#This Row],[CONSUMO]]*Tabela6[[#This Row],[VALOR UNIT]]-Tabela6[[#This Row],[DESCONTO]]</f>
        <v>308.70209999999997</v>
      </c>
      <c r="L4866" s="53">
        <f>Tabela6[[#This Row],[CUSTO TOTAL]]/Tabela6[[#This Row],[CONSUMO]]</f>
        <v>6.09</v>
      </c>
      <c r="M4866" s="50">
        <f>Tabela6[[#This Row],[KM ATUAL]]-E4806</f>
        <v>-684109</v>
      </c>
      <c r="N4866" s="51">
        <f>Tabela6[[#This Row],[KM Rodados ]]/Tabela6[[#This Row],[CONSUMO]]</f>
        <v>-13495.93608206747</v>
      </c>
    </row>
    <row r="4867" spans="1:14" x14ac:dyDescent="0.25">
      <c r="A4867" s="119">
        <v>354290</v>
      </c>
      <c r="B4867" s="78">
        <v>45468</v>
      </c>
      <c r="C4867" s="47" t="s">
        <v>401</v>
      </c>
      <c r="D4867" s="49" t="s">
        <v>402</v>
      </c>
      <c r="E4867" s="47">
        <v>35613</v>
      </c>
      <c r="G4867" s="50" t="s">
        <v>89</v>
      </c>
      <c r="H4867" s="51">
        <v>65.680999999999997</v>
      </c>
      <c r="J4867" s="51">
        <v>6.09</v>
      </c>
      <c r="K4867" s="74">
        <f>Tabela6[[#This Row],[CONSUMO]]*Tabela6[[#This Row],[VALOR UNIT]]-Tabela6[[#This Row],[DESCONTO]]</f>
        <v>399.99728999999996</v>
      </c>
      <c r="L4867" s="53">
        <f>Tabela6[[#This Row],[CUSTO TOTAL]]/Tabela6[[#This Row],[CONSUMO]]</f>
        <v>6.09</v>
      </c>
      <c r="M4867" s="50">
        <f>Tabela6[[#This Row],[KM ATUAL]]-E4806</f>
        <v>-683829</v>
      </c>
      <c r="N4867" s="51">
        <f>Tabela6[[#This Row],[KM Rodados ]]/Tabela6[[#This Row],[CONSUMO]]</f>
        <v>-10411.367062011846</v>
      </c>
    </row>
    <row r="4868" spans="1:14" x14ac:dyDescent="0.25">
      <c r="A4868" s="47">
        <v>272953</v>
      </c>
      <c r="B4868" s="78">
        <v>45468</v>
      </c>
      <c r="C4868" s="47" t="s">
        <v>446</v>
      </c>
      <c r="D4868" s="49" t="s">
        <v>262</v>
      </c>
      <c r="E4868" s="47">
        <v>21413</v>
      </c>
      <c r="G4868" s="50" t="s">
        <v>241</v>
      </c>
      <c r="H4868" s="51">
        <v>23.498999999999999</v>
      </c>
      <c r="I4868" s="49">
        <v>8.4600000000000009</v>
      </c>
      <c r="J4868" s="51">
        <v>3.69</v>
      </c>
      <c r="K4868" s="74">
        <f>Tabela6[[#This Row],[CONSUMO]]*Tabela6[[#This Row],[VALOR UNIT]]-Tabela6[[#This Row],[DESCONTO]]</f>
        <v>78.251309999999989</v>
      </c>
      <c r="L4868" s="53">
        <f>Tabela6[[#This Row],[CUSTO TOTAL]]/Tabela6[[#This Row],[CONSUMO]]</f>
        <v>3.3299846801991571</v>
      </c>
      <c r="M4868" s="50" t="e">
        <f>Tabela6[[#This Row],[KM ATUAL]]-#REF!</f>
        <v>#REF!</v>
      </c>
      <c r="N4868" s="51" t="e">
        <f>Tabela6[[#This Row],[KM Rodados ]]/Tabela6[[#This Row],[CONSUMO]]</f>
        <v>#REF!</v>
      </c>
    </row>
    <row r="4869" spans="1:14" x14ac:dyDescent="0.25">
      <c r="A4869" s="47">
        <v>486356</v>
      </c>
      <c r="B4869" s="78">
        <v>45469</v>
      </c>
      <c r="C4869" s="47" t="s">
        <v>222</v>
      </c>
      <c r="D4869" s="49" t="s">
        <v>333</v>
      </c>
      <c r="E4869" s="47">
        <v>591443</v>
      </c>
      <c r="G4869" s="50" t="s">
        <v>89</v>
      </c>
      <c r="H4869" s="51">
        <v>74.95</v>
      </c>
      <c r="J4869" s="51">
        <v>5.79</v>
      </c>
      <c r="K4869" s="74">
        <f>Tabela6[[#This Row],[CONSUMO]]*Tabela6[[#This Row],[VALOR UNIT]]-Tabela6[[#This Row],[DESCONTO]]</f>
        <v>433.96050000000002</v>
      </c>
      <c r="L4869" s="53">
        <f>Tabela6[[#This Row],[CUSTO TOTAL]]/Tabela6[[#This Row],[CONSUMO]]</f>
        <v>5.79</v>
      </c>
      <c r="M4869" s="50">
        <f>Tabela6[[#This Row],[KM ATUAL]]-E4807</f>
        <v>255003</v>
      </c>
      <c r="N4869" s="51">
        <f>Tabela6[[#This Row],[KM Rodados ]]/Tabela6[[#This Row],[CONSUMO]]</f>
        <v>3402.3082054703136</v>
      </c>
    </row>
    <row r="4870" spans="1:14" x14ac:dyDescent="0.25">
      <c r="A4870" s="47">
        <v>486357</v>
      </c>
      <c r="B4870" s="78">
        <v>45469</v>
      </c>
      <c r="C4870" s="47" t="s">
        <v>222</v>
      </c>
      <c r="D4870" s="49" t="s">
        <v>333</v>
      </c>
      <c r="E4870" s="47">
        <v>591443</v>
      </c>
      <c r="G4870" s="50" t="s">
        <v>241</v>
      </c>
      <c r="H4870" s="51">
        <v>33.92</v>
      </c>
      <c r="J4870" s="51">
        <v>2.99</v>
      </c>
      <c r="K4870" s="74">
        <f>Tabela6[[#This Row],[CONSUMO]]*Tabela6[[#This Row],[VALOR UNIT]]-Tabela6[[#This Row],[DESCONTO]]</f>
        <v>101.42080000000001</v>
      </c>
      <c r="L4870" s="53">
        <f>Tabela6[[#This Row],[CUSTO TOTAL]]/Tabela6[[#This Row],[CONSUMO]]</f>
        <v>2.99</v>
      </c>
      <c r="M4870" s="50">
        <f>Tabela6[[#This Row],[KM ATUAL]]-E4808</f>
        <v>228566</v>
      </c>
      <c r="N4870" s="51">
        <f>Tabela6[[#This Row],[KM Rodados ]]/Tabela6[[#This Row],[CONSUMO]]</f>
        <v>6738.3844339622638</v>
      </c>
    </row>
    <row r="4871" spans="1:14" x14ac:dyDescent="0.25">
      <c r="A4871" s="47">
        <v>273074</v>
      </c>
      <c r="B4871" s="78">
        <v>45469</v>
      </c>
      <c r="C4871" s="47" t="s">
        <v>215</v>
      </c>
      <c r="D4871" s="49" t="s">
        <v>262</v>
      </c>
      <c r="E4871" s="47">
        <v>40398</v>
      </c>
      <c r="G4871" s="50" t="s">
        <v>244</v>
      </c>
      <c r="H4871" s="51">
        <v>40.74</v>
      </c>
      <c r="J4871" s="51">
        <v>5.69</v>
      </c>
      <c r="K4871" s="74">
        <f>Tabela6[[#This Row],[CONSUMO]]*Tabela6[[#This Row],[VALOR UNIT]]-Tabela6[[#This Row],[DESCONTO]]</f>
        <v>231.81060000000002</v>
      </c>
      <c r="L4871" s="53">
        <f>Tabela6[[#This Row],[CUSTO TOTAL]]/Tabela6[[#This Row],[CONSUMO]]</f>
        <v>5.69</v>
      </c>
      <c r="M4871" s="50">
        <f>Tabela6[[#This Row],[KM ATUAL]]-E4809</f>
        <v>-109186</v>
      </c>
      <c r="N4871" s="51">
        <f>Tabela6[[#This Row],[KM Rodados ]]/Tabela6[[#This Row],[CONSUMO]]</f>
        <v>-2680.0687285223366</v>
      </c>
    </row>
    <row r="4872" spans="1:14" x14ac:dyDescent="0.25">
      <c r="A4872" s="47" t="s">
        <v>493</v>
      </c>
      <c r="B4872" s="78">
        <v>45469</v>
      </c>
      <c r="C4872" s="47" t="s">
        <v>301</v>
      </c>
      <c r="D4872" s="49" t="s">
        <v>487</v>
      </c>
      <c r="E4872" s="47">
        <v>1113913</v>
      </c>
      <c r="G4872" s="50" t="s">
        <v>89</v>
      </c>
      <c r="H4872" s="51">
        <v>376.37599999999998</v>
      </c>
      <c r="J4872" s="51">
        <v>5.69</v>
      </c>
      <c r="K4872" s="74">
        <f>Tabela6[[#This Row],[CONSUMO]]*Tabela6[[#This Row],[VALOR UNIT]]-Tabela6[[#This Row],[DESCONTO]]</f>
        <v>2141.57944</v>
      </c>
      <c r="L4872" s="53">
        <f>Tabela6[[#This Row],[CUSTO TOTAL]]/Tabela6[[#This Row],[CONSUMO]]</f>
        <v>5.69</v>
      </c>
      <c r="M4872" s="50">
        <f>Tabela6[[#This Row],[KM ATUAL]]-E4810</f>
        <v>964329</v>
      </c>
      <c r="N4872" s="51">
        <f>Tabela6[[#This Row],[KM Rodados ]]/Tabela6[[#This Row],[CONSUMO]]</f>
        <v>2562.1426445894531</v>
      </c>
    </row>
    <row r="4873" spans="1:14" x14ac:dyDescent="0.25">
      <c r="A4873" s="47">
        <v>6868</v>
      </c>
      <c r="B4873" s="78">
        <v>45470</v>
      </c>
      <c r="C4873" s="47" t="s">
        <v>358</v>
      </c>
      <c r="D4873" s="49" t="s">
        <v>324</v>
      </c>
      <c r="E4873" s="47">
        <v>861088</v>
      </c>
      <c r="G4873" s="50" t="s">
        <v>89</v>
      </c>
      <c r="H4873" s="51">
        <v>165</v>
      </c>
      <c r="J4873" s="51">
        <v>5.55</v>
      </c>
      <c r="K4873" s="74">
        <f>Tabela6[[#This Row],[CONSUMO]]*Tabela6[[#This Row],[VALOR UNIT]]-Tabela6[[#This Row],[DESCONTO]]</f>
        <v>915.75</v>
      </c>
      <c r="L4873" s="53">
        <f>Tabela6[[#This Row],[CUSTO TOTAL]]/Tabela6[[#This Row],[CONSUMO]]</f>
        <v>5.55</v>
      </c>
      <c r="M4873" s="53" t="e">
        <f t="array" ref="M4873">SE</f>
        <v>#NAME?</v>
      </c>
      <c r="N4873" s="49" t="e">
        <f>Tabela6[[#This Row],[KM Rodados ]]/Tabela6[[#This Row],[CONSUMO]]</f>
        <v>#NAME?</v>
      </c>
    </row>
    <row r="4874" spans="1:14" x14ac:dyDescent="0.25">
      <c r="A4874" s="47">
        <v>175473</v>
      </c>
      <c r="B4874" s="78">
        <v>45470</v>
      </c>
      <c r="C4874" s="49" t="s">
        <v>203</v>
      </c>
      <c r="D4874" s="49" t="s">
        <v>260</v>
      </c>
      <c r="E4874" s="47">
        <v>171049</v>
      </c>
      <c r="G4874" s="49" t="s">
        <v>244</v>
      </c>
      <c r="H4874" s="51">
        <v>43.831000000000003</v>
      </c>
      <c r="J4874" s="51">
        <v>5.79</v>
      </c>
      <c r="K4874" s="74">
        <f>Tabela6[[#This Row],[CONSUMO]]*Tabela6[[#This Row],[VALOR UNIT]]-Tabela6[[#This Row],[DESCONTO]]</f>
        <v>253.78149000000002</v>
      </c>
      <c r="M4874" s="50">
        <f>Tabela6[[#This Row],[KM ATUAL]]-E4811</f>
        <v>-38072</v>
      </c>
      <c r="N4874" s="51">
        <f>Tabela6[[#This Row],[KM Rodados ]]/Tabela6[[#This Row],[CONSUMO]]</f>
        <v>-868.6089753827199</v>
      </c>
    </row>
    <row r="4875" spans="1:14" x14ac:dyDescent="0.25">
      <c r="A4875" s="47">
        <v>222385</v>
      </c>
      <c r="B4875" s="78">
        <v>45470</v>
      </c>
      <c r="C4875" s="47" t="s">
        <v>72</v>
      </c>
      <c r="D4875" s="49" t="s">
        <v>263</v>
      </c>
      <c r="E4875" s="47">
        <v>466507</v>
      </c>
      <c r="G4875" s="50" t="s">
        <v>89</v>
      </c>
      <c r="H4875" s="51">
        <v>27.43</v>
      </c>
      <c r="I4875" s="49">
        <v>4.12</v>
      </c>
      <c r="J4875" s="51">
        <v>5.94</v>
      </c>
      <c r="K4875" s="74">
        <f>Tabela6[[#This Row],[CONSUMO]]*Tabela6[[#This Row],[VALOR UNIT]]-Tabela6[[#This Row],[DESCONTO]]</f>
        <v>158.8142</v>
      </c>
      <c r="L4875" s="53">
        <f>Tabela6[[#This Row],[CUSTO TOTAL]]/Tabela6[[#This Row],[CONSUMO]]</f>
        <v>5.7897994896099165</v>
      </c>
      <c r="M4875" s="53" t="e">
        <f t="array" ref="M4875">SE</f>
        <v>#NAME?</v>
      </c>
      <c r="N4875" s="49" t="e">
        <f>Tabela6[[#This Row],[KM Rodados ]]/Tabela6[[#This Row],[CONSUMO]]</f>
        <v>#NAME?</v>
      </c>
    </row>
    <row r="4876" spans="1:14" x14ac:dyDescent="0.25">
      <c r="A4876" s="47">
        <v>265329</v>
      </c>
      <c r="B4876" s="78">
        <v>45470</v>
      </c>
      <c r="C4876" s="47" t="s">
        <v>11</v>
      </c>
      <c r="D4876" s="49" t="s">
        <v>253</v>
      </c>
      <c r="E4876" s="47">
        <v>418839</v>
      </c>
      <c r="G4876" s="50" t="s">
        <v>89</v>
      </c>
      <c r="H4876" s="51">
        <v>95.85</v>
      </c>
      <c r="J4876" s="51">
        <v>6.09</v>
      </c>
      <c r="K4876" s="74">
        <f>Tabela6[[#This Row],[CONSUMO]]*Tabela6[[#This Row],[VALOR UNIT]]-Tabela6[[#This Row],[DESCONTO]]</f>
        <v>583.72649999999999</v>
      </c>
      <c r="L4876" s="53">
        <f>Tabela6[[#This Row],[CUSTO TOTAL]]/Tabela6[[#This Row],[CONSUMO]]</f>
        <v>6.09</v>
      </c>
      <c r="M4876" s="50">
        <f>Tabela6[[#This Row],[KM ATUAL]]-E4815</f>
        <v>-562360</v>
      </c>
      <c r="N4876" s="51">
        <f>Tabela6[[#This Row],[KM Rodados ]]/Tabela6[[#This Row],[CONSUMO]]</f>
        <v>-5867.0839853938451</v>
      </c>
    </row>
    <row r="4877" spans="1:14" x14ac:dyDescent="0.25">
      <c r="A4877" s="47">
        <v>673111</v>
      </c>
      <c r="B4877" s="78">
        <v>45470</v>
      </c>
      <c r="C4877" s="47" t="s">
        <v>301</v>
      </c>
      <c r="D4877" s="49" t="s">
        <v>378</v>
      </c>
      <c r="E4877" s="47">
        <v>1113990</v>
      </c>
      <c r="G4877" s="50" t="s">
        <v>89</v>
      </c>
      <c r="H4877" s="51">
        <v>416</v>
      </c>
      <c r="J4877" s="51">
        <v>5.69</v>
      </c>
      <c r="K4877" s="74">
        <f>Tabela6[[#This Row],[CONSUMO]]*Tabela6[[#This Row],[VALOR UNIT]]-Tabela6[[#This Row],[DESCONTO]]</f>
        <v>2367.04</v>
      </c>
      <c r="L4877" s="53">
        <f>Tabela6[[#This Row],[CUSTO TOTAL]]/Tabela6[[#This Row],[CONSUMO]]</f>
        <v>5.6899999999999995</v>
      </c>
      <c r="M4877" s="50">
        <f>Tabela6[[#This Row],[KM ATUAL]]-E4816</f>
        <v>944406</v>
      </c>
      <c r="N4877" s="51">
        <f>Tabela6[[#This Row],[KM Rodados ]]/Tabela6[[#This Row],[CONSUMO]]</f>
        <v>2270.2067307692309</v>
      </c>
    </row>
    <row r="4878" spans="1:14" x14ac:dyDescent="0.25">
      <c r="A4878" s="47">
        <v>24255</v>
      </c>
      <c r="B4878" s="78">
        <v>45470</v>
      </c>
      <c r="C4878" s="47" t="s">
        <v>38</v>
      </c>
      <c r="D4878" s="49" t="s">
        <v>255</v>
      </c>
      <c r="E4878" s="47">
        <v>150028</v>
      </c>
      <c r="G4878" s="50" t="s">
        <v>244</v>
      </c>
      <c r="H4878" s="51">
        <v>50.420999999999999</v>
      </c>
      <c r="J4878" s="51">
        <v>5.69</v>
      </c>
      <c r="K4878" s="74">
        <f>Tabela6[[#This Row],[CONSUMO]]*Tabela6[[#This Row],[VALOR UNIT]]-Tabela6[[#This Row],[DESCONTO]]</f>
        <v>286.89549</v>
      </c>
      <c r="L4878" s="53">
        <f>Tabela6[[#This Row],[CUSTO TOTAL]]/Tabela6[[#This Row],[CONSUMO]]</f>
        <v>5.69</v>
      </c>
      <c r="M4878" s="50">
        <f>Tabela6[[#This Row],[KM ATUAL]]-E4817</f>
        <v>-314786</v>
      </c>
      <c r="N4878" s="51">
        <f>Tabela6[[#This Row],[KM Rodados ]]/Tabela6[[#This Row],[CONSUMO]]</f>
        <v>-6243.1526546478653</v>
      </c>
    </row>
    <row r="4879" spans="1:14" x14ac:dyDescent="0.25">
      <c r="A4879" s="47">
        <v>24255</v>
      </c>
      <c r="B4879" s="78">
        <v>45470</v>
      </c>
      <c r="C4879" s="47" t="s">
        <v>38</v>
      </c>
      <c r="D4879" s="49" t="s">
        <v>255</v>
      </c>
      <c r="E4879" s="47">
        <v>150028</v>
      </c>
      <c r="G4879" s="50" t="s">
        <v>244</v>
      </c>
      <c r="H4879" s="51">
        <v>50.42</v>
      </c>
      <c r="J4879" s="51">
        <v>5.69</v>
      </c>
      <c r="K4879" s="74">
        <f>Tabela6[[#This Row],[CONSUMO]]*Tabela6[[#This Row],[VALOR UNIT]]-Tabela6[[#This Row],[DESCONTO]]</f>
        <v>286.88980000000004</v>
      </c>
      <c r="L4879" s="53">
        <f>Tabela6[[#This Row],[CUSTO TOTAL]]/Tabela6[[#This Row],[CONSUMO]]</f>
        <v>5.69</v>
      </c>
      <c r="M4879" s="53" t="e">
        <f t="array" ref="M4879">SE</f>
        <v>#NAME?</v>
      </c>
      <c r="N4879" s="49" t="e">
        <f>Tabela6[[#This Row],[KM Rodados ]]/Tabela6[[#This Row],[CONSUMO]]</f>
        <v>#NAME?</v>
      </c>
    </row>
    <row r="4880" spans="1:14" x14ac:dyDescent="0.25">
      <c r="A4880" s="47">
        <v>265571</v>
      </c>
      <c r="B4880" s="78">
        <v>45470</v>
      </c>
      <c r="C4880" s="47" t="s">
        <v>23</v>
      </c>
      <c r="D4880" s="49" t="s">
        <v>253</v>
      </c>
      <c r="E4880" s="47">
        <v>282205</v>
      </c>
      <c r="G4880" s="50" t="s">
        <v>89</v>
      </c>
      <c r="H4880" s="51">
        <v>113.42</v>
      </c>
      <c r="J4880" s="51">
        <v>6.09</v>
      </c>
      <c r="K4880" s="74">
        <f>Tabela6[[#This Row],[CONSUMO]]*Tabela6[[#This Row],[VALOR UNIT]]-Tabela6[[#This Row],[DESCONTO]]</f>
        <v>690.7278</v>
      </c>
      <c r="L4880" s="53">
        <f>Tabela6[[#This Row],[CUSTO TOTAL]]/Tabela6[[#This Row],[CONSUMO]]</f>
        <v>6.09</v>
      </c>
      <c r="M4880" s="50">
        <f>Tabela6[[#This Row],[KM ATUAL]]-E4819</f>
        <v>-136106</v>
      </c>
      <c r="N4880" s="51">
        <f>Tabela6[[#This Row],[KM Rodados ]]/Tabela6[[#This Row],[CONSUMO]]</f>
        <v>-1200.0176335743256</v>
      </c>
    </row>
    <row r="4881" spans="1:14" x14ac:dyDescent="0.25">
      <c r="A4881" s="47">
        <v>800569</v>
      </c>
      <c r="B4881" s="78">
        <v>45470</v>
      </c>
      <c r="C4881" s="47" t="s">
        <v>40</v>
      </c>
      <c r="D4881" s="49" t="s">
        <v>271</v>
      </c>
      <c r="E4881" s="47">
        <v>210326</v>
      </c>
      <c r="G4881" s="50" t="s">
        <v>244</v>
      </c>
      <c r="H4881" s="51">
        <v>28.651</v>
      </c>
      <c r="J4881" s="51">
        <v>5.69</v>
      </c>
      <c r="K4881" s="74">
        <f>Tabela6[[#This Row],[CONSUMO]]*Tabela6[[#This Row],[VALOR UNIT]]-Tabela6[[#This Row],[DESCONTO]]</f>
        <v>163.02419</v>
      </c>
      <c r="L4881" s="53">
        <f>Tabela6[[#This Row],[CUSTO TOTAL]]/Tabela6[[#This Row],[CONSUMO]]</f>
        <v>5.69</v>
      </c>
      <c r="M4881" s="50">
        <f>Tabela6[[#This Row],[KM ATUAL]]-E4820</f>
        <v>-126280</v>
      </c>
      <c r="N4881" s="51">
        <f>Tabela6[[#This Row],[KM Rodados ]]/Tabela6[[#This Row],[CONSUMO]]</f>
        <v>-4407.5250427559249</v>
      </c>
    </row>
    <row r="4882" spans="1:14" x14ac:dyDescent="0.25">
      <c r="A4882" s="47">
        <v>59189</v>
      </c>
      <c r="B4882" s="78">
        <v>45470</v>
      </c>
      <c r="C4882" s="47" t="s">
        <v>401</v>
      </c>
      <c r="D4882" s="49" t="s">
        <v>247</v>
      </c>
      <c r="E4882" s="47">
        <v>31112</v>
      </c>
      <c r="G4882" s="50" t="s">
        <v>89</v>
      </c>
      <c r="H4882" s="51">
        <v>66.78</v>
      </c>
      <c r="J4882" s="51">
        <v>5.99</v>
      </c>
      <c r="K4882" s="74">
        <f>Tabela6[[#This Row],[CONSUMO]]*Tabela6[[#This Row],[VALOR UNIT]]-Tabela6[[#This Row],[DESCONTO]]</f>
        <v>400.01220000000001</v>
      </c>
      <c r="L4882" s="53">
        <f>Tabela6[[#This Row],[CUSTO TOTAL]]/Tabela6[[#This Row],[CONSUMO]]</f>
        <v>5.99</v>
      </c>
      <c r="M4882" s="50">
        <f>Tabela6[[#This Row],[KM ATUAL]]-E4822</f>
        <v>-163220</v>
      </c>
      <c r="N4882" s="51">
        <f>Tabela6[[#This Row],[KM Rodados ]]/Tabela6[[#This Row],[CONSUMO]]</f>
        <v>-2444.1449535789156</v>
      </c>
    </row>
    <row r="4883" spans="1:14" x14ac:dyDescent="0.25">
      <c r="A4883" s="47">
        <v>59189</v>
      </c>
      <c r="B4883" s="78">
        <v>45470</v>
      </c>
      <c r="C4883" s="47" t="s">
        <v>401</v>
      </c>
      <c r="D4883" s="49" t="s">
        <v>247</v>
      </c>
      <c r="E4883" s="47">
        <v>31112</v>
      </c>
      <c r="G4883" s="50" t="s">
        <v>241</v>
      </c>
      <c r="H4883" s="51">
        <v>25</v>
      </c>
      <c r="J4883" s="51">
        <v>2.99</v>
      </c>
      <c r="K4883" s="74">
        <f>Tabela6[[#This Row],[CONSUMO]]*Tabela6[[#This Row],[VALOR UNIT]]-Tabela6[[#This Row],[DESCONTO]]</f>
        <v>74.75</v>
      </c>
      <c r="L4883" s="53">
        <f>Tabela6[[#This Row],[CUSTO TOTAL]]/Tabela6[[#This Row],[CONSUMO]]</f>
        <v>2.99</v>
      </c>
      <c r="M4883" s="50">
        <f>Tabela6[[#This Row],[KM ATUAL]]-E4823</f>
        <v>-559380</v>
      </c>
      <c r="N4883" s="51">
        <f>Tabela6[[#This Row],[KM Rodados ]]/Tabela6[[#This Row],[CONSUMO]]</f>
        <v>-22375.200000000001</v>
      </c>
    </row>
    <row r="4884" spans="1:14" x14ac:dyDescent="0.25">
      <c r="A4884" s="47">
        <v>178577</v>
      </c>
      <c r="B4884" s="78">
        <v>45471</v>
      </c>
      <c r="C4884" s="47" t="s">
        <v>358</v>
      </c>
      <c r="D4884" s="49" t="s">
        <v>362</v>
      </c>
      <c r="E4884" s="47">
        <v>861948</v>
      </c>
      <c r="G4884" s="50" t="s">
        <v>89</v>
      </c>
      <c r="H4884" s="51">
        <v>450</v>
      </c>
      <c r="J4884" s="51">
        <v>5.79</v>
      </c>
      <c r="K4884" s="74">
        <f>Tabela6[[#This Row],[CONSUMO]]*Tabela6[[#This Row],[VALOR UNIT]]-Tabela6[[#This Row],[DESCONTO]]</f>
        <v>2605.5</v>
      </c>
      <c r="L4884" s="53">
        <f>Tabela6[[#This Row],[CUSTO TOTAL]]/Tabela6[[#This Row],[CONSUMO]]</f>
        <v>5.79</v>
      </c>
      <c r="M4884" s="53" t="e">
        <f t="array" ref="M4884">SE</f>
        <v>#NAME?</v>
      </c>
      <c r="N4884" s="49" t="e">
        <f>Tabela6[[#This Row],[KM Rodados ]]/Tabela6[[#This Row],[CONSUMO]]</f>
        <v>#NAME?</v>
      </c>
    </row>
    <row r="4885" spans="1:14" x14ac:dyDescent="0.25">
      <c r="A4885" s="47">
        <v>266218</v>
      </c>
      <c r="B4885" s="78">
        <v>45471</v>
      </c>
      <c r="C4885" s="47" t="s">
        <v>39</v>
      </c>
      <c r="D4885" s="49" t="s">
        <v>253</v>
      </c>
      <c r="E4885" s="47">
        <v>127418</v>
      </c>
      <c r="G4885" s="50" t="s">
        <v>89</v>
      </c>
      <c r="H4885" s="51">
        <v>104.65</v>
      </c>
      <c r="J4885" s="51">
        <v>6.09</v>
      </c>
      <c r="K4885" s="74">
        <f>Tabela6[[#This Row],[CONSUMO]]*Tabela6[[#This Row],[VALOR UNIT]]-Tabela6[[#This Row],[DESCONTO]]</f>
        <v>637.31849999999997</v>
      </c>
      <c r="L4885" s="53">
        <f>Tabela6[[#This Row],[CUSTO TOTAL]]/Tabela6[[#This Row],[CONSUMO]]</f>
        <v>6.089999999999999</v>
      </c>
      <c r="M4885" s="50">
        <f>Tabela6[[#This Row],[KM ATUAL]]-E4822</f>
        <v>-66914</v>
      </c>
      <c r="N4885" s="51">
        <f>Tabela6[[#This Row],[KM Rodados ]]/Tabela6[[#This Row],[CONSUMO]]</f>
        <v>-639.40754897276634</v>
      </c>
    </row>
    <row r="4886" spans="1:14" x14ac:dyDescent="0.25">
      <c r="A4886" s="47">
        <v>266216</v>
      </c>
      <c r="B4886" s="78">
        <v>45471</v>
      </c>
      <c r="C4886" s="47" t="s">
        <v>12</v>
      </c>
      <c r="D4886" s="49" t="s">
        <v>253</v>
      </c>
      <c r="E4886" s="47">
        <v>340975</v>
      </c>
      <c r="G4886" s="50" t="s">
        <v>89</v>
      </c>
      <c r="H4886" s="51">
        <v>94.3</v>
      </c>
      <c r="J4886" s="51">
        <v>6.09</v>
      </c>
      <c r="K4886" s="74">
        <f>Tabela6[[#This Row],[CONSUMO]]*Tabela6[[#This Row],[VALOR UNIT]]-Tabela6[[#This Row],[DESCONTO]]</f>
        <v>574.28699999999992</v>
      </c>
      <c r="L4886" s="53">
        <f>Tabela6[[#This Row],[CUSTO TOTAL]]/Tabela6[[#This Row],[CONSUMO]]</f>
        <v>6.089999999999999</v>
      </c>
      <c r="M4886" s="50">
        <f>Tabela6[[#This Row],[KM ATUAL]]-E4823</f>
        <v>-249517</v>
      </c>
      <c r="N4886" s="51">
        <f>Tabela6[[#This Row],[KM Rodados ]]/Tabela6[[#This Row],[CONSUMO]]</f>
        <v>-2645.9915164369036</v>
      </c>
    </row>
    <row r="4887" spans="1:14" x14ac:dyDescent="0.25">
      <c r="A4887" s="47">
        <v>435459</v>
      </c>
      <c r="B4887" s="78">
        <v>45471</v>
      </c>
      <c r="C4887" s="47" t="s">
        <v>40</v>
      </c>
      <c r="D4887" s="49" t="s">
        <v>268</v>
      </c>
      <c r="E4887" s="47">
        <v>210803</v>
      </c>
      <c r="G4887" s="50" t="s">
        <v>244</v>
      </c>
      <c r="H4887" s="51">
        <v>36.92</v>
      </c>
      <c r="J4887" s="51">
        <v>5.69</v>
      </c>
      <c r="K4887" s="74">
        <f>Tabela6[[#This Row],[CONSUMO]]*Tabela6[[#This Row],[VALOR UNIT]]-Tabela6[[#This Row],[DESCONTO]]</f>
        <v>210.07480000000001</v>
      </c>
      <c r="L4887" s="53">
        <f>Tabela6[[#This Row],[CUSTO TOTAL]]/Tabela6[[#This Row],[CONSUMO]]</f>
        <v>5.69</v>
      </c>
      <c r="M4887" s="50">
        <f>Tabela6[[#This Row],[KM ATUAL]]-E4824</f>
        <v>-379689</v>
      </c>
      <c r="N4887" s="51">
        <f>Tabela6[[#This Row],[KM Rodados ]]/Tabela6[[#This Row],[CONSUMO]]</f>
        <v>-10284.100758396533</v>
      </c>
    </row>
    <row r="4888" spans="1:14" x14ac:dyDescent="0.25">
      <c r="A4888" s="47">
        <v>266517</v>
      </c>
      <c r="B4888" s="78">
        <v>45471</v>
      </c>
      <c r="C4888" s="47" t="s">
        <v>315</v>
      </c>
      <c r="D4888" s="49" t="s">
        <v>253</v>
      </c>
      <c r="E4888" s="47">
        <v>35644</v>
      </c>
      <c r="G4888" s="50" t="s">
        <v>89</v>
      </c>
      <c r="H4888" s="51">
        <v>29.24</v>
      </c>
      <c r="J4888" s="51">
        <v>6.09</v>
      </c>
      <c r="K4888" s="74">
        <f>Tabela6[[#This Row],[CONSUMO]]*Tabela6[[#This Row],[VALOR UNIT]]-Tabela6[[#This Row],[DESCONTO]]</f>
        <v>178.07159999999999</v>
      </c>
      <c r="L4888" s="53">
        <f>Tabela6[[#This Row],[CUSTO TOTAL]]/Tabela6[[#This Row],[CONSUMO]]</f>
        <v>6.09</v>
      </c>
      <c r="M4888" s="50">
        <f>Tabela6[[#This Row],[KM ATUAL]]-E4825</f>
        <v>-555799</v>
      </c>
      <c r="N4888" s="51">
        <f>Tabela6[[#This Row],[KM Rodados ]]/Tabela6[[#This Row],[CONSUMO]]</f>
        <v>-19008.173734610125</v>
      </c>
    </row>
    <row r="4889" spans="1:14" x14ac:dyDescent="0.25">
      <c r="A4889" s="47">
        <v>266517</v>
      </c>
      <c r="B4889" s="78">
        <v>45471</v>
      </c>
      <c r="C4889" s="47" t="s">
        <v>315</v>
      </c>
      <c r="D4889" s="49" t="s">
        <v>253</v>
      </c>
      <c r="E4889" s="47">
        <v>35644</v>
      </c>
      <c r="G4889" s="50" t="s">
        <v>241</v>
      </c>
      <c r="H4889" s="51">
        <v>9.2940000000000005</v>
      </c>
      <c r="J4889" s="51">
        <v>3.49</v>
      </c>
      <c r="K4889" s="74">
        <f>Tabela6[[#This Row],[CONSUMO]]*Tabela6[[#This Row],[VALOR UNIT]]-Tabela6[[#This Row],[DESCONTO]]</f>
        <v>32.436060000000005</v>
      </c>
      <c r="L4889" s="53">
        <f>Tabela6[[#This Row],[CUSTO TOTAL]]/Tabela6[[#This Row],[CONSUMO]]</f>
        <v>3.49</v>
      </c>
      <c r="M4889" s="50">
        <f>Tabela6[[#This Row],[KM ATUAL]]-E4826</f>
        <v>-555799</v>
      </c>
      <c r="N4889" s="51">
        <f>Tabela6[[#This Row],[KM Rodados ]]/Tabela6[[#This Row],[CONSUMO]]</f>
        <v>-59801.915214116634</v>
      </c>
    </row>
    <row r="4890" spans="1:14" x14ac:dyDescent="0.25">
      <c r="A4890" s="47">
        <v>273536</v>
      </c>
      <c r="B4890" s="78">
        <v>45471</v>
      </c>
      <c r="C4890" s="47" t="s">
        <v>354</v>
      </c>
      <c r="D4890" s="49" t="s">
        <v>262</v>
      </c>
      <c r="E4890" s="47">
        <v>45216</v>
      </c>
      <c r="G4890" s="50" t="s">
        <v>241</v>
      </c>
      <c r="H4890" s="51">
        <v>22.488</v>
      </c>
      <c r="I4890" s="49">
        <v>8.09</v>
      </c>
      <c r="J4890" s="51">
        <v>3.69</v>
      </c>
      <c r="K4890" s="74">
        <f>Tabela6[[#This Row],[CONSUMO]]*Tabela6[[#This Row],[VALOR UNIT]]-Tabela6[[#This Row],[DESCONTO]]</f>
        <v>74.890719999999988</v>
      </c>
      <c r="L4890" s="53">
        <f>Tabela6[[#This Row],[CUSTO TOTAL]]/Tabela6[[#This Row],[CONSUMO]]</f>
        <v>3.3302525791533255</v>
      </c>
      <c r="M4890" s="53" t="e">
        <f t="array" ref="M4890">SE</f>
        <v>#NAME?</v>
      </c>
      <c r="N4890" s="49" t="e">
        <f>Tabela6[[#This Row],[KM Rodados ]]/Tabela6[[#This Row],[CONSUMO]]</f>
        <v>#NAME?</v>
      </c>
    </row>
    <row r="4891" spans="1:14" x14ac:dyDescent="0.25">
      <c r="A4891" s="47">
        <v>1797852</v>
      </c>
      <c r="B4891" s="78">
        <v>45471</v>
      </c>
      <c r="C4891" s="47" t="s">
        <v>446</v>
      </c>
      <c r="D4891" s="49" t="s">
        <v>252</v>
      </c>
      <c r="E4891" s="47">
        <v>23150</v>
      </c>
      <c r="G4891" s="50" t="s">
        <v>89</v>
      </c>
      <c r="H4891" s="51">
        <v>150</v>
      </c>
      <c r="J4891" s="51">
        <v>5.94</v>
      </c>
      <c r="K4891" s="74">
        <f>Tabela6[[#This Row],[CONSUMO]]*Tabela6[[#This Row],[VALOR UNIT]]-Tabela6[[#This Row],[DESCONTO]]</f>
        <v>891.00000000000011</v>
      </c>
      <c r="L4891" s="53">
        <f>Tabela6[[#This Row],[CUSTO TOTAL]]/Tabela6[[#This Row],[CONSUMO]]</f>
        <v>5.94</v>
      </c>
      <c r="M4891" s="50" t="e">
        <f>Tabela6[[#This Row],[KM ATUAL]]-#REF!</f>
        <v>#REF!</v>
      </c>
      <c r="N4891" s="51" t="e">
        <f>Tabela6[[#This Row],[KM Rodados ]]/Tabela6[[#This Row],[CONSUMO]]</f>
        <v>#REF!</v>
      </c>
    </row>
    <row r="4892" spans="1:14" x14ac:dyDescent="0.25">
      <c r="A4892" s="47">
        <v>1797852</v>
      </c>
      <c r="B4892" s="78">
        <v>45471</v>
      </c>
      <c r="C4892" s="47" t="s">
        <v>446</v>
      </c>
      <c r="D4892" s="49" t="s">
        <v>252</v>
      </c>
      <c r="E4892" s="47">
        <v>23150</v>
      </c>
      <c r="G4892" s="50" t="s">
        <v>241</v>
      </c>
      <c r="H4892" s="51">
        <v>12</v>
      </c>
      <c r="J4892" s="51">
        <v>2.75</v>
      </c>
      <c r="K4892" s="74">
        <f>Tabela6[[#This Row],[CONSUMO]]*Tabela6[[#This Row],[VALOR UNIT]]-Tabela6[[#This Row],[DESCONTO]]</f>
        <v>33</v>
      </c>
      <c r="L4892" s="53">
        <f>Tabela6[[#This Row],[CUSTO TOTAL]]/Tabela6[[#This Row],[CONSUMO]]</f>
        <v>2.75</v>
      </c>
      <c r="M4892" s="50" t="e">
        <f>Tabela6[[#This Row],[KM ATUAL]]-#REF!</f>
        <v>#REF!</v>
      </c>
      <c r="N4892" s="51" t="e">
        <f>Tabela6[[#This Row],[KM Rodados ]]/Tabela6[[#This Row],[CONSUMO]]</f>
        <v>#REF!</v>
      </c>
    </row>
    <row r="4893" spans="1:14" x14ac:dyDescent="0.25">
      <c r="A4893" s="47">
        <v>277465</v>
      </c>
      <c r="B4893" s="78">
        <v>45472</v>
      </c>
      <c r="C4893" s="47" t="s">
        <v>68</v>
      </c>
      <c r="D4893" s="49" t="s">
        <v>329</v>
      </c>
      <c r="E4893" s="47">
        <v>983326</v>
      </c>
      <c r="G4893" s="50" t="s">
        <v>89</v>
      </c>
      <c r="H4893" s="51">
        <v>277.94099999999997</v>
      </c>
      <c r="J4893" s="51">
        <v>5.69</v>
      </c>
      <c r="K4893" s="74">
        <f>Tabela6[[#This Row],[CONSUMO]]*Tabela6[[#This Row],[VALOR UNIT]]-Tabela6[[#This Row],[DESCONTO]]</f>
        <v>1581.4842899999999</v>
      </c>
      <c r="L4893" s="53">
        <f>Tabela6[[#This Row],[CUSTO TOTAL]]/Tabela6[[#This Row],[CONSUMO]]</f>
        <v>5.69</v>
      </c>
      <c r="M4893" s="53" t="e">
        <f t="array" ref="M4893">SE</f>
        <v>#NAME?</v>
      </c>
      <c r="N4893" s="49" t="e">
        <f>Tabela6[[#This Row],[KM Rodados ]]/Tabela6[[#This Row],[CONSUMO]]</f>
        <v>#NAME?</v>
      </c>
    </row>
    <row r="4894" spans="1:14" x14ac:dyDescent="0.25">
      <c r="A4894" s="47">
        <v>235887</v>
      </c>
      <c r="B4894" s="78">
        <v>45472</v>
      </c>
      <c r="C4894" s="49" t="s">
        <v>222</v>
      </c>
      <c r="D4894" s="49" t="s">
        <v>300</v>
      </c>
      <c r="E4894" s="47">
        <v>591306</v>
      </c>
      <c r="G4894" s="49" t="s">
        <v>89</v>
      </c>
      <c r="H4894" s="51">
        <v>488.17099999999999</v>
      </c>
      <c r="J4894" s="51">
        <v>5.69</v>
      </c>
      <c r="K4894" s="74">
        <f>Tabela6[[#This Row],[CONSUMO]]*Tabela6[[#This Row],[VALOR UNIT]]-Tabela6[[#This Row],[DESCONTO]]</f>
        <v>2777.69299</v>
      </c>
    </row>
    <row r="4895" spans="1:14" x14ac:dyDescent="0.25">
      <c r="A4895" s="47">
        <v>235890</v>
      </c>
      <c r="B4895" s="78">
        <v>45472</v>
      </c>
      <c r="C4895" s="47" t="s">
        <v>222</v>
      </c>
      <c r="D4895" s="49" t="s">
        <v>300</v>
      </c>
      <c r="E4895" s="47">
        <v>591306</v>
      </c>
      <c r="G4895" s="50" t="s">
        <v>241</v>
      </c>
      <c r="H4895" s="51">
        <v>16.280999999999999</v>
      </c>
      <c r="J4895" s="51">
        <v>2.99</v>
      </c>
      <c r="K4895" s="74">
        <f>Tabela6[[#This Row],[CONSUMO]]*Tabela6[[#This Row],[VALOR UNIT]]-Tabela6[[#This Row],[DESCONTO]]</f>
        <v>48.680190000000003</v>
      </c>
      <c r="L4895" s="53">
        <f>Tabela6[[#This Row],[CUSTO TOTAL]]/Tabela6[[#This Row],[CONSUMO]]</f>
        <v>2.99</v>
      </c>
      <c r="M4895" s="53" t="e">
        <f t="array" ref="M4895">SE</f>
        <v>#NAME?</v>
      </c>
      <c r="N4895" s="49" t="e">
        <f>Tabela6[[#This Row],[KM Rodados ]]/Tabela6[[#This Row],[CONSUMO]]</f>
        <v>#NAME?</v>
      </c>
    </row>
    <row r="4896" spans="1:14" x14ac:dyDescent="0.25">
      <c r="A4896" s="47">
        <v>1156166</v>
      </c>
      <c r="B4896" s="78">
        <v>45473</v>
      </c>
      <c r="C4896" s="47" t="s">
        <v>358</v>
      </c>
      <c r="D4896" s="49" t="s">
        <v>498</v>
      </c>
      <c r="E4896" s="47">
        <v>862877</v>
      </c>
      <c r="G4896" s="50" t="s">
        <v>89</v>
      </c>
      <c r="H4896" s="51">
        <v>485</v>
      </c>
      <c r="J4896" s="51">
        <v>6.21</v>
      </c>
      <c r="K4896" s="74">
        <f>Tabela6[[#This Row],[CONSUMO]]*Tabela6[[#This Row],[VALOR UNIT]]-Tabela6[[#This Row],[DESCONTO]]</f>
        <v>3011.85</v>
      </c>
      <c r="L4896" s="53">
        <f>Tabela6[[#This Row],[CUSTO TOTAL]]/Tabela6[[#This Row],[CONSUMO]]</f>
        <v>6.21</v>
      </c>
      <c r="M4896" s="50" t="e">
        <f>Tabela6[[#This Row],[KM ATUAL]]-#REF!</f>
        <v>#REF!</v>
      </c>
      <c r="N4896" s="51" t="e">
        <f>Tabela6[[#This Row],[KM Rodados ]]/Tabela6[[#This Row],[CONSUMO]]</f>
        <v>#REF!</v>
      </c>
    </row>
    <row r="4897" spans="1:14" x14ac:dyDescent="0.25">
      <c r="A4897" s="47">
        <v>237340</v>
      </c>
      <c r="B4897" s="78">
        <v>45474</v>
      </c>
      <c r="C4897" s="47" t="s">
        <v>394</v>
      </c>
      <c r="D4897" s="49" t="s">
        <v>494</v>
      </c>
      <c r="E4897" s="47">
        <v>894897</v>
      </c>
      <c r="G4897" s="50" t="s">
        <v>89</v>
      </c>
      <c r="H4897" s="51">
        <v>50</v>
      </c>
      <c r="J4897" s="51">
        <v>5.79</v>
      </c>
      <c r="K4897" s="74">
        <f>Tabela6[[#This Row],[CONSUMO]]*Tabela6[[#This Row],[VALOR UNIT]]-Tabela6[[#This Row],[DESCONTO]]</f>
        <v>289.5</v>
      </c>
      <c r="L4897" s="53">
        <f>Tabela6[[#This Row],[CUSTO TOTAL]]/Tabela6[[#This Row],[CONSUMO]]</f>
        <v>5.79</v>
      </c>
      <c r="M4897" s="50">
        <f>Tabela6[[#This Row],[KM ATUAL]]-E4829</f>
        <v>724825</v>
      </c>
      <c r="N4897" s="51">
        <f>Tabela6[[#This Row],[KM Rodados ]]/Tabela6[[#This Row],[CONSUMO]]</f>
        <v>14496.5</v>
      </c>
    </row>
    <row r="4898" spans="1:14" x14ac:dyDescent="0.25">
      <c r="A4898" s="47">
        <v>379150</v>
      </c>
      <c r="B4898" s="78">
        <v>45474</v>
      </c>
      <c r="C4898" s="47" t="s">
        <v>67</v>
      </c>
      <c r="D4898" s="49" t="s">
        <v>270</v>
      </c>
      <c r="E4898" s="47">
        <v>722050</v>
      </c>
      <c r="G4898" s="50" t="s">
        <v>89</v>
      </c>
      <c r="H4898" s="51">
        <v>148.011</v>
      </c>
      <c r="J4898" s="51">
        <v>5.69</v>
      </c>
      <c r="K4898" s="74">
        <f>Tabela6[[#This Row],[CONSUMO]]*Tabela6[[#This Row],[VALOR UNIT]]-Tabela6[[#This Row],[DESCONTO]]</f>
        <v>842.18259</v>
      </c>
      <c r="L4898" s="53">
        <f>Tabela6[[#This Row],[CUSTO TOTAL]]/Tabela6[[#This Row],[CONSUMO]]</f>
        <v>5.69</v>
      </c>
      <c r="M4898" s="53" t="e">
        <f t="array" ref="M4898">SE</f>
        <v>#NAME?</v>
      </c>
      <c r="N4898" s="49" t="e">
        <f>Tabela6[[#This Row],[KM Rodados ]]/Tabela6[[#This Row],[CONSUMO]]</f>
        <v>#NAME?</v>
      </c>
    </row>
    <row r="4899" spans="1:14" x14ac:dyDescent="0.25">
      <c r="A4899" s="47">
        <v>412636</v>
      </c>
      <c r="B4899" s="78">
        <v>45474</v>
      </c>
      <c r="C4899" s="47" t="s">
        <v>203</v>
      </c>
      <c r="D4899" s="49" t="s">
        <v>276</v>
      </c>
      <c r="E4899" s="47">
        <v>412636</v>
      </c>
      <c r="G4899" s="50" t="s">
        <v>244</v>
      </c>
      <c r="H4899" s="51">
        <v>41.119</v>
      </c>
      <c r="J4899" s="51">
        <v>5.79</v>
      </c>
      <c r="K4899" s="74">
        <f>Tabela6[[#This Row],[CONSUMO]]*Tabela6[[#This Row],[VALOR UNIT]]-Tabela6[[#This Row],[DESCONTO]]</f>
        <v>238.07901000000001</v>
      </c>
      <c r="L4899" s="53">
        <f>Tabela6[[#This Row],[CUSTO TOTAL]]/Tabela6[[#This Row],[CONSUMO]]</f>
        <v>5.79</v>
      </c>
      <c r="M4899" s="50">
        <f>Tabela6[[#This Row],[KM ATUAL]]-E4831</f>
        <v>131971</v>
      </c>
      <c r="N4899" s="51">
        <f>Tabela6[[#This Row],[KM Rodados ]]/Tabela6[[#This Row],[CONSUMO]]</f>
        <v>3209.4895303874123</v>
      </c>
    </row>
    <row r="4900" spans="1:14" x14ac:dyDescent="0.25">
      <c r="A4900" s="47">
        <v>412759</v>
      </c>
      <c r="B4900" s="78">
        <v>45474</v>
      </c>
      <c r="C4900" s="47" t="s">
        <v>13</v>
      </c>
      <c r="D4900" s="49" t="s">
        <v>276</v>
      </c>
      <c r="E4900" s="47">
        <v>690917</v>
      </c>
      <c r="G4900" s="50" t="s">
        <v>241</v>
      </c>
      <c r="H4900" s="51">
        <v>23.658999999999999</v>
      </c>
      <c r="J4900" s="51">
        <v>3.69</v>
      </c>
      <c r="K4900" s="74">
        <f>Tabela6[[#This Row],[CONSUMO]]*Tabela6[[#This Row],[VALOR UNIT]]-Tabela6[[#This Row],[DESCONTO]]</f>
        <v>87.30171</v>
      </c>
      <c r="L4900" s="53">
        <f>Tabela6[[#This Row],[CUSTO TOTAL]]/Tabela6[[#This Row],[CONSUMO]]</f>
        <v>3.69</v>
      </c>
      <c r="M4900" s="50">
        <f>Tabela6[[#This Row],[KM ATUAL]]-E4832</f>
        <v>549310</v>
      </c>
      <c r="N4900" s="51">
        <f>Tabela6[[#This Row],[KM Rodados ]]/Tabela6[[#This Row],[CONSUMO]]</f>
        <v>23217.802950251491</v>
      </c>
    </row>
    <row r="4901" spans="1:14" x14ac:dyDescent="0.25">
      <c r="A4901" s="47">
        <v>274326</v>
      </c>
      <c r="B4901" s="78">
        <v>45474</v>
      </c>
      <c r="C4901" s="47" t="s">
        <v>14</v>
      </c>
      <c r="D4901" s="49" t="s">
        <v>262</v>
      </c>
      <c r="E4901" s="47">
        <v>337610</v>
      </c>
      <c r="G4901" s="50" t="s">
        <v>244</v>
      </c>
      <c r="H4901" s="51">
        <v>38</v>
      </c>
      <c r="J4901" s="51">
        <v>5.69</v>
      </c>
      <c r="K4901" s="74">
        <f>Tabela6[[#This Row],[CONSUMO]]*Tabela6[[#This Row],[VALOR UNIT]]-Tabela6[[#This Row],[DESCONTO]]</f>
        <v>216.22000000000003</v>
      </c>
      <c r="L4901" s="53">
        <f>Tabela6[[#This Row],[CUSTO TOTAL]]/Tabela6[[#This Row],[CONSUMO]]</f>
        <v>5.69</v>
      </c>
      <c r="M4901" s="50">
        <f>Tabela6[[#This Row],[KM ATUAL]]-E4833</f>
        <v>303530</v>
      </c>
      <c r="N4901" s="51">
        <f>Tabela6[[#This Row],[KM Rodados ]]/Tabela6[[#This Row],[CONSUMO]]</f>
        <v>7987.6315789473683</v>
      </c>
    </row>
    <row r="4902" spans="1:14" x14ac:dyDescent="0.25">
      <c r="A4902" s="47">
        <v>273297</v>
      </c>
      <c r="B4902" s="78">
        <v>45474</v>
      </c>
      <c r="C4902" s="47"/>
      <c r="D4902" s="49" t="s">
        <v>262</v>
      </c>
      <c r="E4902" s="47" t="s">
        <v>491</v>
      </c>
      <c r="G4902" s="50" t="s">
        <v>241</v>
      </c>
      <c r="H4902" s="51">
        <v>20.006</v>
      </c>
      <c r="I4902" s="49">
        <v>7.2</v>
      </c>
      <c r="J4902" s="51">
        <v>3.69</v>
      </c>
      <c r="K4902" s="74">
        <f>Tabela6[[#This Row],[CONSUMO]]*Tabela6[[#This Row],[VALOR UNIT]]-Tabela6[[#This Row],[DESCONTO]]</f>
        <v>66.622140000000002</v>
      </c>
      <c r="L4902" s="53">
        <f>Tabela6[[#This Row],[CUSTO TOTAL]]/Tabela6[[#This Row],[CONSUMO]]</f>
        <v>3.3301079676097172</v>
      </c>
      <c r="M4902" s="50" t="e">
        <f>Tabela6[[#This Row],[KM ATUAL]]-E4834</f>
        <v>#VALUE!</v>
      </c>
      <c r="N4902" s="51" t="e">
        <f>Tabela6[[#This Row],[KM Rodados ]]/Tabela6[[#This Row],[CONSUMO]]</f>
        <v>#VALUE!</v>
      </c>
    </row>
    <row r="4903" spans="1:14" x14ac:dyDescent="0.25">
      <c r="A4903" s="47">
        <v>448526</v>
      </c>
      <c r="B4903" s="78">
        <v>45475</v>
      </c>
      <c r="C4903" s="47" t="s">
        <v>68</v>
      </c>
      <c r="D4903" s="49" t="s">
        <v>343</v>
      </c>
      <c r="E4903" s="47">
        <v>984394</v>
      </c>
      <c r="G4903" s="50" t="s">
        <v>89</v>
      </c>
      <c r="H4903" s="51">
        <v>622.00199999999995</v>
      </c>
      <c r="J4903" s="51">
        <v>5.89</v>
      </c>
      <c r="K4903" s="74">
        <f>Tabela6[[#This Row],[CONSUMO]]*Tabela6[[#This Row],[VALOR UNIT]]-Tabela6[[#This Row],[DESCONTO]]</f>
        <v>3663.5917799999997</v>
      </c>
      <c r="L4903" s="53">
        <f>Tabela6[[#This Row],[CUSTO TOTAL]]/Tabela6[[#This Row],[CONSUMO]]</f>
        <v>5.89</v>
      </c>
      <c r="M4903" s="53" t="e">
        <f t="array" ref="M4903">SE</f>
        <v>#NAME?</v>
      </c>
      <c r="N4903" s="49" t="e">
        <f>Tabela6[[#This Row],[KM Rodados ]]/Tabela6[[#This Row],[CONSUMO]]</f>
        <v>#NAME?</v>
      </c>
    </row>
    <row r="4904" spans="1:14" x14ac:dyDescent="0.25">
      <c r="A4904" s="47">
        <v>412966</v>
      </c>
      <c r="B4904" s="78">
        <v>45475</v>
      </c>
      <c r="C4904" s="47" t="s">
        <v>203</v>
      </c>
      <c r="D4904" s="49" t="s">
        <v>276</v>
      </c>
      <c r="E4904" s="47">
        <v>71949</v>
      </c>
      <c r="G4904" s="50" t="s">
        <v>244</v>
      </c>
      <c r="H4904" s="51">
        <v>34.548999999999999</v>
      </c>
      <c r="J4904" s="51">
        <v>5.79</v>
      </c>
      <c r="K4904" s="74">
        <f>Tabela6[[#This Row],[CONSUMO]]*Tabela6[[#This Row],[VALOR UNIT]]-Tabela6[[#This Row],[DESCONTO]]</f>
        <v>200.03871000000001</v>
      </c>
      <c r="L4904" s="53">
        <f>Tabela6[[#This Row],[CUSTO TOTAL]]/Tabela6[[#This Row],[CONSUMO]]</f>
        <v>5.79</v>
      </c>
      <c r="M4904" s="50">
        <f>Tabela6[[#This Row],[KM ATUAL]]-E4835</f>
        <v>-520300</v>
      </c>
      <c r="N4904" s="51">
        <f>Tabela6[[#This Row],[KM Rodados ]]/Tabela6[[#This Row],[CONSUMO]]</f>
        <v>-15059.770181481375</v>
      </c>
    </row>
    <row r="4905" spans="1:14" x14ac:dyDescent="0.25">
      <c r="A4905" s="47">
        <v>274467</v>
      </c>
      <c r="B4905" s="78">
        <v>45475</v>
      </c>
      <c r="C4905" s="47" t="s">
        <v>19</v>
      </c>
      <c r="D4905" s="49" t="s">
        <v>262</v>
      </c>
      <c r="E4905" s="47">
        <v>384848</v>
      </c>
      <c r="G4905" s="50" t="s">
        <v>241</v>
      </c>
      <c r="H4905" s="51">
        <v>24.933</v>
      </c>
      <c r="I4905" s="49">
        <v>8.9700000000000006</v>
      </c>
      <c r="J4905" s="51">
        <v>3.69</v>
      </c>
      <c r="K4905" s="74">
        <f>Tabela6[[#This Row],[CONSUMO]]*Tabela6[[#This Row],[VALOR UNIT]]-Tabela6[[#This Row],[DESCONTO]]</f>
        <v>83.032769999999999</v>
      </c>
      <c r="L4905" s="53">
        <f>Tabela6[[#This Row],[CUSTO TOTAL]]/Tabela6[[#This Row],[CONSUMO]]</f>
        <v>3.3302358320298397</v>
      </c>
      <c r="M4905" s="50">
        <f>Tabela6[[#This Row],[KM ATUAL]]-E4836</f>
        <v>214335</v>
      </c>
      <c r="N4905" s="51">
        <f>Tabela6[[#This Row],[KM Rodados ]]/Tabela6[[#This Row],[CONSUMO]]</f>
        <v>8596.4384550595605</v>
      </c>
    </row>
    <row r="4906" spans="1:14" x14ac:dyDescent="0.25">
      <c r="A4906" s="47">
        <v>25699</v>
      </c>
      <c r="B4906" s="78">
        <v>45475</v>
      </c>
      <c r="C4906" s="47" t="s">
        <v>23</v>
      </c>
      <c r="D4906" s="49" t="s">
        <v>255</v>
      </c>
      <c r="E4906" s="47">
        <v>282886</v>
      </c>
      <c r="G4906" s="50" t="s">
        <v>89</v>
      </c>
      <c r="H4906" s="51">
        <v>153.85</v>
      </c>
      <c r="J4906" s="51">
        <v>6.26</v>
      </c>
      <c r="K4906" s="74">
        <f>Tabela6[[#This Row],[CONSUMO]]*Tabela6[[#This Row],[VALOR UNIT]]-Tabela6[[#This Row],[DESCONTO]]</f>
        <v>963.10099999999989</v>
      </c>
      <c r="L4906" s="53">
        <f>Tabela6[[#This Row],[CUSTO TOTAL]]/Tabela6[[#This Row],[CONSUMO]]</f>
        <v>6.26</v>
      </c>
      <c r="M4906" s="53" t="e">
        <f t="array" ref="M4906">SE</f>
        <v>#NAME?</v>
      </c>
      <c r="N4906" s="49" t="e">
        <f>Tabela6[[#This Row],[KM Rodados ]]/Tabela6[[#This Row],[CONSUMO]]</f>
        <v>#NAME?</v>
      </c>
    </row>
    <row r="4907" spans="1:14" x14ac:dyDescent="0.25">
      <c r="A4907" s="47">
        <v>976235</v>
      </c>
      <c r="B4907" s="78">
        <v>45475</v>
      </c>
      <c r="C4907" s="47" t="s">
        <v>426</v>
      </c>
      <c r="D4907" s="49" t="s">
        <v>250</v>
      </c>
      <c r="E4907" s="47">
        <v>28679</v>
      </c>
      <c r="G4907" s="50" t="s">
        <v>89</v>
      </c>
      <c r="H4907" s="51">
        <v>87.75</v>
      </c>
      <c r="J4907" s="51">
        <v>5.99</v>
      </c>
      <c r="K4907" s="74">
        <f>Tabela6[[#This Row],[CONSUMO]]*Tabela6[[#This Row],[VALOR UNIT]]-Tabela6[[#This Row],[DESCONTO]]</f>
        <v>525.62250000000006</v>
      </c>
      <c r="L4907" s="53">
        <f>Tabela6[[#This Row],[CUSTO TOTAL]]/Tabela6[[#This Row],[CONSUMO]]</f>
        <v>5.9900000000000011</v>
      </c>
      <c r="M4907" s="50">
        <f>Tabela6[[#This Row],[KM ATUAL]]-E4838</f>
        <v>-1084999</v>
      </c>
      <c r="N4907" s="51">
        <f>Tabela6[[#This Row],[KM Rodados ]]/Tabela6[[#This Row],[CONSUMO]]</f>
        <v>-12364.660968660968</v>
      </c>
    </row>
    <row r="4908" spans="1:14" x14ac:dyDescent="0.25">
      <c r="A4908" s="47">
        <v>274569</v>
      </c>
      <c r="B4908" s="78">
        <v>45475</v>
      </c>
      <c r="C4908" s="47" t="s">
        <v>446</v>
      </c>
      <c r="D4908" s="49" t="s">
        <v>262</v>
      </c>
      <c r="E4908" s="47">
        <v>23747</v>
      </c>
      <c r="G4908" s="50" t="s">
        <v>241</v>
      </c>
      <c r="H4908" s="51">
        <v>27.727</v>
      </c>
      <c r="I4908" s="49">
        <v>9.98</v>
      </c>
      <c r="J4908" s="51">
        <v>3.69</v>
      </c>
      <c r="K4908" s="74">
        <f>Tabela6[[#This Row],[CONSUMO]]*Tabela6[[#This Row],[VALOR UNIT]]-Tabela6[[#This Row],[DESCONTO]]</f>
        <v>92.332629999999995</v>
      </c>
      <c r="L4908" s="53">
        <f>Tabela6[[#This Row],[CUSTO TOTAL]]/Tabela6[[#This Row],[CONSUMO]]</f>
        <v>3.3300620333970494</v>
      </c>
      <c r="M4908" s="53" t="e">
        <f t="array" ref="M4908">SE</f>
        <v>#NAME?</v>
      </c>
      <c r="N4908" s="49" t="e">
        <f>Tabela6[[#This Row],[KM Rodados ]]/Tabela6[[#This Row],[CONSUMO]]</f>
        <v>#NAME?</v>
      </c>
    </row>
    <row r="4909" spans="1:14" x14ac:dyDescent="0.25">
      <c r="A4909" s="47">
        <v>191409</v>
      </c>
      <c r="B4909" s="78">
        <v>45476</v>
      </c>
      <c r="C4909" s="47" t="s">
        <v>358</v>
      </c>
      <c r="D4909" s="49" t="s">
        <v>499</v>
      </c>
      <c r="E4909" s="47">
        <v>863236</v>
      </c>
      <c r="G4909" s="50" t="s">
        <v>89</v>
      </c>
      <c r="H4909" s="51">
        <v>189.04</v>
      </c>
      <c r="J4909" s="51">
        <v>6.19</v>
      </c>
      <c r="K4909" s="74">
        <f>Tabela6[[#This Row],[CONSUMO]]*Tabela6[[#This Row],[VALOR UNIT]]-Tabela6[[#This Row],[DESCONTO]]</f>
        <v>1170.1576</v>
      </c>
      <c r="L4909" s="53">
        <f>Tabela6[[#This Row],[CUSTO TOTAL]]/Tabela6[[#This Row],[CONSUMO]]</f>
        <v>6.19</v>
      </c>
      <c r="M4909" s="50" t="e">
        <f>Tabela6[[#This Row],[KM ATUAL]]-#REF!</f>
        <v>#REF!</v>
      </c>
      <c r="N4909" s="51" t="e">
        <f>Tabela6[[#This Row],[KM Rodados ]]/Tabela6[[#This Row],[CONSUMO]]</f>
        <v>#REF!</v>
      </c>
    </row>
    <row r="4910" spans="1:14" x14ac:dyDescent="0.25">
      <c r="A4910" s="47">
        <v>269965</v>
      </c>
      <c r="B4910" s="78">
        <v>45476</v>
      </c>
      <c r="C4910" s="47" t="s">
        <v>43</v>
      </c>
      <c r="D4910" s="49" t="s">
        <v>253</v>
      </c>
      <c r="E4910" s="47">
        <v>195884</v>
      </c>
      <c r="G4910" s="50" t="s">
        <v>89</v>
      </c>
      <c r="H4910" s="51">
        <v>40.89</v>
      </c>
      <c r="J4910" s="51">
        <v>6.09</v>
      </c>
      <c r="K4910" s="74">
        <f>Tabela6[[#This Row],[CONSUMO]]*Tabela6[[#This Row],[VALOR UNIT]]-Tabela6[[#This Row],[DESCONTO]]</f>
        <v>249.02009999999999</v>
      </c>
      <c r="L4910" s="53">
        <f>Tabela6[[#This Row],[CUSTO TOTAL]]/Tabela6[[#This Row],[CONSUMO]]</f>
        <v>6.09</v>
      </c>
      <c r="M4910" s="50">
        <f>Tabela6[[#This Row],[KM ATUAL]]-E4837</f>
        <v>-269476</v>
      </c>
      <c r="N4910" s="51">
        <f>Tabela6[[#This Row],[KM Rodados ]]/Tabela6[[#This Row],[CONSUMO]]</f>
        <v>-6590.266568843238</v>
      </c>
    </row>
    <row r="4911" spans="1:14" x14ac:dyDescent="0.25">
      <c r="A4911" s="47">
        <v>848057</v>
      </c>
      <c r="B4911" s="78">
        <v>45476</v>
      </c>
      <c r="C4911" s="47" t="s">
        <v>222</v>
      </c>
      <c r="D4911" s="49" t="s">
        <v>252</v>
      </c>
      <c r="E4911" s="47">
        <v>596661</v>
      </c>
      <c r="G4911" s="50" t="s">
        <v>89</v>
      </c>
      <c r="H4911" s="49">
        <v>402.11099999999999</v>
      </c>
      <c r="J4911" s="51">
        <v>6.05</v>
      </c>
      <c r="K4911" s="74">
        <f>Tabela6[[#This Row],[CONSUMO]]*Tabela6[[#This Row],[VALOR UNIT]]-Tabela6[[#This Row],[DESCONTO]]</f>
        <v>2432.7715499999999</v>
      </c>
      <c r="L4911" s="53">
        <f>Tabela6[[#This Row],[CUSTO TOTAL]]/Tabela6[[#This Row],[CONSUMO]]</f>
        <v>6.05</v>
      </c>
      <c r="M4911" s="53" t="e">
        <f t="array" ref="M4911">SE</f>
        <v>#NAME?</v>
      </c>
      <c r="N4911" s="49" t="e">
        <f>Tabela6[[#This Row],[KM Rodados ]]/Tabela6[[#This Row],[CONSUMO]]</f>
        <v>#NAME?</v>
      </c>
    </row>
    <row r="4912" spans="1:14" x14ac:dyDescent="0.25">
      <c r="A4912" s="47">
        <v>848057</v>
      </c>
      <c r="B4912" s="78">
        <v>45476</v>
      </c>
      <c r="C4912" s="47" t="s">
        <v>222</v>
      </c>
      <c r="D4912" s="49" t="s">
        <v>252</v>
      </c>
      <c r="E4912" s="47">
        <v>596661</v>
      </c>
      <c r="G4912" s="50" t="s">
        <v>241</v>
      </c>
      <c r="H4912" s="51">
        <v>18</v>
      </c>
      <c r="J4912" s="51">
        <v>2.75</v>
      </c>
      <c r="K4912" s="74">
        <f>Tabela6[[#This Row],[CONSUMO]]*Tabela6[[#This Row],[VALOR UNIT]]-Tabela6[[#This Row],[DESCONTO]]</f>
        <v>49.5</v>
      </c>
      <c r="L4912" s="53">
        <f>Tabela6[[#This Row],[CUSTO TOTAL]]/Tabela6[[#This Row],[CONSUMO]]</f>
        <v>2.75</v>
      </c>
      <c r="M4912" s="53" t="e">
        <f t="array" ref="M4912">SE</f>
        <v>#NAME?</v>
      </c>
      <c r="N4912" s="49" t="e">
        <f>Tabela6[[#This Row],[KM Rodados ]]/Tabela6[[#This Row],[CONSUMO]]</f>
        <v>#NAME?</v>
      </c>
    </row>
    <row r="4913" spans="1:14" x14ac:dyDescent="0.25">
      <c r="A4913" s="47">
        <v>274719</v>
      </c>
      <c r="B4913" s="78">
        <v>45476</v>
      </c>
      <c r="C4913" s="47" t="s">
        <v>67</v>
      </c>
      <c r="D4913" s="49" t="s">
        <v>262</v>
      </c>
      <c r="E4913" s="47">
        <v>722336</v>
      </c>
      <c r="G4913" s="50" t="s">
        <v>241</v>
      </c>
      <c r="H4913" s="51">
        <v>19.585000000000001</v>
      </c>
      <c r="I4913" s="49">
        <v>7.05</v>
      </c>
      <c r="J4913" s="51">
        <v>3.69</v>
      </c>
      <c r="K4913" s="74">
        <f>Tabela6[[#This Row],[CONSUMO]]*Tabela6[[#This Row],[VALOR UNIT]]-Tabela6[[#This Row],[DESCONTO]]</f>
        <v>65.218650000000011</v>
      </c>
      <c r="L4913" s="53">
        <f>Tabela6[[#This Row],[CUSTO TOTAL]]/Tabela6[[#This Row],[CONSUMO]]</f>
        <v>3.33003063569058</v>
      </c>
      <c r="M4913" s="53" t="e">
        <f t="array" ref="M4913">SE</f>
        <v>#NAME?</v>
      </c>
      <c r="N4913" s="49" t="e">
        <f>Tabela6[[#This Row],[KM Rodados ]]/Tabela6[[#This Row],[CONSUMO]]</f>
        <v>#NAME?</v>
      </c>
    </row>
    <row r="4914" spans="1:14" x14ac:dyDescent="0.25">
      <c r="A4914" s="47">
        <v>26119</v>
      </c>
      <c r="B4914" s="78">
        <v>45476</v>
      </c>
      <c r="C4914" s="47" t="s">
        <v>16</v>
      </c>
      <c r="D4914" s="49" t="s">
        <v>255</v>
      </c>
      <c r="E4914" s="47">
        <v>324205</v>
      </c>
      <c r="G4914" s="50" t="s">
        <v>89</v>
      </c>
      <c r="H4914" s="51">
        <v>111.221</v>
      </c>
      <c r="J4914" s="51">
        <v>5.99</v>
      </c>
      <c r="K4914" s="74">
        <f>Tabela6[[#This Row],[CONSUMO]]*Tabela6[[#This Row],[VALOR UNIT]]-Tabela6[[#This Row],[DESCONTO]]</f>
        <v>666.21379000000002</v>
      </c>
      <c r="L4914" s="53">
        <f>Tabela6[[#This Row],[CUSTO TOTAL]]/Tabela6[[#This Row],[CONSUMO]]</f>
        <v>5.99</v>
      </c>
      <c r="M4914" s="53" t="e">
        <f t="array" ref="M4914">SE</f>
        <v>#NAME?</v>
      </c>
      <c r="N4914" s="49" t="e">
        <f>Tabela6[[#This Row],[KM Rodados ]]/Tabela6[[#This Row],[CONSUMO]]</f>
        <v>#NAME?</v>
      </c>
    </row>
    <row r="4915" spans="1:14" x14ac:dyDescent="0.25">
      <c r="A4915" s="47">
        <v>25769</v>
      </c>
      <c r="B4915" s="78">
        <v>45476</v>
      </c>
      <c r="C4915" s="47" t="s">
        <v>18</v>
      </c>
      <c r="D4915" s="49" t="s">
        <v>255</v>
      </c>
      <c r="E4915" s="47">
        <v>364992</v>
      </c>
      <c r="G4915" s="50" t="s">
        <v>89</v>
      </c>
      <c r="H4915" s="51">
        <v>93.921000000000006</v>
      </c>
      <c r="J4915" s="51">
        <v>6.26</v>
      </c>
      <c r="K4915" s="74">
        <f>Tabela6[[#This Row],[CONSUMO]]*Tabela6[[#This Row],[VALOR UNIT]]-Tabela6[[#This Row],[DESCONTO]]</f>
        <v>587.94546000000003</v>
      </c>
      <c r="L4915" s="53">
        <f>Tabela6[[#This Row],[CUSTO TOTAL]]/Tabela6[[#This Row],[CONSUMO]]</f>
        <v>6.26</v>
      </c>
      <c r="M4915" s="53" t="e">
        <f t="array" ref="M4915">SE</f>
        <v>#NAME?</v>
      </c>
      <c r="N4915" s="49" t="e">
        <f>Tabela6[[#This Row],[KM Rodados ]]/Tabela6[[#This Row],[CONSUMO]]</f>
        <v>#NAME?</v>
      </c>
    </row>
    <row r="4916" spans="1:14" x14ac:dyDescent="0.25">
      <c r="A4916" s="47" t="s">
        <v>504</v>
      </c>
      <c r="B4916" s="78">
        <v>45476</v>
      </c>
      <c r="C4916" s="47" t="s">
        <v>23</v>
      </c>
      <c r="D4916" s="49" t="s">
        <v>271</v>
      </c>
      <c r="E4916" s="47">
        <v>282932</v>
      </c>
      <c r="G4916" s="50" t="s">
        <v>241</v>
      </c>
      <c r="H4916" s="51">
        <v>99.9</v>
      </c>
      <c r="J4916" s="51">
        <v>1</v>
      </c>
      <c r="K4916" s="74">
        <f>Tabela6[[#This Row],[CONSUMO]]*Tabela6[[#This Row],[VALOR UNIT]]-Tabela6[[#This Row],[DESCONTO]]</f>
        <v>99.9</v>
      </c>
      <c r="L4916" s="53">
        <f>Tabela6[[#This Row],[CUSTO TOTAL]]/Tabela6[[#This Row],[CONSUMO]]</f>
        <v>1</v>
      </c>
      <c r="M4916" s="53" t="e">
        <f t="array" ref="M4916">SE</f>
        <v>#NAME?</v>
      </c>
      <c r="N4916" s="49" t="e">
        <f>Tabela6[[#This Row],[KM Rodados ]]/Tabela6[[#This Row],[CONSUMO]]</f>
        <v>#NAME?</v>
      </c>
    </row>
    <row r="4917" spans="1:14" x14ac:dyDescent="0.25">
      <c r="A4917" s="47">
        <v>274721</v>
      </c>
      <c r="B4917" s="78">
        <v>45476</v>
      </c>
      <c r="C4917" s="47" t="s">
        <v>40</v>
      </c>
      <c r="D4917" s="49" t="s">
        <v>262</v>
      </c>
      <c r="E4917" s="47">
        <v>211378</v>
      </c>
      <c r="G4917" s="50" t="s">
        <v>244</v>
      </c>
      <c r="H4917" s="51">
        <v>41.33</v>
      </c>
      <c r="J4917" s="51">
        <v>5.69</v>
      </c>
      <c r="K4917" s="74">
        <f>Tabela6[[#This Row],[CONSUMO]]*Tabela6[[#This Row],[VALOR UNIT]]-Tabela6[[#This Row],[DESCONTO]]</f>
        <v>235.1677</v>
      </c>
      <c r="L4917" s="53">
        <f>Tabela6[[#This Row],[CUSTO TOTAL]]/Tabela6[[#This Row],[CONSUMO]]</f>
        <v>5.69</v>
      </c>
      <c r="M4917" s="50">
        <f>Tabela6[[#This Row],[KM ATUAL]]-E4844</f>
        <v>1810</v>
      </c>
      <c r="N4917" s="51">
        <f>Tabela6[[#This Row],[KM Rodados ]]/Tabela6[[#This Row],[CONSUMO]]</f>
        <v>43.793854343092185</v>
      </c>
    </row>
    <row r="4918" spans="1:14" x14ac:dyDescent="0.25">
      <c r="A4918" s="47">
        <v>270158</v>
      </c>
      <c r="B4918" s="78">
        <v>45476</v>
      </c>
      <c r="C4918" s="47" t="s">
        <v>315</v>
      </c>
      <c r="D4918" s="49" t="s">
        <v>253</v>
      </c>
      <c r="E4918" s="47">
        <v>36362</v>
      </c>
      <c r="G4918" s="50" t="s">
        <v>89</v>
      </c>
      <c r="H4918" s="51">
        <v>49.48</v>
      </c>
      <c r="J4918" s="51">
        <v>6.09</v>
      </c>
      <c r="K4918" s="74">
        <f>Tabela6[[#This Row],[CONSUMO]]*Tabela6[[#This Row],[VALOR UNIT]]-Tabela6[[#This Row],[DESCONTO]]</f>
        <v>301.33319999999998</v>
      </c>
      <c r="L4918" s="53">
        <f>Tabela6[[#This Row],[CUSTO TOTAL]]/Tabela6[[#This Row],[CONSUMO]]</f>
        <v>6.09</v>
      </c>
      <c r="M4918" s="50">
        <f>Tabela6[[#This Row],[KM ATUAL]]-E4845</f>
        <v>1693</v>
      </c>
      <c r="N4918" s="51">
        <f>Tabela6[[#This Row],[KM Rodados ]]/Tabela6[[#This Row],[CONSUMO]]</f>
        <v>34.215844785772035</v>
      </c>
    </row>
    <row r="4919" spans="1:14" x14ac:dyDescent="0.25">
      <c r="A4919" s="47">
        <v>982165</v>
      </c>
      <c r="B4919" s="78">
        <v>45476</v>
      </c>
      <c r="C4919" s="47" t="s">
        <v>426</v>
      </c>
      <c r="D4919" s="49" t="s">
        <v>250</v>
      </c>
      <c r="E4919" s="47">
        <v>30152</v>
      </c>
      <c r="G4919" s="50" t="s">
        <v>89</v>
      </c>
      <c r="H4919" s="51">
        <v>77.180999999999997</v>
      </c>
      <c r="J4919" s="51">
        <v>6.09</v>
      </c>
      <c r="K4919" s="74">
        <f>Tabela6[[#This Row],[CONSUMO]]*Tabela6[[#This Row],[VALOR UNIT]]-Tabela6[[#This Row],[DESCONTO]]</f>
        <v>470.03228999999999</v>
      </c>
      <c r="L4919" s="53">
        <f>Tabela6[[#This Row],[CUSTO TOTAL]]/Tabela6[[#This Row],[CONSUMO]]</f>
        <v>6.09</v>
      </c>
      <c r="M4919" s="50">
        <f>Tabela6[[#This Row],[KM ATUAL]]-E4846</f>
        <v>-4356</v>
      </c>
      <c r="N4919" s="51">
        <f>Tabela6[[#This Row],[KM Rodados ]]/Tabela6[[#This Row],[CONSUMO]]</f>
        <v>-56.438760834920515</v>
      </c>
    </row>
    <row r="4920" spans="1:14" x14ac:dyDescent="0.25">
      <c r="A4920" s="47">
        <v>274647</v>
      </c>
      <c r="B4920" s="78">
        <v>45476</v>
      </c>
      <c r="C4920" s="47"/>
      <c r="D4920" s="49" t="s">
        <v>262</v>
      </c>
      <c r="G4920" s="50" t="s">
        <v>241</v>
      </c>
      <c r="H4920" s="51">
        <v>14.526</v>
      </c>
      <c r="I4920" s="49">
        <v>5.23</v>
      </c>
      <c r="J4920" s="51">
        <v>3.69</v>
      </c>
      <c r="K4920" s="74">
        <f>Tabela6[[#This Row],[CONSUMO]]*Tabela6[[#This Row],[VALOR UNIT]]-Tabela6[[#This Row],[DESCONTO]]</f>
        <v>48.370940000000004</v>
      </c>
      <c r="L4920" s="53">
        <f>Tabela6[[#This Row],[CUSTO TOTAL]]/Tabela6[[#This Row],[CONSUMO]]</f>
        <v>3.3299559410711832</v>
      </c>
      <c r="M4920" s="50">
        <f>Tabela6[[#This Row],[KM ATUAL]]-E4847</f>
        <v>-194911</v>
      </c>
      <c r="N4920" s="51">
        <f>Tabela6[[#This Row],[KM Rodados ]]/Tabela6[[#This Row],[CONSUMO]]</f>
        <v>-13418.077929230345</v>
      </c>
    </row>
    <row r="4921" spans="1:14" x14ac:dyDescent="0.25">
      <c r="A4921" s="47">
        <v>145122</v>
      </c>
      <c r="B4921" s="78">
        <v>45477</v>
      </c>
      <c r="C4921" s="47" t="s">
        <v>358</v>
      </c>
      <c r="D4921" s="49" t="s">
        <v>451</v>
      </c>
      <c r="E4921" s="47">
        <v>864500</v>
      </c>
      <c r="G4921" s="50" t="s">
        <v>89</v>
      </c>
      <c r="H4921" s="51">
        <v>566.11</v>
      </c>
      <c r="J4921" s="51">
        <v>5.66</v>
      </c>
      <c r="K4921" s="74">
        <f>Tabela6[[#This Row],[CONSUMO]]*Tabela6[[#This Row],[VALOR UNIT]]-Tabela6[[#This Row],[DESCONTO]]</f>
        <v>3204.1826000000001</v>
      </c>
      <c r="L4921" s="53">
        <f>Tabela6[[#This Row],[CUSTO TOTAL]]/Tabela6[[#This Row],[CONSUMO]]</f>
        <v>5.66</v>
      </c>
      <c r="M4921" s="53" t="e">
        <f t="array" ref="M4921">SE</f>
        <v>#NAME?</v>
      </c>
      <c r="N4921" s="49" t="e">
        <f>Tabela6[[#This Row],[KM Rodados ]]/Tabela6[[#This Row],[CONSUMO]]</f>
        <v>#NAME?</v>
      </c>
    </row>
    <row r="4922" spans="1:14" x14ac:dyDescent="0.25">
      <c r="A4922" s="47">
        <v>281121</v>
      </c>
      <c r="B4922" s="78">
        <v>45477</v>
      </c>
      <c r="C4922" s="47" t="s">
        <v>68</v>
      </c>
      <c r="D4922" s="49" t="s">
        <v>374</v>
      </c>
      <c r="E4922" s="47">
        <v>985863</v>
      </c>
      <c r="G4922" s="50" t="s">
        <v>89</v>
      </c>
      <c r="H4922" s="51">
        <v>573</v>
      </c>
      <c r="J4922" s="51">
        <v>5.79</v>
      </c>
      <c r="K4922" s="74">
        <f>Tabela6[[#This Row],[CONSUMO]]*Tabela6[[#This Row],[VALOR UNIT]]-Tabela6[[#This Row],[DESCONTO]]</f>
        <v>3317.67</v>
      </c>
      <c r="L4922" s="53">
        <f>Tabela6[[#This Row],[CUSTO TOTAL]]/Tabela6[[#This Row],[CONSUMO]]</f>
        <v>5.79</v>
      </c>
      <c r="M4922" s="53" t="e">
        <f t="array" ref="M4922">SE</f>
        <v>#NAME?</v>
      </c>
      <c r="N4922" s="49" t="e">
        <f>Tabela6[[#This Row],[KM Rodados ]]/Tabela6[[#This Row],[CONSUMO]]</f>
        <v>#NAME?</v>
      </c>
    </row>
    <row r="4923" spans="1:14" x14ac:dyDescent="0.25">
      <c r="A4923" s="47">
        <v>270971</v>
      </c>
      <c r="B4923" s="78">
        <v>45477</v>
      </c>
      <c r="C4923" s="47" t="s">
        <v>39</v>
      </c>
      <c r="D4923" s="49" t="s">
        <v>253</v>
      </c>
      <c r="E4923" s="47">
        <v>127929</v>
      </c>
      <c r="G4923" s="50" t="s">
        <v>89</v>
      </c>
      <c r="H4923" s="51">
        <v>84.36</v>
      </c>
      <c r="J4923" s="51">
        <v>6.09</v>
      </c>
      <c r="K4923" s="74">
        <f>Tabela6[[#This Row],[CONSUMO]]*Tabela6[[#This Row],[VALOR UNIT]]-Tabela6[[#This Row],[DESCONTO]]</f>
        <v>513.75239999999997</v>
      </c>
      <c r="L4923" s="53">
        <f>Tabela6[[#This Row],[CUSTO TOTAL]]/Tabela6[[#This Row],[CONSUMO]]</f>
        <v>6.09</v>
      </c>
      <c r="M4923" s="53" t="e">
        <f t="array" ref="M4923">SE</f>
        <v>#NAME?</v>
      </c>
      <c r="N4923" s="49" t="e">
        <f>Tabela6[[#This Row],[KM Rodados ]]/Tabela6[[#This Row],[CONSUMO]]</f>
        <v>#NAME?</v>
      </c>
    </row>
    <row r="4924" spans="1:14" x14ac:dyDescent="0.25">
      <c r="A4924" s="47">
        <v>274959</v>
      </c>
      <c r="B4924" s="78">
        <v>45477</v>
      </c>
      <c r="C4924" s="47" t="s">
        <v>70</v>
      </c>
      <c r="D4924" s="49" t="s">
        <v>262</v>
      </c>
      <c r="E4924" s="47">
        <v>291480</v>
      </c>
      <c r="G4924" s="50" t="s">
        <v>241</v>
      </c>
      <c r="H4924" s="51">
        <v>81.123000000000005</v>
      </c>
      <c r="I4924" s="49">
        <v>29.2</v>
      </c>
      <c r="J4924" s="51">
        <v>3.69</v>
      </c>
      <c r="K4924" s="74">
        <f>Tabela6[[#This Row],[CONSUMO]]*Tabela6[[#This Row],[VALOR UNIT]]-Tabela6[[#This Row],[DESCONTO]]</f>
        <v>270.14387000000005</v>
      </c>
      <c r="L4924" s="53">
        <f>Tabela6[[#This Row],[CUSTO TOTAL]]/Tabela6[[#This Row],[CONSUMO]]</f>
        <v>3.3300527593900626</v>
      </c>
      <c r="M4924" s="53" t="e">
        <f t="array" ref="M4924">SE</f>
        <v>#NAME?</v>
      </c>
      <c r="N4924" s="49" t="e">
        <f>Tabela6[[#This Row],[KM Rodados ]]/Tabela6[[#This Row],[CONSUMO]]</f>
        <v>#NAME?</v>
      </c>
    </row>
    <row r="4925" spans="1:14" x14ac:dyDescent="0.25">
      <c r="A4925" s="47" t="s">
        <v>495</v>
      </c>
      <c r="B4925" s="78">
        <v>45477</v>
      </c>
      <c r="C4925" s="49" t="s">
        <v>203</v>
      </c>
      <c r="D4925" s="49" t="s">
        <v>271</v>
      </c>
      <c r="E4925" s="47">
        <v>172461</v>
      </c>
      <c r="G4925" s="49" t="s">
        <v>244</v>
      </c>
      <c r="H4925" s="51">
        <v>40.951000000000001</v>
      </c>
      <c r="J4925" s="51">
        <v>5.69</v>
      </c>
      <c r="K4925" s="74">
        <f>Tabela6[[#This Row],[CONSUMO]]*Tabela6[[#This Row],[VALOR UNIT]]-Tabela6[[#This Row],[DESCONTO]]</f>
        <v>233.01119000000003</v>
      </c>
      <c r="M4925" s="50">
        <f>Tabela6[[#This Row],[KM ATUAL]]-E4846</f>
        <v>137953</v>
      </c>
      <c r="N4925" s="51">
        <f>Tabela6[[#This Row],[KM Rodados ]]/Tabela6[[#This Row],[CONSUMO]]</f>
        <v>3368.733364264609</v>
      </c>
    </row>
    <row r="4926" spans="1:14" x14ac:dyDescent="0.25">
      <c r="A4926" s="47">
        <v>274947</v>
      </c>
      <c r="B4926" s="78">
        <v>45477</v>
      </c>
      <c r="C4926" s="47" t="s">
        <v>207</v>
      </c>
      <c r="D4926" s="49" t="s">
        <v>262</v>
      </c>
      <c r="G4926" s="50" t="s">
        <v>244</v>
      </c>
      <c r="H4926" s="51">
        <v>13.599</v>
      </c>
      <c r="J4926" s="51">
        <v>5.69</v>
      </c>
      <c r="K4926" s="74">
        <f>Tabela6[[#This Row],[CONSUMO]]*Tabela6[[#This Row],[VALOR UNIT]]-Tabela6[[#This Row],[DESCONTO]]</f>
        <v>77.378310000000013</v>
      </c>
      <c r="L4926" s="53">
        <f>Tabela6[[#This Row],[CUSTO TOTAL]]/Tabela6[[#This Row],[CONSUMO]]</f>
        <v>5.6900000000000013</v>
      </c>
      <c r="M4926" s="50">
        <f>Tabela6[[#This Row],[KM ATUAL]]-E4847</f>
        <v>-194911</v>
      </c>
      <c r="N4926" s="51">
        <f>Tabela6[[#This Row],[KM Rodados ]]/Tabela6[[#This Row],[CONSUMO]]</f>
        <v>-14332.74505478344</v>
      </c>
    </row>
    <row r="4927" spans="1:14" x14ac:dyDescent="0.25">
      <c r="A4927" s="47">
        <v>274981</v>
      </c>
      <c r="B4927" s="78">
        <v>45477</v>
      </c>
      <c r="C4927" s="47" t="s">
        <v>17</v>
      </c>
      <c r="D4927" s="49" t="s">
        <v>262</v>
      </c>
      <c r="G4927" s="50" t="s">
        <v>241</v>
      </c>
      <c r="H4927" s="51">
        <v>20.391999999999999</v>
      </c>
      <c r="I4927" s="49">
        <v>7.34</v>
      </c>
      <c r="J4927" s="51">
        <v>3.69</v>
      </c>
      <c r="K4927" s="74">
        <f>Tabela6[[#This Row],[CONSUMO]]*Tabela6[[#This Row],[VALOR UNIT]]-Tabela6[[#This Row],[DESCONTO]]</f>
        <v>67.906479999999988</v>
      </c>
      <c r="L4927" s="53">
        <f>Tabela6[[#This Row],[CUSTO TOTAL]]/Tabela6[[#This Row],[CONSUMO]]</f>
        <v>3.3300549234994112</v>
      </c>
      <c r="M4927" s="50">
        <f>Tabela6[[#This Row],[KM ATUAL]]-E4848</f>
        <v>-593086</v>
      </c>
      <c r="N4927" s="51">
        <f>Tabela6[[#This Row],[KM Rodados ]]/Tabela6[[#This Row],[CONSUMO]]</f>
        <v>-29084.248724990193</v>
      </c>
    </row>
    <row r="4928" spans="1:14" x14ac:dyDescent="0.25">
      <c r="A4928" s="47">
        <v>26403</v>
      </c>
      <c r="B4928" s="78">
        <v>45477</v>
      </c>
      <c r="C4928" s="47" t="s">
        <v>18</v>
      </c>
      <c r="D4928" s="49" t="s">
        <v>255</v>
      </c>
      <c r="E4928" s="47">
        <v>365205</v>
      </c>
      <c r="G4928" s="50" t="s">
        <v>89</v>
      </c>
      <c r="H4928" s="51">
        <v>89.070999999999998</v>
      </c>
      <c r="J4928" s="51">
        <v>6.26</v>
      </c>
      <c r="K4928" s="74">
        <f>Tabela6[[#This Row],[CONSUMO]]*Tabela6[[#This Row],[VALOR UNIT]]-Tabela6[[#This Row],[DESCONTO]]</f>
        <v>557.58445999999992</v>
      </c>
      <c r="L4928" s="53">
        <f>Tabela6[[#This Row],[CUSTO TOTAL]]/Tabela6[[#This Row],[CONSUMO]]</f>
        <v>6.2599999999999989</v>
      </c>
      <c r="M4928" s="53" t="e">
        <f t="array" ref="M4928">SE</f>
        <v>#NAME?</v>
      </c>
      <c r="N4928" s="49" t="e">
        <f>Tabela6[[#This Row],[KM Rodados ]]/Tabela6[[#This Row],[CONSUMO]]</f>
        <v>#NAME?</v>
      </c>
    </row>
    <row r="4929" spans="1:14" x14ac:dyDescent="0.25">
      <c r="A4929" s="47">
        <v>26278</v>
      </c>
      <c r="B4929" s="78">
        <v>45477</v>
      </c>
      <c r="C4929" s="47" t="s">
        <v>38</v>
      </c>
      <c r="D4929" s="49" t="s">
        <v>255</v>
      </c>
      <c r="E4929" s="47">
        <v>150525</v>
      </c>
      <c r="G4929" s="50" t="s">
        <v>244</v>
      </c>
      <c r="H4929" s="51">
        <v>51.73</v>
      </c>
      <c r="J4929" s="51">
        <v>5.95</v>
      </c>
      <c r="K4929" s="74">
        <f>Tabela6[[#This Row],[CONSUMO]]*Tabela6[[#This Row],[VALOR UNIT]]-Tabela6[[#This Row],[DESCONTO]]</f>
        <v>307.79349999999999</v>
      </c>
      <c r="L4929" s="53">
        <f>Tabela6[[#This Row],[CUSTO TOTAL]]/Tabela6[[#This Row],[CONSUMO]]</f>
        <v>5.95</v>
      </c>
      <c r="M4929" s="53" t="e">
        <f t="array" ref="M4929">SE</f>
        <v>#NAME?</v>
      </c>
      <c r="N4929" s="49" t="e">
        <f>Tabela6[[#This Row],[KM Rodados ]]/Tabela6[[#This Row],[CONSUMO]]</f>
        <v>#NAME?</v>
      </c>
    </row>
    <row r="4930" spans="1:14" x14ac:dyDescent="0.25">
      <c r="A4930" s="47">
        <v>270985</v>
      </c>
      <c r="B4930" s="78">
        <v>45477</v>
      </c>
      <c r="C4930" s="47" t="s">
        <v>40</v>
      </c>
      <c r="D4930" s="49" t="s">
        <v>253</v>
      </c>
      <c r="E4930" s="47">
        <v>212119</v>
      </c>
      <c r="G4930" s="50" t="s">
        <v>244</v>
      </c>
      <c r="H4930" s="51">
        <v>32.4</v>
      </c>
      <c r="J4930" s="51">
        <v>5.89</v>
      </c>
      <c r="K4930" s="74">
        <f>Tabela6[[#This Row],[CONSUMO]]*Tabela6[[#This Row],[VALOR UNIT]]-Tabela6[[#This Row],[DESCONTO]]</f>
        <v>190.83599999999998</v>
      </c>
      <c r="L4930" s="53">
        <f>Tabela6[[#This Row],[CUSTO TOTAL]]/Tabela6[[#This Row],[CONSUMO]]</f>
        <v>5.89</v>
      </c>
      <c r="M4930" s="53" t="e">
        <f t="array" ref="M4930">SE</f>
        <v>#NAME?</v>
      </c>
      <c r="N4930" s="49" t="e">
        <f>Tabela6[[#This Row],[KM Rodados ]]/Tabela6[[#This Row],[CONSUMO]]</f>
        <v>#NAME?</v>
      </c>
    </row>
    <row r="4931" spans="1:14" x14ac:dyDescent="0.25">
      <c r="A4931" s="47">
        <v>357709</v>
      </c>
      <c r="B4931" s="78">
        <v>45477</v>
      </c>
      <c r="C4931" s="47" t="s">
        <v>401</v>
      </c>
      <c r="D4931" s="49" t="s">
        <v>402</v>
      </c>
      <c r="E4931" s="47">
        <v>37550</v>
      </c>
      <c r="G4931" s="50" t="s">
        <v>89</v>
      </c>
      <c r="H4931" s="51">
        <v>65.680999999999997</v>
      </c>
      <c r="J4931" s="51">
        <v>6.09</v>
      </c>
      <c r="K4931" s="74">
        <f>Tabela6[[#This Row],[CONSUMO]]*Tabela6[[#This Row],[VALOR UNIT]]-Tabela6[[#This Row],[DESCONTO]]</f>
        <v>399.99728999999996</v>
      </c>
      <c r="L4931" s="53">
        <f>Tabela6[[#This Row],[CUSTO TOTAL]]/Tabela6[[#This Row],[CONSUMO]]</f>
        <v>6.09</v>
      </c>
      <c r="M4931" s="50">
        <f>Tabela6[[#This Row],[KM ATUAL]]-E4852</f>
        <v>37550</v>
      </c>
      <c r="N4931" s="51">
        <f>Tabela6[[#This Row],[KM Rodados ]]/Tabela6[[#This Row],[CONSUMO]]</f>
        <v>571.70262328527281</v>
      </c>
    </row>
    <row r="4932" spans="1:14" x14ac:dyDescent="0.25">
      <c r="A4932" s="47">
        <v>271460</v>
      </c>
      <c r="B4932" s="78">
        <v>45478</v>
      </c>
      <c r="C4932" s="47" t="s">
        <v>12</v>
      </c>
      <c r="D4932" s="49" t="s">
        <v>253</v>
      </c>
      <c r="E4932" s="47">
        <v>341513</v>
      </c>
      <c r="G4932" s="50" t="s">
        <v>89</v>
      </c>
      <c r="H4932" s="51">
        <v>74.84</v>
      </c>
      <c r="J4932" s="51">
        <v>6.09</v>
      </c>
      <c r="K4932" s="74">
        <f>Tabela6[[#This Row],[CONSUMO]]*Tabela6[[#This Row],[VALOR UNIT]]-Tabela6[[#This Row],[DESCONTO]]</f>
        <v>455.7756</v>
      </c>
      <c r="L4932" s="53">
        <f>Tabela6[[#This Row],[CUSTO TOTAL]]/Tabela6[[#This Row],[CONSUMO]]</f>
        <v>6.09</v>
      </c>
      <c r="M4932" s="53" t="e">
        <f t="array" ref="M4932">SE</f>
        <v>#NAME?</v>
      </c>
      <c r="N4932" s="49" t="e">
        <f>Tabela6[[#This Row],[KM Rodados ]]/Tabela6[[#This Row],[CONSUMO]]</f>
        <v>#NAME?</v>
      </c>
    </row>
    <row r="4933" spans="1:14" x14ac:dyDescent="0.25">
      <c r="A4933" s="47">
        <v>275222</v>
      </c>
      <c r="B4933" s="78">
        <v>45478</v>
      </c>
      <c r="C4933" s="47" t="s">
        <v>354</v>
      </c>
      <c r="D4933" s="49" t="s">
        <v>262</v>
      </c>
      <c r="E4933" s="47">
        <v>46708</v>
      </c>
      <c r="G4933" s="50" t="s">
        <v>241</v>
      </c>
      <c r="H4933" s="51">
        <v>25.053000000000001</v>
      </c>
      <c r="I4933" s="49">
        <v>9.02</v>
      </c>
      <c r="J4933" s="51">
        <v>3.69</v>
      </c>
      <c r="K4933" s="74">
        <f>Tabela6[[#This Row],[CONSUMO]]*Tabela6[[#This Row],[VALOR UNIT]]-Tabela6[[#This Row],[DESCONTO]]</f>
        <v>83.425570000000008</v>
      </c>
      <c r="L4933" s="53">
        <f>Tabela6[[#This Row],[CUSTO TOTAL]]/Tabela6[[#This Row],[CONSUMO]]</f>
        <v>3.3299632778509562</v>
      </c>
      <c r="M4933" s="50">
        <f>Tabela6[[#This Row],[KM ATUAL]]-E4849</f>
        <v>-306901</v>
      </c>
      <c r="N4933" s="51">
        <f>Tabela6[[#This Row],[KM Rodados ]]/Tabela6[[#This Row],[CONSUMO]]</f>
        <v>-12250.069851913942</v>
      </c>
    </row>
    <row r="4934" spans="1:14" x14ac:dyDescent="0.25">
      <c r="A4934" s="47">
        <v>22140</v>
      </c>
      <c r="B4934" s="78">
        <v>45479</v>
      </c>
      <c r="C4934" s="47"/>
      <c r="D4934" s="49" t="s">
        <v>515</v>
      </c>
      <c r="G4934" s="50" t="s">
        <v>89</v>
      </c>
      <c r="H4934" s="51">
        <v>44.371000000000002</v>
      </c>
      <c r="J4934" s="51">
        <v>6.05</v>
      </c>
      <c r="K4934" s="74">
        <f>Tabela6[[#This Row],[CONSUMO]]*Tabela6[[#This Row],[VALOR UNIT]]-Tabela6[[#This Row],[DESCONTO]]</f>
        <v>268.44454999999999</v>
      </c>
      <c r="L4934" s="53">
        <f>Tabela6[[#This Row],[CUSTO TOTAL]]/Tabela6[[#This Row],[CONSUMO]]</f>
        <v>6.05</v>
      </c>
      <c r="M4934" s="53" t="e">
        <f t="array" ref="M4934">SE</f>
        <v>#NAME?</v>
      </c>
      <c r="N4934" s="49" t="e">
        <f>Tabela6[[#This Row],[KM Rodados ]]/Tabela6[[#This Row],[CONSUMO]]</f>
        <v>#NAME?</v>
      </c>
    </row>
    <row r="4935" spans="1:14" x14ac:dyDescent="0.25">
      <c r="A4935" s="47">
        <v>53702</v>
      </c>
      <c r="B4935" s="78">
        <v>45480</v>
      </c>
      <c r="C4935" s="47" t="s">
        <v>358</v>
      </c>
      <c r="D4935" s="49" t="s">
        <v>332</v>
      </c>
      <c r="E4935" s="47">
        <v>866742</v>
      </c>
      <c r="G4935" s="50" t="s">
        <v>89</v>
      </c>
      <c r="H4935" s="51">
        <v>530.00300000000004</v>
      </c>
      <c r="J4935" s="51">
        <v>5.85</v>
      </c>
      <c r="K4935" s="74">
        <f>Tabela6[[#This Row],[CONSUMO]]*Tabela6[[#This Row],[VALOR UNIT]]-Tabela6[[#This Row],[DESCONTO]]</f>
        <v>3100.51755</v>
      </c>
      <c r="L4935" s="53">
        <f>Tabela6[[#This Row],[CUSTO TOTAL]]/Tabela6[[#This Row],[CONSUMO]]</f>
        <v>5.85</v>
      </c>
      <c r="M4935" s="53" t="e">
        <f t="array" ref="M4935">SE</f>
        <v>#NAME?</v>
      </c>
      <c r="N4935" s="49" t="e">
        <f>Tabela6[[#This Row],[KM Rodados ]]/Tabela6[[#This Row],[CONSUMO]]</f>
        <v>#NAME?</v>
      </c>
    </row>
    <row r="4936" spans="1:14" x14ac:dyDescent="0.25">
      <c r="A4936" s="47">
        <v>53703</v>
      </c>
      <c r="B4936" s="78">
        <v>45480</v>
      </c>
      <c r="C4936" s="47" t="s">
        <v>70</v>
      </c>
      <c r="D4936" s="49" t="s">
        <v>332</v>
      </c>
      <c r="E4936" s="47">
        <v>293151</v>
      </c>
      <c r="G4936" s="50" t="s">
        <v>89</v>
      </c>
      <c r="H4936" s="51">
        <v>511.04</v>
      </c>
      <c r="J4936" s="51">
        <v>5.85</v>
      </c>
      <c r="K4936" s="74">
        <f>Tabela6[[#This Row],[CONSUMO]]*Tabela6[[#This Row],[VALOR UNIT]]-Tabela6[[#This Row],[DESCONTO]]</f>
        <v>2989.5839999999998</v>
      </c>
      <c r="L4936" s="53">
        <f>Tabela6[[#This Row],[CUSTO TOTAL]]/Tabela6[[#This Row],[CONSUMO]]</f>
        <v>5.85</v>
      </c>
      <c r="M4936" s="53" t="e">
        <f t="array" ref="M4936">SE</f>
        <v>#NAME?</v>
      </c>
      <c r="N4936" s="49" t="e">
        <f>Tabela6[[#This Row],[KM Rodados ]]/Tabela6[[#This Row],[CONSUMO]]</f>
        <v>#NAME?</v>
      </c>
    </row>
    <row r="4937" spans="1:14" x14ac:dyDescent="0.25">
      <c r="A4937" s="47" t="s">
        <v>500</v>
      </c>
      <c r="B4937" s="78">
        <v>45481</v>
      </c>
      <c r="C4937" s="47" t="s">
        <v>394</v>
      </c>
      <c r="D4937" s="49" t="s">
        <v>276</v>
      </c>
      <c r="E4937" s="47">
        <v>895695</v>
      </c>
      <c r="G4937" s="50" t="s">
        <v>89</v>
      </c>
      <c r="H4937" s="51">
        <v>92.47</v>
      </c>
      <c r="J4937" s="51">
        <v>6.19</v>
      </c>
      <c r="K4937" s="74">
        <f>Tabela6[[#This Row],[CONSUMO]]*Tabela6[[#This Row],[VALOR UNIT]]-Tabela6[[#This Row],[DESCONTO]]</f>
        <v>572.38930000000005</v>
      </c>
      <c r="L4937" s="53">
        <f>Tabela6[[#This Row],[CUSTO TOTAL]]/Tabela6[[#This Row],[CONSUMO]]</f>
        <v>6.19</v>
      </c>
      <c r="M4937" s="50">
        <f>Tabela6[[#This Row],[KM ATUAL]]-E4846</f>
        <v>861187</v>
      </c>
      <c r="N4937" s="51">
        <f>Tabela6[[#This Row],[KM Rodados ]]/Tabela6[[#This Row],[CONSUMO]]</f>
        <v>9313.1502108792047</v>
      </c>
    </row>
    <row r="4938" spans="1:14" x14ac:dyDescent="0.25">
      <c r="A4938" s="47">
        <v>282143</v>
      </c>
      <c r="B4938" s="78">
        <v>45481</v>
      </c>
      <c r="C4938" s="47" t="s">
        <v>222</v>
      </c>
      <c r="D4938" s="49" t="s">
        <v>374</v>
      </c>
      <c r="E4938" s="47">
        <v>598972</v>
      </c>
      <c r="G4938" s="50" t="s">
        <v>89</v>
      </c>
      <c r="H4938" s="51">
        <v>414.82100000000003</v>
      </c>
      <c r="J4938" s="51">
        <v>5.79</v>
      </c>
      <c r="K4938" s="74">
        <f>Tabela6[[#This Row],[CONSUMO]]*Tabela6[[#This Row],[VALOR UNIT]]-Tabela6[[#This Row],[DESCONTO]]</f>
        <v>2401.8135900000002</v>
      </c>
      <c r="L4938" s="53">
        <f>Tabela6[[#This Row],[CUSTO TOTAL]]/Tabela6[[#This Row],[CONSUMO]]</f>
        <v>5.79</v>
      </c>
      <c r="M4938" s="53" t="e">
        <f t="array" ref="M4938">SE</f>
        <v>#NAME?</v>
      </c>
      <c r="N4938" s="49" t="e">
        <f>Tabela6[[#This Row],[KM Rodados ]]/Tabela6[[#This Row],[CONSUMO]]</f>
        <v>#NAME?</v>
      </c>
    </row>
    <row r="4939" spans="1:14" x14ac:dyDescent="0.25">
      <c r="A4939" s="47" t="s">
        <v>529</v>
      </c>
      <c r="B4939" s="78">
        <v>45481</v>
      </c>
      <c r="C4939" s="47" t="s">
        <v>222</v>
      </c>
      <c r="D4939" s="49" t="s">
        <v>374</v>
      </c>
      <c r="E4939" s="47">
        <v>598972</v>
      </c>
      <c r="G4939" s="50" t="s">
        <v>241</v>
      </c>
      <c r="H4939" s="51">
        <v>35</v>
      </c>
      <c r="J4939" s="51">
        <v>2.99</v>
      </c>
      <c r="K4939" s="74">
        <f>Tabela6[[#This Row],[CONSUMO]]*Tabela6[[#This Row],[VALOR UNIT]]-Tabela6[[#This Row],[DESCONTO]]</f>
        <v>104.65</v>
      </c>
      <c r="L4939" s="53">
        <f>Tabela6[[#This Row],[CUSTO TOTAL]]/Tabela6[[#This Row],[CONSUMO]]</f>
        <v>2.99</v>
      </c>
      <c r="M4939" s="53" t="e">
        <f t="array" ref="M4939">SE</f>
        <v>#NAME?</v>
      </c>
      <c r="N4939" s="49" t="e">
        <f>Tabela6[[#This Row],[KM Rodados ]]/Tabela6[[#This Row],[CONSUMO]]</f>
        <v>#NAME?</v>
      </c>
    </row>
    <row r="4940" spans="1:14" x14ac:dyDescent="0.25">
      <c r="A4940" s="47" t="s">
        <v>505</v>
      </c>
      <c r="B4940" s="78">
        <v>45481</v>
      </c>
      <c r="C4940" s="47" t="s">
        <v>67</v>
      </c>
      <c r="D4940" s="49" t="s">
        <v>273</v>
      </c>
      <c r="E4940" s="47">
        <v>722910</v>
      </c>
      <c r="G4940" s="50" t="s">
        <v>89</v>
      </c>
      <c r="H4940" s="51">
        <v>142.691</v>
      </c>
      <c r="J4940" s="51">
        <v>5.75</v>
      </c>
      <c r="K4940" s="74">
        <f>Tabela6[[#This Row],[CONSUMO]]*Tabela6[[#This Row],[VALOR UNIT]]-Tabela6[[#This Row],[DESCONTO]]</f>
        <v>820.47325000000001</v>
      </c>
      <c r="L4940" s="53">
        <f>Tabela6[[#This Row],[CUSTO TOTAL]]/Tabela6[[#This Row],[CONSUMO]]</f>
        <v>5.75</v>
      </c>
      <c r="M4940" s="53" t="e">
        <f t="array" ref="M4940">SE</f>
        <v>#NAME?</v>
      </c>
      <c r="N4940" s="49" t="e">
        <f>Tabela6[[#This Row],[KM Rodados ]]/Tabela6[[#This Row],[CONSUMO]]</f>
        <v>#NAME?</v>
      </c>
    </row>
    <row r="4941" spans="1:14" x14ac:dyDescent="0.25">
      <c r="A4941" s="47">
        <v>224436</v>
      </c>
      <c r="B4941" s="78">
        <v>45481</v>
      </c>
      <c r="C4941" s="47" t="s">
        <v>72</v>
      </c>
      <c r="D4941" s="49" t="s">
        <v>263</v>
      </c>
      <c r="E4941" s="47">
        <v>467581</v>
      </c>
      <c r="G4941" s="50" t="s">
        <v>89</v>
      </c>
      <c r="H4941" s="51">
        <v>47.250999999999998</v>
      </c>
      <c r="I4941" s="49">
        <v>7.09</v>
      </c>
      <c r="J4941" s="51">
        <v>5.99</v>
      </c>
      <c r="K4941" s="74">
        <f>Tabela6[[#This Row],[CONSUMO]]*Tabela6[[#This Row],[VALOR UNIT]]-Tabela6[[#This Row],[DESCONTO]]</f>
        <v>275.94349</v>
      </c>
      <c r="L4941" s="53">
        <f>Tabela6[[#This Row],[CUSTO TOTAL]]/Tabela6[[#This Row],[CONSUMO]]</f>
        <v>5.8399502656028446</v>
      </c>
      <c r="M4941" s="53" t="e">
        <f t="array" ref="M4941">SE</f>
        <v>#NAME?</v>
      </c>
      <c r="N4941" s="49" t="e">
        <f>Tabela6[[#This Row],[KM Rodados ]]/Tabela6[[#This Row],[CONSUMO]]</f>
        <v>#NAME?</v>
      </c>
    </row>
    <row r="4942" spans="1:14" x14ac:dyDescent="0.25">
      <c r="A4942" s="47">
        <v>273648</v>
      </c>
      <c r="B4942" s="78">
        <v>45481</v>
      </c>
      <c r="C4942" s="47" t="s">
        <v>11</v>
      </c>
      <c r="D4942" s="49" t="s">
        <v>253</v>
      </c>
      <c r="E4942" s="47">
        <v>419390</v>
      </c>
      <c r="G4942" s="50" t="s">
        <v>89</v>
      </c>
      <c r="H4942" s="51">
        <v>114.99</v>
      </c>
      <c r="J4942" s="51">
        <v>6.09</v>
      </c>
      <c r="K4942" s="74">
        <f>Tabela6[[#This Row],[CONSUMO]]*Tabela6[[#This Row],[VALOR UNIT]]-Tabela6[[#This Row],[DESCONTO]]</f>
        <v>700.28909999999996</v>
      </c>
      <c r="L4942" s="53">
        <f>Tabela6[[#This Row],[CUSTO TOTAL]]/Tabela6[[#This Row],[CONSUMO]]</f>
        <v>6.09</v>
      </c>
      <c r="M4942" s="53" t="e">
        <f t="array" ref="M4942">SE</f>
        <v>#NAME?</v>
      </c>
      <c r="N4942" s="49" t="e">
        <f>Tabela6[[#This Row],[KM Rodados ]]/Tabela6[[#This Row],[CONSUMO]]</f>
        <v>#NAME?</v>
      </c>
    </row>
    <row r="4943" spans="1:14" x14ac:dyDescent="0.25">
      <c r="A4943" s="47" t="s">
        <v>502</v>
      </c>
      <c r="B4943" s="78">
        <v>45481</v>
      </c>
      <c r="C4943" s="47" t="s">
        <v>13</v>
      </c>
      <c r="D4943" s="49" t="s">
        <v>271</v>
      </c>
      <c r="E4943" s="47">
        <v>38151</v>
      </c>
      <c r="G4943" s="50" t="s">
        <v>89</v>
      </c>
      <c r="H4943" s="51">
        <v>97.171000000000006</v>
      </c>
      <c r="J4943" s="51">
        <v>5.75</v>
      </c>
      <c r="K4943" s="74">
        <f>Tabela6[[#This Row],[CONSUMO]]*Tabela6[[#This Row],[VALOR UNIT]]-Tabela6[[#This Row],[DESCONTO]]</f>
        <v>558.73325</v>
      </c>
      <c r="L4943" s="53">
        <f>Tabela6[[#This Row],[CUSTO TOTAL]]/Tabela6[[#This Row],[CONSUMO]]</f>
        <v>5.75</v>
      </c>
      <c r="M4943" s="53" t="e">
        <f t="array" ref="M4943">SE</f>
        <v>#NAME?</v>
      </c>
      <c r="N4943" s="49" t="e">
        <f>Tabela6[[#This Row],[KM Rodados ]]/Tabela6[[#This Row],[CONSUMO]]</f>
        <v>#NAME?</v>
      </c>
    </row>
    <row r="4944" spans="1:14" x14ac:dyDescent="0.25">
      <c r="A4944" s="47">
        <v>453174</v>
      </c>
      <c r="B4944" s="78">
        <v>45481</v>
      </c>
      <c r="C4944" s="47" t="s">
        <v>13</v>
      </c>
      <c r="D4944" s="49" t="s">
        <v>271</v>
      </c>
      <c r="E4944" s="47">
        <v>38151</v>
      </c>
      <c r="G4944" s="50" t="s">
        <v>241</v>
      </c>
      <c r="H4944" s="51">
        <v>22.021000000000001</v>
      </c>
      <c r="J4944" s="51">
        <v>2.99</v>
      </c>
      <c r="K4944" s="74">
        <f>Tabela6[[#This Row],[CONSUMO]]*Tabela6[[#This Row],[VALOR UNIT]]-Tabela6[[#This Row],[DESCONTO]]</f>
        <v>65.842790000000008</v>
      </c>
      <c r="L4944" s="53">
        <f>Tabela6[[#This Row],[CUSTO TOTAL]]/Tabela6[[#This Row],[CONSUMO]]</f>
        <v>2.99</v>
      </c>
      <c r="M4944" s="53" t="e">
        <f t="array" ref="M4944">SE</f>
        <v>#NAME?</v>
      </c>
      <c r="N4944" s="49" t="e">
        <f>Tabela6[[#This Row],[KM Rodados ]]/Tabela6[[#This Row],[CONSUMO]]</f>
        <v>#NAME?</v>
      </c>
    </row>
    <row r="4945" spans="1:14" x14ac:dyDescent="0.25">
      <c r="A4945" s="47" t="s">
        <v>503</v>
      </c>
      <c r="B4945" s="78">
        <v>45481</v>
      </c>
      <c r="C4945" s="47" t="s">
        <v>17</v>
      </c>
      <c r="D4945" s="49" t="s">
        <v>271</v>
      </c>
      <c r="E4945" s="47">
        <v>418867</v>
      </c>
      <c r="G4945" s="50" t="s">
        <v>89</v>
      </c>
      <c r="H4945" s="51">
        <v>222</v>
      </c>
      <c r="J4945" s="51">
        <v>5.75</v>
      </c>
      <c r="K4945" s="74">
        <f>Tabela6[[#This Row],[CONSUMO]]*Tabela6[[#This Row],[VALOR UNIT]]-Tabela6[[#This Row],[DESCONTO]]</f>
        <v>1276.5</v>
      </c>
      <c r="L4945" s="53">
        <f>Tabela6[[#This Row],[CUSTO TOTAL]]/Tabela6[[#This Row],[CONSUMO]]</f>
        <v>5.75</v>
      </c>
      <c r="M4945" s="53" t="e">
        <f t="array" ref="M4945">SE</f>
        <v>#NAME?</v>
      </c>
      <c r="N4945" s="49" t="e">
        <f>Tabela6[[#This Row],[KM Rodados ]]/Tabela6[[#This Row],[CONSUMO]]</f>
        <v>#NAME?</v>
      </c>
    </row>
    <row r="4946" spans="1:14" x14ac:dyDescent="0.25">
      <c r="A4946" s="47">
        <v>1149376</v>
      </c>
      <c r="B4946" s="78">
        <v>45481</v>
      </c>
      <c r="C4946" s="47" t="s">
        <v>19</v>
      </c>
      <c r="D4946" s="49" t="s">
        <v>513</v>
      </c>
      <c r="E4946" s="47">
        <v>386398</v>
      </c>
      <c r="G4946" s="50" t="s">
        <v>89</v>
      </c>
      <c r="H4946" s="51">
        <v>40.002000000000002</v>
      </c>
      <c r="J4946" s="51">
        <v>6.25</v>
      </c>
      <c r="K4946" s="74">
        <f>Tabela6[[#This Row],[CONSUMO]]*Tabela6[[#This Row],[VALOR UNIT]]-Tabela6[[#This Row],[DESCONTO]]</f>
        <v>250.01250000000002</v>
      </c>
      <c r="L4946" s="53">
        <f>Tabela6[[#This Row],[CUSTO TOTAL]]/Tabela6[[#This Row],[CONSUMO]]</f>
        <v>6.25</v>
      </c>
      <c r="M4946" s="53" t="e">
        <f t="array" ref="M4946">SE</f>
        <v>#NAME?</v>
      </c>
      <c r="N4946" s="49" t="e">
        <f>Tabela6[[#This Row],[KM Rodados ]]/Tabela6[[#This Row],[CONSUMO]]</f>
        <v>#NAME?</v>
      </c>
    </row>
    <row r="4947" spans="1:14" x14ac:dyDescent="0.25">
      <c r="A4947" s="47" t="s">
        <v>501</v>
      </c>
      <c r="B4947" s="78">
        <v>45481</v>
      </c>
      <c r="C4947" s="47" t="s">
        <v>40</v>
      </c>
      <c r="D4947" s="49" t="s">
        <v>271</v>
      </c>
      <c r="E4947" s="47">
        <v>212654</v>
      </c>
      <c r="G4947" s="50" t="s">
        <v>244</v>
      </c>
      <c r="H4947" s="51">
        <v>41.941000000000003</v>
      </c>
      <c r="J4947" s="51">
        <v>5.69</v>
      </c>
      <c r="K4947" s="74">
        <f>Tabela6[[#This Row],[CONSUMO]]*Tabela6[[#This Row],[VALOR UNIT]]-Tabela6[[#This Row],[DESCONTO]]</f>
        <v>238.64429000000004</v>
      </c>
      <c r="L4947" s="53">
        <f>Tabela6[[#This Row],[CUSTO TOTAL]]/Tabela6[[#This Row],[CONSUMO]]</f>
        <v>5.69</v>
      </c>
      <c r="M4947" s="53" t="e">
        <f t="array" ref="M4947">SE</f>
        <v>#NAME?</v>
      </c>
      <c r="N4947" s="49" t="e">
        <f>Tabela6[[#This Row],[KM Rodados ]]/Tabela6[[#This Row],[CONSUMO]]</f>
        <v>#NAME?</v>
      </c>
    </row>
    <row r="4948" spans="1:14" x14ac:dyDescent="0.25">
      <c r="A4948" s="47">
        <v>273643</v>
      </c>
      <c r="B4948" s="78">
        <v>45481</v>
      </c>
      <c r="C4948" s="47" t="s">
        <v>315</v>
      </c>
      <c r="D4948" s="49" t="s">
        <v>253</v>
      </c>
      <c r="E4948" s="47">
        <v>37026</v>
      </c>
      <c r="G4948" s="50" t="s">
        <v>89</v>
      </c>
      <c r="H4948" s="51">
        <v>50.01</v>
      </c>
      <c r="J4948" s="51">
        <v>6.09</v>
      </c>
      <c r="K4948" s="74">
        <f>Tabela6[[#This Row],[CONSUMO]]*Tabela6[[#This Row],[VALOR UNIT]]-Tabela6[[#This Row],[DESCONTO]]</f>
        <v>304.5609</v>
      </c>
      <c r="L4948" s="53">
        <f>Tabela6[[#This Row],[CUSTO TOTAL]]/Tabela6[[#This Row],[CONSUMO]]</f>
        <v>6.0900000000000007</v>
      </c>
      <c r="M4948" s="53" t="e">
        <f t="array" ref="M4948">SE</f>
        <v>#NAME?</v>
      </c>
      <c r="N4948" s="49" t="e">
        <f>Tabela6[[#This Row],[KM Rodados ]]/Tabela6[[#This Row],[CONSUMO]]</f>
        <v>#NAME?</v>
      </c>
    </row>
    <row r="4949" spans="1:14" x14ac:dyDescent="0.25">
      <c r="A4949" s="47">
        <v>180854</v>
      </c>
      <c r="B4949" s="78">
        <v>45481</v>
      </c>
      <c r="C4949" s="47" t="s">
        <v>401</v>
      </c>
      <c r="D4949" s="49" t="s">
        <v>279</v>
      </c>
      <c r="E4949" s="47">
        <v>38805</v>
      </c>
      <c r="G4949" s="50" t="s">
        <v>89</v>
      </c>
      <c r="H4949" s="51">
        <v>70.921999999999997</v>
      </c>
      <c r="J4949" s="51">
        <v>5.64</v>
      </c>
      <c r="K4949" s="74">
        <f>Tabela6[[#This Row],[CONSUMO]]*Tabela6[[#This Row],[VALOR UNIT]]-Tabela6[[#This Row],[DESCONTO]]</f>
        <v>400.00007999999997</v>
      </c>
      <c r="L4949" s="53">
        <f>Tabela6[[#This Row],[CUSTO TOTAL]]/Tabela6[[#This Row],[CONSUMO]]</f>
        <v>5.64</v>
      </c>
      <c r="M4949" s="50">
        <f>Tabela6[[#This Row],[KM ATUAL]]-E4858</f>
        <v>17519</v>
      </c>
      <c r="N4949" s="51">
        <f>Tabela6[[#This Row],[KM Rodados ]]/Tabela6[[#This Row],[CONSUMO]]</f>
        <v>247.01785059642989</v>
      </c>
    </row>
    <row r="4950" spans="1:14" x14ac:dyDescent="0.25">
      <c r="A4950" s="47">
        <v>53967</v>
      </c>
      <c r="B4950" s="78">
        <v>45482</v>
      </c>
      <c r="C4950" s="47" t="s">
        <v>222</v>
      </c>
      <c r="D4950" s="49" t="s">
        <v>332</v>
      </c>
      <c r="E4950" s="47">
        <v>599811</v>
      </c>
      <c r="G4950" s="50" t="s">
        <v>89</v>
      </c>
      <c r="H4950" s="51">
        <v>430.00200000000001</v>
      </c>
      <c r="J4950" s="51">
        <v>5.85</v>
      </c>
      <c r="K4950" s="74">
        <f>Tabela6[[#This Row],[CONSUMO]]*Tabela6[[#This Row],[VALOR UNIT]]-Tabela6[[#This Row],[DESCONTO]]</f>
        <v>2515.5117</v>
      </c>
      <c r="L4950" s="53">
        <f>Tabela6[[#This Row],[CUSTO TOTAL]]/Tabela6[[#This Row],[CONSUMO]]</f>
        <v>5.85</v>
      </c>
      <c r="M4950" s="53" t="e">
        <f t="array" ref="M4950">SE</f>
        <v>#NAME?</v>
      </c>
      <c r="N4950" s="49" t="e">
        <f>Tabela6[[#This Row],[KM Rodados ]]/Tabela6[[#This Row],[CONSUMO]]</f>
        <v>#NAME?</v>
      </c>
    </row>
    <row r="4951" spans="1:14" x14ac:dyDescent="0.25">
      <c r="A4951" s="47" t="s">
        <v>530</v>
      </c>
      <c r="B4951" s="78">
        <v>45482</v>
      </c>
      <c r="C4951" s="47" t="s">
        <v>222</v>
      </c>
      <c r="D4951" s="49" t="s">
        <v>332</v>
      </c>
      <c r="E4951" s="47">
        <v>599811</v>
      </c>
      <c r="G4951" s="50" t="s">
        <v>241</v>
      </c>
      <c r="H4951" s="51">
        <v>36.018999999999998</v>
      </c>
      <c r="J4951" s="51">
        <v>2.99</v>
      </c>
      <c r="K4951" s="74">
        <f>Tabela6[[#This Row],[CONSUMO]]*Tabela6[[#This Row],[VALOR UNIT]]-Tabela6[[#This Row],[DESCONTO]]</f>
        <v>107.69681</v>
      </c>
      <c r="L4951" s="53">
        <f>Tabela6[[#This Row],[CUSTO TOTAL]]/Tabela6[[#This Row],[CONSUMO]]</f>
        <v>2.99</v>
      </c>
      <c r="M4951" s="53" t="e">
        <f t="array" ref="M4951">SE</f>
        <v>#NAME?</v>
      </c>
      <c r="N4951" s="49" t="e">
        <f>Tabela6[[#This Row],[KM Rodados ]]/Tabela6[[#This Row],[CONSUMO]]</f>
        <v>#NAME?</v>
      </c>
    </row>
    <row r="4952" spans="1:14" x14ac:dyDescent="0.25">
      <c r="A4952" s="47">
        <v>512575</v>
      </c>
      <c r="B4952" s="78">
        <v>45482</v>
      </c>
      <c r="C4952" s="47" t="s">
        <v>67</v>
      </c>
      <c r="D4952" s="49" t="s">
        <v>273</v>
      </c>
      <c r="E4952" s="47">
        <v>723445</v>
      </c>
      <c r="G4952" s="50" t="s">
        <v>89</v>
      </c>
      <c r="H4952" s="51">
        <v>135.99</v>
      </c>
      <c r="J4952" s="51">
        <v>5.75</v>
      </c>
      <c r="K4952" s="74">
        <f>Tabela6[[#This Row],[CONSUMO]]*Tabela6[[#This Row],[VALOR UNIT]]-Tabela6[[#This Row],[DESCONTO]]</f>
        <v>781.94250000000011</v>
      </c>
      <c r="L4952" s="53">
        <f>Tabela6[[#This Row],[CUSTO TOTAL]]/Tabela6[[#This Row],[CONSUMO]]</f>
        <v>5.75</v>
      </c>
      <c r="M4952" s="53" t="e">
        <f t="array" ref="M4952">SE</f>
        <v>#NAME?</v>
      </c>
      <c r="N4952" s="49" t="e">
        <f>Tabela6[[#This Row],[KM Rodados ]]/Tabela6[[#This Row],[CONSUMO]]</f>
        <v>#NAME?</v>
      </c>
    </row>
    <row r="4953" spans="1:14" x14ac:dyDescent="0.25">
      <c r="A4953" s="47">
        <v>276160</v>
      </c>
      <c r="B4953" s="78">
        <v>45482</v>
      </c>
      <c r="C4953" s="47" t="s">
        <v>14</v>
      </c>
      <c r="D4953" s="49" t="s">
        <v>262</v>
      </c>
      <c r="E4953" s="47">
        <v>838076</v>
      </c>
      <c r="G4953" s="50" t="s">
        <v>244</v>
      </c>
      <c r="H4953" s="51">
        <v>41.55</v>
      </c>
      <c r="J4953" s="51">
        <v>5.69</v>
      </c>
      <c r="K4953" s="74">
        <f>Tabela6[[#This Row],[CONSUMO]]*Tabela6[[#This Row],[VALOR UNIT]]-Tabela6[[#This Row],[DESCONTO]]</f>
        <v>236.4195</v>
      </c>
      <c r="L4953" s="53">
        <f>Tabela6[[#This Row],[CUSTO TOTAL]]/Tabela6[[#This Row],[CONSUMO]]</f>
        <v>5.69</v>
      </c>
      <c r="M4953" s="50">
        <f>Tabela6[[#This Row],[KM ATUAL]]-E4853</f>
        <v>-273297</v>
      </c>
      <c r="N4953" s="51">
        <f>Tabela6[[#This Row],[KM Rodados ]]/Tabela6[[#This Row],[CONSUMO]]</f>
        <v>-6577.5451263537907</v>
      </c>
    </row>
    <row r="4954" spans="1:14" x14ac:dyDescent="0.25">
      <c r="A4954" s="47">
        <v>224627</v>
      </c>
      <c r="B4954" s="78">
        <v>45483</v>
      </c>
      <c r="C4954" s="47" t="s">
        <v>43</v>
      </c>
      <c r="D4954" s="49" t="s">
        <v>263</v>
      </c>
      <c r="E4954" s="47">
        <v>196547</v>
      </c>
      <c r="G4954" s="50" t="s">
        <v>89</v>
      </c>
      <c r="H4954" s="51">
        <v>26.271000000000001</v>
      </c>
      <c r="I4954" s="49">
        <v>3.94</v>
      </c>
      <c r="J4954" s="51">
        <v>5.99</v>
      </c>
      <c r="K4954" s="74">
        <f>Tabela6[[#This Row],[CONSUMO]]*Tabela6[[#This Row],[VALOR UNIT]]-Tabela6[[#This Row],[DESCONTO]]</f>
        <v>153.42329000000001</v>
      </c>
      <c r="L4954" s="53">
        <f>Tabela6[[#This Row],[CUSTO TOTAL]]/Tabela6[[#This Row],[CONSUMO]]</f>
        <v>5.8400247421110736</v>
      </c>
      <c r="M4954" s="50">
        <f>Tabela6[[#This Row],[KM ATUAL]]-E4850</f>
        <v>-84719</v>
      </c>
      <c r="N4954" s="51">
        <f>Tabela6[[#This Row],[KM Rodados ]]/Tabela6[[#This Row],[CONSUMO]]</f>
        <v>-3224.8106276883254</v>
      </c>
    </row>
    <row r="4955" spans="1:14" x14ac:dyDescent="0.25">
      <c r="A4955" s="47">
        <v>274591</v>
      </c>
      <c r="B4955" s="78">
        <v>45483</v>
      </c>
      <c r="C4955" s="47" t="s">
        <v>394</v>
      </c>
      <c r="D4955" s="49" t="s">
        <v>253</v>
      </c>
      <c r="E4955" s="47">
        <v>182122</v>
      </c>
      <c r="G4955" s="50" t="s">
        <v>89</v>
      </c>
      <c r="H4955" s="51">
        <v>534.09</v>
      </c>
      <c r="J4955" s="51">
        <v>6.09</v>
      </c>
      <c r="K4955" s="74">
        <f>Tabela6[[#This Row],[CONSUMO]]*Tabela6[[#This Row],[VALOR UNIT]]-Tabela6[[#This Row],[DESCONTO]]</f>
        <v>3252.6080999999999</v>
      </c>
      <c r="L4955" s="53">
        <f>Tabela6[[#This Row],[CUSTO TOTAL]]/Tabela6[[#This Row],[CONSUMO]]</f>
        <v>6.09</v>
      </c>
      <c r="M4955" s="53" t="e">
        <f t="array" ref="M4955">SE</f>
        <v>#NAME?</v>
      </c>
      <c r="N4955" s="49" t="e">
        <f>Tabela6[[#This Row],[KM Rodados ]]/Tabela6[[#This Row],[CONSUMO]]</f>
        <v>#NAME?</v>
      </c>
    </row>
    <row r="4956" spans="1:14" x14ac:dyDescent="0.25">
      <c r="A4956" s="47">
        <v>274591</v>
      </c>
      <c r="B4956" s="78">
        <v>45483</v>
      </c>
      <c r="C4956" s="47" t="s">
        <v>394</v>
      </c>
      <c r="D4956" s="49" t="s">
        <v>253</v>
      </c>
      <c r="E4956" s="47">
        <v>182122</v>
      </c>
      <c r="G4956" s="50" t="s">
        <v>241</v>
      </c>
      <c r="H4956" s="51">
        <v>41.011000000000003</v>
      </c>
      <c r="J4956" s="51">
        <v>3.49</v>
      </c>
      <c r="K4956" s="74">
        <f>Tabela6[[#This Row],[CONSUMO]]*Tabela6[[#This Row],[VALOR UNIT]]-Tabela6[[#This Row],[DESCONTO]]</f>
        <v>143.12839000000002</v>
      </c>
      <c r="L4956" s="53">
        <f>Tabela6[[#This Row],[CUSTO TOTAL]]/Tabela6[[#This Row],[CONSUMO]]</f>
        <v>3.49</v>
      </c>
      <c r="M4956" s="53" t="e">
        <f t="array" ref="M4956">SE</f>
        <v>#NAME?</v>
      </c>
      <c r="N4956" s="49" t="e">
        <f>Tabela6[[#This Row],[KM Rodados ]]/Tabela6[[#This Row],[CONSUMO]]</f>
        <v>#NAME?</v>
      </c>
    </row>
    <row r="4957" spans="1:14" x14ac:dyDescent="0.25">
      <c r="A4957" s="47">
        <v>415396</v>
      </c>
      <c r="B4957" s="78">
        <v>45483</v>
      </c>
      <c r="C4957" s="47" t="s">
        <v>203</v>
      </c>
      <c r="D4957" s="49" t="s">
        <v>276</v>
      </c>
      <c r="E4957" s="47">
        <v>172975</v>
      </c>
      <c r="G4957" s="50" t="s">
        <v>244</v>
      </c>
      <c r="H4957" s="51">
        <v>41.24</v>
      </c>
      <c r="J4957" s="51">
        <v>5.99</v>
      </c>
      <c r="K4957" s="74">
        <f>Tabela6[[#This Row],[CONSUMO]]*Tabela6[[#This Row],[VALOR UNIT]]-Tabela6[[#This Row],[DESCONTO]]</f>
        <v>247.02760000000001</v>
      </c>
      <c r="L4957" s="53">
        <f>Tabela6[[#This Row],[CUSTO TOTAL]]/Tabela6[[#This Row],[CONSUMO]]</f>
        <v>5.99</v>
      </c>
      <c r="M4957" s="53" t="e">
        <f t="array" ref="M4957">SE</f>
        <v>#NAME?</v>
      </c>
      <c r="N4957" s="49" t="e">
        <f>Tabela6[[#This Row],[KM Rodados ]]/Tabela6[[#This Row],[CONSUMO]]</f>
        <v>#NAME?</v>
      </c>
    </row>
    <row r="4958" spans="1:14" x14ac:dyDescent="0.25">
      <c r="A4958" s="47">
        <v>274591</v>
      </c>
      <c r="B4958" s="78">
        <v>45483</v>
      </c>
      <c r="C4958" s="47" t="s">
        <v>71</v>
      </c>
      <c r="D4958" s="49" t="s">
        <v>253</v>
      </c>
      <c r="E4958" s="47">
        <v>182122</v>
      </c>
      <c r="G4958" s="50" t="s">
        <v>89</v>
      </c>
      <c r="H4958" s="51">
        <v>534.09</v>
      </c>
      <c r="J4958" s="51">
        <v>6.09</v>
      </c>
      <c r="K4958" s="74">
        <f>Tabela6[[#This Row],[CONSUMO]]*Tabela6[[#This Row],[VALOR UNIT]]-Tabela6[[#This Row],[DESCONTO]]</f>
        <v>3252.6080999999999</v>
      </c>
      <c r="L4958" s="53">
        <f>Tabela6[[#This Row],[CUSTO TOTAL]]/Tabela6[[#This Row],[CONSUMO]]</f>
        <v>6.09</v>
      </c>
      <c r="M4958" s="53" t="e">
        <f t="array" ref="M4958">SE</f>
        <v>#NAME?</v>
      </c>
      <c r="N4958" s="49" t="e">
        <f>Tabela6[[#This Row],[KM Rodados ]]/Tabela6[[#This Row],[CONSUMO]]</f>
        <v>#NAME?</v>
      </c>
    </row>
    <row r="4959" spans="1:14" x14ac:dyDescent="0.25">
      <c r="A4959" s="47">
        <v>274591</v>
      </c>
      <c r="B4959" s="78">
        <v>45483</v>
      </c>
      <c r="C4959" s="47" t="s">
        <v>71</v>
      </c>
      <c r="D4959" s="49" t="s">
        <v>253</v>
      </c>
      <c r="E4959" s="47">
        <v>182122</v>
      </c>
      <c r="G4959" s="50" t="s">
        <v>241</v>
      </c>
      <c r="H4959" s="51">
        <v>41.011000000000003</v>
      </c>
      <c r="J4959" s="51">
        <v>3.49</v>
      </c>
      <c r="K4959" s="74">
        <f>Tabela6[[#This Row],[CONSUMO]]*Tabela6[[#This Row],[VALOR UNIT]]-Tabela6[[#This Row],[DESCONTO]]</f>
        <v>143.12839000000002</v>
      </c>
      <c r="L4959" s="53">
        <f>Tabela6[[#This Row],[CUSTO TOTAL]]/Tabela6[[#This Row],[CONSUMO]]</f>
        <v>3.49</v>
      </c>
      <c r="M4959" s="53" t="e">
        <f t="array" ref="M4959">SE</f>
        <v>#NAME?</v>
      </c>
      <c r="N4959" s="49" t="e">
        <f>Tabela6[[#This Row],[KM Rodados ]]/Tabela6[[#This Row],[CONSUMO]]</f>
        <v>#NAME?</v>
      </c>
    </row>
    <row r="4960" spans="1:14" x14ac:dyDescent="0.25">
      <c r="A4960" s="47">
        <v>181564</v>
      </c>
      <c r="B4960" s="78">
        <v>45483</v>
      </c>
      <c r="C4960" s="47" t="s">
        <v>10</v>
      </c>
      <c r="D4960" s="49" t="s">
        <v>279</v>
      </c>
      <c r="E4960" s="47">
        <v>771883</v>
      </c>
      <c r="G4960" s="50" t="s">
        <v>89</v>
      </c>
      <c r="H4960" s="51">
        <v>184.31100000000001</v>
      </c>
      <c r="J4960" s="51">
        <v>5.64</v>
      </c>
      <c r="K4960" s="74">
        <f>Tabela6[[#This Row],[CONSUMO]]*Tabela6[[#This Row],[VALOR UNIT]]-Tabela6[[#This Row],[DESCONTO]]</f>
        <v>1039.51404</v>
      </c>
      <c r="L4960" s="53">
        <f>Tabela6[[#This Row],[CUSTO TOTAL]]/Tabela6[[#This Row],[CONSUMO]]</f>
        <v>5.64</v>
      </c>
      <c r="M4960" s="53" t="e">
        <f t="array" ref="M4960">SE</f>
        <v>#NAME?</v>
      </c>
      <c r="N4960" s="49" t="e">
        <f>Tabela6[[#This Row],[KM Rodados ]]/Tabela6[[#This Row],[CONSUMO]]</f>
        <v>#NAME?</v>
      </c>
    </row>
    <row r="4961" spans="1:14" x14ac:dyDescent="0.25">
      <c r="A4961" s="47">
        <v>181563</v>
      </c>
      <c r="B4961" s="78">
        <v>45483</v>
      </c>
      <c r="C4961" s="47" t="s">
        <v>13</v>
      </c>
      <c r="D4961" s="49" t="s">
        <v>279</v>
      </c>
      <c r="E4961" s="47">
        <v>693195</v>
      </c>
      <c r="G4961" s="50" t="s">
        <v>89</v>
      </c>
      <c r="H4961" s="51">
        <v>133.70099999999999</v>
      </c>
      <c r="J4961" s="51">
        <v>5.64</v>
      </c>
      <c r="K4961" s="74">
        <f>Tabela6[[#This Row],[CONSUMO]]*Tabela6[[#This Row],[VALOR UNIT]]-Tabela6[[#This Row],[DESCONTO]]</f>
        <v>754.07363999999995</v>
      </c>
      <c r="L4961" s="53">
        <f>Tabela6[[#This Row],[CUSTO TOTAL]]/Tabela6[[#This Row],[CONSUMO]]</f>
        <v>5.64</v>
      </c>
      <c r="M4961" s="53" t="e">
        <f t="array" ref="M4961">SE</f>
        <v>#NAME?</v>
      </c>
      <c r="N4961" s="49" t="e">
        <f>Tabela6[[#This Row],[KM Rodados ]]/Tabela6[[#This Row],[CONSUMO]]</f>
        <v>#NAME?</v>
      </c>
    </row>
    <row r="4962" spans="1:14" x14ac:dyDescent="0.25">
      <c r="A4962" s="47">
        <v>28101</v>
      </c>
      <c r="B4962" s="78">
        <v>45483</v>
      </c>
      <c r="C4962" s="47" t="s">
        <v>18</v>
      </c>
      <c r="D4962" s="49" t="s">
        <v>255</v>
      </c>
      <c r="E4962" s="47">
        <v>366214</v>
      </c>
      <c r="G4962" s="50" t="s">
        <v>89</v>
      </c>
      <c r="H4962" s="51">
        <v>60.521000000000001</v>
      </c>
      <c r="J4962" s="51">
        <v>6.09</v>
      </c>
      <c r="K4962" s="74">
        <f>Tabela6[[#This Row],[CONSUMO]]*Tabela6[[#This Row],[VALOR UNIT]]-Tabela6[[#This Row],[DESCONTO]]</f>
        <v>368.57288999999997</v>
      </c>
      <c r="L4962" s="53">
        <f>Tabela6[[#This Row],[CUSTO TOTAL]]/Tabela6[[#This Row],[CONSUMO]]</f>
        <v>6.09</v>
      </c>
      <c r="M4962" s="53" t="e">
        <f t="array" ref="M4962">SE</f>
        <v>#NAME?</v>
      </c>
      <c r="N4962" s="49" t="e">
        <f>Tabela6[[#This Row],[KM Rodados ]]/Tabela6[[#This Row],[CONSUMO]]</f>
        <v>#NAME?</v>
      </c>
    </row>
    <row r="4963" spans="1:14" x14ac:dyDescent="0.25">
      <c r="A4963" s="47">
        <v>7394</v>
      </c>
      <c r="B4963" s="78">
        <v>45483</v>
      </c>
      <c r="C4963" s="47" t="s">
        <v>19</v>
      </c>
      <c r="D4963" s="49" t="s">
        <v>324</v>
      </c>
      <c r="E4963" s="47">
        <v>387315</v>
      </c>
      <c r="G4963" s="50" t="s">
        <v>241</v>
      </c>
      <c r="H4963" s="51">
        <v>21.76</v>
      </c>
      <c r="J4963" s="51">
        <v>2.99</v>
      </c>
      <c r="K4963" s="74">
        <f>Tabela6[[#This Row],[CONSUMO]]*Tabela6[[#This Row],[VALOR UNIT]]-Tabela6[[#This Row],[DESCONTO]]</f>
        <v>65.062400000000011</v>
      </c>
      <c r="L4963" s="53">
        <f>Tabela6[[#This Row],[CUSTO TOTAL]]/Tabela6[[#This Row],[CONSUMO]]</f>
        <v>2.99</v>
      </c>
      <c r="M4963" s="53" t="e">
        <f t="array" ref="M4963">SE</f>
        <v>#NAME?</v>
      </c>
      <c r="N4963" s="49" t="e">
        <f>Tabela6[[#This Row],[KM Rodados ]]/Tabela6[[#This Row],[CONSUMO]]</f>
        <v>#NAME?</v>
      </c>
    </row>
    <row r="4964" spans="1:14" x14ac:dyDescent="0.25">
      <c r="A4964" s="47">
        <v>274716</v>
      </c>
      <c r="B4964" s="78">
        <v>45483</v>
      </c>
      <c r="C4964" s="47" t="s">
        <v>315</v>
      </c>
      <c r="D4964" s="49" t="s">
        <v>253</v>
      </c>
      <c r="E4964" s="47">
        <v>37160</v>
      </c>
      <c r="G4964" s="50" t="s">
        <v>241</v>
      </c>
      <c r="H4964" s="51">
        <v>5</v>
      </c>
      <c r="J4964" s="51">
        <v>3.49</v>
      </c>
      <c r="K4964" s="74">
        <f>Tabela6[[#This Row],[CONSUMO]]*Tabela6[[#This Row],[VALOR UNIT]]-Tabela6[[#This Row],[DESCONTO]]</f>
        <v>17.450000000000003</v>
      </c>
      <c r="L4964" s="53">
        <f>Tabela6[[#This Row],[CUSTO TOTAL]]/Tabela6[[#This Row],[CONSUMO]]</f>
        <v>3.4900000000000007</v>
      </c>
      <c r="M4964" s="53" t="e">
        <f t="array" ref="M4964">SE</f>
        <v>#NAME?</v>
      </c>
      <c r="N4964" s="49" t="e">
        <f>Tabela6[[#This Row],[KM Rodados ]]/Tabela6[[#This Row],[CONSUMO]]</f>
        <v>#NAME?</v>
      </c>
    </row>
    <row r="4965" spans="1:14" x14ac:dyDescent="0.25">
      <c r="A4965" s="47">
        <v>952653</v>
      </c>
      <c r="B4965" s="78">
        <v>45483</v>
      </c>
      <c r="C4965" s="47" t="s">
        <v>401</v>
      </c>
      <c r="D4965" s="49" t="s">
        <v>357</v>
      </c>
      <c r="E4965" s="47">
        <v>39555</v>
      </c>
      <c r="G4965" s="50" t="s">
        <v>89</v>
      </c>
      <c r="H4965" s="51">
        <v>67.8</v>
      </c>
      <c r="J4965" s="51">
        <v>5.9</v>
      </c>
      <c r="K4965" s="74">
        <f>Tabela6[[#This Row],[CONSUMO]]*Tabela6[[#This Row],[VALOR UNIT]]-Tabela6[[#This Row],[DESCONTO]]</f>
        <v>400.02</v>
      </c>
      <c r="L4965" s="53">
        <f>Tabela6[[#This Row],[CUSTO TOTAL]]/Tabela6[[#This Row],[CONSUMO]]</f>
        <v>5.9</v>
      </c>
      <c r="M4965" s="53" t="e">
        <f t="array" ref="M4965">SE</f>
        <v>#NAME?</v>
      </c>
      <c r="N4965" s="49" t="e">
        <f>Tabela6[[#This Row],[KM Rodados ]]/Tabela6[[#This Row],[CONSUMO]]</f>
        <v>#NAME?</v>
      </c>
    </row>
    <row r="4966" spans="1:14" x14ac:dyDescent="0.25">
      <c r="A4966" s="47">
        <v>81014</v>
      </c>
      <c r="B4966" s="78">
        <v>45484</v>
      </c>
      <c r="C4966" s="47" t="s">
        <v>358</v>
      </c>
      <c r="D4966" s="49" t="s">
        <v>374</v>
      </c>
      <c r="E4966" s="47">
        <v>868370</v>
      </c>
      <c r="G4966" s="50" t="s">
        <v>89</v>
      </c>
      <c r="H4966" s="51">
        <v>478</v>
      </c>
      <c r="J4966" s="51">
        <v>5.79</v>
      </c>
      <c r="K4966" s="74">
        <f>Tabela6[[#This Row],[CONSUMO]]*Tabela6[[#This Row],[VALOR UNIT]]-Tabela6[[#This Row],[DESCONTO]]</f>
        <v>2767.62</v>
      </c>
      <c r="L4966" s="53">
        <f>Tabela6[[#This Row],[CUSTO TOTAL]]/Tabela6[[#This Row],[CONSUMO]]</f>
        <v>5.79</v>
      </c>
      <c r="M4966" s="53" t="e">
        <f t="array" ref="M4966">SE</f>
        <v>#NAME?</v>
      </c>
      <c r="N4966" s="49" t="e">
        <f>Tabela6[[#This Row],[KM Rodados ]]/Tabela6[[#This Row],[CONSUMO]]</f>
        <v>#NAME?</v>
      </c>
    </row>
    <row r="4967" spans="1:14" x14ac:dyDescent="0.25">
      <c r="A4967" s="47">
        <v>75881</v>
      </c>
      <c r="B4967" s="78">
        <v>45484</v>
      </c>
      <c r="C4967" s="47" t="s">
        <v>222</v>
      </c>
      <c r="E4967" s="47">
        <v>600296</v>
      </c>
      <c r="G4967" s="50" t="s">
        <v>89</v>
      </c>
      <c r="H4967" s="51">
        <v>350.42</v>
      </c>
      <c r="J4967" s="51">
        <v>6.16</v>
      </c>
      <c r="K4967" s="74">
        <f>Tabela6[[#This Row],[CONSUMO]]*Tabela6[[#This Row],[VALOR UNIT]]-Tabela6[[#This Row],[DESCONTO]]</f>
        <v>2158.5871999999999</v>
      </c>
      <c r="L4967" s="53">
        <f>Tabela6[[#This Row],[CUSTO TOTAL]]/Tabela6[[#This Row],[CONSUMO]]</f>
        <v>6.1599999999999993</v>
      </c>
      <c r="M4967" s="53" t="e">
        <f t="array" ref="M4967">SE</f>
        <v>#NAME?</v>
      </c>
      <c r="N4967" s="49" t="e">
        <f>Tabela6[[#This Row],[KM Rodados ]]/Tabela6[[#This Row],[CONSUMO]]</f>
        <v>#NAME?</v>
      </c>
    </row>
    <row r="4968" spans="1:14" x14ac:dyDescent="0.25">
      <c r="A4968" s="47">
        <v>283153</v>
      </c>
      <c r="B4968" s="78">
        <v>45484</v>
      </c>
      <c r="C4968" s="47" t="s">
        <v>70</v>
      </c>
      <c r="D4968" s="49" t="s">
        <v>374</v>
      </c>
      <c r="E4968" s="47">
        <v>294797</v>
      </c>
      <c r="G4968" s="50" t="s">
        <v>89</v>
      </c>
      <c r="H4968" s="51">
        <v>477.01100000000002</v>
      </c>
      <c r="J4968" s="51">
        <v>5.79</v>
      </c>
      <c r="K4968" s="74">
        <f>Tabela6[[#This Row],[CONSUMO]]*Tabela6[[#This Row],[VALOR UNIT]]-Tabela6[[#This Row],[DESCONTO]]</f>
        <v>2761.8936900000003</v>
      </c>
      <c r="L4968" s="53">
        <f>Tabela6[[#This Row],[CUSTO TOTAL]]/Tabela6[[#This Row],[CONSUMO]]</f>
        <v>5.79</v>
      </c>
      <c r="M4968" s="53" t="e">
        <f t="array" ref="M4968">SE</f>
        <v>#NAME?</v>
      </c>
      <c r="N4968" s="49" t="e">
        <f>Tabela6[[#This Row],[KM Rodados ]]/Tabela6[[#This Row],[CONSUMO]]</f>
        <v>#NAME?</v>
      </c>
    </row>
    <row r="4969" spans="1:14" x14ac:dyDescent="0.25">
      <c r="A4969" s="47">
        <v>415612</v>
      </c>
      <c r="B4969" s="78">
        <v>45484</v>
      </c>
      <c r="C4969" s="47" t="s">
        <v>203</v>
      </c>
      <c r="D4969" s="49" t="s">
        <v>276</v>
      </c>
      <c r="E4969" s="47">
        <v>1733308</v>
      </c>
      <c r="G4969" s="50" t="s">
        <v>244</v>
      </c>
      <c r="H4969" s="51">
        <v>25.509</v>
      </c>
      <c r="J4969" s="51">
        <v>5.99</v>
      </c>
      <c r="K4969" s="74">
        <f>Tabela6[[#This Row],[CONSUMO]]*Tabela6[[#This Row],[VALOR UNIT]]-Tabela6[[#This Row],[DESCONTO]]</f>
        <v>152.79891000000001</v>
      </c>
      <c r="L4969" s="53">
        <f>Tabela6[[#This Row],[CUSTO TOTAL]]/Tabela6[[#This Row],[CONSUMO]]</f>
        <v>5.99</v>
      </c>
      <c r="M4969" s="53" t="e">
        <f t="array" ref="M4969">SE</f>
        <v>#NAME?</v>
      </c>
      <c r="N4969" s="49" t="e">
        <f>Tabela6[[#This Row],[KM Rodados ]]/Tabela6[[#This Row],[CONSUMO]]</f>
        <v>#NAME?</v>
      </c>
    </row>
    <row r="4970" spans="1:14" x14ac:dyDescent="0.25">
      <c r="A4970" s="47">
        <v>415801</v>
      </c>
      <c r="B4970" s="78">
        <v>45484</v>
      </c>
      <c r="C4970" s="47" t="s">
        <v>203</v>
      </c>
      <c r="D4970" s="49" t="s">
        <v>276</v>
      </c>
      <c r="E4970" s="47">
        <v>173631</v>
      </c>
      <c r="G4970" s="50" t="s">
        <v>244</v>
      </c>
      <c r="H4970" s="51">
        <v>24.91</v>
      </c>
      <c r="J4970" s="51">
        <v>5.99</v>
      </c>
      <c r="K4970" s="74">
        <f>Tabela6[[#This Row],[CONSUMO]]*Tabela6[[#This Row],[VALOR UNIT]]-Tabela6[[#This Row],[DESCONTO]]</f>
        <v>149.21090000000001</v>
      </c>
      <c r="L4970" s="53">
        <f>Tabela6[[#This Row],[CUSTO TOTAL]]/Tabela6[[#This Row],[CONSUMO]]</f>
        <v>5.99</v>
      </c>
      <c r="M4970" s="53" t="e">
        <f t="array" ref="M4970">SE</f>
        <v>#NAME?</v>
      </c>
      <c r="N4970" s="49" t="e">
        <f>Tabela6[[#This Row],[KM Rodados ]]/Tabela6[[#This Row],[CONSUMO]]</f>
        <v>#NAME?</v>
      </c>
    </row>
    <row r="4971" spans="1:14" x14ac:dyDescent="0.25">
      <c r="A4971" s="47">
        <v>280040</v>
      </c>
      <c r="B4971" s="78">
        <v>45484</v>
      </c>
      <c r="C4971" s="47" t="s">
        <v>23</v>
      </c>
      <c r="D4971" s="49" t="s">
        <v>253</v>
      </c>
      <c r="E4971" s="47">
        <v>287154</v>
      </c>
      <c r="G4971" s="50" t="s">
        <v>241</v>
      </c>
      <c r="H4971" s="51">
        <v>10</v>
      </c>
      <c r="J4971" s="51">
        <v>3.49</v>
      </c>
      <c r="K4971" s="74">
        <f>Tabela6[[#This Row],[CONSUMO]]*Tabela6[[#This Row],[VALOR UNIT]]-Tabela6[[#This Row],[DESCONTO]]</f>
        <v>34.900000000000006</v>
      </c>
      <c r="L4971" s="53">
        <f>Tabela6[[#This Row],[CUSTO TOTAL]]/Tabela6[[#This Row],[CONSUMO]]</f>
        <v>3.4900000000000007</v>
      </c>
      <c r="M4971" s="53" t="e">
        <f t="array" ref="M4971">SE</f>
        <v>#NAME?</v>
      </c>
      <c r="N4971" s="49" t="e">
        <f>Tabela6[[#This Row],[KM Rodados ]]/Tabela6[[#This Row],[CONSUMO]]</f>
        <v>#NAME?</v>
      </c>
    </row>
    <row r="4972" spans="1:14" x14ac:dyDescent="0.25">
      <c r="A4972" s="47">
        <v>807193</v>
      </c>
      <c r="B4972" s="78">
        <v>45484</v>
      </c>
      <c r="C4972" s="47" t="s">
        <v>23</v>
      </c>
      <c r="D4972" s="49" t="s">
        <v>271</v>
      </c>
      <c r="E4972" s="47">
        <v>283963</v>
      </c>
      <c r="G4972" s="50" t="s">
        <v>89</v>
      </c>
      <c r="H4972" s="51">
        <v>126.17100000000001</v>
      </c>
      <c r="J4972" s="51">
        <v>5.75</v>
      </c>
      <c r="K4972" s="74">
        <f>Tabela6[[#This Row],[CONSUMO]]*Tabela6[[#This Row],[VALOR UNIT]]-Tabela6[[#This Row],[DESCONTO]]</f>
        <v>725.48325</v>
      </c>
      <c r="L4972" s="53">
        <f>Tabela6[[#This Row],[CUSTO TOTAL]]/Tabela6[[#This Row],[CONSUMO]]</f>
        <v>5.75</v>
      </c>
      <c r="M4972" s="53" t="e">
        <f t="array" ref="M4972">SE</f>
        <v>#NAME?</v>
      </c>
      <c r="N4972" s="49" t="e">
        <f>Tabela6[[#This Row],[KM Rodados ]]/Tabela6[[#This Row],[CONSUMO]]</f>
        <v>#NAME?</v>
      </c>
    </row>
    <row r="4973" spans="1:14" x14ac:dyDescent="0.25">
      <c r="A4973" s="47">
        <v>275615</v>
      </c>
      <c r="B4973" s="78">
        <v>45484</v>
      </c>
      <c r="C4973" s="47" t="s">
        <v>23</v>
      </c>
      <c r="D4973" s="49" t="s">
        <v>253</v>
      </c>
      <c r="E4973" s="47">
        <v>284142</v>
      </c>
      <c r="G4973" s="50" t="s">
        <v>241</v>
      </c>
      <c r="H4973" s="51">
        <v>24</v>
      </c>
      <c r="J4973" s="51">
        <v>3.49</v>
      </c>
      <c r="K4973" s="74">
        <f>Tabela6[[#This Row],[CONSUMO]]*Tabela6[[#This Row],[VALOR UNIT]]-Tabela6[[#This Row],[DESCONTO]]</f>
        <v>83.76</v>
      </c>
      <c r="L4973" s="53">
        <f>Tabela6[[#This Row],[CUSTO TOTAL]]/Tabela6[[#This Row],[CONSUMO]]</f>
        <v>3.49</v>
      </c>
      <c r="M4973" s="53" t="e">
        <f t="array" ref="M4973">SE</f>
        <v>#NAME?</v>
      </c>
      <c r="N4973" s="49" t="e">
        <f>Tabela6[[#This Row],[KM Rodados ]]/Tabela6[[#This Row],[CONSUMO]]</f>
        <v>#NAME?</v>
      </c>
    </row>
    <row r="4974" spans="1:14" x14ac:dyDescent="0.25">
      <c r="A4974" s="47">
        <v>276665</v>
      </c>
      <c r="B4974" s="78">
        <v>45484</v>
      </c>
      <c r="C4974" s="47" t="s">
        <v>40</v>
      </c>
      <c r="D4974" s="49" t="s">
        <v>262</v>
      </c>
      <c r="E4974" s="47">
        <v>213203</v>
      </c>
      <c r="G4974" s="50" t="s">
        <v>244</v>
      </c>
      <c r="H4974" s="51">
        <v>43.18</v>
      </c>
      <c r="J4974" s="51">
        <v>5.89</v>
      </c>
      <c r="K4974" s="74">
        <f>Tabela6[[#This Row],[CONSUMO]]*Tabela6[[#This Row],[VALOR UNIT]]-Tabela6[[#This Row],[DESCONTO]]</f>
        <v>254.33019999999999</v>
      </c>
      <c r="L4974" s="53">
        <f>Tabela6[[#This Row],[CUSTO TOTAL]]/Tabela6[[#This Row],[CONSUMO]]</f>
        <v>5.89</v>
      </c>
      <c r="M4974" s="50">
        <f>Tabela6[[#This Row],[KM ATUAL]]-E4855</f>
        <v>-507317</v>
      </c>
      <c r="N4974" s="51">
        <f>Tabela6[[#This Row],[KM Rodados ]]/Tabela6[[#This Row],[CONSUMO]]</f>
        <v>-11748.888374247337</v>
      </c>
    </row>
    <row r="4975" spans="1:14" x14ac:dyDescent="0.25">
      <c r="A4975" s="47">
        <v>415750</v>
      </c>
      <c r="B4975" s="78">
        <v>45484</v>
      </c>
      <c r="C4975" s="47" t="s">
        <v>446</v>
      </c>
      <c r="D4975" s="49" t="s">
        <v>276</v>
      </c>
      <c r="E4975" s="47">
        <v>25574</v>
      </c>
      <c r="G4975" s="50" t="s">
        <v>241</v>
      </c>
      <c r="H4975" s="51">
        <v>10.007999999999999</v>
      </c>
      <c r="J4975" s="51">
        <v>3.69</v>
      </c>
      <c r="K4975" s="74">
        <f>Tabela6[[#This Row],[CONSUMO]]*Tabela6[[#This Row],[VALOR UNIT]]-Tabela6[[#This Row],[DESCONTO]]</f>
        <v>36.929519999999997</v>
      </c>
      <c r="L4975" s="53">
        <f>Tabela6[[#This Row],[CUSTO TOTAL]]/Tabela6[[#This Row],[CONSUMO]]</f>
        <v>3.69</v>
      </c>
      <c r="M4975" s="53" t="e">
        <f t="array" ref="M4975">SE</f>
        <v>#NAME?</v>
      </c>
      <c r="N4975" s="49" t="e">
        <f>Tabela6[[#This Row],[KM Rodados ]]/Tabela6[[#This Row],[CONSUMO]]</f>
        <v>#NAME?</v>
      </c>
    </row>
    <row r="4976" spans="1:14" x14ac:dyDescent="0.25">
      <c r="A4976" s="47">
        <v>680970</v>
      </c>
      <c r="B4976" s="78">
        <v>45485</v>
      </c>
      <c r="C4976" s="47" t="s">
        <v>222</v>
      </c>
      <c r="D4976" s="49" t="s">
        <v>378</v>
      </c>
      <c r="E4976" s="47">
        <v>601335</v>
      </c>
      <c r="G4976" s="50" t="s">
        <v>241</v>
      </c>
      <c r="H4976" s="51">
        <v>28.52</v>
      </c>
      <c r="J4976" s="51">
        <v>2.99</v>
      </c>
      <c r="K4976" s="74">
        <f>Tabela6[[#This Row],[CONSUMO]]*Tabela6[[#This Row],[VALOR UNIT]]-Tabela6[[#This Row],[DESCONTO]]</f>
        <v>85.274799999999999</v>
      </c>
      <c r="L4976" s="53">
        <f>Tabela6[[#This Row],[CUSTO TOTAL]]/Tabela6[[#This Row],[CONSUMO]]</f>
        <v>2.99</v>
      </c>
      <c r="M4976" s="53" t="e">
        <f t="array" ref="M4976">SE</f>
        <v>#NAME?</v>
      </c>
      <c r="N4976" s="49" t="e">
        <f>Tabela6[[#This Row],[KM Rodados ]]/Tabela6[[#This Row],[CONSUMO]]</f>
        <v>#NAME?</v>
      </c>
    </row>
    <row r="4977" spans="1:14" x14ac:dyDescent="0.25">
      <c r="A4977" s="47">
        <v>680967</v>
      </c>
      <c r="B4977" s="78">
        <v>45485</v>
      </c>
      <c r="C4977" s="47" t="s">
        <v>222</v>
      </c>
      <c r="D4977" s="49" t="s">
        <v>378</v>
      </c>
      <c r="E4977" s="47">
        <v>601335</v>
      </c>
      <c r="G4977" s="50" t="s">
        <v>89</v>
      </c>
      <c r="H4977" s="51">
        <v>341.00099999999998</v>
      </c>
      <c r="J4977" s="51">
        <v>5.75</v>
      </c>
      <c r="K4977" s="74">
        <f>Tabela6[[#This Row],[CONSUMO]]*Tabela6[[#This Row],[VALOR UNIT]]-Tabela6[[#This Row],[DESCONTO]]</f>
        <v>1960.7557499999998</v>
      </c>
      <c r="L4977" s="53">
        <f>Tabela6[[#This Row],[CUSTO TOTAL]]/Tabela6[[#This Row],[CONSUMO]]</f>
        <v>5.75</v>
      </c>
      <c r="M4977" s="53" t="e">
        <f t="array" ref="M4977">SE</f>
        <v>#NAME?</v>
      </c>
      <c r="N4977" s="49" t="e">
        <f>Tabela6[[#This Row],[KM Rodados ]]/Tabela6[[#This Row],[CONSUMO]]</f>
        <v>#NAME?</v>
      </c>
    </row>
    <row r="4978" spans="1:14" x14ac:dyDescent="0.25">
      <c r="A4978" s="47">
        <v>11126</v>
      </c>
      <c r="B4978" s="78">
        <v>45485</v>
      </c>
      <c r="C4978" s="47" t="s">
        <v>10</v>
      </c>
      <c r="D4978" s="49" t="s">
        <v>400</v>
      </c>
      <c r="E4978" s="47">
        <v>772638</v>
      </c>
      <c r="G4978" s="50" t="s">
        <v>89</v>
      </c>
      <c r="H4978" s="51">
        <v>200.93</v>
      </c>
      <c r="J4978" s="51">
        <v>6</v>
      </c>
      <c r="K4978" s="74">
        <f>Tabela6[[#This Row],[CONSUMO]]*Tabela6[[#This Row],[VALOR UNIT]]-Tabela6[[#This Row],[DESCONTO]]</f>
        <v>1205.58</v>
      </c>
      <c r="L4978" s="53">
        <f>Tabela6[[#This Row],[CUSTO TOTAL]]/Tabela6[[#This Row],[CONSUMO]]</f>
        <v>5.9999999999999991</v>
      </c>
      <c r="M4978" s="53" t="e">
        <f t="array" ref="M4978">SE</f>
        <v>#NAME?</v>
      </c>
      <c r="N4978" s="49" t="e">
        <f>Tabela6[[#This Row],[KM Rodados ]]/Tabela6[[#This Row],[CONSUMO]]</f>
        <v>#NAME?</v>
      </c>
    </row>
    <row r="4979" spans="1:14" x14ac:dyDescent="0.25">
      <c r="A4979" s="47">
        <v>276413</v>
      </c>
      <c r="B4979" s="78">
        <v>45485</v>
      </c>
      <c r="C4979" s="47" t="s">
        <v>12</v>
      </c>
      <c r="D4979" s="49" t="s">
        <v>253</v>
      </c>
      <c r="E4979" s="47">
        <v>341897</v>
      </c>
      <c r="G4979" s="50" t="s">
        <v>89</v>
      </c>
      <c r="H4979" s="51">
        <v>91.93</v>
      </c>
      <c r="J4979" s="51">
        <v>6.09</v>
      </c>
      <c r="K4979" s="74">
        <f>Tabela6[[#This Row],[CONSUMO]]*Tabela6[[#This Row],[VALOR UNIT]]-Tabela6[[#This Row],[DESCONTO]]</f>
        <v>559.8537</v>
      </c>
      <c r="L4979" s="53">
        <f>Tabela6[[#This Row],[CUSTO TOTAL]]/Tabela6[[#This Row],[CONSUMO]]</f>
        <v>6.09</v>
      </c>
      <c r="M4979" s="53" t="e">
        <f t="array" ref="M4979">SE</f>
        <v>#NAME?</v>
      </c>
      <c r="N4979" s="49" t="e">
        <f>Tabela6[[#This Row],[KM Rodados ]]/Tabela6[[#This Row],[CONSUMO]]</f>
        <v>#NAME?</v>
      </c>
    </row>
    <row r="4980" spans="1:14" x14ac:dyDescent="0.25">
      <c r="A4980" s="47">
        <v>28707</v>
      </c>
      <c r="B4980" s="78">
        <v>45485</v>
      </c>
      <c r="C4980" s="47" t="s">
        <v>16</v>
      </c>
      <c r="D4980" s="49" t="s">
        <v>255</v>
      </c>
      <c r="E4980" s="47">
        <v>324818</v>
      </c>
      <c r="G4980" s="50" t="s">
        <v>89</v>
      </c>
      <c r="H4980" s="51">
        <v>120.211</v>
      </c>
      <c r="J4980" s="51">
        <v>6.37</v>
      </c>
      <c r="K4980" s="74">
        <f>Tabela6[[#This Row],[CONSUMO]]*Tabela6[[#This Row],[VALOR UNIT]]-Tabela6[[#This Row],[DESCONTO]]</f>
        <v>765.74406999999997</v>
      </c>
      <c r="L4980" s="53">
        <f>Tabela6[[#This Row],[CUSTO TOTAL]]/Tabela6[[#This Row],[CONSUMO]]</f>
        <v>6.37</v>
      </c>
      <c r="M4980" s="53" t="e">
        <f t="array" ref="M4980">SE</f>
        <v>#NAME?</v>
      </c>
      <c r="N4980" s="49" t="e">
        <f>Tabela6[[#This Row],[KM Rodados ]]/Tabela6[[#This Row],[CONSUMO]]</f>
        <v>#NAME?</v>
      </c>
    </row>
    <row r="4981" spans="1:14" x14ac:dyDescent="0.25">
      <c r="A4981" s="47">
        <v>415924</v>
      </c>
      <c r="B4981" s="78">
        <v>45485</v>
      </c>
      <c r="C4981" s="47" t="s">
        <v>17</v>
      </c>
      <c r="D4981" s="49" t="s">
        <v>276</v>
      </c>
      <c r="E4981" s="47">
        <v>433971</v>
      </c>
      <c r="G4981" s="50" t="s">
        <v>241</v>
      </c>
      <c r="H4981" s="51">
        <v>24.381</v>
      </c>
      <c r="J4981" s="51">
        <v>3.69</v>
      </c>
      <c r="K4981" s="74">
        <f>Tabela6[[#This Row],[CONSUMO]]*Tabela6[[#This Row],[VALOR UNIT]]-Tabela6[[#This Row],[DESCONTO]]</f>
        <v>89.965890000000002</v>
      </c>
      <c r="L4981" s="53">
        <f>Tabela6[[#This Row],[CUSTO TOTAL]]/Tabela6[[#This Row],[CONSUMO]]</f>
        <v>3.69</v>
      </c>
      <c r="M4981" s="50">
        <f>Tabela6[[#This Row],[KM ATUAL]]-E4858</f>
        <v>412685</v>
      </c>
      <c r="N4981" s="51">
        <f>Tabela6[[#This Row],[KM Rodados ]]/Tabela6[[#This Row],[CONSUMO]]</f>
        <v>16926.500143554407</v>
      </c>
    </row>
    <row r="4982" spans="1:14" x14ac:dyDescent="0.25">
      <c r="A4982" s="47">
        <v>28713</v>
      </c>
      <c r="B4982" s="78">
        <v>45485</v>
      </c>
      <c r="C4982" s="47" t="s">
        <v>23</v>
      </c>
      <c r="D4982" s="49" t="s">
        <v>255</v>
      </c>
      <c r="E4982" s="47">
        <v>284421</v>
      </c>
      <c r="G4982" s="50" t="s">
        <v>89</v>
      </c>
      <c r="H4982" s="51">
        <v>112.861</v>
      </c>
      <c r="J4982" s="51">
        <v>6.09</v>
      </c>
      <c r="K4982" s="74">
        <f>Tabela6[[#This Row],[CONSUMO]]*Tabela6[[#This Row],[VALOR UNIT]]-Tabela6[[#This Row],[DESCONTO]]</f>
        <v>687.32348999999999</v>
      </c>
      <c r="L4982" s="53">
        <f>Tabela6[[#This Row],[CUSTO TOTAL]]/Tabela6[[#This Row],[CONSUMO]]</f>
        <v>6.09</v>
      </c>
      <c r="M4982" s="53" t="e">
        <f t="array" ref="M4982">SE</f>
        <v>#NAME?</v>
      </c>
      <c r="N4982" s="49" t="e">
        <f>Tabela6[[#This Row],[KM Rodados ]]/Tabela6[[#This Row],[CONSUMO]]</f>
        <v>#NAME?</v>
      </c>
    </row>
    <row r="4983" spans="1:14" x14ac:dyDescent="0.25">
      <c r="A4983" s="47">
        <v>28713</v>
      </c>
      <c r="B4983" s="78">
        <v>45485</v>
      </c>
      <c r="C4983" s="47" t="s">
        <v>23</v>
      </c>
      <c r="D4983" s="49" t="s">
        <v>255</v>
      </c>
      <c r="E4983" s="47">
        <v>284421</v>
      </c>
      <c r="G4983" s="50" t="s">
        <v>89</v>
      </c>
      <c r="H4983" s="51">
        <v>112.861</v>
      </c>
      <c r="J4983" s="51">
        <v>6.09</v>
      </c>
      <c r="K4983" s="74">
        <f>Tabela6[[#This Row],[CONSUMO]]*Tabela6[[#This Row],[VALOR UNIT]]-Tabela6[[#This Row],[DESCONTO]]</f>
        <v>687.32348999999999</v>
      </c>
      <c r="L4983" s="53">
        <f>Tabela6[[#This Row],[CUSTO TOTAL]]/Tabela6[[#This Row],[CONSUMO]]</f>
        <v>6.09</v>
      </c>
      <c r="M4983" s="53" t="e">
        <f t="array" ref="M4983">SE</f>
        <v>#NAME?</v>
      </c>
      <c r="N4983" s="49" t="e">
        <f>Tabela6[[#This Row],[KM Rodados ]]/Tabela6[[#This Row],[CONSUMO]]</f>
        <v>#NAME?</v>
      </c>
    </row>
    <row r="4984" spans="1:14" x14ac:dyDescent="0.25">
      <c r="A4984" s="47">
        <v>276880</v>
      </c>
      <c r="B4984" s="78">
        <v>45485</v>
      </c>
      <c r="C4984" s="47" t="s">
        <v>401</v>
      </c>
      <c r="D4984" s="49" t="s">
        <v>262</v>
      </c>
      <c r="E4984" s="47">
        <v>40255</v>
      </c>
      <c r="G4984" s="50" t="s">
        <v>241</v>
      </c>
      <c r="H4984" s="51">
        <v>25.86</v>
      </c>
      <c r="I4984" s="49">
        <v>9.31</v>
      </c>
      <c r="J4984" s="51">
        <v>3.69</v>
      </c>
      <c r="K4984" s="74">
        <f>Tabela6[[#This Row],[CONSUMO]]*Tabela6[[#This Row],[VALOR UNIT]]-Tabela6[[#This Row],[DESCONTO]]</f>
        <v>86.113399999999999</v>
      </c>
      <c r="L4984" s="53">
        <f>Tabela6[[#This Row],[CUSTO TOTAL]]/Tabela6[[#This Row],[CONSUMO]]</f>
        <v>3.3299845320959012</v>
      </c>
      <c r="M4984" s="53" t="e">
        <f t="array" ref="M4984">SE</f>
        <v>#NAME?</v>
      </c>
      <c r="N4984" s="49" t="e">
        <f>Tabela6[[#This Row],[KM Rodados ]]/Tabela6[[#This Row],[CONSUMO]]</f>
        <v>#NAME?</v>
      </c>
    </row>
    <row r="4985" spans="1:14" x14ac:dyDescent="0.25">
      <c r="A4985" s="47">
        <v>276881</v>
      </c>
      <c r="B4985" s="78">
        <v>45485</v>
      </c>
      <c r="C4985" s="47" t="s">
        <v>446</v>
      </c>
      <c r="D4985" s="49" t="s">
        <v>262</v>
      </c>
      <c r="E4985" s="47">
        <v>25698</v>
      </c>
      <c r="G4985" s="50" t="s">
        <v>241</v>
      </c>
      <c r="H4985" s="51">
        <v>25.366</v>
      </c>
      <c r="I4985" s="49">
        <v>9.1300000000000008</v>
      </c>
      <c r="J4985" s="51">
        <v>3.69</v>
      </c>
      <c r="K4985" s="74">
        <f>Tabela6[[#This Row],[CONSUMO]]*Tabela6[[#This Row],[VALOR UNIT]]-Tabela6[[#This Row],[DESCONTO]]</f>
        <v>84.47054</v>
      </c>
      <c r="L4985" s="53">
        <f>Tabela6[[#This Row],[CUSTO TOTAL]]/Tabela6[[#This Row],[CONSUMO]]</f>
        <v>3.3300693842150912</v>
      </c>
      <c r="M4985" s="53" t="e">
        <f t="array" ref="M4985">SE</f>
        <v>#NAME?</v>
      </c>
      <c r="N4985" s="49" t="e">
        <f>Tabela6[[#This Row],[KM Rodados ]]/Tabela6[[#This Row],[CONSUMO]]</f>
        <v>#NAME?</v>
      </c>
    </row>
    <row r="4986" spans="1:14" x14ac:dyDescent="0.25">
      <c r="A4986" s="47">
        <v>416147</v>
      </c>
      <c r="B4986" s="78">
        <v>45485</v>
      </c>
      <c r="C4986" s="47"/>
      <c r="D4986" s="49" t="s">
        <v>276</v>
      </c>
      <c r="E4986" s="47">
        <v>196920</v>
      </c>
      <c r="G4986" s="50" t="s">
        <v>89</v>
      </c>
      <c r="H4986" s="51">
        <v>44.610999999999997</v>
      </c>
      <c r="J4986" s="51">
        <v>6.19</v>
      </c>
      <c r="K4986" s="74">
        <f>Tabela6[[#This Row],[CONSUMO]]*Tabela6[[#This Row],[VALOR UNIT]]-Tabela6[[#This Row],[DESCONTO]]</f>
        <v>276.14209</v>
      </c>
      <c r="L4986" s="53">
        <f>Tabela6[[#This Row],[CUSTO TOTAL]]/Tabela6[[#This Row],[CONSUMO]]</f>
        <v>6.19</v>
      </c>
      <c r="M4986" s="53" t="e">
        <f t="array" ref="M4986">SE</f>
        <v>#NAME?</v>
      </c>
      <c r="N4986" s="49" t="e">
        <f>Tabela6[[#This Row],[KM Rodados ]]/Tabela6[[#This Row],[CONSUMO]]</f>
        <v>#NAME?</v>
      </c>
    </row>
    <row r="4987" spans="1:14" x14ac:dyDescent="0.25">
      <c r="A4987" s="47" t="s">
        <v>506</v>
      </c>
      <c r="B4987" s="78">
        <v>45487</v>
      </c>
      <c r="C4987" s="47" t="s">
        <v>68</v>
      </c>
      <c r="D4987" s="49" t="s">
        <v>374</v>
      </c>
      <c r="E4987" s="47">
        <v>988443</v>
      </c>
      <c r="G4987" s="50" t="s">
        <v>89</v>
      </c>
      <c r="H4987" s="51">
        <v>487</v>
      </c>
      <c r="J4987" s="51">
        <v>5.79</v>
      </c>
      <c r="K4987" s="74">
        <f>Tabela6[[#This Row],[CONSUMO]]*Tabela6[[#This Row],[VALOR UNIT]]-Tabela6[[#This Row],[DESCONTO]]</f>
        <v>2819.73</v>
      </c>
      <c r="L4987" s="53">
        <f>Tabela6[[#This Row],[CUSTO TOTAL]]/Tabela6[[#This Row],[CONSUMO]]</f>
        <v>5.79</v>
      </c>
      <c r="M4987" s="53" t="e">
        <f t="array" ref="M4987">SE</f>
        <v>#NAME?</v>
      </c>
      <c r="N4987" s="49" t="e">
        <f>Tabela6[[#This Row],[KM Rodados ]]/Tabela6[[#This Row],[CONSUMO]]</f>
        <v>#NAME?</v>
      </c>
    </row>
    <row r="4988" spans="1:14" x14ac:dyDescent="0.25">
      <c r="A4988" s="47">
        <v>514588</v>
      </c>
      <c r="B4988" s="78">
        <v>45488</v>
      </c>
      <c r="C4988" s="47" t="s">
        <v>67</v>
      </c>
      <c r="D4988" s="49" t="s">
        <v>279</v>
      </c>
      <c r="E4988" s="47">
        <v>724515</v>
      </c>
      <c r="G4988" s="50" t="s">
        <v>89</v>
      </c>
      <c r="H4988" s="51">
        <v>150</v>
      </c>
      <c r="J4988" s="51">
        <v>5.75</v>
      </c>
      <c r="K4988" s="74">
        <f>Tabela6[[#This Row],[CONSUMO]]*Tabela6[[#This Row],[VALOR UNIT]]-Tabela6[[#This Row],[DESCONTO]]</f>
        <v>862.5</v>
      </c>
      <c r="L4988" s="53">
        <f>Tabela6[[#This Row],[CUSTO TOTAL]]/Tabela6[[#This Row],[CONSUMO]]</f>
        <v>5.75</v>
      </c>
      <c r="M4988" s="53" t="e">
        <f t="array" ref="M4988">SE</f>
        <v>#NAME?</v>
      </c>
      <c r="N4988" s="49" t="e">
        <f>Tabela6[[#This Row],[KM Rodados ]]/Tabela6[[#This Row],[CONSUMO]]</f>
        <v>#NAME?</v>
      </c>
    </row>
    <row r="4989" spans="1:14" x14ac:dyDescent="0.25">
      <c r="A4989" s="47" t="s">
        <v>524</v>
      </c>
      <c r="B4989" s="78">
        <v>45488</v>
      </c>
      <c r="C4989" s="47" t="s">
        <v>67</v>
      </c>
      <c r="D4989" s="49" t="s">
        <v>273</v>
      </c>
      <c r="E4989" s="47">
        <v>724515</v>
      </c>
      <c r="G4989" s="50" t="s">
        <v>241</v>
      </c>
      <c r="H4989" s="51">
        <v>16.372</v>
      </c>
      <c r="J4989" s="51">
        <v>2.99</v>
      </c>
      <c r="K4989" s="74">
        <f>Tabela6[[#This Row],[CONSUMO]]*Tabela6[[#This Row],[VALOR UNIT]]-Tabela6[[#This Row],[DESCONTO]]</f>
        <v>48.952280000000002</v>
      </c>
      <c r="L4989" s="53">
        <f>Tabela6[[#This Row],[CUSTO TOTAL]]/Tabela6[[#This Row],[CONSUMO]]</f>
        <v>2.99</v>
      </c>
      <c r="M4989" s="53" t="e">
        <f t="array" ref="M4989">SE</f>
        <v>#NAME?</v>
      </c>
      <c r="N4989" s="49" t="e">
        <f>Tabela6[[#This Row],[KM Rodados ]]/Tabela6[[#This Row],[CONSUMO]]</f>
        <v>#NAME?</v>
      </c>
    </row>
    <row r="4990" spans="1:14" x14ac:dyDescent="0.25">
      <c r="A4990" s="47">
        <v>29366</v>
      </c>
      <c r="B4990" s="78">
        <v>45488</v>
      </c>
      <c r="C4990" s="47" t="s">
        <v>18</v>
      </c>
      <c r="D4990" s="49" t="s">
        <v>255</v>
      </c>
      <c r="E4990" s="47">
        <v>366664</v>
      </c>
      <c r="G4990" s="50" t="s">
        <v>89</v>
      </c>
      <c r="H4990" s="51">
        <v>64.5</v>
      </c>
      <c r="J4990" s="51">
        <v>8.3699999999999992</v>
      </c>
      <c r="K4990" s="74">
        <f>Tabela6[[#This Row],[CONSUMO]]*Tabela6[[#This Row],[VALOR UNIT]]-Tabela6[[#This Row],[DESCONTO]]</f>
        <v>539.8649999999999</v>
      </c>
      <c r="L4990" s="53">
        <f>Tabela6[[#This Row],[CUSTO TOTAL]]/Tabela6[[#This Row],[CONSUMO]]</f>
        <v>8.3699999999999992</v>
      </c>
      <c r="M4990" s="53" t="e">
        <f t="array" ref="M4990">SE</f>
        <v>#NAME?</v>
      </c>
      <c r="N4990" s="49" t="e">
        <f>Tabela6[[#This Row],[KM Rodados ]]/Tabela6[[#This Row],[CONSUMO]]</f>
        <v>#NAME?</v>
      </c>
    </row>
    <row r="4991" spans="1:14" x14ac:dyDescent="0.25">
      <c r="A4991" s="47">
        <v>278677</v>
      </c>
      <c r="B4991" s="78">
        <v>45488</v>
      </c>
      <c r="C4991" s="47" t="s">
        <v>19</v>
      </c>
      <c r="D4991" s="49" t="s">
        <v>253</v>
      </c>
      <c r="E4991" s="47">
        <v>388052</v>
      </c>
      <c r="G4991" s="50" t="s">
        <v>89</v>
      </c>
      <c r="H4991" s="51">
        <v>45.53</v>
      </c>
      <c r="J4991" s="51">
        <v>6.09</v>
      </c>
      <c r="K4991" s="74">
        <f>Tabela6[[#This Row],[CONSUMO]]*Tabela6[[#This Row],[VALOR UNIT]]-Tabela6[[#This Row],[DESCONTO]]</f>
        <v>277.27769999999998</v>
      </c>
      <c r="L4991" s="53">
        <f>Tabela6[[#This Row],[CUSTO TOTAL]]/Tabela6[[#This Row],[CONSUMO]]</f>
        <v>6.09</v>
      </c>
      <c r="M4991" s="53" t="e">
        <f t="array" ref="M4991">SE</f>
        <v>#NAME?</v>
      </c>
      <c r="N4991" s="49" t="e">
        <f>Tabela6[[#This Row],[KM Rodados ]]/Tabela6[[#This Row],[CONSUMO]]</f>
        <v>#NAME?</v>
      </c>
    </row>
    <row r="4992" spans="1:14" x14ac:dyDescent="0.25">
      <c r="A4992" s="47">
        <v>278411</v>
      </c>
      <c r="B4992" s="78">
        <v>45488</v>
      </c>
      <c r="C4992" s="47" t="s">
        <v>315</v>
      </c>
      <c r="D4992" s="49" t="s">
        <v>253</v>
      </c>
      <c r="E4992" s="47">
        <v>37766</v>
      </c>
      <c r="G4992" s="50" t="s">
        <v>89</v>
      </c>
      <c r="H4992" s="51">
        <v>56.48</v>
      </c>
      <c r="J4992" s="51">
        <v>6.09</v>
      </c>
      <c r="K4992" s="74">
        <f>Tabela6[[#This Row],[CONSUMO]]*Tabela6[[#This Row],[VALOR UNIT]]-Tabela6[[#This Row],[DESCONTO]]</f>
        <v>343.96319999999997</v>
      </c>
      <c r="L4992" s="53">
        <f>Tabela6[[#This Row],[CUSTO TOTAL]]/Tabela6[[#This Row],[CONSUMO]]</f>
        <v>6.09</v>
      </c>
      <c r="M4992" s="53" t="e">
        <f t="array" ref="M4992">SE</f>
        <v>#NAME?</v>
      </c>
      <c r="N4992" s="49" t="e">
        <f>Tabela6[[#This Row],[KM Rodados ]]/Tabela6[[#This Row],[CONSUMO]]</f>
        <v>#NAME?</v>
      </c>
    </row>
    <row r="4993" spans="1:14" x14ac:dyDescent="0.25">
      <c r="A4993" s="47">
        <v>453480</v>
      </c>
      <c r="B4993" s="78">
        <v>45489</v>
      </c>
      <c r="C4993" s="47" t="s">
        <v>68</v>
      </c>
      <c r="D4993" s="49" t="s">
        <v>343</v>
      </c>
      <c r="E4993" s="47">
        <v>989914</v>
      </c>
      <c r="G4993" s="50"/>
      <c r="H4993" s="51">
        <v>50</v>
      </c>
      <c r="I4993" s="49" t="s">
        <v>508</v>
      </c>
      <c r="J4993" s="51">
        <v>1</v>
      </c>
      <c r="K4993" s="74" t="e">
        <f>Tabela6[[#This Row],[CONSUMO]]*Tabela6[[#This Row],[VALOR UNIT]]-Tabela6[[#This Row],[DESCONTO]]</f>
        <v>#VALUE!</v>
      </c>
      <c r="L4993" s="53" t="e">
        <f>Tabela6[[#This Row],[CUSTO TOTAL]]/Tabela6[[#This Row],[CONSUMO]]</f>
        <v>#VALUE!</v>
      </c>
      <c r="M4993" s="53" t="e">
        <f t="array" ref="M4993">SE</f>
        <v>#NAME?</v>
      </c>
      <c r="N4993" s="49" t="e">
        <f>Tabela6[[#This Row],[KM Rodados ]]/Tabela6[[#This Row],[CONSUMO]]</f>
        <v>#NAME?</v>
      </c>
    </row>
    <row r="4994" spans="1:14" x14ac:dyDescent="0.25">
      <c r="A4994" s="47">
        <v>810163</v>
      </c>
      <c r="B4994" s="78">
        <v>45489</v>
      </c>
      <c r="C4994" s="47" t="s">
        <v>43</v>
      </c>
      <c r="D4994" s="49" t="s">
        <v>271</v>
      </c>
      <c r="E4994" s="47">
        <v>197403</v>
      </c>
      <c r="G4994" s="50" t="s">
        <v>89</v>
      </c>
      <c r="H4994" s="51">
        <v>18.03</v>
      </c>
      <c r="J4994" s="51">
        <v>5.79</v>
      </c>
      <c r="K4994" s="74">
        <f>Tabela6[[#This Row],[CONSUMO]]*Tabela6[[#This Row],[VALOR UNIT]]-Tabela6[[#This Row],[DESCONTO]]</f>
        <v>104.39370000000001</v>
      </c>
      <c r="L4994" s="53">
        <f>Tabela6[[#This Row],[CUSTO TOTAL]]/Tabela6[[#This Row],[CONSUMO]]</f>
        <v>5.79</v>
      </c>
      <c r="M4994" s="53" t="e">
        <f t="array" ref="M4994">SE</f>
        <v>#NAME?</v>
      </c>
      <c r="N4994" s="49" t="e">
        <f>Tabela6[[#This Row],[KM Rodados ]]/Tabela6[[#This Row],[CONSUMO]]</f>
        <v>#NAME?</v>
      </c>
    </row>
    <row r="4995" spans="1:14" x14ac:dyDescent="0.25">
      <c r="A4995" s="47">
        <v>279600</v>
      </c>
      <c r="B4995" s="78">
        <v>45489</v>
      </c>
      <c r="C4995" s="47" t="s">
        <v>39</v>
      </c>
      <c r="D4995" s="49" t="s">
        <v>253</v>
      </c>
      <c r="E4995" s="47">
        <v>128516</v>
      </c>
      <c r="G4995" s="50" t="s">
        <v>89</v>
      </c>
      <c r="H4995" s="51">
        <v>111.65</v>
      </c>
      <c r="J4995" s="51">
        <v>6.09</v>
      </c>
      <c r="K4995" s="74">
        <f>Tabela6[[#This Row],[CONSUMO]]*Tabela6[[#This Row],[VALOR UNIT]]-Tabela6[[#This Row],[DESCONTO]]</f>
        <v>679.94849999999997</v>
      </c>
      <c r="L4995" s="53">
        <f>Tabela6[[#This Row],[CUSTO TOTAL]]/Tabela6[[#This Row],[CONSUMO]]</f>
        <v>6.089999999999999</v>
      </c>
      <c r="M4995" s="53" t="e">
        <f t="array" ref="M4995">SE</f>
        <v>#NAME?</v>
      </c>
      <c r="N4995" s="49" t="e">
        <f>Tabela6[[#This Row],[KM Rodados ]]/Tabela6[[#This Row],[CONSUMO]]</f>
        <v>#NAME?</v>
      </c>
    </row>
    <row r="4996" spans="1:14" x14ac:dyDescent="0.25">
      <c r="A4996" s="47">
        <v>279600</v>
      </c>
      <c r="B4996" s="78">
        <v>45489</v>
      </c>
      <c r="C4996" s="47" t="s">
        <v>39</v>
      </c>
      <c r="D4996" s="49" t="s">
        <v>253</v>
      </c>
      <c r="E4996" s="47">
        <v>128516</v>
      </c>
      <c r="G4996" s="50" t="s">
        <v>241</v>
      </c>
      <c r="H4996" s="51">
        <v>11.805999999999999</v>
      </c>
      <c r="J4996" s="51">
        <v>3.49</v>
      </c>
      <c r="K4996" s="74">
        <f>Tabela6[[#This Row],[CONSUMO]]*Tabela6[[#This Row],[VALOR UNIT]]-Tabela6[[#This Row],[DESCONTO]]</f>
        <v>41.202939999999998</v>
      </c>
      <c r="L4996" s="53">
        <f>Tabela6[[#This Row],[CUSTO TOTAL]]/Tabela6[[#This Row],[CONSUMO]]</f>
        <v>3.49</v>
      </c>
      <c r="M4996" s="53" t="e">
        <f t="array" ref="M4996">SE</f>
        <v>#NAME?</v>
      </c>
      <c r="N4996" s="49" t="e">
        <f>Tabela6[[#This Row],[KM Rodados ]]/Tabela6[[#This Row],[CONSUMO]]</f>
        <v>#NAME?</v>
      </c>
    </row>
    <row r="4997" spans="1:14" x14ac:dyDescent="0.25">
      <c r="A4997" s="47">
        <v>417144</v>
      </c>
      <c r="B4997" s="78">
        <v>45489</v>
      </c>
      <c r="C4997" s="47" t="s">
        <v>203</v>
      </c>
      <c r="D4997" s="49" t="s">
        <v>276</v>
      </c>
      <c r="E4997" s="47">
        <v>174107</v>
      </c>
      <c r="G4997" s="50" t="s">
        <v>244</v>
      </c>
      <c r="H4997" s="51">
        <v>37.44</v>
      </c>
      <c r="J4997" s="51">
        <v>6.09</v>
      </c>
      <c r="K4997" s="74">
        <f>Tabela6[[#This Row],[CONSUMO]]*Tabela6[[#This Row],[VALOR UNIT]]-Tabela6[[#This Row],[DESCONTO]]</f>
        <v>228.00959999999998</v>
      </c>
      <c r="L4997" s="53">
        <f>Tabela6[[#This Row],[CUSTO TOTAL]]/Tabela6[[#This Row],[CONSUMO]]</f>
        <v>6.09</v>
      </c>
      <c r="M4997" s="53" t="e">
        <f t="array" ref="M4997">SE</f>
        <v>#NAME?</v>
      </c>
      <c r="N4997" s="49" t="e">
        <f>Tabela6[[#This Row],[KM Rodados ]]/Tabela6[[#This Row],[CONSUMO]]</f>
        <v>#NAME?</v>
      </c>
    </row>
    <row r="4998" spans="1:14" x14ac:dyDescent="0.25">
      <c r="A4998" s="47" t="s">
        <v>509</v>
      </c>
      <c r="B4998" s="78">
        <v>45489</v>
      </c>
      <c r="C4998" s="47" t="s">
        <v>10</v>
      </c>
      <c r="D4998" s="49" t="s">
        <v>279</v>
      </c>
      <c r="E4998" s="47">
        <v>773565</v>
      </c>
      <c r="G4998" s="50" t="s">
        <v>89</v>
      </c>
      <c r="H4998" s="51">
        <v>158.58000000000001</v>
      </c>
      <c r="J4998" s="51">
        <v>5.69</v>
      </c>
      <c r="K4998" s="74">
        <f>Tabela6[[#This Row],[CONSUMO]]*Tabela6[[#This Row],[VALOR UNIT]]-Tabela6[[#This Row],[DESCONTO]]</f>
        <v>902.32020000000011</v>
      </c>
      <c r="L4998" s="53">
        <f>Tabela6[[#This Row],[CUSTO TOTAL]]/Tabela6[[#This Row],[CONSUMO]]</f>
        <v>5.69</v>
      </c>
      <c r="M4998" s="53" t="e">
        <f t="array" ref="M4998">SE</f>
        <v>#NAME?</v>
      </c>
      <c r="N4998" s="49" t="e">
        <f>Tabela6[[#This Row],[KM Rodados ]]/Tabela6[[#This Row],[CONSUMO]]</f>
        <v>#NAME?</v>
      </c>
    </row>
    <row r="4999" spans="1:14" x14ac:dyDescent="0.25">
      <c r="A4999" s="47" t="s">
        <v>507</v>
      </c>
      <c r="B4999" s="78">
        <v>45489</v>
      </c>
      <c r="C4999" s="47" t="s">
        <v>13</v>
      </c>
      <c r="D4999" s="49" t="s">
        <v>279</v>
      </c>
      <c r="E4999" s="47">
        <v>694878</v>
      </c>
      <c r="G4999" s="50" t="s">
        <v>89</v>
      </c>
      <c r="H4999" s="51">
        <v>138.40100000000001</v>
      </c>
      <c r="J4999" s="51">
        <v>5.69</v>
      </c>
      <c r="K4999" s="74">
        <f>Tabela6[[#This Row],[CONSUMO]]*Tabela6[[#This Row],[VALOR UNIT]]-Tabela6[[#This Row],[DESCONTO]]</f>
        <v>787.50169000000017</v>
      </c>
      <c r="L4999" s="53">
        <f>Tabela6[[#This Row],[CUSTO TOTAL]]/Tabela6[[#This Row],[CONSUMO]]</f>
        <v>5.69</v>
      </c>
      <c r="M4999" s="53" t="e">
        <f t="array" ref="M4999">SE</f>
        <v>#NAME?</v>
      </c>
      <c r="N4999" s="49" t="e">
        <f>Tabela6[[#This Row],[KM Rodados ]]/Tabela6[[#This Row],[CONSUMO]]</f>
        <v>#NAME?</v>
      </c>
    </row>
    <row r="5000" spans="1:14" x14ac:dyDescent="0.25">
      <c r="A5000" s="47">
        <v>279148</v>
      </c>
      <c r="B5000" s="78">
        <v>45489</v>
      </c>
      <c r="C5000" s="47" t="s">
        <v>15</v>
      </c>
      <c r="D5000" s="49" t="s">
        <v>253</v>
      </c>
      <c r="E5000" s="47">
        <v>48239</v>
      </c>
      <c r="G5000" s="50" t="s">
        <v>241</v>
      </c>
      <c r="H5000" s="51">
        <v>30</v>
      </c>
      <c r="J5000" s="51">
        <v>3.49</v>
      </c>
      <c r="K5000" s="74">
        <f>Tabela6[[#This Row],[CONSUMO]]*Tabela6[[#This Row],[VALOR UNIT]]-Tabela6[[#This Row],[DESCONTO]]</f>
        <v>104.7</v>
      </c>
      <c r="L5000" s="53">
        <f>Tabela6[[#This Row],[CUSTO TOTAL]]/Tabela6[[#This Row],[CONSUMO]]</f>
        <v>3.49</v>
      </c>
      <c r="M5000" s="53" t="e">
        <f t="array" ref="M5000">SE</f>
        <v>#NAME?</v>
      </c>
      <c r="N5000" s="49" t="e">
        <f>Tabela6[[#This Row],[KM Rodados ]]/Tabela6[[#This Row],[CONSUMO]]</f>
        <v>#NAME?</v>
      </c>
    </row>
    <row r="5001" spans="1:14" x14ac:dyDescent="0.25">
      <c r="A5001" s="47">
        <v>277940</v>
      </c>
      <c r="B5001" s="78">
        <v>45489</v>
      </c>
      <c r="C5001" s="47" t="s">
        <v>40</v>
      </c>
      <c r="D5001" s="49" t="s">
        <v>262</v>
      </c>
      <c r="E5001" s="47">
        <v>213934</v>
      </c>
      <c r="G5001" s="50" t="s">
        <v>244</v>
      </c>
      <c r="H5001" s="51">
        <v>42.97</v>
      </c>
      <c r="J5001" s="51">
        <v>5.99</v>
      </c>
      <c r="K5001" s="74">
        <f>Tabela6[[#This Row],[CONSUMO]]*Tabela6[[#This Row],[VALOR UNIT]]-Tabela6[[#This Row],[DESCONTO]]</f>
        <v>257.39030000000002</v>
      </c>
      <c r="L5001" s="53">
        <f>Tabela6[[#This Row],[CUSTO TOTAL]]/Tabela6[[#This Row],[CONSUMO]]</f>
        <v>5.9900000000000011</v>
      </c>
      <c r="M5001" s="53" t="e">
        <f t="array" ref="M5001">SE</f>
        <v>#NAME?</v>
      </c>
      <c r="N5001" s="49" t="e">
        <f>Tabela6[[#This Row],[KM Rodados ]]/Tabela6[[#This Row],[CONSUMO]]</f>
        <v>#NAME?</v>
      </c>
    </row>
    <row r="5002" spans="1:14" x14ac:dyDescent="0.25">
      <c r="A5002" s="47" t="s">
        <v>506</v>
      </c>
      <c r="B5002" s="78">
        <v>45489</v>
      </c>
      <c r="C5002" s="47" t="s">
        <v>74</v>
      </c>
      <c r="D5002" s="49" t="s">
        <v>271</v>
      </c>
      <c r="E5002" s="47">
        <v>146879</v>
      </c>
      <c r="G5002" s="50" t="s">
        <v>89</v>
      </c>
      <c r="H5002" s="51">
        <v>69.290999999999997</v>
      </c>
      <c r="J5002" s="51">
        <v>5.79</v>
      </c>
      <c r="K5002" s="74">
        <f>Tabela6[[#This Row],[CONSUMO]]*Tabela6[[#This Row],[VALOR UNIT]]-Tabela6[[#This Row],[DESCONTO]]</f>
        <v>401.19488999999999</v>
      </c>
      <c r="L5002" s="53">
        <f>Tabela6[[#This Row],[CUSTO TOTAL]]/Tabela6[[#This Row],[CONSUMO]]</f>
        <v>5.79</v>
      </c>
      <c r="M5002" s="53" t="e">
        <f t="array" ref="M5002">SE</f>
        <v>#NAME?</v>
      </c>
      <c r="N5002" s="49" t="e">
        <f>Tabela6[[#This Row],[KM Rodados ]]/Tabela6[[#This Row],[CONSUMO]]</f>
        <v>#NAME?</v>
      </c>
    </row>
    <row r="5003" spans="1:14" x14ac:dyDescent="0.25">
      <c r="A5003" s="47">
        <v>956593</v>
      </c>
      <c r="B5003" s="78">
        <v>45489</v>
      </c>
      <c r="C5003" s="47" t="s">
        <v>401</v>
      </c>
      <c r="D5003" s="49" t="s">
        <v>357</v>
      </c>
      <c r="E5003" s="47">
        <v>40862</v>
      </c>
      <c r="G5003" s="50" t="s">
        <v>89</v>
      </c>
      <c r="H5003" s="51">
        <v>67.92</v>
      </c>
      <c r="J5003" s="51">
        <v>5.9</v>
      </c>
      <c r="K5003" s="74">
        <f>Tabela6[[#This Row],[CONSUMO]]*Tabela6[[#This Row],[VALOR UNIT]]-Tabela6[[#This Row],[DESCONTO]]</f>
        <v>400.72800000000001</v>
      </c>
      <c r="L5003" s="53">
        <f>Tabela6[[#This Row],[CUSTO TOTAL]]/Tabela6[[#This Row],[CONSUMO]]</f>
        <v>5.9</v>
      </c>
      <c r="M5003" s="53" t="e">
        <f t="array" ref="M5003">SE</f>
        <v>#NAME?</v>
      </c>
      <c r="N5003" s="49" t="e">
        <f>Tabela6[[#This Row],[KM Rodados ]]/Tabela6[[#This Row],[CONSUMO]]</f>
        <v>#NAME?</v>
      </c>
    </row>
    <row r="5004" spans="1:14" x14ac:dyDescent="0.25">
      <c r="A5004" s="47" t="s">
        <v>510</v>
      </c>
      <c r="B5004" s="78">
        <v>45490</v>
      </c>
      <c r="C5004" s="47" t="s">
        <v>43</v>
      </c>
      <c r="D5004" s="49" t="s">
        <v>268</v>
      </c>
      <c r="E5004" s="47">
        <v>197807</v>
      </c>
      <c r="G5004" s="50" t="s">
        <v>89</v>
      </c>
      <c r="H5004" s="51">
        <v>25.908000000000001</v>
      </c>
      <c r="J5004" s="51">
        <v>5.79</v>
      </c>
      <c r="K5004" s="74">
        <f>Tabela6[[#This Row],[CONSUMO]]*Tabela6[[#This Row],[VALOR UNIT]]-Tabela6[[#This Row],[DESCONTO]]</f>
        <v>150.00732000000002</v>
      </c>
      <c r="L5004" s="53">
        <f>Tabela6[[#This Row],[CUSTO TOTAL]]/Tabela6[[#This Row],[CONSUMO]]</f>
        <v>5.7900000000000009</v>
      </c>
      <c r="M5004" s="53" t="e">
        <f t="array" ref="M5004">SE</f>
        <v>#NAME?</v>
      </c>
      <c r="N5004" s="49" t="e">
        <f>Tabela6[[#This Row],[KM Rodados ]]/Tabela6[[#This Row],[CONSUMO]]</f>
        <v>#NAME?</v>
      </c>
    </row>
    <row r="5005" spans="1:14" x14ac:dyDescent="0.25">
      <c r="A5005" s="47">
        <v>515145</v>
      </c>
      <c r="B5005" s="78">
        <v>45490</v>
      </c>
      <c r="C5005" s="47" t="s">
        <v>67</v>
      </c>
      <c r="D5005" s="49" t="s">
        <v>273</v>
      </c>
      <c r="E5005" s="47">
        <v>126.08</v>
      </c>
      <c r="G5005" s="50" t="s">
        <v>89</v>
      </c>
      <c r="H5005" s="51">
        <v>126.08</v>
      </c>
      <c r="J5005" s="51">
        <v>5.79</v>
      </c>
      <c r="K5005" s="74">
        <f>Tabela6[[#This Row],[CONSUMO]]*Tabela6[[#This Row],[VALOR UNIT]]-Tabela6[[#This Row],[DESCONTO]]</f>
        <v>730.00319999999999</v>
      </c>
      <c r="L5005" s="53">
        <f>Tabela6[[#This Row],[CUSTO TOTAL]]/Tabela6[[#This Row],[CONSUMO]]</f>
        <v>5.79</v>
      </c>
      <c r="M5005" s="53" t="e">
        <f t="array" ref="M5005">SE</f>
        <v>#NAME?</v>
      </c>
      <c r="N5005" s="49" t="e">
        <f>Tabela6[[#This Row],[KM Rodados ]]/Tabela6[[#This Row],[CONSUMO]]</f>
        <v>#NAME?</v>
      </c>
    </row>
    <row r="5006" spans="1:14" x14ac:dyDescent="0.25">
      <c r="A5006" s="47">
        <v>278091</v>
      </c>
      <c r="B5006" s="78">
        <v>45490</v>
      </c>
      <c r="C5006" s="47" t="s">
        <v>23</v>
      </c>
      <c r="D5006" s="49" t="s">
        <v>262</v>
      </c>
      <c r="E5006" s="47">
        <v>285026</v>
      </c>
      <c r="G5006" s="50" t="s">
        <v>89</v>
      </c>
      <c r="H5006" s="51">
        <v>140.34</v>
      </c>
      <c r="J5006" s="51">
        <v>6.09</v>
      </c>
      <c r="K5006" s="74">
        <f>Tabela6[[#This Row],[CONSUMO]]*Tabela6[[#This Row],[VALOR UNIT]]-Tabela6[[#This Row],[DESCONTO]]</f>
        <v>854.67060000000004</v>
      </c>
      <c r="L5006" s="53">
        <f>Tabela6[[#This Row],[CUSTO TOTAL]]/Tabela6[[#This Row],[CONSUMO]]</f>
        <v>6.09</v>
      </c>
      <c r="M5006" s="53" t="e">
        <f t="array" ref="M5006">SE</f>
        <v>#NAME?</v>
      </c>
      <c r="N5006" s="49" t="e">
        <f>Tabela6[[#This Row],[KM Rodados ]]/Tabela6[[#This Row],[CONSUMO]]</f>
        <v>#NAME?</v>
      </c>
    </row>
    <row r="5007" spans="1:14" x14ac:dyDescent="0.25">
      <c r="A5007" s="47">
        <v>148524</v>
      </c>
      <c r="B5007" s="78">
        <v>45490</v>
      </c>
      <c r="C5007" s="47" t="s">
        <v>401</v>
      </c>
      <c r="E5007" s="47">
        <v>41799</v>
      </c>
      <c r="G5007" s="50" t="s">
        <v>89</v>
      </c>
      <c r="H5007" s="51">
        <v>52.17</v>
      </c>
      <c r="J5007" s="51">
        <v>5.75</v>
      </c>
      <c r="K5007" s="74">
        <f>Tabela6[[#This Row],[CONSUMO]]*Tabela6[[#This Row],[VALOR UNIT]]-Tabela6[[#This Row],[DESCONTO]]</f>
        <v>299.97750000000002</v>
      </c>
      <c r="L5007" s="53">
        <f>Tabela6[[#This Row],[CUSTO TOTAL]]/Tabela6[[#This Row],[CONSUMO]]</f>
        <v>5.75</v>
      </c>
      <c r="M5007" s="53" t="e">
        <f t="array" ref="M5007">SE</f>
        <v>#NAME?</v>
      </c>
      <c r="N5007" s="49" t="e">
        <f>Tabela6[[#This Row],[KM Rodados ]]/Tabela6[[#This Row],[CONSUMO]]</f>
        <v>#NAME?</v>
      </c>
    </row>
    <row r="5008" spans="1:14" x14ac:dyDescent="0.25">
      <c r="A5008" s="47">
        <v>247520</v>
      </c>
      <c r="B5008" s="78">
        <v>45490</v>
      </c>
      <c r="C5008" s="47" t="s">
        <v>426</v>
      </c>
      <c r="D5008" s="49" t="s">
        <v>300</v>
      </c>
      <c r="E5008" s="47">
        <v>33153</v>
      </c>
      <c r="G5008" s="50" t="s">
        <v>89</v>
      </c>
      <c r="H5008" s="51">
        <v>50</v>
      </c>
      <c r="J5008" s="51">
        <v>5.79</v>
      </c>
      <c r="K5008" s="74">
        <f>Tabela6[[#This Row],[CONSUMO]]*Tabela6[[#This Row],[VALOR UNIT]]-Tabela6[[#This Row],[DESCONTO]]</f>
        <v>289.5</v>
      </c>
      <c r="L5008" s="53">
        <f>Tabela6[[#This Row],[CUSTO TOTAL]]/Tabela6[[#This Row],[CONSUMO]]</f>
        <v>5.79</v>
      </c>
      <c r="M5008" s="53" t="e">
        <f t="array" ref="M5008">SE</f>
        <v>#NAME?</v>
      </c>
      <c r="N5008" s="49" t="e">
        <f>Tabela6[[#This Row],[KM Rodados ]]/Tabela6[[#This Row],[CONSUMO]]</f>
        <v>#NAME?</v>
      </c>
    </row>
    <row r="5009" spans="1:14" x14ac:dyDescent="0.25">
      <c r="A5009" s="47">
        <v>278543</v>
      </c>
      <c r="B5009" s="78">
        <v>45491</v>
      </c>
      <c r="C5009" s="47" t="s">
        <v>72</v>
      </c>
      <c r="D5009" s="49" t="s">
        <v>262</v>
      </c>
      <c r="E5009" s="47">
        <v>468567</v>
      </c>
      <c r="G5009" s="50" t="s">
        <v>89</v>
      </c>
      <c r="H5009" s="51">
        <v>18.190000000000001</v>
      </c>
      <c r="J5009" s="51">
        <v>6.09</v>
      </c>
      <c r="K5009" s="74">
        <f>Tabela6[[#This Row],[CONSUMO]]*Tabela6[[#This Row],[VALOR UNIT]]-Tabela6[[#This Row],[DESCONTO]]</f>
        <v>110.7771</v>
      </c>
      <c r="L5009" s="53">
        <f>Tabela6[[#This Row],[CUSTO TOTAL]]/Tabela6[[#This Row],[CONSUMO]]</f>
        <v>6.09</v>
      </c>
      <c r="M5009" s="53" t="e">
        <f t="array" ref="M5009">SE</f>
        <v>#NAME?</v>
      </c>
      <c r="N5009" s="49" t="e">
        <f>Tabela6[[#This Row],[KM Rodados ]]/Tabela6[[#This Row],[CONSUMO]]</f>
        <v>#NAME?</v>
      </c>
    </row>
    <row r="5010" spans="1:14" x14ac:dyDescent="0.25">
      <c r="A5010" s="47">
        <v>281015</v>
      </c>
      <c r="B5010" s="78">
        <v>45491</v>
      </c>
      <c r="C5010" s="47" t="s">
        <v>11</v>
      </c>
      <c r="D5010" s="49" t="s">
        <v>253</v>
      </c>
      <c r="E5010" s="47">
        <v>420054</v>
      </c>
      <c r="G5010" s="50" t="s">
        <v>89</v>
      </c>
      <c r="H5010" s="51">
        <v>119.65</v>
      </c>
      <c r="J5010" s="51">
        <v>6.09</v>
      </c>
      <c r="K5010" s="74">
        <f>Tabela6[[#This Row],[CONSUMO]]*Tabela6[[#This Row],[VALOR UNIT]]-Tabela6[[#This Row],[DESCONTO]]</f>
        <v>728.66849999999999</v>
      </c>
      <c r="L5010" s="53">
        <f>Tabela6[[#This Row],[CUSTO TOTAL]]/Tabela6[[#This Row],[CONSUMO]]</f>
        <v>6.09</v>
      </c>
      <c r="M5010" s="53" t="e">
        <f t="array" ref="M5010">SE</f>
        <v>#NAME?</v>
      </c>
      <c r="N5010" s="49" t="e">
        <f>Tabela6[[#This Row],[KM Rodados ]]/Tabela6[[#This Row],[CONSUMO]]</f>
        <v>#NAME?</v>
      </c>
    </row>
    <row r="5011" spans="1:14" x14ac:dyDescent="0.25">
      <c r="A5011" s="47">
        <v>280760</v>
      </c>
      <c r="B5011" s="78">
        <v>45491</v>
      </c>
      <c r="C5011" s="47" t="s">
        <v>12</v>
      </c>
      <c r="D5011" s="49" t="s">
        <v>253</v>
      </c>
      <c r="E5011" s="47">
        <v>342520</v>
      </c>
      <c r="G5011" s="50" t="s">
        <v>89</v>
      </c>
      <c r="H5011" s="51">
        <v>101.52</v>
      </c>
      <c r="J5011" s="51">
        <v>6.09</v>
      </c>
      <c r="K5011" s="74">
        <f>Tabela6[[#This Row],[CONSUMO]]*Tabela6[[#This Row],[VALOR UNIT]]-Tabela6[[#This Row],[DESCONTO]]</f>
        <v>618.2568</v>
      </c>
      <c r="L5011" s="53">
        <f>Tabela6[[#This Row],[CUSTO TOTAL]]/Tabela6[[#This Row],[CONSUMO]]</f>
        <v>6.09</v>
      </c>
      <c r="M5011" s="53" t="e">
        <f t="array" ref="M5011">SE</f>
        <v>#NAME?</v>
      </c>
      <c r="N5011" s="49" t="e">
        <f>Tabela6[[#This Row],[KM Rodados ]]/Tabela6[[#This Row],[CONSUMO]]</f>
        <v>#NAME?</v>
      </c>
    </row>
    <row r="5012" spans="1:14" x14ac:dyDescent="0.25">
      <c r="A5012" s="47">
        <v>647611</v>
      </c>
      <c r="B5012" s="78">
        <v>45491</v>
      </c>
      <c r="C5012" s="47" t="s">
        <v>15</v>
      </c>
      <c r="D5012" s="49" t="s">
        <v>235</v>
      </c>
      <c r="E5012" s="47">
        <v>440814</v>
      </c>
      <c r="G5012" s="50" t="s">
        <v>89</v>
      </c>
      <c r="H5012" s="51">
        <v>103.15</v>
      </c>
      <c r="J5012" s="51">
        <v>6.32</v>
      </c>
      <c r="K5012" s="74">
        <f>Tabela6[[#This Row],[CONSUMO]]*Tabela6[[#This Row],[VALOR UNIT]]-Tabela6[[#This Row],[DESCONTO]]</f>
        <v>651.90800000000002</v>
      </c>
      <c r="L5012" s="53">
        <f>Tabela6[[#This Row],[CUSTO TOTAL]]/Tabela6[[#This Row],[CONSUMO]]</f>
        <v>6.3199999999999994</v>
      </c>
      <c r="M5012" s="53" t="e">
        <f t="array" ref="M5012">SE</f>
        <v>#NAME?</v>
      </c>
      <c r="N5012" s="49" t="e">
        <f>Tabela6[[#This Row],[KM Rodados ]]/Tabela6[[#This Row],[CONSUMO]]</f>
        <v>#NAME?</v>
      </c>
    </row>
    <row r="5013" spans="1:14" x14ac:dyDescent="0.25">
      <c r="A5013" s="47">
        <v>280733</v>
      </c>
      <c r="B5013" s="78">
        <v>45491</v>
      </c>
      <c r="C5013" s="47" t="s">
        <v>315</v>
      </c>
      <c r="D5013" s="49" t="s">
        <v>253</v>
      </c>
      <c r="E5013" s="47">
        <v>38192</v>
      </c>
      <c r="G5013" s="50" t="s">
        <v>89</v>
      </c>
      <c r="H5013" s="51">
        <v>39.880000000000003</v>
      </c>
      <c r="J5013" s="51">
        <v>6.09</v>
      </c>
      <c r="K5013" s="74">
        <f>Tabela6[[#This Row],[CONSUMO]]*Tabela6[[#This Row],[VALOR UNIT]]-Tabela6[[#This Row],[DESCONTO]]</f>
        <v>242.86920000000001</v>
      </c>
      <c r="L5013" s="53">
        <f>Tabela6[[#This Row],[CUSTO TOTAL]]/Tabela6[[#This Row],[CONSUMO]]</f>
        <v>6.09</v>
      </c>
      <c r="M5013" s="53" t="e">
        <f t="array" ref="M5013">SE</f>
        <v>#NAME?</v>
      </c>
      <c r="N5013" s="49" t="e">
        <f>Tabela6[[#This Row],[KM Rodados ]]/Tabela6[[#This Row],[CONSUMO]]</f>
        <v>#NAME?</v>
      </c>
    </row>
    <row r="5014" spans="1:14" x14ac:dyDescent="0.25">
      <c r="A5014" s="47">
        <v>280733</v>
      </c>
      <c r="B5014" s="78">
        <v>45491</v>
      </c>
      <c r="C5014" s="47" t="s">
        <v>315</v>
      </c>
      <c r="D5014" s="49" t="s">
        <v>253</v>
      </c>
      <c r="E5014" s="47">
        <v>38192</v>
      </c>
      <c r="G5014" s="50" t="s">
        <v>241</v>
      </c>
      <c r="H5014" s="51">
        <v>4.0999999999999996</v>
      </c>
      <c r="J5014" s="51">
        <v>3.49</v>
      </c>
      <c r="K5014" s="74">
        <f>Tabela6[[#This Row],[CONSUMO]]*Tabela6[[#This Row],[VALOR UNIT]]-Tabela6[[#This Row],[DESCONTO]]</f>
        <v>14.308999999999999</v>
      </c>
      <c r="L5014" s="53">
        <f>Tabela6[[#This Row],[CUSTO TOTAL]]/Tabela6[[#This Row],[CONSUMO]]</f>
        <v>3.49</v>
      </c>
      <c r="M5014" s="53" t="e">
        <f t="array" ref="M5014">SE</f>
        <v>#NAME?</v>
      </c>
      <c r="N5014" s="49" t="e">
        <f>Tabela6[[#This Row],[KM Rodados ]]/Tabela6[[#This Row],[CONSUMO]]</f>
        <v>#NAME?</v>
      </c>
    </row>
    <row r="5015" spans="1:14" x14ac:dyDescent="0.25">
      <c r="A5015" s="47">
        <v>278353</v>
      </c>
      <c r="B5015" s="78">
        <v>45491</v>
      </c>
      <c r="C5015" s="47" t="s">
        <v>426</v>
      </c>
      <c r="D5015" s="49" t="s">
        <v>262</v>
      </c>
      <c r="E5015" s="47">
        <v>33322</v>
      </c>
      <c r="G5015" s="50" t="s">
        <v>241</v>
      </c>
      <c r="H5015" s="51">
        <v>1</v>
      </c>
      <c r="J5015" s="51">
        <v>3.69</v>
      </c>
      <c r="K5015" s="74">
        <f>Tabela6[[#This Row],[CONSUMO]]*Tabela6[[#This Row],[VALOR UNIT]]-Tabela6[[#This Row],[DESCONTO]]</f>
        <v>3.69</v>
      </c>
      <c r="L5015" s="53">
        <f>Tabela6[[#This Row],[CUSTO TOTAL]]/Tabela6[[#This Row],[CONSUMO]]</f>
        <v>3.69</v>
      </c>
      <c r="M5015" s="53" t="e">
        <f t="array" ref="M5015">SE</f>
        <v>#NAME?</v>
      </c>
      <c r="N5015" s="49" t="e">
        <f>Tabela6[[#This Row],[KM Rodados ]]/Tabela6[[#This Row],[CONSUMO]]</f>
        <v>#NAME?</v>
      </c>
    </row>
    <row r="5016" spans="1:14" x14ac:dyDescent="0.25">
      <c r="A5016" s="47">
        <v>278353</v>
      </c>
      <c r="B5016" s="78">
        <v>45491</v>
      </c>
      <c r="C5016" s="47" t="s">
        <v>426</v>
      </c>
      <c r="D5016" s="49" t="s">
        <v>262</v>
      </c>
      <c r="E5016" s="47">
        <v>33322</v>
      </c>
      <c r="G5016" s="50" t="s">
        <v>89</v>
      </c>
      <c r="H5016" s="51">
        <v>55.21</v>
      </c>
      <c r="I5016" s="49">
        <v>0.36</v>
      </c>
      <c r="J5016" s="51">
        <v>6.09</v>
      </c>
      <c r="K5016" s="74">
        <f>Tabela6[[#This Row],[CONSUMO]]*Tabela6[[#This Row],[VALOR UNIT]]-Tabela6[[#This Row],[DESCONTO]]</f>
        <v>335.8689</v>
      </c>
      <c r="L5016" s="53">
        <f>Tabela6[[#This Row],[CUSTO TOTAL]]/Tabela6[[#This Row],[CONSUMO]]</f>
        <v>6.0834794421300487</v>
      </c>
      <c r="M5016" s="53" t="e">
        <f t="array" ref="M5016">SE</f>
        <v>#NAME?</v>
      </c>
      <c r="N5016" s="49" t="e">
        <f>Tabela6[[#This Row],[KM Rodados ]]/Tabela6[[#This Row],[CONSUMO]]</f>
        <v>#NAME?</v>
      </c>
    </row>
    <row r="5017" spans="1:14" x14ac:dyDescent="0.25">
      <c r="A5017" s="47">
        <v>226084</v>
      </c>
      <c r="B5017" s="78">
        <v>45492</v>
      </c>
      <c r="C5017" s="47" t="s">
        <v>43</v>
      </c>
      <c r="D5017" s="49" t="s">
        <v>263</v>
      </c>
      <c r="E5017" s="47">
        <v>198111</v>
      </c>
      <c r="G5017" s="50" t="s">
        <v>89</v>
      </c>
      <c r="H5017" s="51">
        <v>30.751000000000001</v>
      </c>
      <c r="I5017" s="49">
        <v>4.6100000000000003</v>
      </c>
      <c r="J5017" s="51">
        <v>6.09</v>
      </c>
      <c r="K5017" s="74">
        <f>Tabela6[[#This Row],[CONSUMO]]*Tabela6[[#This Row],[VALOR UNIT]]-Tabela6[[#This Row],[DESCONTO]]</f>
        <v>182.66359</v>
      </c>
      <c r="L5017" s="53">
        <f>Tabela6[[#This Row],[CUSTO TOTAL]]/Tabela6[[#This Row],[CONSUMO]]</f>
        <v>5.9400861760593147</v>
      </c>
      <c r="M5017" s="53" t="e">
        <f t="array" ref="M5017">SE</f>
        <v>#NAME?</v>
      </c>
      <c r="N5017" s="49" t="e">
        <f>Tabela6[[#This Row],[KM Rodados ]]/Tabela6[[#This Row],[CONSUMO]]</f>
        <v>#NAME?</v>
      </c>
    </row>
    <row r="5018" spans="1:14" x14ac:dyDescent="0.25">
      <c r="A5018" s="47">
        <v>278555</v>
      </c>
      <c r="B5018" s="78">
        <v>45492</v>
      </c>
      <c r="C5018" s="47" t="s">
        <v>394</v>
      </c>
      <c r="D5018" s="49" t="s">
        <v>262</v>
      </c>
      <c r="E5018" s="47">
        <v>896828</v>
      </c>
      <c r="G5018" s="50" t="s">
        <v>89</v>
      </c>
      <c r="H5018" s="51">
        <v>25.1</v>
      </c>
      <c r="J5018" s="51">
        <v>6.09</v>
      </c>
      <c r="K5018" s="74">
        <f>Tabela6[[#This Row],[CONSUMO]]*Tabela6[[#This Row],[VALOR UNIT]]-Tabela6[[#This Row],[DESCONTO]]</f>
        <v>152.85900000000001</v>
      </c>
      <c r="L5018" s="53">
        <f>Tabela6[[#This Row],[CUSTO TOTAL]]/Tabela6[[#This Row],[CONSUMO]]</f>
        <v>6.09</v>
      </c>
      <c r="M5018" s="53" t="e">
        <f t="array" ref="M5018">SE</f>
        <v>#NAME?</v>
      </c>
      <c r="N5018" s="49" t="e">
        <f>Tabela6[[#This Row],[KM Rodados ]]/Tabela6[[#This Row],[CONSUMO]]</f>
        <v>#NAME?</v>
      </c>
    </row>
    <row r="5019" spans="1:14" x14ac:dyDescent="0.25">
      <c r="A5019" s="47">
        <v>35726</v>
      </c>
      <c r="B5019" s="78">
        <v>45492</v>
      </c>
      <c r="C5019" s="47" t="s">
        <v>222</v>
      </c>
      <c r="D5019" s="49" t="s">
        <v>344</v>
      </c>
      <c r="E5019" s="47">
        <v>602473</v>
      </c>
      <c r="G5019" s="50" t="s">
        <v>89</v>
      </c>
      <c r="H5019" s="51">
        <v>380</v>
      </c>
      <c r="J5019" s="51">
        <v>5.65</v>
      </c>
      <c r="K5019" s="74">
        <f>Tabela6[[#This Row],[CONSUMO]]*Tabela6[[#This Row],[VALOR UNIT]]-Tabela6[[#This Row],[DESCONTO]]</f>
        <v>2147</v>
      </c>
      <c r="L5019" s="53">
        <f>Tabela6[[#This Row],[CUSTO TOTAL]]/Tabela6[[#This Row],[CONSUMO]]</f>
        <v>5.65</v>
      </c>
      <c r="M5019" s="53" t="e">
        <f t="array" ref="M5019">SE</f>
        <v>#NAME?</v>
      </c>
      <c r="N5019" s="49" t="e">
        <f>Tabela6[[#This Row],[KM Rodados ]]/Tabela6[[#This Row],[CONSUMO]]</f>
        <v>#NAME?</v>
      </c>
    </row>
    <row r="5020" spans="1:14" x14ac:dyDescent="0.25">
      <c r="A5020" s="47">
        <v>35727</v>
      </c>
      <c r="B5020" s="78">
        <v>45492</v>
      </c>
      <c r="C5020" s="47" t="s">
        <v>222</v>
      </c>
      <c r="D5020" s="49" t="s">
        <v>344</v>
      </c>
      <c r="E5020" s="47">
        <v>602473</v>
      </c>
      <c r="G5020" s="50" t="s">
        <v>241</v>
      </c>
      <c r="H5020" s="51">
        <v>20.010999999999999</v>
      </c>
      <c r="J5020" s="51">
        <v>5.65</v>
      </c>
      <c r="K5020" s="74">
        <f>Tabela6[[#This Row],[CONSUMO]]*Tabela6[[#This Row],[VALOR UNIT]]-Tabela6[[#This Row],[DESCONTO]]</f>
        <v>113.06215</v>
      </c>
      <c r="L5020" s="53">
        <f>Tabela6[[#This Row],[CUSTO TOTAL]]/Tabela6[[#This Row],[CONSUMO]]</f>
        <v>5.65</v>
      </c>
      <c r="M5020" s="53" t="e">
        <f t="array" ref="M5020">SE</f>
        <v>#NAME?</v>
      </c>
      <c r="N5020" s="49" t="e">
        <f>Tabela6[[#This Row],[KM Rodados ]]/Tabela6[[#This Row],[CONSUMO]]</f>
        <v>#NAME?</v>
      </c>
    </row>
    <row r="5021" spans="1:14" x14ac:dyDescent="0.25">
      <c r="A5021" s="47">
        <v>281766</v>
      </c>
      <c r="B5021" s="78">
        <v>45492</v>
      </c>
      <c r="C5021" s="47" t="s">
        <v>23</v>
      </c>
      <c r="D5021" s="49" t="s">
        <v>253</v>
      </c>
      <c r="E5021" s="47">
        <v>285635</v>
      </c>
      <c r="G5021" s="50" t="s">
        <v>89</v>
      </c>
      <c r="H5021" s="51">
        <v>136.4</v>
      </c>
      <c r="J5021" s="51">
        <v>6.09</v>
      </c>
      <c r="K5021" s="74">
        <f>Tabela6[[#This Row],[CONSUMO]]*Tabela6[[#This Row],[VALOR UNIT]]-Tabela6[[#This Row],[DESCONTO]]</f>
        <v>830.67600000000004</v>
      </c>
      <c r="L5021" s="53">
        <f>Tabela6[[#This Row],[CUSTO TOTAL]]/Tabela6[[#This Row],[CONSUMO]]</f>
        <v>6.09</v>
      </c>
      <c r="M5021" s="53" t="e">
        <f t="array" ref="M5021">SE</f>
        <v>#NAME?</v>
      </c>
      <c r="N5021" s="49" t="e">
        <f>Tabela6[[#This Row],[KM Rodados ]]/Tabela6[[#This Row],[CONSUMO]]</f>
        <v>#NAME?</v>
      </c>
    </row>
    <row r="5022" spans="1:14" x14ac:dyDescent="0.25">
      <c r="A5022" s="47">
        <v>285984</v>
      </c>
      <c r="B5022" s="78">
        <v>45493</v>
      </c>
      <c r="C5022" s="47" t="s">
        <v>222</v>
      </c>
      <c r="D5022" s="49" t="s">
        <v>374</v>
      </c>
      <c r="E5022" s="47">
        <v>603261</v>
      </c>
      <c r="G5022" s="50" t="s">
        <v>89</v>
      </c>
      <c r="H5022" s="51">
        <v>390</v>
      </c>
      <c r="J5022" s="51">
        <v>5.84</v>
      </c>
      <c r="K5022" s="74">
        <f>Tabela6[[#This Row],[CONSUMO]]*Tabela6[[#This Row],[VALOR UNIT]]-Tabela6[[#This Row],[DESCONTO]]</f>
        <v>2277.6</v>
      </c>
      <c r="L5022" s="53">
        <f>Tabela6[[#This Row],[CUSTO TOTAL]]/Tabela6[[#This Row],[CONSUMO]]</f>
        <v>5.84</v>
      </c>
      <c r="M5022" s="53" t="e">
        <f t="array" ref="M5022">SE</f>
        <v>#NAME?</v>
      </c>
      <c r="N5022" s="49" t="e">
        <f>Tabela6[[#This Row],[KM Rodados ]]/Tabela6[[#This Row],[CONSUMO]]</f>
        <v>#NAME?</v>
      </c>
    </row>
    <row r="5023" spans="1:14" x14ac:dyDescent="0.25">
      <c r="A5023" s="47">
        <v>285985</v>
      </c>
      <c r="B5023" s="78">
        <v>45493</v>
      </c>
      <c r="C5023" s="47" t="s">
        <v>222</v>
      </c>
      <c r="D5023" s="49" t="s">
        <v>374</v>
      </c>
      <c r="E5023" s="47">
        <v>603261</v>
      </c>
      <c r="G5023" s="50" t="s">
        <v>241</v>
      </c>
      <c r="H5023" s="51">
        <v>20</v>
      </c>
      <c r="J5023" s="51">
        <v>2.99</v>
      </c>
      <c r="K5023" s="74">
        <f>Tabela6[[#This Row],[CONSUMO]]*Tabela6[[#This Row],[VALOR UNIT]]-Tabela6[[#This Row],[DESCONTO]]</f>
        <v>59.800000000000004</v>
      </c>
      <c r="L5023" s="53">
        <f>Tabela6[[#This Row],[CUSTO TOTAL]]/Tabela6[[#This Row],[CONSUMO]]</f>
        <v>2.99</v>
      </c>
      <c r="M5023" s="53" t="e">
        <f t="array" ref="M5023">SE</f>
        <v>#NAME?</v>
      </c>
      <c r="N5023" s="49" t="e">
        <f>Tabela6[[#This Row],[KM Rodados ]]/Tabela6[[#This Row],[CONSUMO]]</f>
        <v>#NAME?</v>
      </c>
    </row>
    <row r="5024" spans="1:14" x14ac:dyDescent="0.25">
      <c r="A5024" s="47">
        <v>418125</v>
      </c>
      <c r="B5024" s="78">
        <v>45493</v>
      </c>
      <c r="C5024" s="47" t="s">
        <v>73</v>
      </c>
      <c r="D5024" s="49" t="s">
        <v>276</v>
      </c>
      <c r="E5024" s="47">
        <v>212326</v>
      </c>
      <c r="G5024" s="50" t="s">
        <v>241</v>
      </c>
      <c r="H5024" s="51">
        <v>24.004000000000001</v>
      </c>
      <c r="J5024" s="51">
        <v>3.69</v>
      </c>
      <c r="K5024" s="74">
        <f>Tabela6[[#This Row],[CONSUMO]]*Tabela6[[#This Row],[VALOR UNIT]]-Tabela6[[#This Row],[DESCONTO]]</f>
        <v>88.574759999999998</v>
      </c>
      <c r="L5024" s="53">
        <f>Tabela6[[#This Row],[CUSTO TOTAL]]/Tabela6[[#This Row],[CONSUMO]]</f>
        <v>3.6899999999999995</v>
      </c>
      <c r="M5024" s="53" t="e">
        <f t="array" ref="M5024">SE</f>
        <v>#NAME?</v>
      </c>
      <c r="N5024" s="49" t="e">
        <f>Tabela6[[#This Row],[KM Rodados ]]/Tabela6[[#This Row],[CONSUMO]]</f>
        <v>#NAME?</v>
      </c>
    </row>
    <row r="5025" spans="1:14" x14ac:dyDescent="0.25">
      <c r="A5025" s="47">
        <v>418125</v>
      </c>
      <c r="B5025" s="78">
        <v>45493</v>
      </c>
      <c r="C5025" s="47" t="s">
        <v>73</v>
      </c>
      <c r="D5025" s="49" t="s">
        <v>276</v>
      </c>
      <c r="E5025" s="47">
        <v>212326</v>
      </c>
      <c r="G5025" s="50" t="s">
        <v>89</v>
      </c>
      <c r="H5025" s="51">
        <v>207.99</v>
      </c>
      <c r="J5025" s="51">
        <v>6.19</v>
      </c>
      <c r="K5025" s="74">
        <f>Tabela6[[#This Row],[CONSUMO]]*Tabela6[[#This Row],[VALOR UNIT]]-Tabela6[[#This Row],[DESCONTO]]</f>
        <v>1287.4581000000001</v>
      </c>
      <c r="L5025" s="53">
        <f>Tabela6[[#This Row],[CUSTO TOTAL]]/Tabela6[[#This Row],[CONSUMO]]</f>
        <v>6.19</v>
      </c>
      <c r="M5025" s="53" t="e">
        <f t="array" ref="M5025">SE</f>
        <v>#NAME?</v>
      </c>
      <c r="N5025" s="49" t="e">
        <f>Tabela6[[#This Row],[KM Rodados ]]/Tabela6[[#This Row],[CONSUMO]]</f>
        <v>#NAME?</v>
      </c>
    </row>
    <row r="5026" spans="1:14" x14ac:dyDescent="0.25">
      <c r="A5026" s="47">
        <v>185276</v>
      </c>
      <c r="B5026" s="78">
        <v>45493</v>
      </c>
      <c r="C5026" s="47" t="s">
        <v>10</v>
      </c>
      <c r="D5026" s="49" t="s">
        <v>279</v>
      </c>
      <c r="E5026" s="47">
        <v>774727</v>
      </c>
      <c r="G5026" s="50" t="s">
        <v>89</v>
      </c>
      <c r="H5026" s="51">
        <v>170.83</v>
      </c>
      <c r="J5026" s="51">
        <v>5.69</v>
      </c>
      <c r="K5026" s="74">
        <f>Tabela6[[#This Row],[CONSUMO]]*Tabela6[[#This Row],[VALOR UNIT]]-Tabela6[[#This Row],[DESCONTO]]</f>
        <v>972.0227000000001</v>
      </c>
      <c r="L5026" s="53">
        <f>Tabela6[[#This Row],[CUSTO TOTAL]]/Tabela6[[#This Row],[CONSUMO]]</f>
        <v>5.69</v>
      </c>
      <c r="M5026" s="53" t="e">
        <f t="array" ref="M5026">SE</f>
        <v>#NAME?</v>
      </c>
      <c r="N5026" s="49" t="e">
        <f>Tabela6[[#This Row],[KM Rodados ]]/Tabela6[[#This Row],[CONSUMO]]</f>
        <v>#NAME?</v>
      </c>
    </row>
    <row r="5027" spans="1:14" x14ac:dyDescent="0.25">
      <c r="A5027" s="47" t="s">
        <v>517</v>
      </c>
      <c r="B5027" s="78">
        <v>45493</v>
      </c>
      <c r="C5027" s="47" t="s">
        <v>13</v>
      </c>
      <c r="D5027" s="49" t="s">
        <v>279</v>
      </c>
      <c r="E5027" s="47">
        <v>695719</v>
      </c>
      <c r="G5027" s="50" t="s">
        <v>89</v>
      </c>
      <c r="H5027" s="51">
        <v>144.011</v>
      </c>
      <c r="J5027" s="51">
        <v>5.69</v>
      </c>
      <c r="K5027" s="74">
        <f>Tabela6[[#This Row],[CONSUMO]]*Tabela6[[#This Row],[VALOR UNIT]]-Tabela6[[#This Row],[DESCONTO]]</f>
        <v>819.42259000000001</v>
      </c>
      <c r="L5027" s="53">
        <f>Tabela6[[#This Row],[CUSTO TOTAL]]/Tabela6[[#This Row],[CONSUMO]]</f>
        <v>5.69</v>
      </c>
      <c r="M5027" s="53" t="e">
        <f t="array" ref="M5027">SE</f>
        <v>#NAME?</v>
      </c>
      <c r="N5027" s="49" t="e">
        <f>Tabela6[[#This Row],[KM Rodados ]]/Tabela6[[#This Row],[CONSUMO]]</f>
        <v>#NAME?</v>
      </c>
    </row>
    <row r="5028" spans="1:14" x14ac:dyDescent="0.25">
      <c r="A5028" s="47">
        <v>185275</v>
      </c>
      <c r="B5028" s="78">
        <v>45493</v>
      </c>
      <c r="C5028" s="47" t="s">
        <v>13</v>
      </c>
      <c r="D5028" s="49" t="s">
        <v>279</v>
      </c>
      <c r="E5028" s="47">
        <v>695719</v>
      </c>
      <c r="G5028" s="50" t="s">
        <v>241</v>
      </c>
      <c r="H5028" s="51">
        <v>22.120999999999999</v>
      </c>
      <c r="J5028" s="51">
        <v>2.99</v>
      </c>
      <c r="K5028" s="74">
        <f>Tabela6[[#This Row],[CONSUMO]]*Tabela6[[#This Row],[VALOR UNIT]]-Tabela6[[#This Row],[DESCONTO]]</f>
        <v>66.14179</v>
      </c>
      <c r="L5028" s="53">
        <f>Tabela6[[#This Row],[CUSTO TOTAL]]/Tabela6[[#This Row],[CONSUMO]]</f>
        <v>2.99</v>
      </c>
      <c r="M5028" s="53" t="e">
        <f t="array" ref="M5028">SE</f>
        <v>#NAME?</v>
      </c>
      <c r="N5028" s="49" t="e">
        <f>Tabela6[[#This Row],[KM Rodados ]]/Tabela6[[#This Row],[CONSUMO]]</f>
        <v>#NAME?</v>
      </c>
    </row>
    <row r="5029" spans="1:14" x14ac:dyDescent="0.25">
      <c r="A5029" s="47">
        <v>315638</v>
      </c>
      <c r="B5029" s="78">
        <v>45494</v>
      </c>
      <c r="C5029" s="47" t="s">
        <v>67</v>
      </c>
      <c r="D5029" s="49" t="s">
        <v>273</v>
      </c>
      <c r="E5029" s="47">
        <v>725495</v>
      </c>
      <c r="G5029" s="50" t="s">
        <v>89</v>
      </c>
      <c r="H5029" s="51">
        <v>133</v>
      </c>
      <c r="J5029" s="51">
        <v>5.69</v>
      </c>
      <c r="K5029" s="74">
        <f>Tabela6[[#This Row],[CONSUMO]]*Tabela6[[#This Row],[VALOR UNIT]]-Tabela6[[#This Row],[DESCONTO]]</f>
        <v>756.7700000000001</v>
      </c>
      <c r="L5029" s="53">
        <f>Tabela6[[#This Row],[CUSTO TOTAL]]/Tabela6[[#This Row],[CONSUMO]]</f>
        <v>5.69</v>
      </c>
      <c r="M5029" s="53" t="e">
        <f t="array" ref="M5029">SE</f>
        <v>#NAME?</v>
      </c>
      <c r="N5029" s="49" t="e">
        <f>Tabela6[[#This Row],[KM Rodados ]]/Tabela6[[#This Row],[CONSUMO]]</f>
        <v>#NAME?</v>
      </c>
    </row>
    <row r="5030" spans="1:14" x14ac:dyDescent="0.25">
      <c r="A5030" s="47">
        <v>315639</v>
      </c>
      <c r="B5030" s="78">
        <v>45494</v>
      </c>
      <c r="C5030" s="47" t="s">
        <v>67</v>
      </c>
      <c r="D5030" s="49" t="s">
        <v>273</v>
      </c>
      <c r="E5030" s="47">
        <v>725495</v>
      </c>
      <c r="G5030" s="50" t="s">
        <v>241</v>
      </c>
      <c r="H5030" s="51">
        <v>11.432</v>
      </c>
      <c r="J5030" s="51">
        <v>2.99</v>
      </c>
      <c r="K5030" s="74">
        <f>Tabela6[[#This Row],[CONSUMO]]*Tabela6[[#This Row],[VALOR UNIT]]-Tabela6[[#This Row],[DESCONTO]]</f>
        <v>34.18168</v>
      </c>
      <c r="L5030" s="53">
        <f>Tabela6[[#This Row],[CUSTO TOTAL]]/Tabela6[[#This Row],[CONSUMO]]</f>
        <v>2.9899999999999998</v>
      </c>
      <c r="M5030" s="53" t="e">
        <f t="array" ref="M5030">SE</f>
        <v>#NAME?</v>
      </c>
      <c r="N5030" s="49" t="e">
        <f>Tabela6[[#This Row],[KM Rodados ]]/Tabela6[[#This Row],[CONSUMO]]</f>
        <v>#NAME?</v>
      </c>
    </row>
    <row r="5031" spans="1:14" x14ac:dyDescent="0.25">
      <c r="A5031" s="47">
        <v>185090</v>
      </c>
      <c r="B5031" s="78">
        <v>45494</v>
      </c>
      <c r="C5031" s="47" t="s">
        <v>206</v>
      </c>
      <c r="D5031" s="49" t="s">
        <v>305</v>
      </c>
      <c r="E5031" s="47">
        <v>101725</v>
      </c>
      <c r="G5031" s="50" t="s">
        <v>89</v>
      </c>
      <c r="H5031" s="51">
        <v>520.98900000000003</v>
      </c>
      <c r="J5031" s="51">
        <v>5.85</v>
      </c>
      <c r="K5031" s="74">
        <f>Tabela6[[#This Row],[CONSUMO]]*Tabela6[[#This Row],[VALOR UNIT]]-Tabela6[[#This Row],[DESCONTO]]</f>
        <v>3047.7856499999998</v>
      </c>
      <c r="L5031" s="53">
        <f>Tabela6[[#This Row],[CUSTO TOTAL]]/Tabela6[[#This Row],[CONSUMO]]</f>
        <v>5.85</v>
      </c>
      <c r="M5031" s="53" t="e">
        <f t="array" ref="M5031">SE</f>
        <v>#NAME?</v>
      </c>
      <c r="N5031" s="49" t="e">
        <f>Tabela6[[#This Row],[KM Rodados ]]/Tabela6[[#This Row],[CONSUMO]]</f>
        <v>#NAME?</v>
      </c>
    </row>
    <row r="5032" spans="1:14" x14ac:dyDescent="0.25">
      <c r="A5032" s="47">
        <v>185090</v>
      </c>
      <c r="B5032" s="78">
        <v>45494</v>
      </c>
      <c r="C5032" s="47" t="s">
        <v>206</v>
      </c>
      <c r="D5032" s="49" t="s">
        <v>305</v>
      </c>
      <c r="E5032" s="47">
        <v>101725</v>
      </c>
      <c r="G5032" s="50" t="s">
        <v>241</v>
      </c>
      <c r="H5032" s="51">
        <v>35.58</v>
      </c>
      <c r="J5032" s="51">
        <v>3.59</v>
      </c>
      <c r="K5032" s="74">
        <f>Tabela6[[#This Row],[CONSUMO]]*Tabela6[[#This Row],[VALOR UNIT]]-Tabela6[[#This Row],[DESCONTO]]</f>
        <v>127.73219999999999</v>
      </c>
      <c r="L5032" s="53">
        <f>Tabela6[[#This Row],[CUSTO TOTAL]]/Tabela6[[#This Row],[CONSUMO]]</f>
        <v>3.59</v>
      </c>
      <c r="M5032" s="53" t="e">
        <f t="array" ref="M5032">SE</f>
        <v>#NAME?</v>
      </c>
      <c r="N5032" s="49" t="e">
        <f>Tabela6[[#This Row],[KM Rodados ]]/Tabela6[[#This Row],[CONSUMO]]</f>
        <v>#NAME?</v>
      </c>
    </row>
    <row r="5033" spans="1:14" x14ac:dyDescent="0.25">
      <c r="A5033" s="47">
        <v>153557</v>
      </c>
      <c r="B5033" s="78">
        <v>45495</v>
      </c>
      <c r="C5033" s="47" t="s">
        <v>394</v>
      </c>
      <c r="D5033" s="49" t="s">
        <v>511</v>
      </c>
      <c r="E5033" s="47">
        <v>179244</v>
      </c>
      <c r="G5033" s="50" t="s">
        <v>89</v>
      </c>
      <c r="H5033" s="51">
        <v>99</v>
      </c>
      <c r="J5033" s="51">
        <v>6.19</v>
      </c>
      <c r="K5033" s="74">
        <f>Tabela6[[#This Row],[CONSUMO]]*Tabela6[[#This Row],[VALOR UNIT]]-Tabela6[[#This Row],[DESCONTO]]</f>
        <v>612.81000000000006</v>
      </c>
      <c r="L5033" s="53">
        <f>Tabela6[[#This Row],[CUSTO TOTAL]]/Tabela6[[#This Row],[CONSUMO]]</f>
        <v>6.19</v>
      </c>
      <c r="M5033" s="53" t="e">
        <f t="array" ref="M5033">SE</f>
        <v>#NAME?</v>
      </c>
      <c r="N5033" s="49" t="e">
        <f>Tabela6[[#This Row],[KM Rodados ]]/Tabela6[[#This Row],[CONSUMO]]</f>
        <v>#NAME?</v>
      </c>
    </row>
    <row r="5034" spans="1:14" x14ac:dyDescent="0.25">
      <c r="A5034" s="47">
        <v>59344</v>
      </c>
      <c r="B5034" s="78">
        <v>45495</v>
      </c>
      <c r="C5034" s="47" t="s">
        <v>222</v>
      </c>
      <c r="D5034" s="49" t="s">
        <v>332</v>
      </c>
      <c r="G5034" s="50" t="s">
        <v>241</v>
      </c>
      <c r="H5034" s="51">
        <v>35.033000000000001</v>
      </c>
      <c r="J5034" s="51">
        <v>2.99</v>
      </c>
      <c r="K5034" s="74">
        <f>Tabela6[[#This Row],[CONSUMO]]*Tabela6[[#This Row],[VALOR UNIT]]-Tabela6[[#This Row],[DESCONTO]]</f>
        <v>104.74867</v>
      </c>
      <c r="L5034" s="53">
        <f>Tabela6[[#This Row],[CUSTO TOTAL]]/Tabela6[[#This Row],[CONSUMO]]</f>
        <v>2.99</v>
      </c>
      <c r="M5034" s="53" t="e">
        <f t="array" ref="M5034">SE</f>
        <v>#NAME?</v>
      </c>
      <c r="N5034" s="49" t="e">
        <f>Tabela6[[#This Row],[KM Rodados ]]/Tabela6[[#This Row],[CONSUMO]]</f>
        <v>#NAME?</v>
      </c>
    </row>
    <row r="5035" spans="1:14" x14ac:dyDescent="0.25">
      <c r="A5035" s="47">
        <v>55417</v>
      </c>
      <c r="B5035" s="78">
        <v>45495</v>
      </c>
      <c r="C5035" s="47" t="s">
        <v>222</v>
      </c>
      <c r="D5035" s="49" t="s">
        <v>332</v>
      </c>
      <c r="E5035" s="47">
        <v>604101</v>
      </c>
      <c r="G5035" s="50" t="s">
        <v>89</v>
      </c>
      <c r="H5035" s="51">
        <v>454.41399999999999</v>
      </c>
      <c r="J5035" s="51">
        <v>5.64</v>
      </c>
      <c r="K5035" s="74">
        <f>Tabela6[[#This Row],[CONSUMO]]*Tabela6[[#This Row],[VALOR UNIT]]-Tabela6[[#This Row],[DESCONTO]]</f>
        <v>2562.8949599999996</v>
      </c>
      <c r="L5035" s="53">
        <f>Tabela6[[#This Row],[CUSTO TOTAL]]/Tabela6[[#This Row],[CONSUMO]]</f>
        <v>5.64</v>
      </c>
      <c r="M5035" s="53" t="e">
        <f t="array" ref="M5035">SE</f>
        <v>#NAME?</v>
      </c>
      <c r="N5035" s="49" t="e">
        <f>Tabela6[[#This Row],[KM Rodados ]]/Tabela6[[#This Row],[CONSUMO]]</f>
        <v>#NAME?</v>
      </c>
    </row>
    <row r="5036" spans="1:14" x14ac:dyDescent="0.25">
      <c r="A5036" s="47">
        <v>418833</v>
      </c>
      <c r="B5036" s="78">
        <v>45495</v>
      </c>
      <c r="C5036" s="47" t="s">
        <v>203</v>
      </c>
      <c r="D5036" s="49" t="s">
        <v>276</v>
      </c>
      <c r="E5036" s="47">
        <v>174543</v>
      </c>
      <c r="G5036" s="50" t="s">
        <v>244</v>
      </c>
      <c r="H5036" s="51">
        <v>35.609000000000002</v>
      </c>
      <c r="J5036" s="51">
        <v>6.09</v>
      </c>
      <c r="K5036" s="74">
        <f>Tabela6[[#This Row],[CONSUMO]]*Tabela6[[#This Row],[VALOR UNIT]]-Tabela6[[#This Row],[DESCONTO]]</f>
        <v>216.85881000000001</v>
      </c>
      <c r="L5036" s="53">
        <f>Tabela6[[#This Row],[CUSTO TOTAL]]/Tabela6[[#This Row],[CONSUMO]]</f>
        <v>6.09</v>
      </c>
      <c r="M5036" s="53" t="e">
        <f t="array" ref="M5036">SE</f>
        <v>#NAME?</v>
      </c>
      <c r="N5036" s="49" t="e">
        <f>Tabela6[[#This Row],[KM Rodados ]]/Tabela6[[#This Row],[CONSUMO]]</f>
        <v>#NAME?</v>
      </c>
    </row>
    <row r="5037" spans="1:14" x14ac:dyDescent="0.25">
      <c r="A5037" s="47">
        <v>279486</v>
      </c>
      <c r="B5037" s="78">
        <v>45495</v>
      </c>
      <c r="C5037" s="47" t="s">
        <v>14</v>
      </c>
      <c r="D5037" s="49" t="s">
        <v>262</v>
      </c>
      <c r="E5037" s="47">
        <v>338423</v>
      </c>
      <c r="G5037" s="50" t="s">
        <v>244</v>
      </c>
      <c r="H5037" s="51">
        <v>30.2</v>
      </c>
      <c r="J5037" s="51">
        <v>5.99</v>
      </c>
      <c r="K5037" s="74">
        <f>Tabela6[[#This Row],[CONSUMO]]*Tabela6[[#This Row],[VALOR UNIT]]-Tabela6[[#This Row],[DESCONTO]]</f>
        <v>180.898</v>
      </c>
      <c r="L5037" s="53">
        <f>Tabela6[[#This Row],[CUSTO TOTAL]]/Tabela6[[#This Row],[CONSUMO]]</f>
        <v>5.99</v>
      </c>
      <c r="M5037" s="53" t="e">
        <f t="array" ref="M5037">SE</f>
        <v>#NAME?</v>
      </c>
      <c r="N5037" s="49" t="e">
        <f>Tabela6[[#This Row],[KM Rodados ]]/Tabela6[[#This Row],[CONSUMO]]</f>
        <v>#NAME?</v>
      </c>
    </row>
    <row r="5038" spans="1:14" x14ac:dyDescent="0.25">
      <c r="A5038" s="47" t="s">
        <v>528</v>
      </c>
      <c r="B5038" s="78">
        <v>45496</v>
      </c>
      <c r="C5038" s="47" t="s">
        <v>222</v>
      </c>
      <c r="D5038" s="49" t="s">
        <v>374</v>
      </c>
      <c r="G5038" s="50" t="s">
        <v>89</v>
      </c>
      <c r="H5038" s="51">
        <v>267.75</v>
      </c>
      <c r="J5038" s="51">
        <v>5.84</v>
      </c>
      <c r="K5038" s="74">
        <f>Tabela6[[#This Row],[CONSUMO]]*Tabela6[[#This Row],[VALOR UNIT]]-Tabela6[[#This Row],[DESCONTO]]</f>
        <v>1563.6599999999999</v>
      </c>
      <c r="L5038" s="53">
        <f>Tabela6[[#This Row],[CUSTO TOTAL]]/Tabela6[[#This Row],[CONSUMO]]</f>
        <v>5.84</v>
      </c>
      <c r="M5038" s="53" t="e">
        <f t="array" ref="M5038">SE</f>
        <v>#NAME?</v>
      </c>
      <c r="N5038" s="49" t="e">
        <f>Tabela6[[#This Row],[KM Rodados ]]/Tabela6[[#This Row],[CONSUMO]]</f>
        <v>#NAME?</v>
      </c>
    </row>
    <row r="5039" spans="1:14" x14ac:dyDescent="0.25">
      <c r="A5039" s="47">
        <v>226765</v>
      </c>
      <c r="B5039" s="78">
        <v>45496</v>
      </c>
      <c r="C5039" s="47" t="s">
        <v>72</v>
      </c>
      <c r="D5039" s="49" t="s">
        <v>263</v>
      </c>
      <c r="E5039" s="47">
        <v>469374</v>
      </c>
      <c r="G5039" s="50" t="s">
        <v>89</v>
      </c>
      <c r="H5039" s="51">
        <v>36.621000000000002</v>
      </c>
      <c r="I5039" s="49">
        <v>5.5</v>
      </c>
      <c r="J5039" s="51">
        <v>6.09</v>
      </c>
      <c r="K5039" s="74">
        <f>Tabela6[[#This Row],[CONSUMO]]*Tabela6[[#This Row],[VALOR UNIT]]-Tabela6[[#This Row],[DESCONTO]]</f>
        <v>217.52189000000001</v>
      </c>
      <c r="L5039" s="53">
        <f>Tabela6[[#This Row],[CUSTO TOTAL]]/Tabela6[[#This Row],[CONSUMO]]</f>
        <v>5.939812948854482</v>
      </c>
      <c r="M5039" s="53" t="e">
        <f t="array" ref="M5039">SE</f>
        <v>#NAME?</v>
      </c>
      <c r="N5039" s="49" t="e">
        <f>Tabela6[[#This Row],[KM Rodados ]]/Tabela6[[#This Row],[CONSUMO]]</f>
        <v>#NAME?</v>
      </c>
    </row>
    <row r="5040" spans="1:14" x14ac:dyDescent="0.25">
      <c r="A5040" s="47">
        <v>284628</v>
      </c>
      <c r="B5040" s="78">
        <v>45496</v>
      </c>
      <c r="C5040" s="47" t="s">
        <v>14</v>
      </c>
      <c r="D5040" s="49" t="s">
        <v>253</v>
      </c>
      <c r="G5040" s="50" t="s">
        <v>241</v>
      </c>
      <c r="H5040" s="51">
        <v>5</v>
      </c>
      <c r="J5040" s="51">
        <v>34.9</v>
      </c>
      <c r="K5040" s="74">
        <f>Tabela6[[#This Row],[CONSUMO]]*Tabela6[[#This Row],[VALOR UNIT]]-Tabela6[[#This Row],[DESCONTO]]</f>
        <v>174.5</v>
      </c>
      <c r="L5040" s="53">
        <f>Tabela6[[#This Row],[CUSTO TOTAL]]/Tabela6[[#This Row],[CONSUMO]]</f>
        <v>34.9</v>
      </c>
      <c r="M5040" s="53" t="e">
        <f t="array" ref="M5040">SE</f>
        <v>#NAME?</v>
      </c>
      <c r="N5040" s="49" t="e">
        <f>Tabela6[[#This Row],[KM Rodados ]]/Tabela6[[#This Row],[CONSUMO]]</f>
        <v>#NAME?</v>
      </c>
    </row>
    <row r="5041" spans="1:14" x14ac:dyDescent="0.25">
      <c r="A5041" s="47">
        <v>284621</v>
      </c>
      <c r="B5041" s="78">
        <v>45496</v>
      </c>
      <c r="C5041" s="47" t="s">
        <v>14</v>
      </c>
      <c r="D5041" s="49" t="s">
        <v>253</v>
      </c>
      <c r="G5041" s="50" t="s">
        <v>244</v>
      </c>
      <c r="H5041" s="51">
        <v>22.89</v>
      </c>
      <c r="J5041" s="51">
        <v>6.79</v>
      </c>
      <c r="K5041" s="74">
        <f>Tabela6[[#This Row],[CONSUMO]]*Tabela6[[#This Row],[VALOR UNIT]]-Tabela6[[#This Row],[DESCONTO]]</f>
        <v>155.42310000000001</v>
      </c>
      <c r="L5041" s="53">
        <f>Tabela6[[#This Row],[CUSTO TOTAL]]/Tabela6[[#This Row],[CONSUMO]]</f>
        <v>6.79</v>
      </c>
      <c r="M5041" s="53" t="e">
        <f t="array" ref="M5041">SE</f>
        <v>#NAME?</v>
      </c>
      <c r="N5041" s="49" t="e">
        <f>Tabela6[[#This Row],[KM Rodados ]]/Tabela6[[#This Row],[CONSUMO]]</f>
        <v>#NAME?</v>
      </c>
    </row>
    <row r="5042" spans="1:14" x14ac:dyDescent="0.25">
      <c r="A5042" s="47" t="s">
        <v>527</v>
      </c>
      <c r="B5042" s="78">
        <v>45496</v>
      </c>
      <c r="C5042" s="47" t="s">
        <v>19</v>
      </c>
      <c r="D5042" s="49" t="s">
        <v>324</v>
      </c>
      <c r="E5042" s="47">
        <v>389000</v>
      </c>
      <c r="G5042" s="50" t="s">
        <v>241</v>
      </c>
      <c r="H5042" s="51">
        <v>20.442</v>
      </c>
      <c r="J5042" s="51">
        <v>2.99</v>
      </c>
      <c r="K5042" s="74">
        <f>Tabela6[[#This Row],[CONSUMO]]*Tabela6[[#This Row],[VALOR UNIT]]-Tabela6[[#This Row],[DESCONTO]]</f>
        <v>61.121580000000002</v>
      </c>
      <c r="L5042" s="53">
        <f>Tabela6[[#This Row],[CUSTO TOTAL]]/Tabela6[[#This Row],[CONSUMO]]</f>
        <v>2.99</v>
      </c>
      <c r="M5042" s="53" t="e">
        <f t="array" ref="M5042">SE</f>
        <v>#NAME?</v>
      </c>
      <c r="N5042" s="49" t="e">
        <f>Tabela6[[#This Row],[KM Rodados ]]/Tabela6[[#This Row],[CONSUMO]]</f>
        <v>#NAME?</v>
      </c>
    </row>
    <row r="5043" spans="1:14" x14ac:dyDescent="0.25">
      <c r="A5043" s="47">
        <v>31656</v>
      </c>
      <c r="B5043" s="78">
        <v>45496</v>
      </c>
      <c r="C5043" s="47" t="s">
        <v>23</v>
      </c>
      <c r="D5043" s="49" t="s">
        <v>255</v>
      </c>
      <c r="E5043" s="47">
        <v>286309</v>
      </c>
      <c r="G5043" s="50" t="s">
        <v>89</v>
      </c>
      <c r="H5043" s="51">
        <v>161.86099999999999</v>
      </c>
      <c r="J5043" s="51">
        <v>6.09</v>
      </c>
      <c r="K5043" s="74">
        <f>Tabela6[[#This Row],[CONSUMO]]*Tabela6[[#This Row],[VALOR UNIT]]-Tabela6[[#This Row],[DESCONTO]]</f>
        <v>985.73348999999996</v>
      </c>
      <c r="L5043" s="53">
        <f>Tabela6[[#This Row],[CUSTO TOTAL]]/Tabela6[[#This Row],[CONSUMO]]</f>
        <v>6.09</v>
      </c>
      <c r="M5043" s="53" t="e">
        <f t="array" ref="M5043">SE</f>
        <v>#NAME?</v>
      </c>
      <c r="N5043" s="49" t="e">
        <f>Tabela6[[#This Row],[KM Rodados ]]/Tabela6[[#This Row],[CONSUMO]]</f>
        <v>#NAME?</v>
      </c>
    </row>
    <row r="5044" spans="1:14" x14ac:dyDescent="0.25">
      <c r="A5044" s="47">
        <v>284553</v>
      </c>
      <c r="B5044" s="78">
        <v>45496</v>
      </c>
      <c r="C5044" s="47" t="s">
        <v>315</v>
      </c>
      <c r="D5044" s="49" t="s">
        <v>253</v>
      </c>
      <c r="E5044" s="47">
        <v>38906</v>
      </c>
      <c r="G5044" s="50" t="s">
        <v>89</v>
      </c>
      <c r="H5044" s="51">
        <v>54.18</v>
      </c>
      <c r="J5044" s="51">
        <v>6.09</v>
      </c>
      <c r="K5044" s="74">
        <f>Tabela6[[#This Row],[CONSUMO]]*Tabela6[[#This Row],[VALOR UNIT]]-Tabela6[[#This Row],[DESCONTO]]</f>
        <v>329.95619999999997</v>
      </c>
      <c r="L5044" s="53">
        <f>Tabela6[[#This Row],[CUSTO TOTAL]]/Tabela6[[#This Row],[CONSUMO]]</f>
        <v>6.09</v>
      </c>
      <c r="M5044" s="53" t="e">
        <f t="array" ref="M5044">SE</f>
        <v>#NAME?</v>
      </c>
      <c r="N5044" s="49" t="e">
        <f>Tabela6[[#This Row],[KM Rodados ]]/Tabela6[[#This Row],[CONSUMO]]</f>
        <v>#NAME?</v>
      </c>
    </row>
    <row r="5045" spans="1:14" x14ac:dyDescent="0.25">
      <c r="A5045" s="47">
        <v>961662</v>
      </c>
      <c r="B5045" s="78">
        <v>45496</v>
      </c>
      <c r="C5045" s="47" t="s">
        <v>401</v>
      </c>
      <c r="D5045" s="49" t="s">
        <v>264</v>
      </c>
      <c r="E5045" s="47">
        <v>42758</v>
      </c>
      <c r="G5045" s="50" t="s">
        <v>89</v>
      </c>
      <c r="H5045" s="51">
        <v>84.47</v>
      </c>
      <c r="J5045" s="51">
        <v>5.92</v>
      </c>
      <c r="K5045" s="74">
        <f>Tabela6[[#This Row],[CONSUMO]]*Tabela6[[#This Row],[VALOR UNIT]]-Tabela6[[#This Row],[DESCONTO]]</f>
        <v>500.06239999999997</v>
      </c>
      <c r="L5045" s="53">
        <f>Tabela6[[#This Row],[CUSTO TOTAL]]/Tabela6[[#This Row],[CONSUMO]]</f>
        <v>5.92</v>
      </c>
      <c r="M5045" s="53" t="e">
        <f t="array" ref="M5045">SE</f>
        <v>#NAME?</v>
      </c>
      <c r="N5045" s="49" t="e">
        <f>Tabela6[[#This Row],[KM Rodados ]]/Tabela6[[#This Row],[CONSUMO]]</f>
        <v>#NAME?</v>
      </c>
    </row>
    <row r="5046" spans="1:14" x14ac:dyDescent="0.25">
      <c r="A5046" s="47">
        <v>961663</v>
      </c>
      <c r="B5046" s="78">
        <v>45496</v>
      </c>
      <c r="C5046" s="47" t="s">
        <v>401</v>
      </c>
      <c r="D5046" s="49" t="s">
        <v>264</v>
      </c>
      <c r="E5046" s="47">
        <v>42758</v>
      </c>
      <c r="G5046" s="50" t="s">
        <v>241</v>
      </c>
      <c r="H5046" s="51">
        <v>29</v>
      </c>
      <c r="J5046" s="51">
        <v>2.79</v>
      </c>
      <c r="K5046" s="74">
        <f>Tabela6[[#This Row],[CONSUMO]]*Tabela6[[#This Row],[VALOR UNIT]]-Tabela6[[#This Row],[DESCONTO]]</f>
        <v>80.91</v>
      </c>
      <c r="L5046" s="53">
        <f>Tabela6[[#This Row],[CUSTO TOTAL]]/Tabela6[[#This Row],[CONSUMO]]</f>
        <v>2.79</v>
      </c>
      <c r="M5046" s="53" t="e">
        <f t="array" ref="M5046">SE</f>
        <v>#NAME?</v>
      </c>
      <c r="N5046" s="49" t="e">
        <f>Tabela6[[#This Row],[KM Rodados ]]/Tabela6[[#This Row],[CONSUMO]]</f>
        <v>#NAME?</v>
      </c>
    </row>
    <row r="5047" spans="1:14" x14ac:dyDescent="0.25">
      <c r="A5047" s="47">
        <v>279858</v>
      </c>
      <c r="B5047" s="78">
        <v>45496</v>
      </c>
      <c r="C5047" s="47" t="s">
        <v>446</v>
      </c>
      <c r="D5047" s="49" t="s">
        <v>262</v>
      </c>
      <c r="E5047" s="47">
        <v>27308</v>
      </c>
      <c r="G5047" s="50" t="s">
        <v>241</v>
      </c>
      <c r="H5047" s="51">
        <v>15.007999999999999</v>
      </c>
      <c r="I5047" s="49">
        <v>5.4</v>
      </c>
      <c r="J5047" s="51">
        <v>3.69</v>
      </c>
      <c r="K5047" s="74">
        <f>Tabela6[[#This Row],[CONSUMO]]*Tabela6[[#This Row],[VALOR UNIT]]-Tabela6[[#This Row],[DESCONTO]]</f>
        <v>49.979520000000001</v>
      </c>
      <c r="L5047" s="53">
        <f>Tabela6[[#This Row],[CUSTO TOTAL]]/Tabela6[[#This Row],[CONSUMO]]</f>
        <v>3.3301918976545846</v>
      </c>
      <c r="M5047" s="53" t="e">
        <f t="array" ref="M5047">SE</f>
        <v>#NAME?</v>
      </c>
      <c r="N5047" s="49" t="e">
        <f>Tabela6[[#This Row],[KM Rodados ]]/Tabela6[[#This Row],[CONSUMO]]</f>
        <v>#NAME?</v>
      </c>
    </row>
    <row r="5048" spans="1:14" x14ac:dyDescent="0.25">
      <c r="A5048" s="47">
        <v>285681</v>
      </c>
      <c r="B5048" s="78">
        <v>45497</v>
      </c>
      <c r="C5048" s="47" t="s">
        <v>9</v>
      </c>
      <c r="D5048" s="49" t="s">
        <v>253</v>
      </c>
      <c r="E5048" s="47">
        <v>668044</v>
      </c>
      <c r="G5048" s="50" t="s">
        <v>89</v>
      </c>
      <c r="H5048" s="51">
        <v>87.84</v>
      </c>
      <c r="J5048" s="51">
        <v>6.09</v>
      </c>
      <c r="K5048" s="74">
        <f>Tabela6[[#This Row],[CONSUMO]]*Tabela6[[#This Row],[VALOR UNIT]]-Tabela6[[#This Row],[DESCONTO]]</f>
        <v>534.94560000000001</v>
      </c>
      <c r="L5048" s="53">
        <f>Tabela6[[#This Row],[CUSTO TOTAL]]/Tabela6[[#This Row],[CONSUMO]]</f>
        <v>6.09</v>
      </c>
      <c r="M5048" s="53" t="e">
        <f t="array" ref="M5048">SE</f>
        <v>#NAME?</v>
      </c>
      <c r="N5048" s="49" t="e">
        <f>Tabela6[[#This Row],[KM Rodados ]]/Tabela6[[#This Row],[CONSUMO]]</f>
        <v>#NAME?</v>
      </c>
    </row>
    <row r="5049" spans="1:14" x14ac:dyDescent="0.25">
      <c r="A5049" s="47">
        <v>316385</v>
      </c>
      <c r="B5049" s="78">
        <v>45497</v>
      </c>
      <c r="C5049" s="47" t="s">
        <v>67</v>
      </c>
      <c r="D5049" s="49" t="s">
        <v>273</v>
      </c>
      <c r="E5049" s="47">
        <v>726103</v>
      </c>
      <c r="G5049" s="50" t="s">
        <v>89</v>
      </c>
      <c r="H5049" s="51">
        <v>146.94999999999999</v>
      </c>
      <c r="J5049" s="51">
        <v>5.69</v>
      </c>
      <c r="K5049" s="74">
        <f>Tabela6[[#This Row],[CONSUMO]]*Tabela6[[#This Row],[VALOR UNIT]]-Tabela6[[#This Row],[DESCONTO]]</f>
        <v>836.14549999999997</v>
      </c>
      <c r="L5049" s="53">
        <f>Tabela6[[#This Row],[CUSTO TOTAL]]/Tabela6[[#This Row],[CONSUMO]]</f>
        <v>5.69</v>
      </c>
      <c r="M5049" s="53" t="e">
        <f t="array" ref="M5049">SE</f>
        <v>#NAME?</v>
      </c>
      <c r="N5049" s="49" t="e">
        <f>Tabela6[[#This Row],[KM Rodados ]]/Tabela6[[#This Row],[CONSUMO]]</f>
        <v>#NAME?</v>
      </c>
    </row>
    <row r="5050" spans="1:14" x14ac:dyDescent="0.25">
      <c r="A5050" s="47">
        <v>419444</v>
      </c>
      <c r="B5050" s="78">
        <v>45497</v>
      </c>
      <c r="C5050" s="47" t="s">
        <v>203</v>
      </c>
      <c r="D5050" s="49" t="s">
        <v>276</v>
      </c>
      <c r="E5050" s="47">
        <v>174988</v>
      </c>
      <c r="G5050" s="50" t="s">
        <v>244</v>
      </c>
      <c r="H5050" s="51">
        <v>37.939</v>
      </c>
      <c r="J5050" s="51">
        <v>6.09</v>
      </c>
      <c r="K5050" s="74">
        <f>Tabela6[[#This Row],[CONSUMO]]*Tabela6[[#This Row],[VALOR UNIT]]-Tabela6[[#This Row],[DESCONTO]]</f>
        <v>231.04850999999999</v>
      </c>
      <c r="L5050" s="53">
        <f>Tabela6[[#This Row],[CUSTO TOTAL]]/Tabela6[[#This Row],[CONSUMO]]</f>
        <v>6.09</v>
      </c>
      <c r="M5050" s="53" t="e">
        <f t="array" ref="M5050">SE</f>
        <v>#NAME?</v>
      </c>
      <c r="N5050" s="49" t="e">
        <f>Tabela6[[#This Row],[KM Rodados ]]/Tabela6[[#This Row],[CONSUMO]]</f>
        <v>#NAME?</v>
      </c>
    </row>
    <row r="5051" spans="1:14" x14ac:dyDescent="0.25">
      <c r="A5051" s="47">
        <v>280005</v>
      </c>
      <c r="B5051" s="78">
        <v>45497</v>
      </c>
      <c r="C5051" s="47" t="s">
        <v>17</v>
      </c>
      <c r="D5051" s="49" t="s">
        <v>262</v>
      </c>
      <c r="G5051" s="50" t="s">
        <v>241</v>
      </c>
      <c r="H5051" s="51">
        <v>25.824000000000002</v>
      </c>
      <c r="I5051" s="49">
        <v>9.3000000000000007</v>
      </c>
      <c r="J5051" s="51">
        <v>3.69</v>
      </c>
      <c r="K5051" s="74">
        <f>Tabela6[[#This Row],[CONSUMO]]*Tabela6[[#This Row],[VALOR UNIT]]-Tabela6[[#This Row],[DESCONTO]]</f>
        <v>85.990560000000002</v>
      </c>
      <c r="L5051" s="53">
        <f>Tabela6[[#This Row],[CUSTO TOTAL]]/Tabela6[[#This Row],[CONSUMO]]</f>
        <v>3.3298698884758364</v>
      </c>
      <c r="M5051" s="53" t="e">
        <f t="array" ref="M5051">SE</f>
        <v>#NAME?</v>
      </c>
      <c r="N5051" s="49" t="e">
        <f>Tabela6[[#This Row],[KM Rodados ]]/Tabela6[[#This Row],[CONSUMO]]</f>
        <v>#NAME?</v>
      </c>
    </row>
    <row r="5052" spans="1:14" x14ac:dyDescent="0.25">
      <c r="A5052" s="47">
        <v>363560</v>
      </c>
      <c r="B5052" s="78">
        <v>45497</v>
      </c>
      <c r="C5052" s="47" t="s">
        <v>354</v>
      </c>
      <c r="D5052" s="49" t="s">
        <v>514</v>
      </c>
      <c r="E5052" s="47">
        <v>49599</v>
      </c>
      <c r="G5052" s="50" t="s">
        <v>241</v>
      </c>
      <c r="H5052" s="51">
        <v>25.65</v>
      </c>
      <c r="J5052" s="51">
        <v>7.71</v>
      </c>
      <c r="K5052" s="74">
        <f>Tabela6[[#This Row],[CONSUMO]]*Tabela6[[#This Row],[VALOR UNIT]]-Tabela6[[#This Row],[DESCONTO]]</f>
        <v>197.76149999999998</v>
      </c>
      <c r="L5052" s="53">
        <f>Tabela6[[#This Row],[CUSTO TOTAL]]/Tabela6[[#This Row],[CONSUMO]]</f>
        <v>7.71</v>
      </c>
      <c r="M5052" s="53" t="e">
        <f t="array" ref="M5052">SE</f>
        <v>#NAME?</v>
      </c>
      <c r="N5052" s="49" t="e">
        <f>Tabela6[[#This Row],[KM Rodados ]]/Tabela6[[#This Row],[CONSUMO]]</f>
        <v>#NAME?</v>
      </c>
    </row>
    <row r="5053" spans="1:14" x14ac:dyDescent="0.25">
      <c r="A5053" s="47">
        <v>287661</v>
      </c>
      <c r="B5053" s="78">
        <v>45498</v>
      </c>
      <c r="C5053" s="47" t="s">
        <v>358</v>
      </c>
      <c r="D5053" s="49" t="s">
        <v>374</v>
      </c>
      <c r="E5053" s="47">
        <v>870898</v>
      </c>
      <c r="G5053" s="50" t="s">
        <v>89</v>
      </c>
      <c r="H5053" s="51">
        <v>600.04</v>
      </c>
      <c r="J5053" s="51">
        <v>5.84</v>
      </c>
      <c r="K5053" s="74">
        <f>Tabela6[[#This Row],[CONSUMO]]*Tabela6[[#This Row],[VALOR UNIT]]-Tabela6[[#This Row],[DESCONTO]]</f>
        <v>3504.2335999999996</v>
      </c>
      <c r="L5053" s="53">
        <f>Tabela6[[#This Row],[CUSTO TOTAL]]/Tabela6[[#This Row],[CONSUMO]]</f>
        <v>5.84</v>
      </c>
      <c r="M5053" s="53" t="e">
        <f t="array" ref="M5053">SE</f>
        <v>#NAME?</v>
      </c>
      <c r="N5053" s="49" t="e">
        <f>Tabela6[[#This Row],[KM Rodados ]]/Tabela6[[#This Row],[CONSUMO]]</f>
        <v>#NAME?</v>
      </c>
    </row>
    <row r="5054" spans="1:14" x14ac:dyDescent="0.25">
      <c r="A5054" s="47">
        <v>286566</v>
      </c>
      <c r="B5054" s="78">
        <v>45498</v>
      </c>
      <c r="C5054" s="47" t="s">
        <v>68</v>
      </c>
      <c r="D5054" s="49" t="s">
        <v>253</v>
      </c>
      <c r="E5054" s="47">
        <v>992420</v>
      </c>
      <c r="G5054" s="50" t="s">
        <v>89</v>
      </c>
      <c r="H5054" s="51">
        <v>375.83</v>
      </c>
      <c r="J5054" s="51">
        <v>6.09</v>
      </c>
      <c r="K5054" s="74">
        <f>Tabela6[[#This Row],[CONSUMO]]*Tabela6[[#This Row],[VALOR UNIT]]-Tabela6[[#This Row],[DESCONTO]]</f>
        <v>2288.8046999999997</v>
      </c>
      <c r="L5054" s="53">
        <f>Tabela6[[#This Row],[CUSTO TOTAL]]/Tabela6[[#This Row],[CONSUMO]]</f>
        <v>6.09</v>
      </c>
      <c r="M5054" s="53" t="e">
        <f t="array" ref="M5054">SE</f>
        <v>#NAME?</v>
      </c>
      <c r="N5054" s="49" t="e">
        <f>Tabela6[[#This Row],[KM Rodados ]]/Tabela6[[#This Row],[CONSUMO]]</f>
        <v>#NAME?</v>
      </c>
    </row>
    <row r="5055" spans="1:14" x14ac:dyDescent="0.25">
      <c r="A5055" s="47">
        <v>227075</v>
      </c>
      <c r="B5055" s="78">
        <v>45498</v>
      </c>
      <c r="C5055" s="47" t="s">
        <v>43</v>
      </c>
      <c r="D5055" s="49" t="s">
        <v>263</v>
      </c>
      <c r="E5055" s="47">
        <v>198854</v>
      </c>
      <c r="G5055" s="50" t="s">
        <v>89</v>
      </c>
      <c r="H5055" s="51">
        <v>27.201000000000001</v>
      </c>
      <c r="J5055" s="51">
        <v>6.09</v>
      </c>
      <c r="K5055" s="74">
        <f>Tabela6[[#This Row],[CONSUMO]]*Tabela6[[#This Row],[VALOR UNIT]]-Tabela6[[#This Row],[DESCONTO]]</f>
        <v>165.65409</v>
      </c>
      <c r="L5055" s="53">
        <f>Tabela6[[#This Row],[CUSTO TOTAL]]/Tabela6[[#This Row],[CONSUMO]]</f>
        <v>6.09</v>
      </c>
      <c r="M5055" s="53" t="e">
        <f t="array" ref="M5055">SE</f>
        <v>#NAME?</v>
      </c>
      <c r="N5055" s="49" t="e">
        <f>Tabela6[[#This Row],[KM Rodados ]]/Tabela6[[#This Row],[CONSUMO]]</f>
        <v>#NAME?</v>
      </c>
    </row>
    <row r="5056" spans="1:14" x14ac:dyDescent="0.25">
      <c r="A5056" s="47">
        <v>286632</v>
      </c>
      <c r="B5056" s="78">
        <v>45498</v>
      </c>
      <c r="C5056" s="47" t="s">
        <v>39</v>
      </c>
      <c r="D5056" s="49" t="s">
        <v>253</v>
      </c>
      <c r="E5056" s="47">
        <v>129143</v>
      </c>
      <c r="G5056" s="50" t="s">
        <v>89</v>
      </c>
      <c r="H5056" s="51">
        <v>107.13</v>
      </c>
      <c r="J5056" s="51">
        <v>6.09</v>
      </c>
      <c r="K5056" s="74">
        <f>Tabela6[[#This Row],[CONSUMO]]*Tabela6[[#This Row],[VALOR UNIT]]-Tabela6[[#This Row],[DESCONTO]]</f>
        <v>652.42169999999999</v>
      </c>
      <c r="L5056" s="53">
        <f>Tabela6[[#This Row],[CUSTO TOTAL]]/Tabela6[[#This Row],[CONSUMO]]</f>
        <v>6.09</v>
      </c>
      <c r="M5056" s="53" t="e">
        <f t="array" ref="M5056">SE</f>
        <v>#NAME?</v>
      </c>
      <c r="N5056" s="49" t="e">
        <f>Tabela6[[#This Row],[KM Rodados ]]/Tabela6[[#This Row],[CONSUMO]]</f>
        <v>#NAME?</v>
      </c>
    </row>
    <row r="5057" spans="1:14" x14ac:dyDescent="0.25">
      <c r="A5057" s="47">
        <v>280375</v>
      </c>
      <c r="B5057" s="78">
        <v>45498</v>
      </c>
      <c r="C5057" s="47" t="s">
        <v>70</v>
      </c>
      <c r="D5057" s="49" t="s">
        <v>262</v>
      </c>
      <c r="E5057" s="47">
        <v>296709</v>
      </c>
      <c r="G5057" s="50" t="s">
        <v>241</v>
      </c>
      <c r="H5057" s="51">
        <v>74.052000000000007</v>
      </c>
      <c r="I5057" s="49">
        <v>26.66</v>
      </c>
      <c r="J5057" s="51">
        <v>3.69</v>
      </c>
      <c r="K5057" s="74">
        <f>Tabela6[[#This Row],[CONSUMO]]*Tabela6[[#This Row],[VALOR UNIT]]-Tabela6[[#This Row],[DESCONTO]]</f>
        <v>246.59188000000003</v>
      </c>
      <c r="L5057" s="53">
        <f>Tabela6[[#This Row],[CUSTO TOTAL]]/Tabela6[[#This Row],[CONSUMO]]</f>
        <v>3.3299827148490251</v>
      </c>
      <c r="M5057" s="53" t="e">
        <f t="array" ref="M5057">SE</f>
        <v>#NAME?</v>
      </c>
      <c r="N5057" s="49" t="e">
        <f>Tabela6[[#This Row],[KM Rodados ]]/Tabela6[[#This Row],[CONSUMO]]</f>
        <v>#NAME?</v>
      </c>
    </row>
    <row r="5058" spans="1:14" x14ac:dyDescent="0.25">
      <c r="A5058" s="47">
        <v>249401</v>
      </c>
      <c r="B5058" s="78">
        <v>45498</v>
      </c>
      <c r="C5058" s="47" t="s">
        <v>203</v>
      </c>
      <c r="D5058" s="49" t="s">
        <v>261</v>
      </c>
      <c r="E5058" s="47">
        <v>175396</v>
      </c>
      <c r="G5058" s="50" t="s">
        <v>244</v>
      </c>
      <c r="H5058" s="51">
        <v>31.87</v>
      </c>
      <c r="J5058" s="51">
        <v>6.39</v>
      </c>
      <c r="K5058" s="74">
        <f>Tabela6[[#This Row],[CONSUMO]]*Tabela6[[#This Row],[VALOR UNIT]]-Tabela6[[#This Row],[DESCONTO]]</f>
        <v>203.64929999999998</v>
      </c>
      <c r="L5058" s="53">
        <f>Tabela6[[#This Row],[CUSTO TOTAL]]/Tabela6[[#This Row],[CONSUMO]]</f>
        <v>6.39</v>
      </c>
      <c r="M5058" s="53" t="e">
        <f t="array" ref="M5058">SE</f>
        <v>#NAME?</v>
      </c>
      <c r="N5058" s="49" t="e">
        <f>Tabela6[[#This Row],[KM Rodados ]]/Tabela6[[#This Row],[CONSUMO]]</f>
        <v>#NAME?</v>
      </c>
    </row>
    <row r="5059" spans="1:14" x14ac:dyDescent="0.25">
      <c r="A5059" s="47">
        <v>286574</v>
      </c>
      <c r="B5059" s="78">
        <v>45498</v>
      </c>
      <c r="C5059" s="47" t="s">
        <v>12</v>
      </c>
      <c r="D5059" s="49" t="s">
        <v>253</v>
      </c>
      <c r="E5059" s="47">
        <v>343152</v>
      </c>
      <c r="G5059" s="50" t="s">
        <v>89</v>
      </c>
      <c r="H5059" s="51">
        <v>103.6</v>
      </c>
      <c r="J5059" s="51">
        <v>6.09</v>
      </c>
      <c r="K5059" s="74">
        <f>Tabela6[[#This Row],[CONSUMO]]*Tabela6[[#This Row],[VALOR UNIT]]-Tabela6[[#This Row],[DESCONTO]]</f>
        <v>630.92399999999998</v>
      </c>
      <c r="L5059" s="53">
        <f>Tabela6[[#This Row],[CUSTO TOTAL]]/Tabela6[[#This Row],[CONSUMO]]</f>
        <v>6.09</v>
      </c>
      <c r="M5059" s="53" t="e">
        <f t="array" ref="M5059">SE</f>
        <v>#NAME?</v>
      </c>
      <c r="N5059" s="49" t="e">
        <f>Tabela6[[#This Row],[KM Rodados ]]/Tabela6[[#This Row],[CONSUMO]]</f>
        <v>#NAME?</v>
      </c>
    </row>
    <row r="5060" spans="1:14" x14ac:dyDescent="0.25">
      <c r="A5060" s="47">
        <v>280357</v>
      </c>
      <c r="B5060" s="78">
        <v>45498</v>
      </c>
      <c r="C5060" s="47" t="s">
        <v>40</v>
      </c>
      <c r="D5060" s="49" t="s">
        <v>262</v>
      </c>
      <c r="E5060" s="47">
        <v>214880</v>
      </c>
      <c r="G5060" s="50" t="s">
        <v>244</v>
      </c>
      <c r="H5060" s="51">
        <v>31.431000000000001</v>
      </c>
      <c r="J5060" s="51">
        <v>5.99</v>
      </c>
      <c r="K5060" s="74">
        <f>Tabela6[[#This Row],[CONSUMO]]*Tabela6[[#This Row],[VALOR UNIT]]-Tabela6[[#This Row],[DESCONTO]]</f>
        <v>188.27169000000001</v>
      </c>
      <c r="L5060" s="53">
        <f>Tabela6[[#This Row],[CUSTO TOTAL]]/Tabela6[[#This Row],[CONSUMO]]</f>
        <v>5.99</v>
      </c>
      <c r="M5060" s="53" t="e">
        <f t="array" ref="M5060">SE</f>
        <v>#NAME?</v>
      </c>
      <c r="N5060" s="49" t="e">
        <f>Tabela6[[#This Row],[KM Rodados ]]/Tabela6[[#This Row],[CONSUMO]]</f>
        <v>#NAME?</v>
      </c>
    </row>
    <row r="5061" spans="1:14" x14ac:dyDescent="0.25">
      <c r="A5061" s="47">
        <v>266752</v>
      </c>
      <c r="B5061" s="78">
        <v>45498</v>
      </c>
      <c r="C5061" s="47" t="s">
        <v>315</v>
      </c>
      <c r="D5061" s="49" t="s">
        <v>253</v>
      </c>
      <c r="E5061" s="47">
        <v>39251</v>
      </c>
      <c r="G5061" s="50" t="s">
        <v>89</v>
      </c>
      <c r="H5061" s="51">
        <v>31.87</v>
      </c>
      <c r="J5061" s="51">
        <v>6.09</v>
      </c>
      <c r="K5061" s="74">
        <f>Tabela6[[#This Row],[CONSUMO]]*Tabela6[[#This Row],[VALOR UNIT]]-Tabela6[[#This Row],[DESCONTO]]</f>
        <v>194.0883</v>
      </c>
      <c r="L5061" s="53">
        <f>Tabela6[[#This Row],[CUSTO TOTAL]]/Tabela6[[#This Row],[CONSUMO]]</f>
        <v>6.09</v>
      </c>
      <c r="M5061" s="53" t="e">
        <f t="array" ref="M5061">SE</f>
        <v>#NAME?</v>
      </c>
      <c r="N5061" s="49" t="e">
        <f>Tabela6[[#This Row],[KM Rodados ]]/Tabela6[[#This Row],[CONSUMO]]</f>
        <v>#NAME?</v>
      </c>
    </row>
    <row r="5062" spans="1:14" x14ac:dyDescent="0.25">
      <c r="A5062" s="47">
        <v>280475</v>
      </c>
      <c r="B5062" s="78">
        <v>45499</v>
      </c>
      <c r="C5062" s="47" t="s">
        <v>43</v>
      </c>
      <c r="D5062" s="49" t="s">
        <v>262</v>
      </c>
      <c r="E5062" s="47">
        <v>99238</v>
      </c>
      <c r="G5062" s="50" t="s">
        <v>89</v>
      </c>
      <c r="H5062" s="51">
        <v>17.36</v>
      </c>
      <c r="J5062" s="51">
        <v>6.09</v>
      </c>
      <c r="K5062" s="74">
        <f>Tabela6[[#This Row],[CONSUMO]]*Tabela6[[#This Row],[VALOR UNIT]]-Tabela6[[#This Row],[DESCONTO]]</f>
        <v>105.72239999999999</v>
      </c>
      <c r="L5062" s="53">
        <f>Tabela6[[#This Row],[CUSTO TOTAL]]/Tabela6[[#This Row],[CONSUMO]]</f>
        <v>6.09</v>
      </c>
      <c r="M5062" s="53" t="e">
        <f t="array" ref="M5062">SE</f>
        <v>#NAME?</v>
      </c>
      <c r="N5062" s="49" t="e">
        <f>Tabela6[[#This Row],[KM Rodados ]]/Tabela6[[#This Row],[CONSUMO]]</f>
        <v>#NAME?</v>
      </c>
    </row>
    <row r="5063" spans="1:14" x14ac:dyDescent="0.25">
      <c r="A5063" s="47">
        <v>287635</v>
      </c>
      <c r="B5063" s="78">
        <v>45499</v>
      </c>
      <c r="C5063" s="47" t="s">
        <v>394</v>
      </c>
      <c r="D5063" s="49" t="s">
        <v>253</v>
      </c>
      <c r="E5063" s="47">
        <v>184226</v>
      </c>
      <c r="G5063" s="50" t="s">
        <v>89</v>
      </c>
      <c r="H5063" s="51">
        <v>595.95000000000005</v>
      </c>
      <c r="J5063" s="51">
        <v>6.09</v>
      </c>
      <c r="K5063" s="74">
        <f>Tabela6[[#This Row],[CONSUMO]]*Tabela6[[#This Row],[VALOR UNIT]]-Tabela6[[#This Row],[DESCONTO]]</f>
        <v>3629.3355000000001</v>
      </c>
      <c r="L5063" s="53">
        <f>Tabela6[[#This Row],[CUSTO TOTAL]]/Tabela6[[#This Row],[CONSUMO]]</f>
        <v>6.09</v>
      </c>
      <c r="M5063" s="53" t="e">
        <f t="array" ref="M5063">SE</f>
        <v>#NAME?</v>
      </c>
      <c r="N5063" s="49" t="e">
        <f>Tabela6[[#This Row],[KM Rodados ]]/Tabela6[[#This Row],[CONSUMO]]</f>
        <v>#NAME?</v>
      </c>
    </row>
    <row r="5064" spans="1:14" x14ac:dyDescent="0.25">
      <c r="A5064" s="47">
        <v>816233</v>
      </c>
      <c r="B5064" s="78">
        <v>45499</v>
      </c>
      <c r="C5064" s="47" t="s">
        <v>14</v>
      </c>
      <c r="D5064" s="49" t="s">
        <v>271</v>
      </c>
      <c r="E5064" s="47">
        <v>339122</v>
      </c>
      <c r="G5064" s="50" t="s">
        <v>244</v>
      </c>
      <c r="H5064" s="51">
        <v>34.191000000000003</v>
      </c>
      <c r="J5064" s="51">
        <v>5.89</v>
      </c>
      <c r="K5064" s="74">
        <f>Tabela6[[#This Row],[CONSUMO]]*Tabela6[[#This Row],[VALOR UNIT]]-Tabela6[[#This Row],[DESCONTO]]</f>
        <v>201.38499000000002</v>
      </c>
      <c r="L5064" s="53">
        <f>Tabela6[[#This Row],[CUSTO TOTAL]]/Tabela6[[#This Row],[CONSUMO]]</f>
        <v>5.89</v>
      </c>
      <c r="M5064" s="53" t="e">
        <f t="array" ref="M5064">SE</f>
        <v>#NAME?</v>
      </c>
      <c r="N5064" s="49" t="e">
        <f>Tabela6[[#This Row],[KM Rodados ]]/Tabela6[[#This Row],[CONSUMO]]</f>
        <v>#NAME?</v>
      </c>
    </row>
    <row r="5065" spans="1:14" x14ac:dyDescent="0.25">
      <c r="A5065" s="47">
        <v>287147</v>
      </c>
      <c r="B5065" s="78">
        <v>45499</v>
      </c>
      <c r="C5065" s="47" t="s">
        <v>23</v>
      </c>
      <c r="D5065" s="49" t="s">
        <v>253</v>
      </c>
      <c r="E5065" s="47">
        <v>286995</v>
      </c>
      <c r="G5065" s="50" t="s">
        <v>89</v>
      </c>
      <c r="H5065" s="51">
        <v>159.96</v>
      </c>
      <c r="J5065" s="51">
        <v>6.09</v>
      </c>
      <c r="K5065" s="74">
        <f>Tabela6[[#This Row],[CONSUMO]]*Tabela6[[#This Row],[VALOR UNIT]]-Tabela6[[#This Row],[DESCONTO]]</f>
        <v>974.15640000000008</v>
      </c>
      <c r="L5065" s="53">
        <f>Tabela6[[#This Row],[CUSTO TOTAL]]/Tabela6[[#This Row],[CONSUMO]]</f>
        <v>6.09</v>
      </c>
      <c r="M5065" s="53" t="e">
        <f t="array" ref="M5065">SE</f>
        <v>#NAME?</v>
      </c>
      <c r="N5065" s="49" t="e">
        <f>Tabela6[[#This Row],[KM Rodados ]]/Tabela6[[#This Row],[CONSUMO]]</f>
        <v>#NAME?</v>
      </c>
    </row>
    <row r="5066" spans="1:14" x14ac:dyDescent="0.25">
      <c r="A5066" s="47">
        <v>287147</v>
      </c>
      <c r="B5066" s="78">
        <v>45499</v>
      </c>
      <c r="C5066" s="47" t="s">
        <v>23</v>
      </c>
      <c r="D5066" s="49" t="s">
        <v>253</v>
      </c>
      <c r="E5066" s="47">
        <v>286995</v>
      </c>
      <c r="G5066" s="50" t="s">
        <v>241</v>
      </c>
      <c r="H5066" s="51">
        <v>15.507</v>
      </c>
      <c r="J5066" s="51">
        <v>3.49</v>
      </c>
      <c r="K5066" s="74">
        <f>Tabela6[[#This Row],[CONSUMO]]*Tabela6[[#This Row],[VALOR UNIT]]-Tabela6[[#This Row],[DESCONTO]]</f>
        <v>54.119430000000001</v>
      </c>
      <c r="L5066" s="53">
        <f>Tabela6[[#This Row],[CUSTO TOTAL]]/Tabela6[[#This Row],[CONSUMO]]</f>
        <v>3.49</v>
      </c>
      <c r="M5066" s="53" t="e">
        <f t="array" ref="M5066">SE</f>
        <v>#NAME?</v>
      </c>
      <c r="N5066" s="49" t="e">
        <f>Tabela6[[#This Row],[KM Rodados ]]/Tabela6[[#This Row],[CONSUMO]]</f>
        <v>#NAME?</v>
      </c>
    </row>
    <row r="5067" spans="1:14" x14ac:dyDescent="0.25">
      <c r="A5067" s="47">
        <v>221406</v>
      </c>
      <c r="B5067" s="78">
        <v>45499</v>
      </c>
      <c r="C5067" s="47" t="s">
        <v>315</v>
      </c>
      <c r="D5067" s="49" t="s">
        <v>515</v>
      </c>
      <c r="E5067" s="47">
        <v>39902</v>
      </c>
      <c r="G5067" s="50" t="s">
        <v>89</v>
      </c>
      <c r="H5067" s="51">
        <v>44.37</v>
      </c>
      <c r="J5067" s="51">
        <v>6.05</v>
      </c>
      <c r="K5067" s="74">
        <f>Tabela6[[#This Row],[CONSUMO]]*Tabela6[[#This Row],[VALOR UNIT]]-Tabela6[[#This Row],[DESCONTO]]</f>
        <v>268.43849999999998</v>
      </c>
      <c r="L5067" s="53">
        <f>Tabela6[[#This Row],[CUSTO TOTAL]]/Tabela6[[#This Row],[CONSUMO]]</f>
        <v>6.05</v>
      </c>
      <c r="M5067" s="53" t="e">
        <f t="array" ref="M5067">SE</f>
        <v>#NAME?</v>
      </c>
      <c r="N5067" s="49" t="e">
        <f>Tabela6[[#This Row],[KM Rodados ]]/Tabela6[[#This Row],[CONSUMO]]</f>
        <v>#NAME?</v>
      </c>
    </row>
    <row r="5068" spans="1:14" x14ac:dyDescent="0.25">
      <c r="A5068" s="47">
        <v>280577</v>
      </c>
      <c r="B5068" s="78">
        <v>45499</v>
      </c>
      <c r="C5068" s="47" t="s">
        <v>426</v>
      </c>
      <c r="D5068" s="49" t="s">
        <v>262</v>
      </c>
      <c r="G5068" s="50" t="s">
        <v>241</v>
      </c>
      <c r="H5068" s="51">
        <v>13.007999999999999</v>
      </c>
      <c r="I5068" s="49">
        <v>4.68</v>
      </c>
      <c r="J5068" s="51">
        <v>3.69</v>
      </c>
      <c r="K5068" s="74">
        <f>Tabela6[[#This Row],[CONSUMO]]*Tabela6[[#This Row],[VALOR UNIT]]-Tabela6[[#This Row],[DESCONTO]]</f>
        <v>43.319519999999997</v>
      </c>
      <c r="L5068" s="53">
        <f>Tabela6[[#This Row],[CUSTO TOTAL]]/Tabela6[[#This Row],[CONSUMO]]</f>
        <v>3.330221402214022</v>
      </c>
      <c r="M5068" s="53" t="e">
        <f t="array" ref="M5068">SE</f>
        <v>#NAME?</v>
      </c>
      <c r="N5068" s="49" t="e">
        <f>Tabela6[[#This Row],[KM Rodados ]]/Tabela6[[#This Row],[CONSUMO]]</f>
        <v>#NAME?</v>
      </c>
    </row>
    <row r="5069" spans="1:14" x14ac:dyDescent="0.25">
      <c r="A5069" s="47">
        <v>280516</v>
      </c>
      <c r="B5069" s="78">
        <v>45499</v>
      </c>
      <c r="C5069" s="47" t="s">
        <v>446</v>
      </c>
      <c r="D5069" s="49" t="s">
        <v>262</v>
      </c>
      <c r="E5069" s="47">
        <v>27775</v>
      </c>
      <c r="G5069" s="50" t="s">
        <v>241</v>
      </c>
      <c r="H5069" s="51">
        <v>22.427</v>
      </c>
      <c r="I5069" s="49">
        <v>8.08</v>
      </c>
      <c r="J5069" s="51">
        <v>3.69</v>
      </c>
      <c r="K5069" s="74">
        <f>Tabela6[[#This Row],[CONSUMO]]*Tabela6[[#This Row],[VALOR UNIT]]-Tabela6[[#This Row],[DESCONTO]]</f>
        <v>74.675629999999998</v>
      </c>
      <c r="L5069" s="53">
        <f>Tabela6[[#This Row],[CUSTO TOTAL]]/Tabela6[[#This Row],[CONSUMO]]</f>
        <v>3.3297199803807911</v>
      </c>
      <c r="M5069" s="53" t="e">
        <f t="array" ref="M5069">SE</f>
        <v>#NAME?</v>
      </c>
      <c r="N5069" s="49" t="e">
        <f>Tabela6[[#This Row],[KM Rodados ]]/Tabela6[[#This Row],[CONSUMO]]</f>
        <v>#NAME?</v>
      </c>
    </row>
    <row r="5070" spans="1:14" x14ac:dyDescent="0.25">
      <c r="A5070" s="47">
        <v>181545</v>
      </c>
      <c r="B5070" s="78">
        <v>45500</v>
      </c>
      <c r="C5070" s="47" t="s">
        <v>358</v>
      </c>
      <c r="D5070" s="49" t="s">
        <v>332</v>
      </c>
      <c r="E5070" s="47">
        <v>872022</v>
      </c>
      <c r="G5070" s="50" t="s">
        <v>89</v>
      </c>
      <c r="H5070" s="51">
        <v>580</v>
      </c>
      <c r="J5070" s="51">
        <v>5.73</v>
      </c>
      <c r="K5070" s="74">
        <f>Tabela6[[#This Row],[CONSUMO]]*Tabela6[[#This Row],[VALOR UNIT]]-Tabela6[[#This Row],[DESCONTO]]</f>
        <v>3323.4</v>
      </c>
      <c r="L5070" s="53">
        <f>Tabela6[[#This Row],[CUSTO TOTAL]]/Tabela6[[#This Row],[CONSUMO]]</f>
        <v>5.73</v>
      </c>
      <c r="M5070" s="53" t="e">
        <f t="array" ref="M5070">SE</f>
        <v>#NAME?</v>
      </c>
      <c r="N5070" s="49" t="e">
        <f>Tabela6[[#This Row],[KM Rodados ]]/Tabela6[[#This Row],[CONSUMO]]</f>
        <v>#NAME?</v>
      </c>
    </row>
    <row r="5071" spans="1:14" x14ac:dyDescent="0.25">
      <c r="A5071" s="47">
        <v>254434</v>
      </c>
      <c r="B5071" s="78">
        <v>45500</v>
      </c>
      <c r="C5071" s="47" t="s">
        <v>222</v>
      </c>
      <c r="D5071" s="49" t="s">
        <v>300</v>
      </c>
      <c r="E5071" s="47">
        <v>511111</v>
      </c>
      <c r="G5071" s="50" t="s">
        <v>241</v>
      </c>
      <c r="H5071" s="51">
        <v>36</v>
      </c>
      <c r="J5071" s="51">
        <v>2.99</v>
      </c>
      <c r="K5071" s="74">
        <f>Tabela6[[#This Row],[CONSUMO]]*Tabela6[[#This Row],[VALOR UNIT]]-Tabela6[[#This Row],[DESCONTO]]</f>
        <v>107.64000000000001</v>
      </c>
      <c r="L5071" s="53">
        <f>Tabela6[[#This Row],[CUSTO TOTAL]]/Tabela6[[#This Row],[CONSUMO]]</f>
        <v>2.99</v>
      </c>
      <c r="M5071" s="53" t="e">
        <f t="array" ref="M5071">SE</f>
        <v>#NAME?</v>
      </c>
      <c r="N5071" s="49" t="e">
        <f>Tabela6[[#This Row],[KM Rodados ]]/Tabela6[[#This Row],[CONSUMO]]</f>
        <v>#NAME?</v>
      </c>
    </row>
    <row r="5072" spans="1:14" x14ac:dyDescent="0.25">
      <c r="A5072" s="47">
        <v>1227967</v>
      </c>
      <c r="B5072" s="78">
        <v>45500</v>
      </c>
      <c r="C5072" s="47" t="s">
        <v>401</v>
      </c>
      <c r="D5072" s="49" t="s">
        <v>279</v>
      </c>
      <c r="E5072" s="47">
        <v>43964</v>
      </c>
      <c r="G5072" s="50" t="s">
        <v>89</v>
      </c>
      <c r="H5072" s="51">
        <v>154.07</v>
      </c>
      <c r="J5072" s="51">
        <v>5.69</v>
      </c>
      <c r="K5072" s="74">
        <f>Tabela6[[#This Row],[CONSUMO]]*Tabela6[[#This Row],[VALOR UNIT]]-Tabela6[[#This Row],[DESCONTO]]</f>
        <v>876.65830000000005</v>
      </c>
      <c r="L5072" s="53">
        <f>Tabela6[[#This Row],[CUSTO TOTAL]]/Tabela6[[#This Row],[CONSUMO]]</f>
        <v>5.69</v>
      </c>
      <c r="M5072" s="53" t="e">
        <f t="array" ref="M5072">SE</f>
        <v>#NAME?</v>
      </c>
      <c r="N5072" s="49" t="e">
        <f>Tabela6[[#This Row],[KM Rodados ]]/Tabela6[[#This Row],[CONSUMO]]</f>
        <v>#NAME?</v>
      </c>
    </row>
    <row r="5073" spans="1:14" x14ac:dyDescent="0.25">
      <c r="A5073" s="47" t="s">
        <v>522</v>
      </c>
      <c r="B5073" s="78">
        <v>45501</v>
      </c>
      <c r="C5073" s="47" t="s">
        <v>67</v>
      </c>
      <c r="D5073" s="49" t="s">
        <v>273</v>
      </c>
      <c r="E5073" s="47">
        <v>726650</v>
      </c>
      <c r="G5073" s="50" t="s">
        <v>89</v>
      </c>
      <c r="H5073" s="51">
        <v>135.52000000000001</v>
      </c>
      <c r="J5073" s="51">
        <v>5.79</v>
      </c>
      <c r="K5073" s="74">
        <f>Tabela6[[#This Row],[CONSUMO]]*Tabela6[[#This Row],[VALOR UNIT]]-Tabela6[[#This Row],[DESCONTO]]</f>
        <v>784.66080000000011</v>
      </c>
      <c r="L5073" s="53">
        <f>Tabela6[[#This Row],[CUSTO TOTAL]]/Tabela6[[#This Row],[CONSUMO]]</f>
        <v>5.79</v>
      </c>
      <c r="M5073" s="53" t="e">
        <f t="array" ref="M5073">SE</f>
        <v>#NAME?</v>
      </c>
      <c r="N5073" s="49" t="e">
        <f>Tabela6[[#This Row],[KM Rodados ]]/Tabela6[[#This Row],[CONSUMO]]</f>
        <v>#NAME?</v>
      </c>
    </row>
    <row r="5074" spans="1:14" x14ac:dyDescent="0.25">
      <c r="A5074" s="47">
        <v>690335</v>
      </c>
      <c r="B5074" s="78">
        <v>45502</v>
      </c>
      <c r="C5074" s="47" t="s">
        <v>358</v>
      </c>
      <c r="D5074" s="49" t="s">
        <v>378</v>
      </c>
      <c r="E5074" s="47">
        <v>873184</v>
      </c>
      <c r="G5074" s="50" t="s">
        <v>89</v>
      </c>
      <c r="H5074" s="51">
        <v>347.00099999999998</v>
      </c>
      <c r="J5074" s="51">
        <v>5.79</v>
      </c>
      <c r="K5074" s="74">
        <f>Tabela6[[#This Row],[CONSUMO]]*Tabela6[[#This Row],[VALOR UNIT]]-Tabela6[[#This Row],[DESCONTO]]</f>
        <v>2009.1357899999998</v>
      </c>
      <c r="L5074" s="53">
        <f>Tabela6[[#This Row],[CUSTO TOTAL]]/Tabela6[[#This Row],[CONSUMO]]</f>
        <v>5.79</v>
      </c>
      <c r="M5074" s="53" t="e">
        <f t="array" ref="M5074">SE</f>
        <v>#NAME?</v>
      </c>
      <c r="N5074" s="49" t="e">
        <f>Tabela6[[#This Row],[KM Rodados ]]/Tabela6[[#This Row],[CONSUMO]]</f>
        <v>#NAME?</v>
      </c>
    </row>
    <row r="5075" spans="1:14" x14ac:dyDescent="0.25">
      <c r="A5075" s="47">
        <v>25979</v>
      </c>
      <c r="B5075" s="78">
        <v>45502</v>
      </c>
      <c r="C5075" s="47" t="s">
        <v>68</v>
      </c>
      <c r="D5075" s="49" t="s">
        <v>252</v>
      </c>
      <c r="E5075" s="47">
        <v>993724</v>
      </c>
      <c r="G5075" s="50" t="s">
        <v>89</v>
      </c>
      <c r="H5075" s="51">
        <v>439.226</v>
      </c>
      <c r="J5075" s="51">
        <v>5.89</v>
      </c>
      <c r="K5075" s="74">
        <f>Tabela6[[#This Row],[CONSUMO]]*Tabela6[[#This Row],[VALOR UNIT]]-Tabela6[[#This Row],[DESCONTO]]</f>
        <v>2587.0411399999998</v>
      </c>
      <c r="L5075" s="53">
        <f>Tabela6[[#This Row],[CUSTO TOTAL]]/Tabela6[[#This Row],[CONSUMO]]</f>
        <v>5.89</v>
      </c>
      <c r="M5075" s="53" t="e">
        <f t="array" ref="M5075">SE</f>
        <v>#NAME?</v>
      </c>
      <c r="N5075" s="49" t="e">
        <f>Tabela6[[#This Row],[KM Rodados ]]/Tabela6[[#This Row],[CONSUMO]]</f>
        <v>#NAME?</v>
      </c>
    </row>
    <row r="5076" spans="1:14" x14ac:dyDescent="0.25">
      <c r="A5076" s="47">
        <v>818136</v>
      </c>
      <c r="B5076" s="78">
        <v>45502</v>
      </c>
      <c r="C5076" s="47" t="s">
        <v>43</v>
      </c>
      <c r="D5076" s="49" t="s">
        <v>271</v>
      </c>
      <c r="E5076" s="47">
        <v>199670</v>
      </c>
      <c r="G5076" s="50" t="s">
        <v>89</v>
      </c>
      <c r="H5076" s="51">
        <v>49.75</v>
      </c>
      <c r="J5076" s="51">
        <v>5.79</v>
      </c>
      <c r="K5076" s="74">
        <f>Tabela6[[#This Row],[CONSUMO]]*Tabela6[[#This Row],[VALOR UNIT]]-Tabela6[[#This Row],[DESCONTO]]</f>
        <v>288.05250000000001</v>
      </c>
      <c r="L5076" s="53">
        <f>Tabela6[[#This Row],[CUSTO TOTAL]]/Tabela6[[#This Row],[CONSUMO]]</f>
        <v>5.79</v>
      </c>
      <c r="M5076" s="53" t="e">
        <f t="array" ref="M5076">SE</f>
        <v>#NAME?</v>
      </c>
      <c r="N5076" s="49" t="e">
        <f>Tabela6[[#This Row],[KM Rodados ]]/Tabela6[[#This Row],[CONSUMO]]</f>
        <v>#NAME?</v>
      </c>
    </row>
    <row r="5077" spans="1:14" x14ac:dyDescent="0.25">
      <c r="A5077" s="47">
        <v>250522</v>
      </c>
      <c r="B5077" s="78">
        <v>45502</v>
      </c>
      <c r="C5077" s="47" t="s">
        <v>203</v>
      </c>
      <c r="D5077" s="49" t="s">
        <v>261</v>
      </c>
      <c r="E5077" s="47">
        <v>175955</v>
      </c>
      <c r="G5077" s="50" t="s">
        <v>244</v>
      </c>
      <c r="H5077" s="51">
        <v>48.006999999999998</v>
      </c>
      <c r="J5077" s="51">
        <v>6.39</v>
      </c>
      <c r="K5077" s="74">
        <f>Tabela6[[#This Row],[CONSUMO]]*Tabela6[[#This Row],[VALOR UNIT]]-Tabela6[[#This Row],[DESCONTO]]</f>
        <v>306.76472999999999</v>
      </c>
      <c r="L5077" s="53">
        <f>Tabela6[[#This Row],[CUSTO TOTAL]]/Tabela6[[#This Row],[CONSUMO]]</f>
        <v>6.39</v>
      </c>
      <c r="M5077" s="53" t="e">
        <f t="array" ref="M5077">SE</f>
        <v>#NAME?</v>
      </c>
      <c r="N5077" s="49" t="e">
        <f>Tabela6[[#This Row],[KM Rodados ]]/Tabela6[[#This Row],[CONSUMO]]</f>
        <v>#NAME?</v>
      </c>
    </row>
    <row r="5078" spans="1:14" x14ac:dyDescent="0.25">
      <c r="A5078" s="47">
        <v>283838</v>
      </c>
      <c r="B5078" s="78">
        <v>45502</v>
      </c>
      <c r="C5078" s="47" t="s">
        <v>301</v>
      </c>
      <c r="D5078" s="49" t="s">
        <v>329</v>
      </c>
      <c r="E5078" s="47">
        <v>40701</v>
      </c>
      <c r="G5078" s="50" t="s">
        <v>89</v>
      </c>
      <c r="H5078" s="51">
        <v>407.01100000000002</v>
      </c>
      <c r="J5078" s="51">
        <v>5.75</v>
      </c>
      <c r="K5078" s="74">
        <f>Tabela6[[#This Row],[CONSUMO]]*Tabela6[[#This Row],[VALOR UNIT]]-Tabela6[[#This Row],[DESCONTO]]</f>
        <v>2340.3132500000002</v>
      </c>
      <c r="L5078" s="53">
        <f>Tabela6[[#This Row],[CUSTO TOTAL]]/Tabela6[[#This Row],[CONSUMO]]</f>
        <v>5.75</v>
      </c>
      <c r="M5078" s="53" t="e">
        <f t="array" ref="M5078">SE</f>
        <v>#NAME?</v>
      </c>
      <c r="N5078" s="49" t="e">
        <f>Tabela6[[#This Row],[KM Rodados ]]/Tabela6[[#This Row],[CONSUMO]]</f>
        <v>#NAME?</v>
      </c>
    </row>
    <row r="5079" spans="1:14" x14ac:dyDescent="0.25">
      <c r="A5079" s="47">
        <v>281369</v>
      </c>
      <c r="B5079" s="78">
        <v>45502</v>
      </c>
      <c r="C5079" s="47" t="s">
        <v>14</v>
      </c>
      <c r="D5079" s="49" t="s">
        <v>262</v>
      </c>
      <c r="E5079" s="47">
        <v>339746</v>
      </c>
      <c r="G5079" s="50" t="s">
        <v>244</v>
      </c>
      <c r="H5079" s="51">
        <v>49.401000000000003</v>
      </c>
      <c r="J5079" s="51">
        <v>6.19</v>
      </c>
      <c r="K5079" s="74">
        <f>Tabela6[[#This Row],[CONSUMO]]*Tabela6[[#This Row],[VALOR UNIT]]-Tabela6[[#This Row],[DESCONTO]]</f>
        <v>305.79219000000006</v>
      </c>
      <c r="L5079" s="53">
        <f>Tabela6[[#This Row],[CUSTO TOTAL]]/Tabela6[[#This Row],[CONSUMO]]</f>
        <v>6.19</v>
      </c>
      <c r="M5079" s="53" t="e">
        <f t="array" ref="M5079">SE</f>
        <v>#NAME?</v>
      </c>
      <c r="N5079" s="49" t="e">
        <f>Tabela6[[#This Row],[KM Rodados ]]/Tabela6[[#This Row],[CONSUMO]]</f>
        <v>#NAME?</v>
      </c>
    </row>
    <row r="5080" spans="1:14" x14ac:dyDescent="0.25">
      <c r="A5080" s="47">
        <v>289327</v>
      </c>
      <c r="B5080" s="78">
        <v>45502</v>
      </c>
      <c r="C5080" s="47" t="s">
        <v>315</v>
      </c>
      <c r="D5080" s="49" t="s">
        <v>253</v>
      </c>
      <c r="E5080" s="47">
        <v>40666</v>
      </c>
      <c r="G5080" s="50" t="s">
        <v>89</v>
      </c>
      <c r="H5080" s="51">
        <v>56.76</v>
      </c>
      <c r="J5080" s="51">
        <v>6.09</v>
      </c>
      <c r="K5080" s="74">
        <f>Tabela6[[#This Row],[CONSUMO]]*Tabela6[[#This Row],[VALOR UNIT]]-Tabela6[[#This Row],[DESCONTO]]</f>
        <v>345.66839999999996</v>
      </c>
      <c r="L5080" s="53">
        <f>Tabela6[[#This Row],[CUSTO TOTAL]]/Tabela6[[#This Row],[CONSUMO]]</f>
        <v>6.09</v>
      </c>
      <c r="M5080" s="53" t="e">
        <f t="array" ref="M5080">SE</f>
        <v>#NAME?</v>
      </c>
      <c r="N5080" s="49" t="e">
        <f>Tabela6[[#This Row],[KM Rodados ]]/Tabela6[[#This Row],[CONSUMO]]</f>
        <v>#NAME?</v>
      </c>
    </row>
    <row r="5081" spans="1:14" x14ac:dyDescent="0.25">
      <c r="A5081" s="47">
        <v>12092</v>
      </c>
      <c r="B5081" s="78">
        <v>45502</v>
      </c>
      <c r="C5081" s="47" t="s">
        <v>426</v>
      </c>
      <c r="D5081" s="49" t="s">
        <v>272</v>
      </c>
      <c r="E5081" s="47">
        <v>36671</v>
      </c>
      <c r="G5081" s="50" t="s">
        <v>89</v>
      </c>
      <c r="H5081" s="51">
        <v>75.099999999999994</v>
      </c>
      <c r="J5081" s="51">
        <v>5.69</v>
      </c>
      <c r="K5081" s="74">
        <f>Tabela6[[#This Row],[CONSUMO]]*Tabela6[[#This Row],[VALOR UNIT]]-Tabela6[[#This Row],[DESCONTO]]</f>
        <v>427.31900000000002</v>
      </c>
      <c r="L5081" s="53">
        <f>Tabela6[[#This Row],[CUSTO TOTAL]]/Tabela6[[#This Row],[CONSUMO]]</f>
        <v>5.69</v>
      </c>
      <c r="M5081" s="53" t="e">
        <f t="array" ref="M5081">SE</f>
        <v>#NAME?</v>
      </c>
      <c r="N5081" s="49" t="e">
        <f>Tabela6[[#This Row],[KM Rodados ]]/Tabela6[[#This Row],[CONSUMO]]</f>
        <v>#NAME?</v>
      </c>
    </row>
    <row r="5082" spans="1:14" x14ac:dyDescent="0.25">
      <c r="A5082" s="47">
        <v>227894</v>
      </c>
      <c r="B5082" s="78">
        <v>45503</v>
      </c>
      <c r="C5082" s="47" t="s">
        <v>43</v>
      </c>
      <c r="D5082" s="49" t="s">
        <v>263</v>
      </c>
      <c r="E5082" s="47">
        <v>199791</v>
      </c>
      <c r="G5082" s="50" t="s">
        <v>89</v>
      </c>
      <c r="H5082" s="51">
        <v>16.651</v>
      </c>
      <c r="J5082" s="51">
        <v>6.09</v>
      </c>
      <c r="K5082" s="74">
        <f>Tabela6[[#This Row],[CONSUMO]]*Tabela6[[#This Row],[VALOR UNIT]]-Tabela6[[#This Row],[DESCONTO]]</f>
        <v>101.40459</v>
      </c>
      <c r="L5082" s="53">
        <f>Tabela6[[#This Row],[CUSTO TOTAL]]/Tabela6[[#This Row],[CONSUMO]]</f>
        <v>6.09</v>
      </c>
      <c r="M5082" s="53" t="e">
        <f t="array" ref="M5082">SE</f>
        <v>#NAME?</v>
      </c>
      <c r="N5082" s="49" t="e">
        <f>Tabela6[[#This Row],[KM Rodados ]]/Tabela6[[#This Row],[CONSUMO]]</f>
        <v>#NAME?</v>
      </c>
    </row>
    <row r="5083" spans="1:14" x14ac:dyDescent="0.25">
      <c r="A5083" s="47">
        <v>519171</v>
      </c>
      <c r="B5083" s="78">
        <v>45503</v>
      </c>
      <c r="C5083" s="47" t="s">
        <v>67</v>
      </c>
      <c r="D5083" s="49" t="s">
        <v>273</v>
      </c>
      <c r="E5083" s="47">
        <v>727205</v>
      </c>
      <c r="G5083" s="50" t="s">
        <v>89</v>
      </c>
      <c r="H5083" s="51">
        <v>134</v>
      </c>
      <c r="J5083" s="51">
        <v>5.79</v>
      </c>
      <c r="K5083" s="74">
        <f>Tabela6[[#This Row],[CONSUMO]]*Tabela6[[#This Row],[VALOR UNIT]]-Tabela6[[#This Row],[DESCONTO]]</f>
        <v>775.86</v>
      </c>
      <c r="L5083" s="53">
        <f>Tabela6[[#This Row],[CUSTO TOTAL]]/Tabela6[[#This Row],[CONSUMO]]</f>
        <v>5.79</v>
      </c>
      <c r="M5083" s="53" t="e">
        <f t="array" ref="M5083">SE</f>
        <v>#NAME?</v>
      </c>
      <c r="N5083" s="49" t="e">
        <f>Tabela6[[#This Row],[KM Rodados ]]/Tabela6[[#This Row],[CONSUMO]]</f>
        <v>#NAME?</v>
      </c>
    </row>
    <row r="5084" spans="1:14" x14ac:dyDescent="0.25">
      <c r="A5084" s="47">
        <v>290369</v>
      </c>
      <c r="B5084" s="78">
        <v>45503</v>
      </c>
      <c r="C5084" s="47" t="s">
        <v>39</v>
      </c>
      <c r="D5084" s="49" t="s">
        <v>253</v>
      </c>
      <c r="E5084" s="47">
        <v>129458</v>
      </c>
      <c r="G5084" s="50" t="s">
        <v>89</v>
      </c>
      <c r="H5084" s="51">
        <v>36.54</v>
      </c>
      <c r="J5084" s="51">
        <v>6.09</v>
      </c>
      <c r="K5084" s="74">
        <f>Tabela6[[#This Row],[CONSUMO]]*Tabela6[[#This Row],[VALOR UNIT]]-Tabela6[[#This Row],[DESCONTO]]</f>
        <v>222.52859999999998</v>
      </c>
      <c r="L5084" s="53">
        <f>Tabela6[[#This Row],[CUSTO TOTAL]]/Tabela6[[#This Row],[CONSUMO]]</f>
        <v>6.09</v>
      </c>
      <c r="M5084" s="53" t="e">
        <f t="array" ref="M5084">SE</f>
        <v>#NAME?</v>
      </c>
      <c r="N5084" s="49" t="e">
        <f>Tabela6[[#This Row],[KM Rodados ]]/Tabela6[[#This Row],[CONSUMO]]</f>
        <v>#NAME?</v>
      </c>
    </row>
    <row r="5085" spans="1:14" x14ac:dyDescent="0.25">
      <c r="A5085" s="47">
        <v>421118</v>
      </c>
      <c r="B5085" s="78">
        <v>45503</v>
      </c>
      <c r="C5085" s="47" t="s">
        <v>203</v>
      </c>
      <c r="D5085" s="49" t="s">
        <v>276</v>
      </c>
      <c r="E5085" s="47">
        <v>176348</v>
      </c>
      <c r="G5085" s="50" t="s">
        <v>244</v>
      </c>
      <c r="H5085" s="51">
        <v>29.731000000000002</v>
      </c>
      <c r="J5085" s="51">
        <v>6.09</v>
      </c>
      <c r="K5085" s="74">
        <f>Tabela6[[#This Row],[CONSUMO]]*Tabela6[[#This Row],[VALOR UNIT]]-Tabela6[[#This Row],[DESCONTO]]</f>
        <v>181.06179</v>
      </c>
      <c r="L5085" s="53">
        <f>Tabela6[[#This Row],[CUSTO TOTAL]]/Tabela6[[#This Row],[CONSUMO]]</f>
        <v>6.09</v>
      </c>
      <c r="M5085" s="53" t="e">
        <f t="array" ref="M5085">SE</f>
        <v>#NAME?</v>
      </c>
      <c r="N5085" s="49" t="e">
        <f>Tabela6[[#This Row],[KM Rodados ]]/Tabela6[[#This Row],[CONSUMO]]</f>
        <v>#NAME?</v>
      </c>
    </row>
    <row r="5086" spans="1:14" x14ac:dyDescent="0.25">
      <c r="A5086" s="47">
        <v>290409</v>
      </c>
      <c r="B5086" s="78">
        <v>45503</v>
      </c>
      <c r="C5086" s="47" t="s">
        <v>11</v>
      </c>
      <c r="D5086" s="49" t="s">
        <v>253</v>
      </c>
      <c r="E5086" s="47">
        <v>420517</v>
      </c>
      <c r="G5086" s="50" t="s">
        <v>89</v>
      </c>
      <c r="H5086" s="51">
        <v>75.48</v>
      </c>
      <c r="J5086" s="51">
        <v>6.09</v>
      </c>
      <c r="K5086" s="74">
        <f>Tabela6[[#This Row],[CONSUMO]]*Tabela6[[#This Row],[VALOR UNIT]]-Tabela6[[#This Row],[DESCONTO]]</f>
        <v>459.67320000000001</v>
      </c>
      <c r="L5086" s="53">
        <f>Tabela6[[#This Row],[CUSTO TOTAL]]/Tabela6[[#This Row],[CONSUMO]]</f>
        <v>6.09</v>
      </c>
      <c r="M5086" s="53" t="e">
        <f t="array" ref="M5086">SE</f>
        <v>#NAME?</v>
      </c>
      <c r="N5086" s="49" t="e">
        <f>Tabela6[[#This Row],[KM Rodados ]]/Tabela6[[#This Row],[CONSUMO]]</f>
        <v>#NAME?</v>
      </c>
    </row>
    <row r="5087" spans="1:14" x14ac:dyDescent="0.25">
      <c r="A5087" s="47">
        <v>290409</v>
      </c>
      <c r="B5087" s="78">
        <v>45503</v>
      </c>
      <c r="C5087" s="47" t="s">
        <v>11</v>
      </c>
      <c r="D5087" s="49" t="s">
        <v>253</v>
      </c>
      <c r="E5087" s="47">
        <v>420517</v>
      </c>
      <c r="G5087" s="50" t="s">
        <v>241</v>
      </c>
      <c r="H5087" s="51">
        <v>12.282999999999999</v>
      </c>
      <c r="J5087" s="51">
        <v>3.49</v>
      </c>
      <c r="K5087" s="74">
        <f>Tabela6[[#This Row],[CONSUMO]]*Tabela6[[#This Row],[VALOR UNIT]]-Tabela6[[#This Row],[DESCONTO]]</f>
        <v>42.867670000000004</v>
      </c>
      <c r="L5087" s="53">
        <f>Tabela6[[#This Row],[CUSTO TOTAL]]/Tabela6[[#This Row],[CONSUMO]]</f>
        <v>3.4900000000000007</v>
      </c>
      <c r="M5087" s="53" t="e">
        <f t="array" ref="M5087">SE</f>
        <v>#NAME?</v>
      </c>
      <c r="N5087" s="49" t="e">
        <f>Tabela6[[#This Row],[KM Rodados ]]/Tabela6[[#This Row],[CONSUMO]]</f>
        <v>#NAME?</v>
      </c>
    </row>
    <row r="5088" spans="1:14" x14ac:dyDescent="0.25">
      <c r="A5088" s="47">
        <v>204369</v>
      </c>
      <c r="B5088" s="78">
        <v>45503</v>
      </c>
      <c r="C5088" s="47" t="s">
        <v>301</v>
      </c>
      <c r="D5088" s="49" t="s">
        <v>497</v>
      </c>
      <c r="E5088" s="47">
        <v>114606</v>
      </c>
      <c r="G5088" s="50" t="s">
        <v>89</v>
      </c>
      <c r="H5088" s="51">
        <v>420.18</v>
      </c>
      <c r="J5088" s="51">
        <v>6.19</v>
      </c>
      <c r="K5088" s="74">
        <f>Tabela6[[#This Row],[CONSUMO]]*Tabela6[[#This Row],[VALOR UNIT]]-Tabela6[[#This Row],[DESCONTO]]</f>
        <v>2600.9142000000002</v>
      </c>
      <c r="L5088" s="53">
        <f>Tabela6[[#This Row],[CUSTO TOTAL]]/Tabela6[[#This Row],[CONSUMO]]</f>
        <v>6.19</v>
      </c>
      <c r="M5088" s="53" t="e">
        <f t="array" ref="M5088">SE</f>
        <v>#NAME?</v>
      </c>
      <c r="N5088" s="49" t="e">
        <f>Tabela6[[#This Row],[KM Rodados ]]/Tabela6[[#This Row],[CONSUMO]]</f>
        <v>#NAME?</v>
      </c>
    </row>
    <row r="5089" spans="1:14" x14ac:dyDescent="0.25">
      <c r="A5089" s="47">
        <v>256388</v>
      </c>
      <c r="B5089" s="78">
        <v>45503</v>
      </c>
      <c r="C5089" s="47" t="s">
        <v>13</v>
      </c>
      <c r="D5089" s="49" t="s">
        <v>300</v>
      </c>
      <c r="E5089" s="47">
        <v>697751</v>
      </c>
      <c r="G5089" s="50" t="s">
        <v>89</v>
      </c>
      <c r="H5089" s="51">
        <v>25.908000000000001</v>
      </c>
      <c r="J5089" s="51">
        <v>5.79</v>
      </c>
      <c r="K5089" s="74">
        <f>Tabela6[[#This Row],[CONSUMO]]*Tabela6[[#This Row],[VALOR UNIT]]-Tabela6[[#This Row],[DESCONTO]]</f>
        <v>150.00732000000002</v>
      </c>
      <c r="L5089" s="53">
        <f>Tabela6[[#This Row],[CUSTO TOTAL]]/Tabela6[[#This Row],[CONSUMO]]</f>
        <v>5.7900000000000009</v>
      </c>
      <c r="M5089" s="53" t="e">
        <f t="array" ref="M5089">SE</f>
        <v>#NAME?</v>
      </c>
      <c r="N5089" s="49" t="e">
        <f>Tabela6[[#This Row],[KM Rodados ]]/Tabela6[[#This Row],[CONSUMO]]</f>
        <v>#NAME?</v>
      </c>
    </row>
    <row r="5090" spans="1:14" x14ac:dyDescent="0.25">
      <c r="A5090" s="47">
        <v>33589</v>
      </c>
      <c r="B5090" s="78">
        <v>45503</v>
      </c>
      <c r="C5090" s="47" t="s">
        <v>38</v>
      </c>
      <c r="D5090" s="49" t="s">
        <v>255</v>
      </c>
      <c r="E5090" s="47">
        <v>151356</v>
      </c>
      <c r="G5090" s="50" t="s">
        <v>244</v>
      </c>
      <c r="H5090" s="51">
        <v>51.981000000000002</v>
      </c>
      <c r="J5090" s="51">
        <v>6.1609999999999996</v>
      </c>
      <c r="K5090" s="74">
        <f>Tabela6[[#This Row],[CONSUMO]]*Tabela6[[#This Row],[VALOR UNIT]]-Tabela6[[#This Row],[DESCONTO]]</f>
        <v>320.25494099999997</v>
      </c>
      <c r="L5090" s="53">
        <f>Tabela6[[#This Row],[CUSTO TOTAL]]/Tabela6[[#This Row],[CONSUMO]]</f>
        <v>6.1609999999999996</v>
      </c>
      <c r="M5090" s="53" t="e">
        <f t="array" ref="M5090">SE</f>
        <v>#NAME?</v>
      </c>
      <c r="N5090" s="49" t="e">
        <f>Tabela6[[#This Row],[KM Rodados ]]/Tabela6[[#This Row],[CONSUMO]]</f>
        <v>#NAME?</v>
      </c>
    </row>
    <row r="5091" spans="1:14" x14ac:dyDescent="0.25">
      <c r="A5091" s="47">
        <v>290023</v>
      </c>
      <c r="B5091" s="78">
        <v>45503</v>
      </c>
      <c r="C5091" s="47" t="s">
        <v>23</v>
      </c>
      <c r="D5091" s="49" t="s">
        <v>253</v>
      </c>
      <c r="E5091" s="47">
        <v>287527</v>
      </c>
      <c r="G5091" s="50" t="s">
        <v>89</v>
      </c>
      <c r="H5091" s="51">
        <v>130.88</v>
      </c>
      <c r="J5091" s="51">
        <v>6.09</v>
      </c>
      <c r="K5091" s="74">
        <f>Tabela6[[#This Row],[CONSUMO]]*Tabela6[[#This Row],[VALOR UNIT]]-Tabela6[[#This Row],[DESCONTO]]</f>
        <v>797.05919999999992</v>
      </c>
      <c r="L5091" s="53">
        <f>Tabela6[[#This Row],[CUSTO TOTAL]]/Tabela6[[#This Row],[CONSUMO]]</f>
        <v>6.09</v>
      </c>
      <c r="M5091" s="53" t="e">
        <f t="array" ref="M5091">SE</f>
        <v>#NAME?</v>
      </c>
      <c r="N5091" s="49" t="e">
        <f>Tabela6[[#This Row],[KM Rodados ]]/Tabela6[[#This Row],[CONSUMO]]</f>
        <v>#NAME?</v>
      </c>
    </row>
    <row r="5092" spans="1:14" x14ac:dyDescent="0.25">
      <c r="A5092" s="47" t="s">
        <v>526</v>
      </c>
      <c r="B5092" s="78">
        <v>45504</v>
      </c>
      <c r="C5092" s="47" t="s">
        <v>222</v>
      </c>
      <c r="D5092" s="49" t="s">
        <v>300</v>
      </c>
      <c r="G5092" s="50" t="s">
        <v>241</v>
      </c>
      <c r="H5092" s="51">
        <v>40.011000000000003</v>
      </c>
      <c r="J5092" s="51">
        <v>2.99</v>
      </c>
      <c r="K5092" s="74">
        <f>Tabela6[[#This Row],[CONSUMO]]*Tabela6[[#This Row],[VALOR UNIT]]-Tabela6[[#This Row],[DESCONTO]]</f>
        <v>119.63289000000002</v>
      </c>
      <c r="L5092" s="53">
        <f>Tabela6[[#This Row],[CUSTO TOTAL]]/Tabela6[[#This Row],[CONSUMO]]</f>
        <v>2.99</v>
      </c>
      <c r="M5092" s="53" t="e">
        <f t="array" ref="M5092">SE</f>
        <v>#NAME?</v>
      </c>
      <c r="N5092" s="49" t="e">
        <f>Tabela6[[#This Row],[KM Rodados ]]/Tabela6[[#This Row],[CONSUMO]]</f>
        <v>#NAME?</v>
      </c>
    </row>
    <row r="5093" spans="1:14" x14ac:dyDescent="0.25">
      <c r="A5093" s="47">
        <v>455333</v>
      </c>
      <c r="B5093" s="78">
        <v>45504</v>
      </c>
      <c r="C5093" s="47" t="s">
        <v>72</v>
      </c>
      <c r="D5093" s="49" t="s">
        <v>268</v>
      </c>
      <c r="E5093" s="47">
        <v>470194</v>
      </c>
      <c r="G5093" s="50" t="s">
        <v>89</v>
      </c>
      <c r="H5093" s="51">
        <v>30.010999999999999</v>
      </c>
      <c r="J5093" s="51">
        <v>5.79</v>
      </c>
      <c r="K5093" s="74">
        <f>Tabela6[[#This Row],[CONSUMO]]*Tabela6[[#This Row],[VALOR UNIT]]-Tabela6[[#This Row],[DESCONTO]]</f>
        <v>173.76369</v>
      </c>
      <c r="L5093" s="53">
        <f>Tabela6[[#This Row],[CUSTO TOTAL]]/Tabela6[[#This Row],[CONSUMO]]</f>
        <v>5.79</v>
      </c>
      <c r="M5093" s="53" t="e">
        <f t="array" ref="M5093">SE</f>
        <v>#NAME?</v>
      </c>
      <c r="N5093" s="49" t="e">
        <f>Tabela6[[#This Row],[KM Rodados ]]/Tabela6[[#This Row],[CONSUMO]]</f>
        <v>#NAME?</v>
      </c>
    </row>
    <row r="5094" spans="1:14" x14ac:dyDescent="0.25">
      <c r="A5094" s="47">
        <v>33896</v>
      </c>
      <c r="B5094" s="78">
        <v>45504</v>
      </c>
      <c r="C5094" s="47" t="s">
        <v>23</v>
      </c>
      <c r="D5094" s="49" t="s">
        <v>255</v>
      </c>
      <c r="E5094" s="47">
        <v>288161</v>
      </c>
      <c r="G5094" s="50" t="s">
        <v>89</v>
      </c>
      <c r="H5094" s="51">
        <v>139.15100000000001</v>
      </c>
      <c r="J5094" s="51">
        <v>6.37</v>
      </c>
      <c r="K5094" s="74">
        <f>Tabela6[[#This Row],[CONSUMO]]*Tabela6[[#This Row],[VALOR UNIT]]-Tabela6[[#This Row],[DESCONTO]]</f>
        <v>886.39187000000004</v>
      </c>
      <c r="L5094" s="53">
        <f>Tabela6[[#This Row],[CUSTO TOTAL]]/Tabela6[[#This Row],[CONSUMO]]</f>
        <v>6.37</v>
      </c>
      <c r="M5094" s="53" t="e">
        <f t="array" ref="M5094">SE</f>
        <v>#NAME?</v>
      </c>
      <c r="N5094" s="49" t="e">
        <f>Tabela6[[#This Row],[KM Rodados ]]/Tabela6[[#This Row],[CONSUMO]]</f>
        <v>#NAME?</v>
      </c>
    </row>
    <row r="5095" spans="1:14" x14ac:dyDescent="0.25">
      <c r="A5095" s="47">
        <v>281766</v>
      </c>
      <c r="B5095" s="78">
        <v>45504</v>
      </c>
      <c r="C5095" s="47" t="s">
        <v>40</v>
      </c>
      <c r="D5095" s="49" t="s">
        <v>262</v>
      </c>
      <c r="E5095" s="47">
        <v>215907</v>
      </c>
      <c r="G5095" s="50" t="s">
        <v>244</v>
      </c>
      <c r="H5095" s="51">
        <v>37.15</v>
      </c>
      <c r="J5095" s="51">
        <v>5.99</v>
      </c>
      <c r="K5095" s="74">
        <f>Tabela6[[#This Row],[CONSUMO]]*Tabela6[[#This Row],[VALOR UNIT]]-Tabela6[[#This Row],[DESCONTO]]</f>
        <v>222.52850000000001</v>
      </c>
      <c r="L5095" s="53">
        <f>Tabela6[[#This Row],[CUSTO TOTAL]]/Tabela6[[#This Row],[CONSUMO]]</f>
        <v>5.99</v>
      </c>
      <c r="M5095" s="53" t="e">
        <f t="array" ref="M5095">SE</f>
        <v>#NAME?</v>
      </c>
      <c r="N5095" s="49" t="e">
        <f>Tabela6[[#This Row],[KM Rodados ]]/Tabela6[[#This Row],[CONSUMO]]</f>
        <v>#NAME?</v>
      </c>
    </row>
    <row r="5096" spans="1:14" x14ac:dyDescent="0.25">
      <c r="A5096" s="47">
        <v>697320</v>
      </c>
      <c r="B5096" s="78">
        <v>45504</v>
      </c>
      <c r="C5096" s="47" t="s">
        <v>401</v>
      </c>
      <c r="D5096" s="49" t="s">
        <v>264</v>
      </c>
      <c r="E5096" s="47">
        <v>44760</v>
      </c>
      <c r="G5096" s="50" t="s">
        <v>89</v>
      </c>
      <c r="H5096" s="51">
        <v>67.709999999999994</v>
      </c>
      <c r="J5096" s="51">
        <v>5.92</v>
      </c>
      <c r="K5096" s="74">
        <f>Tabela6[[#This Row],[CONSUMO]]*Tabela6[[#This Row],[VALOR UNIT]]-Tabela6[[#This Row],[DESCONTO]]</f>
        <v>400.84319999999997</v>
      </c>
      <c r="L5096" s="53">
        <f>Tabela6[[#This Row],[CUSTO TOTAL]]/Tabela6[[#This Row],[CONSUMO]]</f>
        <v>5.92</v>
      </c>
      <c r="M5096" s="53" t="e">
        <f t="array" ref="M5096">SE</f>
        <v>#NAME?</v>
      </c>
      <c r="N5096" s="49" t="e">
        <f>Tabela6[[#This Row],[KM Rodados ]]/Tabela6[[#This Row],[CONSUMO]]</f>
        <v>#NAME?</v>
      </c>
    </row>
    <row r="5097" spans="1:14" x14ac:dyDescent="0.25">
      <c r="A5097" s="47">
        <v>697320</v>
      </c>
      <c r="B5097" s="78">
        <v>45504</v>
      </c>
      <c r="C5097" s="47" t="s">
        <v>401</v>
      </c>
      <c r="D5097" s="49" t="s">
        <v>264</v>
      </c>
      <c r="E5097" s="47">
        <v>44760</v>
      </c>
      <c r="G5097" s="50" t="s">
        <v>241</v>
      </c>
      <c r="H5097" s="51">
        <v>25</v>
      </c>
      <c r="J5097" s="51">
        <v>2.79</v>
      </c>
      <c r="K5097" s="74">
        <f>Tabela6[[#This Row],[CONSUMO]]*Tabela6[[#This Row],[VALOR UNIT]]-Tabela6[[#This Row],[DESCONTO]]</f>
        <v>69.75</v>
      </c>
      <c r="L5097" s="53">
        <f>Tabela6[[#This Row],[CUSTO TOTAL]]/Tabela6[[#This Row],[CONSUMO]]</f>
        <v>2.79</v>
      </c>
      <c r="M5097" s="53" t="e">
        <f t="array" ref="M5097">SE</f>
        <v>#NAME?</v>
      </c>
      <c r="N5097" s="49" t="e">
        <f>Tabela6[[#This Row],[KM Rodados ]]/Tabela6[[#This Row],[CONSUMO]]</f>
        <v>#NAME?</v>
      </c>
    </row>
    <row r="5098" spans="1:14" x14ac:dyDescent="0.25">
      <c r="A5098" s="47">
        <v>54921</v>
      </c>
      <c r="B5098" s="78">
        <v>45505</v>
      </c>
      <c r="C5098" s="47" t="s">
        <v>68</v>
      </c>
      <c r="D5098" s="49" t="s">
        <v>274</v>
      </c>
      <c r="E5098" s="47">
        <v>995218</v>
      </c>
      <c r="G5098" s="50" t="s">
        <v>89</v>
      </c>
      <c r="H5098" s="51">
        <v>149.9</v>
      </c>
      <c r="J5098" s="51">
        <v>5.69</v>
      </c>
      <c r="K5098" s="74">
        <f>Tabela6[[#This Row],[CONSUMO]]*Tabela6[[#This Row],[VALOR UNIT]]-Tabela6[[#This Row],[DESCONTO]]</f>
        <v>852.93100000000004</v>
      </c>
      <c r="L5098" s="53">
        <f>Tabela6[[#This Row],[CUSTO TOTAL]]/Tabela6[[#This Row],[CONSUMO]]</f>
        <v>5.69</v>
      </c>
      <c r="M5098" s="53" t="e">
        <f t="array" ref="M5098">SE</f>
        <v>#NAME?</v>
      </c>
      <c r="N5098" s="49" t="e">
        <f>Tabela6[[#This Row],[KM Rodados ]]/Tabela6[[#This Row],[CONSUMO]]</f>
        <v>#NAME?</v>
      </c>
    </row>
    <row r="5099" spans="1:14" x14ac:dyDescent="0.25">
      <c r="A5099" s="47">
        <v>358308</v>
      </c>
      <c r="B5099" s="78">
        <v>45505</v>
      </c>
      <c r="C5099" s="47" t="s">
        <v>10</v>
      </c>
      <c r="D5099" s="49" t="s">
        <v>405</v>
      </c>
      <c r="E5099" s="47">
        <v>358308</v>
      </c>
      <c r="G5099" s="50" t="s">
        <v>89</v>
      </c>
      <c r="H5099" s="51">
        <v>209.55099999999999</v>
      </c>
      <c r="J5099" s="51">
        <v>6.94</v>
      </c>
      <c r="K5099" s="74">
        <f>Tabela6[[#This Row],[CONSUMO]]*Tabela6[[#This Row],[VALOR UNIT]]-Tabela6[[#This Row],[DESCONTO]]</f>
        <v>1454.28394</v>
      </c>
      <c r="L5099" s="53">
        <f>Tabela6[[#This Row],[CUSTO TOTAL]]/Tabela6[[#This Row],[CONSUMO]]</f>
        <v>6.94</v>
      </c>
      <c r="M5099" s="53" t="e">
        <f t="array" ref="M5099">SE</f>
        <v>#NAME?</v>
      </c>
      <c r="N5099" s="49" t="e">
        <f>Tabela6[[#This Row],[KM Rodados ]]/Tabela6[[#This Row],[CONSUMO]]</f>
        <v>#NAME?</v>
      </c>
    </row>
    <row r="5100" spans="1:14" x14ac:dyDescent="0.25">
      <c r="A5100" s="47">
        <v>282042</v>
      </c>
      <c r="B5100" s="78">
        <v>45505</v>
      </c>
      <c r="C5100" s="47" t="s">
        <v>206</v>
      </c>
      <c r="D5100" s="49" t="s">
        <v>262</v>
      </c>
      <c r="E5100" s="47">
        <v>102051</v>
      </c>
      <c r="G5100" s="50" t="s">
        <v>241</v>
      </c>
      <c r="H5100" s="51">
        <v>30.859000000000002</v>
      </c>
      <c r="I5100" s="49">
        <v>11.11</v>
      </c>
      <c r="J5100" s="51">
        <v>3.69</v>
      </c>
      <c r="K5100" s="74">
        <f>Tabela6[[#This Row],[CONSUMO]]*Tabela6[[#This Row],[VALOR UNIT]]-Tabela6[[#This Row],[DESCONTO]]</f>
        <v>102.75971</v>
      </c>
      <c r="L5100" s="53">
        <f>Tabela6[[#This Row],[CUSTO TOTAL]]/Tabela6[[#This Row],[CONSUMO]]</f>
        <v>3.3299753718526199</v>
      </c>
      <c r="M5100" s="53" t="e">
        <f t="array" ref="M5100">SE</f>
        <v>#NAME?</v>
      </c>
      <c r="N5100" s="49" t="e">
        <f>Tabela6[[#This Row],[KM Rodados ]]/Tabela6[[#This Row],[CONSUMO]]</f>
        <v>#NAME?</v>
      </c>
    </row>
    <row r="5101" spans="1:14" x14ac:dyDescent="0.25">
      <c r="A5101" s="47">
        <v>819637</v>
      </c>
      <c r="B5101" s="78">
        <v>45505</v>
      </c>
      <c r="C5101" s="47" t="s">
        <v>14</v>
      </c>
      <c r="D5101" s="49" t="s">
        <v>271</v>
      </c>
      <c r="E5101" s="47">
        <v>339968</v>
      </c>
      <c r="G5101" s="50" t="s">
        <v>244</v>
      </c>
      <c r="H5101" s="51">
        <v>20.100999999999999</v>
      </c>
      <c r="J5101" s="51">
        <v>5.89</v>
      </c>
      <c r="K5101" s="74">
        <f>Tabela6[[#This Row],[CONSUMO]]*Tabela6[[#This Row],[VALOR UNIT]]-Tabela6[[#This Row],[DESCONTO]]</f>
        <v>118.39488999999999</v>
      </c>
      <c r="L5101" s="53">
        <f>Tabela6[[#This Row],[CUSTO TOTAL]]/Tabela6[[#This Row],[CONSUMO]]</f>
        <v>5.89</v>
      </c>
      <c r="M5101" s="53" t="e">
        <f t="array" ref="M5101">SE</f>
        <v>#NAME?</v>
      </c>
      <c r="N5101" s="49" t="e">
        <f>Tabela6[[#This Row],[KM Rodados ]]/Tabela6[[#This Row],[CONSUMO]]</f>
        <v>#NAME?</v>
      </c>
    </row>
    <row r="5102" spans="1:14" x14ac:dyDescent="0.25">
      <c r="A5102" s="47">
        <v>8408</v>
      </c>
      <c r="B5102" s="78">
        <v>45505</v>
      </c>
      <c r="C5102" s="47" t="s">
        <v>15</v>
      </c>
      <c r="D5102" s="49" t="s">
        <v>324</v>
      </c>
      <c r="E5102" s="47">
        <v>343938</v>
      </c>
      <c r="G5102" s="50" t="s">
        <v>89</v>
      </c>
      <c r="H5102" s="51">
        <v>50.701000000000001</v>
      </c>
      <c r="J5102" s="51">
        <v>5.65</v>
      </c>
      <c r="K5102" s="74">
        <f>Tabela6[[#This Row],[CONSUMO]]*Tabela6[[#This Row],[VALOR UNIT]]-Tabela6[[#This Row],[DESCONTO]]</f>
        <v>286.46065000000004</v>
      </c>
      <c r="L5102" s="53">
        <f>Tabela6[[#This Row],[CUSTO TOTAL]]/Tabela6[[#This Row],[CONSUMO]]</f>
        <v>5.6500000000000012</v>
      </c>
      <c r="M5102" s="53" t="e">
        <f t="array" ref="M5102">SE</f>
        <v>#NAME?</v>
      </c>
      <c r="N5102" s="49" t="e">
        <f>Tabela6[[#This Row],[KM Rodados ]]/Tabela6[[#This Row],[CONSUMO]]</f>
        <v>#NAME?</v>
      </c>
    </row>
    <row r="5103" spans="1:14" x14ac:dyDescent="0.25">
      <c r="A5103" s="47">
        <v>968778</v>
      </c>
      <c r="B5103" s="78">
        <v>45505</v>
      </c>
      <c r="C5103" s="47" t="s">
        <v>401</v>
      </c>
      <c r="D5103" s="49" t="s">
        <v>264</v>
      </c>
      <c r="E5103" s="47">
        <v>45627</v>
      </c>
      <c r="G5103" s="50" t="s">
        <v>89</v>
      </c>
      <c r="H5103" s="51">
        <v>112.78</v>
      </c>
      <c r="J5103" s="51">
        <v>5.92</v>
      </c>
      <c r="K5103" s="74">
        <f>Tabela6[[#This Row],[CONSUMO]]*Tabela6[[#This Row],[VALOR UNIT]]-Tabela6[[#This Row],[DESCONTO]]</f>
        <v>667.6576</v>
      </c>
      <c r="L5103" s="53">
        <f>Tabela6[[#This Row],[CUSTO TOTAL]]/Tabela6[[#This Row],[CONSUMO]]</f>
        <v>5.92</v>
      </c>
      <c r="M5103" s="53" t="e">
        <f t="array" ref="M5103">SE</f>
        <v>#NAME?</v>
      </c>
      <c r="N5103" s="49" t="e">
        <f>Tabela6[[#This Row],[KM Rodados ]]/Tabela6[[#This Row],[CONSUMO]]</f>
        <v>#NAME?</v>
      </c>
    </row>
    <row r="5104" spans="1:14" x14ac:dyDescent="0.25">
      <c r="A5104" s="47">
        <v>801060</v>
      </c>
      <c r="B5104" s="78">
        <v>45506</v>
      </c>
      <c r="C5104" s="47" t="s">
        <v>43</v>
      </c>
      <c r="D5104" s="49" t="s">
        <v>465</v>
      </c>
      <c r="E5104" s="47">
        <v>200627</v>
      </c>
      <c r="G5104" s="50" t="s">
        <v>89</v>
      </c>
      <c r="H5104" s="51">
        <v>17.731000000000002</v>
      </c>
      <c r="J5104" s="51">
        <v>5.64</v>
      </c>
      <c r="K5104" s="74">
        <f>Tabela6[[#This Row],[CONSUMO]]*Tabela6[[#This Row],[VALOR UNIT]]-Tabela6[[#This Row],[DESCONTO]]</f>
        <v>100.00284000000001</v>
      </c>
      <c r="L5104" s="53">
        <f>Tabela6[[#This Row],[CUSTO TOTAL]]/Tabela6[[#This Row],[CONSUMO]]</f>
        <v>5.64</v>
      </c>
      <c r="M5104" s="53" t="e">
        <f t="array" ref="M5104">SE</f>
        <v>#NAME?</v>
      </c>
      <c r="N5104" s="49" t="e">
        <f>Tabela6[[#This Row],[KM Rodados ]]/Tabela6[[#This Row],[CONSUMO]]</f>
        <v>#NAME?</v>
      </c>
    </row>
    <row r="5105" spans="1:14" x14ac:dyDescent="0.25">
      <c r="A5105" s="47">
        <v>282234</v>
      </c>
      <c r="B5105" s="78">
        <v>45506</v>
      </c>
      <c r="C5105" s="47" t="s">
        <v>72</v>
      </c>
      <c r="D5105" s="49" t="s">
        <v>262</v>
      </c>
      <c r="E5105" s="47">
        <v>470541</v>
      </c>
      <c r="G5105" s="50" t="s">
        <v>89</v>
      </c>
      <c r="H5105" s="51">
        <v>19.899999999999999</v>
      </c>
      <c r="J5105" s="51">
        <v>6.09</v>
      </c>
      <c r="K5105" s="74">
        <f>Tabela6[[#This Row],[CONSUMO]]*Tabela6[[#This Row],[VALOR UNIT]]-Tabela6[[#This Row],[DESCONTO]]</f>
        <v>121.19099999999999</v>
      </c>
      <c r="L5105" s="53">
        <f>Tabela6[[#This Row],[CUSTO TOTAL]]/Tabela6[[#This Row],[CONSUMO]]</f>
        <v>6.09</v>
      </c>
      <c r="M5105" s="53" t="e">
        <f t="array" ref="M5105">SE</f>
        <v>#NAME?</v>
      </c>
      <c r="N5105" s="49" t="e">
        <f>Tabela6[[#This Row],[KM Rodados ]]/Tabela6[[#This Row],[CONSUMO]]</f>
        <v>#NAME?</v>
      </c>
    </row>
    <row r="5106" spans="1:14" x14ac:dyDescent="0.25">
      <c r="A5106" s="47">
        <v>282250</v>
      </c>
      <c r="B5106" s="78">
        <v>45506</v>
      </c>
      <c r="C5106" s="47" t="s">
        <v>19</v>
      </c>
      <c r="D5106" s="49" t="s">
        <v>262</v>
      </c>
      <c r="E5106" s="47">
        <v>391237</v>
      </c>
      <c r="G5106" s="50" t="s">
        <v>241</v>
      </c>
      <c r="H5106" s="51">
        <v>19.957999999999998</v>
      </c>
      <c r="I5106" s="49">
        <v>7.19</v>
      </c>
      <c r="J5106" s="51">
        <v>3.69</v>
      </c>
      <c r="K5106" s="74">
        <f>Tabela6[[#This Row],[CONSUMO]]*Tabela6[[#This Row],[VALOR UNIT]]-Tabela6[[#This Row],[DESCONTO]]</f>
        <v>66.45501999999999</v>
      </c>
      <c r="L5106" s="53">
        <f>Tabela6[[#This Row],[CUSTO TOTAL]]/Tabela6[[#This Row],[CONSUMO]]</f>
        <v>3.3297434612686638</v>
      </c>
      <c r="M5106" s="53" t="e">
        <f t="array" ref="M5106">SE</f>
        <v>#NAME?</v>
      </c>
      <c r="N5106" s="49" t="e">
        <f>Tabela6[[#This Row],[KM Rodados ]]/Tabela6[[#This Row],[CONSUMO]]</f>
        <v>#NAME?</v>
      </c>
    </row>
    <row r="5107" spans="1:14" x14ac:dyDescent="0.25">
      <c r="A5107" s="47">
        <v>820142</v>
      </c>
      <c r="B5107" s="78">
        <v>45506</v>
      </c>
      <c r="C5107" s="47" t="s">
        <v>74</v>
      </c>
      <c r="D5107" s="49" t="s">
        <v>271</v>
      </c>
      <c r="E5107" s="47">
        <v>148376</v>
      </c>
      <c r="G5107" s="50" t="s">
        <v>89</v>
      </c>
      <c r="H5107" s="51">
        <v>77871</v>
      </c>
      <c r="J5107" s="51">
        <v>5.79</v>
      </c>
      <c r="K5107" s="74">
        <f>Tabela6[[#This Row],[CONSUMO]]*Tabela6[[#This Row],[VALOR UNIT]]-Tabela6[[#This Row],[DESCONTO]]</f>
        <v>450873.09</v>
      </c>
      <c r="L5107" s="53">
        <f>Tabela6[[#This Row],[CUSTO TOTAL]]/Tabela6[[#This Row],[CONSUMO]]</f>
        <v>5.79</v>
      </c>
      <c r="M5107" s="53" t="e">
        <f t="array" ref="M5107">SE</f>
        <v>#NAME?</v>
      </c>
      <c r="N5107" s="49" t="e">
        <f>Tabela6[[#This Row],[KM Rodados ]]/Tabela6[[#This Row],[CONSUMO]]</f>
        <v>#NAME?</v>
      </c>
    </row>
    <row r="5108" spans="1:14" x14ac:dyDescent="0.25">
      <c r="A5108" s="47">
        <v>282385</v>
      </c>
      <c r="B5108" s="78">
        <v>45506</v>
      </c>
      <c r="C5108" s="47" t="s">
        <v>446</v>
      </c>
      <c r="D5108" s="49" t="s">
        <v>262</v>
      </c>
      <c r="E5108" s="47">
        <v>29687</v>
      </c>
      <c r="G5108" s="50" t="s">
        <v>241</v>
      </c>
      <c r="H5108" s="51">
        <v>35.508000000000003</v>
      </c>
      <c r="I5108" s="49">
        <v>12.78</v>
      </c>
      <c r="J5108" s="51">
        <v>3.69</v>
      </c>
      <c r="K5108" s="74">
        <f>Tabela6[[#This Row],[CONSUMO]]*Tabela6[[#This Row],[VALOR UNIT]]-Tabela6[[#This Row],[DESCONTO]]</f>
        <v>118.24451999999999</v>
      </c>
      <c r="L5108" s="53">
        <f>Tabela6[[#This Row],[CUSTO TOTAL]]/Tabela6[[#This Row],[CONSUMO]]</f>
        <v>3.3300811084825952</v>
      </c>
      <c r="M5108" s="53" t="e">
        <f t="array" ref="M5108">SE</f>
        <v>#NAME?</v>
      </c>
      <c r="N5108" s="49" t="e">
        <f>Tabela6[[#This Row],[KM Rodados ]]/Tabela6[[#This Row],[CONSUMO]]</f>
        <v>#NAME?</v>
      </c>
    </row>
    <row r="5109" spans="1:14" x14ac:dyDescent="0.25">
      <c r="A5109" s="47">
        <v>31233</v>
      </c>
      <c r="B5109" s="78">
        <v>45507</v>
      </c>
      <c r="C5109" s="47" t="s">
        <v>73</v>
      </c>
      <c r="D5109" s="49" t="s">
        <v>516</v>
      </c>
      <c r="E5109" s="47">
        <v>2158892</v>
      </c>
      <c r="G5109" s="50" t="s">
        <v>241</v>
      </c>
      <c r="H5109" s="51">
        <v>12.868</v>
      </c>
      <c r="J5109" s="51">
        <v>3.89</v>
      </c>
      <c r="K5109" s="74">
        <f>Tabela6[[#This Row],[CONSUMO]]*Tabela6[[#This Row],[VALOR UNIT]]-Tabela6[[#This Row],[DESCONTO]]</f>
        <v>50.056520000000006</v>
      </c>
      <c r="L5109" s="53">
        <f>Tabela6[[#This Row],[CUSTO TOTAL]]/Tabela6[[#This Row],[CONSUMO]]</f>
        <v>3.8900000000000006</v>
      </c>
      <c r="M5109" s="53" t="e">
        <f t="array" ref="M5109">SE</f>
        <v>#NAME?</v>
      </c>
      <c r="N5109" s="49" t="e">
        <f>Tabela6[[#This Row],[KM Rodados ]]/Tabela6[[#This Row],[CONSUMO]]</f>
        <v>#NAME?</v>
      </c>
    </row>
    <row r="5110" spans="1:14" x14ac:dyDescent="0.25">
      <c r="A5110" s="47">
        <v>228815</v>
      </c>
      <c r="B5110" s="78">
        <v>45507</v>
      </c>
      <c r="C5110" s="47" t="s">
        <v>71</v>
      </c>
      <c r="D5110" s="49" t="s">
        <v>263</v>
      </c>
      <c r="E5110" s="47">
        <v>995639</v>
      </c>
      <c r="G5110" s="50" t="s">
        <v>89</v>
      </c>
      <c r="H5110" s="51">
        <v>449.4</v>
      </c>
      <c r="I5110" s="49">
        <v>67.41</v>
      </c>
      <c r="J5110" s="51">
        <v>6.09</v>
      </c>
      <c r="K5110" s="74">
        <f>Tabela6[[#This Row],[CONSUMO]]*Tabela6[[#This Row],[VALOR UNIT]]-Tabela6[[#This Row],[DESCONTO]]</f>
        <v>2669.4360000000001</v>
      </c>
      <c r="L5110" s="53">
        <f>Tabela6[[#This Row],[CUSTO TOTAL]]/Tabela6[[#This Row],[CONSUMO]]</f>
        <v>5.94</v>
      </c>
      <c r="M5110" s="53" t="e">
        <f t="array" ref="M5110">SE</f>
        <v>#NAME?</v>
      </c>
      <c r="N5110" s="49" t="e">
        <f>Tabela6[[#This Row],[KM Rodados ]]/Tabela6[[#This Row],[CONSUMO]]</f>
        <v>#NAME?</v>
      </c>
    </row>
    <row r="5111" spans="1:14" x14ac:dyDescent="0.25">
      <c r="A5111" s="47">
        <v>542195</v>
      </c>
      <c r="B5111" s="78">
        <v>45507</v>
      </c>
      <c r="C5111" s="47" t="s">
        <v>301</v>
      </c>
      <c r="D5111" s="49" t="s">
        <v>347</v>
      </c>
      <c r="E5111" s="47">
        <v>114766</v>
      </c>
      <c r="G5111" s="50" t="s">
        <v>89</v>
      </c>
      <c r="H5111" s="51">
        <v>535</v>
      </c>
      <c r="J5111" s="51">
        <v>5.89</v>
      </c>
      <c r="K5111" s="74">
        <f>Tabela6[[#This Row],[CONSUMO]]*Tabela6[[#This Row],[VALOR UNIT]]-Tabela6[[#This Row],[DESCONTO]]</f>
        <v>3151.1499999999996</v>
      </c>
      <c r="L5111" s="53">
        <f>Tabela6[[#This Row],[CUSTO TOTAL]]/Tabela6[[#This Row],[CONSUMO]]</f>
        <v>5.89</v>
      </c>
      <c r="M5111" s="53" t="e">
        <f t="array" ref="M5111">SE</f>
        <v>#NAME?</v>
      </c>
      <c r="N5111" s="49" t="e">
        <f>Tabela6[[#This Row],[KM Rodados ]]/Tabela6[[#This Row],[CONSUMO]]</f>
        <v>#NAME?</v>
      </c>
    </row>
    <row r="5112" spans="1:14" x14ac:dyDescent="0.25">
      <c r="A5112" s="47">
        <v>294942</v>
      </c>
      <c r="B5112" s="78">
        <v>45509</v>
      </c>
      <c r="C5112" s="47" t="s">
        <v>12</v>
      </c>
      <c r="D5112" s="49" t="s">
        <v>253</v>
      </c>
      <c r="E5112" s="47">
        <v>343729</v>
      </c>
      <c r="G5112" s="50" t="s">
        <v>89</v>
      </c>
      <c r="H5112" s="51">
        <v>106</v>
      </c>
      <c r="J5112" s="51">
        <v>6.09</v>
      </c>
      <c r="K5112" s="74">
        <f>Tabela6[[#This Row],[CONSUMO]]*Tabela6[[#This Row],[VALOR UNIT]]-Tabela6[[#This Row],[DESCONTO]]</f>
        <v>645.54</v>
      </c>
      <c r="L5112" s="53">
        <f>Tabela6[[#This Row],[CUSTO TOTAL]]/Tabela6[[#This Row],[CONSUMO]]</f>
        <v>6.09</v>
      </c>
      <c r="M5112" s="53" t="e">
        <f t="array" ref="M5112">SE</f>
        <v>#NAME?</v>
      </c>
      <c r="N5112" s="49" t="e">
        <f>Tabela6[[#This Row],[KM Rodados ]]/Tabela6[[#This Row],[CONSUMO]]</f>
        <v>#NAME?</v>
      </c>
    </row>
    <row r="5113" spans="1:14" x14ac:dyDescent="0.25">
      <c r="A5113" s="47">
        <v>437294</v>
      </c>
      <c r="B5113" s="78">
        <v>45509</v>
      </c>
      <c r="C5113" s="47" t="s">
        <v>23</v>
      </c>
      <c r="D5113" s="49" t="s">
        <v>534</v>
      </c>
      <c r="E5113" s="47">
        <v>288825</v>
      </c>
      <c r="G5113" s="50" t="s">
        <v>89</v>
      </c>
      <c r="H5113" s="51">
        <v>15.42</v>
      </c>
      <c r="I5113" s="49">
        <v>4.93</v>
      </c>
      <c r="J5113" s="51">
        <v>6.09</v>
      </c>
      <c r="K5113" s="74">
        <f>Tabela6[[#This Row],[CONSUMO]]*Tabela6[[#This Row],[VALOR UNIT]]-Tabela6[[#This Row],[DESCONTO]]</f>
        <v>88.977800000000002</v>
      </c>
      <c r="L5113" s="53">
        <f>Tabela6[[#This Row],[CUSTO TOTAL]]/Tabela6[[#This Row],[CONSUMO]]</f>
        <v>5.7702853437094683</v>
      </c>
      <c r="M5113" s="53" t="e">
        <f t="array" ref="M5113">SE</f>
        <v>#NAME?</v>
      </c>
      <c r="N5113" s="49" t="e">
        <f>Tabela6[[#This Row],[KM Rodados ]]/Tabela6[[#This Row],[CONSUMO]]</f>
        <v>#NAME?</v>
      </c>
    </row>
    <row r="5114" spans="1:14" x14ac:dyDescent="0.25">
      <c r="A5114" s="47">
        <v>295172</v>
      </c>
      <c r="B5114" s="78">
        <v>45509</v>
      </c>
      <c r="C5114" s="47" t="s">
        <v>23</v>
      </c>
      <c r="D5114" s="49" t="s">
        <v>253</v>
      </c>
      <c r="E5114" s="47">
        <v>288887</v>
      </c>
      <c r="G5114" s="50" t="s">
        <v>89</v>
      </c>
      <c r="H5114" s="51">
        <v>146.13999999999999</v>
      </c>
      <c r="J5114" s="51">
        <v>6.09</v>
      </c>
      <c r="K5114" s="74">
        <f>Tabela6[[#This Row],[CONSUMO]]*Tabela6[[#This Row],[VALOR UNIT]]-Tabela6[[#This Row],[DESCONTO]]</f>
        <v>889.99259999999992</v>
      </c>
      <c r="L5114" s="53">
        <f>Tabela6[[#This Row],[CUSTO TOTAL]]/Tabela6[[#This Row],[CONSUMO]]</f>
        <v>6.09</v>
      </c>
      <c r="M5114" s="53" t="e">
        <f t="array" ref="M5114">SE</f>
        <v>#NAME?</v>
      </c>
      <c r="N5114" s="49" t="e">
        <f>Tabela6[[#This Row],[KM Rodados ]]/Tabela6[[#This Row],[CONSUMO]]</f>
        <v>#NAME?</v>
      </c>
    </row>
    <row r="5115" spans="1:14" x14ac:dyDescent="0.25">
      <c r="A5115" s="47">
        <v>294820</v>
      </c>
      <c r="B5115" s="78">
        <v>45509</v>
      </c>
      <c r="C5115" s="47" t="s">
        <v>315</v>
      </c>
      <c r="D5115" s="49" t="s">
        <v>253</v>
      </c>
      <c r="E5115" s="47">
        <v>41502</v>
      </c>
      <c r="G5115" s="50" t="s">
        <v>89</v>
      </c>
      <c r="H5115" s="51">
        <v>62.52</v>
      </c>
      <c r="J5115" s="51">
        <v>6.09</v>
      </c>
      <c r="K5115" s="74">
        <f>Tabela6[[#This Row],[CONSUMO]]*Tabela6[[#This Row],[VALOR UNIT]]-Tabela6[[#This Row],[DESCONTO]]</f>
        <v>380.74680000000001</v>
      </c>
      <c r="L5115" s="53">
        <f>Tabela6[[#This Row],[CUSTO TOTAL]]/Tabela6[[#This Row],[CONSUMO]]</f>
        <v>6.09</v>
      </c>
      <c r="M5115" s="53" t="e">
        <f t="array" ref="M5115">SE</f>
        <v>#NAME?</v>
      </c>
      <c r="N5115" s="49" t="e">
        <f>Tabela6[[#This Row],[KM Rodados ]]/Tabela6[[#This Row],[CONSUMO]]</f>
        <v>#NAME?</v>
      </c>
    </row>
    <row r="5116" spans="1:14" x14ac:dyDescent="0.25">
      <c r="A5116" s="47">
        <v>294820</v>
      </c>
      <c r="B5116" s="78">
        <v>45509</v>
      </c>
      <c r="C5116" s="47" t="s">
        <v>315</v>
      </c>
      <c r="D5116" s="49" t="s">
        <v>253</v>
      </c>
      <c r="E5116" s="47">
        <v>41502</v>
      </c>
      <c r="G5116" s="50" t="s">
        <v>241</v>
      </c>
      <c r="H5116" s="51">
        <v>9.3000000000000007</v>
      </c>
      <c r="J5116" s="51">
        <v>3.49</v>
      </c>
      <c r="K5116" s="74">
        <f>Tabela6[[#This Row],[CONSUMO]]*Tabela6[[#This Row],[VALOR UNIT]]-Tabela6[[#This Row],[DESCONTO]]</f>
        <v>32.457000000000008</v>
      </c>
      <c r="L5116" s="53">
        <f>Tabela6[[#This Row],[CUSTO TOTAL]]/Tabela6[[#This Row],[CONSUMO]]</f>
        <v>3.4900000000000007</v>
      </c>
      <c r="M5116" s="53" t="e">
        <f t="array" ref="M5116">SE</f>
        <v>#NAME?</v>
      </c>
      <c r="N5116" s="49" t="e">
        <f>Tabela6[[#This Row],[KM Rodados ]]/Tabela6[[#This Row],[CONSUMO]]</f>
        <v>#NAME?</v>
      </c>
    </row>
    <row r="5117" spans="1:14" x14ac:dyDescent="0.25">
      <c r="A5117" s="47">
        <v>283116</v>
      </c>
      <c r="B5117" s="78">
        <v>45509</v>
      </c>
      <c r="C5117" s="47" t="s">
        <v>354</v>
      </c>
      <c r="D5117" s="49" t="s">
        <v>262</v>
      </c>
      <c r="E5117" s="47">
        <v>51106</v>
      </c>
      <c r="G5117" s="50" t="s">
        <v>241</v>
      </c>
      <c r="H5117" s="51">
        <v>27.041</v>
      </c>
      <c r="I5117" s="49">
        <v>9.73</v>
      </c>
      <c r="J5117" s="51">
        <v>3.69</v>
      </c>
      <c r="K5117" s="74">
        <f>Tabela6[[#This Row],[CONSUMO]]*Tabela6[[#This Row],[VALOR UNIT]]-Tabela6[[#This Row],[DESCONTO]]</f>
        <v>90.051289999999995</v>
      </c>
      <c r="L5117" s="53">
        <f>Tabela6[[#This Row],[CUSTO TOTAL]]/Tabela6[[#This Row],[CONSUMO]]</f>
        <v>3.3301760289930105</v>
      </c>
      <c r="M5117" s="53" t="e">
        <f t="array" ref="M5117">SE</f>
        <v>#NAME?</v>
      </c>
      <c r="N5117" s="49" t="e">
        <f>Tabela6[[#This Row],[KM Rodados ]]/Tabela6[[#This Row],[CONSUMO]]</f>
        <v>#NAME?</v>
      </c>
    </row>
    <row r="5118" spans="1:14" x14ac:dyDescent="0.25">
      <c r="A5118" s="47">
        <v>1426874</v>
      </c>
      <c r="B5118" s="78">
        <v>45509</v>
      </c>
      <c r="C5118" s="47" t="s">
        <v>446</v>
      </c>
      <c r="D5118" s="49" t="s">
        <v>490</v>
      </c>
      <c r="E5118" s="47">
        <v>31346</v>
      </c>
      <c r="G5118" s="50" t="s">
        <v>241</v>
      </c>
      <c r="H5118" s="51">
        <v>10.041</v>
      </c>
      <c r="J5118" s="51">
        <v>3.29</v>
      </c>
      <c r="K5118" s="74">
        <f>Tabela6[[#This Row],[CONSUMO]]*Tabela6[[#This Row],[VALOR UNIT]]-Tabela6[[#This Row],[DESCONTO]]</f>
        <v>33.034890000000004</v>
      </c>
      <c r="L5118" s="53">
        <f>Tabela6[[#This Row],[CUSTO TOTAL]]/Tabela6[[#This Row],[CONSUMO]]</f>
        <v>3.2900000000000005</v>
      </c>
      <c r="M5118" s="53" t="e">
        <f t="array" ref="M5118">SE</f>
        <v>#NAME?</v>
      </c>
      <c r="N5118" s="49" t="e">
        <f>Tabela6[[#This Row],[KM Rodados ]]/Tabela6[[#This Row],[CONSUMO]]</f>
        <v>#NAME?</v>
      </c>
    </row>
    <row r="5119" spans="1:14" x14ac:dyDescent="0.25">
      <c r="A5119" s="47">
        <v>1426874</v>
      </c>
      <c r="B5119" s="78">
        <v>45509</v>
      </c>
      <c r="C5119" s="47" t="s">
        <v>446</v>
      </c>
      <c r="D5119" s="49" t="s">
        <v>490</v>
      </c>
      <c r="E5119" s="47">
        <v>31346</v>
      </c>
      <c r="G5119" s="50" t="s">
        <v>89</v>
      </c>
      <c r="H5119" s="51">
        <v>70.010999999999996</v>
      </c>
      <c r="J5119" s="51">
        <v>6.23</v>
      </c>
      <c r="K5119" s="74">
        <f>Tabela6[[#This Row],[CONSUMO]]*Tabela6[[#This Row],[VALOR UNIT]]-Tabela6[[#This Row],[DESCONTO]]</f>
        <v>436.16852999999998</v>
      </c>
      <c r="L5119" s="53">
        <f>Tabela6[[#This Row],[CUSTO TOTAL]]/Tabela6[[#This Row],[CONSUMO]]</f>
        <v>6.23</v>
      </c>
      <c r="M5119" s="53" t="e">
        <f t="array" ref="M5119">SE</f>
        <v>#NAME?</v>
      </c>
      <c r="N5119" s="49" t="e">
        <f>Tabela6[[#This Row],[KM Rodados ]]/Tabela6[[#This Row],[CONSUMO]]</f>
        <v>#NAME?</v>
      </c>
    </row>
    <row r="5120" spans="1:14" x14ac:dyDescent="0.25">
      <c r="A5120" s="47">
        <v>26283</v>
      </c>
      <c r="B5120" s="78">
        <v>45510</v>
      </c>
      <c r="C5120" s="47" t="s">
        <v>222</v>
      </c>
      <c r="D5120" s="49" t="s">
        <v>252</v>
      </c>
      <c r="E5120" s="47">
        <v>609202</v>
      </c>
      <c r="G5120" s="50" t="s">
        <v>241</v>
      </c>
      <c r="H5120" s="51">
        <v>25.542999999999999</v>
      </c>
      <c r="J5120" s="51">
        <v>3.69</v>
      </c>
      <c r="K5120" s="74">
        <f>Tabela6[[#This Row],[CONSUMO]]*Tabela6[[#This Row],[VALOR UNIT]]-Tabela6[[#This Row],[DESCONTO]]</f>
        <v>94.25367</v>
      </c>
      <c r="L5120" s="53">
        <f>Tabela6[[#This Row],[CUSTO TOTAL]]/Tabela6[[#This Row],[CONSUMO]]</f>
        <v>3.69</v>
      </c>
      <c r="M5120" s="53" t="e">
        <f t="array" ref="M5120">SE</f>
        <v>#NAME?</v>
      </c>
      <c r="N5120" s="49" t="e">
        <f>Tabela6[[#This Row],[KM Rodados ]]/Tabela6[[#This Row],[CONSUMO]]</f>
        <v>#NAME?</v>
      </c>
    </row>
    <row r="5121" spans="1:14" x14ac:dyDescent="0.25">
      <c r="A5121" s="47">
        <v>26283</v>
      </c>
      <c r="B5121" s="78">
        <v>45510</v>
      </c>
      <c r="C5121" s="47" t="s">
        <v>222</v>
      </c>
      <c r="D5121" s="49" t="s">
        <v>252</v>
      </c>
      <c r="E5121" s="47">
        <v>609202</v>
      </c>
      <c r="G5121" s="50" t="s">
        <v>89</v>
      </c>
      <c r="H5121" s="51">
        <v>372.10599999999999</v>
      </c>
      <c r="J5121" s="51">
        <v>5.89</v>
      </c>
      <c r="K5121" s="74">
        <f>Tabela6[[#This Row],[CONSUMO]]*Tabela6[[#This Row],[VALOR UNIT]]-Tabela6[[#This Row],[DESCONTO]]</f>
        <v>2191.7043399999998</v>
      </c>
      <c r="L5121" s="53">
        <f>Tabela6[[#This Row],[CUSTO TOTAL]]/Tabela6[[#This Row],[CONSUMO]]</f>
        <v>5.89</v>
      </c>
      <c r="M5121" s="53" t="e">
        <f t="array" ref="M5121">SE</f>
        <v>#NAME?</v>
      </c>
      <c r="N5121" s="49" t="e">
        <f>Tabela6[[#This Row],[KM Rodados ]]/Tabela6[[#This Row],[CONSUMO]]</f>
        <v>#NAME?</v>
      </c>
    </row>
    <row r="5122" spans="1:14" x14ac:dyDescent="0.25">
      <c r="A5122" s="47" t="s">
        <v>547</v>
      </c>
      <c r="B5122" s="78">
        <v>45510</v>
      </c>
      <c r="C5122" s="47" t="s">
        <v>67</v>
      </c>
      <c r="D5122" s="49" t="s">
        <v>273</v>
      </c>
      <c r="E5122" s="47">
        <v>728300</v>
      </c>
      <c r="G5122" s="50" t="s">
        <v>241</v>
      </c>
      <c r="H5122" s="51">
        <v>26.100999999999999</v>
      </c>
      <c r="J5122" s="51">
        <v>2.99</v>
      </c>
      <c r="K5122" s="74">
        <f>Tabela6[[#This Row],[CONSUMO]]*Tabela6[[#This Row],[VALOR UNIT]]-Tabela6[[#This Row],[DESCONTO]]</f>
        <v>78.041989999999998</v>
      </c>
      <c r="L5122" s="53">
        <f>Tabela6[[#This Row],[CUSTO TOTAL]]/Tabela6[[#This Row],[CONSUMO]]</f>
        <v>2.99</v>
      </c>
      <c r="M5122" s="53" t="e">
        <f t="array" ref="M5122">SE</f>
        <v>#NAME?</v>
      </c>
      <c r="N5122" s="49" t="e">
        <f>Tabela6[[#This Row],[KM Rodados ]]/Tabela6[[#This Row],[CONSUMO]]</f>
        <v>#NAME?</v>
      </c>
    </row>
    <row r="5123" spans="1:14" x14ac:dyDescent="0.25">
      <c r="A5123" s="47">
        <v>318988</v>
      </c>
      <c r="B5123" s="78">
        <v>45510</v>
      </c>
      <c r="C5123" s="47" t="s">
        <v>67</v>
      </c>
      <c r="D5123" s="49" t="s">
        <v>273</v>
      </c>
      <c r="E5123" s="47">
        <v>728300</v>
      </c>
      <c r="G5123" s="50" t="s">
        <v>89</v>
      </c>
      <c r="H5123" s="51">
        <v>151.44999999999999</v>
      </c>
      <c r="J5123" s="51">
        <v>5.69</v>
      </c>
      <c r="K5123" s="74">
        <f>Tabela6[[#This Row],[CONSUMO]]*Tabela6[[#This Row],[VALOR UNIT]]-Tabela6[[#This Row],[DESCONTO]]</f>
        <v>861.75049999999999</v>
      </c>
      <c r="L5123" s="53">
        <f>Tabela6[[#This Row],[CUSTO TOTAL]]/Tabela6[[#This Row],[CONSUMO]]</f>
        <v>5.69</v>
      </c>
      <c r="M5123" s="53" t="e">
        <f t="array" ref="M5123">SE</f>
        <v>#NAME?</v>
      </c>
      <c r="N5123" s="49" t="e">
        <f>Tabela6[[#This Row],[KM Rodados ]]/Tabela6[[#This Row],[CONSUMO]]</f>
        <v>#NAME?</v>
      </c>
    </row>
    <row r="5124" spans="1:14" x14ac:dyDescent="0.25">
      <c r="A5124" s="47">
        <v>283433</v>
      </c>
      <c r="B5124" s="78">
        <v>45510</v>
      </c>
      <c r="C5124" s="47" t="s">
        <v>215</v>
      </c>
      <c r="D5124" s="49" t="s">
        <v>262</v>
      </c>
      <c r="E5124" s="47">
        <v>419982</v>
      </c>
      <c r="G5124" s="50" t="s">
        <v>244</v>
      </c>
      <c r="H5124" s="51">
        <v>35.420999999999999</v>
      </c>
      <c r="J5124" s="51">
        <v>5.99</v>
      </c>
      <c r="K5124" s="74">
        <f>Tabela6[[#This Row],[CONSUMO]]*Tabela6[[#This Row],[VALOR UNIT]]-Tabela6[[#This Row],[DESCONTO]]</f>
        <v>212.17179000000002</v>
      </c>
      <c r="L5124" s="53">
        <f>Tabela6[[#This Row],[CUSTO TOTAL]]/Tabela6[[#This Row],[CONSUMO]]</f>
        <v>5.99</v>
      </c>
      <c r="M5124" s="53" t="e">
        <f t="array" ref="M5124">SE</f>
        <v>#NAME?</v>
      </c>
      <c r="N5124" s="49" t="e">
        <f>Tabela6[[#This Row],[KM Rodados ]]/Tabela6[[#This Row],[CONSUMO]]</f>
        <v>#NAME?</v>
      </c>
    </row>
    <row r="5125" spans="1:14" x14ac:dyDescent="0.25">
      <c r="A5125" s="47">
        <v>959879</v>
      </c>
      <c r="B5125" s="78">
        <v>45510</v>
      </c>
      <c r="C5125" s="47" t="s">
        <v>17</v>
      </c>
      <c r="D5125" s="49" t="s">
        <v>512</v>
      </c>
      <c r="E5125" s="47">
        <v>426469</v>
      </c>
      <c r="G5125" s="50" t="s">
        <v>241</v>
      </c>
      <c r="H5125" s="51">
        <v>25</v>
      </c>
      <c r="J5125" s="51">
        <v>2.79</v>
      </c>
      <c r="K5125" s="74">
        <f>Tabela6[[#This Row],[CONSUMO]]*Tabela6[[#This Row],[VALOR UNIT]]-Tabela6[[#This Row],[DESCONTO]]</f>
        <v>69.75</v>
      </c>
      <c r="L5125" s="53">
        <f>Tabela6[[#This Row],[CUSTO TOTAL]]/Tabela6[[#This Row],[CONSUMO]]</f>
        <v>2.79</v>
      </c>
      <c r="M5125" s="53" t="e">
        <f t="array" ref="M5125">SE</f>
        <v>#NAME?</v>
      </c>
      <c r="N5125" s="49" t="e">
        <f>Tabela6[[#This Row],[KM Rodados ]]/Tabela6[[#This Row],[CONSUMO]]</f>
        <v>#NAME?</v>
      </c>
    </row>
    <row r="5126" spans="1:14" x14ac:dyDescent="0.25">
      <c r="A5126" s="47">
        <v>319362</v>
      </c>
      <c r="B5126" s="78">
        <v>45511</v>
      </c>
      <c r="C5126" s="47" t="s">
        <v>67</v>
      </c>
      <c r="D5126" s="49" t="s">
        <v>273</v>
      </c>
      <c r="E5126" s="47">
        <v>728810</v>
      </c>
      <c r="G5126" s="50" t="s">
        <v>89</v>
      </c>
      <c r="H5126" s="51">
        <v>133.02000000000001</v>
      </c>
      <c r="J5126" s="51">
        <v>5.69</v>
      </c>
      <c r="K5126" s="74">
        <f>Tabela6[[#This Row],[CONSUMO]]*Tabela6[[#This Row],[VALOR UNIT]]-Tabela6[[#This Row],[DESCONTO]]</f>
        <v>756.88380000000006</v>
      </c>
      <c r="L5126" s="53">
        <f>Tabela6[[#This Row],[CUSTO TOTAL]]/Tabela6[[#This Row],[CONSUMO]]</f>
        <v>5.69</v>
      </c>
      <c r="M5126" s="53" t="e">
        <f t="array" ref="M5126">SE</f>
        <v>#NAME?</v>
      </c>
      <c r="N5126" s="49" t="e">
        <f>Tabela6[[#This Row],[KM Rodados ]]/Tabela6[[#This Row],[CONSUMO]]</f>
        <v>#NAME?</v>
      </c>
    </row>
    <row r="5127" spans="1:14" x14ac:dyDescent="0.25">
      <c r="A5127" s="47">
        <v>296994</v>
      </c>
      <c r="B5127" s="78">
        <v>45511</v>
      </c>
      <c r="C5127" s="47" t="s">
        <v>39</v>
      </c>
      <c r="D5127" s="49" t="s">
        <v>253</v>
      </c>
      <c r="E5127" s="47">
        <v>119963</v>
      </c>
      <c r="G5127" s="50" t="s">
        <v>89</v>
      </c>
      <c r="H5127" s="51">
        <v>102.69</v>
      </c>
      <c r="J5127" s="51">
        <v>6.09</v>
      </c>
      <c r="K5127" s="74">
        <f>Tabela6[[#This Row],[CONSUMO]]*Tabela6[[#This Row],[VALOR UNIT]]-Tabela6[[#This Row],[DESCONTO]]</f>
        <v>625.38209999999992</v>
      </c>
      <c r="L5127" s="53">
        <f>Tabela6[[#This Row],[CUSTO TOTAL]]/Tabela6[[#This Row],[CONSUMO]]</f>
        <v>6.089999999999999</v>
      </c>
      <c r="M5127" s="53" t="e">
        <f t="array" ref="M5127">SE</f>
        <v>#NAME?</v>
      </c>
      <c r="N5127" s="49" t="e">
        <f>Tabela6[[#This Row],[KM Rodados ]]/Tabela6[[#This Row],[CONSUMO]]</f>
        <v>#NAME?</v>
      </c>
    </row>
    <row r="5128" spans="1:14" x14ac:dyDescent="0.25">
      <c r="A5128" s="47">
        <v>229539</v>
      </c>
      <c r="B5128" s="78">
        <v>45511</v>
      </c>
      <c r="C5128" s="47" t="s">
        <v>72</v>
      </c>
      <c r="D5128" s="49" t="s">
        <v>263</v>
      </c>
      <c r="E5128" s="47">
        <v>471842</v>
      </c>
      <c r="G5128" s="50" t="s">
        <v>89</v>
      </c>
      <c r="H5128" s="51">
        <v>27.49</v>
      </c>
      <c r="I5128" s="49">
        <v>4.12</v>
      </c>
      <c r="J5128" s="51">
        <v>6.09</v>
      </c>
      <c r="K5128" s="74">
        <f>Tabela6[[#This Row],[CONSUMO]]*Tabela6[[#This Row],[VALOR UNIT]]-Tabela6[[#This Row],[DESCONTO]]</f>
        <v>163.29409999999999</v>
      </c>
      <c r="L5128" s="53">
        <f>Tabela6[[#This Row],[CUSTO TOTAL]]/Tabela6[[#This Row],[CONSUMO]]</f>
        <v>5.9401273190251</v>
      </c>
      <c r="M5128" s="53" t="e">
        <f t="array" ref="M5128">SE</f>
        <v>#NAME?</v>
      </c>
      <c r="N5128" s="49" t="e">
        <f>Tabela6[[#This Row],[KM Rodados ]]/Tabela6[[#This Row],[CONSUMO]]</f>
        <v>#NAME?</v>
      </c>
    </row>
    <row r="5129" spans="1:14" x14ac:dyDescent="0.25">
      <c r="A5129" s="47">
        <v>283589</v>
      </c>
      <c r="B5129" s="78">
        <v>45511</v>
      </c>
      <c r="C5129" s="47" t="s">
        <v>73</v>
      </c>
      <c r="D5129" s="49" t="s">
        <v>262</v>
      </c>
      <c r="E5129" s="47">
        <v>216705</v>
      </c>
      <c r="G5129" s="50" t="s">
        <v>241</v>
      </c>
      <c r="H5129" s="51">
        <v>27.053000000000001</v>
      </c>
      <c r="J5129" s="51">
        <v>3.69</v>
      </c>
      <c r="K5129" s="74">
        <f>Tabela6[[#This Row],[CONSUMO]]*Tabela6[[#This Row],[VALOR UNIT]]-Tabela6[[#This Row],[DESCONTO]]</f>
        <v>99.825569999999999</v>
      </c>
      <c r="L5129" s="53">
        <f>Tabela6[[#This Row],[CUSTO TOTAL]]/Tabela6[[#This Row],[CONSUMO]]</f>
        <v>3.69</v>
      </c>
      <c r="M5129" s="53" t="e">
        <f t="array" ref="M5129">SE</f>
        <v>#NAME?</v>
      </c>
      <c r="N5129" s="49" t="e">
        <f>Tabela6[[#This Row],[KM Rodados ]]/Tabela6[[#This Row],[CONSUMO]]</f>
        <v>#NAME?</v>
      </c>
    </row>
    <row r="5130" spans="1:14" x14ac:dyDescent="0.25">
      <c r="A5130" s="47">
        <v>973390</v>
      </c>
      <c r="B5130" s="78">
        <v>45511</v>
      </c>
      <c r="C5130" s="47" t="s">
        <v>401</v>
      </c>
      <c r="D5130" s="49" t="s">
        <v>264</v>
      </c>
      <c r="E5130" s="47">
        <v>46822</v>
      </c>
      <c r="G5130" s="50" t="s">
        <v>89</v>
      </c>
      <c r="H5130" s="51">
        <v>67.11</v>
      </c>
      <c r="J5130" s="51">
        <v>5.96</v>
      </c>
      <c r="K5130" s="74">
        <f>Tabela6[[#This Row],[CONSUMO]]*Tabela6[[#This Row],[VALOR UNIT]]-Tabela6[[#This Row],[DESCONTO]]</f>
        <v>399.97559999999999</v>
      </c>
      <c r="L5130" s="53">
        <f>Tabela6[[#This Row],[CUSTO TOTAL]]/Tabela6[[#This Row],[CONSUMO]]</f>
        <v>5.96</v>
      </c>
      <c r="M5130" s="53" t="e">
        <f t="array" ref="M5130">SE</f>
        <v>#NAME?</v>
      </c>
      <c r="N5130" s="49" t="e">
        <f>Tabela6[[#This Row],[KM Rodados ]]/Tabela6[[#This Row],[CONSUMO]]</f>
        <v>#NAME?</v>
      </c>
    </row>
    <row r="5131" spans="1:14" x14ac:dyDescent="0.25">
      <c r="A5131" s="47">
        <v>48880</v>
      </c>
      <c r="B5131" s="78">
        <v>45511</v>
      </c>
      <c r="C5131" s="47" t="s">
        <v>401</v>
      </c>
      <c r="D5131" s="49" t="s">
        <v>264</v>
      </c>
      <c r="E5131" s="47">
        <v>46822</v>
      </c>
      <c r="G5131" s="50" t="s">
        <v>241</v>
      </c>
      <c r="H5131" s="51">
        <v>24</v>
      </c>
      <c r="J5131" s="51">
        <v>2.83</v>
      </c>
      <c r="K5131" s="74">
        <f>Tabela6[[#This Row],[CONSUMO]]*Tabela6[[#This Row],[VALOR UNIT]]-Tabela6[[#This Row],[DESCONTO]]</f>
        <v>67.92</v>
      </c>
      <c r="L5131" s="53">
        <f>Tabela6[[#This Row],[CUSTO TOTAL]]/Tabela6[[#This Row],[CONSUMO]]</f>
        <v>2.83</v>
      </c>
      <c r="M5131" s="53" t="e">
        <f t="array" ref="M5131">SE</f>
        <v>#NAME?</v>
      </c>
      <c r="N5131" s="49" t="e">
        <f>Tabela6[[#This Row],[KM Rodados ]]/Tabela6[[#This Row],[CONSUMO]]</f>
        <v>#NAME?</v>
      </c>
    </row>
    <row r="5132" spans="1:14" x14ac:dyDescent="0.25">
      <c r="A5132" s="47">
        <v>283718</v>
      </c>
      <c r="B5132" s="78">
        <v>45511</v>
      </c>
      <c r="C5132" s="47" t="s">
        <v>446</v>
      </c>
      <c r="D5132" s="49" t="s">
        <v>262</v>
      </c>
      <c r="E5132" s="47">
        <v>32015</v>
      </c>
      <c r="G5132" s="50" t="s">
        <v>241</v>
      </c>
      <c r="H5132" s="51">
        <v>29.292999999999999</v>
      </c>
      <c r="I5132" s="49">
        <v>10.54</v>
      </c>
      <c r="J5132" s="51">
        <v>3.69</v>
      </c>
      <c r="K5132" s="74">
        <f>Tabela6[[#This Row],[CONSUMO]]*Tabela6[[#This Row],[VALOR UNIT]]-Tabela6[[#This Row],[DESCONTO]]</f>
        <v>97.551169999999985</v>
      </c>
      <c r="L5132" s="53">
        <f>Tabela6[[#This Row],[CUSTO TOTAL]]/Tabela6[[#This Row],[CONSUMO]]</f>
        <v>3.3301870754105072</v>
      </c>
      <c r="M5132" s="53" t="e">
        <f t="array" ref="M5132">SE</f>
        <v>#NAME?</v>
      </c>
      <c r="N5132" s="49" t="e">
        <f>Tabela6[[#This Row],[KM Rodados ]]/Tabela6[[#This Row],[CONSUMO]]</f>
        <v>#NAME?</v>
      </c>
    </row>
    <row r="5133" spans="1:14" x14ac:dyDescent="0.25">
      <c r="A5133" s="47">
        <v>460429</v>
      </c>
      <c r="B5133" s="78">
        <v>45512</v>
      </c>
      <c r="C5133" s="47" t="s">
        <v>9</v>
      </c>
      <c r="D5133" s="49" t="s">
        <v>268</v>
      </c>
      <c r="E5133" s="47">
        <v>670251</v>
      </c>
      <c r="G5133" s="50" t="s">
        <v>89</v>
      </c>
      <c r="H5133" s="51">
        <v>146</v>
      </c>
      <c r="J5133" s="51">
        <v>5.79</v>
      </c>
      <c r="K5133" s="74">
        <f>Tabela6[[#This Row],[CONSUMO]]*Tabela6[[#This Row],[VALOR UNIT]]-Tabela6[[#This Row],[DESCONTO]]</f>
        <v>845.34</v>
      </c>
      <c r="L5133" s="53">
        <f>Tabela6[[#This Row],[CUSTO TOTAL]]/Tabela6[[#This Row],[CONSUMO]]</f>
        <v>5.79</v>
      </c>
      <c r="M5133" s="53" t="e">
        <f t="array" ref="M5133">SE</f>
        <v>#NAME?</v>
      </c>
      <c r="N5133" s="49" t="e">
        <f>Tabela6[[#This Row],[KM Rodados ]]/Tabela6[[#This Row],[CONSUMO]]</f>
        <v>#NAME?</v>
      </c>
    </row>
    <row r="5134" spans="1:14" x14ac:dyDescent="0.25">
      <c r="A5134" s="47" t="s">
        <v>525</v>
      </c>
      <c r="B5134" s="78">
        <v>45512</v>
      </c>
      <c r="C5134" s="47" t="s">
        <v>222</v>
      </c>
      <c r="D5134" s="49" t="s">
        <v>300</v>
      </c>
      <c r="E5134" s="47">
        <v>611035</v>
      </c>
      <c r="G5134" s="50" t="s">
        <v>241</v>
      </c>
      <c r="H5134" s="51">
        <v>29</v>
      </c>
      <c r="J5134" s="51">
        <v>2.99</v>
      </c>
      <c r="K5134" s="74">
        <f>Tabela6[[#This Row],[CONSUMO]]*Tabela6[[#This Row],[VALOR UNIT]]-Tabela6[[#This Row],[DESCONTO]]</f>
        <v>86.710000000000008</v>
      </c>
      <c r="L5134" s="53">
        <f>Tabela6[[#This Row],[CUSTO TOTAL]]/Tabela6[[#This Row],[CONSUMO]]</f>
        <v>2.99</v>
      </c>
      <c r="M5134" s="53" t="e">
        <f t="array" ref="M5134">SE</f>
        <v>#NAME?</v>
      </c>
      <c r="N5134" s="49" t="e">
        <f>Tabela6[[#This Row],[KM Rodados ]]/Tabela6[[#This Row],[CONSUMO]]</f>
        <v>#NAME?</v>
      </c>
    </row>
    <row r="5135" spans="1:14" x14ac:dyDescent="0.25">
      <c r="A5135" s="47">
        <v>1680958</v>
      </c>
      <c r="B5135" s="78">
        <v>45512</v>
      </c>
      <c r="C5135" s="47" t="s">
        <v>73</v>
      </c>
      <c r="D5135" s="49" t="s">
        <v>252</v>
      </c>
      <c r="E5135" s="47">
        <v>217307</v>
      </c>
      <c r="G5135" s="50" t="s">
        <v>89</v>
      </c>
      <c r="H5135" s="51">
        <v>162</v>
      </c>
      <c r="J5135" s="51">
        <v>5.8</v>
      </c>
      <c r="K5135" s="74">
        <f>Tabela6[[#This Row],[CONSUMO]]*Tabela6[[#This Row],[VALOR UNIT]]-Tabela6[[#This Row],[DESCONTO]]</f>
        <v>939.6</v>
      </c>
      <c r="L5135" s="53">
        <f>Tabela6[[#This Row],[CUSTO TOTAL]]/Tabela6[[#This Row],[CONSUMO]]</f>
        <v>5.8</v>
      </c>
      <c r="M5135" s="53" t="e">
        <f t="array" ref="M5135">SE</f>
        <v>#NAME?</v>
      </c>
      <c r="N5135" s="49" t="e">
        <f>Tabela6[[#This Row],[KM Rodados ]]/Tabela6[[#This Row],[CONSUMO]]</f>
        <v>#NAME?</v>
      </c>
    </row>
    <row r="5136" spans="1:14" x14ac:dyDescent="0.25">
      <c r="A5136" s="47">
        <v>423671</v>
      </c>
      <c r="B5136" s="78">
        <v>45512</v>
      </c>
      <c r="C5136" s="47" t="s">
        <v>13</v>
      </c>
      <c r="D5136" s="49" t="s">
        <v>276</v>
      </c>
      <c r="E5136" s="47">
        <v>699320</v>
      </c>
      <c r="G5136" s="50" t="s">
        <v>241</v>
      </c>
      <c r="H5136" s="51">
        <v>21.68</v>
      </c>
      <c r="J5136" s="51">
        <v>3.69</v>
      </c>
      <c r="K5136" s="74">
        <f>Tabela6[[#This Row],[CONSUMO]]*Tabela6[[#This Row],[VALOR UNIT]]-Tabela6[[#This Row],[DESCONTO]]</f>
        <v>79.999200000000002</v>
      </c>
      <c r="L5136" s="53">
        <f>Tabela6[[#This Row],[CUSTO TOTAL]]/Tabela6[[#This Row],[CONSUMO]]</f>
        <v>3.69</v>
      </c>
      <c r="M5136" s="53" t="e">
        <f t="array" ref="M5136">SE</f>
        <v>#NAME?</v>
      </c>
      <c r="N5136" s="49" t="e">
        <f>Tabela6[[#This Row],[KM Rodados ]]/Tabela6[[#This Row],[CONSUMO]]</f>
        <v>#NAME?</v>
      </c>
    </row>
    <row r="5137" spans="1:14" x14ac:dyDescent="0.25">
      <c r="A5137" s="47">
        <v>283926</v>
      </c>
      <c r="B5137" s="78">
        <v>45512</v>
      </c>
      <c r="C5137" s="47"/>
      <c r="D5137" s="49" t="s">
        <v>262</v>
      </c>
      <c r="G5137" s="50" t="s">
        <v>244</v>
      </c>
      <c r="H5137" s="51">
        <v>50.350999999999999</v>
      </c>
      <c r="J5137" s="51">
        <v>5.99</v>
      </c>
      <c r="K5137" s="74">
        <f>Tabela6[[#This Row],[CONSUMO]]*Tabela6[[#This Row],[VALOR UNIT]]-Tabela6[[#This Row],[DESCONTO]]</f>
        <v>301.60248999999999</v>
      </c>
      <c r="L5137" s="53">
        <f>Tabela6[[#This Row],[CUSTO TOTAL]]/Tabela6[[#This Row],[CONSUMO]]</f>
        <v>5.99</v>
      </c>
      <c r="M5137" s="53" t="e">
        <f t="array" ref="M5137">SE</f>
        <v>#NAME?</v>
      </c>
      <c r="N5137" s="49" t="e">
        <f>Tabela6[[#This Row],[KM Rodados ]]/Tabela6[[#This Row],[CONSUMO]]</f>
        <v>#NAME?</v>
      </c>
    </row>
    <row r="5138" spans="1:14" x14ac:dyDescent="0.25">
      <c r="A5138" s="47" t="s">
        <v>521</v>
      </c>
      <c r="B5138" s="78">
        <v>45513</v>
      </c>
      <c r="C5138" s="47" t="s">
        <v>43</v>
      </c>
      <c r="D5138" s="49" t="s">
        <v>268</v>
      </c>
      <c r="E5138" s="47">
        <v>201797</v>
      </c>
      <c r="G5138" s="50" t="s">
        <v>89</v>
      </c>
      <c r="H5138" s="51">
        <v>25.908000000000001</v>
      </c>
      <c r="J5138" s="51">
        <v>5.79</v>
      </c>
      <c r="K5138" s="74">
        <f>Tabela6[[#This Row],[CONSUMO]]*Tabela6[[#This Row],[VALOR UNIT]]-Tabela6[[#This Row],[DESCONTO]]</f>
        <v>150.00732000000002</v>
      </c>
      <c r="L5138" s="53">
        <f>Tabela6[[#This Row],[CUSTO TOTAL]]/Tabela6[[#This Row],[CONSUMO]]</f>
        <v>5.7900000000000009</v>
      </c>
      <c r="M5138" s="53" t="e">
        <f t="array" ref="M5138">SE</f>
        <v>#NAME?</v>
      </c>
      <c r="N5138" s="49" t="e">
        <f>Tabela6[[#This Row],[KM Rodados ]]/Tabela6[[#This Row],[CONSUMO]]</f>
        <v>#NAME?</v>
      </c>
    </row>
    <row r="5139" spans="1:14" x14ac:dyDescent="0.25">
      <c r="A5139" s="47">
        <v>263456</v>
      </c>
      <c r="B5139" s="78">
        <v>45513</v>
      </c>
      <c r="C5139" s="47" t="s">
        <v>222</v>
      </c>
      <c r="D5139" s="49" t="s">
        <v>300</v>
      </c>
      <c r="E5139" s="47">
        <v>611035</v>
      </c>
      <c r="G5139" s="50" t="s">
        <v>89</v>
      </c>
      <c r="H5139" s="51">
        <v>516.06100000000004</v>
      </c>
      <c r="J5139" s="51">
        <v>5.79</v>
      </c>
      <c r="K5139" s="74">
        <f>Tabela6[[#This Row],[CONSUMO]]*Tabela6[[#This Row],[VALOR UNIT]]-Tabela6[[#This Row],[DESCONTO]]</f>
        <v>2987.9931900000001</v>
      </c>
      <c r="L5139" s="53">
        <f>Tabela6[[#This Row],[CUSTO TOTAL]]/Tabela6[[#This Row],[CONSUMO]]</f>
        <v>5.79</v>
      </c>
      <c r="M5139" s="53" t="e">
        <f t="array" ref="M5139">SE</f>
        <v>#NAME?</v>
      </c>
      <c r="N5139" s="49" t="e">
        <f>Tabela6[[#This Row],[KM Rodados ]]/Tabela6[[#This Row],[CONSUMO]]</f>
        <v>#NAME?</v>
      </c>
    </row>
    <row r="5140" spans="1:14" x14ac:dyDescent="0.25">
      <c r="A5140" s="47">
        <v>43673</v>
      </c>
      <c r="B5140" s="78">
        <v>45513</v>
      </c>
      <c r="C5140" s="47" t="s">
        <v>70</v>
      </c>
      <c r="D5140" s="49" t="s">
        <v>252</v>
      </c>
      <c r="E5140" s="47">
        <v>299137</v>
      </c>
      <c r="G5140" s="50" t="s">
        <v>89</v>
      </c>
      <c r="H5140" s="51">
        <v>272</v>
      </c>
      <c r="J5140" s="51">
        <v>5.75</v>
      </c>
      <c r="K5140" s="74">
        <f>Tabela6[[#This Row],[CONSUMO]]*Tabela6[[#This Row],[VALOR UNIT]]-Tabela6[[#This Row],[DESCONTO]]</f>
        <v>1564</v>
      </c>
      <c r="L5140" s="53">
        <f>Tabela6[[#This Row],[CUSTO TOTAL]]/Tabela6[[#This Row],[CONSUMO]]</f>
        <v>5.75</v>
      </c>
      <c r="M5140" s="53" t="e">
        <f t="array" ref="M5140">SE</f>
        <v>#NAME?</v>
      </c>
      <c r="N5140" s="49" t="e">
        <f>Tabela6[[#This Row],[KM Rodados ]]/Tabela6[[#This Row],[CONSUMO]]</f>
        <v>#NAME?</v>
      </c>
    </row>
    <row r="5141" spans="1:14" x14ac:dyDescent="0.25">
      <c r="A5141" s="47">
        <v>43673</v>
      </c>
      <c r="B5141" s="78">
        <v>45513</v>
      </c>
      <c r="C5141" s="47" t="s">
        <v>70</v>
      </c>
      <c r="D5141" s="49" t="s">
        <v>252</v>
      </c>
      <c r="E5141" s="47">
        <v>299137</v>
      </c>
      <c r="G5141" s="50" t="s">
        <v>241</v>
      </c>
      <c r="H5141" s="51">
        <v>41.73</v>
      </c>
      <c r="J5141" s="51">
        <v>2.85</v>
      </c>
      <c r="K5141" s="74">
        <f>Tabela6[[#This Row],[CONSUMO]]*Tabela6[[#This Row],[VALOR UNIT]]-Tabela6[[#This Row],[DESCONTO]]</f>
        <v>118.93049999999999</v>
      </c>
      <c r="L5141" s="53">
        <f>Tabela6[[#This Row],[CUSTO TOTAL]]/Tabela6[[#This Row],[CONSUMO]]</f>
        <v>2.85</v>
      </c>
      <c r="M5141" s="53" t="e">
        <f t="array" ref="M5141">SE</f>
        <v>#NAME?</v>
      </c>
      <c r="N5141" s="49" t="e">
        <f>Tabela6[[#This Row],[KM Rodados ]]/Tabela6[[#This Row],[CONSUMO]]</f>
        <v>#NAME?</v>
      </c>
    </row>
    <row r="5142" spans="1:14" x14ac:dyDescent="0.25">
      <c r="A5142" s="47">
        <v>298325</v>
      </c>
      <c r="B5142" s="78">
        <v>45513</v>
      </c>
      <c r="C5142" s="47" t="s">
        <v>11</v>
      </c>
      <c r="D5142" s="49" t="s">
        <v>253</v>
      </c>
      <c r="E5142" s="47">
        <v>421144</v>
      </c>
      <c r="G5142" s="50" t="s">
        <v>89</v>
      </c>
      <c r="H5142" s="51">
        <v>115.31</v>
      </c>
      <c r="J5142" s="51">
        <v>6.09</v>
      </c>
      <c r="K5142" s="74">
        <f>Tabela6[[#This Row],[CONSUMO]]*Tabela6[[#This Row],[VALOR UNIT]]-Tabela6[[#This Row],[DESCONTO]]</f>
        <v>702.23789999999997</v>
      </c>
      <c r="L5142" s="53">
        <f>Tabela6[[#This Row],[CUSTO TOTAL]]/Tabela6[[#This Row],[CONSUMO]]</f>
        <v>6.09</v>
      </c>
      <c r="M5142" s="53" t="e">
        <f t="array" ref="M5142">SE</f>
        <v>#NAME?</v>
      </c>
      <c r="N5142" s="49" t="e">
        <f>Tabela6[[#This Row],[KM Rodados ]]/Tabela6[[#This Row],[CONSUMO]]</f>
        <v>#NAME?</v>
      </c>
    </row>
    <row r="5143" spans="1:14" x14ac:dyDescent="0.25">
      <c r="A5143" s="47">
        <v>36436</v>
      </c>
      <c r="B5143" s="78">
        <v>45513</v>
      </c>
      <c r="C5143" s="47" t="s">
        <v>38</v>
      </c>
      <c r="D5143" s="49" t="s">
        <v>255</v>
      </c>
      <c r="E5143" s="47">
        <v>151775</v>
      </c>
      <c r="G5143" s="50" t="s">
        <v>244</v>
      </c>
      <c r="H5143" s="51">
        <v>51.41</v>
      </c>
      <c r="J5143" s="51">
        <v>5.99</v>
      </c>
      <c r="K5143" s="74">
        <f>Tabela6[[#This Row],[CONSUMO]]*Tabela6[[#This Row],[VALOR UNIT]]-Tabela6[[#This Row],[DESCONTO]]</f>
        <v>307.94589999999999</v>
      </c>
      <c r="L5143" s="53">
        <f>Tabela6[[#This Row],[CUSTO TOTAL]]/Tabela6[[#This Row],[CONSUMO]]</f>
        <v>5.99</v>
      </c>
      <c r="M5143" s="53" t="e">
        <f t="array" ref="M5143">SE</f>
        <v>#NAME?</v>
      </c>
      <c r="N5143" s="49" t="e">
        <f>Tabela6[[#This Row],[KM Rodados ]]/Tabela6[[#This Row],[CONSUMO]]</f>
        <v>#NAME?</v>
      </c>
    </row>
    <row r="5144" spans="1:14" x14ac:dyDescent="0.25">
      <c r="A5144" s="47">
        <v>424075</v>
      </c>
      <c r="B5144" s="78">
        <v>45513</v>
      </c>
      <c r="C5144" s="47"/>
      <c r="D5144" s="49" t="s">
        <v>276</v>
      </c>
      <c r="G5144" s="50" t="s">
        <v>241</v>
      </c>
      <c r="H5144" s="51">
        <v>13.314</v>
      </c>
      <c r="J5144" s="51">
        <v>3.69</v>
      </c>
      <c r="K5144" s="74">
        <f>Tabela6[[#This Row],[CONSUMO]]*Tabela6[[#This Row],[VALOR UNIT]]-Tabela6[[#This Row],[DESCONTO]]</f>
        <v>49.128659999999996</v>
      </c>
      <c r="L5144" s="53">
        <f>Tabela6[[#This Row],[CUSTO TOTAL]]/Tabela6[[#This Row],[CONSUMO]]</f>
        <v>3.6899999999999995</v>
      </c>
      <c r="M5144" s="53" t="e">
        <f t="array" ref="M5144">SE</f>
        <v>#NAME?</v>
      </c>
      <c r="N5144" s="49" t="e">
        <f>Tabela6[[#This Row],[KM Rodados ]]/Tabela6[[#This Row],[CONSUMO]]</f>
        <v>#NAME?</v>
      </c>
    </row>
    <row r="5145" spans="1:14" x14ac:dyDescent="0.25">
      <c r="A5145" s="47">
        <v>2863917</v>
      </c>
      <c r="B5145" s="78">
        <v>45514</v>
      </c>
      <c r="C5145" s="47" t="s">
        <v>70</v>
      </c>
      <c r="D5145" s="49" t="s">
        <v>252</v>
      </c>
      <c r="E5145" s="47">
        <v>300029</v>
      </c>
      <c r="G5145" s="50" t="s">
        <v>89</v>
      </c>
      <c r="H5145" s="51">
        <v>300.7</v>
      </c>
      <c r="J5145" s="51">
        <v>5.75</v>
      </c>
      <c r="K5145" s="74">
        <f>Tabela6[[#This Row],[CONSUMO]]*Tabela6[[#This Row],[VALOR UNIT]]-Tabela6[[#This Row],[DESCONTO]]</f>
        <v>1729.0249999999999</v>
      </c>
      <c r="L5145" s="53">
        <f>Tabela6[[#This Row],[CUSTO TOTAL]]/Tabela6[[#This Row],[CONSUMO]]</f>
        <v>5.75</v>
      </c>
      <c r="M5145" s="53" t="e">
        <f t="array" ref="M5145">SE</f>
        <v>#NAME?</v>
      </c>
      <c r="N5145" s="49" t="e">
        <f>Tabela6[[#This Row],[KM Rodados ]]/Tabela6[[#This Row],[CONSUMO]]</f>
        <v>#NAME?</v>
      </c>
    </row>
    <row r="5146" spans="1:14" x14ac:dyDescent="0.25">
      <c r="A5146" s="47">
        <v>58205</v>
      </c>
      <c r="B5146" s="78">
        <v>45515</v>
      </c>
      <c r="C5146" s="47" t="s">
        <v>358</v>
      </c>
      <c r="D5146" s="49" t="s">
        <v>332</v>
      </c>
      <c r="E5146" s="47">
        <v>876447</v>
      </c>
      <c r="G5146" s="50" t="s">
        <v>89</v>
      </c>
      <c r="H5146" s="51">
        <v>321.69</v>
      </c>
      <c r="J5146" s="51">
        <v>5.69</v>
      </c>
      <c r="K5146" s="74">
        <f>Tabela6[[#This Row],[CONSUMO]]*Tabela6[[#This Row],[VALOR UNIT]]-Tabela6[[#This Row],[DESCONTO]]</f>
        <v>1830.4161000000001</v>
      </c>
      <c r="L5146" s="53">
        <f>Tabela6[[#This Row],[CUSTO TOTAL]]/Tabela6[[#This Row],[CONSUMO]]</f>
        <v>5.69</v>
      </c>
      <c r="M5146" s="53" t="e">
        <f t="array" ref="M5146">SE</f>
        <v>#NAME?</v>
      </c>
      <c r="N5146" s="49" t="e">
        <f>Tabela6[[#This Row],[KM Rodados ]]/Tabela6[[#This Row],[CONSUMO]]</f>
        <v>#NAME?</v>
      </c>
    </row>
    <row r="5147" spans="1:14" x14ac:dyDescent="0.25">
      <c r="A5147" s="47">
        <v>544493</v>
      </c>
      <c r="B5147" s="78">
        <v>45515</v>
      </c>
      <c r="C5147" s="47" t="s">
        <v>358</v>
      </c>
      <c r="D5147" s="49" t="s">
        <v>347</v>
      </c>
      <c r="E5147" s="47">
        <v>875833</v>
      </c>
      <c r="G5147" s="50" t="s">
        <v>89</v>
      </c>
      <c r="H5147" s="51">
        <v>550.01099999999997</v>
      </c>
      <c r="J5147" s="51">
        <v>5.89</v>
      </c>
      <c r="K5147" s="74">
        <f>Tabela6[[#This Row],[CONSUMO]]*Tabela6[[#This Row],[VALOR UNIT]]-Tabela6[[#This Row],[DESCONTO]]</f>
        <v>3239.5647899999994</v>
      </c>
      <c r="L5147" s="53">
        <f>Tabela6[[#This Row],[CUSTO TOTAL]]/Tabela6[[#This Row],[CONSUMO]]</f>
        <v>5.89</v>
      </c>
      <c r="M5147" s="53" t="e">
        <f t="array" ref="M5147">SE</f>
        <v>#NAME?</v>
      </c>
      <c r="N5147" s="49" t="e">
        <f>Tabela6[[#This Row],[KM Rodados ]]/Tabela6[[#This Row],[CONSUMO]]</f>
        <v>#NAME?</v>
      </c>
    </row>
    <row r="5148" spans="1:14" x14ac:dyDescent="0.25">
      <c r="A5148" s="47">
        <v>320174</v>
      </c>
      <c r="B5148" s="78">
        <v>45516</v>
      </c>
      <c r="C5148" s="47" t="s">
        <v>67</v>
      </c>
      <c r="D5148" s="49" t="s">
        <v>273</v>
      </c>
      <c r="E5148" s="47">
        <v>72925</v>
      </c>
      <c r="G5148" s="50" t="s">
        <v>89</v>
      </c>
      <c r="H5148" s="51">
        <v>120.47</v>
      </c>
      <c r="J5148" s="51">
        <v>5.69</v>
      </c>
      <c r="K5148" s="74">
        <f>Tabela6[[#This Row],[CONSUMO]]*Tabela6[[#This Row],[VALOR UNIT]]-Tabela6[[#This Row],[DESCONTO]]</f>
        <v>685.47430000000008</v>
      </c>
      <c r="L5148" s="53">
        <f>Tabela6[[#This Row],[CUSTO TOTAL]]/Tabela6[[#This Row],[CONSUMO]]</f>
        <v>5.69</v>
      </c>
      <c r="M5148" s="53" t="e">
        <f t="array" ref="M5148">SE</f>
        <v>#NAME?</v>
      </c>
      <c r="N5148" s="49" t="e">
        <f>Tabela6[[#This Row],[KM Rodados ]]/Tabela6[[#This Row],[CONSUMO]]</f>
        <v>#NAME?</v>
      </c>
    </row>
    <row r="5149" spans="1:14" x14ac:dyDescent="0.25">
      <c r="A5149" s="47">
        <v>320175</v>
      </c>
      <c r="B5149" s="78">
        <v>45516</v>
      </c>
      <c r="C5149" s="47" t="s">
        <v>67</v>
      </c>
      <c r="D5149" s="49" t="s">
        <v>273</v>
      </c>
      <c r="E5149" s="47">
        <v>72925</v>
      </c>
      <c r="G5149" s="50" t="s">
        <v>241</v>
      </c>
      <c r="H5149" s="51">
        <v>10.73</v>
      </c>
      <c r="J5149" s="51">
        <v>2.99</v>
      </c>
      <c r="K5149" s="74">
        <f>Tabela6[[#This Row],[CONSUMO]]*Tabela6[[#This Row],[VALOR UNIT]]-Tabela6[[#This Row],[DESCONTO]]</f>
        <v>32.082700000000003</v>
      </c>
      <c r="L5149" s="53">
        <f>Tabela6[[#This Row],[CUSTO TOTAL]]/Tabela6[[#This Row],[CONSUMO]]</f>
        <v>2.99</v>
      </c>
      <c r="M5149" s="53" t="e">
        <f t="array" ref="M5149">SE</f>
        <v>#NAME?</v>
      </c>
      <c r="N5149" s="49" t="e">
        <f>Tabela6[[#This Row],[KM Rodados ]]/Tabela6[[#This Row],[CONSUMO]]</f>
        <v>#NAME?</v>
      </c>
    </row>
    <row r="5150" spans="1:14" x14ac:dyDescent="0.25">
      <c r="A5150" s="47">
        <v>284758</v>
      </c>
      <c r="B5150" s="78">
        <v>45516</v>
      </c>
      <c r="C5150" s="47" t="s">
        <v>14</v>
      </c>
      <c r="D5150" s="49" t="s">
        <v>262</v>
      </c>
      <c r="E5150" s="47">
        <v>340847</v>
      </c>
      <c r="G5150" s="50" t="s">
        <v>244</v>
      </c>
      <c r="H5150" s="51">
        <v>33.82</v>
      </c>
      <c r="J5150" s="51">
        <v>5.99</v>
      </c>
      <c r="K5150" s="74">
        <f>Tabela6[[#This Row],[CONSUMO]]*Tabela6[[#This Row],[VALOR UNIT]]-Tabela6[[#This Row],[DESCONTO]]</f>
        <v>202.58180000000002</v>
      </c>
      <c r="L5150" s="53">
        <f>Tabela6[[#This Row],[CUSTO TOTAL]]/Tabela6[[#This Row],[CONSUMO]]</f>
        <v>5.99</v>
      </c>
      <c r="M5150" s="53" t="e">
        <f t="array" ref="M5150">SE</f>
        <v>#NAME?</v>
      </c>
      <c r="N5150" s="49" t="e">
        <f>Tabela6[[#This Row],[KM Rodados ]]/Tabela6[[#This Row],[CONSUMO]]</f>
        <v>#NAME?</v>
      </c>
    </row>
    <row r="5151" spans="1:14" x14ac:dyDescent="0.25">
      <c r="A5151" s="47">
        <v>37169</v>
      </c>
      <c r="B5151" s="78">
        <v>45516</v>
      </c>
      <c r="C5151" s="47" t="s">
        <v>18</v>
      </c>
      <c r="D5151" s="49" t="s">
        <v>255</v>
      </c>
      <c r="E5151" s="47">
        <v>370407</v>
      </c>
      <c r="G5151" s="50" t="s">
        <v>89</v>
      </c>
      <c r="H5151" s="51">
        <v>34.479999999999997</v>
      </c>
      <c r="J5151" s="51">
        <v>6.09</v>
      </c>
      <c r="K5151" s="74">
        <f>Tabela6[[#This Row],[CONSUMO]]*Tabela6[[#This Row],[VALOR UNIT]]-Tabela6[[#This Row],[DESCONTO]]</f>
        <v>209.98319999999998</v>
      </c>
      <c r="L5151" s="53">
        <f>Tabela6[[#This Row],[CUSTO TOTAL]]/Tabela6[[#This Row],[CONSUMO]]</f>
        <v>6.09</v>
      </c>
      <c r="M5151" s="53" t="e">
        <f t="array" ref="M5151">SE</f>
        <v>#NAME?</v>
      </c>
      <c r="N5151" s="49" t="e">
        <f>Tabela6[[#This Row],[KM Rodados ]]/Tabela6[[#This Row],[CONSUMO]]</f>
        <v>#NAME?</v>
      </c>
    </row>
    <row r="5152" spans="1:14" x14ac:dyDescent="0.25">
      <c r="A5152" s="47">
        <v>37363</v>
      </c>
      <c r="B5152" s="78">
        <v>45516</v>
      </c>
      <c r="C5152" s="47" t="s">
        <v>23</v>
      </c>
      <c r="D5152" s="49" t="s">
        <v>255</v>
      </c>
      <c r="E5152" s="47">
        <v>290019</v>
      </c>
      <c r="G5152" s="50" t="s">
        <v>89</v>
      </c>
      <c r="H5152" s="51">
        <v>153.99100000000001</v>
      </c>
      <c r="J5152" s="51">
        <v>6.09</v>
      </c>
      <c r="K5152" s="74">
        <f>Tabela6[[#This Row],[CONSUMO]]*Tabela6[[#This Row],[VALOR UNIT]]-Tabela6[[#This Row],[DESCONTO]]</f>
        <v>937.80519000000004</v>
      </c>
      <c r="L5152" s="53">
        <f>Tabela6[[#This Row],[CUSTO TOTAL]]/Tabela6[[#This Row],[CONSUMO]]</f>
        <v>6.09</v>
      </c>
      <c r="M5152" s="53" t="e">
        <f t="array" ref="M5152">SE</f>
        <v>#NAME?</v>
      </c>
      <c r="N5152" s="49" t="e">
        <f>Tabela6[[#This Row],[KM Rodados ]]/Tabela6[[#This Row],[CONSUMO]]</f>
        <v>#NAME?</v>
      </c>
    </row>
    <row r="5153" spans="1:14" x14ac:dyDescent="0.25">
      <c r="A5153" s="47">
        <v>300483</v>
      </c>
      <c r="B5153" s="78">
        <v>45516</v>
      </c>
      <c r="C5153" s="47" t="s">
        <v>315</v>
      </c>
      <c r="D5153" s="49" t="s">
        <v>253</v>
      </c>
      <c r="E5153" s="47">
        <v>42259</v>
      </c>
      <c r="G5153" s="50" t="s">
        <v>89</v>
      </c>
      <c r="H5153" s="51">
        <v>63.71</v>
      </c>
      <c r="J5153" s="51">
        <v>6.09</v>
      </c>
      <c r="K5153" s="74">
        <f>Tabela6[[#This Row],[CONSUMO]]*Tabela6[[#This Row],[VALOR UNIT]]-Tabela6[[#This Row],[DESCONTO]]</f>
        <v>387.9939</v>
      </c>
      <c r="L5153" s="53">
        <f>Tabela6[[#This Row],[CUSTO TOTAL]]/Tabela6[[#This Row],[CONSUMO]]</f>
        <v>6.09</v>
      </c>
      <c r="M5153" s="53" t="e">
        <f t="array" ref="M5153">SE</f>
        <v>#NAME?</v>
      </c>
      <c r="N5153" s="49" t="e">
        <f>Tabela6[[#This Row],[KM Rodados ]]/Tabela6[[#This Row],[CONSUMO]]</f>
        <v>#NAME?</v>
      </c>
    </row>
    <row r="5154" spans="1:14" x14ac:dyDescent="0.25">
      <c r="A5154" s="47">
        <v>423288</v>
      </c>
      <c r="B5154" s="78">
        <v>45517</v>
      </c>
      <c r="C5154" s="47" t="s">
        <v>358</v>
      </c>
      <c r="D5154" s="49" t="s">
        <v>307</v>
      </c>
      <c r="E5154" s="47">
        <v>877635</v>
      </c>
      <c r="G5154" s="50" t="s">
        <v>89</v>
      </c>
      <c r="H5154" s="51">
        <v>410</v>
      </c>
      <c r="J5154" s="51">
        <v>6.74</v>
      </c>
      <c r="K5154" s="74">
        <f>Tabela6[[#This Row],[CONSUMO]]*Tabela6[[#This Row],[VALOR UNIT]]-Tabela6[[#This Row],[DESCONTO]]</f>
        <v>2763.4</v>
      </c>
      <c r="L5154" s="53">
        <f>Tabela6[[#This Row],[CUSTO TOTAL]]/Tabela6[[#This Row],[CONSUMO]]</f>
        <v>6.74</v>
      </c>
      <c r="M5154" s="53" t="e">
        <f t="array" ref="M5154">SE</f>
        <v>#NAME?</v>
      </c>
      <c r="N5154" s="49" t="e">
        <f>Tabela6[[#This Row],[KM Rodados ]]/Tabela6[[#This Row],[CONSUMO]]</f>
        <v>#NAME?</v>
      </c>
    </row>
    <row r="5155" spans="1:14" x14ac:dyDescent="0.25">
      <c r="A5155" s="47" t="s">
        <v>542</v>
      </c>
      <c r="B5155" s="78">
        <v>45517</v>
      </c>
      <c r="C5155" s="47" t="s">
        <v>67</v>
      </c>
      <c r="D5155" s="49" t="s">
        <v>269</v>
      </c>
      <c r="E5155" s="47">
        <v>729780</v>
      </c>
      <c r="G5155" s="50" t="s">
        <v>89</v>
      </c>
      <c r="H5155" s="51">
        <v>116.241</v>
      </c>
      <c r="J5155" s="51">
        <v>5.79</v>
      </c>
      <c r="K5155" s="74">
        <f>Tabela6[[#This Row],[CONSUMO]]*Tabela6[[#This Row],[VALOR UNIT]]-Tabela6[[#This Row],[DESCONTO]]</f>
        <v>673.03539000000001</v>
      </c>
      <c r="L5155" s="53">
        <f>Tabela6[[#This Row],[CUSTO TOTAL]]/Tabela6[[#This Row],[CONSUMO]]</f>
        <v>5.79</v>
      </c>
      <c r="M5155" s="53" t="e">
        <f t="array" ref="M5155">SE</f>
        <v>#NAME?</v>
      </c>
      <c r="N5155" s="49" t="e">
        <f>Tabela6[[#This Row],[KM Rodados ]]/Tabela6[[#This Row],[CONSUMO]]</f>
        <v>#NAME?</v>
      </c>
    </row>
    <row r="5156" spans="1:14" x14ac:dyDescent="0.25">
      <c r="A5156" s="47">
        <v>697320</v>
      </c>
      <c r="B5156" s="78">
        <v>45517</v>
      </c>
      <c r="C5156" s="47" t="s">
        <v>401</v>
      </c>
      <c r="D5156" s="49" t="s">
        <v>264</v>
      </c>
      <c r="E5156" s="47">
        <v>48019</v>
      </c>
      <c r="G5156" s="50" t="s">
        <v>89</v>
      </c>
      <c r="H5156" s="51">
        <v>84.900999999999996</v>
      </c>
      <c r="J5156" s="51">
        <v>5.96</v>
      </c>
      <c r="K5156" s="74">
        <f>Tabela6[[#This Row],[CONSUMO]]*Tabela6[[#This Row],[VALOR UNIT]]-Tabela6[[#This Row],[DESCONTO]]</f>
        <v>506.00995999999998</v>
      </c>
      <c r="L5156" s="53">
        <f>Tabela6[[#This Row],[CUSTO TOTAL]]/Tabela6[[#This Row],[CONSUMO]]</f>
        <v>5.96</v>
      </c>
      <c r="M5156" s="53" t="e">
        <f t="array" ref="M5156">SE</f>
        <v>#NAME?</v>
      </c>
      <c r="N5156" s="49" t="e">
        <f>Tabela6[[#This Row],[KM Rodados ]]/Tabela6[[#This Row],[CONSUMO]]</f>
        <v>#NAME?</v>
      </c>
    </row>
    <row r="5157" spans="1:14" x14ac:dyDescent="0.25">
      <c r="A5157" s="47">
        <v>265812</v>
      </c>
      <c r="B5157" s="78">
        <v>45517</v>
      </c>
      <c r="C5157" s="47" t="s">
        <v>426</v>
      </c>
      <c r="D5157" s="49" t="s">
        <v>300</v>
      </c>
      <c r="E5157" s="47">
        <v>39784</v>
      </c>
      <c r="G5157" s="50" t="s">
        <v>89</v>
      </c>
      <c r="H5157" s="51">
        <v>56.780999999999999</v>
      </c>
      <c r="J5157" s="51" t="s">
        <v>520</v>
      </c>
      <c r="K5157" s="74" t="e">
        <f>Tabela6[[#This Row],[CONSUMO]]*Tabela6[[#This Row],[VALOR UNIT]]-Tabela6[[#This Row],[DESCONTO]]</f>
        <v>#VALUE!</v>
      </c>
      <c r="L5157" s="53" t="e">
        <f>Tabela6[[#This Row],[CUSTO TOTAL]]/Tabela6[[#This Row],[CONSUMO]]</f>
        <v>#VALUE!</v>
      </c>
      <c r="M5157" s="53" t="e">
        <f t="array" ref="M5157">SE</f>
        <v>#NAME?</v>
      </c>
      <c r="N5157" s="49" t="e">
        <f>Tabela6[[#This Row],[KM Rodados ]]/Tabela6[[#This Row],[CONSUMO]]</f>
        <v>#NAME?</v>
      </c>
    </row>
    <row r="5158" spans="1:14" x14ac:dyDescent="0.25">
      <c r="A5158" s="47">
        <v>44966</v>
      </c>
      <c r="B5158" s="78">
        <v>45518</v>
      </c>
      <c r="C5158" s="47" t="s">
        <v>68</v>
      </c>
      <c r="D5158" s="49" t="s">
        <v>252</v>
      </c>
      <c r="E5158" s="47">
        <v>997901</v>
      </c>
      <c r="G5158" s="50" t="s">
        <v>89</v>
      </c>
      <c r="H5158" s="51">
        <v>300</v>
      </c>
      <c r="J5158" s="51">
        <v>5.85</v>
      </c>
      <c r="K5158" s="74">
        <f>Tabela6[[#This Row],[CONSUMO]]*Tabela6[[#This Row],[VALOR UNIT]]-Tabela6[[#This Row],[DESCONTO]]</f>
        <v>1755</v>
      </c>
      <c r="L5158" s="53">
        <f>Tabela6[[#This Row],[CUSTO TOTAL]]/Tabela6[[#This Row],[CONSUMO]]</f>
        <v>5.85</v>
      </c>
      <c r="M5158" s="53" t="e">
        <f t="array" ref="M5158">SE</f>
        <v>#NAME?</v>
      </c>
      <c r="N5158" s="49" t="e">
        <f>Tabela6[[#This Row],[KM Rodados ]]/Tabela6[[#This Row],[CONSUMO]]</f>
        <v>#NAME?</v>
      </c>
    </row>
    <row r="5159" spans="1:14" x14ac:dyDescent="0.25">
      <c r="A5159" s="47">
        <v>44966</v>
      </c>
      <c r="B5159" s="78">
        <v>45518</v>
      </c>
      <c r="C5159" s="47" t="s">
        <v>68</v>
      </c>
      <c r="D5159" s="49" t="s">
        <v>252</v>
      </c>
      <c r="G5159" s="50" t="s">
        <v>89</v>
      </c>
      <c r="H5159" s="51">
        <v>300</v>
      </c>
      <c r="J5159" s="51">
        <v>5.85</v>
      </c>
      <c r="K5159" s="74">
        <f>Tabela6[[#This Row],[CONSUMO]]*Tabela6[[#This Row],[VALOR UNIT]]-Tabela6[[#This Row],[DESCONTO]]</f>
        <v>1755</v>
      </c>
      <c r="L5159" s="53">
        <f>Tabela6[[#This Row],[CUSTO TOTAL]]/Tabela6[[#This Row],[CONSUMO]]</f>
        <v>5.85</v>
      </c>
      <c r="M5159" s="53" t="e">
        <f t="array" ref="M5159">SE</f>
        <v>#NAME?</v>
      </c>
      <c r="N5159" s="49" t="e">
        <f>Tabela6[[#This Row],[KM Rodados ]]/Tabela6[[#This Row],[CONSUMO]]</f>
        <v>#NAME?</v>
      </c>
    </row>
    <row r="5160" spans="1:14" x14ac:dyDescent="0.25">
      <c r="A5160" s="47">
        <v>378671</v>
      </c>
      <c r="B5160" s="78">
        <v>45518</v>
      </c>
      <c r="C5160" s="47" t="s">
        <v>203</v>
      </c>
      <c r="D5160" s="49" t="s">
        <v>256</v>
      </c>
      <c r="E5160" s="47">
        <v>177369</v>
      </c>
      <c r="G5160" s="50" t="s">
        <v>244</v>
      </c>
      <c r="H5160" s="51">
        <v>41.53</v>
      </c>
      <c r="J5160" s="51">
        <v>5.99</v>
      </c>
      <c r="K5160" s="74">
        <f>Tabela6[[#This Row],[CONSUMO]]*Tabela6[[#This Row],[VALOR UNIT]]-Tabela6[[#This Row],[DESCONTO]]</f>
        <v>248.7647</v>
      </c>
      <c r="L5160" s="53">
        <f>Tabela6[[#This Row],[CUSTO TOTAL]]/Tabela6[[#This Row],[CONSUMO]]</f>
        <v>5.99</v>
      </c>
      <c r="M5160" s="53" t="e">
        <f t="array" ref="M5160">SE</f>
        <v>#NAME?</v>
      </c>
      <c r="N5160" s="49" t="e">
        <f>Tabela6[[#This Row],[KM Rodados ]]/Tabela6[[#This Row],[CONSUMO]]</f>
        <v>#NAME?</v>
      </c>
    </row>
    <row r="5161" spans="1:14" x14ac:dyDescent="0.25">
      <c r="A5161" s="47">
        <v>302078</v>
      </c>
      <c r="B5161" s="78">
        <v>45518</v>
      </c>
      <c r="C5161" s="47" t="s">
        <v>12</v>
      </c>
      <c r="D5161" s="49" t="s">
        <v>253</v>
      </c>
      <c r="E5161" s="47">
        <v>344329</v>
      </c>
      <c r="G5161" s="50" t="s">
        <v>89</v>
      </c>
      <c r="H5161" s="51">
        <v>90.98</v>
      </c>
      <c r="J5161" s="51">
        <v>6.09</v>
      </c>
      <c r="K5161" s="74">
        <f>Tabela6[[#This Row],[CONSUMO]]*Tabela6[[#This Row],[VALOR UNIT]]-Tabela6[[#This Row],[DESCONTO]]</f>
        <v>554.06820000000005</v>
      </c>
      <c r="L5161" s="53">
        <f>Tabela6[[#This Row],[CUSTO TOTAL]]/Tabela6[[#This Row],[CONSUMO]]</f>
        <v>6.09</v>
      </c>
      <c r="M5161" s="53" t="e">
        <f t="array" ref="M5161">SE</f>
        <v>#NAME?</v>
      </c>
      <c r="N5161" s="49" t="e">
        <f>Tabela6[[#This Row],[KM Rodados ]]/Tabela6[[#This Row],[CONSUMO]]</f>
        <v>#NAME?</v>
      </c>
    </row>
    <row r="5162" spans="1:14" x14ac:dyDescent="0.25">
      <c r="A5162" s="47" t="s">
        <v>523</v>
      </c>
      <c r="B5162" s="78">
        <v>45518</v>
      </c>
      <c r="C5162" s="47" t="s">
        <v>13</v>
      </c>
      <c r="D5162" s="49" t="s">
        <v>377</v>
      </c>
      <c r="E5162" s="47">
        <v>700621</v>
      </c>
      <c r="G5162" s="50" t="s">
        <v>89</v>
      </c>
      <c r="H5162" s="51">
        <v>101.008</v>
      </c>
      <c r="J5162" s="51">
        <v>5.85</v>
      </c>
      <c r="K5162" s="74">
        <f>Tabela6[[#This Row],[CONSUMO]]*Tabela6[[#This Row],[VALOR UNIT]]-Tabela6[[#This Row],[DESCONTO]]</f>
        <v>590.89679999999998</v>
      </c>
      <c r="L5162" s="53">
        <f>Tabela6[[#This Row],[CUSTO TOTAL]]/Tabela6[[#This Row],[CONSUMO]]</f>
        <v>5.8500000000000005</v>
      </c>
      <c r="M5162" s="53" t="e">
        <f t="array" ref="M5162">SE</f>
        <v>#NAME?</v>
      </c>
      <c r="N5162" s="49" t="e">
        <f>Tabela6[[#This Row],[KM Rodados ]]/Tabela6[[#This Row],[CONSUMO]]</f>
        <v>#NAME?</v>
      </c>
    </row>
    <row r="5163" spans="1:14" x14ac:dyDescent="0.25">
      <c r="A5163" s="47">
        <v>37917</v>
      </c>
      <c r="B5163" s="78">
        <v>45518</v>
      </c>
      <c r="C5163" s="47" t="s">
        <v>23</v>
      </c>
      <c r="D5163" s="49" t="s">
        <v>255</v>
      </c>
      <c r="E5163" s="47">
        <v>290495</v>
      </c>
      <c r="G5163" s="50" t="s">
        <v>89</v>
      </c>
      <c r="H5163" s="51">
        <v>114.14</v>
      </c>
      <c r="J5163" s="51">
        <v>6.09</v>
      </c>
      <c r="K5163" s="74">
        <f>Tabela6[[#This Row],[CONSUMO]]*Tabela6[[#This Row],[VALOR UNIT]]-Tabela6[[#This Row],[DESCONTO]]</f>
        <v>695.11260000000004</v>
      </c>
      <c r="L5163" s="53">
        <f>Tabela6[[#This Row],[CUSTO TOTAL]]/Tabela6[[#This Row],[CONSUMO]]</f>
        <v>6.0900000000000007</v>
      </c>
      <c r="M5163" s="53" t="e">
        <f t="array" ref="M5163">SE</f>
        <v>#NAME?</v>
      </c>
      <c r="N5163" s="49" t="e">
        <f>Tabela6[[#This Row],[KM Rodados ]]/Tabela6[[#This Row],[CONSUMO]]</f>
        <v>#NAME?</v>
      </c>
    </row>
    <row r="5164" spans="1:14" x14ac:dyDescent="0.25">
      <c r="A5164" s="47">
        <v>285213</v>
      </c>
      <c r="B5164" s="78">
        <v>45518</v>
      </c>
      <c r="C5164" s="47" t="s">
        <v>40</v>
      </c>
      <c r="D5164" s="49" t="s">
        <v>262</v>
      </c>
      <c r="E5164" s="47">
        <v>216971</v>
      </c>
      <c r="G5164" s="50" t="s">
        <v>244</v>
      </c>
      <c r="H5164" s="51">
        <v>43.420999999999999</v>
      </c>
      <c r="J5164" s="51">
        <v>5.99</v>
      </c>
      <c r="K5164" s="74">
        <f>Tabela6[[#This Row],[CONSUMO]]*Tabela6[[#This Row],[VALOR UNIT]]-Tabela6[[#This Row],[DESCONTO]]</f>
        <v>260.09179</v>
      </c>
      <c r="L5164" s="53">
        <f>Tabela6[[#This Row],[CUSTO TOTAL]]/Tabela6[[#This Row],[CONSUMO]]</f>
        <v>5.99</v>
      </c>
      <c r="M5164" s="53" t="e">
        <f t="array" ref="M5164">SE</f>
        <v>#NAME?</v>
      </c>
      <c r="N5164" s="49" t="e">
        <f>Tabela6[[#This Row],[KM Rodados ]]/Tabela6[[#This Row],[CONSUMO]]</f>
        <v>#NAME?</v>
      </c>
    </row>
    <row r="5165" spans="1:14" x14ac:dyDescent="0.25">
      <c r="A5165" s="47">
        <v>285282</v>
      </c>
      <c r="B5165" s="78">
        <v>45518</v>
      </c>
      <c r="C5165" s="47" t="s">
        <v>446</v>
      </c>
      <c r="D5165" s="49" t="s">
        <v>262</v>
      </c>
      <c r="E5165" s="47">
        <v>33480</v>
      </c>
      <c r="G5165" s="50" t="s">
        <v>241</v>
      </c>
      <c r="H5165" s="51">
        <v>26.643000000000001</v>
      </c>
      <c r="I5165" s="49">
        <v>9.59</v>
      </c>
      <c r="J5165" s="51">
        <v>3.69</v>
      </c>
      <c r="K5165" s="74">
        <f>Tabela6[[#This Row],[CONSUMO]]*Tabela6[[#This Row],[VALOR UNIT]]-Tabela6[[#This Row],[DESCONTO]]</f>
        <v>88.722669999999994</v>
      </c>
      <c r="L5165" s="53">
        <f>Tabela6[[#This Row],[CUSTO TOTAL]]/Tabela6[[#This Row],[CONSUMO]]</f>
        <v>3.3300555493000035</v>
      </c>
      <c r="M5165" s="53" t="e">
        <f t="array" ref="M5165">SE</f>
        <v>#NAME?</v>
      </c>
      <c r="N5165" s="49" t="e">
        <f>Tabela6[[#This Row],[KM Rodados ]]/Tabela6[[#This Row],[CONSUMO]]</f>
        <v>#NAME?</v>
      </c>
    </row>
    <row r="5166" spans="1:14" x14ac:dyDescent="0.25">
      <c r="A5166" s="47">
        <v>123997</v>
      </c>
      <c r="B5166" s="78">
        <v>45519</v>
      </c>
      <c r="C5166" s="47" t="s">
        <v>68</v>
      </c>
      <c r="D5166" s="49" t="s">
        <v>485</v>
      </c>
      <c r="E5166" s="47">
        <v>998711</v>
      </c>
      <c r="G5166" s="50" t="s">
        <v>89</v>
      </c>
      <c r="H5166" s="51">
        <v>256.05</v>
      </c>
      <c r="J5166" s="51">
        <v>5.89</v>
      </c>
      <c r="K5166" s="74">
        <f>Tabela6[[#This Row],[CONSUMO]]*Tabela6[[#This Row],[VALOR UNIT]]-Tabela6[[#This Row],[DESCONTO]]</f>
        <v>1508.1344999999999</v>
      </c>
      <c r="L5166" s="53">
        <f>Tabela6[[#This Row],[CUSTO TOTAL]]/Tabela6[[#This Row],[CONSUMO]]</f>
        <v>5.89</v>
      </c>
      <c r="M5166" s="53" t="e">
        <f t="array" ref="M5166">SE</f>
        <v>#NAME?</v>
      </c>
      <c r="N5166" s="49" t="e">
        <f>Tabela6[[#This Row],[KM Rodados ]]/Tabela6[[#This Row],[CONSUMO]]</f>
        <v>#NAME?</v>
      </c>
    </row>
    <row r="5167" spans="1:14" x14ac:dyDescent="0.25">
      <c r="A5167" s="47" t="s">
        <v>546</v>
      </c>
      <c r="B5167" s="78">
        <v>45519</v>
      </c>
      <c r="C5167" s="47" t="s">
        <v>67</v>
      </c>
      <c r="D5167" s="49" t="s">
        <v>273</v>
      </c>
      <c r="E5167" s="47">
        <v>730230</v>
      </c>
      <c r="G5167" s="50" t="s">
        <v>89</v>
      </c>
      <c r="H5167" s="51">
        <v>117.33</v>
      </c>
      <c r="J5167" s="51">
        <v>5.69</v>
      </c>
      <c r="K5167" s="74">
        <f>Tabela6[[#This Row],[CONSUMO]]*Tabela6[[#This Row],[VALOR UNIT]]-Tabela6[[#This Row],[DESCONTO]]</f>
        <v>667.60770000000002</v>
      </c>
      <c r="L5167" s="53">
        <f>Tabela6[[#This Row],[CUSTO TOTAL]]/Tabela6[[#This Row],[CONSUMO]]</f>
        <v>5.69</v>
      </c>
      <c r="M5167" s="53" t="e">
        <f t="array" ref="M5167">SE</f>
        <v>#NAME?</v>
      </c>
      <c r="N5167" s="49" t="e">
        <f>Tabela6[[#This Row],[KM Rodados ]]/Tabela6[[#This Row],[CONSUMO]]</f>
        <v>#NAME?</v>
      </c>
    </row>
    <row r="5168" spans="1:14" x14ac:dyDescent="0.25">
      <c r="A5168" s="47">
        <v>303319</v>
      </c>
      <c r="B5168" s="78">
        <v>45519</v>
      </c>
      <c r="C5168" s="47" t="s">
        <v>39</v>
      </c>
      <c r="D5168" s="49" t="s">
        <v>253</v>
      </c>
      <c r="E5168" s="47">
        <v>130525</v>
      </c>
      <c r="G5168" s="50" t="s">
        <v>89</v>
      </c>
      <c r="H5168" s="51">
        <v>101.04</v>
      </c>
      <c r="J5168" s="51">
        <v>6.09</v>
      </c>
      <c r="K5168" s="74">
        <f>Tabela6[[#This Row],[CONSUMO]]*Tabela6[[#This Row],[VALOR UNIT]]-Tabela6[[#This Row],[DESCONTO]]</f>
        <v>615.33360000000005</v>
      </c>
      <c r="L5168" s="53">
        <f>Tabela6[[#This Row],[CUSTO TOTAL]]/Tabela6[[#This Row],[CONSUMO]]</f>
        <v>6.09</v>
      </c>
      <c r="M5168" s="53" t="e">
        <f t="array" ref="M5168">SE</f>
        <v>#NAME?</v>
      </c>
      <c r="N5168" s="49" t="e">
        <f>Tabela6[[#This Row],[KM Rodados ]]/Tabela6[[#This Row],[CONSUMO]]</f>
        <v>#NAME?</v>
      </c>
    </row>
    <row r="5169" spans="1:14" x14ac:dyDescent="0.25">
      <c r="A5169" s="47">
        <v>425858</v>
      </c>
      <c r="B5169" s="78">
        <v>45519</v>
      </c>
      <c r="C5169" s="47" t="s">
        <v>203</v>
      </c>
      <c r="D5169" s="49" t="s">
        <v>276</v>
      </c>
      <c r="E5169" s="47">
        <v>177677</v>
      </c>
      <c r="G5169" s="50" t="s">
        <v>244</v>
      </c>
      <c r="H5169" s="51">
        <v>24.379000000000001</v>
      </c>
      <c r="J5169" s="51">
        <v>6.09</v>
      </c>
      <c r="K5169" s="74">
        <f>Tabela6[[#This Row],[CONSUMO]]*Tabela6[[#This Row],[VALOR UNIT]]-Tabela6[[#This Row],[DESCONTO]]</f>
        <v>148.46811</v>
      </c>
      <c r="L5169" s="53">
        <f>Tabela6[[#This Row],[CUSTO TOTAL]]/Tabela6[[#This Row],[CONSUMO]]</f>
        <v>6.09</v>
      </c>
      <c r="M5169" s="53" t="e">
        <f t="array" ref="M5169">SE</f>
        <v>#NAME?</v>
      </c>
      <c r="N5169" s="49" t="e">
        <f>Tabela6[[#This Row],[KM Rodados ]]/Tabela6[[#This Row],[CONSUMO]]</f>
        <v>#NAME?</v>
      </c>
    </row>
    <row r="5170" spans="1:14" x14ac:dyDescent="0.25">
      <c r="A5170" s="47">
        <v>285548</v>
      </c>
      <c r="B5170" s="78">
        <v>45519</v>
      </c>
      <c r="C5170" s="47" t="s">
        <v>73</v>
      </c>
      <c r="D5170" s="49" t="s">
        <v>262</v>
      </c>
      <c r="E5170" s="47">
        <v>219853</v>
      </c>
      <c r="G5170" s="50" t="s">
        <v>241</v>
      </c>
      <c r="H5170" s="51">
        <v>25.969000000000001</v>
      </c>
      <c r="I5170" s="49">
        <v>9.35</v>
      </c>
      <c r="J5170" s="51">
        <v>3.69</v>
      </c>
      <c r="K5170" s="74">
        <f>Tabela6[[#This Row],[CONSUMO]]*Tabela6[[#This Row],[VALOR UNIT]]-Tabela6[[#This Row],[DESCONTO]]</f>
        <v>86.475610000000003</v>
      </c>
      <c r="L5170" s="53">
        <f>Tabela6[[#This Row],[CUSTO TOTAL]]/Tabela6[[#This Row],[CONSUMO]]</f>
        <v>3.3299553313566173</v>
      </c>
      <c r="M5170" s="53" t="e">
        <f t="array" ref="M5170">SE</f>
        <v>#NAME?</v>
      </c>
      <c r="N5170" s="49" t="e">
        <f>Tabela6[[#This Row],[KM Rodados ]]/Tabela6[[#This Row],[CONSUMO]]</f>
        <v>#NAME?</v>
      </c>
    </row>
    <row r="5171" spans="1:14" x14ac:dyDescent="0.25">
      <c r="A5171" s="47" t="s">
        <v>518</v>
      </c>
      <c r="B5171" s="78">
        <v>45519</v>
      </c>
      <c r="C5171" s="47" t="s">
        <v>13</v>
      </c>
      <c r="D5171" s="49" t="s">
        <v>519</v>
      </c>
      <c r="E5171" s="47">
        <v>701242</v>
      </c>
      <c r="G5171" s="50" t="s">
        <v>89</v>
      </c>
      <c r="H5171" s="51">
        <v>132.29</v>
      </c>
      <c r="J5171" s="51">
        <v>5.69</v>
      </c>
      <c r="K5171" s="74">
        <f>Tabela6[[#This Row],[CONSUMO]]*Tabela6[[#This Row],[VALOR UNIT]]-Tabela6[[#This Row],[DESCONTO]]</f>
        <v>752.73009999999999</v>
      </c>
      <c r="L5171" s="53">
        <f>Tabela6[[#This Row],[CUSTO TOTAL]]/Tabela6[[#This Row],[CONSUMO]]</f>
        <v>5.69</v>
      </c>
      <c r="M5171" s="53" t="e">
        <f t="array" ref="M5171">SE</f>
        <v>#NAME?</v>
      </c>
      <c r="N5171" s="49" t="e">
        <f>Tabela6[[#This Row],[KM Rodados ]]/Tabela6[[#This Row],[CONSUMO]]</f>
        <v>#NAME?</v>
      </c>
    </row>
    <row r="5172" spans="1:14" x14ac:dyDescent="0.25">
      <c r="A5172" s="47">
        <v>38052</v>
      </c>
      <c r="B5172" s="78">
        <v>45519</v>
      </c>
      <c r="C5172" s="47" t="s">
        <v>18</v>
      </c>
      <c r="D5172" s="49" t="s">
        <v>255</v>
      </c>
      <c r="E5172" s="47">
        <v>371081</v>
      </c>
      <c r="G5172" s="50" t="s">
        <v>89</v>
      </c>
      <c r="H5172" s="51">
        <v>32.110999999999997</v>
      </c>
      <c r="J5172" s="51">
        <v>6.09</v>
      </c>
      <c r="K5172" s="74">
        <f>Tabela6[[#This Row],[CONSUMO]]*Tabela6[[#This Row],[VALOR UNIT]]-Tabela6[[#This Row],[DESCONTO]]</f>
        <v>195.55598999999998</v>
      </c>
      <c r="L5172" s="53">
        <f>Tabela6[[#This Row],[CUSTO TOTAL]]/Tabela6[[#This Row],[CONSUMO]]</f>
        <v>6.09</v>
      </c>
      <c r="M5172" s="53" t="e">
        <f t="array" ref="M5172">SE</f>
        <v>#NAME?</v>
      </c>
      <c r="N5172" s="49" t="e">
        <f>Tabela6[[#This Row],[KM Rodados ]]/Tabela6[[#This Row],[CONSUMO]]</f>
        <v>#NAME?</v>
      </c>
    </row>
    <row r="5173" spans="1:14" x14ac:dyDescent="0.25">
      <c r="A5173" s="47">
        <v>285458</v>
      </c>
      <c r="B5173" s="78">
        <v>45519</v>
      </c>
      <c r="C5173" s="47" t="s">
        <v>19</v>
      </c>
      <c r="D5173" s="49" t="s">
        <v>262</v>
      </c>
      <c r="E5173" s="47">
        <v>393414</v>
      </c>
      <c r="G5173" s="50" t="s">
        <v>241</v>
      </c>
      <c r="H5173" s="51">
        <v>19.210999999999999</v>
      </c>
      <c r="I5173" s="49">
        <v>6.92</v>
      </c>
      <c r="J5173" s="51">
        <v>3.69</v>
      </c>
      <c r="K5173" s="74">
        <f>Tabela6[[#This Row],[CONSUMO]]*Tabela6[[#This Row],[VALOR UNIT]]-Tabela6[[#This Row],[DESCONTO]]</f>
        <v>63.968589999999992</v>
      </c>
      <c r="L5173" s="53">
        <f>Tabela6[[#This Row],[CUSTO TOTAL]]/Tabela6[[#This Row],[CONSUMO]]</f>
        <v>3.3297897038155222</v>
      </c>
      <c r="M5173" s="53" t="e">
        <f t="array" ref="M5173">SE</f>
        <v>#NAME?</v>
      </c>
      <c r="N5173" s="49" t="e">
        <f>Tabela6[[#This Row],[KM Rodados ]]/Tabela6[[#This Row],[CONSUMO]]</f>
        <v>#NAME?</v>
      </c>
    </row>
    <row r="5174" spans="1:14" x14ac:dyDescent="0.25">
      <c r="A5174" s="47" t="s">
        <v>537</v>
      </c>
      <c r="B5174" s="78">
        <v>45520</v>
      </c>
      <c r="C5174" s="47" t="s">
        <v>68</v>
      </c>
      <c r="D5174" s="49" t="s">
        <v>274</v>
      </c>
      <c r="E5174" s="47">
        <v>999494</v>
      </c>
      <c r="G5174" s="50" t="s">
        <v>89</v>
      </c>
      <c r="H5174" s="51">
        <v>358</v>
      </c>
      <c r="J5174" s="51">
        <v>5.65</v>
      </c>
      <c r="K5174" s="74">
        <f>Tabela6[[#This Row],[CONSUMO]]*Tabela6[[#This Row],[VALOR UNIT]]-Tabela6[[#This Row],[DESCONTO]]</f>
        <v>2022.7</v>
      </c>
      <c r="L5174" s="53">
        <f>Tabela6[[#This Row],[CUSTO TOTAL]]/Tabela6[[#This Row],[CONSUMO]]</f>
        <v>5.65</v>
      </c>
      <c r="M5174" s="53" t="e">
        <f t="array" ref="M5174">SE</f>
        <v>#NAME?</v>
      </c>
      <c r="N5174" s="49" t="e">
        <f>Tabela6[[#This Row],[KM Rodados ]]/Tabela6[[#This Row],[CONSUMO]]</f>
        <v>#NAME?</v>
      </c>
    </row>
    <row r="5175" spans="1:14" x14ac:dyDescent="0.25">
      <c r="A5175" s="47">
        <v>426191</v>
      </c>
      <c r="B5175" s="78">
        <v>45520</v>
      </c>
      <c r="C5175" s="47" t="s">
        <v>203</v>
      </c>
      <c r="D5175" s="49" t="s">
        <v>276</v>
      </c>
      <c r="E5175" s="47">
        <v>178023</v>
      </c>
      <c r="G5175" s="50" t="s">
        <v>244</v>
      </c>
      <c r="H5175" s="51">
        <v>29.620999999999999</v>
      </c>
      <c r="J5175" s="51">
        <v>6.09</v>
      </c>
      <c r="K5175" s="74">
        <f>Tabela6[[#This Row],[CONSUMO]]*Tabela6[[#This Row],[VALOR UNIT]]-Tabela6[[#This Row],[DESCONTO]]</f>
        <v>180.39188999999999</v>
      </c>
      <c r="L5175" s="53">
        <f>Tabela6[[#This Row],[CUSTO TOTAL]]/Tabela6[[#This Row],[CONSUMO]]</f>
        <v>6.09</v>
      </c>
      <c r="M5175" s="53" t="e">
        <f t="array" ref="M5175">SE</f>
        <v>#NAME?</v>
      </c>
      <c r="N5175" s="49" t="e">
        <f>Tabela6[[#This Row],[KM Rodados ]]/Tabela6[[#This Row],[CONSUMO]]</f>
        <v>#NAME?</v>
      </c>
    </row>
    <row r="5176" spans="1:14" x14ac:dyDescent="0.25">
      <c r="A5176" s="47">
        <v>38470</v>
      </c>
      <c r="B5176" s="78">
        <v>45520</v>
      </c>
      <c r="C5176" s="47" t="s">
        <v>38</v>
      </c>
      <c r="D5176" s="49" t="s">
        <v>255</v>
      </c>
      <c r="E5176" s="47">
        <v>152284</v>
      </c>
      <c r="G5176" s="50" t="s">
        <v>244</v>
      </c>
      <c r="H5176" s="51">
        <v>52.74</v>
      </c>
      <c r="J5176" s="51">
        <v>5.99</v>
      </c>
      <c r="K5176" s="74">
        <f>Tabela6[[#This Row],[CONSUMO]]*Tabela6[[#This Row],[VALOR UNIT]]-Tabela6[[#This Row],[DESCONTO]]</f>
        <v>315.9126</v>
      </c>
      <c r="L5176" s="53">
        <f>Tabela6[[#This Row],[CUSTO TOTAL]]/Tabela6[[#This Row],[CONSUMO]]</f>
        <v>5.9899999999999993</v>
      </c>
      <c r="M5176" s="53" t="e">
        <f t="array" ref="M5176">SE</f>
        <v>#NAME?</v>
      </c>
      <c r="N5176" s="49" t="e">
        <f>Tabela6[[#This Row],[KM Rodados ]]/Tabela6[[#This Row],[CONSUMO]]</f>
        <v>#NAME?</v>
      </c>
    </row>
    <row r="5177" spans="1:14" x14ac:dyDescent="0.25">
      <c r="A5177" s="47">
        <v>285610</v>
      </c>
      <c r="B5177" s="78">
        <v>45520</v>
      </c>
      <c r="C5177" s="47" t="s">
        <v>354</v>
      </c>
      <c r="D5177" s="49" t="s">
        <v>262</v>
      </c>
      <c r="E5177" s="47">
        <v>52628</v>
      </c>
      <c r="G5177" s="50" t="s">
        <v>241</v>
      </c>
      <c r="H5177" s="51">
        <v>31.003</v>
      </c>
      <c r="I5177" s="49">
        <v>11.16</v>
      </c>
      <c r="J5177" s="51">
        <v>3.69</v>
      </c>
      <c r="K5177" s="74">
        <f>Tabela6[[#This Row],[CONSUMO]]*Tabela6[[#This Row],[VALOR UNIT]]-Tabela6[[#This Row],[DESCONTO]]</f>
        <v>103.24107000000001</v>
      </c>
      <c r="L5177" s="53">
        <f>Tabela6[[#This Row],[CUSTO TOTAL]]/Tabela6[[#This Row],[CONSUMO]]</f>
        <v>3.3300348353385161</v>
      </c>
      <c r="M5177" s="53" t="e">
        <f t="array" ref="M5177">SE</f>
        <v>#NAME?</v>
      </c>
      <c r="N5177" s="49" t="e">
        <f>Tabela6[[#This Row],[KM Rodados ]]/Tabela6[[#This Row],[CONSUMO]]</f>
        <v>#NAME?</v>
      </c>
    </row>
    <row r="5178" spans="1:14" x14ac:dyDescent="0.25">
      <c r="A5178" s="47">
        <v>980006</v>
      </c>
      <c r="B5178" s="78">
        <v>45520</v>
      </c>
      <c r="C5178" s="47" t="s">
        <v>401</v>
      </c>
      <c r="D5178" s="49" t="s">
        <v>264</v>
      </c>
      <c r="E5178" s="47">
        <v>49140</v>
      </c>
      <c r="G5178" s="50" t="s">
        <v>89</v>
      </c>
      <c r="H5178" s="51">
        <v>67.180000000000007</v>
      </c>
      <c r="J5178" s="51">
        <v>5.96</v>
      </c>
      <c r="K5178" s="74">
        <f>Tabela6[[#This Row],[CONSUMO]]*Tabela6[[#This Row],[VALOR UNIT]]-Tabela6[[#This Row],[DESCONTO]]</f>
        <v>400.39280000000002</v>
      </c>
      <c r="L5178" s="53">
        <f>Tabela6[[#This Row],[CUSTO TOTAL]]/Tabela6[[#This Row],[CONSUMO]]</f>
        <v>5.96</v>
      </c>
      <c r="M5178" s="53" t="e">
        <f t="array" ref="M5178">SE</f>
        <v>#NAME?</v>
      </c>
      <c r="N5178" s="49" t="e">
        <f>Tabela6[[#This Row],[KM Rodados ]]/Tabela6[[#This Row],[CONSUMO]]</f>
        <v>#NAME?</v>
      </c>
    </row>
    <row r="5179" spans="1:14" x14ac:dyDescent="0.25">
      <c r="A5179" s="47">
        <v>980007</v>
      </c>
      <c r="B5179" s="78">
        <v>45520</v>
      </c>
      <c r="C5179" s="47" t="s">
        <v>401</v>
      </c>
      <c r="D5179" s="49" t="s">
        <v>264</v>
      </c>
      <c r="E5179" s="47">
        <v>49140</v>
      </c>
      <c r="G5179" s="50" t="s">
        <v>241</v>
      </c>
      <c r="H5179" s="51">
        <v>26</v>
      </c>
      <c r="J5179" s="51">
        <v>2.83</v>
      </c>
      <c r="K5179" s="74">
        <f>Tabela6[[#This Row],[CONSUMO]]*Tabela6[[#This Row],[VALOR UNIT]]-Tabela6[[#This Row],[DESCONTO]]</f>
        <v>73.58</v>
      </c>
      <c r="L5179" s="53">
        <f>Tabela6[[#This Row],[CUSTO TOTAL]]/Tabela6[[#This Row],[CONSUMO]]</f>
        <v>2.83</v>
      </c>
      <c r="M5179" s="53" t="e">
        <f t="array" ref="M5179">SE</f>
        <v>#NAME?</v>
      </c>
      <c r="N5179" s="49" t="e">
        <f>Tabela6[[#This Row],[KM Rodados ]]/Tabela6[[#This Row],[CONSUMO]]</f>
        <v>#NAME?</v>
      </c>
    </row>
    <row r="5180" spans="1:14" x14ac:dyDescent="0.25">
      <c r="A5180" s="47">
        <v>1436005</v>
      </c>
      <c r="B5180" s="78">
        <v>45520</v>
      </c>
      <c r="C5180" s="47" t="s">
        <v>446</v>
      </c>
      <c r="D5180" s="49" t="s">
        <v>490</v>
      </c>
      <c r="E5180" s="47">
        <v>35119</v>
      </c>
      <c r="G5180" s="50" t="s">
        <v>89</v>
      </c>
      <c r="H5180" s="51">
        <v>100.28</v>
      </c>
      <c r="J5180" s="51">
        <v>6.23</v>
      </c>
      <c r="K5180" s="74">
        <f>Tabela6[[#This Row],[CONSUMO]]*Tabela6[[#This Row],[VALOR UNIT]]-Tabela6[[#This Row],[DESCONTO]]</f>
        <v>624.74440000000004</v>
      </c>
      <c r="L5180" s="53">
        <f>Tabela6[[#This Row],[CUSTO TOTAL]]/Tabela6[[#This Row],[CONSUMO]]</f>
        <v>6.23</v>
      </c>
      <c r="M5180" s="53" t="e">
        <f t="array" ref="M5180">SE</f>
        <v>#NAME?</v>
      </c>
      <c r="N5180" s="49" t="e">
        <f>Tabela6[[#This Row],[KM Rodados ]]/Tabela6[[#This Row],[CONSUMO]]</f>
        <v>#NAME?</v>
      </c>
    </row>
    <row r="5181" spans="1:14" x14ac:dyDescent="0.25">
      <c r="A5181" s="47">
        <v>1436005</v>
      </c>
      <c r="B5181" s="78">
        <v>45520</v>
      </c>
      <c r="C5181" s="47" t="s">
        <v>446</v>
      </c>
      <c r="D5181" s="49" t="s">
        <v>490</v>
      </c>
      <c r="E5181" s="47">
        <v>35119</v>
      </c>
      <c r="G5181" s="50" t="s">
        <v>241</v>
      </c>
      <c r="H5181" s="51">
        <v>12.065</v>
      </c>
      <c r="J5181" s="51">
        <v>3.29</v>
      </c>
      <c r="K5181" s="74">
        <f>Tabela6[[#This Row],[CONSUMO]]*Tabela6[[#This Row],[VALOR UNIT]]-Tabela6[[#This Row],[DESCONTO]]</f>
        <v>39.693849999999998</v>
      </c>
      <c r="L5181" s="53">
        <f>Tabela6[[#This Row],[CUSTO TOTAL]]/Tabela6[[#This Row],[CONSUMO]]</f>
        <v>3.29</v>
      </c>
      <c r="M5181" s="53" t="e">
        <f t="array" ref="M5181">SE</f>
        <v>#NAME?</v>
      </c>
      <c r="N5181" s="49" t="e">
        <f>Tabela6[[#This Row],[KM Rodados ]]/Tabela6[[#This Row],[CONSUMO]]</f>
        <v>#NAME?</v>
      </c>
    </row>
    <row r="5182" spans="1:14" x14ac:dyDescent="0.25">
      <c r="A5182" s="47">
        <v>200124</v>
      </c>
      <c r="B5182" s="78">
        <v>45521</v>
      </c>
      <c r="C5182" s="47" t="s">
        <v>301</v>
      </c>
      <c r="D5182" s="49" t="s">
        <v>305</v>
      </c>
      <c r="E5182" s="47">
        <v>115017</v>
      </c>
      <c r="G5182" s="50" t="s">
        <v>89</v>
      </c>
      <c r="H5182" s="51">
        <v>431.03</v>
      </c>
      <c r="J5182" s="51">
        <v>5.85</v>
      </c>
      <c r="K5182" s="74">
        <f>Tabela6[[#This Row],[CONSUMO]]*Tabela6[[#This Row],[VALOR UNIT]]-Tabela6[[#This Row],[DESCONTO]]</f>
        <v>2521.5254999999997</v>
      </c>
      <c r="L5182" s="53">
        <f>Tabela6[[#This Row],[CUSTO TOTAL]]/Tabela6[[#This Row],[CONSUMO]]</f>
        <v>5.85</v>
      </c>
      <c r="M5182" s="53" t="e">
        <f t="array" ref="M5182">SE</f>
        <v>#NAME?</v>
      </c>
      <c r="N5182" s="49" t="e">
        <f>Tabela6[[#This Row],[KM Rodados ]]/Tabela6[[#This Row],[CONSUMO]]</f>
        <v>#NAME?</v>
      </c>
    </row>
    <row r="5183" spans="1:14" x14ac:dyDescent="0.25">
      <c r="A5183" s="47">
        <v>828122</v>
      </c>
      <c r="B5183" s="78">
        <v>45522</v>
      </c>
      <c r="C5183" s="47" t="s">
        <v>23</v>
      </c>
      <c r="D5183" s="49" t="s">
        <v>271</v>
      </c>
      <c r="E5183" s="47">
        <v>291046</v>
      </c>
      <c r="G5183" s="50" t="s">
        <v>89</v>
      </c>
      <c r="H5183" s="51">
        <v>131</v>
      </c>
      <c r="J5183" s="51">
        <v>5.79</v>
      </c>
      <c r="K5183" s="74">
        <f>Tabela6[[#This Row],[CONSUMO]]*Tabela6[[#This Row],[VALOR UNIT]]-Tabela6[[#This Row],[DESCONTO]]</f>
        <v>758.49</v>
      </c>
      <c r="L5183" s="53">
        <f>Tabela6[[#This Row],[CUSTO TOTAL]]/Tabela6[[#This Row],[CONSUMO]]</f>
        <v>5.79</v>
      </c>
      <c r="M5183" s="53" t="e">
        <f t="array" ref="M5183">SE</f>
        <v>#NAME?</v>
      </c>
      <c r="N5183" s="49" t="e">
        <f>Tabela6[[#This Row],[KM Rodados ]]/Tabela6[[#This Row],[CONSUMO]]</f>
        <v>#NAME?</v>
      </c>
    </row>
    <row r="5184" spans="1:14" x14ac:dyDescent="0.25">
      <c r="A5184" s="47">
        <v>176001</v>
      </c>
      <c r="B5184" s="78">
        <v>45523</v>
      </c>
      <c r="C5184" s="47" t="s">
        <v>43</v>
      </c>
      <c r="D5184" s="49" t="s">
        <v>334</v>
      </c>
      <c r="E5184" s="47">
        <v>202571</v>
      </c>
      <c r="G5184" s="50" t="s">
        <v>89</v>
      </c>
      <c r="H5184" s="51">
        <v>47.9</v>
      </c>
      <c r="J5184" s="51">
        <v>6.34</v>
      </c>
      <c r="K5184" s="74">
        <v>304.13</v>
      </c>
      <c r="L5184" s="53">
        <f>Tabela6[[#This Row],[CUSTO TOTAL]]/Tabela6[[#This Row],[CONSUMO]]</f>
        <v>6.3492693110647185</v>
      </c>
      <c r="M5184" s="53" t="e">
        <f t="array" ref="M5184">SE</f>
        <v>#NAME?</v>
      </c>
      <c r="N5184" s="49" t="e">
        <f>Tabela6[[#This Row],[KM Rodados ]]/Tabela6[[#This Row],[CONSUMO]]</f>
        <v>#NAME?</v>
      </c>
    </row>
    <row r="5185" spans="1:14" x14ac:dyDescent="0.25">
      <c r="A5185" s="47" t="s">
        <v>545</v>
      </c>
      <c r="B5185" s="78">
        <v>45523</v>
      </c>
      <c r="C5185" s="47" t="s">
        <v>67</v>
      </c>
      <c r="D5185" s="49" t="s">
        <v>273</v>
      </c>
      <c r="E5185" s="47">
        <v>730812</v>
      </c>
      <c r="G5185" s="50" t="s">
        <v>89</v>
      </c>
      <c r="H5185" s="51">
        <v>150.01</v>
      </c>
      <c r="J5185" s="51">
        <v>5.69</v>
      </c>
      <c r="K5185" s="74">
        <f>Tabela6[[#This Row],[CONSUMO]]*Tabela6[[#This Row],[VALOR UNIT]]-Tabela6[[#This Row],[DESCONTO]]</f>
        <v>853.55690000000004</v>
      </c>
      <c r="L5185" s="53">
        <f>Tabela6[[#This Row],[CUSTO TOTAL]]/Tabela6[[#This Row],[CONSUMO]]</f>
        <v>5.69</v>
      </c>
      <c r="M5185" s="53" t="e">
        <f t="array" ref="M5185">SE</f>
        <v>#NAME?</v>
      </c>
      <c r="N5185" s="49" t="e">
        <f>Tabela6[[#This Row],[KM Rodados ]]/Tabela6[[#This Row],[CONSUMO]]</f>
        <v>#NAME?</v>
      </c>
    </row>
    <row r="5186" spans="1:14" x14ac:dyDescent="0.25">
      <c r="A5186" s="47">
        <v>321675</v>
      </c>
      <c r="B5186" s="78">
        <v>45523</v>
      </c>
      <c r="C5186" s="47" t="s">
        <v>67</v>
      </c>
      <c r="D5186" s="49" t="s">
        <v>273</v>
      </c>
      <c r="E5186" s="47">
        <v>730812</v>
      </c>
      <c r="G5186" s="50" t="s">
        <v>241</v>
      </c>
      <c r="H5186" s="51">
        <v>18.081</v>
      </c>
      <c r="J5186" s="51">
        <v>2.99</v>
      </c>
      <c r="K5186" s="74">
        <f>Tabela6[[#This Row],[CONSUMO]]*Tabela6[[#This Row],[VALOR UNIT]]-Tabela6[[#This Row],[DESCONTO]]</f>
        <v>54.062190000000001</v>
      </c>
      <c r="L5186" s="53">
        <f>Tabela6[[#This Row],[CUSTO TOTAL]]/Tabela6[[#This Row],[CONSUMO]]</f>
        <v>2.99</v>
      </c>
      <c r="M5186" s="53" t="e">
        <f t="array" ref="M5186">SE</f>
        <v>#NAME?</v>
      </c>
      <c r="N5186" s="49" t="e">
        <f>Tabela6[[#This Row],[KM Rodados ]]/Tabela6[[#This Row],[CONSUMO]]</f>
        <v>#NAME?</v>
      </c>
    </row>
    <row r="5187" spans="1:14" x14ac:dyDescent="0.25">
      <c r="A5187" s="47">
        <v>306171</v>
      </c>
      <c r="B5187" s="78">
        <v>45523</v>
      </c>
      <c r="C5187" s="47" t="s">
        <v>11</v>
      </c>
      <c r="D5187" s="49" t="s">
        <v>253</v>
      </c>
      <c r="E5187" s="47">
        <v>421764</v>
      </c>
      <c r="G5187" s="50" t="s">
        <v>89</v>
      </c>
      <c r="H5187" s="51">
        <v>104.24</v>
      </c>
      <c r="J5187" s="51">
        <v>6.09</v>
      </c>
      <c r="K5187" s="74">
        <f>Tabela6[[#This Row],[CONSUMO]]*Tabela6[[#This Row],[VALOR UNIT]]-Tabela6[[#This Row],[DESCONTO]]</f>
        <v>634.82159999999999</v>
      </c>
      <c r="L5187" s="53">
        <f>Tabela6[[#This Row],[CUSTO TOTAL]]/Tabela6[[#This Row],[CONSUMO]]</f>
        <v>6.09</v>
      </c>
      <c r="M5187" s="53" t="e">
        <f t="array" ref="M5187">SE</f>
        <v>#NAME?</v>
      </c>
      <c r="N5187" s="49" t="e">
        <f>Tabela6[[#This Row],[KM Rodados ]]/Tabela6[[#This Row],[CONSUMO]]</f>
        <v>#NAME?</v>
      </c>
    </row>
    <row r="5188" spans="1:14" x14ac:dyDescent="0.25">
      <c r="A5188" s="47">
        <v>31979</v>
      </c>
      <c r="B5188" s="78">
        <v>45523</v>
      </c>
      <c r="C5188" s="47" t="s">
        <v>301</v>
      </c>
      <c r="D5188" s="49" t="s">
        <v>461</v>
      </c>
      <c r="E5188" s="47">
        <v>115935</v>
      </c>
      <c r="G5188" s="50" t="s">
        <v>89</v>
      </c>
      <c r="H5188" s="51">
        <v>440.01</v>
      </c>
      <c r="J5188" s="51">
        <v>5.88</v>
      </c>
      <c r="K5188" s="74">
        <f>Tabela6[[#This Row],[CONSUMO]]*Tabela6[[#This Row],[VALOR UNIT]]-Tabela6[[#This Row],[DESCONTO]]</f>
        <v>2587.2588000000001</v>
      </c>
      <c r="L5188" s="53">
        <f>Tabela6[[#This Row],[CUSTO TOTAL]]/Tabela6[[#This Row],[CONSUMO]]</f>
        <v>5.88</v>
      </c>
      <c r="M5188" s="53" t="e">
        <f t="array" ref="M5188">SE</f>
        <v>#NAME?</v>
      </c>
      <c r="N5188" s="49" t="e">
        <f>Tabela6[[#This Row],[KM Rodados ]]/Tabela6[[#This Row],[CONSUMO]]</f>
        <v>#NAME?</v>
      </c>
    </row>
    <row r="5189" spans="1:14" x14ac:dyDescent="0.25">
      <c r="A5189" s="47">
        <v>286489</v>
      </c>
      <c r="B5189" s="78">
        <v>45523</v>
      </c>
      <c r="C5189" s="47" t="s">
        <v>15</v>
      </c>
      <c r="D5189" s="49" t="s">
        <v>262</v>
      </c>
      <c r="E5189" s="47">
        <v>446576</v>
      </c>
      <c r="G5189" s="50" t="s">
        <v>241</v>
      </c>
      <c r="H5189" s="51">
        <v>18.826000000000001</v>
      </c>
      <c r="I5189" s="49">
        <v>6.78</v>
      </c>
      <c r="J5189" s="51">
        <v>3.69</v>
      </c>
      <c r="K5189" s="74">
        <f>Tabela6[[#This Row],[CONSUMO]]*Tabela6[[#This Row],[VALOR UNIT]]-Tabela6[[#This Row],[DESCONTO]]</f>
        <v>62.687939999999998</v>
      </c>
      <c r="L5189" s="53">
        <f>Tabela6[[#This Row],[CUSTO TOTAL]]/Tabela6[[#This Row],[CONSUMO]]</f>
        <v>3.3298597684053965</v>
      </c>
      <c r="M5189" s="53" t="e">
        <f t="array" ref="M5189">SE</f>
        <v>#NAME?</v>
      </c>
      <c r="N5189" s="49" t="e">
        <f>Tabela6[[#This Row],[KM Rodados ]]/Tabela6[[#This Row],[CONSUMO]]</f>
        <v>#NAME?</v>
      </c>
    </row>
    <row r="5190" spans="1:14" x14ac:dyDescent="0.25">
      <c r="A5190" s="47">
        <v>286465</v>
      </c>
      <c r="B5190" s="78">
        <v>45523</v>
      </c>
      <c r="C5190" s="47" t="s">
        <v>17</v>
      </c>
      <c r="D5190" s="49" t="s">
        <v>262</v>
      </c>
      <c r="G5190" s="50" t="s">
        <v>241</v>
      </c>
      <c r="H5190" s="51">
        <v>28.015999999999998</v>
      </c>
      <c r="I5190" s="49">
        <v>10.09</v>
      </c>
      <c r="J5190" s="51">
        <v>3.69</v>
      </c>
      <c r="K5190" s="74">
        <f>Tabela6[[#This Row],[CONSUMO]]*Tabela6[[#This Row],[VALOR UNIT]]-Tabela6[[#This Row],[DESCONTO]]</f>
        <v>93.289039999999986</v>
      </c>
      <c r="L5190" s="53">
        <f>Tabela6[[#This Row],[CUSTO TOTAL]]/Tabela6[[#This Row],[CONSUMO]]</f>
        <v>3.3298486579097655</v>
      </c>
      <c r="M5190" s="53" t="e">
        <f t="array" ref="M5190">SE</f>
        <v>#NAME?</v>
      </c>
      <c r="N5190" s="49" t="e">
        <f>Tabela6[[#This Row],[KM Rodados ]]/Tabela6[[#This Row],[CONSUMO]]</f>
        <v>#NAME?</v>
      </c>
    </row>
    <row r="5191" spans="1:14" x14ac:dyDescent="0.25">
      <c r="A5191" s="47">
        <v>306093</v>
      </c>
      <c r="B5191" s="78">
        <v>45523</v>
      </c>
      <c r="C5191" s="47" t="s">
        <v>23</v>
      </c>
      <c r="D5191" s="49" t="s">
        <v>253</v>
      </c>
      <c r="E5191" s="47">
        <v>291220</v>
      </c>
      <c r="G5191" s="50" t="s">
        <v>241</v>
      </c>
      <c r="H5191" s="51">
        <v>15.82</v>
      </c>
      <c r="J5191" s="51">
        <v>3.49</v>
      </c>
      <c r="K5191" s="74">
        <f>Tabela6[[#This Row],[CONSUMO]]*Tabela6[[#This Row],[VALOR UNIT]]-Tabela6[[#This Row],[DESCONTO]]</f>
        <v>55.211800000000004</v>
      </c>
      <c r="L5191" s="53">
        <f>Tabela6[[#This Row],[CUSTO TOTAL]]/Tabela6[[#This Row],[CONSUMO]]</f>
        <v>3.49</v>
      </c>
      <c r="M5191" s="53" t="e">
        <f t="array" ref="M5191">SE</f>
        <v>#NAME?</v>
      </c>
      <c r="N5191" s="49" t="e">
        <f>Tabela6[[#This Row],[KM Rodados ]]/Tabela6[[#This Row],[CONSUMO]]</f>
        <v>#NAME?</v>
      </c>
    </row>
    <row r="5192" spans="1:14" x14ac:dyDescent="0.25">
      <c r="A5192" s="47">
        <v>427074</v>
      </c>
      <c r="B5192" s="78">
        <v>45523</v>
      </c>
      <c r="C5192" s="47" t="s">
        <v>315</v>
      </c>
      <c r="D5192" s="49" t="s">
        <v>262</v>
      </c>
      <c r="E5192" s="47">
        <v>42886</v>
      </c>
      <c r="G5192" s="50" t="s">
        <v>89</v>
      </c>
      <c r="H5192" s="51">
        <v>54.128999999999998</v>
      </c>
      <c r="J5192" s="51">
        <v>6.19</v>
      </c>
      <c r="K5192" s="74">
        <f>Tabela6[[#This Row],[CONSUMO]]*Tabela6[[#This Row],[VALOR UNIT]]-Tabela6[[#This Row],[DESCONTO]]</f>
        <v>335.05851000000001</v>
      </c>
      <c r="L5192" s="53">
        <f>Tabela6[[#This Row],[CUSTO TOTAL]]/Tabela6[[#This Row],[CONSUMO]]</f>
        <v>6.19</v>
      </c>
      <c r="M5192" s="53" t="e">
        <f t="array" ref="M5192">SE</f>
        <v>#NAME?</v>
      </c>
      <c r="N5192" s="49" t="e">
        <f>Tabela6[[#This Row],[KM Rodados ]]/Tabela6[[#This Row],[CONSUMO]]</f>
        <v>#NAME?</v>
      </c>
    </row>
    <row r="5193" spans="1:14" x14ac:dyDescent="0.25">
      <c r="A5193" s="47">
        <v>286464</v>
      </c>
      <c r="B5193" s="78">
        <v>45523</v>
      </c>
      <c r="C5193" s="47" t="s">
        <v>446</v>
      </c>
      <c r="D5193" s="49" t="s">
        <v>262</v>
      </c>
      <c r="E5193" s="47">
        <v>35797</v>
      </c>
      <c r="G5193" s="50" t="s">
        <v>241</v>
      </c>
      <c r="H5193" s="51">
        <v>30.341000000000001</v>
      </c>
      <c r="I5193" s="49">
        <v>10.92</v>
      </c>
      <c r="J5193" s="51">
        <v>3.69</v>
      </c>
      <c r="K5193" s="74">
        <f>Tabela6[[#This Row],[CONSUMO]]*Tabela6[[#This Row],[VALOR UNIT]]-Tabela6[[#This Row],[DESCONTO]]</f>
        <v>101.03829</v>
      </c>
      <c r="L5193" s="53">
        <f>Tabela6[[#This Row],[CUSTO TOTAL]]/Tabela6[[#This Row],[CONSUMO]]</f>
        <v>3.3300909660195774</v>
      </c>
      <c r="M5193" s="53" t="e">
        <f t="array" ref="M5193">SE</f>
        <v>#NAME?</v>
      </c>
      <c r="N5193" s="49" t="e">
        <f>Tabela6[[#This Row],[KM Rodados ]]/Tabela6[[#This Row],[CONSUMO]]</f>
        <v>#NAME?</v>
      </c>
    </row>
    <row r="5194" spans="1:14" x14ac:dyDescent="0.25">
      <c r="A5194" s="47">
        <v>382030</v>
      </c>
      <c r="B5194" s="78">
        <v>45524</v>
      </c>
      <c r="C5194" s="47" t="s">
        <v>203</v>
      </c>
      <c r="D5194" s="49" t="s">
        <v>256</v>
      </c>
      <c r="E5194" s="47">
        <v>178480</v>
      </c>
      <c r="G5194" s="50" t="s">
        <v>244</v>
      </c>
      <c r="H5194" s="51">
        <v>34.76</v>
      </c>
      <c r="J5194" s="51">
        <v>5.99</v>
      </c>
      <c r="K5194" s="74">
        <f>Tabela6[[#This Row],[CONSUMO]]*Tabela6[[#This Row],[VALOR UNIT]]-Tabela6[[#This Row],[DESCONTO]]</f>
        <v>208.2124</v>
      </c>
      <c r="L5194" s="53">
        <f>Tabela6[[#This Row],[CUSTO TOTAL]]/Tabela6[[#This Row],[CONSUMO]]</f>
        <v>5.99</v>
      </c>
      <c r="M5194" s="53" t="e">
        <f t="array" ref="M5194">SE</f>
        <v>#NAME?</v>
      </c>
      <c r="N5194" s="49" t="e">
        <f>Tabela6[[#This Row],[KM Rodados ]]/Tabela6[[#This Row],[CONSUMO]]</f>
        <v>#NAME?</v>
      </c>
    </row>
    <row r="5195" spans="1:14" x14ac:dyDescent="0.25">
      <c r="A5195" s="47" t="s">
        <v>544</v>
      </c>
      <c r="B5195" s="78">
        <v>45524</v>
      </c>
      <c r="C5195" s="47" t="s">
        <v>14</v>
      </c>
      <c r="D5195" s="49" t="s">
        <v>269</v>
      </c>
      <c r="E5195" s="47">
        <v>341721</v>
      </c>
      <c r="G5195" s="50" t="s">
        <v>244</v>
      </c>
      <c r="H5195" s="51">
        <v>41.680999999999997</v>
      </c>
      <c r="J5195" s="51">
        <v>5.89</v>
      </c>
      <c r="K5195" s="74">
        <f>Tabela6[[#This Row],[CONSUMO]]*Tabela6[[#This Row],[VALOR UNIT]]-Tabela6[[#This Row],[DESCONTO]]</f>
        <v>245.50108999999998</v>
      </c>
      <c r="L5195" s="53">
        <f>Tabela6[[#This Row],[CUSTO TOTAL]]/Tabela6[[#This Row],[CONSUMO]]</f>
        <v>5.89</v>
      </c>
      <c r="M5195" s="53" t="e">
        <f t="array" ref="M5195">SE</f>
        <v>#NAME?</v>
      </c>
      <c r="N5195" s="49" t="e">
        <f>Tabela6[[#This Row],[KM Rodados ]]/Tabela6[[#This Row],[CONSUMO]]</f>
        <v>#NAME?</v>
      </c>
    </row>
    <row r="5196" spans="1:14" x14ac:dyDescent="0.25">
      <c r="A5196" s="47">
        <v>39484</v>
      </c>
      <c r="B5196" s="78">
        <v>45524</v>
      </c>
      <c r="C5196" s="47" t="s">
        <v>18</v>
      </c>
      <c r="D5196" s="49" t="s">
        <v>255</v>
      </c>
      <c r="E5196" s="47">
        <v>371578</v>
      </c>
      <c r="G5196" s="50" t="s">
        <v>89</v>
      </c>
      <c r="H5196" s="51">
        <v>58.78</v>
      </c>
      <c r="J5196" s="51">
        <v>6.09</v>
      </c>
      <c r="K5196" s="74">
        <f>Tabela6[[#This Row],[CONSUMO]]*Tabela6[[#This Row],[VALOR UNIT]]-Tabela6[[#This Row],[DESCONTO]]</f>
        <v>357.97019999999998</v>
      </c>
      <c r="L5196" s="53">
        <f>Tabela6[[#This Row],[CUSTO TOTAL]]/Tabela6[[#This Row],[CONSUMO]]</f>
        <v>6.09</v>
      </c>
      <c r="M5196" s="53" t="e">
        <f t="array" ref="M5196">SE</f>
        <v>#NAME?</v>
      </c>
      <c r="N5196" s="49" t="e">
        <f>Tabela6[[#This Row],[KM Rodados ]]/Tabela6[[#This Row],[CONSUMO]]</f>
        <v>#NAME?</v>
      </c>
    </row>
    <row r="5197" spans="1:14" x14ac:dyDescent="0.25">
      <c r="A5197" s="47">
        <v>286627</v>
      </c>
      <c r="B5197" s="78">
        <v>45524</v>
      </c>
      <c r="C5197" s="47" t="s">
        <v>40</v>
      </c>
      <c r="D5197" s="49" t="s">
        <v>262</v>
      </c>
      <c r="E5197" s="47">
        <v>271492</v>
      </c>
      <c r="G5197" s="50" t="s">
        <v>244</v>
      </c>
      <c r="H5197" s="51">
        <v>44.28</v>
      </c>
      <c r="J5197" s="51">
        <v>5.99</v>
      </c>
      <c r="K5197" s="74">
        <f>Tabela6[[#This Row],[CONSUMO]]*Tabela6[[#This Row],[VALOR UNIT]]-Tabela6[[#This Row],[DESCONTO]]</f>
        <v>265.23720000000003</v>
      </c>
      <c r="L5197" s="53">
        <f>Tabela6[[#This Row],[CUSTO TOTAL]]/Tabela6[[#This Row],[CONSUMO]]</f>
        <v>5.99</v>
      </c>
      <c r="M5197" s="53" t="e">
        <f t="array" ref="M5197">SE</f>
        <v>#NAME?</v>
      </c>
      <c r="N5197" s="49" t="e">
        <f>Tabela6[[#This Row],[KM Rodados ]]/Tabela6[[#This Row],[CONSUMO]]</f>
        <v>#NAME?</v>
      </c>
    </row>
    <row r="5198" spans="1:14" x14ac:dyDescent="0.25">
      <c r="A5198" s="47">
        <v>307868</v>
      </c>
      <c r="B5198" s="78">
        <v>45525</v>
      </c>
      <c r="C5198" s="47" t="s">
        <v>68</v>
      </c>
      <c r="D5198" s="49" t="s">
        <v>253</v>
      </c>
      <c r="E5198" s="47">
        <v>1000813</v>
      </c>
      <c r="G5198" s="50" t="s">
        <v>89</v>
      </c>
      <c r="H5198" s="51">
        <v>273.05</v>
      </c>
      <c r="J5198" s="51">
        <v>6.09</v>
      </c>
      <c r="K5198" s="74">
        <f>Tabela6[[#This Row],[CONSUMO]]*Tabela6[[#This Row],[VALOR UNIT]]-Tabela6[[#This Row],[DESCONTO]]</f>
        <v>1662.8745000000001</v>
      </c>
      <c r="L5198" s="53">
        <f>Tabela6[[#This Row],[CUSTO TOTAL]]/Tabela6[[#This Row],[CONSUMO]]</f>
        <v>6.09</v>
      </c>
      <c r="M5198" s="53" t="e">
        <f t="array" ref="M5198">SE</f>
        <v>#NAME?</v>
      </c>
      <c r="N5198" s="49" t="e">
        <f>Tabela6[[#This Row],[KM Rodados ]]/Tabela6[[#This Row],[CONSUMO]]</f>
        <v>#NAME?</v>
      </c>
    </row>
    <row r="5199" spans="1:14" x14ac:dyDescent="0.25">
      <c r="A5199" s="47">
        <v>605013</v>
      </c>
      <c r="B5199" s="78">
        <v>45526</v>
      </c>
      <c r="C5199" s="47" t="s">
        <v>43</v>
      </c>
      <c r="D5199" s="49" t="s">
        <v>531</v>
      </c>
      <c r="E5199" s="47">
        <v>203561</v>
      </c>
      <c r="G5199" s="50" t="s">
        <v>89</v>
      </c>
      <c r="H5199" s="51">
        <v>31.31</v>
      </c>
      <c r="J5199" s="51">
        <v>6.39</v>
      </c>
      <c r="K5199" s="74">
        <f>Tabela6[[#This Row],[CONSUMO]]*Tabela6[[#This Row],[VALOR UNIT]]-Tabela6[[#This Row],[DESCONTO]]</f>
        <v>200.07089999999999</v>
      </c>
      <c r="L5199" s="53">
        <f>Tabela6[[#This Row],[CUSTO TOTAL]]/Tabela6[[#This Row],[CONSUMO]]</f>
        <v>6.39</v>
      </c>
      <c r="M5199" s="53" t="e">
        <f t="array" ref="M5199">SE</f>
        <v>#NAME?</v>
      </c>
      <c r="N5199" s="49" t="e">
        <f>Tabela6[[#This Row],[KM Rodados ]]/Tabela6[[#This Row],[CONSUMO]]</f>
        <v>#NAME?</v>
      </c>
    </row>
    <row r="5200" spans="1:14" x14ac:dyDescent="0.25">
      <c r="A5200" s="47">
        <v>172138</v>
      </c>
      <c r="B5200" s="78">
        <v>45526</v>
      </c>
      <c r="C5200" s="47" t="s">
        <v>67</v>
      </c>
      <c r="D5200" s="49" t="s">
        <v>532</v>
      </c>
      <c r="E5200" s="47">
        <v>731950</v>
      </c>
      <c r="G5200" s="50" t="s">
        <v>89</v>
      </c>
      <c r="H5200" s="51">
        <v>152</v>
      </c>
      <c r="J5200" s="51">
        <v>5.69</v>
      </c>
      <c r="K5200" s="74">
        <f>Tabela6[[#This Row],[CONSUMO]]*Tabela6[[#This Row],[VALOR UNIT]]-Tabela6[[#This Row],[DESCONTO]]</f>
        <v>864.88000000000011</v>
      </c>
      <c r="L5200" s="53">
        <f>Tabela6[[#This Row],[CUSTO TOTAL]]/Tabela6[[#This Row],[CONSUMO]]</f>
        <v>5.69</v>
      </c>
      <c r="M5200" s="53" t="e">
        <f t="array" ref="M5200">SE</f>
        <v>#NAME?</v>
      </c>
      <c r="N5200" s="49" t="e">
        <f>Tabela6[[#This Row],[KM Rodados ]]/Tabela6[[#This Row],[CONSUMO]]</f>
        <v>#NAME?</v>
      </c>
    </row>
    <row r="5201" spans="1:14" x14ac:dyDescent="0.25">
      <c r="A5201" s="47">
        <v>309019</v>
      </c>
      <c r="B5201" s="78">
        <v>45526</v>
      </c>
      <c r="C5201" s="47" t="s">
        <v>39</v>
      </c>
      <c r="D5201" s="49" t="s">
        <v>253</v>
      </c>
      <c r="E5201" s="47">
        <v>131023</v>
      </c>
      <c r="G5201" s="50" t="s">
        <v>89</v>
      </c>
      <c r="H5201" s="51">
        <v>89.45</v>
      </c>
      <c r="J5201" s="51">
        <v>6.09</v>
      </c>
      <c r="K5201" s="74">
        <f>Tabela6[[#This Row],[CONSUMO]]*Tabela6[[#This Row],[VALOR UNIT]]-Tabela6[[#This Row],[DESCONTO]]</f>
        <v>544.75049999999999</v>
      </c>
      <c r="L5201" s="53">
        <f>Tabela6[[#This Row],[CUSTO TOTAL]]/Tabela6[[#This Row],[CONSUMO]]</f>
        <v>6.09</v>
      </c>
      <c r="M5201" s="53" t="e">
        <f t="array" ref="M5201">SE</f>
        <v>#NAME?</v>
      </c>
      <c r="N5201" s="49" t="e">
        <f>Tabela6[[#This Row],[KM Rodados ]]/Tabela6[[#This Row],[CONSUMO]]</f>
        <v>#NAME?</v>
      </c>
    </row>
    <row r="5202" spans="1:14" x14ac:dyDescent="0.25">
      <c r="A5202" s="117">
        <v>259055</v>
      </c>
      <c r="B5202" s="78">
        <v>45526</v>
      </c>
      <c r="C5202" s="47" t="s">
        <v>73</v>
      </c>
      <c r="D5202" s="49" t="s">
        <v>411</v>
      </c>
      <c r="E5202" s="117">
        <v>221679</v>
      </c>
      <c r="G5202" s="50" t="s">
        <v>89</v>
      </c>
      <c r="H5202" s="51">
        <v>252</v>
      </c>
      <c r="J5202" s="51">
        <v>5.79</v>
      </c>
      <c r="K5202" s="74">
        <f>Tabela6[[#This Row],[CONSUMO]]*Tabela6[[#This Row],[VALOR UNIT]]-Tabela6[[#This Row],[DESCONTO]]</f>
        <v>1459.08</v>
      </c>
      <c r="L5202" s="53">
        <f>Tabela6[[#This Row],[CUSTO TOTAL]]/Tabela6[[#This Row],[CONSUMO]]</f>
        <v>5.79</v>
      </c>
      <c r="M5202" s="53" t="e">
        <f t="array" ref="M5202">SE</f>
        <v>#NAME?</v>
      </c>
      <c r="N5202" s="118" t="e">
        <f>Tabela6[[#This Row],[KM Rodados ]]/Tabela6[[#This Row],[CONSUMO]]</f>
        <v>#NAME?</v>
      </c>
    </row>
    <row r="5203" spans="1:14" x14ac:dyDescent="0.25">
      <c r="A5203" s="47">
        <v>259056</v>
      </c>
      <c r="B5203" s="78">
        <v>45526</v>
      </c>
      <c r="C5203" s="47" t="s">
        <v>73</v>
      </c>
      <c r="D5203" s="49" t="s">
        <v>411</v>
      </c>
      <c r="E5203" s="47">
        <v>221679</v>
      </c>
      <c r="G5203" s="50" t="s">
        <v>241</v>
      </c>
      <c r="H5203" s="51">
        <v>25.048999999999999</v>
      </c>
      <c r="J5203" s="51">
        <v>3.25</v>
      </c>
      <c r="K5203" s="74">
        <f>Tabela6[[#This Row],[CONSUMO]]*Tabela6[[#This Row],[VALOR UNIT]]-Tabela6[[#This Row],[DESCONTO]]</f>
        <v>81.40925</v>
      </c>
      <c r="L5203" s="53">
        <f>Tabela6[[#This Row],[CUSTO TOTAL]]/Tabela6[[#This Row],[CONSUMO]]</f>
        <v>3.25</v>
      </c>
      <c r="M5203" s="53" t="e">
        <f t="array" ref="M5203">SE</f>
        <v>#NAME?</v>
      </c>
      <c r="N5203" s="49" t="e">
        <f>Tabela6[[#This Row],[KM Rodados ]]/Tabela6[[#This Row],[CONSUMO]]</f>
        <v>#NAME?</v>
      </c>
    </row>
    <row r="5204" spans="1:14" x14ac:dyDescent="0.25">
      <c r="A5204" s="47">
        <v>308688</v>
      </c>
      <c r="B5204" s="78">
        <v>45526</v>
      </c>
      <c r="C5204" s="47" t="s">
        <v>12</v>
      </c>
      <c r="D5204" s="49" t="s">
        <v>253</v>
      </c>
      <c r="E5204" s="47">
        <v>344825</v>
      </c>
      <c r="G5204" s="50" t="s">
        <v>89</v>
      </c>
      <c r="H5204" s="51">
        <v>107.72</v>
      </c>
      <c r="J5204" s="51">
        <v>6.09</v>
      </c>
      <c r="K5204" s="74">
        <f>Tabela6[[#This Row],[CONSUMO]]*Tabela6[[#This Row],[VALOR UNIT]]-Tabela6[[#This Row],[DESCONTO]]</f>
        <v>656.01479999999992</v>
      </c>
      <c r="L5204" s="53">
        <f>Tabela6[[#This Row],[CUSTO TOTAL]]/Tabela6[[#This Row],[CONSUMO]]</f>
        <v>6.089999999999999</v>
      </c>
      <c r="M5204" s="53" t="e">
        <f t="array" ref="M5204">SE</f>
        <v>#NAME?</v>
      </c>
      <c r="N5204" s="49" t="e">
        <f>Tabela6[[#This Row],[KM Rodados ]]/Tabela6[[#This Row],[CONSUMO]]</f>
        <v>#NAME?</v>
      </c>
    </row>
    <row r="5205" spans="1:14" x14ac:dyDescent="0.25">
      <c r="A5205" s="47">
        <v>272369</v>
      </c>
      <c r="B5205" s="78">
        <v>45527</v>
      </c>
      <c r="C5205" s="47" t="s">
        <v>67</v>
      </c>
      <c r="D5205" s="49" t="s">
        <v>300</v>
      </c>
      <c r="E5205" s="47">
        <v>732488</v>
      </c>
      <c r="G5205" s="50" t="s">
        <v>89</v>
      </c>
      <c r="H5205" s="51">
        <v>140.161</v>
      </c>
      <c r="J5205" s="83">
        <v>5.79</v>
      </c>
      <c r="K5205" s="74">
        <f>Tabela6[[#This Row],[CONSUMO]]*Tabela6[[#This Row],[VALOR UNIT]]-Tabela6[[#This Row],[DESCONTO]]</f>
        <v>811.53219000000001</v>
      </c>
      <c r="L5205" s="53">
        <f>Tabela6[[#This Row],[CUSTO TOTAL]]/Tabela6[[#This Row],[CONSUMO]]</f>
        <v>5.79</v>
      </c>
      <c r="M5205" s="53" t="e">
        <f t="array" ref="M5205">SE</f>
        <v>#NAME?</v>
      </c>
      <c r="N5205" s="49" t="e">
        <f>Tabela6[[#This Row],[KM Rodados ]]/Tabela6[[#This Row],[CONSUMO]]</f>
        <v>#NAME?</v>
      </c>
    </row>
    <row r="5206" spans="1:14" x14ac:dyDescent="0.25">
      <c r="A5206" s="47">
        <v>287291</v>
      </c>
      <c r="B5206" s="78">
        <v>45527</v>
      </c>
      <c r="C5206" s="47" t="s">
        <v>206</v>
      </c>
      <c r="D5206" s="49" t="s">
        <v>262</v>
      </c>
      <c r="E5206" s="47">
        <v>1023930</v>
      </c>
      <c r="G5206" s="50" t="s">
        <v>241</v>
      </c>
      <c r="H5206" s="51">
        <v>23.704000000000001</v>
      </c>
      <c r="I5206" s="49">
        <v>8.5399999999999991</v>
      </c>
      <c r="J5206" s="51">
        <v>3.69</v>
      </c>
      <c r="K5206" s="74">
        <f>Tabela6[[#This Row],[CONSUMO]]*Tabela6[[#This Row],[VALOR UNIT]]-Tabela6[[#This Row],[DESCONTO]]</f>
        <v>78.927760000000006</v>
      </c>
      <c r="L5206" s="53">
        <f>Tabela6[[#This Row],[CUSTO TOTAL]]/Tabela6[[#This Row],[CONSUMO]]</f>
        <v>3.3297232534593317</v>
      </c>
      <c r="M5206" s="53" t="e">
        <f t="array" ref="M5206">SE</f>
        <v>#NAME?</v>
      </c>
      <c r="N5206" s="49" t="e">
        <f>Tabela6[[#This Row],[KM Rodados ]]/Tabela6[[#This Row],[CONSUMO]]</f>
        <v>#NAME?</v>
      </c>
    </row>
    <row r="5207" spans="1:14" x14ac:dyDescent="0.25">
      <c r="A5207" s="47">
        <v>830218</v>
      </c>
      <c r="B5207" s="78">
        <v>45527</v>
      </c>
      <c r="C5207" s="47" t="s">
        <v>13</v>
      </c>
      <c r="D5207" s="49" t="s">
        <v>271</v>
      </c>
      <c r="E5207" s="47">
        <v>703608</v>
      </c>
      <c r="G5207" s="50" t="s">
        <v>241</v>
      </c>
      <c r="H5207" s="51">
        <v>23.260999999999999</v>
      </c>
      <c r="J5207" s="83">
        <v>2.99</v>
      </c>
      <c r="K5207" s="74">
        <f>Tabela6[[#This Row],[CONSUMO]]*Tabela6[[#This Row],[VALOR UNIT]]-Tabela6[[#This Row],[DESCONTO]]</f>
        <v>69.550390000000007</v>
      </c>
      <c r="L5207" s="53">
        <f>Tabela6[[#This Row],[CUSTO TOTAL]]/Tabela6[[#This Row],[CONSUMO]]</f>
        <v>2.99</v>
      </c>
      <c r="M5207" s="53" t="e">
        <f t="array" ref="M5207">SE</f>
        <v>#NAME?</v>
      </c>
      <c r="N5207" s="49" t="e">
        <f>Tabela6[[#This Row],[KM Rodados ]]/Tabela6[[#This Row],[CONSUMO]]</f>
        <v>#NAME?</v>
      </c>
    </row>
    <row r="5208" spans="1:14" x14ac:dyDescent="0.25">
      <c r="A5208" s="47">
        <v>308890</v>
      </c>
      <c r="B5208" s="78">
        <v>45527</v>
      </c>
      <c r="C5208" s="47" t="s">
        <v>14</v>
      </c>
      <c r="D5208" s="49" t="s">
        <v>262</v>
      </c>
      <c r="E5208" s="47">
        <v>342201</v>
      </c>
      <c r="G5208" s="50" t="s">
        <v>244</v>
      </c>
      <c r="H5208" s="51">
        <v>37.311</v>
      </c>
      <c r="J5208" s="51">
        <v>5.99</v>
      </c>
      <c r="K5208" s="74">
        <f>Tabela6[[#This Row],[CONSUMO]]*Tabela6[[#This Row],[VALOR UNIT]]-Tabela6[[#This Row],[DESCONTO]]</f>
        <v>223.49289000000002</v>
      </c>
      <c r="L5208" s="53">
        <f>Tabela6[[#This Row],[CUSTO TOTAL]]/Tabela6[[#This Row],[CONSUMO]]</f>
        <v>5.99</v>
      </c>
      <c r="M5208" s="53" t="e">
        <f t="array" ref="M5208">SE</f>
        <v>#NAME?</v>
      </c>
      <c r="N5208" s="49" t="e">
        <f>Tabela6[[#This Row],[KM Rodados ]]/Tabela6[[#This Row],[CONSUMO]]</f>
        <v>#NAME?</v>
      </c>
    </row>
    <row r="5209" spans="1:14" x14ac:dyDescent="0.25">
      <c r="A5209" s="47">
        <v>40165</v>
      </c>
      <c r="B5209" s="78">
        <v>45527</v>
      </c>
      <c r="C5209" s="47" t="s">
        <v>18</v>
      </c>
      <c r="D5209" s="49" t="s">
        <v>255</v>
      </c>
      <c r="E5209" s="47">
        <v>372166</v>
      </c>
      <c r="G5209" s="50" t="s">
        <v>89</v>
      </c>
      <c r="H5209" s="51">
        <v>82.15</v>
      </c>
      <c r="J5209" s="51">
        <v>6.09</v>
      </c>
      <c r="K5209" s="74">
        <f>Tabela6[[#This Row],[CONSUMO]]*Tabela6[[#This Row],[VALOR UNIT]]-Tabela6[[#This Row],[DESCONTO]]</f>
        <v>500.29349999999999</v>
      </c>
      <c r="L5209" s="53">
        <f>Tabela6[[#This Row],[CUSTO TOTAL]]/Tabela6[[#This Row],[CONSUMO]]</f>
        <v>6.09</v>
      </c>
      <c r="M5209" s="53" t="e">
        <f t="array" ref="M5209">SE</f>
        <v>#NAME?</v>
      </c>
      <c r="N5209" s="49" t="e">
        <f>Tabela6[[#This Row],[KM Rodados ]]/Tabela6[[#This Row],[CONSUMO]]</f>
        <v>#NAME?</v>
      </c>
    </row>
    <row r="5210" spans="1:14" x14ac:dyDescent="0.25">
      <c r="A5210" s="47">
        <v>287365</v>
      </c>
      <c r="B5210" s="78">
        <v>45527</v>
      </c>
      <c r="C5210" s="47" t="s">
        <v>40</v>
      </c>
      <c r="D5210" s="49" t="s">
        <v>262</v>
      </c>
      <c r="E5210" s="47">
        <v>317943</v>
      </c>
      <c r="G5210" s="50" t="s">
        <v>244</v>
      </c>
      <c r="H5210" s="51">
        <v>37.14</v>
      </c>
      <c r="J5210" s="74">
        <v>5.99</v>
      </c>
      <c r="K5210" s="74">
        <f>Tabela6[[#This Row],[CONSUMO]]*Tabela6[[#This Row],[VALOR UNIT]]-Tabela6[[#This Row],[DESCONTO]]</f>
        <v>222.46860000000001</v>
      </c>
      <c r="L5210" s="53">
        <f>Tabela6[[#This Row],[CUSTO TOTAL]]/Tabela6[[#This Row],[CONSUMO]]</f>
        <v>5.99</v>
      </c>
      <c r="M5210" s="53" t="e">
        <f t="array" ref="M5210">SE</f>
        <v>#NAME?</v>
      </c>
      <c r="N5210" s="49" t="e">
        <f>Tabela6[[#This Row],[KM Rodados ]]/Tabela6[[#This Row],[CONSUMO]]</f>
        <v>#NAME?</v>
      </c>
    </row>
    <row r="5211" spans="1:14" x14ac:dyDescent="0.25">
      <c r="A5211" s="47" t="s">
        <v>539</v>
      </c>
      <c r="B5211" s="78">
        <v>45528</v>
      </c>
      <c r="C5211" s="47" t="s">
        <v>301</v>
      </c>
      <c r="D5211" s="49" t="s">
        <v>329</v>
      </c>
      <c r="E5211" s="47">
        <v>1153422</v>
      </c>
      <c r="G5211" s="50" t="s">
        <v>89</v>
      </c>
      <c r="H5211" s="51">
        <v>526.08100000000002</v>
      </c>
      <c r="J5211" s="83">
        <v>5.69</v>
      </c>
      <c r="K5211" s="74">
        <f>Tabela6[[#This Row],[CONSUMO]]*Tabela6[[#This Row],[VALOR UNIT]]-Tabela6[[#This Row],[DESCONTO]]</f>
        <v>2993.4008900000003</v>
      </c>
      <c r="L5211" s="53">
        <f>Tabela6[[#This Row],[CUSTO TOTAL]]/Tabela6[[#This Row],[CONSUMO]]</f>
        <v>5.69</v>
      </c>
      <c r="M5211" s="53" t="e">
        <f t="array" ref="M5211">SE</f>
        <v>#NAME?</v>
      </c>
      <c r="N5211" s="49" t="e">
        <f>Tabela6[[#This Row],[KM Rodados ]]/Tabela6[[#This Row],[CONSUMO]]</f>
        <v>#NAME?</v>
      </c>
    </row>
    <row r="5212" spans="1:14" x14ac:dyDescent="0.25">
      <c r="A5212" s="47" t="s">
        <v>541</v>
      </c>
      <c r="B5212" s="78">
        <v>45529</v>
      </c>
      <c r="C5212" s="47" t="s">
        <v>70</v>
      </c>
      <c r="D5212" s="49" t="s">
        <v>343</v>
      </c>
      <c r="E5212" s="47">
        <v>303217</v>
      </c>
      <c r="G5212" s="50" t="s">
        <v>89</v>
      </c>
      <c r="H5212" s="51">
        <v>583.01099999999997</v>
      </c>
      <c r="J5212" s="51">
        <v>5.69</v>
      </c>
      <c r="K5212" s="74">
        <f>Tabela6[[#This Row],[CONSUMO]]*Tabela6[[#This Row],[VALOR UNIT]]-Tabela6[[#This Row],[DESCONTO]]</f>
        <v>3317.33259</v>
      </c>
      <c r="L5212" s="53">
        <f>Tabela6[[#This Row],[CUSTO TOTAL]]/Tabela6[[#This Row],[CONSUMO]]</f>
        <v>5.69</v>
      </c>
      <c r="M5212" s="53" t="e">
        <f t="array" ref="M5212">SE</f>
        <v>#NAME?</v>
      </c>
      <c r="N5212" s="49" t="e">
        <f>Tabela6[[#This Row],[KM Rodados ]]/Tabela6[[#This Row],[CONSUMO]]</f>
        <v>#NAME?</v>
      </c>
    </row>
    <row r="5213" spans="1:14" x14ac:dyDescent="0.25">
      <c r="A5213" s="47">
        <v>467169</v>
      </c>
      <c r="B5213" s="78">
        <v>45529</v>
      </c>
      <c r="C5213" s="47" t="s">
        <v>70</v>
      </c>
      <c r="D5213" s="49" t="s">
        <v>343</v>
      </c>
      <c r="E5213" s="47">
        <v>303217</v>
      </c>
      <c r="G5213" s="50" t="s">
        <v>241</v>
      </c>
      <c r="H5213" s="51">
        <v>49.51</v>
      </c>
      <c r="J5213" s="51">
        <v>2.99</v>
      </c>
      <c r="K5213" s="74">
        <f>Tabela6[[#This Row],[CONSUMO]]*Tabela6[[#This Row],[VALOR UNIT]]-Tabela6[[#This Row],[DESCONTO]]</f>
        <v>148.03489999999999</v>
      </c>
      <c r="L5213" s="53">
        <f>Tabela6[[#This Row],[CUSTO TOTAL]]/Tabela6[[#This Row],[CONSUMO]]</f>
        <v>2.9899999999999998</v>
      </c>
      <c r="M5213" s="53" t="e">
        <f t="array" ref="M5213">SE</f>
        <v>#NAME?</v>
      </c>
      <c r="N5213" s="49" t="e">
        <f>Tabela6[[#This Row],[KM Rodados ]]/Tabela6[[#This Row],[CONSUMO]]</f>
        <v>#NAME?</v>
      </c>
    </row>
    <row r="5214" spans="1:14" x14ac:dyDescent="0.25">
      <c r="A5214" s="47" t="s">
        <v>538</v>
      </c>
      <c r="B5214" s="78">
        <v>45529</v>
      </c>
      <c r="C5214" s="47" t="s">
        <v>301</v>
      </c>
      <c r="D5214" s="49" t="s">
        <v>347</v>
      </c>
      <c r="E5214" s="47">
        <v>115399</v>
      </c>
      <c r="G5214" s="50" t="s">
        <v>89</v>
      </c>
      <c r="H5214" s="51">
        <v>468.24099999999999</v>
      </c>
      <c r="J5214" s="51">
        <v>5.79</v>
      </c>
      <c r="K5214" s="74">
        <f>Tabela6[[#This Row],[CONSUMO]]*Tabela6[[#This Row],[VALOR UNIT]]-Tabela6[[#This Row],[DESCONTO]]</f>
        <v>2711.1153899999999</v>
      </c>
      <c r="L5214" s="53">
        <f>Tabela6[[#This Row],[CUSTO TOTAL]]/Tabela6[[#This Row],[CONSUMO]]</f>
        <v>5.79</v>
      </c>
      <c r="M5214" s="53" t="e">
        <f t="array" ref="M5214">SE</f>
        <v>#NAME?</v>
      </c>
      <c r="N5214" s="49" t="e">
        <f>Tabela6[[#This Row],[KM Rodados ]]/Tabela6[[#This Row],[CONSUMO]]</f>
        <v>#NAME?</v>
      </c>
    </row>
    <row r="5215" spans="1:14" x14ac:dyDescent="0.25">
      <c r="A5215" s="47">
        <v>2890829</v>
      </c>
      <c r="B5215" s="78">
        <v>45529</v>
      </c>
      <c r="C5215" s="47" t="s">
        <v>206</v>
      </c>
      <c r="D5215" s="49" t="s">
        <v>252</v>
      </c>
      <c r="E5215" s="47">
        <v>1025270</v>
      </c>
      <c r="G5215" s="50" t="s">
        <v>89</v>
      </c>
      <c r="H5215" s="51">
        <v>380.5</v>
      </c>
      <c r="J5215" s="51">
        <v>5.83</v>
      </c>
      <c r="K5215" s="74">
        <f>Tabela6[[#This Row],[CONSUMO]]*Tabela6[[#This Row],[VALOR UNIT]]-Tabela6[[#This Row],[DESCONTO]]</f>
        <v>2218.3150000000001</v>
      </c>
      <c r="L5215" s="53">
        <f>Tabela6[[#This Row],[CUSTO TOTAL]]/Tabela6[[#This Row],[CONSUMO]]</f>
        <v>5.83</v>
      </c>
      <c r="M5215" s="53" t="e">
        <f t="array" ref="M5215">SE</f>
        <v>#NAME?</v>
      </c>
      <c r="N5215" s="49" t="e">
        <f>Tabela6[[#This Row],[KM Rodados ]]/Tabela6[[#This Row],[CONSUMO]]</f>
        <v>#NAME?</v>
      </c>
    </row>
    <row r="5216" spans="1:14" x14ac:dyDescent="0.25">
      <c r="A5216" s="47">
        <v>287919</v>
      </c>
      <c r="B5216" s="78">
        <v>45530</v>
      </c>
      <c r="C5216" s="47" t="s">
        <v>203</v>
      </c>
      <c r="D5216" s="49" t="s">
        <v>262</v>
      </c>
      <c r="E5216" s="47">
        <v>178923</v>
      </c>
      <c r="G5216" s="50" t="s">
        <v>244</v>
      </c>
      <c r="H5216" s="51">
        <v>35.420999999999999</v>
      </c>
      <c r="J5216" s="51">
        <v>5.99</v>
      </c>
      <c r="K5216" s="74">
        <f>Tabela6[[#This Row],[CONSUMO]]*Tabela6[[#This Row],[VALOR UNIT]]-Tabela6[[#This Row],[DESCONTO]]</f>
        <v>212.17179000000002</v>
      </c>
      <c r="L5216" s="53">
        <f>Tabela6[[#This Row],[CUSTO TOTAL]]/Tabela6[[#This Row],[CONSUMO]]</f>
        <v>5.99</v>
      </c>
      <c r="M5216" s="53" t="e">
        <f t="array" ref="M5216">SE</f>
        <v>#NAME?</v>
      </c>
      <c r="N5216" s="49" t="e">
        <f>Tabela6[[#This Row],[KM Rodados ]]/Tabela6[[#This Row],[CONSUMO]]</f>
        <v>#NAME?</v>
      </c>
    </row>
    <row r="5217" spans="1:14" x14ac:dyDescent="0.25">
      <c r="A5217" s="47">
        <v>643485</v>
      </c>
      <c r="B5217" s="78">
        <v>45530</v>
      </c>
      <c r="C5217" s="47" t="s">
        <v>10</v>
      </c>
      <c r="D5217" s="49" t="s">
        <v>259</v>
      </c>
      <c r="E5217" s="47">
        <v>780772</v>
      </c>
      <c r="G5217" s="50" t="s">
        <v>89</v>
      </c>
      <c r="H5217" s="51">
        <v>143.4</v>
      </c>
      <c r="J5217" s="51">
        <v>5.75</v>
      </c>
      <c r="K5217" s="74">
        <f>Tabela6[[#This Row],[CONSUMO]]*Tabela6[[#This Row],[VALOR UNIT]]-Tabela6[[#This Row],[DESCONTO]]</f>
        <v>824.55000000000007</v>
      </c>
      <c r="L5217" s="53">
        <f>Tabela6[[#This Row],[CUSTO TOTAL]]/Tabela6[[#This Row],[CONSUMO]]</f>
        <v>5.75</v>
      </c>
      <c r="M5217" s="53" t="e">
        <f t="array" ref="M5217">SE</f>
        <v>#NAME?</v>
      </c>
      <c r="N5217" s="49" t="e">
        <f>Tabela6[[#This Row],[KM Rodados ]]/Tabela6[[#This Row],[CONSUMO]]</f>
        <v>#NAME?</v>
      </c>
    </row>
    <row r="5218" spans="1:14" x14ac:dyDescent="0.25">
      <c r="A5218" s="47" t="s">
        <v>548</v>
      </c>
      <c r="B5218" s="78">
        <v>45530</v>
      </c>
      <c r="C5218" s="47" t="s">
        <v>301</v>
      </c>
      <c r="D5218" s="49" t="s">
        <v>343</v>
      </c>
      <c r="E5218" s="47">
        <v>115426</v>
      </c>
      <c r="G5218" s="50" t="s">
        <v>89</v>
      </c>
      <c r="H5218" s="51">
        <v>560</v>
      </c>
      <c r="J5218" s="51">
        <v>5.69</v>
      </c>
      <c r="K5218" s="74">
        <f>Tabela6[[#This Row],[CONSUMO]]*Tabela6[[#This Row],[VALOR UNIT]]-Tabela6[[#This Row],[DESCONTO]]</f>
        <v>3186.4</v>
      </c>
      <c r="L5218" s="53">
        <f>Tabela6[[#This Row],[CUSTO TOTAL]]/Tabela6[[#This Row],[CONSUMO]]</f>
        <v>5.69</v>
      </c>
      <c r="M5218" s="53" t="e">
        <f t="array" ref="M5218">SE</f>
        <v>#NAME?</v>
      </c>
      <c r="N5218" s="49" t="e">
        <f>Tabela6[[#This Row],[KM Rodados ]]/Tabela6[[#This Row],[CONSUMO]]</f>
        <v>#NAME?</v>
      </c>
    </row>
    <row r="5219" spans="1:14" x14ac:dyDescent="0.25">
      <c r="A5219" s="47">
        <v>429146</v>
      </c>
      <c r="B5219" s="78">
        <v>45530</v>
      </c>
      <c r="C5219" s="47" t="s">
        <v>315</v>
      </c>
      <c r="D5219" s="49" t="s">
        <v>276</v>
      </c>
      <c r="E5219" s="47">
        <v>43672</v>
      </c>
      <c r="G5219" s="50" t="s">
        <v>89</v>
      </c>
      <c r="H5219" s="51">
        <v>60.1</v>
      </c>
      <c r="J5219" s="51">
        <v>6.19</v>
      </c>
      <c r="K5219" s="74">
        <f>Tabela6[[#This Row],[CONSUMO]]*Tabela6[[#This Row],[VALOR UNIT]]-Tabela6[[#This Row],[DESCONTO]]</f>
        <v>372.01900000000001</v>
      </c>
      <c r="L5219" s="53">
        <f>Tabela6[[#This Row],[CUSTO TOTAL]]/Tabela6[[#This Row],[CONSUMO]]</f>
        <v>6.1899999999999995</v>
      </c>
      <c r="M5219" s="53" t="e">
        <f t="array" ref="M5219">SE</f>
        <v>#NAME?</v>
      </c>
      <c r="N5219" s="49" t="e">
        <f>Tabela6[[#This Row],[KM Rodados ]]/Tabela6[[#This Row],[CONSUMO]]</f>
        <v>#NAME?</v>
      </c>
    </row>
    <row r="5220" spans="1:14" x14ac:dyDescent="0.25">
      <c r="A5220" s="47">
        <v>287947</v>
      </c>
      <c r="B5220" s="78">
        <v>45530</v>
      </c>
      <c r="C5220" s="47" t="s">
        <v>354</v>
      </c>
      <c r="D5220" s="49" t="s">
        <v>262</v>
      </c>
      <c r="E5220" s="47">
        <v>53628</v>
      </c>
      <c r="G5220" s="50" t="s">
        <v>241</v>
      </c>
      <c r="H5220" s="51">
        <v>20.018000000000001</v>
      </c>
      <c r="I5220" s="49">
        <v>7.21</v>
      </c>
      <c r="J5220" s="51">
        <v>3.69</v>
      </c>
      <c r="K5220" s="74">
        <f>Tabela6[[#This Row],[CONSUMO]]*Tabela6[[#This Row],[VALOR UNIT]]-Tabela6[[#This Row],[DESCONTO]]</f>
        <v>66.656420000000011</v>
      </c>
      <c r="L5220" s="53">
        <f>Tabela6[[#This Row],[CUSTO TOTAL]]/Tabela6[[#This Row],[CONSUMO]]</f>
        <v>3.3298241582575687</v>
      </c>
      <c r="M5220" s="53" t="e">
        <f t="array" ref="M5220">SE</f>
        <v>#NAME?</v>
      </c>
      <c r="N5220" s="49" t="e">
        <f>Tabela6[[#This Row],[KM Rodados ]]/Tabela6[[#This Row],[CONSUMO]]</f>
        <v>#NAME?</v>
      </c>
    </row>
    <row r="5221" spans="1:14" x14ac:dyDescent="0.25">
      <c r="A5221" s="47">
        <v>3080811</v>
      </c>
      <c r="B5221" s="78">
        <v>45531</v>
      </c>
      <c r="C5221" s="47" t="s">
        <v>68</v>
      </c>
      <c r="D5221" s="49" t="s">
        <v>549</v>
      </c>
      <c r="E5221" s="47">
        <v>1002157</v>
      </c>
      <c r="G5221" s="50" t="s">
        <v>89</v>
      </c>
      <c r="H5221" s="51">
        <v>208</v>
      </c>
      <c r="J5221" s="51">
        <v>5.78</v>
      </c>
      <c r="K5221" s="74">
        <f>Tabela6[[#This Row],[CONSUMO]]*Tabela6[[#This Row],[VALOR UNIT]]-Tabela6[[#This Row],[DESCONTO]]</f>
        <v>1202.24</v>
      </c>
      <c r="L5221" s="53">
        <f>Tabela6[[#This Row],[CUSTO TOTAL]]/Tabela6[[#This Row],[CONSUMO]]</f>
        <v>5.78</v>
      </c>
      <c r="M5221" s="53" t="e">
        <f t="array" ref="M5221">SE</f>
        <v>#NAME?</v>
      </c>
      <c r="N5221" s="49" t="e">
        <f>Tabela6[[#This Row],[KM Rodados ]]/Tabela6[[#This Row],[CONSUMO]]</f>
        <v>#NAME?</v>
      </c>
    </row>
    <row r="5222" spans="1:14" x14ac:dyDescent="0.25">
      <c r="A5222" s="47">
        <v>429763</v>
      </c>
      <c r="B5222" s="78">
        <v>45531</v>
      </c>
      <c r="C5222" s="47" t="s">
        <v>67</v>
      </c>
      <c r="D5222" s="49" t="s">
        <v>262</v>
      </c>
      <c r="E5222" s="47">
        <v>733094</v>
      </c>
      <c r="G5222" s="50" t="s">
        <v>241</v>
      </c>
      <c r="H5222" s="51">
        <v>23.78</v>
      </c>
      <c r="J5222" s="51">
        <v>3.69</v>
      </c>
      <c r="K5222" s="74">
        <f>Tabela6[[#This Row],[CONSUMO]]*Tabela6[[#This Row],[VALOR UNIT]]-Tabela6[[#This Row],[DESCONTO]]</f>
        <v>87.748199999999997</v>
      </c>
      <c r="L5222" s="53">
        <f>Tabela6[[#This Row],[CUSTO TOTAL]]/Tabela6[[#This Row],[CONSUMO]]</f>
        <v>3.6899999999999995</v>
      </c>
      <c r="M5222" s="53" t="e">
        <f t="array" ref="M5222">SE</f>
        <v>#NAME?</v>
      </c>
      <c r="N5222" s="49" t="e">
        <f>Tabela6[[#This Row],[KM Rodados ]]/Tabela6[[#This Row],[CONSUMO]]</f>
        <v>#NAME?</v>
      </c>
    </row>
    <row r="5223" spans="1:14" x14ac:dyDescent="0.25">
      <c r="A5223" s="47">
        <v>274671</v>
      </c>
      <c r="B5223" s="78">
        <v>45531</v>
      </c>
      <c r="C5223" s="47" t="s">
        <v>67</v>
      </c>
      <c r="D5223" s="49" t="s">
        <v>300</v>
      </c>
      <c r="E5223" s="47">
        <v>733025</v>
      </c>
      <c r="G5223" s="50" t="s">
        <v>89</v>
      </c>
      <c r="H5223" s="51">
        <v>138.22</v>
      </c>
      <c r="J5223" s="51">
        <v>5.79</v>
      </c>
      <c r="K5223" s="74">
        <f>Tabela6[[#This Row],[CONSUMO]]*Tabela6[[#This Row],[VALOR UNIT]]-Tabela6[[#This Row],[DESCONTO]]</f>
        <v>800.29380000000003</v>
      </c>
      <c r="L5223" s="53">
        <f>Tabela6[[#This Row],[CUSTO TOTAL]]/Tabela6[[#This Row],[CONSUMO]]</f>
        <v>5.79</v>
      </c>
      <c r="M5223" s="53" t="e">
        <f t="array" ref="M5223">SE</f>
        <v>#NAME?</v>
      </c>
      <c r="N5223" s="49" t="e">
        <f>Tabela6[[#This Row],[KM Rodados ]]/Tabela6[[#This Row],[CONSUMO]]</f>
        <v>#NAME?</v>
      </c>
    </row>
    <row r="5224" spans="1:14" x14ac:dyDescent="0.25">
      <c r="A5224" s="47">
        <v>429720</v>
      </c>
      <c r="B5224" s="78">
        <v>45531</v>
      </c>
      <c r="C5224" s="47" t="s">
        <v>73</v>
      </c>
      <c r="D5224" s="49" t="s">
        <v>262</v>
      </c>
      <c r="E5224" s="47">
        <v>223505</v>
      </c>
      <c r="G5224" s="50" t="s">
        <v>89</v>
      </c>
      <c r="H5224" s="51">
        <v>236.38900000000001</v>
      </c>
      <c r="J5224" s="51">
        <v>6.19</v>
      </c>
      <c r="K5224" s="74">
        <f>Tabela6[[#This Row],[CONSUMO]]*Tabela6[[#This Row],[VALOR UNIT]]-Tabela6[[#This Row],[DESCONTO]]</f>
        <v>1463.24791</v>
      </c>
      <c r="L5224" s="53">
        <f>Tabela6[[#This Row],[CUSTO TOTAL]]/Tabela6[[#This Row],[CONSUMO]]</f>
        <v>6.1899999999999995</v>
      </c>
      <c r="M5224" s="53" t="e">
        <f t="array" ref="M5224">SE</f>
        <v>#NAME?</v>
      </c>
      <c r="N5224" s="49" t="e">
        <f>Tabela6[[#This Row],[KM Rodados ]]/Tabela6[[#This Row],[CONSUMO]]</f>
        <v>#NAME?</v>
      </c>
    </row>
    <row r="5225" spans="1:14" x14ac:dyDescent="0.25">
      <c r="A5225" s="47">
        <v>429720</v>
      </c>
      <c r="B5225" s="78">
        <v>45531</v>
      </c>
      <c r="C5225" s="47" t="s">
        <v>73</v>
      </c>
      <c r="D5225" s="49" t="s">
        <v>262</v>
      </c>
      <c r="E5225" s="47">
        <v>223505</v>
      </c>
      <c r="G5225" s="50" t="s">
        <v>241</v>
      </c>
      <c r="H5225" s="51">
        <v>25.579000000000001</v>
      </c>
      <c r="J5225" s="51">
        <v>3.69</v>
      </c>
      <c r="K5225" s="74">
        <f>Tabela6[[#This Row],[CONSUMO]]*Tabela6[[#This Row],[VALOR UNIT]]-Tabela6[[#This Row],[DESCONTO]]</f>
        <v>94.386510000000001</v>
      </c>
      <c r="L5225" s="53">
        <f>Tabela6[[#This Row],[CUSTO TOTAL]]/Tabela6[[#This Row],[CONSUMO]]</f>
        <v>3.69</v>
      </c>
      <c r="M5225" s="53" t="e">
        <f t="array" ref="M5225">SE</f>
        <v>#NAME?</v>
      </c>
      <c r="N5225" s="49" t="e">
        <f>Tabela6[[#This Row],[KM Rodados ]]/Tabela6[[#This Row],[CONSUMO]]</f>
        <v>#NAME?</v>
      </c>
    </row>
    <row r="5226" spans="1:14" x14ac:dyDescent="0.25">
      <c r="A5226" s="47">
        <v>288132</v>
      </c>
      <c r="B5226" s="78">
        <v>45531</v>
      </c>
      <c r="C5226" s="47" t="s">
        <v>20</v>
      </c>
      <c r="D5226" s="49" t="s">
        <v>262</v>
      </c>
      <c r="E5226" s="47">
        <v>327201</v>
      </c>
      <c r="G5226" s="50" t="s">
        <v>89</v>
      </c>
      <c r="H5226" s="51">
        <v>73.290999999999997</v>
      </c>
      <c r="J5226" s="51">
        <v>6.09</v>
      </c>
      <c r="K5226" s="74">
        <f>Tabela6[[#This Row],[CONSUMO]]*Tabela6[[#This Row],[VALOR UNIT]]-Tabela6[[#This Row],[DESCONTO]]</f>
        <v>446.34218999999996</v>
      </c>
      <c r="L5226" s="53">
        <f>Tabela6[[#This Row],[CUSTO TOTAL]]/Tabela6[[#This Row],[CONSUMO]]</f>
        <v>6.09</v>
      </c>
      <c r="M5226" s="53" t="e">
        <f t="array" ref="M5226">SE</f>
        <v>#NAME?</v>
      </c>
      <c r="N5226" s="49" t="e">
        <f>Tabela6[[#This Row],[KM Rodados ]]/Tabela6[[#This Row],[CONSUMO]]</f>
        <v>#NAME?</v>
      </c>
    </row>
    <row r="5227" spans="1:14" x14ac:dyDescent="0.25">
      <c r="A5227" s="47">
        <v>41314</v>
      </c>
      <c r="B5227" s="78">
        <v>45531</v>
      </c>
      <c r="C5227" s="47" t="s">
        <v>38</v>
      </c>
      <c r="D5227" s="49" t="s">
        <v>255</v>
      </c>
      <c r="E5227" s="47">
        <v>152700</v>
      </c>
      <c r="G5227" s="50" t="s">
        <v>244</v>
      </c>
      <c r="H5227" s="51">
        <v>46.51</v>
      </c>
      <c r="J5227" s="51">
        <v>6.26</v>
      </c>
      <c r="K5227" s="74">
        <f>Tabela6[[#This Row],[CONSUMO]]*Tabela6[[#This Row],[VALOR UNIT]]-Tabela6[[#This Row],[DESCONTO]]</f>
        <v>291.15259999999995</v>
      </c>
      <c r="L5227" s="53">
        <f>Tabela6[[#This Row],[CUSTO TOTAL]]/Tabela6[[#This Row],[CONSUMO]]</f>
        <v>6.2599999999999989</v>
      </c>
      <c r="M5227" s="53" t="e">
        <f t="array" ref="M5227">SE</f>
        <v>#NAME?</v>
      </c>
      <c r="N5227" s="49" t="e">
        <f>Tabela6[[#This Row],[KM Rodados ]]/Tabela6[[#This Row],[CONSUMO]]</f>
        <v>#NAME?</v>
      </c>
    </row>
    <row r="5228" spans="1:14" x14ac:dyDescent="0.25">
      <c r="A5228" s="47">
        <v>288131</v>
      </c>
      <c r="B5228" s="78">
        <v>45531</v>
      </c>
      <c r="C5228" s="47" t="s">
        <v>426</v>
      </c>
      <c r="D5228" s="49" t="s">
        <v>262</v>
      </c>
      <c r="E5228" s="47">
        <v>24799</v>
      </c>
      <c r="G5228" s="50" t="s">
        <v>241</v>
      </c>
      <c r="H5228" s="51">
        <v>1</v>
      </c>
      <c r="I5228" s="49">
        <v>0.36</v>
      </c>
      <c r="J5228" s="51">
        <v>3.69</v>
      </c>
      <c r="K5228" s="74">
        <f>Tabela6[[#This Row],[CONSUMO]]*Tabela6[[#This Row],[VALOR UNIT]]-Tabela6[[#This Row],[DESCONTO]]</f>
        <v>3.33</v>
      </c>
      <c r="L5228" s="53">
        <f>Tabela6[[#This Row],[CUSTO TOTAL]]/Tabela6[[#This Row],[CONSUMO]]</f>
        <v>3.33</v>
      </c>
      <c r="M5228" s="53" t="e">
        <f t="array" ref="M5228">SE</f>
        <v>#NAME?</v>
      </c>
      <c r="N5228" s="49" t="e">
        <f>Tabela6[[#This Row],[KM Rodados ]]/Tabela6[[#This Row],[CONSUMO]]</f>
        <v>#NAME?</v>
      </c>
    </row>
    <row r="5229" spans="1:14" x14ac:dyDescent="0.25">
      <c r="A5229" s="47">
        <v>182633</v>
      </c>
      <c r="B5229" s="78">
        <v>45532</v>
      </c>
      <c r="C5229" s="47" t="s">
        <v>301</v>
      </c>
      <c r="D5229" s="49" t="s">
        <v>535</v>
      </c>
      <c r="E5229" s="47">
        <v>115530</v>
      </c>
      <c r="G5229" s="50" t="s">
        <v>89</v>
      </c>
      <c r="H5229" s="51">
        <v>420.03</v>
      </c>
      <c r="J5229" s="51">
        <v>5.99</v>
      </c>
      <c r="K5229" s="74">
        <f>Tabela6[[#This Row],[CONSUMO]]*Tabela6[[#This Row],[VALOR UNIT]]-Tabela6[[#This Row],[DESCONTO]]</f>
        <v>2515.9796999999999</v>
      </c>
      <c r="L5229" s="53">
        <f>Tabela6[[#This Row],[CUSTO TOTAL]]/Tabela6[[#This Row],[CONSUMO]]</f>
        <v>5.99</v>
      </c>
      <c r="M5229" s="53" t="e">
        <f t="array" ref="M5229">SE</f>
        <v>#NAME?</v>
      </c>
      <c r="N5229" s="49" t="e">
        <f>Tabela6[[#This Row],[KM Rodados ]]/Tabela6[[#This Row],[CONSUMO]]</f>
        <v>#NAME?</v>
      </c>
    </row>
    <row r="5230" spans="1:14" x14ac:dyDescent="0.25">
      <c r="A5230" s="47">
        <v>288367</v>
      </c>
      <c r="B5230" s="78">
        <v>45532</v>
      </c>
      <c r="C5230" s="47" t="s">
        <v>14</v>
      </c>
      <c r="D5230" s="49" t="s">
        <v>262</v>
      </c>
      <c r="E5230" s="47">
        <v>342756</v>
      </c>
      <c r="G5230" s="50" t="s">
        <v>244</v>
      </c>
      <c r="H5230" s="51">
        <v>45.24</v>
      </c>
      <c r="J5230" s="51">
        <v>5.99</v>
      </c>
      <c r="K5230" s="74">
        <f>Tabela6[[#This Row],[CONSUMO]]*Tabela6[[#This Row],[VALOR UNIT]]-Tabela6[[#This Row],[DESCONTO]]</f>
        <v>270.98760000000004</v>
      </c>
      <c r="L5230" s="53">
        <f>Tabela6[[#This Row],[CUSTO TOTAL]]/Tabela6[[#This Row],[CONSUMO]]</f>
        <v>5.9900000000000011</v>
      </c>
      <c r="M5230" s="53" t="e">
        <f t="array" ref="M5230">SE</f>
        <v>#NAME?</v>
      </c>
      <c r="N5230" s="49" t="e">
        <f>Tabela6[[#This Row],[KM Rodados ]]/Tabela6[[#This Row],[CONSUMO]]</f>
        <v>#NAME?</v>
      </c>
    </row>
    <row r="5231" spans="1:14" x14ac:dyDescent="0.25">
      <c r="A5231" s="47">
        <v>288369</v>
      </c>
      <c r="B5231" s="78">
        <v>45532</v>
      </c>
      <c r="C5231" s="47" t="s">
        <v>19</v>
      </c>
      <c r="D5231" s="49" t="s">
        <v>262</v>
      </c>
      <c r="E5231" s="47">
        <v>39557</v>
      </c>
      <c r="G5231" s="50" t="s">
        <v>241</v>
      </c>
      <c r="H5231" s="51">
        <v>20.006</v>
      </c>
      <c r="I5231" s="49">
        <v>7.2</v>
      </c>
      <c r="J5231" s="51">
        <v>3.69</v>
      </c>
      <c r="K5231" s="74">
        <f>Tabela6[[#This Row],[CONSUMO]]*Tabela6[[#This Row],[VALOR UNIT]]-Tabela6[[#This Row],[DESCONTO]]</f>
        <v>66.622140000000002</v>
      </c>
      <c r="L5231" s="53">
        <f>Tabela6[[#This Row],[CUSTO TOTAL]]/Tabela6[[#This Row],[CONSUMO]]</f>
        <v>3.3301079676097172</v>
      </c>
      <c r="M5231" s="53" t="e">
        <f t="array" ref="M5231">SE</f>
        <v>#NAME?</v>
      </c>
      <c r="N5231" s="49" t="e">
        <f>Tabela6[[#This Row],[KM Rodados ]]/Tabela6[[#This Row],[CONSUMO]]</f>
        <v>#NAME?</v>
      </c>
    </row>
    <row r="5232" spans="1:14" x14ac:dyDescent="0.25">
      <c r="A5232" s="47">
        <v>41617</v>
      </c>
      <c r="B5232" s="78">
        <v>45532</v>
      </c>
      <c r="C5232" s="47" t="s">
        <v>23</v>
      </c>
      <c r="D5232" s="49" t="s">
        <v>255</v>
      </c>
      <c r="E5232" s="47">
        <v>292899</v>
      </c>
      <c r="G5232" s="50" t="s">
        <v>89</v>
      </c>
      <c r="H5232" s="51">
        <v>129.55000000000001</v>
      </c>
      <c r="J5232" s="51">
        <v>6.37</v>
      </c>
      <c r="K5232" s="74">
        <f>Tabela6[[#This Row],[CONSUMO]]*Tabela6[[#This Row],[VALOR UNIT]]-Tabela6[[#This Row],[DESCONTO]]</f>
        <v>825.23350000000005</v>
      </c>
      <c r="L5232" s="53">
        <f>Tabela6[[#This Row],[CUSTO TOTAL]]/Tabela6[[#This Row],[CONSUMO]]</f>
        <v>6.37</v>
      </c>
      <c r="M5232" s="53" t="e">
        <f t="array" ref="M5232">SE</f>
        <v>#NAME?</v>
      </c>
      <c r="N5232" s="49" t="e">
        <f>Tabela6[[#This Row],[KM Rodados ]]/Tabela6[[#This Row],[CONSUMO]]</f>
        <v>#NAME?</v>
      </c>
    </row>
    <row r="5233" spans="1:14" x14ac:dyDescent="0.25">
      <c r="A5233" s="47">
        <v>635853</v>
      </c>
      <c r="B5233" s="78">
        <v>45533</v>
      </c>
      <c r="C5233" s="47" t="s">
        <v>68</v>
      </c>
      <c r="D5233" s="49" t="s">
        <v>252</v>
      </c>
      <c r="E5233" s="47">
        <v>1033270</v>
      </c>
      <c r="G5233" s="50" t="s">
        <v>89</v>
      </c>
      <c r="H5233" s="51">
        <v>299</v>
      </c>
      <c r="J5233" s="51">
        <v>5.89</v>
      </c>
      <c r="K5233" s="74">
        <f>Tabela6[[#This Row],[CONSUMO]]*Tabela6[[#This Row],[VALOR UNIT]]-Tabela6[[#This Row],[DESCONTO]]</f>
        <v>1761.11</v>
      </c>
      <c r="L5233" s="53">
        <f>Tabela6[[#This Row],[CUSTO TOTAL]]/Tabela6[[#This Row],[CONSUMO]]</f>
        <v>5.89</v>
      </c>
      <c r="M5233" s="53" t="e">
        <f t="array" ref="M5233">SE</f>
        <v>#NAME?</v>
      </c>
      <c r="N5233" s="49" t="e">
        <f>Tabela6[[#This Row],[KM Rodados ]]/Tabela6[[#This Row],[CONSUMO]]</f>
        <v>#NAME?</v>
      </c>
    </row>
    <row r="5234" spans="1:14" x14ac:dyDescent="0.25">
      <c r="A5234" s="47">
        <v>213292</v>
      </c>
      <c r="B5234" s="78">
        <v>45533</v>
      </c>
      <c r="C5234" s="47" t="s">
        <v>43</v>
      </c>
      <c r="D5234" s="49" t="s">
        <v>263</v>
      </c>
      <c r="E5234" s="47">
        <v>204425</v>
      </c>
      <c r="G5234" s="50" t="s">
        <v>89</v>
      </c>
      <c r="H5234" s="51">
        <v>32.86</v>
      </c>
      <c r="J5234" s="51">
        <v>5.46</v>
      </c>
      <c r="K5234" s="74">
        <f>Tabela6[[#This Row],[CONSUMO]]*Tabela6[[#This Row],[VALOR UNIT]]-Tabela6[[#This Row],[DESCONTO]]</f>
        <v>179.41559999999998</v>
      </c>
      <c r="L5234" s="53">
        <f>Tabela6[[#This Row],[CUSTO TOTAL]]/Tabela6[[#This Row],[CONSUMO]]</f>
        <v>5.46</v>
      </c>
      <c r="M5234" s="53" t="e">
        <f t="array" ref="M5234">SE</f>
        <v>#NAME?</v>
      </c>
      <c r="N5234" s="49" t="e">
        <f>Tabela6[[#This Row],[KM Rodados ]]/Tabela6[[#This Row],[CONSUMO]]</f>
        <v>#NAME?</v>
      </c>
    </row>
    <row r="5235" spans="1:14" x14ac:dyDescent="0.25">
      <c r="A5235" s="47">
        <v>323636</v>
      </c>
      <c r="B5235" s="78">
        <v>45533</v>
      </c>
      <c r="C5235" s="47" t="s">
        <v>67</v>
      </c>
      <c r="D5235" s="49" t="s">
        <v>273</v>
      </c>
      <c r="E5235" s="47">
        <v>733650</v>
      </c>
      <c r="G5235" s="50" t="s">
        <v>89</v>
      </c>
      <c r="H5235" s="51">
        <v>164</v>
      </c>
      <c r="J5235" s="51">
        <v>5.75</v>
      </c>
      <c r="K5235" s="74">
        <f>Tabela6[[#This Row],[CONSUMO]]*Tabela6[[#This Row],[VALOR UNIT]]-Tabela6[[#This Row],[DESCONTO]]</f>
        <v>943</v>
      </c>
      <c r="L5235" s="53">
        <f>Tabela6[[#This Row],[CUSTO TOTAL]]/Tabela6[[#This Row],[CONSUMO]]</f>
        <v>5.75</v>
      </c>
      <c r="M5235" s="53" t="e">
        <f t="array" ref="M5235">SE</f>
        <v>#NAME?</v>
      </c>
      <c r="N5235" s="49" t="e">
        <f>Tabela6[[#This Row],[KM Rodados ]]/Tabela6[[#This Row],[CONSUMO]]</f>
        <v>#NAME?</v>
      </c>
    </row>
    <row r="5236" spans="1:14" x14ac:dyDescent="0.25">
      <c r="A5236" s="47">
        <v>101012</v>
      </c>
      <c r="B5236" s="78">
        <v>45533</v>
      </c>
      <c r="C5236" s="47" t="s">
        <v>70</v>
      </c>
      <c r="D5236" s="49" t="s">
        <v>533</v>
      </c>
      <c r="E5236" s="47">
        <v>305321</v>
      </c>
      <c r="G5236" s="50" t="s">
        <v>89</v>
      </c>
      <c r="H5236" s="51">
        <v>585.43700000000001</v>
      </c>
      <c r="J5236" s="51">
        <v>6.06</v>
      </c>
      <c r="K5236" s="74">
        <f>Tabela6[[#This Row],[CONSUMO]]*Tabela6[[#This Row],[VALOR UNIT]]-Tabela6[[#This Row],[DESCONTO]]</f>
        <v>3547.7482199999999</v>
      </c>
      <c r="L5236" s="53">
        <f>Tabela6[[#This Row],[CUSTO TOTAL]]/Tabela6[[#This Row],[CONSUMO]]</f>
        <v>6.06</v>
      </c>
      <c r="M5236" s="53" t="e">
        <f t="array" ref="M5236">SE</f>
        <v>#NAME?</v>
      </c>
      <c r="N5236" s="49" t="e">
        <f>Tabela6[[#This Row],[KM Rodados ]]/Tabela6[[#This Row],[CONSUMO]]</f>
        <v>#NAME?</v>
      </c>
    </row>
    <row r="5237" spans="1:14" x14ac:dyDescent="0.25">
      <c r="A5237" s="47">
        <v>314382</v>
      </c>
      <c r="B5237" s="78">
        <v>45533</v>
      </c>
      <c r="C5237" s="47" t="s">
        <v>11</v>
      </c>
      <c r="D5237" s="49" t="s">
        <v>253</v>
      </c>
      <c r="E5237" s="47">
        <v>422428</v>
      </c>
      <c r="G5237" s="50" t="s">
        <v>89</v>
      </c>
      <c r="H5237" s="51">
        <v>122.23</v>
      </c>
      <c r="J5237" s="51">
        <v>6.09</v>
      </c>
      <c r="K5237" s="74">
        <f>Tabela6[[#This Row],[CONSUMO]]*Tabela6[[#This Row],[VALOR UNIT]]-Tabela6[[#This Row],[DESCONTO]]</f>
        <v>744.38070000000005</v>
      </c>
      <c r="L5237" s="53">
        <f>Tabela6[[#This Row],[CUSTO TOTAL]]/Tabela6[[#This Row],[CONSUMO]]</f>
        <v>6.09</v>
      </c>
      <c r="M5237" s="53" t="e">
        <f t="array" ref="M5237">SE</f>
        <v>#NAME?</v>
      </c>
      <c r="N5237" s="49" t="e">
        <f>Tabela6[[#This Row],[KM Rodados ]]/Tabela6[[#This Row],[CONSUMO]]</f>
        <v>#NAME?</v>
      </c>
    </row>
    <row r="5238" spans="1:14" x14ac:dyDescent="0.25">
      <c r="A5238" s="47" t="s">
        <v>536</v>
      </c>
      <c r="B5238" s="78">
        <v>45533</v>
      </c>
      <c r="C5238" s="47" t="s">
        <v>301</v>
      </c>
      <c r="D5238" s="49" t="s">
        <v>378</v>
      </c>
      <c r="E5238" s="47">
        <v>1156052</v>
      </c>
      <c r="G5238" s="50" t="s">
        <v>89</v>
      </c>
      <c r="H5238" s="51">
        <v>455.77199999999999</v>
      </c>
      <c r="J5238" s="51">
        <v>5.79</v>
      </c>
      <c r="K5238" s="74">
        <f>Tabela6[[#This Row],[CONSUMO]]*Tabela6[[#This Row],[VALOR UNIT]]-Tabela6[[#This Row],[DESCONTO]]</f>
        <v>2638.9198799999999</v>
      </c>
      <c r="L5238" s="53">
        <f>Tabela6[[#This Row],[CUSTO TOTAL]]/Tabela6[[#This Row],[CONSUMO]]</f>
        <v>5.79</v>
      </c>
      <c r="M5238" s="53" t="e">
        <f t="array" ref="M5238">SE</f>
        <v>#NAME?</v>
      </c>
      <c r="N5238" s="49" t="e">
        <f>Tabela6[[#This Row],[KM Rodados ]]/Tabela6[[#This Row],[CONSUMO]]</f>
        <v>#NAME?</v>
      </c>
    </row>
    <row r="5239" spans="1:14" x14ac:dyDescent="0.25">
      <c r="A5239" s="47">
        <v>288641</v>
      </c>
      <c r="B5239" s="78">
        <v>45533</v>
      </c>
      <c r="C5239" s="47" t="s">
        <v>17</v>
      </c>
      <c r="D5239" s="49" t="s">
        <v>262</v>
      </c>
      <c r="G5239" s="50" t="s">
        <v>241</v>
      </c>
      <c r="H5239" s="51">
        <v>21.753</v>
      </c>
      <c r="I5239" s="49">
        <v>7.83</v>
      </c>
      <c r="J5239" s="51">
        <v>3.69</v>
      </c>
      <c r="K5239" s="74">
        <f>Tabela6[[#This Row],[CONSUMO]]*Tabela6[[#This Row],[VALOR UNIT]]-Tabela6[[#This Row],[DESCONTO]]</f>
        <v>72.438569999999999</v>
      </c>
      <c r="L5239" s="53">
        <f>Tabela6[[#This Row],[CUSTO TOTAL]]/Tabela6[[#This Row],[CONSUMO]]</f>
        <v>3.3300496483243691</v>
      </c>
      <c r="M5239" s="53" t="e">
        <f t="array" ref="M5239">SE</f>
        <v>#NAME?</v>
      </c>
      <c r="N5239" s="49" t="e">
        <f>Tabela6[[#This Row],[KM Rodados ]]/Tabela6[[#This Row],[CONSUMO]]</f>
        <v>#NAME?</v>
      </c>
    </row>
    <row r="5240" spans="1:14" x14ac:dyDescent="0.25">
      <c r="A5240" s="47">
        <v>430304</v>
      </c>
      <c r="B5240" s="78">
        <v>45533</v>
      </c>
      <c r="C5240" s="47" t="s">
        <v>446</v>
      </c>
      <c r="D5240" s="49" t="s">
        <v>276</v>
      </c>
      <c r="E5240" s="47">
        <v>37537</v>
      </c>
      <c r="G5240" s="50" t="s">
        <v>241</v>
      </c>
      <c r="H5240" s="51">
        <v>10.007999999999999</v>
      </c>
      <c r="J5240" s="51">
        <v>3.69</v>
      </c>
      <c r="K5240" s="74">
        <f>Tabela6[[#This Row],[CONSUMO]]*Tabela6[[#This Row],[VALOR UNIT]]-Tabela6[[#This Row],[DESCONTO]]</f>
        <v>36.929519999999997</v>
      </c>
      <c r="L5240" s="53">
        <f>Tabela6[[#This Row],[CUSTO TOTAL]]/Tabela6[[#This Row],[CONSUMO]]</f>
        <v>3.69</v>
      </c>
      <c r="M5240" s="53" t="e">
        <f t="array" ref="M5240">SE</f>
        <v>#NAME?</v>
      </c>
      <c r="N5240" s="49" t="e">
        <f>Tabela6[[#This Row],[KM Rodados ]]/Tabela6[[#This Row],[CONSUMO]]</f>
        <v>#NAME?</v>
      </c>
    </row>
    <row r="5241" spans="1:14" x14ac:dyDescent="0.25">
      <c r="A5241" s="47" t="s">
        <v>558</v>
      </c>
      <c r="B5241" s="78">
        <v>45534</v>
      </c>
      <c r="C5241" s="47" t="s">
        <v>68</v>
      </c>
      <c r="D5241" s="49" t="s">
        <v>274</v>
      </c>
      <c r="E5241" s="47">
        <v>1004025</v>
      </c>
      <c r="G5241" s="50" t="s">
        <v>89</v>
      </c>
      <c r="H5241" s="51">
        <v>200</v>
      </c>
      <c r="J5241" s="51">
        <v>5.59</v>
      </c>
      <c r="K5241" s="74">
        <f>Tabela6[[#This Row],[CONSUMO]]*Tabela6[[#This Row],[VALOR UNIT]]-Tabela6[[#This Row],[DESCONTO]]</f>
        <v>1118</v>
      </c>
      <c r="L5241" s="53">
        <f>Tabela6[[#This Row],[CUSTO TOTAL]]/Tabela6[[#This Row],[CONSUMO]]</f>
        <v>5.59</v>
      </c>
      <c r="M5241" s="53" t="e">
        <f t="array" ref="M5241">SE</f>
        <v>#NAME?</v>
      </c>
      <c r="N5241" s="49" t="e">
        <f>Tabela6[[#This Row],[KM Rodados ]]/Tabela6[[#This Row],[CONSUMO]]</f>
        <v>#NAME?</v>
      </c>
    </row>
    <row r="5242" spans="1:14" x14ac:dyDescent="0.25">
      <c r="A5242" s="47">
        <v>315382</v>
      </c>
      <c r="B5242" s="78">
        <v>45534</v>
      </c>
      <c r="C5242" s="47" t="s">
        <v>39</v>
      </c>
      <c r="D5242" s="49" t="s">
        <v>253</v>
      </c>
      <c r="E5242" s="47">
        <v>131538</v>
      </c>
      <c r="G5242" s="50" t="s">
        <v>89</v>
      </c>
      <c r="H5242" s="51">
        <v>100.8</v>
      </c>
      <c r="J5242" s="51">
        <v>6.09</v>
      </c>
      <c r="K5242" s="74">
        <f>Tabela6[[#This Row],[CONSUMO]]*Tabela6[[#This Row],[VALOR UNIT]]-Tabela6[[#This Row],[DESCONTO]]</f>
        <v>613.87199999999996</v>
      </c>
      <c r="L5242" s="53">
        <f>Tabela6[[#This Row],[CUSTO TOTAL]]/Tabela6[[#This Row],[CONSUMO]]</f>
        <v>6.09</v>
      </c>
      <c r="M5242" s="53" t="e">
        <f t="array" ref="M5242">SE</f>
        <v>#NAME?</v>
      </c>
      <c r="N5242" s="49" t="e">
        <f>Tabela6[[#This Row],[KM Rodados ]]/Tabela6[[#This Row],[CONSUMO]]</f>
        <v>#NAME?</v>
      </c>
    </row>
    <row r="5243" spans="1:14" x14ac:dyDescent="0.25">
      <c r="A5243" s="47">
        <v>315382</v>
      </c>
      <c r="B5243" s="78">
        <v>45534</v>
      </c>
      <c r="C5243" s="47" t="s">
        <v>39</v>
      </c>
      <c r="D5243" s="49" t="s">
        <v>253</v>
      </c>
      <c r="E5243" s="47">
        <v>131538</v>
      </c>
      <c r="G5243" s="50" t="s">
        <v>241</v>
      </c>
      <c r="H5243" s="51">
        <v>6.4909999999999997</v>
      </c>
      <c r="J5243" s="51">
        <v>3.49</v>
      </c>
      <c r="K5243" s="74">
        <f>Tabela6[[#This Row],[CONSUMO]]*Tabela6[[#This Row],[VALOR UNIT]]-Tabela6[[#This Row],[DESCONTO]]</f>
        <v>22.653590000000001</v>
      </c>
      <c r="L5243" s="53">
        <f>Tabela6[[#This Row],[CUSTO TOTAL]]/Tabela6[[#This Row],[CONSUMO]]</f>
        <v>3.49</v>
      </c>
      <c r="M5243" s="53" t="e">
        <f t="array" ref="M5243">SE</f>
        <v>#NAME?</v>
      </c>
      <c r="N5243" s="49" t="e">
        <f>Tabela6[[#This Row],[KM Rodados ]]/Tabela6[[#This Row],[CONSUMO]]</f>
        <v>#NAME?</v>
      </c>
    </row>
    <row r="5244" spans="1:14" x14ac:dyDescent="0.25">
      <c r="A5244" s="47">
        <v>1185735</v>
      </c>
      <c r="B5244" s="78">
        <v>45534</v>
      </c>
      <c r="C5244" s="47" t="s">
        <v>70</v>
      </c>
      <c r="D5244" s="49" t="s">
        <v>497</v>
      </c>
      <c r="E5244" s="47">
        <v>306554</v>
      </c>
      <c r="G5244" s="50" t="s">
        <v>89</v>
      </c>
      <c r="H5244" s="51">
        <v>362.02</v>
      </c>
      <c r="I5244" s="49">
        <v>18.149999999999999</v>
      </c>
      <c r="J5244" s="51">
        <v>6.19</v>
      </c>
      <c r="K5244" s="74">
        <f>Tabela6[[#This Row],[CONSUMO]]*Tabela6[[#This Row],[VALOR UNIT]]-Tabela6[[#This Row],[DESCONTO]]</f>
        <v>2222.7538</v>
      </c>
      <c r="L5244" s="53">
        <f>Tabela6[[#This Row],[CUSTO TOTAL]]/Tabela6[[#This Row],[CONSUMO]]</f>
        <v>6.1398646483619688</v>
      </c>
      <c r="M5244" s="53" t="e">
        <f t="array" ref="M5244">SE</f>
        <v>#NAME?</v>
      </c>
      <c r="N5244" s="49" t="e">
        <f>Tabela6[[#This Row],[KM Rodados ]]/Tabela6[[#This Row],[CONSUMO]]</f>
        <v>#NAME?</v>
      </c>
    </row>
    <row r="5245" spans="1:14" x14ac:dyDescent="0.25">
      <c r="A5245" s="47">
        <v>315002</v>
      </c>
      <c r="B5245" s="78">
        <v>45534</v>
      </c>
      <c r="C5245" s="47" t="s">
        <v>12</v>
      </c>
      <c r="D5245" s="49" t="s">
        <v>253</v>
      </c>
      <c r="E5245" s="47">
        <v>345398</v>
      </c>
      <c r="G5245" s="50" t="s">
        <v>89</v>
      </c>
      <c r="H5245" s="51">
        <v>104.21</v>
      </c>
      <c r="J5245" s="51">
        <v>6.09</v>
      </c>
      <c r="K5245" s="74">
        <f>Tabela6[[#This Row],[CONSUMO]]*Tabela6[[#This Row],[VALOR UNIT]]-Tabela6[[#This Row],[DESCONTO]]</f>
        <v>634.63889999999992</v>
      </c>
      <c r="L5245" s="53">
        <f>Tabela6[[#This Row],[CUSTO TOTAL]]/Tabela6[[#This Row],[CONSUMO]]</f>
        <v>6.09</v>
      </c>
      <c r="M5245" s="53" t="e">
        <f t="array" ref="M5245">SE</f>
        <v>#NAME?</v>
      </c>
      <c r="N5245" s="49" t="e">
        <f>Tabela6[[#This Row],[KM Rodados ]]/Tabela6[[#This Row],[CONSUMO]]</f>
        <v>#NAME?</v>
      </c>
    </row>
    <row r="5246" spans="1:14" x14ac:dyDescent="0.25">
      <c r="A5246" s="47" t="s">
        <v>540</v>
      </c>
      <c r="B5246" s="78">
        <v>45534</v>
      </c>
      <c r="C5246" s="47" t="s">
        <v>13</v>
      </c>
      <c r="D5246" s="49" t="s">
        <v>451</v>
      </c>
      <c r="E5246" s="47">
        <v>704568</v>
      </c>
      <c r="G5246" s="50" t="s">
        <v>89</v>
      </c>
      <c r="H5246" s="51">
        <v>120.15</v>
      </c>
      <c r="J5246" s="51">
        <v>5.69</v>
      </c>
      <c r="K5246" s="74">
        <f>Tabela6[[#This Row],[CONSUMO]]*Tabela6[[#This Row],[VALOR UNIT]]-Tabela6[[#This Row],[DESCONTO]]</f>
        <v>683.65350000000012</v>
      </c>
      <c r="L5246" s="53">
        <f>Tabela6[[#This Row],[CUSTO TOTAL]]/Tabela6[[#This Row],[CONSUMO]]</f>
        <v>5.69</v>
      </c>
      <c r="M5246" s="53" t="e">
        <f t="array" ref="M5246">SE</f>
        <v>#NAME?</v>
      </c>
      <c r="N5246" s="49" t="e">
        <f>Tabela6[[#This Row],[KM Rodados ]]/Tabela6[[#This Row],[CONSUMO]]</f>
        <v>#NAME?</v>
      </c>
    </row>
    <row r="5247" spans="1:14" x14ac:dyDescent="0.25">
      <c r="A5247" s="47">
        <v>42228</v>
      </c>
      <c r="B5247" s="78">
        <v>45534</v>
      </c>
      <c r="C5247" s="47" t="s">
        <v>23</v>
      </c>
      <c r="D5247" s="49" t="s">
        <v>255</v>
      </c>
      <c r="E5247" s="47">
        <v>293591</v>
      </c>
      <c r="G5247" s="50" t="s">
        <v>89</v>
      </c>
      <c r="H5247" s="51">
        <v>161.16</v>
      </c>
      <c r="J5247" s="51">
        <v>6.37</v>
      </c>
      <c r="K5247" s="74">
        <f>Tabela6[[#This Row],[CONSUMO]]*Tabela6[[#This Row],[VALOR UNIT]]-Tabela6[[#This Row],[DESCONTO]]</f>
        <v>1026.5891999999999</v>
      </c>
      <c r="L5247" s="53">
        <f>Tabela6[[#This Row],[CUSTO TOTAL]]/Tabela6[[#This Row],[CONSUMO]]</f>
        <v>6.3699999999999992</v>
      </c>
      <c r="M5247" s="53" t="e">
        <f t="array" ref="M5247">SE</f>
        <v>#NAME?</v>
      </c>
      <c r="N5247" s="49" t="e">
        <f>Tabela6[[#This Row],[KM Rodados ]]/Tabela6[[#This Row],[CONSUMO]]</f>
        <v>#NAME?</v>
      </c>
    </row>
    <row r="5248" spans="1:14" x14ac:dyDescent="0.25">
      <c r="A5248" s="47">
        <v>315395</v>
      </c>
      <c r="B5248" s="78">
        <v>45534</v>
      </c>
      <c r="C5248" s="47" t="s">
        <v>315</v>
      </c>
      <c r="D5248" s="49" t="s">
        <v>253</v>
      </c>
      <c r="E5248" s="47">
        <v>44388</v>
      </c>
      <c r="G5248" s="50" t="s">
        <v>89</v>
      </c>
      <c r="H5248" s="51">
        <v>61</v>
      </c>
      <c r="J5248" s="51">
        <v>6.09</v>
      </c>
      <c r="K5248" s="74">
        <f>Tabela6[[#This Row],[CONSUMO]]*Tabela6[[#This Row],[VALOR UNIT]]-Tabela6[[#This Row],[DESCONTO]]</f>
        <v>371.49</v>
      </c>
      <c r="L5248" s="53">
        <f>Tabela6[[#This Row],[CUSTO TOTAL]]/Tabela6[[#This Row],[CONSUMO]]</f>
        <v>6.09</v>
      </c>
      <c r="M5248" s="53" t="e">
        <f t="array" ref="M5248">SE</f>
        <v>#NAME?</v>
      </c>
      <c r="N5248" s="49" t="e">
        <f>Tabela6[[#This Row],[KM Rodados ]]/Tabela6[[#This Row],[CONSUMO]]</f>
        <v>#NAME?</v>
      </c>
    </row>
    <row r="5249" spans="1:14" x14ac:dyDescent="0.25">
      <c r="A5249" s="47">
        <v>669996</v>
      </c>
      <c r="B5249" s="78">
        <v>45534</v>
      </c>
      <c r="C5249" s="47" t="s">
        <v>401</v>
      </c>
      <c r="D5249" s="49" t="s">
        <v>402</v>
      </c>
      <c r="E5249" s="47">
        <v>50362</v>
      </c>
      <c r="G5249" s="50" t="s">
        <v>89</v>
      </c>
      <c r="H5249" s="51">
        <v>83.471999999999994</v>
      </c>
      <c r="J5249" s="51">
        <v>5.99</v>
      </c>
      <c r="K5249" s="74">
        <f>Tabela6[[#This Row],[CONSUMO]]*Tabela6[[#This Row],[VALOR UNIT]]-Tabela6[[#This Row],[DESCONTO]]</f>
        <v>499.99727999999999</v>
      </c>
      <c r="L5249" s="53">
        <f>Tabela6[[#This Row],[CUSTO TOTAL]]/Tabela6[[#This Row],[CONSUMO]]</f>
        <v>5.99</v>
      </c>
      <c r="M5249" s="53" t="e">
        <f t="array" ref="M5249">SE</f>
        <v>#NAME?</v>
      </c>
      <c r="N5249" s="49" t="e">
        <f>Tabela6[[#This Row],[KM Rodados ]]/Tabela6[[#This Row],[CONSUMO]]</f>
        <v>#NAME?</v>
      </c>
    </row>
    <row r="5250" spans="1:14" x14ac:dyDescent="0.25">
      <c r="A5250" s="47">
        <v>198660</v>
      </c>
      <c r="B5250" s="78">
        <v>45536</v>
      </c>
      <c r="C5250" s="47" t="s">
        <v>70</v>
      </c>
      <c r="D5250" s="49" t="s">
        <v>282</v>
      </c>
      <c r="E5250" s="47">
        <v>2512</v>
      </c>
      <c r="G5250" s="50" t="s">
        <v>89</v>
      </c>
      <c r="H5250" s="51">
        <v>100</v>
      </c>
      <c r="J5250" s="51">
        <v>5.79</v>
      </c>
      <c r="K5250" s="74">
        <f>Tabela6[[#This Row],[CONSUMO]]*Tabela6[[#This Row],[VALOR UNIT]]-Tabela6[[#This Row],[DESCONTO]]</f>
        <v>579</v>
      </c>
      <c r="L5250" s="53">
        <f>Tabela6[[#This Row],[CUSTO TOTAL]]/Tabela6[[#This Row],[CONSUMO]]</f>
        <v>5.79</v>
      </c>
      <c r="M5250" s="53" t="e">
        <f t="array" ref="M5250">SE</f>
        <v>#NAME?</v>
      </c>
      <c r="N5250" s="49" t="e">
        <f>Tabela6[[#This Row],[KM Rodados ]]/Tabela6[[#This Row],[CONSUMO]]</f>
        <v>#NAME?</v>
      </c>
    </row>
    <row r="5251" spans="1:14" x14ac:dyDescent="0.25">
      <c r="A5251" s="47">
        <v>531507</v>
      </c>
      <c r="B5251" s="78">
        <v>45536</v>
      </c>
      <c r="C5251" s="47" t="s">
        <v>301</v>
      </c>
      <c r="D5251" s="49" t="s">
        <v>237</v>
      </c>
      <c r="E5251" s="47">
        <v>115692</v>
      </c>
      <c r="G5251" s="50" t="s">
        <v>89</v>
      </c>
      <c r="H5251" s="51">
        <v>373.096</v>
      </c>
      <c r="I5251" s="49">
        <v>246.24</v>
      </c>
      <c r="J5251" s="51">
        <v>6.5</v>
      </c>
      <c r="K5251" s="74">
        <f>Tabela6[[#This Row],[CONSUMO]]*Tabela6[[#This Row],[VALOR UNIT]]-Tabela6[[#This Row],[DESCONTO]]</f>
        <v>2178.884</v>
      </c>
      <c r="L5251" s="53">
        <f>Tabela6[[#This Row],[CUSTO TOTAL]]/Tabela6[[#This Row],[CONSUMO]]</f>
        <v>5.8400090057250678</v>
      </c>
      <c r="M5251" s="53" t="e">
        <f t="array" ref="M5251">SE</f>
        <v>#NAME?</v>
      </c>
      <c r="N5251" s="49" t="e">
        <f>Tabela6[[#This Row],[KM Rodados ]]/Tabela6[[#This Row],[CONSUMO]]</f>
        <v>#NAME?</v>
      </c>
    </row>
    <row r="5252" spans="1:14" x14ac:dyDescent="0.25">
      <c r="A5252" s="47">
        <v>278409</v>
      </c>
      <c r="B5252" s="78">
        <v>45537</v>
      </c>
      <c r="C5252" s="47" t="s">
        <v>13</v>
      </c>
      <c r="D5252" s="49" t="s">
        <v>300</v>
      </c>
      <c r="E5252" s="47">
        <v>704989</v>
      </c>
      <c r="G5252" s="50" t="s">
        <v>89</v>
      </c>
      <c r="H5252" s="51">
        <v>83.19</v>
      </c>
      <c r="J5252" s="51">
        <v>5.79</v>
      </c>
      <c r="K5252" s="74">
        <f>Tabela6[[#This Row],[CONSUMO]]*Tabela6[[#This Row],[VALOR UNIT]]-Tabela6[[#This Row],[DESCONTO]]</f>
        <v>481.67009999999999</v>
      </c>
      <c r="L5252" s="53">
        <f>Tabela6[[#This Row],[CUSTO TOTAL]]/Tabela6[[#This Row],[CONSUMO]]</f>
        <v>5.79</v>
      </c>
      <c r="M5252" s="53" t="e">
        <f t="array" ref="M5252">SE</f>
        <v>#NAME?</v>
      </c>
      <c r="N5252" s="49" t="e">
        <f>Tabela6[[#This Row],[KM Rodados ]]/Tabela6[[#This Row],[CONSUMO]]</f>
        <v>#NAME?</v>
      </c>
    </row>
    <row r="5253" spans="1:14" x14ac:dyDescent="0.25">
      <c r="A5253" s="47">
        <v>289826</v>
      </c>
      <c r="B5253" s="78">
        <v>45538</v>
      </c>
      <c r="C5253" s="47" t="s">
        <v>14</v>
      </c>
      <c r="D5253" s="49" t="s">
        <v>262</v>
      </c>
      <c r="E5253" s="47">
        <v>343198</v>
      </c>
      <c r="G5253" s="50" t="s">
        <v>244</v>
      </c>
      <c r="H5253" s="51">
        <v>43.548999999999999</v>
      </c>
      <c r="J5253" s="51">
        <v>5.99</v>
      </c>
      <c r="K5253" s="74">
        <f>Tabela6[[#This Row],[CONSUMO]]*Tabela6[[#This Row],[VALOR UNIT]]-Tabela6[[#This Row],[DESCONTO]]</f>
        <v>260.85851000000002</v>
      </c>
      <c r="L5253" s="53">
        <f>Tabela6[[#This Row],[CUSTO TOTAL]]/Tabela6[[#This Row],[CONSUMO]]</f>
        <v>5.99</v>
      </c>
      <c r="M5253" s="53" t="e">
        <f t="array" ref="M5253">SE</f>
        <v>#NAME?</v>
      </c>
      <c r="N5253" s="49" t="e">
        <f>Tabela6[[#This Row],[KM Rodados ]]/Tabela6[[#This Row],[CONSUMO]]</f>
        <v>#NAME?</v>
      </c>
    </row>
    <row r="5254" spans="1:14" x14ac:dyDescent="0.25">
      <c r="A5254" s="47">
        <v>43345</v>
      </c>
      <c r="B5254" s="78">
        <v>45538</v>
      </c>
      <c r="C5254" s="47" t="s">
        <v>38</v>
      </c>
      <c r="D5254" s="49" t="s">
        <v>255</v>
      </c>
      <c r="E5254" s="47">
        <v>153215</v>
      </c>
      <c r="G5254" s="50" t="s">
        <v>244</v>
      </c>
      <c r="H5254" s="51">
        <v>51.460999999999999</v>
      </c>
      <c r="J5254" s="51">
        <v>6.26</v>
      </c>
      <c r="K5254" s="74">
        <f>Tabela6[[#This Row],[CONSUMO]]*Tabela6[[#This Row],[VALOR UNIT]]-Tabela6[[#This Row],[DESCONTO]]</f>
        <v>322.14585999999997</v>
      </c>
      <c r="L5254" s="53">
        <f>Tabela6[[#This Row],[CUSTO TOTAL]]/Tabela6[[#This Row],[CONSUMO]]</f>
        <v>6.26</v>
      </c>
      <c r="M5254" s="53" t="e">
        <f t="array" ref="M5254">SE</f>
        <v>#NAME?</v>
      </c>
      <c r="N5254" s="49" t="e">
        <f>Tabela6[[#This Row],[KM Rodados ]]/Tabela6[[#This Row],[CONSUMO]]</f>
        <v>#NAME?</v>
      </c>
    </row>
    <row r="5255" spans="1:14" x14ac:dyDescent="0.25">
      <c r="A5255" s="47">
        <v>289860</v>
      </c>
      <c r="B5255" s="78">
        <v>45538</v>
      </c>
      <c r="C5255" s="47" t="s">
        <v>401</v>
      </c>
      <c r="D5255" s="49" t="s">
        <v>262</v>
      </c>
      <c r="E5255" s="47">
        <v>51314</v>
      </c>
      <c r="G5255" s="50" t="s">
        <v>241</v>
      </c>
      <c r="H5255" s="51">
        <v>29.052</v>
      </c>
      <c r="I5255" s="49">
        <v>10.46</v>
      </c>
      <c r="J5255" s="51">
        <v>3.69</v>
      </c>
      <c r="K5255" s="74">
        <f>Tabela6[[#This Row],[CONSUMO]]*Tabela6[[#This Row],[VALOR UNIT]]-Tabela6[[#This Row],[DESCONTO]]</f>
        <v>96.741880000000009</v>
      </c>
      <c r="L5255" s="53">
        <f>Tabela6[[#This Row],[CUSTO TOTAL]]/Tabela6[[#This Row],[CONSUMO]]</f>
        <v>3.3299559410711832</v>
      </c>
      <c r="M5255" s="53" t="e">
        <f t="array" ref="M5255">SE</f>
        <v>#NAME?</v>
      </c>
      <c r="N5255" s="49" t="e">
        <f>Tabela6[[#This Row],[KM Rodados ]]/Tabela6[[#This Row],[CONSUMO]]</f>
        <v>#NAME?</v>
      </c>
    </row>
    <row r="5256" spans="1:14" x14ac:dyDescent="0.25">
      <c r="A5256" s="47">
        <v>431799</v>
      </c>
      <c r="B5256" s="78">
        <v>45538</v>
      </c>
      <c r="C5256" s="47" t="s">
        <v>446</v>
      </c>
      <c r="D5256" s="49" t="s">
        <v>276</v>
      </c>
      <c r="E5256" s="47">
        <v>38170</v>
      </c>
      <c r="G5256" s="50" t="s">
        <v>241</v>
      </c>
      <c r="H5256" s="51">
        <v>32.938000000000002</v>
      </c>
      <c r="J5256" s="51">
        <v>3.69</v>
      </c>
      <c r="K5256" s="74">
        <f>Tabela6[[#This Row],[CONSUMO]]*Tabela6[[#This Row],[VALOR UNIT]]-Tabela6[[#This Row],[DESCONTO]]</f>
        <v>121.54122000000001</v>
      </c>
      <c r="L5256" s="53">
        <f>Tabela6[[#This Row],[CUSTO TOTAL]]/Tabela6[[#This Row],[CONSUMO]]</f>
        <v>3.69</v>
      </c>
      <c r="M5256" s="53" t="e">
        <f t="array" ref="M5256">SE</f>
        <v>#NAME?</v>
      </c>
      <c r="N5256" s="49" t="e">
        <f>Tabela6[[#This Row],[KM Rodados ]]/Tabela6[[#This Row],[CONSUMO]]</f>
        <v>#NAME?</v>
      </c>
    </row>
    <row r="5257" spans="1:14" x14ac:dyDescent="0.25">
      <c r="A5257" s="47" t="s">
        <v>555</v>
      </c>
      <c r="B5257" s="78">
        <v>45539</v>
      </c>
      <c r="C5257" s="47" t="s">
        <v>67</v>
      </c>
      <c r="D5257" s="49" t="s">
        <v>273</v>
      </c>
      <c r="E5257" s="47">
        <v>734678</v>
      </c>
      <c r="G5257" s="50" t="s">
        <v>89</v>
      </c>
      <c r="H5257" s="51">
        <v>153.35</v>
      </c>
      <c r="J5257" s="51">
        <v>5.75</v>
      </c>
      <c r="K5257" s="74">
        <f>Tabela6[[#This Row],[CONSUMO]]*Tabela6[[#This Row],[VALOR UNIT]]-Tabela6[[#This Row],[DESCONTO]]</f>
        <v>881.76249999999993</v>
      </c>
      <c r="L5257" s="53">
        <f>Tabela6[[#This Row],[CUSTO TOTAL]]/Tabela6[[#This Row],[CONSUMO]]</f>
        <v>5.75</v>
      </c>
      <c r="M5257" s="53" t="e">
        <f t="array" ref="M5257">SE</f>
        <v>#NAME?</v>
      </c>
      <c r="N5257" s="49" t="e">
        <f>Tabela6[[#This Row],[KM Rodados ]]/Tabela6[[#This Row],[CONSUMO]]</f>
        <v>#NAME?</v>
      </c>
    </row>
    <row r="5258" spans="1:14" x14ac:dyDescent="0.25">
      <c r="A5258" s="47" t="s">
        <v>543</v>
      </c>
      <c r="B5258" s="78">
        <v>45539</v>
      </c>
      <c r="C5258" s="47" t="s">
        <v>206</v>
      </c>
      <c r="D5258" s="49" t="s">
        <v>344</v>
      </c>
      <c r="E5258" s="47">
        <v>28250</v>
      </c>
      <c r="G5258" s="50" t="s">
        <v>89</v>
      </c>
      <c r="H5258" s="51">
        <v>459.697</v>
      </c>
      <c r="J5258" s="51">
        <v>5.79</v>
      </c>
      <c r="K5258" s="74">
        <f>Tabela6[[#This Row],[CONSUMO]]*Tabela6[[#This Row],[VALOR UNIT]]-Tabela6[[#This Row],[DESCONTO]]</f>
        <v>2661.64563</v>
      </c>
      <c r="L5258" s="53">
        <f>Tabela6[[#This Row],[CUSTO TOTAL]]/Tabela6[[#This Row],[CONSUMO]]</f>
        <v>5.79</v>
      </c>
      <c r="M5258" s="53" t="e">
        <f t="array" ref="M5258">SE</f>
        <v>#NAME?</v>
      </c>
      <c r="N5258" s="49" t="e">
        <f>Tabela6[[#This Row],[KM Rodados ]]/Tabela6[[#This Row],[CONSUMO]]</f>
        <v>#NAME?</v>
      </c>
    </row>
    <row r="5259" spans="1:14" x14ac:dyDescent="0.25">
      <c r="A5259" s="47">
        <v>290040</v>
      </c>
      <c r="B5259" s="78">
        <v>45539</v>
      </c>
      <c r="C5259" s="47" t="s">
        <v>354</v>
      </c>
      <c r="D5259" s="49" t="s">
        <v>262</v>
      </c>
      <c r="E5259" s="47">
        <v>55067</v>
      </c>
      <c r="G5259" s="50" t="s">
        <v>241</v>
      </c>
      <c r="H5259" s="51">
        <v>28.51</v>
      </c>
      <c r="I5259" s="49">
        <v>10.26</v>
      </c>
      <c r="J5259" s="51">
        <v>3.69</v>
      </c>
      <c r="K5259" s="74">
        <f>Tabela6[[#This Row],[CONSUMO]]*Tabela6[[#This Row],[VALOR UNIT]]-Tabela6[[#This Row],[DESCONTO]]</f>
        <v>94.941900000000004</v>
      </c>
      <c r="L5259" s="53">
        <f>Tabela6[[#This Row],[CUSTO TOTAL]]/Tabela6[[#This Row],[CONSUMO]]</f>
        <v>3.3301262714836897</v>
      </c>
      <c r="M5259" s="53" t="e">
        <f t="array" ref="M5259">SE</f>
        <v>#NAME?</v>
      </c>
      <c r="N5259" s="49" t="e">
        <f>Tabela6[[#This Row],[KM Rodados ]]/Tabela6[[#This Row],[CONSUMO]]</f>
        <v>#NAME?</v>
      </c>
    </row>
    <row r="5260" spans="1:14" x14ac:dyDescent="0.25">
      <c r="A5260" s="47">
        <v>331940</v>
      </c>
      <c r="B5260" s="78">
        <v>45540</v>
      </c>
      <c r="C5260" s="47" t="s">
        <v>43</v>
      </c>
      <c r="D5260" s="49" t="s">
        <v>233</v>
      </c>
      <c r="E5260" s="47">
        <v>205389</v>
      </c>
      <c r="G5260" s="50" t="s">
        <v>89</v>
      </c>
      <c r="H5260" s="51">
        <v>34.350999999999999</v>
      </c>
      <c r="J5260" s="51">
        <v>5.99</v>
      </c>
      <c r="K5260" s="74">
        <f>Tabela6[[#This Row],[CONSUMO]]*Tabela6[[#This Row],[VALOR UNIT]]-Tabela6[[#This Row],[DESCONTO]]</f>
        <v>205.76249000000001</v>
      </c>
      <c r="L5260" s="53">
        <f>Tabela6[[#This Row],[CUSTO TOTAL]]/Tabela6[[#This Row],[CONSUMO]]</f>
        <v>5.99</v>
      </c>
      <c r="M5260" s="53" t="e">
        <f t="array" ref="M5260">SE</f>
        <v>#NAME?</v>
      </c>
      <c r="N5260" s="49" t="e">
        <f>Tabela6[[#This Row],[KM Rodados ]]/Tabela6[[#This Row],[CONSUMO]]</f>
        <v>#NAME?</v>
      </c>
    </row>
    <row r="5261" spans="1:14" x14ac:dyDescent="0.25">
      <c r="A5261" s="47">
        <v>290311</v>
      </c>
      <c r="B5261" s="78">
        <v>45540</v>
      </c>
      <c r="C5261" s="47" t="s">
        <v>215</v>
      </c>
      <c r="D5261" s="49" t="s">
        <v>262</v>
      </c>
      <c r="E5261" s="47">
        <v>243109</v>
      </c>
      <c r="G5261" s="50" t="s">
        <v>244</v>
      </c>
      <c r="H5261" s="51">
        <v>28.599</v>
      </c>
      <c r="J5261" s="51">
        <v>5.99</v>
      </c>
      <c r="K5261" s="74">
        <f>Tabela6[[#This Row],[CONSUMO]]*Tabela6[[#This Row],[VALOR UNIT]]-Tabela6[[#This Row],[DESCONTO]]</f>
        <v>171.30801</v>
      </c>
      <c r="L5261" s="53">
        <f>Tabela6[[#This Row],[CUSTO TOTAL]]/Tabela6[[#This Row],[CONSUMO]]</f>
        <v>5.99</v>
      </c>
      <c r="M5261" s="53" t="e">
        <f t="array" ref="M5261">SE</f>
        <v>#NAME?</v>
      </c>
      <c r="N5261" s="49" t="e">
        <f>Tabela6[[#This Row],[KM Rodados ]]/Tabela6[[#This Row],[CONSUMO]]</f>
        <v>#NAME?</v>
      </c>
    </row>
    <row r="5262" spans="1:14" x14ac:dyDescent="0.25">
      <c r="A5262" s="47">
        <v>1195946</v>
      </c>
      <c r="B5262" s="78">
        <v>45540</v>
      </c>
      <c r="C5262" s="47" t="s">
        <v>301</v>
      </c>
      <c r="D5262" s="49" t="s">
        <v>497</v>
      </c>
      <c r="E5262" s="47">
        <v>116206</v>
      </c>
      <c r="G5262" s="50" t="s">
        <v>89</v>
      </c>
      <c r="H5262" s="51">
        <v>420.51100000000002</v>
      </c>
      <c r="J5262" s="51">
        <v>6.19</v>
      </c>
      <c r="K5262" s="74">
        <f>Tabela6[[#This Row],[CONSUMO]]*Tabela6[[#This Row],[VALOR UNIT]]-Tabela6[[#This Row],[DESCONTO]]</f>
        <v>2602.9630900000002</v>
      </c>
      <c r="L5262" s="53">
        <f>Tabela6[[#This Row],[CUSTO TOTAL]]/Tabela6[[#This Row],[CONSUMO]]</f>
        <v>6.19</v>
      </c>
      <c r="M5262" s="53" t="e">
        <f t="array" ref="M5262">SE</f>
        <v>#NAME?</v>
      </c>
      <c r="N5262" s="49" t="e">
        <f>Tabela6[[#This Row],[KM Rodados ]]/Tabela6[[#This Row],[CONSUMO]]</f>
        <v>#NAME?</v>
      </c>
    </row>
    <row r="5263" spans="1:14" x14ac:dyDescent="0.25">
      <c r="A5263" s="47">
        <v>669996</v>
      </c>
      <c r="B5263" s="78">
        <v>45540</v>
      </c>
      <c r="C5263" s="47" t="s">
        <v>401</v>
      </c>
      <c r="D5263" s="49" t="s">
        <v>402</v>
      </c>
      <c r="E5263" s="47">
        <v>51971</v>
      </c>
      <c r="G5263" s="50" t="s">
        <v>89</v>
      </c>
      <c r="H5263" s="51">
        <v>66.778000000000006</v>
      </c>
      <c r="J5263" s="51">
        <v>5.99</v>
      </c>
      <c r="K5263" s="74">
        <f>Tabela6[[#This Row],[CONSUMO]]*Tabela6[[#This Row],[VALOR UNIT]]-Tabela6[[#This Row],[DESCONTO]]</f>
        <v>400.00022000000007</v>
      </c>
      <c r="L5263" s="53">
        <f>Tabela6[[#This Row],[CUSTO TOTAL]]/Tabela6[[#This Row],[CONSUMO]]</f>
        <v>5.99</v>
      </c>
      <c r="M5263" s="53" t="e">
        <f t="array" ref="M5263">SE</f>
        <v>#NAME?</v>
      </c>
      <c r="N5263" s="49" t="e">
        <f>Tabela6[[#This Row],[KM Rodados ]]/Tabela6[[#This Row],[CONSUMO]]</f>
        <v>#NAME?</v>
      </c>
    </row>
    <row r="5264" spans="1:14" x14ac:dyDescent="0.25">
      <c r="A5264" s="47">
        <v>836735</v>
      </c>
      <c r="B5264" s="78">
        <v>45541</v>
      </c>
      <c r="C5264" s="47" t="s">
        <v>23</v>
      </c>
      <c r="D5264" s="49" t="s">
        <v>271</v>
      </c>
      <c r="E5264" s="47">
        <v>294505</v>
      </c>
      <c r="G5264" s="50" t="s">
        <v>89</v>
      </c>
      <c r="H5264" s="51">
        <v>117.011</v>
      </c>
      <c r="J5264" s="51">
        <v>5.79</v>
      </c>
      <c r="K5264" s="74">
        <f>Tabela6[[#This Row],[CONSUMO]]*Tabela6[[#This Row],[VALOR UNIT]]-Tabela6[[#This Row],[DESCONTO]]</f>
        <v>677.49369000000002</v>
      </c>
      <c r="L5264" s="53">
        <f>Tabela6[[#This Row],[CUSTO TOTAL]]/Tabela6[[#This Row],[CONSUMO]]</f>
        <v>5.79</v>
      </c>
      <c r="M5264" s="53" t="e">
        <f t="array" ref="M5264">SE</f>
        <v>#NAME?</v>
      </c>
      <c r="N5264" s="49" t="e">
        <f>Tabela6[[#This Row],[KM Rodados ]]/Tabela6[[#This Row],[CONSUMO]]</f>
        <v>#NAME?</v>
      </c>
    </row>
    <row r="5265" spans="1:14" x14ac:dyDescent="0.25">
      <c r="A5265" s="47">
        <v>920875</v>
      </c>
      <c r="B5265" s="78">
        <v>45541</v>
      </c>
      <c r="C5265" s="47" t="s">
        <v>23</v>
      </c>
      <c r="D5265" s="49" t="s">
        <v>253</v>
      </c>
      <c r="E5265" s="47">
        <v>29468</v>
      </c>
      <c r="G5265" s="50" t="s">
        <v>241</v>
      </c>
      <c r="H5265" s="51">
        <v>10</v>
      </c>
      <c r="J5265" s="51">
        <v>3.49</v>
      </c>
      <c r="K5265" s="74">
        <f>Tabela6[[#This Row],[CONSUMO]]*Tabela6[[#This Row],[VALOR UNIT]]-Tabela6[[#This Row],[DESCONTO]]</f>
        <v>34.900000000000006</v>
      </c>
      <c r="L5265" s="53">
        <f>Tabela6[[#This Row],[CUSTO TOTAL]]/Tabela6[[#This Row],[CONSUMO]]</f>
        <v>3.4900000000000007</v>
      </c>
      <c r="M5265" s="53" t="e">
        <f t="array" ref="M5265">SE</f>
        <v>#NAME?</v>
      </c>
      <c r="N5265" s="49" t="e">
        <f>Tabela6[[#This Row],[KM Rodados ]]/Tabela6[[#This Row],[CONSUMO]]</f>
        <v>#NAME?</v>
      </c>
    </row>
    <row r="5266" spans="1:14" x14ac:dyDescent="0.25">
      <c r="A5266" s="47">
        <v>320936</v>
      </c>
      <c r="B5266" s="78">
        <v>45541</v>
      </c>
      <c r="C5266" s="47" t="s">
        <v>315</v>
      </c>
      <c r="D5266" s="49" t="s">
        <v>253</v>
      </c>
      <c r="E5266" s="47">
        <v>45150</v>
      </c>
      <c r="G5266" s="50" t="s">
        <v>89</v>
      </c>
      <c r="H5266" s="51">
        <v>60.93</v>
      </c>
      <c r="J5266" s="51">
        <v>6.09</v>
      </c>
      <c r="K5266" s="74">
        <f>Tabela6[[#This Row],[CONSUMO]]*Tabela6[[#This Row],[VALOR UNIT]]-Tabela6[[#This Row],[DESCONTO]]</f>
        <v>371.06369999999998</v>
      </c>
      <c r="L5266" s="53">
        <f>Tabela6[[#This Row],[CUSTO TOTAL]]/Tabela6[[#This Row],[CONSUMO]]</f>
        <v>6.09</v>
      </c>
      <c r="M5266" s="53" t="e">
        <f t="array" ref="M5266">SE</f>
        <v>#NAME?</v>
      </c>
      <c r="N5266" s="49" t="e">
        <f>Tabela6[[#This Row],[KM Rodados ]]/Tabela6[[#This Row],[CONSUMO]]</f>
        <v>#NAME?</v>
      </c>
    </row>
    <row r="5267" spans="1:14" x14ac:dyDescent="0.25">
      <c r="A5267" s="47">
        <v>1190834</v>
      </c>
      <c r="B5267" s="78">
        <v>45542</v>
      </c>
      <c r="C5267" s="47" t="s">
        <v>358</v>
      </c>
      <c r="D5267" s="49" t="s">
        <v>497</v>
      </c>
      <c r="E5267" s="47">
        <v>881405</v>
      </c>
      <c r="G5267" s="50" t="s">
        <v>89</v>
      </c>
      <c r="H5267" s="51">
        <v>589.01</v>
      </c>
      <c r="J5267" s="51">
        <v>6.19</v>
      </c>
      <c r="K5267" s="74">
        <f>Tabela6[[#This Row],[CONSUMO]]*Tabela6[[#This Row],[VALOR UNIT]]-Tabela6[[#This Row],[DESCONTO]]</f>
        <v>3645.9719</v>
      </c>
      <c r="L5267" s="53">
        <f>Tabela6[[#This Row],[CUSTO TOTAL]]/Tabela6[[#This Row],[CONSUMO]]</f>
        <v>6.19</v>
      </c>
      <c r="M5267" s="53" t="e">
        <f t="array" ref="M5267">SE</f>
        <v>#NAME?</v>
      </c>
      <c r="N5267" s="49" t="e">
        <f>Tabela6[[#This Row],[KM Rodados ]]/Tabela6[[#This Row],[CONSUMO]]</f>
        <v>#NAME?</v>
      </c>
    </row>
    <row r="5268" spans="1:14" x14ac:dyDescent="0.25">
      <c r="A5268" s="47" t="s">
        <v>554</v>
      </c>
      <c r="B5268" s="78">
        <v>45543</v>
      </c>
      <c r="C5268" s="47" t="s">
        <v>358</v>
      </c>
      <c r="D5268" s="49" t="s">
        <v>332</v>
      </c>
      <c r="E5268" s="47">
        <v>802026</v>
      </c>
      <c r="G5268" s="50" t="s">
        <v>89</v>
      </c>
      <c r="H5268" s="51">
        <v>355.62099999999998</v>
      </c>
      <c r="J5268" s="51">
        <v>5.69</v>
      </c>
      <c r="K5268" s="74">
        <f>Tabela6[[#This Row],[CONSUMO]]*Tabela6[[#This Row],[VALOR UNIT]]-Tabela6[[#This Row],[DESCONTO]]</f>
        <v>2023.4834900000001</v>
      </c>
      <c r="L5268" s="53">
        <f>Tabela6[[#This Row],[CUSTO TOTAL]]/Tabela6[[#This Row],[CONSUMO]]</f>
        <v>5.69</v>
      </c>
      <c r="M5268" s="53" t="e">
        <f t="array" ref="M5268">SE</f>
        <v>#NAME?</v>
      </c>
      <c r="N5268" s="49" t="e">
        <f>Tabela6[[#This Row],[KM Rodados ]]/Tabela6[[#This Row],[CONSUMO]]</f>
        <v>#NAME?</v>
      </c>
    </row>
    <row r="5269" spans="1:14" x14ac:dyDescent="0.25">
      <c r="A5269" s="47">
        <v>1723568</v>
      </c>
      <c r="B5269" s="78">
        <v>45543</v>
      </c>
      <c r="C5269" s="47" t="s">
        <v>354</v>
      </c>
      <c r="D5269" s="49" t="s">
        <v>252</v>
      </c>
      <c r="E5269" s="47">
        <v>55674</v>
      </c>
      <c r="G5269" s="50" t="s">
        <v>89</v>
      </c>
      <c r="H5269" s="51">
        <v>281</v>
      </c>
      <c r="J5269" s="51">
        <v>5.88</v>
      </c>
      <c r="K5269" s="74">
        <f>Tabela6[[#This Row],[CONSUMO]]*Tabela6[[#This Row],[VALOR UNIT]]-Tabela6[[#This Row],[DESCONTO]]</f>
        <v>1652.28</v>
      </c>
      <c r="L5269" s="53">
        <f>Tabela6[[#This Row],[CUSTO TOTAL]]/Tabela6[[#This Row],[CONSUMO]]</f>
        <v>5.88</v>
      </c>
      <c r="M5269" s="53" t="e">
        <f t="array" ref="M5269">SE</f>
        <v>#NAME?</v>
      </c>
      <c r="N5269" s="49" t="e">
        <f>Tabela6[[#This Row],[KM Rodados ]]/Tabela6[[#This Row],[CONSUMO]]</f>
        <v>#NAME?</v>
      </c>
    </row>
    <row r="5270" spans="1:14" x14ac:dyDescent="0.25">
      <c r="A5270" s="47">
        <v>1723568</v>
      </c>
      <c r="B5270" s="78">
        <v>45543</v>
      </c>
      <c r="C5270" s="47" t="s">
        <v>354</v>
      </c>
      <c r="D5270" s="49" t="s">
        <v>252</v>
      </c>
      <c r="E5270" s="47">
        <v>55674</v>
      </c>
      <c r="G5270" s="50" t="s">
        <v>241</v>
      </c>
      <c r="H5270" s="51">
        <v>11.51</v>
      </c>
      <c r="J5270" s="51">
        <v>2.85</v>
      </c>
      <c r="K5270" s="74">
        <f>Tabela6[[#This Row],[CONSUMO]]*Tabela6[[#This Row],[VALOR UNIT]]-Tabela6[[#This Row],[DESCONTO]]</f>
        <v>32.8035</v>
      </c>
      <c r="L5270" s="53">
        <f>Tabela6[[#This Row],[CUSTO TOTAL]]/Tabela6[[#This Row],[CONSUMO]]</f>
        <v>2.85</v>
      </c>
      <c r="M5270" s="53" t="e">
        <f t="array" ref="M5270">SE</f>
        <v>#NAME?</v>
      </c>
      <c r="N5270" s="49" t="e">
        <f>Tabela6[[#This Row],[KM Rodados ]]/Tabela6[[#This Row],[CONSUMO]]</f>
        <v>#NAME?</v>
      </c>
    </row>
    <row r="5271" spans="1:14" x14ac:dyDescent="0.25">
      <c r="A5271" s="47">
        <v>54943</v>
      </c>
      <c r="B5271" s="78">
        <v>45544</v>
      </c>
      <c r="C5271" s="47" t="s">
        <v>43</v>
      </c>
      <c r="E5271" s="47">
        <v>205905</v>
      </c>
      <c r="G5271" s="50" t="s">
        <v>89</v>
      </c>
      <c r="H5271" s="51">
        <v>25</v>
      </c>
      <c r="J5271" s="51">
        <v>6.09</v>
      </c>
      <c r="K5271" s="74">
        <f>Tabela6[[#This Row],[CONSUMO]]*Tabela6[[#This Row],[VALOR UNIT]]-Tabela6[[#This Row],[DESCONTO]]</f>
        <v>152.25</v>
      </c>
      <c r="L5271" s="53">
        <f>Tabela6[[#This Row],[CUSTO TOTAL]]/Tabela6[[#This Row],[CONSUMO]]</f>
        <v>6.09</v>
      </c>
      <c r="M5271" s="53" t="e">
        <f t="array" ref="M5271">SE</f>
        <v>#NAME?</v>
      </c>
      <c r="N5271" s="49" t="e">
        <f>Tabela6[[#This Row],[KM Rodados ]]/Tabela6[[#This Row],[CONSUMO]]</f>
        <v>#NAME?</v>
      </c>
    </row>
    <row r="5272" spans="1:14" x14ac:dyDescent="0.25">
      <c r="A5272" s="47">
        <v>325337</v>
      </c>
      <c r="B5272" s="78">
        <v>45544</v>
      </c>
      <c r="C5272" s="47" t="s">
        <v>67</v>
      </c>
      <c r="D5272" s="49" t="s">
        <v>273</v>
      </c>
      <c r="E5272" s="47">
        <v>735177</v>
      </c>
      <c r="G5272" s="50" t="s">
        <v>89</v>
      </c>
      <c r="H5272" s="51">
        <v>122</v>
      </c>
      <c r="J5272" s="51">
        <v>5.75</v>
      </c>
      <c r="K5272" s="74">
        <f>Tabela6[[#This Row],[CONSUMO]]*Tabela6[[#This Row],[VALOR UNIT]]-Tabela6[[#This Row],[DESCONTO]]</f>
        <v>701.5</v>
      </c>
      <c r="L5272" s="53">
        <f>Tabela6[[#This Row],[CUSTO TOTAL]]/Tabela6[[#This Row],[CONSUMO]]</f>
        <v>5.75</v>
      </c>
      <c r="M5272" s="53" t="e">
        <f t="array" ref="M5272">SE</f>
        <v>#NAME?</v>
      </c>
      <c r="N5272" s="49" t="e">
        <f>Tabela6[[#This Row],[KM Rodados ]]/Tabela6[[#This Row],[CONSUMO]]</f>
        <v>#NAME?</v>
      </c>
    </row>
    <row r="5273" spans="1:14" x14ac:dyDescent="0.25">
      <c r="A5273" s="47">
        <v>323697</v>
      </c>
      <c r="B5273" s="78">
        <v>45544</v>
      </c>
      <c r="C5273" s="47" t="s">
        <v>39</v>
      </c>
      <c r="D5273" s="49" t="s">
        <v>253</v>
      </c>
      <c r="E5273" s="47">
        <v>132087</v>
      </c>
      <c r="G5273" s="50" t="s">
        <v>89</v>
      </c>
      <c r="H5273" s="51">
        <v>100.36</v>
      </c>
      <c r="J5273" s="51">
        <v>6.09</v>
      </c>
      <c r="K5273" s="74">
        <f>Tabela6[[#This Row],[CONSUMO]]*Tabela6[[#This Row],[VALOR UNIT]]-Tabela6[[#This Row],[DESCONTO]]</f>
        <v>611.19240000000002</v>
      </c>
      <c r="L5273" s="53">
        <f>Tabela6[[#This Row],[CUSTO TOTAL]]/Tabela6[[#This Row],[CONSUMO]]</f>
        <v>6.09</v>
      </c>
      <c r="M5273" s="53" t="e">
        <f t="array" ref="M5273">SE</f>
        <v>#NAME?</v>
      </c>
      <c r="N5273" s="49" t="e">
        <f>Tabela6[[#This Row],[KM Rodados ]]/Tabela6[[#This Row],[CONSUMO]]</f>
        <v>#NAME?</v>
      </c>
    </row>
    <row r="5274" spans="1:14" x14ac:dyDescent="0.25">
      <c r="A5274" s="47">
        <v>323697</v>
      </c>
      <c r="B5274" s="78">
        <v>45544</v>
      </c>
      <c r="C5274" s="47" t="s">
        <v>39</v>
      </c>
      <c r="D5274" s="49" t="s">
        <v>253</v>
      </c>
      <c r="E5274" s="47">
        <v>132087</v>
      </c>
      <c r="G5274" s="50" t="s">
        <v>241</v>
      </c>
      <c r="H5274" s="51">
        <v>10.692</v>
      </c>
      <c r="J5274" s="51">
        <v>3.49</v>
      </c>
      <c r="K5274" s="74">
        <f>Tabela6[[#This Row],[CONSUMO]]*Tabela6[[#This Row],[VALOR UNIT]]-Tabela6[[#This Row],[DESCONTO]]</f>
        <v>37.315080000000002</v>
      </c>
      <c r="L5274" s="53">
        <f>Tabela6[[#This Row],[CUSTO TOTAL]]/Tabela6[[#This Row],[CONSUMO]]</f>
        <v>3.49</v>
      </c>
      <c r="M5274" s="53" t="e">
        <f t="array" ref="M5274">SE</f>
        <v>#NAME?</v>
      </c>
      <c r="N5274" s="49" t="e">
        <f>Tabela6[[#This Row],[KM Rodados ]]/Tabela6[[#This Row],[CONSUMO]]</f>
        <v>#NAME?</v>
      </c>
    </row>
    <row r="5275" spans="1:14" x14ac:dyDescent="0.25">
      <c r="A5275" s="47">
        <v>812791</v>
      </c>
      <c r="B5275" s="78">
        <v>45544</v>
      </c>
      <c r="C5275" s="47" t="s">
        <v>301</v>
      </c>
      <c r="D5275" s="49" t="s">
        <v>318</v>
      </c>
      <c r="E5275" s="47">
        <v>115863</v>
      </c>
      <c r="G5275" s="50" t="s">
        <v>89</v>
      </c>
      <c r="H5275" s="51">
        <v>100</v>
      </c>
      <c r="J5275" s="51">
        <v>5.69</v>
      </c>
      <c r="K5275" s="74">
        <f>Tabela6[[#This Row],[CONSUMO]]*Tabela6[[#This Row],[VALOR UNIT]]-Tabela6[[#This Row],[DESCONTO]]</f>
        <v>569</v>
      </c>
      <c r="L5275" s="53">
        <f>Tabela6[[#This Row],[CUSTO TOTAL]]/Tabela6[[#This Row],[CONSUMO]]</f>
        <v>5.69</v>
      </c>
      <c r="M5275" s="53" t="e">
        <f t="array" ref="M5275">SE</f>
        <v>#NAME?</v>
      </c>
      <c r="N5275" s="49" t="e">
        <f>Tabela6[[#This Row],[KM Rodados ]]/Tabela6[[#This Row],[CONSUMO]]</f>
        <v>#NAME?</v>
      </c>
    </row>
    <row r="5276" spans="1:14" x14ac:dyDescent="0.25">
      <c r="A5276" s="47">
        <v>871586</v>
      </c>
      <c r="B5276" s="78">
        <v>45544</v>
      </c>
      <c r="C5276" s="47" t="s">
        <v>206</v>
      </c>
      <c r="D5276" s="49" t="s">
        <v>252</v>
      </c>
      <c r="E5276" s="47">
        <v>1029919</v>
      </c>
      <c r="G5276" s="50" t="s">
        <v>89</v>
      </c>
      <c r="H5276" s="51">
        <v>440.41</v>
      </c>
      <c r="J5276" s="51">
        <v>5.86</v>
      </c>
      <c r="K5276" s="74">
        <f>Tabela6[[#This Row],[CONSUMO]]*Tabela6[[#This Row],[VALOR UNIT]]-Tabela6[[#This Row],[DESCONTO]]</f>
        <v>2580.8026000000004</v>
      </c>
      <c r="L5276" s="53">
        <f>Tabela6[[#This Row],[CUSTO TOTAL]]/Tabela6[[#This Row],[CONSUMO]]</f>
        <v>5.86</v>
      </c>
      <c r="M5276" s="53" t="e">
        <f t="array" ref="M5276">SE</f>
        <v>#NAME?</v>
      </c>
      <c r="N5276" s="49" t="e">
        <f>Tabela6[[#This Row],[KM Rodados ]]/Tabela6[[#This Row],[CONSUMO]]</f>
        <v>#NAME?</v>
      </c>
    </row>
    <row r="5277" spans="1:14" x14ac:dyDescent="0.25">
      <c r="A5277" s="47">
        <v>323518</v>
      </c>
      <c r="B5277" s="78">
        <v>45544</v>
      </c>
      <c r="C5277" s="47" t="s">
        <v>12</v>
      </c>
      <c r="D5277" s="49" t="s">
        <v>253</v>
      </c>
      <c r="E5277" s="47">
        <v>346114</v>
      </c>
      <c r="G5277" s="50" t="s">
        <v>89</v>
      </c>
      <c r="H5277" s="51">
        <v>116.3</v>
      </c>
      <c r="J5277" s="51">
        <v>6.09</v>
      </c>
      <c r="K5277" s="74">
        <f>Tabela6[[#This Row],[CONSUMO]]*Tabela6[[#This Row],[VALOR UNIT]]-Tabela6[[#This Row],[DESCONTO]]</f>
        <v>708.26699999999994</v>
      </c>
      <c r="L5277" s="53">
        <f>Tabela6[[#This Row],[CUSTO TOTAL]]/Tabela6[[#This Row],[CONSUMO]]</f>
        <v>6.09</v>
      </c>
      <c r="M5277" s="53" t="e">
        <f t="array" ref="M5277">SE</f>
        <v>#NAME?</v>
      </c>
      <c r="N5277" s="49" t="e">
        <f>Tabela6[[#This Row],[KM Rodados ]]/Tabela6[[#This Row],[CONSUMO]]</f>
        <v>#NAME?</v>
      </c>
    </row>
    <row r="5278" spans="1:14" x14ac:dyDescent="0.25">
      <c r="A5278" s="47" t="s">
        <v>551</v>
      </c>
      <c r="B5278" s="78">
        <v>45545</v>
      </c>
      <c r="C5278" s="47" t="s">
        <v>70</v>
      </c>
      <c r="D5278" s="49" t="s">
        <v>279</v>
      </c>
      <c r="E5278" s="47">
        <v>309150</v>
      </c>
      <c r="G5278" s="50" t="s">
        <v>89</v>
      </c>
      <c r="H5278" s="51">
        <v>387.041</v>
      </c>
      <c r="J5278" s="51">
        <v>5.69</v>
      </c>
      <c r="K5278" s="74">
        <f>Tabela6[[#This Row],[CONSUMO]]*Tabela6[[#This Row],[VALOR UNIT]]-Tabela6[[#This Row],[DESCONTO]]</f>
        <v>2202.2632900000003</v>
      </c>
      <c r="L5278" s="53">
        <f>Tabela6[[#This Row],[CUSTO TOTAL]]/Tabela6[[#This Row],[CONSUMO]]</f>
        <v>5.6900000000000013</v>
      </c>
      <c r="M5278" s="53" t="e">
        <f t="array" ref="M5278">SE</f>
        <v>#NAME?</v>
      </c>
      <c r="N5278" s="49" t="e">
        <f>Tabela6[[#This Row],[KM Rodados ]]/Tabela6[[#This Row],[CONSUMO]]</f>
        <v>#NAME?</v>
      </c>
    </row>
    <row r="5279" spans="1:14" x14ac:dyDescent="0.25">
      <c r="A5279" s="47">
        <v>291448</v>
      </c>
      <c r="B5279" s="78">
        <v>45545</v>
      </c>
      <c r="C5279" s="47" t="s">
        <v>72</v>
      </c>
      <c r="D5279" s="49" t="s">
        <v>262</v>
      </c>
      <c r="E5279" s="47">
        <v>474362</v>
      </c>
      <c r="G5279" s="50" t="s">
        <v>89</v>
      </c>
      <c r="H5279" s="51">
        <v>43.290999999999997</v>
      </c>
      <c r="J5279" s="51">
        <v>6.09</v>
      </c>
      <c r="K5279" s="74">
        <f>Tabela6[[#This Row],[CONSUMO]]*Tabela6[[#This Row],[VALOR UNIT]]-Tabela6[[#This Row],[DESCONTO]]</f>
        <v>263.64218999999997</v>
      </c>
      <c r="L5279" s="53">
        <f>Tabela6[[#This Row],[CUSTO TOTAL]]/Tabela6[[#This Row],[CONSUMO]]</f>
        <v>6.09</v>
      </c>
      <c r="M5279" s="53" t="e">
        <f t="array" ref="M5279">SE</f>
        <v>#NAME?</v>
      </c>
      <c r="N5279" s="49" t="e">
        <f>Tabela6[[#This Row],[KM Rodados ]]/Tabela6[[#This Row],[CONSUMO]]</f>
        <v>#NAME?</v>
      </c>
    </row>
    <row r="5280" spans="1:14" x14ac:dyDescent="0.25">
      <c r="A5280" s="47">
        <v>480420</v>
      </c>
      <c r="B5280" s="78">
        <v>45545</v>
      </c>
      <c r="C5280" s="47" t="s">
        <v>72</v>
      </c>
      <c r="D5280" s="49" t="s">
        <v>268</v>
      </c>
      <c r="E5280" s="47">
        <v>474665</v>
      </c>
      <c r="G5280" s="50" t="s">
        <v>89</v>
      </c>
      <c r="H5280" s="51">
        <v>17.271999999999998</v>
      </c>
      <c r="J5280" s="51">
        <v>5.79</v>
      </c>
      <c r="K5280" s="74">
        <f>Tabela6[[#This Row],[CONSUMO]]*Tabela6[[#This Row],[VALOR UNIT]]-Tabela6[[#This Row],[DESCONTO]]</f>
        <v>100.00487999999999</v>
      </c>
      <c r="L5280" s="53">
        <f>Tabela6[[#This Row],[CUSTO TOTAL]]/Tabela6[[#This Row],[CONSUMO]]</f>
        <v>5.79</v>
      </c>
      <c r="M5280" s="53" t="e">
        <f t="array" ref="M5280">SE</f>
        <v>#NAME?</v>
      </c>
      <c r="N5280" s="49" t="e">
        <f>Tabela6[[#This Row],[KM Rodados ]]/Tabela6[[#This Row],[CONSUMO]]</f>
        <v>#NAME?</v>
      </c>
    </row>
    <row r="5281" spans="1:14" x14ac:dyDescent="0.25">
      <c r="A5281" s="47" t="s">
        <v>553</v>
      </c>
      <c r="B5281" s="78">
        <v>45545</v>
      </c>
      <c r="C5281" s="47" t="s">
        <v>73</v>
      </c>
      <c r="D5281" s="49" t="s">
        <v>270</v>
      </c>
      <c r="E5281" s="47">
        <v>225344</v>
      </c>
      <c r="G5281" s="50" t="s">
        <v>241</v>
      </c>
      <c r="H5281" s="51">
        <v>25.82</v>
      </c>
      <c r="J5281" s="51">
        <v>2.99</v>
      </c>
      <c r="K5281" s="74">
        <f>Tabela6[[#This Row],[CONSUMO]]*Tabela6[[#This Row],[VALOR UNIT]]-Tabela6[[#This Row],[DESCONTO]]</f>
        <v>77.201800000000006</v>
      </c>
      <c r="L5281" s="53">
        <f>Tabela6[[#This Row],[CUSTO TOTAL]]/Tabela6[[#This Row],[CONSUMO]]</f>
        <v>2.99</v>
      </c>
      <c r="M5281" s="53" t="e">
        <f t="array" ref="M5281">SE</f>
        <v>#NAME?</v>
      </c>
      <c r="N5281" s="49" t="e">
        <f>Tabela6[[#This Row],[KM Rodados ]]/Tabela6[[#This Row],[CONSUMO]]</f>
        <v>#NAME?</v>
      </c>
    </row>
    <row r="5282" spans="1:14" x14ac:dyDescent="0.25">
      <c r="A5282" s="47">
        <v>838687</v>
      </c>
      <c r="B5282" s="78">
        <v>45545</v>
      </c>
      <c r="C5282" s="47" t="s">
        <v>64</v>
      </c>
      <c r="D5282" s="49" t="s">
        <v>271</v>
      </c>
      <c r="E5282" s="47">
        <v>127630</v>
      </c>
      <c r="G5282" s="50" t="s">
        <v>89</v>
      </c>
      <c r="H5282" s="51">
        <v>215</v>
      </c>
      <c r="J5282" s="51">
        <v>5.79</v>
      </c>
      <c r="K5282" s="74">
        <f>Tabela6[[#This Row],[CONSUMO]]*Tabela6[[#This Row],[VALOR UNIT]]-Tabela6[[#This Row],[DESCONTO]]</f>
        <v>1244.8499999999999</v>
      </c>
      <c r="L5282" s="53">
        <f>Tabela6[[#This Row],[CUSTO TOTAL]]/Tabela6[[#This Row],[CONSUMO]]</f>
        <v>5.7899999999999991</v>
      </c>
      <c r="M5282" s="53" t="e">
        <f t="array" ref="M5282">SE</f>
        <v>#NAME?</v>
      </c>
      <c r="N5282" s="49" t="e">
        <f>Tabela6[[#This Row],[KM Rodados ]]/Tabela6[[#This Row],[CONSUMO]]</f>
        <v>#NAME?</v>
      </c>
    </row>
    <row r="5283" spans="1:14" x14ac:dyDescent="0.25">
      <c r="A5283" s="47">
        <v>72360</v>
      </c>
      <c r="B5283" s="78">
        <v>45545</v>
      </c>
      <c r="C5283" s="47" t="s">
        <v>10</v>
      </c>
      <c r="D5283" s="49" t="s">
        <v>413</v>
      </c>
      <c r="E5283" s="47">
        <v>782892</v>
      </c>
      <c r="G5283" s="50" t="s">
        <v>89</v>
      </c>
      <c r="H5283" s="51">
        <v>202.64099999999999</v>
      </c>
      <c r="J5283" s="51">
        <v>6.34</v>
      </c>
      <c r="K5283" s="74">
        <f>Tabela6[[#This Row],[CONSUMO]]*Tabela6[[#This Row],[VALOR UNIT]]-Tabela6[[#This Row],[DESCONTO]]</f>
        <v>1284.7439399999998</v>
      </c>
      <c r="L5283" s="53">
        <f>Tabela6[[#This Row],[CUSTO TOTAL]]/Tabela6[[#This Row],[CONSUMO]]</f>
        <v>6.34</v>
      </c>
      <c r="M5283" s="53" t="e">
        <f t="array" ref="M5283">SE</f>
        <v>#NAME?</v>
      </c>
      <c r="N5283" s="49" t="e">
        <f>Tabela6[[#This Row],[KM Rodados ]]/Tabela6[[#This Row],[CONSUMO]]</f>
        <v>#NAME?</v>
      </c>
    </row>
    <row r="5284" spans="1:14" x14ac:dyDescent="0.25">
      <c r="A5284" s="47">
        <v>2381828</v>
      </c>
      <c r="B5284" s="78">
        <v>45545</v>
      </c>
      <c r="C5284" s="47" t="s">
        <v>206</v>
      </c>
      <c r="D5284" s="49" t="s">
        <v>252</v>
      </c>
      <c r="E5284" s="47">
        <v>573277</v>
      </c>
      <c r="G5284" s="50" t="s">
        <v>89</v>
      </c>
      <c r="H5284" s="51">
        <v>389</v>
      </c>
      <c r="J5284" s="51">
        <v>5.86</v>
      </c>
      <c r="K5284" s="74">
        <f>Tabela6[[#This Row],[CONSUMO]]*Tabela6[[#This Row],[VALOR UNIT]]-Tabela6[[#This Row],[DESCONTO]]</f>
        <v>2279.54</v>
      </c>
      <c r="L5284" s="53">
        <f>Tabela6[[#This Row],[CUSTO TOTAL]]/Tabela6[[#This Row],[CONSUMO]]</f>
        <v>5.86</v>
      </c>
      <c r="M5284" s="53" t="e">
        <f t="array" ref="M5284">SE</f>
        <v>#NAME?</v>
      </c>
      <c r="N5284" s="49" t="e">
        <f>Tabela6[[#This Row],[KM Rodados ]]/Tabela6[[#This Row],[CONSUMO]]</f>
        <v>#NAME?</v>
      </c>
    </row>
    <row r="5285" spans="1:14" x14ac:dyDescent="0.25">
      <c r="A5285" s="47">
        <v>480328</v>
      </c>
      <c r="B5285" s="78">
        <v>45545</v>
      </c>
      <c r="C5285" s="47" t="s">
        <v>354</v>
      </c>
      <c r="D5285" s="49" t="s">
        <v>268</v>
      </c>
      <c r="E5285" s="47">
        <v>57319</v>
      </c>
      <c r="G5285" s="50" t="s">
        <v>241</v>
      </c>
      <c r="H5285" s="51">
        <v>27.78</v>
      </c>
      <c r="J5285" s="51">
        <v>2.99</v>
      </c>
      <c r="K5285" s="74">
        <f>Tabela6[[#This Row],[CONSUMO]]*Tabela6[[#This Row],[VALOR UNIT]]-Tabela6[[#This Row],[DESCONTO]]</f>
        <v>83.062200000000004</v>
      </c>
      <c r="L5285" s="53">
        <f>Tabela6[[#This Row],[CUSTO TOTAL]]/Tabela6[[#This Row],[CONSUMO]]</f>
        <v>2.99</v>
      </c>
      <c r="M5285" s="53" t="e">
        <f t="array" ref="M5285">SE</f>
        <v>#NAME?</v>
      </c>
      <c r="N5285" s="49" t="e">
        <f>Tabela6[[#This Row],[KM Rodados ]]/Tabela6[[#This Row],[CONSUMO]]</f>
        <v>#NAME?</v>
      </c>
    </row>
    <row r="5286" spans="1:14" x14ac:dyDescent="0.25">
      <c r="A5286" s="47">
        <v>697320</v>
      </c>
      <c r="B5286" s="78">
        <v>45545</v>
      </c>
      <c r="C5286" s="47" t="s">
        <v>401</v>
      </c>
      <c r="D5286" s="49" t="s">
        <v>264</v>
      </c>
      <c r="E5286" s="47">
        <v>52668</v>
      </c>
      <c r="G5286" s="50" t="s">
        <v>89</v>
      </c>
      <c r="H5286" s="51">
        <v>101.86</v>
      </c>
      <c r="J5286" s="51">
        <v>5.96</v>
      </c>
      <c r="K5286" s="74">
        <f>Tabela6[[#This Row],[CONSUMO]]*Tabela6[[#This Row],[VALOR UNIT]]-Tabela6[[#This Row],[DESCONTO]]</f>
        <v>607.0856</v>
      </c>
      <c r="L5286" s="53">
        <f>Tabela6[[#This Row],[CUSTO TOTAL]]/Tabela6[[#This Row],[CONSUMO]]</f>
        <v>5.96</v>
      </c>
      <c r="M5286" s="53" t="e">
        <f t="array" ref="M5286">SE</f>
        <v>#NAME?</v>
      </c>
      <c r="N5286" s="49" t="e">
        <f>Tabela6[[#This Row],[KM Rodados ]]/Tabela6[[#This Row],[CONSUMO]]</f>
        <v>#NAME?</v>
      </c>
    </row>
    <row r="5287" spans="1:14" x14ac:dyDescent="0.25">
      <c r="A5287" s="47">
        <v>333241</v>
      </c>
      <c r="B5287" s="78">
        <v>45545</v>
      </c>
      <c r="C5287" s="47"/>
      <c r="D5287" s="49" t="s">
        <v>252</v>
      </c>
      <c r="G5287" s="50" t="s">
        <v>241</v>
      </c>
      <c r="H5287" s="51">
        <v>35</v>
      </c>
      <c r="J5287" s="51">
        <v>3.89</v>
      </c>
      <c r="K5287" s="74">
        <f>Tabela6[[#This Row],[CONSUMO]]*Tabela6[[#This Row],[VALOR UNIT]]-Tabela6[[#This Row],[DESCONTO]]</f>
        <v>136.15</v>
      </c>
      <c r="L5287" s="53">
        <f>Tabela6[[#This Row],[CUSTO TOTAL]]/Tabela6[[#This Row],[CONSUMO]]</f>
        <v>3.89</v>
      </c>
      <c r="M5287" s="53" t="e">
        <f t="array" ref="M5287">SE</f>
        <v>#NAME?</v>
      </c>
      <c r="N5287" s="49" t="e">
        <f>Tabela6[[#This Row],[KM Rodados ]]/Tabela6[[#This Row],[CONSUMO]]</f>
        <v>#NAME?</v>
      </c>
    </row>
    <row r="5288" spans="1:14" x14ac:dyDescent="0.25">
      <c r="A5288" s="47" t="s">
        <v>556</v>
      </c>
      <c r="B5288" s="78">
        <v>45546</v>
      </c>
      <c r="C5288" s="47" t="s">
        <v>222</v>
      </c>
      <c r="D5288" s="49" t="s">
        <v>300</v>
      </c>
      <c r="G5288" s="50" t="s">
        <v>241</v>
      </c>
      <c r="H5288" s="51">
        <v>39.210999999999999</v>
      </c>
      <c r="J5288" s="51">
        <v>2.99</v>
      </c>
      <c r="K5288" s="74">
        <f>Tabela6[[#This Row],[CONSUMO]]*Tabela6[[#This Row],[VALOR UNIT]]-Tabela6[[#This Row],[DESCONTO]]</f>
        <v>117.24089000000001</v>
      </c>
      <c r="L5288" s="53">
        <f>Tabela6[[#This Row],[CUSTO TOTAL]]/Tabela6[[#This Row],[CONSUMO]]</f>
        <v>2.99</v>
      </c>
      <c r="M5288" s="53" t="e">
        <f t="array" ref="M5288">SE</f>
        <v>#NAME?</v>
      </c>
      <c r="N5288" s="49" t="e">
        <f>Tabela6[[#This Row],[KM Rodados ]]/Tabela6[[#This Row],[CONSUMO]]</f>
        <v>#NAME?</v>
      </c>
    </row>
    <row r="5289" spans="1:14" x14ac:dyDescent="0.25">
      <c r="A5289" s="47">
        <v>434382</v>
      </c>
      <c r="B5289" s="78">
        <v>45546</v>
      </c>
      <c r="C5289" s="47" t="s">
        <v>67</v>
      </c>
      <c r="D5289" s="49" t="s">
        <v>276</v>
      </c>
      <c r="E5289" s="47">
        <v>735939</v>
      </c>
      <c r="G5289" s="50" t="s">
        <v>241</v>
      </c>
      <c r="H5289" s="51">
        <v>18.709</v>
      </c>
      <c r="J5289" s="51">
        <v>3.69</v>
      </c>
      <c r="K5289" s="74">
        <f>Tabela6[[#This Row],[CONSUMO]]*Tabela6[[#This Row],[VALOR UNIT]]-Tabela6[[#This Row],[DESCONTO]]</f>
        <v>69.036209999999997</v>
      </c>
      <c r="L5289" s="53">
        <f>Tabela6[[#This Row],[CUSTO TOTAL]]/Tabela6[[#This Row],[CONSUMO]]</f>
        <v>3.69</v>
      </c>
      <c r="M5289" s="53" t="e">
        <f t="array" ref="M5289">SE</f>
        <v>#NAME?</v>
      </c>
      <c r="N5289" s="49" t="e">
        <f>Tabela6[[#This Row],[KM Rodados ]]/Tabela6[[#This Row],[CONSUMO]]</f>
        <v>#NAME?</v>
      </c>
    </row>
    <row r="5290" spans="1:14" x14ac:dyDescent="0.25">
      <c r="A5290" s="47" t="s">
        <v>559</v>
      </c>
      <c r="B5290" s="78">
        <v>45546</v>
      </c>
      <c r="C5290" s="47" t="s">
        <v>67</v>
      </c>
      <c r="D5290" s="49" t="s">
        <v>273</v>
      </c>
      <c r="E5290" s="47">
        <v>735622</v>
      </c>
      <c r="G5290" s="50" t="s">
        <v>89</v>
      </c>
      <c r="H5290" s="51">
        <v>118.261</v>
      </c>
      <c r="J5290" s="51">
        <v>5.75</v>
      </c>
      <c r="K5290" s="74">
        <f>Tabela6[[#This Row],[CONSUMO]]*Tabela6[[#This Row],[VALOR UNIT]]-Tabela6[[#This Row],[DESCONTO]]</f>
        <v>680.00074999999993</v>
      </c>
      <c r="L5290" s="53">
        <f>Tabela6[[#This Row],[CUSTO TOTAL]]/Tabela6[[#This Row],[CONSUMO]]</f>
        <v>5.75</v>
      </c>
      <c r="M5290" s="53" t="e">
        <f t="array" ref="M5290">SE</f>
        <v>#NAME?</v>
      </c>
      <c r="N5290" s="49" t="e">
        <f>Tabela6[[#This Row],[KM Rodados ]]/Tabela6[[#This Row],[CONSUMO]]</f>
        <v>#NAME?</v>
      </c>
    </row>
    <row r="5291" spans="1:14" x14ac:dyDescent="0.25">
      <c r="A5291" s="47">
        <v>434220</v>
      </c>
      <c r="B5291" s="78">
        <v>45546</v>
      </c>
      <c r="C5291" s="47" t="s">
        <v>40</v>
      </c>
      <c r="D5291" s="49" t="s">
        <v>276</v>
      </c>
      <c r="E5291" s="47">
        <v>220258</v>
      </c>
      <c r="G5291" s="50" t="s">
        <v>244</v>
      </c>
      <c r="H5291" s="51">
        <v>39.061</v>
      </c>
      <c r="J5291" s="51">
        <v>6.09</v>
      </c>
      <c r="K5291" s="74">
        <f>Tabela6[[#This Row],[CONSUMO]]*Tabela6[[#This Row],[VALOR UNIT]]-Tabela6[[#This Row],[DESCONTO]]</f>
        <v>237.88148999999999</v>
      </c>
      <c r="L5291" s="53">
        <f>Tabela6[[#This Row],[CUSTO TOTAL]]/Tabela6[[#This Row],[CONSUMO]]</f>
        <v>6.09</v>
      </c>
      <c r="M5291" s="53" t="e">
        <f t="array" ref="M5291">SE</f>
        <v>#NAME?</v>
      </c>
      <c r="N5291" s="49" t="e">
        <f>Tabela6[[#This Row],[KM Rodados ]]/Tabela6[[#This Row],[CONSUMO]]</f>
        <v>#NAME?</v>
      </c>
    </row>
    <row r="5292" spans="1:14" x14ac:dyDescent="0.25">
      <c r="A5292" s="47">
        <v>697320</v>
      </c>
      <c r="B5292" s="78">
        <v>45546</v>
      </c>
      <c r="C5292" s="47" t="s">
        <v>401</v>
      </c>
      <c r="D5292" s="49" t="s">
        <v>264</v>
      </c>
      <c r="E5292" s="47">
        <v>53589</v>
      </c>
      <c r="G5292" s="50" t="s">
        <v>241</v>
      </c>
      <c r="H5292" s="51">
        <v>29</v>
      </c>
      <c r="J5292" s="51">
        <v>2.93</v>
      </c>
      <c r="K5292" s="74">
        <f>Tabela6[[#This Row],[CONSUMO]]*Tabela6[[#This Row],[VALOR UNIT]]-Tabela6[[#This Row],[DESCONTO]]</f>
        <v>84.97</v>
      </c>
      <c r="L5292" s="53">
        <f>Tabela6[[#This Row],[CUSTO TOTAL]]/Tabela6[[#This Row],[CONSUMO]]</f>
        <v>2.93</v>
      </c>
      <c r="M5292" s="53" t="e">
        <f t="array" ref="M5292">SE</f>
        <v>#NAME?</v>
      </c>
      <c r="N5292" s="49" t="e">
        <f>Tabela6[[#This Row],[KM Rodados ]]/Tabela6[[#This Row],[CONSUMO]]</f>
        <v>#NAME?</v>
      </c>
    </row>
    <row r="5293" spans="1:14" x14ac:dyDescent="0.25">
      <c r="A5293" s="47">
        <v>597320</v>
      </c>
      <c r="B5293" s="78">
        <v>45546</v>
      </c>
      <c r="C5293" s="47" t="s">
        <v>401</v>
      </c>
      <c r="D5293" s="49" t="s">
        <v>264</v>
      </c>
      <c r="E5293" s="47">
        <v>53589</v>
      </c>
      <c r="G5293" s="50" t="s">
        <v>89</v>
      </c>
      <c r="H5293" s="51">
        <v>104.122</v>
      </c>
      <c r="J5293" s="51">
        <v>5.96</v>
      </c>
      <c r="K5293" s="74">
        <f>Tabela6[[#This Row],[CONSUMO]]*Tabela6[[#This Row],[VALOR UNIT]]-Tabela6[[#This Row],[DESCONTO]]</f>
        <v>620.56712000000005</v>
      </c>
      <c r="L5293" s="53">
        <f>Tabela6[[#This Row],[CUSTO TOTAL]]/Tabela6[[#This Row],[CONSUMO]]</f>
        <v>5.9600000000000009</v>
      </c>
      <c r="M5293" s="53" t="e">
        <f t="array" ref="M5293">SE</f>
        <v>#NAME?</v>
      </c>
      <c r="N5293" s="49" t="e">
        <f>Tabela6[[#This Row],[KM Rodados ]]/Tabela6[[#This Row],[CONSUMO]]</f>
        <v>#NAME?</v>
      </c>
    </row>
    <row r="5294" spans="1:14" x14ac:dyDescent="0.25">
      <c r="A5294" s="47">
        <v>325652</v>
      </c>
      <c r="B5294" s="78">
        <v>45547</v>
      </c>
      <c r="C5294" s="47" t="s">
        <v>68</v>
      </c>
      <c r="D5294" s="49" t="s">
        <v>253</v>
      </c>
      <c r="E5294" s="47">
        <v>1005112</v>
      </c>
      <c r="G5294" s="50" t="s">
        <v>89</v>
      </c>
      <c r="H5294" s="51">
        <v>348.72</v>
      </c>
      <c r="J5294" s="51">
        <v>6.09</v>
      </c>
      <c r="K5294" s="74">
        <f>Tabela6[[#This Row],[CONSUMO]]*Tabela6[[#This Row],[VALOR UNIT]]-Tabela6[[#This Row],[DESCONTO]]</f>
        <v>2123.7048</v>
      </c>
      <c r="L5294" s="53">
        <f>Tabela6[[#This Row],[CUSTO TOTAL]]/Tabela6[[#This Row],[CONSUMO]]</f>
        <v>6.09</v>
      </c>
      <c r="M5294" s="53" t="e">
        <f t="array" ref="M5294">SE</f>
        <v>#NAME?</v>
      </c>
      <c r="N5294" s="49" t="e">
        <f>Tabela6[[#This Row],[KM Rodados ]]/Tabela6[[#This Row],[CONSUMO]]</f>
        <v>#NAME?</v>
      </c>
    </row>
    <row r="5295" spans="1:14" x14ac:dyDescent="0.25">
      <c r="A5295" s="47">
        <v>236267</v>
      </c>
      <c r="B5295" s="78">
        <v>45547</v>
      </c>
      <c r="C5295" s="47" t="s">
        <v>43</v>
      </c>
      <c r="D5295" s="49" t="s">
        <v>263</v>
      </c>
      <c r="E5295" s="47">
        <v>206442</v>
      </c>
      <c r="G5295" s="50" t="s">
        <v>89</v>
      </c>
      <c r="H5295" s="51">
        <v>25.300999999999998</v>
      </c>
      <c r="I5295" s="49">
        <v>3.8</v>
      </c>
      <c r="J5295" s="51">
        <v>6.09</v>
      </c>
      <c r="K5295" s="74">
        <f>Tabela6[[#This Row],[CONSUMO]]*Tabela6[[#This Row],[VALOR UNIT]]-Tabela6[[#This Row],[DESCONTO]]</f>
        <v>150.28308999999999</v>
      </c>
      <c r="L5295" s="53">
        <f>Tabela6[[#This Row],[CUSTO TOTAL]]/Tabela6[[#This Row],[CONSUMO]]</f>
        <v>5.939808307972017</v>
      </c>
      <c r="M5295" s="53" t="e">
        <f t="array" ref="M5295">SE</f>
        <v>#NAME?</v>
      </c>
      <c r="N5295" s="49" t="e">
        <f>Tabela6[[#This Row],[KM Rodados ]]/Tabela6[[#This Row],[CONSUMO]]</f>
        <v>#NAME?</v>
      </c>
    </row>
    <row r="5296" spans="1:14" x14ac:dyDescent="0.25">
      <c r="A5296" s="47" t="s">
        <v>552</v>
      </c>
      <c r="B5296" s="78">
        <v>45547</v>
      </c>
      <c r="C5296" s="47" t="s">
        <v>43</v>
      </c>
      <c r="D5296" s="49" t="s">
        <v>300</v>
      </c>
      <c r="E5296" s="47">
        <v>206722</v>
      </c>
      <c r="G5296" s="50" t="s">
        <v>89</v>
      </c>
      <c r="H5296" s="51">
        <v>34.549999999999997</v>
      </c>
      <c r="J5296" s="51">
        <v>5.79</v>
      </c>
      <c r="K5296" s="74">
        <f>Tabela6[[#This Row],[CONSUMO]]*Tabela6[[#This Row],[VALOR UNIT]]-Tabela6[[#This Row],[DESCONTO]]</f>
        <v>200.04449999999997</v>
      </c>
      <c r="L5296" s="53">
        <f>Tabela6[[#This Row],[CUSTO TOTAL]]/Tabela6[[#This Row],[CONSUMO]]</f>
        <v>5.79</v>
      </c>
      <c r="M5296" s="53" t="e">
        <f t="array" ref="M5296">SE</f>
        <v>#NAME?</v>
      </c>
      <c r="N5296" s="49" t="e">
        <f>Tabela6[[#This Row],[KM Rodados ]]/Tabela6[[#This Row],[CONSUMO]]</f>
        <v>#NAME?</v>
      </c>
    </row>
    <row r="5297" spans="1:14" x14ac:dyDescent="0.25">
      <c r="A5297" s="47">
        <v>326059</v>
      </c>
      <c r="B5297" s="78">
        <v>45547</v>
      </c>
      <c r="C5297" s="47" t="s">
        <v>67</v>
      </c>
      <c r="D5297" s="49" t="s">
        <v>273</v>
      </c>
      <c r="E5297" s="47">
        <v>736060</v>
      </c>
      <c r="G5297" s="50" t="s">
        <v>89</v>
      </c>
      <c r="H5297" s="51">
        <v>114</v>
      </c>
      <c r="J5297" s="51">
        <v>5.75</v>
      </c>
      <c r="K5297" s="74">
        <f>Tabela6[[#This Row],[CONSUMO]]*Tabela6[[#This Row],[VALOR UNIT]]-Tabela6[[#This Row],[DESCONTO]]</f>
        <v>655.5</v>
      </c>
      <c r="L5297" s="53">
        <f>Tabela6[[#This Row],[CUSTO TOTAL]]/Tabela6[[#This Row],[CONSUMO]]</f>
        <v>5.75</v>
      </c>
      <c r="M5297" s="53" t="e">
        <f t="array" ref="M5297">SE</f>
        <v>#NAME?</v>
      </c>
      <c r="N5297" s="49" t="e">
        <f>Tabela6[[#This Row],[KM Rodados ]]/Tabela6[[#This Row],[CONSUMO]]</f>
        <v>#NAME?</v>
      </c>
    </row>
    <row r="5298" spans="1:14" x14ac:dyDescent="0.25">
      <c r="A5298" s="47">
        <v>470681</v>
      </c>
      <c r="B5298" s="78">
        <v>45547</v>
      </c>
      <c r="C5298" s="47" t="s">
        <v>70</v>
      </c>
      <c r="D5298" s="49" t="s">
        <v>269</v>
      </c>
      <c r="E5298" s="47">
        <v>309781</v>
      </c>
      <c r="G5298" s="50" t="s">
        <v>241</v>
      </c>
      <c r="H5298" s="51">
        <v>51.351999999999997</v>
      </c>
      <c r="J5298" s="51">
        <v>2.99</v>
      </c>
      <c r="K5298" s="74">
        <f>Tabela6[[#This Row],[CONSUMO]]*Tabela6[[#This Row],[VALOR UNIT]]-Tabela6[[#This Row],[DESCONTO]]</f>
        <v>153.54248000000001</v>
      </c>
      <c r="L5298" s="53">
        <f>Tabela6[[#This Row],[CUSTO TOTAL]]/Tabela6[[#This Row],[CONSUMO]]</f>
        <v>2.99</v>
      </c>
      <c r="M5298" s="53" t="e">
        <f t="array" ref="M5298">SE</f>
        <v>#NAME?</v>
      </c>
      <c r="N5298" s="49" t="e">
        <f>Tabela6[[#This Row],[KM Rodados ]]/Tabela6[[#This Row],[CONSUMO]]</f>
        <v>#NAME?</v>
      </c>
    </row>
    <row r="5299" spans="1:14" x14ac:dyDescent="0.25">
      <c r="A5299" s="47">
        <v>310107</v>
      </c>
      <c r="B5299" s="78">
        <v>45547</v>
      </c>
      <c r="C5299" s="47" t="s">
        <v>73</v>
      </c>
      <c r="D5299" s="49" t="s">
        <v>390</v>
      </c>
      <c r="E5299" s="47">
        <v>226315</v>
      </c>
      <c r="G5299" s="50" t="s">
        <v>89</v>
      </c>
      <c r="H5299" s="51">
        <v>238</v>
      </c>
      <c r="J5299" s="51">
        <v>5.94</v>
      </c>
      <c r="K5299" s="74">
        <f>Tabela6[[#This Row],[CONSUMO]]*Tabela6[[#This Row],[VALOR UNIT]]-Tabela6[[#This Row],[DESCONTO]]</f>
        <v>1413.72</v>
      </c>
      <c r="L5299" s="53">
        <f>Tabela6[[#This Row],[CUSTO TOTAL]]/Tabela6[[#This Row],[CONSUMO]]</f>
        <v>5.94</v>
      </c>
      <c r="M5299" s="53" t="e">
        <f t="array" ref="M5299">SE</f>
        <v>#NAME?</v>
      </c>
      <c r="N5299" s="49" t="e">
        <f>Tabela6[[#This Row],[KM Rodados ]]/Tabela6[[#This Row],[CONSUMO]]</f>
        <v>#NAME?</v>
      </c>
    </row>
    <row r="5300" spans="1:14" x14ac:dyDescent="0.25">
      <c r="A5300" s="47">
        <v>292017</v>
      </c>
      <c r="B5300" s="78">
        <v>45547</v>
      </c>
      <c r="C5300" s="47" t="s">
        <v>14</v>
      </c>
      <c r="D5300" s="49" t="s">
        <v>262</v>
      </c>
      <c r="E5300" s="47">
        <v>344020</v>
      </c>
      <c r="G5300" s="50" t="s">
        <v>244</v>
      </c>
      <c r="H5300" s="51">
        <v>28.04</v>
      </c>
      <c r="J5300" s="51">
        <v>5.99</v>
      </c>
      <c r="K5300" s="74">
        <f>Tabela6[[#This Row],[CONSUMO]]*Tabela6[[#This Row],[VALOR UNIT]]-Tabela6[[#This Row],[DESCONTO]]</f>
        <v>167.95959999999999</v>
      </c>
      <c r="L5300" s="53">
        <f>Tabela6[[#This Row],[CUSTO TOTAL]]/Tabela6[[#This Row],[CONSUMO]]</f>
        <v>5.99</v>
      </c>
      <c r="M5300" s="53" t="e">
        <f t="array" ref="M5300">SE</f>
        <v>#NAME?</v>
      </c>
      <c r="N5300" s="49" t="e">
        <f>Tabela6[[#This Row],[KM Rodados ]]/Tabela6[[#This Row],[CONSUMO]]</f>
        <v>#NAME?</v>
      </c>
    </row>
    <row r="5301" spans="1:14" x14ac:dyDescent="0.25">
      <c r="A5301" s="47">
        <v>325944</v>
      </c>
      <c r="B5301" s="78">
        <v>45547</v>
      </c>
      <c r="C5301" s="47" t="s">
        <v>15</v>
      </c>
      <c r="D5301" s="49" t="s">
        <v>253</v>
      </c>
      <c r="E5301" s="47">
        <v>449968</v>
      </c>
      <c r="G5301" s="50" t="s">
        <v>89</v>
      </c>
      <c r="H5301" s="51">
        <v>130.05000000000001</v>
      </c>
      <c r="J5301" s="51">
        <v>6.09</v>
      </c>
      <c r="K5301" s="74">
        <f>Tabela6[[#This Row],[CONSUMO]]*Tabela6[[#This Row],[VALOR UNIT]]-Tabela6[[#This Row],[DESCONTO]]</f>
        <v>792.00450000000001</v>
      </c>
      <c r="L5301" s="53">
        <f>Tabela6[[#This Row],[CUSTO TOTAL]]/Tabela6[[#This Row],[CONSUMO]]</f>
        <v>6.09</v>
      </c>
      <c r="M5301" s="53" t="e">
        <f t="array" ref="M5301">SE</f>
        <v>#NAME?</v>
      </c>
      <c r="N5301" s="49" t="e">
        <f>Tabela6[[#This Row],[KM Rodados ]]/Tabela6[[#This Row],[CONSUMO]]</f>
        <v>#NAME?</v>
      </c>
    </row>
    <row r="5302" spans="1:14" x14ac:dyDescent="0.25">
      <c r="A5302" s="47">
        <v>325944</v>
      </c>
      <c r="B5302" s="78">
        <v>45547</v>
      </c>
      <c r="C5302" s="47" t="s">
        <v>15</v>
      </c>
      <c r="D5302" s="49" t="s">
        <v>253</v>
      </c>
      <c r="E5302" s="47">
        <v>449968</v>
      </c>
      <c r="G5302" s="50" t="s">
        <v>241</v>
      </c>
      <c r="H5302" s="51">
        <v>23</v>
      </c>
      <c r="J5302" s="51">
        <v>3.49</v>
      </c>
      <c r="K5302" s="74">
        <f>Tabela6[[#This Row],[CONSUMO]]*Tabela6[[#This Row],[VALOR UNIT]]-Tabela6[[#This Row],[DESCONTO]]</f>
        <v>80.27000000000001</v>
      </c>
      <c r="L5302" s="53">
        <f>Tabela6[[#This Row],[CUSTO TOTAL]]/Tabela6[[#This Row],[CONSUMO]]</f>
        <v>3.4900000000000007</v>
      </c>
      <c r="M5302" s="53" t="e">
        <f t="array" ref="M5302">SE</f>
        <v>#NAME?</v>
      </c>
      <c r="N5302" s="49" t="e">
        <f>Tabela6[[#This Row],[KM Rodados ]]/Tabela6[[#This Row],[CONSUMO]]</f>
        <v>#NAME?</v>
      </c>
    </row>
    <row r="5303" spans="1:14" x14ac:dyDescent="0.25">
      <c r="A5303" s="47">
        <v>291953</v>
      </c>
      <c r="B5303" s="78">
        <v>45547</v>
      </c>
      <c r="C5303" s="47" t="s">
        <v>19</v>
      </c>
      <c r="D5303" s="49" t="s">
        <v>262</v>
      </c>
      <c r="E5303" s="47">
        <v>3398187</v>
      </c>
      <c r="G5303" s="50" t="s">
        <v>241</v>
      </c>
      <c r="H5303" s="51">
        <v>21.741</v>
      </c>
      <c r="I5303" s="49">
        <v>7.82</v>
      </c>
      <c r="J5303" s="51">
        <v>3.69</v>
      </c>
      <c r="K5303" s="74">
        <f>Tabela6[[#This Row],[CONSUMO]]*Tabela6[[#This Row],[VALOR UNIT]]-Tabela6[[#This Row],[DESCONTO]]</f>
        <v>72.404290000000003</v>
      </c>
      <c r="L5303" s="53">
        <f>Tabela6[[#This Row],[CUSTO TOTAL]]/Tabela6[[#This Row],[CONSUMO]]</f>
        <v>3.33031093325974</v>
      </c>
      <c r="M5303" s="53" t="e">
        <f t="array" ref="M5303">SE</f>
        <v>#NAME?</v>
      </c>
      <c r="N5303" s="49" t="e">
        <f>Tabela6[[#This Row],[KM Rodados ]]/Tabela6[[#This Row],[CONSUMO]]</f>
        <v>#NAME?</v>
      </c>
    </row>
    <row r="5304" spans="1:14" x14ac:dyDescent="0.25">
      <c r="A5304" s="47">
        <v>45719</v>
      </c>
      <c r="B5304" s="78">
        <v>45547</v>
      </c>
      <c r="C5304" s="47" t="s">
        <v>38</v>
      </c>
      <c r="D5304" s="49" t="s">
        <v>255</v>
      </c>
      <c r="E5304" s="47">
        <v>153699</v>
      </c>
      <c r="G5304" s="50" t="s">
        <v>244</v>
      </c>
      <c r="H5304" s="51">
        <v>51.470999999999997</v>
      </c>
      <c r="J5304" s="51">
        <v>5.99</v>
      </c>
      <c r="K5304" s="74">
        <f>Tabela6[[#This Row],[CONSUMO]]*Tabela6[[#This Row],[VALOR UNIT]]-Tabela6[[#This Row],[DESCONTO]]</f>
        <v>308.31128999999999</v>
      </c>
      <c r="L5304" s="53">
        <f>Tabela6[[#This Row],[CUSTO TOTAL]]/Tabela6[[#This Row],[CONSUMO]]</f>
        <v>5.99</v>
      </c>
      <c r="M5304" s="53" t="e">
        <f t="array" ref="M5304">SE</f>
        <v>#NAME?</v>
      </c>
      <c r="N5304" s="49" t="e">
        <f>Tabela6[[#This Row],[KM Rodados ]]/Tabela6[[#This Row],[CONSUMO]]</f>
        <v>#NAME?</v>
      </c>
    </row>
    <row r="5305" spans="1:14" x14ac:dyDescent="0.25">
      <c r="A5305" s="47">
        <v>434569</v>
      </c>
      <c r="B5305" s="78">
        <v>45547</v>
      </c>
      <c r="C5305" s="47" t="s">
        <v>40</v>
      </c>
      <c r="D5305" s="49" t="s">
        <v>276</v>
      </c>
      <c r="E5305" s="47">
        <v>220799</v>
      </c>
      <c r="G5305" s="50" t="s">
        <v>244</v>
      </c>
      <c r="H5305" s="51">
        <v>40.299999999999997</v>
      </c>
      <c r="J5305" s="51">
        <v>6.09</v>
      </c>
      <c r="K5305" s="74">
        <f>Tabela6[[#This Row],[CONSUMO]]*Tabela6[[#This Row],[VALOR UNIT]]-Tabela6[[#This Row],[DESCONTO]]</f>
        <v>245.42699999999996</v>
      </c>
      <c r="L5305" s="53">
        <f>Tabela6[[#This Row],[CUSTO TOTAL]]/Tabela6[[#This Row],[CONSUMO]]</f>
        <v>6.09</v>
      </c>
      <c r="M5305" s="53" t="e">
        <f t="array" ref="M5305">SE</f>
        <v>#NAME?</v>
      </c>
      <c r="N5305" s="49" t="e">
        <f>Tabela6[[#This Row],[KM Rodados ]]/Tabela6[[#This Row],[CONSUMO]]</f>
        <v>#NAME?</v>
      </c>
    </row>
    <row r="5306" spans="1:14" x14ac:dyDescent="0.25">
      <c r="A5306" s="47">
        <v>310102</v>
      </c>
      <c r="B5306" s="78">
        <v>45547</v>
      </c>
      <c r="C5306" s="47" t="s">
        <v>446</v>
      </c>
      <c r="D5306" s="49" t="s">
        <v>390</v>
      </c>
      <c r="E5306" s="47">
        <v>39703</v>
      </c>
      <c r="G5306" s="50" t="s">
        <v>241</v>
      </c>
      <c r="H5306" s="51">
        <v>28</v>
      </c>
      <c r="J5306" s="51">
        <v>3.69</v>
      </c>
      <c r="K5306" s="74">
        <f>Tabela6[[#This Row],[CONSUMO]]*Tabela6[[#This Row],[VALOR UNIT]]-Tabela6[[#This Row],[DESCONTO]]</f>
        <v>103.32</v>
      </c>
      <c r="L5306" s="53">
        <f>Tabela6[[#This Row],[CUSTO TOTAL]]/Tabela6[[#This Row],[CONSUMO]]</f>
        <v>3.69</v>
      </c>
      <c r="M5306" s="53" t="e">
        <f t="array" ref="M5306">SE</f>
        <v>#NAME?</v>
      </c>
      <c r="N5306" s="49" t="e">
        <f>Tabela6[[#This Row],[KM Rodados ]]/Tabela6[[#This Row],[CONSUMO]]</f>
        <v>#NAME?</v>
      </c>
    </row>
    <row r="5307" spans="1:14" x14ac:dyDescent="0.25">
      <c r="A5307" s="47">
        <v>302343</v>
      </c>
      <c r="B5307" s="78">
        <v>45548</v>
      </c>
      <c r="C5307" s="47" t="s">
        <v>358</v>
      </c>
      <c r="D5307" s="49" t="s">
        <v>374</v>
      </c>
      <c r="E5307" s="47">
        <v>883149</v>
      </c>
      <c r="G5307" s="50" t="s">
        <v>89</v>
      </c>
      <c r="H5307" s="51">
        <v>378.01100000000002</v>
      </c>
      <c r="J5307" s="51">
        <v>5.79</v>
      </c>
      <c r="K5307" s="74">
        <f>Tabela6[[#This Row],[CONSUMO]]*Tabela6[[#This Row],[VALOR UNIT]]-Tabela6[[#This Row],[DESCONTO]]</f>
        <v>2188.6836900000003</v>
      </c>
      <c r="L5307" s="53">
        <f>Tabela6[[#This Row],[CUSTO TOTAL]]/Tabela6[[#This Row],[CONSUMO]]</f>
        <v>5.79</v>
      </c>
      <c r="M5307" s="53" t="e">
        <f t="array" ref="M5307">SE</f>
        <v>#NAME?</v>
      </c>
      <c r="N5307" s="49" t="e">
        <f>Tabela6[[#This Row],[KM Rodados ]]/Tabela6[[#This Row],[CONSUMO]]</f>
        <v>#NAME?</v>
      </c>
    </row>
    <row r="5308" spans="1:14" x14ac:dyDescent="0.25">
      <c r="A5308" s="47">
        <v>292248</v>
      </c>
      <c r="B5308" s="78">
        <v>45548</v>
      </c>
      <c r="C5308" s="47" t="s">
        <v>203</v>
      </c>
      <c r="D5308" s="49" t="s">
        <v>262</v>
      </c>
      <c r="E5308" s="47">
        <v>179396</v>
      </c>
      <c r="G5308" s="50" t="s">
        <v>244</v>
      </c>
      <c r="H5308" s="51">
        <v>41.19</v>
      </c>
      <c r="J5308" s="51">
        <v>5.99</v>
      </c>
      <c r="K5308" s="74">
        <f>Tabela6[[#This Row],[CONSUMO]]*Tabela6[[#This Row],[VALOR UNIT]]-Tabela6[[#This Row],[DESCONTO]]</f>
        <v>246.72809999999998</v>
      </c>
      <c r="L5308" s="53">
        <f>Tabela6[[#This Row],[CUSTO TOTAL]]/Tabela6[[#This Row],[CONSUMO]]</f>
        <v>5.99</v>
      </c>
      <c r="M5308" s="53" t="e">
        <f t="array" ref="M5308">SE</f>
        <v>#NAME?</v>
      </c>
      <c r="N5308" s="49" t="e">
        <f>Tabela6[[#This Row],[KM Rodados ]]/Tabela6[[#This Row],[CONSUMO]]</f>
        <v>#NAME?</v>
      </c>
    </row>
    <row r="5309" spans="1:14" x14ac:dyDescent="0.25">
      <c r="A5309" s="47">
        <v>236474</v>
      </c>
      <c r="B5309" s="78">
        <v>45548</v>
      </c>
      <c r="C5309" s="47" t="s">
        <v>72</v>
      </c>
      <c r="D5309" s="49" t="s">
        <v>263</v>
      </c>
      <c r="E5309" s="47">
        <v>474969</v>
      </c>
      <c r="G5309" s="50" t="s">
        <v>89</v>
      </c>
      <c r="H5309" s="51">
        <v>26.850999999999999</v>
      </c>
      <c r="I5309" s="49">
        <v>4.03</v>
      </c>
      <c r="J5309" s="51">
        <v>6.09</v>
      </c>
      <c r="K5309" s="74">
        <f>Tabela6[[#This Row],[CONSUMO]]*Tabela6[[#This Row],[VALOR UNIT]]-Tabela6[[#This Row],[DESCONTO]]</f>
        <v>159.49258999999998</v>
      </c>
      <c r="L5309" s="53">
        <f>Tabela6[[#This Row],[CUSTO TOTAL]]/Tabela6[[#This Row],[CONSUMO]]</f>
        <v>5.939912479982123</v>
      </c>
      <c r="M5309" s="53" t="e">
        <f t="array" ref="M5309">SE</f>
        <v>#NAME?</v>
      </c>
      <c r="N5309" s="49" t="e">
        <f>Tabela6[[#This Row],[KM Rodados ]]/Tabela6[[#This Row],[CONSUMO]]</f>
        <v>#NAME?</v>
      </c>
    </row>
    <row r="5310" spans="1:14" x14ac:dyDescent="0.25">
      <c r="A5310" s="47">
        <v>286259</v>
      </c>
      <c r="B5310" s="78">
        <v>45548</v>
      </c>
      <c r="C5310" s="47" t="s">
        <v>72</v>
      </c>
      <c r="D5310" s="49" t="s">
        <v>300</v>
      </c>
      <c r="E5310" s="47">
        <v>475335</v>
      </c>
      <c r="G5310" s="50" t="s">
        <v>89</v>
      </c>
      <c r="H5310" s="51">
        <v>42.350999999999999</v>
      </c>
      <c r="J5310" s="51">
        <v>5.79</v>
      </c>
      <c r="K5310" s="74">
        <f>Tabela6[[#This Row],[CONSUMO]]*Tabela6[[#This Row],[VALOR UNIT]]-Tabela6[[#This Row],[DESCONTO]]</f>
        <v>245.21229</v>
      </c>
      <c r="L5310" s="53">
        <f>Tabela6[[#This Row],[CUSTO TOTAL]]/Tabela6[[#This Row],[CONSUMO]]</f>
        <v>5.79</v>
      </c>
      <c r="M5310" s="53" t="e">
        <f t="array" ref="M5310">SE</f>
        <v>#NAME?</v>
      </c>
      <c r="N5310" s="49" t="e">
        <f>Tabela6[[#This Row],[KM Rodados ]]/Tabela6[[#This Row],[CONSUMO]]</f>
        <v>#NAME?</v>
      </c>
    </row>
    <row r="5311" spans="1:14" x14ac:dyDescent="0.25">
      <c r="A5311" s="47">
        <v>1067916</v>
      </c>
      <c r="B5311" s="78">
        <v>45548</v>
      </c>
      <c r="C5311" s="47" t="s">
        <v>73</v>
      </c>
      <c r="D5311" s="49" t="s">
        <v>561</v>
      </c>
      <c r="E5311" s="47">
        <v>226769</v>
      </c>
      <c r="G5311" s="50" t="s">
        <v>241</v>
      </c>
      <c r="H5311" s="51">
        <v>21.19</v>
      </c>
      <c r="J5311" s="51">
        <v>2.99</v>
      </c>
      <c r="K5311" s="74">
        <f>Tabela6[[#This Row],[CONSUMO]]*Tabela6[[#This Row],[VALOR UNIT]]-Tabela6[[#This Row],[DESCONTO]]</f>
        <v>63.358100000000007</v>
      </c>
      <c r="L5311" s="53">
        <f>Tabela6[[#This Row],[CUSTO TOTAL]]/Tabela6[[#This Row],[CONSUMO]]</f>
        <v>2.99</v>
      </c>
      <c r="M5311" s="53" t="e">
        <f t="array" ref="M5311">SE</f>
        <v>#NAME?</v>
      </c>
      <c r="N5311" s="49" t="e">
        <f>Tabela6[[#This Row],[KM Rodados ]]/Tabela6[[#This Row],[CONSUMO]]</f>
        <v>#NAME?</v>
      </c>
    </row>
    <row r="5312" spans="1:14" x14ac:dyDescent="0.25">
      <c r="A5312" s="47">
        <v>434776</v>
      </c>
      <c r="B5312" s="78">
        <v>45548</v>
      </c>
      <c r="C5312" s="47" t="s">
        <v>14</v>
      </c>
      <c r="D5312" s="49" t="s">
        <v>276</v>
      </c>
      <c r="E5312" s="47">
        <v>344444</v>
      </c>
      <c r="G5312" s="50" t="s">
        <v>244</v>
      </c>
      <c r="H5312" s="51">
        <v>30.11</v>
      </c>
      <c r="J5312" s="51">
        <v>6.09</v>
      </c>
      <c r="K5312" s="74">
        <f>Tabela6[[#This Row],[CONSUMO]]*Tabela6[[#This Row],[VALOR UNIT]]-Tabela6[[#This Row],[DESCONTO]]</f>
        <v>183.3699</v>
      </c>
      <c r="L5312" s="53">
        <f>Tabela6[[#This Row],[CUSTO TOTAL]]/Tabela6[[#This Row],[CONSUMO]]</f>
        <v>6.09</v>
      </c>
      <c r="M5312" s="53" t="e">
        <f t="array" ref="M5312">SE</f>
        <v>#NAME?</v>
      </c>
      <c r="N5312" s="49" t="e">
        <f>Tabela6[[#This Row],[KM Rodados ]]/Tabela6[[#This Row],[CONSUMO]]</f>
        <v>#NAME?</v>
      </c>
    </row>
    <row r="5313" spans="1:14" x14ac:dyDescent="0.25">
      <c r="A5313" s="47">
        <v>326756</v>
      </c>
      <c r="B5313" s="78">
        <v>45548</v>
      </c>
      <c r="C5313" s="47" t="s">
        <v>315</v>
      </c>
      <c r="D5313" s="49" t="s">
        <v>253</v>
      </c>
      <c r="E5313" s="47">
        <v>45858</v>
      </c>
      <c r="G5313" s="50" t="s">
        <v>89</v>
      </c>
      <c r="H5313" s="51">
        <v>60.74</v>
      </c>
      <c r="J5313" s="51">
        <v>6.09</v>
      </c>
      <c r="K5313" s="74">
        <f>Tabela6[[#This Row],[CONSUMO]]*Tabela6[[#This Row],[VALOR UNIT]]-Tabela6[[#This Row],[DESCONTO]]</f>
        <v>369.90660000000003</v>
      </c>
      <c r="L5313" s="53">
        <f>Tabela6[[#This Row],[CUSTO TOTAL]]/Tabela6[[#This Row],[CONSUMO]]</f>
        <v>6.09</v>
      </c>
      <c r="M5313" s="53" t="e">
        <f t="array" ref="M5313">SE</f>
        <v>#NAME?</v>
      </c>
      <c r="N5313" s="49" t="e">
        <f>Tabela6[[#This Row],[KM Rodados ]]/Tabela6[[#This Row],[CONSUMO]]</f>
        <v>#NAME?</v>
      </c>
    </row>
    <row r="5314" spans="1:14" x14ac:dyDescent="0.25">
      <c r="A5314" s="47">
        <v>3100125</v>
      </c>
      <c r="B5314" s="78">
        <v>45549</v>
      </c>
      <c r="C5314" s="47" t="s">
        <v>68</v>
      </c>
      <c r="D5314" s="49" t="s">
        <v>549</v>
      </c>
      <c r="E5314" s="47">
        <v>1005647</v>
      </c>
      <c r="G5314" s="50" t="s">
        <v>89</v>
      </c>
      <c r="H5314" s="51">
        <v>170</v>
      </c>
      <c r="J5314" s="51">
        <v>5.78</v>
      </c>
      <c r="K5314" s="74">
        <f>Tabela6[[#This Row],[CONSUMO]]*Tabela6[[#This Row],[VALOR UNIT]]-Tabela6[[#This Row],[DESCONTO]]</f>
        <v>982.6</v>
      </c>
      <c r="L5314" s="53">
        <f>Tabela6[[#This Row],[CUSTO TOTAL]]/Tabela6[[#This Row],[CONSUMO]]</f>
        <v>5.78</v>
      </c>
      <c r="M5314" s="53" t="e">
        <f t="array" ref="M5314">SE</f>
        <v>#NAME?</v>
      </c>
      <c r="N5314" s="49" t="e">
        <f>Tabela6[[#This Row],[KM Rodados ]]/Tabela6[[#This Row],[CONSUMO]]</f>
        <v>#NAME?</v>
      </c>
    </row>
    <row r="5315" spans="1:14" x14ac:dyDescent="0.25">
      <c r="A5315" s="47">
        <v>92527</v>
      </c>
      <c r="B5315" s="78">
        <v>45549</v>
      </c>
      <c r="C5315" s="47" t="s">
        <v>73</v>
      </c>
      <c r="D5315" s="49" t="s">
        <v>257</v>
      </c>
      <c r="E5315" s="47">
        <v>227422</v>
      </c>
      <c r="G5315" s="50" t="s">
        <v>89</v>
      </c>
      <c r="H5315" s="51">
        <v>98.3</v>
      </c>
      <c r="J5315" s="51">
        <v>5.79</v>
      </c>
      <c r="K5315" s="74">
        <f>Tabela6[[#This Row],[CONSUMO]]*Tabela6[[#This Row],[VALOR UNIT]]-Tabela6[[#This Row],[DESCONTO]]</f>
        <v>569.15700000000004</v>
      </c>
      <c r="L5315" s="53">
        <f>Tabela6[[#This Row],[CUSTO TOTAL]]/Tabela6[[#This Row],[CONSUMO]]</f>
        <v>5.7900000000000009</v>
      </c>
      <c r="M5315" s="53" t="e">
        <f t="array" ref="M5315">SE</f>
        <v>#NAME?</v>
      </c>
      <c r="N5315" s="49" t="e">
        <f>Tabela6[[#This Row],[KM Rodados ]]/Tabela6[[#This Row],[CONSUMO]]</f>
        <v>#NAME?</v>
      </c>
    </row>
    <row r="5316" spans="1:14" x14ac:dyDescent="0.25">
      <c r="A5316" s="47">
        <v>92177</v>
      </c>
      <c r="B5316" s="78">
        <v>45549</v>
      </c>
      <c r="C5316" s="47" t="s">
        <v>401</v>
      </c>
      <c r="D5316" s="49" t="s">
        <v>256</v>
      </c>
      <c r="E5316" s="47">
        <v>54741</v>
      </c>
      <c r="G5316" s="50" t="s">
        <v>89</v>
      </c>
      <c r="H5316" s="51">
        <v>50.933999999999997</v>
      </c>
      <c r="J5316" s="51">
        <v>5.89</v>
      </c>
      <c r="K5316" s="74">
        <f>Tabela6[[#This Row],[CONSUMO]]*Tabela6[[#This Row],[VALOR UNIT]]-Tabela6[[#This Row],[DESCONTO]]</f>
        <v>300.00125999999995</v>
      </c>
      <c r="L5316" s="53">
        <f>Tabela6[[#This Row],[CUSTO TOTAL]]/Tabela6[[#This Row],[CONSUMO]]</f>
        <v>5.8899999999999988</v>
      </c>
      <c r="M5316" s="53" t="e">
        <f t="array" ref="M5316">SE</f>
        <v>#NAME?</v>
      </c>
      <c r="N5316" s="49" t="e">
        <f>Tabela6[[#This Row],[KM Rodados ]]/Tabela6[[#This Row],[CONSUMO]]</f>
        <v>#NAME?</v>
      </c>
    </row>
    <row r="5317" spans="1:14" x14ac:dyDescent="0.25">
      <c r="A5317" s="47">
        <v>92549</v>
      </c>
      <c r="B5317" s="78">
        <v>45549</v>
      </c>
      <c r="C5317" s="47" t="s">
        <v>446</v>
      </c>
      <c r="D5317" s="49" t="s">
        <v>256</v>
      </c>
      <c r="E5317" s="47">
        <v>40819</v>
      </c>
      <c r="G5317" s="50" t="s">
        <v>89</v>
      </c>
      <c r="H5317" s="51">
        <v>100</v>
      </c>
      <c r="J5317" s="51">
        <v>5.79</v>
      </c>
      <c r="K5317" s="74">
        <f>Tabela6[[#This Row],[CONSUMO]]*Tabela6[[#This Row],[VALOR UNIT]]-Tabela6[[#This Row],[DESCONTO]]</f>
        <v>579</v>
      </c>
      <c r="L5317" s="53">
        <f>Tabela6[[#This Row],[CUSTO TOTAL]]/Tabela6[[#This Row],[CONSUMO]]</f>
        <v>5.79</v>
      </c>
      <c r="M5317" s="53" t="e">
        <f t="array" ref="M5317">SE</f>
        <v>#NAME?</v>
      </c>
      <c r="N5317" s="49" t="e">
        <f>Tabela6[[#This Row],[KM Rodados ]]/Tabela6[[#This Row],[CONSUMO]]</f>
        <v>#NAME?</v>
      </c>
    </row>
    <row r="5318" spans="1:14" x14ac:dyDescent="0.25">
      <c r="A5318" s="47">
        <v>144792</v>
      </c>
      <c r="B5318" s="78">
        <v>45551</v>
      </c>
      <c r="C5318" s="47" t="s">
        <v>68</v>
      </c>
      <c r="D5318" s="49" t="s">
        <v>252</v>
      </c>
      <c r="E5318" s="47">
        <v>1006815</v>
      </c>
      <c r="G5318" s="50" t="s">
        <v>89</v>
      </c>
      <c r="H5318" s="51">
        <v>310.00400000000002</v>
      </c>
      <c r="J5318" s="51">
        <v>5.89</v>
      </c>
      <c r="K5318" s="74">
        <f>Tabela6[[#This Row],[CONSUMO]]*Tabela6[[#This Row],[VALOR UNIT]]-Tabela6[[#This Row],[DESCONTO]]</f>
        <v>1825.92356</v>
      </c>
      <c r="L5318" s="53">
        <f>Tabela6[[#This Row],[CUSTO TOTAL]]/Tabela6[[#This Row],[CONSUMO]]</f>
        <v>5.89</v>
      </c>
      <c r="M5318" s="53" t="e">
        <f t="array" ref="M5318">SE</f>
        <v>#NAME?</v>
      </c>
      <c r="N5318" s="49" t="e">
        <f>Tabela6[[#This Row],[KM Rodados ]]/Tabela6[[#This Row],[CONSUMO]]</f>
        <v>#NAME?</v>
      </c>
    </row>
    <row r="5319" spans="1:14" x14ac:dyDescent="0.25">
      <c r="A5319" s="47">
        <v>46701</v>
      </c>
      <c r="B5319" s="78">
        <v>45551</v>
      </c>
      <c r="C5319" s="47" t="s">
        <v>67</v>
      </c>
      <c r="D5319" s="49" t="s">
        <v>255</v>
      </c>
      <c r="E5319" s="47">
        <v>736469</v>
      </c>
      <c r="G5319" s="50" t="s">
        <v>89</v>
      </c>
      <c r="H5319" s="51">
        <v>104.58</v>
      </c>
      <c r="J5319" s="51">
        <v>6.09</v>
      </c>
      <c r="K5319" s="74">
        <f>Tabela6[[#This Row],[CONSUMO]]*Tabela6[[#This Row],[VALOR UNIT]]-Tabela6[[#This Row],[DESCONTO]]</f>
        <v>636.8922</v>
      </c>
      <c r="L5319" s="53">
        <f>Tabela6[[#This Row],[CUSTO TOTAL]]/Tabela6[[#This Row],[CONSUMO]]</f>
        <v>6.09</v>
      </c>
      <c r="M5319" s="53" t="e">
        <f t="array" ref="M5319">SE</f>
        <v>#NAME?</v>
      </c>
      <c r="N5319" s="49" t="e">
        <f>Tabela6[[#This Row],[KM Rodados ]]/Tabela6[[#This Row],[CONSUMO]]</f>
        <v>#NAME?</v>
      </c>
    </row>
    <row r="5320" spans="1:14" x14ac:dyDescent="0.25">
      <c r="A5320" s="47">
        <v>328832</v>
      </c>
      <c r="B5320" s="78">
        <v>45551</v>
      </c>
      <c r="C5320" s="47" t="s">
        <v>23</v>
      </c>
      <c r="D5320" s="49" t="s">
        <v>253</v>
      </c>
      <c r="E5320" s="47">
        <v>296035</v>
      </c>
      <c r="G5320" s="50" t="s">
        <v>89</v>
      </c>
      <c r="H5320" s="51">
        <v>147.68</v>
      </c>
      <c r="J5320" s="51">
        <v>6.09</v>
      </c>
      <c r="K5320" s="74">
        <f>Tabela6[[#This Row],[CONSUMO]]*Tabela6[[#This Row],[VALOR UNIT]]-Tabela6[[#This Row],[DESCONTO]]</f>
        <v>899.37120000000004</v>
      </c>
      <c r="L5320" s="53">
        <f>Tabela6[[#This Row],[CUSTO TOTAL]]/Tabela6[[#This Row],[CONSUMO]]</f>
        <v>6.09</v>
      </c>
      <c r="M5320" s="53" t="e">
        <f t="array" ref="M5320">SE</f>
        <v>#NAME?</v>
      </c>
      <c r="N5320" s="49" t="e">
        <f>Tabela6[[#This Row],[KM Rodados ]]/Tabela6[[#This Row],[CONSUMO]]</f>
        <v>#NAME?</v>
      </c>
    </row>
    <row r="5321" spans="1:14" x14ac:dyDescent="0.25">
      <c r="A5321" s="47">
        <v>435805</v>
      </c>
      <c r="B5321" s="78">
        <v>45551</v>
      </c>
      <c r="C5321" s="47" t="s">
        <v>426</v>
      </c>
      <c r="D5321" s="49" t="s">
        <v>276</v>
      </c>
      <c r="E5321" s="47">
        <v>47017</v>
      </c>
      <c r="G5321" s="50" t="s">
        <v>241</v>
      </c>
      <c r="H5321" s="51">
        <v>12.287000000000001</v>
      </c>
      <c r="J5321" s="51">
        <v>3.69</v>
      </c>
      <c r="K5321" s="74">
        <f>Tabela6[[#This Row],[CONSUMO]]*Tabela6[[#This Row],[VALOR UNIT]]-Tabela6[[#This Row],[DESCONTO]]</f>
        <v>45.339030000000001</v>
      </c>
      <c r="L5321" s="53">
        <f>Tabela6[[#This Row],[CUSTO TOTAL]]/Tabela6[[#This Row],[CONSUMO]]</f>
        <v>3.69</v>
      </c>
      <c r="M5321" s="53" t="e">
        <f t="array" ref="M5321">SE</f>
        <v>#NAME?</v>
      </c>
      <c r="N5321" s="49" t="e">
        <f>Tabela6[[#This Row],[KM Rodados ]]/Tabela6[[#This Row],[CONSUMO]]</f>
        <v>#NAME?</v>
      </c>
    </row>
    <row r="5322" spans="1:14" x14ac:dyDescent="0.25">
      <c r="A5322" s="47">
        <v>65542</v>
      </c>
      <c r="B5322" s="78">
        <v>45552</v>
      </c>
      <c r="C5322" s="47" t="s">
        <v>68</v>
      </c>
      <c r="D5322" s="49" t="s">
        <v>274</v>
      </c>
      <c r="E5322" s="47">
        <v>1007575</v>
      </c>
      <c r="G5322" s="50" t="s">
        <v>89</v>
      </c>
      <c r="H5322" s="51">
        <v>219</v>
      </c>
      <c r="J5322" s="51">
        <v>5.65</v>
      </c>
      <c r="K5322" s="74">
        <f>Tabela6[[#This Row],[CONSUMO]]*Tabela6[[#This Row],[VALOR UNIT]]-Tabela6[[#This Row],[DESCONTO]]</f>
        <v>1237.3500000000001</v>
      </c>
      <c r="L5322" s="53">
        <f>Tabela6[[#This Row],[CUSTO TOTAL]]/Tabela6[[#This Row],[CONSUMO]]</f>
        <v>5.65</v>
      </c>
      <c r="M5322" s="53" t="e">
        <f t="array" ref="M5322">SE</f>
        <v>#NAME?</v>
      </c>
      <c r="N5322" s="49" t="e">
        <f>Tabela6[[#This Row],[KM Rodados ]]/Tabela6[[#This Row],[CONSUMO]]</f>
        <v>#NAME?</v>
      </c>
    </row>
    <row r="5323" spans="1:14" x14ac:dyDescent="0.25">
      <c r="A5323" s="47">
        <v>2387225</v>
      </c>
      <c r="B5323" s="78">
        <v>45552</v>
      </c>
      <c r="C5323" s="47" t="s">
        <v>222</v>
      </c>
      <c r="D5323" s="49" t="s">
        <v>252</v>
      </c>
      <c r="E5323" s="47">
        <v>622402</v>
      </c>
      <c r="G5323" s="50" t="s">
        <v>241</v>
      </c>
      <c r="H5323" s="51">
        <v>24.33</v>
      </c>
      <c r="J5323" s="51">
        <v>2.85</v>
      </c>
      <c r="K5323" s="74">
        <f>Tabela6[[#This Row],[CONSUMO]]*Tabela6[[#This Row],[VALOR UNIT]]-Tabela6[[#This Row],[DESCONTO]]</f>
        <v>69.340499999999992</v>
      </c>
      <c r="L5323" s="53">
        <f>Tabela6[[#This Row],[CUSTO TOTAL]]/Tabela6[[#This Row],[CONSUMO]]</f>
        <v>2.8499999999999996</v>
      </c>
      <c r="M5323" s="53" t="e">
        <f t="array" ref="M5323">SE</f>
        <v>#NAME?</v>
      </c>
      <c r="N5323" s="49" t="e">
        <f>Tabela6[[#This Row],[KM Rodados ]]/Tabela6[[#This Row],[CONSUMO]]</f>
        <v>#NAME?</v>
      </c>
    </row>
    <row r="5324" spans="1:14" x14ac:dyDescent="0.25">
      <c r="A5324" s="47">
        <v>2387225</v>
      </c>
      <c r="B5324" s="78">
        <v>45552</v>
      </c>
      <c r="C5324" s="47" t="s">
        <v>222</v>
      </c>
      <c r="D5324" s="49" t="s">
        <v>252</v>
      </c>
      <c r="E5324" s="47">
        <v>622402</v>
      </c>
      <c r="G5324" s="50" t="s">
        <v>89</v>
      </c>
      <c r="H5324" s="51">
        <v>349.00599999999997</v>
      </c>
      <c r="J5324" s="51">
        <v>5.86</v>
      </c>
      <c r="K5324" s="74">
        <f>Tabela6[[#This Row],[CONSUMO]]*Tabela6[[#This Row],[VALOR UNIT]]-Tabela6[[#This Row],[DESCONTO]]</f>
        <v>2045.17516</v>
      </c>
      <c r="L5324" s="53">
        <f>Tabela6[[#This Row],[CUSTO TOTAL]]/Tabela6[[#This Row],[CONSUMO]]</f>
        <v>5.86</v>
      </c>
      <c r="M5324" s="53" t="e">
        <f t="array" ref="M5324">SE</f>
        <v>#NAME?</v>
      </c>
      <c r="N5324" s="49" t="e">
        <f>Tabela6[[#This Row],[KM Rodados ]]/Tabela6[[#This Row],[CONSUMO]]</f>
        <v>#NAME?</v>
      </c>
    </row>
    <row r="5325" spans="1:14" x14ac:dyDescent="0.25">
      <c r="A5325" s="47">
        <v>355845</v>
      </c>
      <c r="B5325" s="78">
        <v>45552</v>
      </c>
      <c r="C5325" s="47" t="s">
        <v>67</v>
      </c>
      <c r="D5325" s="49" t="s">
        <v>269</v>
      </c>
      <c r="E5325" s="47">
        <v>737010</v>
      </c>
      <c r="G5325" s="50" t="s">
        <v>89</v>
      </c>
      <c r="H5325" s="51">
        <v>133.501</v>
      </c>
      <c r="J5325" s="51">
        <v>5.69</v>
      </c>
      <c r="K5325" s="74">
        <f>Tabela6[[#This Row],[CONSUMO]]*Tabela6[[#This Row],[VALOR UNIT]]-Tabela6[[#This Row],[DESCONTO]]</f>
        <v>759.62069000000008</v>
      </c>
      <c r="L5325" s="53">
        <f>Tabela6[[#This Row],[CUSTO TOTAL]]/Tabela6[[#This Row],[CONSUMO]]</f>
        <v>5.69</v>
      </c>
      <c r="M5325" s="53" t="e">
        <f t="array" ref="M5325">SE</f>
        <v>#NAME?</v>
      </c>
      <c r="N5325" s="49" t="e">
        <f>Tabela6[[#This Row],[KM Rodados ]]/Tabela6[[#This Row],[CONSUMO]]</f>
        <v>#NAME?</v>
      </c>
    </row>
    <row r="5326" spans="1:14" x14ac:dyDescent="0.25">
      <c r="A5326" s="47">
        <v>293154</v>
      </c>
      <c r="B5326" s="78">
        <v>45552</v>
      </c>
      <c r="C5326" s="47" t="s">
        <v>215</v>
      </c>
      <c r="D5326" s="49" t="s">
        <v>262</v>
      </c>
      <c r="E5326" s="47">
        <v>243547</v>
      </c>
      <c r="G5326" s="50" t="s">
        <v>244</v>
      </c>
      <c r="H5326" s="51">
        <v>36.18</v>
      </c>
      <c r="J5326" s="51">
        <v>5.99</v>
      </c>
      <c r="K5326" s="74">
        <f>Tabela6[[#This Row],[CONSUMO]]*Tabela6[[#This Row],[VALOR UNIT]]-Tabela6[[#This Row],[DESCONTO]]</f>
        <v>216.7182</v>
      </c>
      <c r="L5326" s="53">
        <f>Tabela6[[#This Row],[CUSTO TOTAL]]/Tabela6[[#This Row],[CONSUMO]]</f>
        <v>5.99</v>
      </c>
      <c r="M5326" s="53" t="e">
        <f t="array" ref="M5326">SE</f>
        <v>#NAME?</v>
      </c>
      <c r="N5326" s="49" t="e">
        <f>Tabela6[[#This Row],[KM Rodados ]]/Tabela6[[#This Row],[CONSUMO]]</f>
        <v>#NAME?</v>
      </c>
    </row>
    <row r="5327" spans="1:14" x14ac:dyDescent="0.25">
      <c r="A5327" s="47">
        <v>329532</v>
      </c>
      <c r="B5327" s="78">
        <v>45552</v>
      </c>
      <c r="C5327" s="47" t="s">
        <v>12</v>
      </c>
      <c r="D5327" s="49" t="s">
        <v>253</v>
      </c>
      <c r="E5327" s="47">
        <v>346704</v>
      </c>
      <c r="G5327" s="50" t="s">
        <v>89</v>
      </c>
      <c r="H5327" s="51">
        <v>94.88</v>
      </c>
      <c r="J5327" s="51">
        <v>6.09</v>
      </c>
      <c r="K5327" s="74">
        <f>Tabela6[[#This Row],[CONSUMO]]*Tabela6[[#This Row],[VALOR UNIT]]-Tabela6[[#This Row],[DESCONTO]]</f>
        <v>577.81919999999991</v>
      </c>
      <c r="L5327" s="53">
        <f>Tabela6[[#This Row],[CUSTO TOTAL]]/Tabela6[[#This Row],[CONSUMO]]</f>
        <v>6.089999999999999</v>
      </c>
      <c r="M5327" s="53" t="e">
        <f t="array" ref="M5327">SE</f>
        <v>#NAME?</v>
      </c>
      <c r="N5327" s="49" t="e">
        <f>Tabela6[[#This Row],[KM Rodados ]]/Tabela6[[#This Row],[CONSUMO]]</f>
        <v>#NAME?</v>
      </c>
    </row>
    <row r="5328" spans="1:14" x14ac:dyDescent="0.25">
      <c r="A5328" s="47">
        <v>293124</v>
      </c>
      <c r="B5328" s="78">
        <v>45552</v>
      </c>
      <c r="C5328" s="47" t="s">
        <v>17</v>
      </c>
      <c r="D5328" s="49" t="s">
        <v>262</v>
      </c>
      <c r="E5328" s="47">
        <v>432630</v>
      </c>
      <c r="G5328" s="50" t="s">
        <v>241</v>
      </c>
      <c r="H5328" s="51">
        <v>25.353999999999999</v>
      </c>
      <c r="I5328" s="49">
        <v>9.1300000000000008</v>
      </c>
      <c r="J5328" s="51">
        <v>3.69</v>
      </c>
      <c r="K5328" s="74">
        <f>Tabela6[[#This Row],[CONSUMO]]*Tabela6[[#This Row],[VALOR UNIT]]-Tabela6[[#This Row],[DESCONTO]]</f>
        <v>84.426259999999999</v>
      </c>
      <c r="L5328" s="53">
        <f>Tabela6[[#This Row],[CUSTO TOTAL]]/Tabela6[[#This Row],[CONSUMO]]</f>
        <v>3.3298990297388973</v>
      </c>
      <c r="M5328" s="53" t="e">
        <f t="array" ref="M5328">SE</f>
        <v>#NAME?</v>
      </c>
      <c r="N5328" s="49" t="e">
        <f>Tabela6[[#This Row],[KM Rodados ]]/Tabela6[[#This Row],[CONSUMO]]</f>
        <v>#NAME?</v>
      </c>
    </row>
    <row r="5329" spans="1:14" x14ac:dyDescent="0.25">
      <c r="A5329" s="47">
        <v>207663</v>
      </c>
      <c r="B5329" s="78">
        <v>45552</v>
      </c>
      <c r="C5329" s="47" t="s">
        <v>354</v>
      </c>
      <c r="D5329" s="49" t="s">
        <v>550</v>
      </c>
      <c r="E5329" s="47">
        <v>587680</v>
      </c>
      <c r="G5329" s="50" t="s">
        <v>241</v>
      </c>
      <c r="H5329" s="51">
        <v>24</v>
      </c>
      <c r="J5329" s="51">
        <v>2.99</v>
      </c>
      <c r="K5329" s="74">
        <f>Tabela6[[#This Row],[CONSUMO]]*Tabela6[[#This Row],[VALOR UNIT]]-Tabela6[[#This Row],[DESCONTO]]</f>
        <v>71.760000000000005</v>
      </c>
      <c r="L5329" s="53">
        <f>Tabela6[[#This Row],[CUSTO TOTAL]]/Tabela6[[#This Row],[CONSUMO]]</f>
        <v>2.99</v>
      </c>
      <c r="M5329" s="53" t="e">
        <f t="array" ref="M5329">SE</f>
        <v>#NAME?</v>
      </c>
      <c r="N5329" s="49" t="e">
        <f>Tabela6[[#This Row],[KM Rodados ]]/Tabela6[[#This Row],[CONSUMO]]</f>
        <v>#NAME?</v>
      </c>
    </row>
    <row r="5330" spans="1:14" x14ac:dyDescent="0.25">
      <c r="A5330" s="47">
        <v>207662</v>
      </c>
      <c r="B5330" s="78">
        <v>45552</v>
      </c>
      <c r="C5330" s="47" t="s">
        <v>354</v>
      </c>
      <c r="D5330" s="49" t="s">
        <v>550</v>
      </c>
      <c r="E5330" s="47">
        <v>587680</v>
      </c>
      <c r="G5330" s="50" t="s">
        <v>89</v>
      </c>
      <c r="H5330" s="51">
        <v>341.00400000000002</v>
      </c>
      <c r="J5330" s="51">
        <v>5.95</v>
      </c>
      <c r="K5330" s="74">
        <f>Tabela6[[#This Row],[CONSUMO]]*Tabela6[[#This Row],[VALOR UNIT]]-Tabela6[[#This Row],[DESCONTO]]</f>
        <v>2028.9738000000002</v>
      </c>
      <c r="L5330" s="53">
        <f>Tabela6[[#This Row],[CUSTO TOTAL]]/Tabela6[[#This Row],[CONSUMO]]</f>
        <v>5.95</v>
      </c>
      <c r="M5330" s="53" t="e">
        <f t="array" ref="M5330">SE</f>
        <v>#NAME?</v>
      </c>
      <c r="N5330" s="49" t="e">
        <f>Tabela6[[#This Row],[KM Rodados ]]/Tabela6[[#This Row],[CONSUMO]]</f>
        <v>#NAME?</v>
      </c>
    </row>
    <row r="5331" spans="1:14" x14ac:dyDescent="0.25">
      <c r="A5331" s="47">
        <v>388418</v>
      </c>
      <c r="B5331" s="78">
        <v>45552</v>
      </c>
      <c r="C5331" s="47" t="s">
        <v>401</v>
      </c>
      <c r="D5331" s="49" t="s">
        <v>402</v>
      </c>
      <c r="E5331" s="47">
        <v>55526</v>
      </c>
      <c r="G5331" s="50" t="s">
        <v>89</v>
      </c>
      <c r="H5331" s="51">
        <v>50.082999999999998</v>
      </c>
      <c r="J5331" s="51">
        <v>5.99</v>
      </c>
      <c r="K5331" s="74">
        <f>Tabela6[[#This Row],[CONSUMO]]*Tabela6[[#This Row],[VALOR UNIT]]-Tabela6[[#This Row],[DESCONTO]]</f>
        <v>299.99716999999998</v>
      </c>
      <c r="L5331" s="53">
        <f>Tabela6[[#This Row],[CUSTO TOTAL]]/Tabela6[[#This Row],[CONSUMO]]</f>
        <v>5.99</v>
      </c>
      <c r="M5331" s="53" t="e">
        <f t="array" ref="M5331">SE</f>
        <v>#NAME?</v>
      </c>
      <c r="N5331" s="49" t="e">
        <f>Tabela6[[#This Row],[KM Rodados ]]/Tabela6[[#This Row],[CONSUMO]]</f>
        <v>#NAME?</v>
      </c>
    </row>
    <row r="5332" spans="1:14" x14ac:dyDescent="0.25">
      <c r="A5332" s="47">
        <v>436040</v>
      </c>
      <c r="B5332" s="78">
        <v>45552</v>
      </c>
      <c r="C5332" s="47" t="s">
        <v>446</v>
      </c>
      <c r="D5332" s="49" t="s">
        <v>276</v>
      </c>
      <c r="E5332" s="47">
        <v>41297</v>
      </c>
      <c r="G5332" s="50" t="s">
        <v>241</v>
      </c>
      <c r="H5332" s="51">
        <v>26.405000000000001</v>
      </c>
      <c r="J5332" s="51">
        <v>3.69</v>
      </c>
      <c r="K5332" s="74">
        <f>Tabela6[[#This Row],[CONSUMO]]*Tabela6[[#This Row],[VALOR UNIT]]-Tabela6[[#This Row],[DESCONTO]]</f>
        <v>97.434449999999998</v>
      </c>
      <c r="L5332" s="53">
        <f>Tabela6[[#This Row],[CUSTO TOTAL]]/Tabela6[[#This Row],[CONSUMO]]</f>
        <v>3.69</v>
      </c>
      <c r="M5332" s="53" t="e">
        <f t="array" ref="M5332">SE</f>
        <v>#NAME?</v>
      </c>
      <c r="N5332" s="49" t="e">
        <f>Tabela6[[#This Row],[KM Rodados ]]/Tabela6[[#This Row],[CONSUMO]]</f>
        <v>#NAME?</v>
      </c>
    </row>
    <row r="5333" spans="1:14" x14ac:dyDescent="0.25">
      <c r="A5333" s="47">
        <v>436217</v>
      </c>
      <c r="B5333" s="78">
        <v>45553</v>
      </c>
      <c r="C5333" s="47" t="s">
        <v>9</v>
      </c>
      <c r="D5333" s="49" t="s">
        <v>276</v>
      </c>
      <c r="E5333" s="47">
        <v>6750920</v>
      </c>
      <c r="G5333" s="50" t="s">
        <v>89</v>
      </c>
      <c r="H5333" s="51">
        <v>137.87100000000001</v>
      </c>
      <c r="J5333" s="51">
        <v>6.19</v>
      </c>
      <c r="K5333" s="74">
        <f>Tabela6[[#This Row],[CONSUMO]]*Tabela6[[#This Row],[VALOR UNIT]]-Tabela6[[#This Row],[DESCONTO]]</f>
        <v>853.42149000000006</v>
      </c>
      <c r="L5333" s="53">
        <f>Tabela6[[#This Row],[CUSTO TOTAL]]/Tabela6[[#This Row],[CONSUMO]]</f>
        <v>6.19</v>
      </c>
      <c r="M5333" s="53" t="e">
        <f t="array" ref="M5333">SE</f>
        <v>#NAME?</v>
      </c>
      <c r="N5333" s="49" t="e">
        <f>Tabela6[[#This Row],[KM Rodados ]]/Tabela6[[#This Row],[CONSUMO]]</f>
        <v>#NAME?</v>
      </c>
    </row>
    <row r="5334" spans="1:14" x14ac:dyDescent="0.25">
      <c r="A5334" s="47">
        <v>330402</v>
      </c>
      <c r="B5334" s="78">
        <v>45553</v>
      </c>
      <c r="C5334" s="47" t="s">
        <v>15</v>
      </c>
      <c r="D5334" s="49" t="s">
        <v>253</v>
      </c>
      <c r="E5334" s="47">
        <v>450962</v>
      </c>
      <c r="G5334" s="50" t="s">
        <v>89</v>
      </c>
      <c r="H5334" s="51">
        <v>120.68</v>
      </c>
      <c r="J5334" s="51">
        <v>6.09</v>
      </c>
      <c r="K5334" s="74">
        <f>Tabela6[[#This Row],[CONSUMO]]*Tabela6[[#This Row],[VALOR UNIT]]-Tabela6[[#This Row],[DESCONTO]]</f>
        <v>734.94119999999998</v>
      </c>
      <c r="L5334" s="53">
        <f>Tabela6[[#This Row],[CUSTO TOTAL]]/Tabela6[[#This Row],[CONSUMO]]</f>
        <v>6.09</v>
      </c>
      <c r="M5334" s="53" t="e">
        <f t="array" ref="M5334">SE</f>
        <v>#NAME?</v>
      </c>
      <c r="N5334" s="49" t="e">
        <f>Tabela6[[#This Row],[KM Rodados ]]/Tabela6[[#This Row],[CONSUMO]]</f>
        <v>#NAME?</v>
      </c>
    </row>
    <row r="5335" spans="1:14" x14ac:dyDescent="0.25">
      <c r="A5335" s="47">
        <v>330375</v>
      </c>
      <c r="B5335" s="78">
        <v>45553</v>
      </c>
      <c r="C5335" s="47" t="s">
        <v>315</v>
      </c>
      <c r="D5335" s="49" t="s">
        <v>253</v>
      </c>
      <c r="E5335" s="47">
        <v>46586</v>
      </c>
      <c r="G5335" s="50" t="s">
        <v>89</v>
      </c>
      <c r="H5335" s="51">
        <v>54.39</v>
      </c>
      <c r="J5335" s="51">
        <v>6.09</v>
      </c>
      <c r="K5335" s="74">
        <f>Tabela6[[#This Row],[CONSUMO]]*Tabela6[[#This Row],[VALOR UNIT]]-Tabela6[[#This Row],[DESCONTO]]</f>
        <v>331.23509999999999</v>
      </c>
      <c r="L5335" s="53">
        <f>Tabela6[[#This Row],[CUSTO TOTAL]]/Tabela6[[#This Row],[CONSUMO]]</f>
        <v>6.09</v>
      </c>
      <c r="M5335" s="53" t="e">
        <f t="array" ref="M5335">SE</f>
        <v>#NAME?</v>
      </c>
      <c r="N5335" s="49" t="e">
        <f>Tabela6[[#This Row],[KM Rodados ]]/Tabela6[[#This Row],[CONSUMO]]</f>
        <v>#NAME?</v>
      </c>
    </row>
    <row r="5336" spans="1:14" x14ac:dyDescent="0.25">
      <c r="A5336" s="47">
        <v>293298</v>
      </c>
      <c r="B5336" s="78">
        <v>45553</v>
      </c>
      <c r="C5336" s="47" t="s">
        <v>426</v>
      </c>
      <c r="D5336" s="49" t="s">
        <v>262</v>
      </c>
      <c r="E5336" s="47">
        <v>47670</v>
      </c>
      <c r="G5336" s="50" t="s">
        <v>89</v>
      </c>
      <c r="H5336" s="51">
        <v>70.02</v>
      </c>
      <c r="J5336" s="51">
        <v>6.09</v>
      </c>
      <c r="K5336" s="74">
        <f>Tabela6[[#This Row],[CONSUMO]]*Tabela6[[#This Row],[VALOR UNIT]]-Tabela6[[#This Row],[DESCONTO]]</f>
        <v>426.42179999999996</v>
      </c>
      <c r="L5336" s="53">
        <f>Tabela6[[#This Row],[CUSTO TOTAL]]/Tabela6[[#This Row],[CONSUMO]]</f>
        <v>6.09</v>
      </c>
      <c r="M5336" s="53" t="e">
        <f t="array" ref="M5336">SE</f>
        <v>#NAME?</v>
      </c>
      <c r="N5336" s="49" t="e">
        <f>Tabela6[[#This Row],[KM Rodados ]]/Tabela6[[#This Row],[CONSUMO]]</f>
        <v>#NAME?</v>
      </c>
    </row>
    <row r="5337" spans="1:14" x14ac:dyDescent="0.25">
      <c r="A5337" s="47">
        <v>472822</v>
      </c>
      <c r="B5337" s="78">
        <v>45554</v>
      </c>
      <c r="C5337" s="47" t="s">
        <v>67</v>
      </c>
      <c r="D5337" s="49" t="s">
        <v>269</v>
      </c>
      <c r="E5337" s="47">
        <v>737549</v>
      </c>
      <c r="G5337" s="50" t="s">
        <v>89</v>
      </c>
      <c r="H5337" s="51">
        <v>30</v>
      </c>
      <c r="J5337" s="51">
        <v>5.79</v>
      </c>
      <c r="K5337" s="74">
        <f>Tabela6[[#This Row],[CONSUMO]]*Tabela6[[#This Row],[VALOR UNIT]]-Tabela6[[#This Row],[DESCONTO]]</f>
        <v>173.7</v>
      </c>
      <c r="L5337" s="53">
        <f>Tabela6[[#This Row],[CUSTO TOTAL]]/Tabela6[[#This Row],[CONSUMO]]</f>
        <v>5.79</v>
      </c>
      <c r="M5337" s="53" t="e">
        <f t="array" ref="M5337">SE</f>
        <v>#NAME?</v>
      </c>
      <c r="N5337" s="49" t="e">
        <f>Tabela6[[#This Row],[KM Rodados ]]/Tabela6[[#This Row],[CONSUMO]]</f>
        <v>#NAME?</v>
      </c>
    </row>
    <row r="5338" spans="1:14" x14ac:dyDescent="0.25">
      <c r="A5338" s="47">
        <v>472823</v>
      </c>
      <c r="B5338" s="78">
        <v>45554</v>
      </c>
      <c r="C5338" s="47" t="s">
        <v>67</v>
      </c>
      <c r="D5338" s="49" t="s">
        <v>269</v>
      </c>
      <c r="E5338" s="47">
        <v>737549</v>
      </c>
      <c r="G5338" s="50" t="s">
        <v>241</v>
      </c>
      <c r="H5338" s="51">
        <v>11.71</v>
      </c>
      <c r="J5338" s="51">
        <v>2.99</v>
      </c>
      <c r="K5338" s="74">
        <f>Tabela6[[#This Row],[CONSUMO]]*Tabela6[[#This Row],[VALOR UNIT]]-Tabela6[[#This Row],[DESCONTO]]</f>
        <v>35.012900000000002</v>
      </c>
      <c r="L5338" s="53">
        <f>Tabela6[[#This Row],[CUSTO TOTAL]]/Tabela6[[#This Row],[CONSUMO]]</f>
        <v>2.9899999999999998</v>
      </c>
      <c r="M5338" s="53" t="e">
        <f t="array" ref="M5338">SE</f>
        <v>#NAME?</v>
      </c>
      <c r="N5338" s="49" t="e">
        <f>Tabela6[[#This Row],[KM Rodados ]]/Tabela6[[#This Row],[CONSUMO]]</f>
        <v>#NAME?</v>
      </c>
    </row>
    <row r="5339" spans="1:14" x14ac:dyDescent="0.25">
      <c r="A5339" s="47">
        <v>331490</v>
      </c>
      <c r="B5339" s="78">
        <v>45554</v>
      </c>
      <c r="C5339" s="47" t="s">
        <v>39</v>
      </c>
      <c r="D5339" s="49" t="s">
        <v>253</v>
      </c>
      <c r="E5339" s="47">
        <v>132756</v>
      </c>
      <c r="G5339" s="50" t="s">
        <v>89</v>
      </c>
      <c r="H5339" s="51">
        <v>117.62</v>
      </c>
      <c r="J5339" s="51">
        <v>6.09</v>
      </c>
      <c r="K5339" s="74">
        <f>Tabela6[[#This Row],[CONSUMO]]*Tabela6[[#This Row],[VALOR UNIT]]-Tabela6[[#This Row],[DESCONTO]]</f>
        <v>716.30579999999998</v>
      </c>
      <c r="L5339" s="53">
        <f>Tabela6[[#This Row],[CUSTO TOTAL]]/Tabela6[[#This Row],[CONSUMO]]</f>
        <v>6.09</v>
      </c>
      <c r="M5339" s="53" t="e">
        <f t="array" ref="M5339">SE</f>
        <v>#NAME?</v>
      </c>
      <c r="N5339" s="49" t="e">
        <f>Tabela6[[#This Row],[KM Rodados ]]/Tabela6[[#This Row],[CONSUMO]]</f>
        <v>#NAME?</v>
      </c>
    </row>
    <row r="5340" spans="1:14" x14ac:dyDescent="0.25">
      <c r="A5340" s="47">
        <v>293562</v>
      </c>
      <c r="B5340" s="78">
        <v>45554</v>
      </c>
      <c r="C5340" s="47" t="s">
        <v>203</v>
      </c>
      <c r="D5340" s="49" t="s">
        <v>262</v>
      </c>
      <c r="E5340" s="47">
        <v>17973</v>
      </c>
      <c r="G5340" s="50" t="s">
        <v>244</v>
      </c>
      <c r="H5340" s="51">
        <v>46.331000000000003</v>
      </c>
      <c r="J5340" s="51">
        <v>5.99</v>
      </c>
      <c r="K5340" s="74">
        <f>Tabela6[[#This Row],[CONSUMO]]*Tabela6[[#This Row],[VALOR UNIT]]-Tabela6[[#This Row],[DESCONTO]]</f>
        <v>277.52269000000001</v>
      </c>
      <c r="L5340" s="53">
        <f>Tabela6[[#This Row],[CUSTO TOTAL]]/Tabela6[[#This Row],[CONSUMO]]</f>
        <v>5.99</v>
      </c>
      <c r="M5340" s="53" t="e">
        <f t="array" ref="M5340">SE</f>
        <v>#NAME?</v>
      </c>
      <c r="N5340" s="49" t="e">
        <f>Tabela6[[#This Row],[KM Rodados ]]/Tabela6[[#This Row],[CONSUMO]]</f>
        <v>#NAME?</v>
      </c>
    </row>
    <row r="5341" spans="1:14" x14ac:dyDescent="0.25">
      <c r="A5341" s="47">
        <v>436707</v>
      </c>
      <c r="B5341" s="78">
        <v>45554</v>
      </c>
      <c r="C5341" s="47" t="s">
        <v>203</v>
      </c>
      <c r="D5341" s="49" t="s">
        <v>276</v>
      </c>
      <c r="E5341" s="47">
        <v>180489</v>
      </c>
      <c r="G5341" s="50" t="s">
        <v>244</v>
      </c>
      <c r="H5341" s="51">
        <v>36.57</v>
      </c>
      <c r="J5341" s="51">
        <v>6.09</v>
      </c>
      <c r="K5341" s="74">
        <f>Tabela6[[#This Row],[CONSUMO]]*Tabela6[[#This Row],[VALOR UNIT]]-Tabela6[[#This Row],[DESCONTO]]</f>
        <v>222.71129999999999</v>
      </c>
      <c r="L5341" s="53">
        <f>Tabela6[[#This Row],[CUSTO TOTAL]]/Tabela6[[#This Row],[CONSUMO]]</f>
        <v>6.09</v>
      </c>
      <c r="M5341" s="53" t="e">
        <f t="array" ref="M5341">SE</f>
        <v>#NAME?</v>
      </c>
      <c r="N5341" s="49" t="e">
        <f>Tabela6[[#This Row],[KM Rodados ]]/Tabela6[[#This Row],[CONSUMO]]</f>
        <v>#NAME?</v>
      </c>
    </row>
    <row r="5342" spans="1:14" x14ac:dyDescent="0.25">
      <c r="A5342" s="47">
        <v>293740</v>
      </c>
      <c r="B5342" s="78">
        <v>45554</v>
      </c>
      <c r="C5342" s="47" t="s">
        <v>73</v>
      </c>
      <c r="D5342" s="49" t="s">
        <v>262</v>
      </c>
      <c r="E5342" s="47">
        <v>228481</v>
      </c>
      <c r="G5342" s="50" t="s">
        <v>241</v>
      </c>
      <c r="H5342" s="51">
        <v>27.004000000000001</v>
      </c>
      <c r="I5342" s="49">
        <v>9.7200000000000006</v>
      </c>
      <c r="J5342" s="51">
        <v>3.69</v>
      </c>
      <c r="K5342" s="74">
        <f>Tabela6[[#This Row],[CONSUMO]]*Tabela6[[#This Row],[VALOR UNIT]]-Tabela6[[#This Row],[DESCONTO]]</f>
        <v>89.924760000000006</v>
      </c>
      <c r="L5342" s="53">
        <f>Tabela6[[#This Row],[CUSTO TOTAL]]/Tabela6[[#This Row],[CONSUMO]]</f>
        <v>3.3300533254332692</v>
      </c>
      <c r="M5342" s="53" t="e">
        <f t="array" ref="M5342">SE</f>
        <v>#NAME?</v>
      </c>
      <c r="N5342" s="49" t="e">
        <f>Tabela6[[#This Row],[KM Rodados ]]/Tabela6[[#This Row],[CONSUMO]]</f>
        <v>#NAME?</v>
      </c>
    </row>
    <row r="5343" spans="1:14" x14ac:dyDescent="0.25">
      <c r="A5343" s="47">
        <v>843716</v>
      </c>
      <c r="B5343" s="78">
        <v>45554</v>
      </c>
      <c r="C5343" s="47" t="s">
        <v>14</v>
      </c>
      <c r="D5343" s="49" t="s">
        <v>271</v>
      </c>
      <c r="E5343" s="47">
        <v>344788</v>
      </c>
      <c r="G5343" s="50" t="s">
        <v>244</v>
      </c>
      <c r="H5343" s="51">
        <v>30.07</v>
      </c>
      <c r="J5343" s="51">
        <v>5.89</v>
      </c>
      <c r="K5343" s="74">
        <f>Tabela6[[#This Row],[CONSUMO]]*Tabela6[[#This Row],[VALOR UNIT]]-Tabela6[[#This Row],[DESCONTO]]</f>
        <v>177.1123</v>
      </c>
      <c r="L5343" s="53">
        <f>Tabela6[[#This Row],[CUSTO TOTAL]]/Tabela6[[#This Row],[CONSUMO]]</f>
        <v>5.89</v>
      </c>
      <c r="M5343" s="53" t="e">
        <f t="array" ref="M5343">SE</f>
        <v>#NAME?</v>
      </c>
      <c r="N5343" s="49" t="e">
        <f>Tabela6[[#This Row],[KM Rodados ]]/Tabela6[[#This Row],[CONSUMO]]</f>
        <v>#NAME?</v>
      </c>
    </row>
    <row r="5344" spans="1:14" x14ac:dyDescent="0.25">
      <c r="A5344" s="47">
        <v>224569</v>
      </c>
      <c r="B5344" s="78">
        <v>45554</v>
      </c>
      <c r="C5344" s="47" t="s">
        <v>401</v>
      </c>
      <c r="D5344" s="49" t="s">
        <v>335</v>
      </c>
      <c r="E5344" s="47">
        <v>56027</v>
      </c>
      <c r="G5344" s="50" t="s">
        <v>241</v>
      </c>
      <c r="H5344" s="51">
        <v>29.53</v>
      </c>
      <c r="J5344" s="51">
        <v>2.39</v>
      </c>
      <c r="K5344" s="74">
        <f>Tabela6[[#This Row],[CONSUMO]]*Tabela6[[#This Row],[VALOR UNIT]]-Tabela6[[#This Row],[DESCONTO]]</f>
        <v>70.576700000000002</v>
      </c>
      <c r="L5344" s="53">
        <f>Tabela6[[#This Row],[CUSTO TOTAL]]/Tabela6[[#This Row],[CONSUMO]]</f>
        <v>2.39</v>
      </c>
      <c r="M5344" s="53" t="e">
        <f t="array" ref="M5344">SE</f>
        <v>#NAME?</v>
      </c>
      <c r="N5344" s="49" t="e">
        <f>Tabela6[[#This Row],[KM Rodados ]]/Tabela6[[#This Row],[CONSUMO]]</f>
        <v>#NAME?</v>
      </c>
    </row>
    <row r="5345" spans="1:14" x14ac:dyDescent="0.25">
      <c r="A5345" s="47">
        <v>224568</v>
      </c>
      <c r="B5345" s="78">
        <v>45554</v>
      </c>
      <c r="C5345" s="47" t="s">
        <v>401</v>
      </c>
      <c r="D5345" s="49" t="s">
        <v>335</v>
      </c>
      <c r="E5345" s="47">
        <v>56027</v>
      </c>
      <c r="G5345" s="50" t="s">
        <v>89</v>
      </c>
      <c r="H5345" s="51">
        <v>74</v>
      </c>
      <c r="I5345" s="49">
        <v>25.16</v>
      </c>
      <c r="J5345" s="51">
        <v>6.43</v>
      </c>
      <c r="K5345" s="74">
        <f>Tabela6[[#This Row],[CONSUMO]]*Tabela6[[#This Row],[VALOR UNIT]]-Tabela6[[#This Row],[DESCONTO]]</f>
        <v>450.65999999999997</v>
      </c>
      <c r="L5345" s="53">
        <f>Tabela6[[#This Row],[CUSTO TOTAL]]/Tabela6[[#This Row],[CONSUMO]]</f>
        <v>6.09</v>
      </c>
      <c r="M5345" s="53" t="e">
        <f t="array" ref="M5345">SE</f>
        <v>#NAME?</v>
      </c>
      <c r="N5345" s="49" t="e">
        <f>Tabela6[[#This Row],[KM Rodados ]]/Tabela6[[#This Row],[CONSUMO]]</f>
        <v>#NAME?</v>
      </c>
    </row>
    <row r="5346" spans="1:14" x14ac:dyDescent="0.25">
      <c r="A5346" s="47">
        <v>291382</v>
      </c>
      <c r="B5346" s="78">
        <v>45555</v>
      </c>
      <c r="C5346" s="47" t="s">
        <v>13</v>
      </c>
      <c r="D5346" s="49" t="s">
        <v>300</v>
      </c>
      <c r="E5346" s="47">
        <v>707440</v>
      </c>
      <c r="G5346" s="50" t="s">
        <v>89</v>
      </c>
      <c r="H5346" s="51">
        <v>43.179000000000002</v>
      </c>
      <c r="J5346" s="51">
        <v>5.79</v>
      </c>
      <c r="K5346" s="74">
        <f>Tabela6[[#This Row],[CONSUMO]]*Tabela6[[#This Row],[VALOR UNIT]]-Tabela6[[#This Row],[DESCONTO]]</f>
        <v>250.00641000000002</v>
      </c>
      <c r="L5346" s="53">
        <f>Tabela6[[#This Row],[CUSTO TOTAL]]/Tabela6[[#This Row],[CONSUMO]]</f>
        <v>5.79</v>
      </c>
      <c r="M5346" s="53" t="e">
        <f t="array" ref="M5346">SE</f>
        <v>#NAME?</v>
      </c>
      <c r="N5346" s="49" t="e">
        <f>Tabela6[[#This Row],[KM Rodados ]]/Tabela6[[#This Row],[CONSUMO]]</f>
        <v>#NAME?</v>
      </c>
    </row>
    <row r="5347" spans="1:14" x14ac:dyDescent="0.25">
      <c r="A5347" s="47">
        <v>436917</v>
      </c>
      <c r="B5347" s="78">
        <v>45555</v>
      </c>
      <c r="C5347" s="47" t="s">
        <v>14</v>
      </c>
      <c r="D5347" s="49" t="s">
        <v>262</v>
      </c>
      <c r="E5347" s="47">
        <v>345132</v>
      </c>
      <c r="G5347" s="50" t="s">
        <v>244</v>
      </c>
      <c r="H5347" s="51">
        <v>26.88</v>
      </c>
      <c r="J5347" s="51">
        <v>6.09</v>
      </c>
      <c r="K5347" s="74">
        <f>Tabela6[[#This Row],[CONSUMO]]*Tabela6[[#This Row],[VALOR UNIT]]-Tabela6[[#This Row],[DESCONTO]]</f>
        <v>163.69919999999999</v>
      </c>
      <c r="L5347" s="53">
        <f>Tabela6[[#This Row],[CUSTO TOTAL]]/Tabela6[[#This Row],[CONSUMO]]</f>
        <v>6.09</v>
      </c>
      <c r="M5347" s="53" t="e">
        <f t="array" ref="M5347">SE</f>
        <v>#NAME?</v>
      </c>
      <c r="N5347" s="49" t="e">
        <f>Tabela6[[#This Row],[KM Rodados ]]/Tabela6[[#This Row],[CONSUMO]]</f>
        <v>#NAME?</v>
      </c>
    </row>
    <row r="5348" spans="1:14" x14ac:dyDescent="0.25">
      <c r="A5348" s="47">
        <v>237732</v>
      </c>
      <c r="B5348" s="78">
        <v>45555</v>
      </c>
      <c r="C5348" s="47" t="s">
        <v>15</v>
      </c>
      <c r="D5348" s="49" t="s">
        <v>263</v>
      </c>
      <c r="E5348" s="47">
        <v>451470</v>
      </c>
      <c r="G5348" s="50" t="s">
        <v>89</v>
      </c>
      <c r="H5348" s="51">
        <v>96.631</v>
      </c>
      <c r="I5348" s="49">
        <v>14.5</v>
      </c>
      <c r="J5348" s="51">
        <v>6.09</v>
      </c>
      <c r="K5348" s="74">
        <f>Tabela6[[#This Row],[CONSUMO]]*Tabela6[[#This Row],[VALOR UNIT]]-Tabela6[[#This Row],[DESCONTO]]</f>
        <v>573.98279000000002</v>
      </c>
      <c r="L5348" s="53">
        <f>Tabela6[[#This Row],[CUSTO TOTAL]]/Tabela6[[#This Row],[CONSUMO]]</f>
        <v>5.9399446347445437</v>
      </c>
      <c r="M5348" s="53" t="e">
        <f t="array" ref="M5348">SE</f>
        <v>#NAME?</v>
      </c>
      <c r="N5348" s="49" t="e">
        <f>Tabela6[[#This Row],[KM Rodados ]]/Tabela6[[#This Row],[CONSUMO]]</f>
        <v>#NAME?</v>
      </c>
    </row>
    <row r="5349" spans="1:14" x14ac:dyDescent="0.25">
      <c r="A5349" s="47">
        <v>436878</v>
      </c>
      <c r="B5349" s="78">
        <v>45555</v>
      </c>
      <c r="C5349" s="47" t="s">
        <v>354</v>
      </c>
      <c r="D5349" s="49" t="s">
        <v>262</v>
      </c>
      <c r="E5349" s="47">
        <v>60177</v>
      </c>
      <c r="G5349" s="50" t="s">
        <v>241</v>
      </c>
      <c r="H5349" s="51">
        <v>24.908999999999999</v>
      </c>
      <c r="J5349" s="51">
        <v>3.69</v>
      </c>
      <c r="K5349" s="74">
        <f>Tabela6[[#This Row],[CONSUMO]]*Tabela6[[#This Row],[VALOR UNIT]]-Tabela6[[#This Row],[DESCONTO]]</f>
        <v>91.914209999999997</v>
      </c>
      <c r="L5349" s="53">
        <f>Tabela6[[#This Row],[CUSTO TOTAL]]/Tabela6[[#This Row],[CONSUMO]]</f>
        <v>3.69</v>
      </c>
      <c r="M5349" s="53" t="e">
        <f t="array" ref="M5349">SE</f>
        <v>#NAME?</v>
      </c>
      <c r="N5349" s="49" t="e">
        <f>Tabela6[[#This Row],[KM Rodados ]]/Tabela6[[#This Row],[CONSUMO]]</f>
        <v>#NAME?</v>
      </c>
    </row>
    <row r="5350" spans="1:14" x14ac:dyDescent="0.25">
      <c r="A5350" s="47">
        <v>401783</v>
      </c>
      <c r="B5350" s="78">
        <v>45556</v>
      </c>
      <c r="C5350" s="47" t="s">
        <v>40</v>
      </c>
      <c r="D5350" s="49" t="s">
        <v>270</v>
      </c>
      <c r="E5350" s="47">
        <v>221975</v>
      </c>
      <c r="G5350" s="50" t="s">
        <v>244</v>
      </c>
      <c r="H5350" s="51">
        <v>48.36</v>
      </c>
      <c r="J5350" s="51">
        <v>5.79</v>
      </c>
      <c r="K5350" s="74">
        <f>Tabela6[[#This Row],[CONSUMO]]*Tabela6[[#This Row],[VALOR UNIT]]-Tabela6[[#This Row],[DESCONTO]]</f>
        <v>280.00439999999998</v>
      </c>
      <c r="L5350" s="53">
        <f>Tabela6[[#This Row],[CUSTO TOTAL]]/Tabela6[[#This Row],[CONSUMO]]</f>
        <v>5.7899999999999991</v>
      </c>
      <c r="M5350" s="53" t="e">
        <f t="array" ref="M5350">SE</f>
        <v>#NAME?</v>
      </c>
      <c r="N5350" s="49" t="e">
        <f>Tabela6[[#This Row],[KM Rodados ]]/Tabela6[[#This Row],[CONSUMO]]</f>
        <v>#NAME?</v>
      </c>
    </row>
    <row r="5351" spans="1:14" x14ac:dyDescent="0.25">
      <c r="A5351" s="47">
        <v>294281</v>
      </c>
      <c r="B5351" s="78">
        <v>45557</v>
      </c>
      <c r="C5351" s="47" t="s">
        <v>446</v>
      </c>
      <c r="D5351" s="49" t="s">
        <v>262</v>
      </c>
      <c r="E5351" s="47">
        <v>424270</v>
      </c>
      <c r="G5351" s="50" t="s">
        <v>241</v>
      </c>
      <c r="H5351" s="51">
        <v>18.151</v>
      </c>
      <c r="I5351" s="49">
        <v>6.54</v>
      </c>
      <c r="J5351" s="51">
        <v>3.69</v>
      </c>
      <c r="K5351" s="74">
        <f>Tabela6[[#This Row],[CONSUMO]]*Tabela6[[#This Row],[VALOR UNIT]]-Tabela6[[#This Row],[DESCONTO]]</f>
        <v>60.437189999999994</v>
      </c>
      <c r="L5351" s="53">
        <f>Tabela6[[#This Row],[CUSTO TOTAL]]/Tabela6[[#This Row],[CONSUMO]]</f>
        <v>3.3296892733182744</v>
      </c>
      <c r="M5351" s="53" t="e">
        <f t="array" ref="M5351">SE</f>
        <v>#NAME?</v>
      </c>
      <c r="N5351" s="49" t="e">
        <f>Tabela6[[#This Row],[KM Rodados ]]/Tabela6[[#This Row],[CONSUMO]]</f>
        <v>#NAME?</v>
      </c>
    </row>
    <row r="5352" spans="1:14" x14ac:dyDescent="0.25">
      <c r="A5352" s="47">
        <v>238281</v>
      </c>
      <c r="B5352" s="78">
        <v>45558</v>
      </c>
      <c r="C5352" s="47" t="s">
        <v>43</v>
      </c>
      <c r="D5352" s="49" t="s">
        <v>263</v>
      </c>
      <c r="E5352" s="47">
        <v>207322</v>
      </c>
      <c r="G5352" s="50" t="s">
        <v>89</v>
      </c>
      <c r="H5352" s="51">
        <v>28.15</v>
      </c>
      <c r="I5352" s="49">
        <v>4.22</v>
      </c>
      <c r="J5352" s="51">
        <v>6.09</v>
      </c>
      <c r="K5352" s="74">
        <f>Tabela6[[#This Row],[CONSUMO]]*Tabela6[[#This Row],[VALOR UNIT]]-Tabela6[[#This Row],[DESCONTO]]</f>
        <v>167.21349999999998</v>
      </c>
      <c r="L5352" s="53">
        <f>Tabela6[[#This Row],[CUSTO TOTAL]]/Tabela6[[#This Row],[CONSUMO]]</f>
        <v>5.9400888099467135</v>
      </c>
      <c r="M5352" s="53" t="e">
        <f t="array" ref="M5352">SE</f>
        <v>#NAME?</v>
      </c>
      <c r="N5352" s="49" t="e">
        <f>Tabela6[[#This Row],[KM Rodados ]]/Tabela6[[#This Row],[CONSUMO]]</f>
        <v>#NAME?</v>
      </c>
    </row>
    <row r="5353" spans="1:14" x14ac:dyDescent="0.25">
      <c r="A5353" s="47" t="s">
        <v>557</v>
      </c>
      <c r="B5353" s="78">
        <v>45558</v>
      </c>
      <c r="C5353" s="47" t="s">
        <v>43</v>
      </c>
      <c r="D5353" s="49" t="s">
        <v>268</v>
      </c>
      <c r="E5353" s="47">
        <v>207669</v>
      </c>
      <c r="G5353" s="50" t="s">
        <v>89</v>
      </c>
      <c r="H5353" s="51">
        <v>17.271999999999998</v>
      </c>
      <c r="J5353" s="51">
        <v>5.79</v>
      </c>
      <c r="K5353" s="74">
        <f>Tabela6[[#This Row],[CONSUMO]]*Tabela6[[#This Row],[VALOR UNIT]]-Tabela6[[#This Row],[DESCONTO]]</f>
        <v>100.00487999999999</v>
      </c>
      <c r="L5353" s="53">
        <f>Tabela6[[#This Row],[CUSTO TOTAL]]/Tabela6[[#This Row],[CONSUMO]]</f>
        <v>5.79</v>
      </c>
      <c r="M5353" s="53" t="e">
        <f t="array" ref="M5353">SE</f>
        <v>#NAME?</v>
      </c>
      <c r="N5353" s="49" t="e">
        <f>Tabela6[[#This Row],[KM Rodados ]]/Tabela6[[#This Row],[CONSUMO]]</f>
        <v>#NAME?</v>
      </c>
    </row>
    <row r="5354" spans="1:14" x14ac:dyDescent="0.25">
      <c r="A5354" s="47">
        <v>144611</v>
      </c>
      <c r="B5354" s="78">
        <v>45558</v>
      </c>
      <c r="C5354" s="47" t="s">
        <v>70</v>
      </c>
      <c r="D5354" s="49" t="s">
        <v>535</v>
      </c>
      <c r="E5354" s="47">
        <v>311875</v>
      </c>
      <c r="G5354" s="50" t="s">
        <v>89</v>
      </c>
      <c r="H5354" s="51">
        <v>180</v>
      </c>
      <c r="J5354" s="51">
        <v>5.95</v>
      </c>
      <c r="K5354" s="74">
        <f>Tabela6[[#This Row],[CONSUMO]]*Tabela6[[#This Row],[VALOR UNIT]]-Tabela6[[#This Row],[DESCONTO]]</f>
        <v>1071</v>
      </c>
      <c r="L5354" s="53">
        <f>Tabela6[[#This Row],[CUSTO TOTAL]]/Tabela6[[#This Row],[CONSUMO]]</f>
        <v>5.95</v>
      </c>
      <c r="M5354" s="53" t="e">
        <f t="array" ref="M5354">SE</f>
        <v>#NAME?</v>
      </c>
      <c r="N5354" s="49" t="e">
        <f>Tabela6[[#This Row],[KM Rodados ]]/Tabela6[[#This Row],[CONSUMO]]</f>
        <v>#NAME?</v>
      </c>
    </row>
    <row r="5355" spans="1:14" x14ac:dyDescent="0.25">
      <c r="A5355" s="47">
        <v>877420</v>
      </c>
      <c r="B5355" s="78">
        <v>45558</v>
      </c>
      <c r="C5355" s="47" t="s">
        <v>206</v>
      </c>
      <c r="D5355" s="49" t="s">
        <v>252</v>
      </c>
      <c r="E5355" s="47">
        <v>1034371</v>
      </c>
      <c r="G5355" s="50" t="s">
        <v>89</v>
      </c>
      <c r="H5355" s="51">
        <v>440.01</v>
      </c>
      <c r="J5355" s="51">
        <v>5.86</v>
      </c>
      <c r="K5355" s="74">
        <f>Tabela6[[#This Row],[CONSUMO]]*Tabela6[[#This Row],[VALOR UNIT]]-Tabela6[[#This Row],[DESCONTO]]</f>
        <v>2578.4585999999999</v>
      </c>
      <c r="L5355" s="53">
        <f>Tabela6[[#This Row],[CUSTO TOTAL]]/Tabela6[[#This Row],[CONSUMO]]</f>
        <v>5.86</v>
      </c>
      <c r="M5355" s="53" t="e">
        <f t="array" ref="M5355">SE</f>
        <v>#NAME?</v>
      </c>
      <c r="N5355" s="49" t="e">
        <f>Tabela6[[#This Row],[KM Rodados ]]/Tabela6[[#This Row],[CONSUMO]]</f>
        <v>#NAME?</v>
      </c>
    </row>
    <row r="5356" spans="1:14" x14ac:dyDescent="0.25">
      <c r="A5356" s="47">
        <v>294522</v>
      </c>
      <c r="B5356" s="78">
        <v>45558</v>
      </c>
      <c r="C5356" s="47" t="s">
        <v>14</v>
      </c>
      <c r="D5356" s="49" t="s">
        <v>262</v>
      </c>
      <c r="E5356" s="47">
        <v>345312</v>
      </c>
      <c r="G5356" s="50" t="s">
        <v>244</v>
      </c>
      <c r="H5356" s="51">
        <v>12.86</v>
      </c>
      <c r="J5356" s="51">
        <v>5.99</v>
      </c>
      <c r="K5356" s="74">
        <f>Tabela6[[#This Row],[CONSUMO]]*Tabela6[[#This Row],[VALOR UNIT]]-Tabela6[[#This Row],[DESCONTO]]</f>
        <v>77.031400000000005</v>
      </c>
      <c r="L5356" s="53">
        <f>Tabela6[[#This Row],[CUSTO TOTAL]]/Tabela6[[#This Row],[CONSUMO]]</f>
        <v>5.99</v>
      </c>
      <c r="M5356" s="53" t="e">
        <f t="array" ref="M5356">SE</f>
        <v>#NAME?</v>
      </c>
      <c r="N5356" s="49" t="e">
        <f>Tabela6[[#This Row],[KM Rodados ]]/Tabela6[[#This Row],[CONSUMO]]</f>
        <v>#NAME?</v>
      </c>
    </row>
    <row r="5357" spans="1:14" x14ac:dyDescent="0.25">
      <c r="A5357" s="47">
        <v>150168</v>
      </c>
      <c r="B5357" s="78">
        <v>45559</v>
      </c>
      <c r="C5357" s="47" t="s">
        <v>72</v>
      </c>
      <c r="D5357" s="49" t="s">
        <v>560</v>
      </c>
      <c r="E5357" s="47">
        <v>476781</v>
      </c>
      <c r="G5357" s="50" t="s">
        <v>89</v>
      </c>
      <c r="H5357" s="51">
        <v>52.62</v>
      </c>
      <c r="J5357" s="51">
        <v>6.29</v>
      </c>
      <c r="K5357" s="74">
        <f>Tabela6[[#This Row],[CONSUMO]]*Tabela6[[#This Row],[VALOR UNIT]]-Tabela6[[#This Row],[DESCONTO]]</f>
        <v>330.97980000000001</v>
      </c>
      <c r="L5357" s="53">
        <f>Tabela6[[#This Row],[CUSTO TOTAL]]/Tabela6[[#This Row],[CONSUMO]]</f>
        <v>6.2900000000000009</v>
      </c>
      <c r="M5357" s="53" t="e">
        <f t="array" ref="M5357">SE</f>
        <v>#NAME?</v>
      </c>
      <c r="N5357" s="49" t="e">
        <f>Tabela6[[#This Row],[KM Rodados ]]/Tabela6[[#This Row],[CONSUMO]]</f>
        <v>#NAME?</v>
      </c>
    </row>
    <row r="5358" spans="1:14" x14ac:dyDescent="0.25">
      <c r="A5358" s="47">
        <v>334975</v>
      </c>
      <c r="B5358" s="78">
        <v>45559</v>
      </c>
      <c r="C5358" s="47" t="s">
        <v>11</v>
      </c>
      <c r="D5358" s="49" t="s">
        <v>253</v>
      </c>
      <c r="E5358" s="47">
        <v>422973</v>
      </c>
      <c r="G5358" s="50" t="s">
        <v>89</v>
      </c>
      <c r="H5358" s="51">
        <v>113.02</v>
      </c>
      <c r="J5358" s="51">
        <v>6.09</v>
      </c>
      <c r="K5358" s="74">
        <f>Tabela6[[#This Row],[CONSUMO]]*Tabela6[[#This Row],[VALOR UNIT]]-Tabela6[[#This Row],[DESCONTO]]</f>
        <v>688.29179999999997</v>
      </c>
      <c r="L5358" s="53">
        <f>Tabela6[[#This Row],[CUSTO TOTAL]]/Tabela6[[#This Row],[CONSUMO]]</f>
        <v>6.09</v>
      </c>
      <c r="M5358" s="53" t="e">
        <f t="array" ref="M5358">SE</f>
        <v>#NAME?</v>
      </c>
      <c r="N5358" s="49" t="e">
        <f>Tabela6[[#This Row],[KM Rodados ]]/Tabela6[[#This Row],[CONSUMO]]</f>
        <v>#NAME?</v>
      </c>
    </row>
    <row r="5359" spans="1:14" x14ac:dyDescent="0.25">
      <c r="A5359" s="117">
        <v>334983</v>
      </c>
      <c r="B5359" s="78">
        <v>45559</v>
      </c>
      <c r="C5359" s="47" t="s">
        <v>12</v>
      </c>
      <c r="D5359" s="49" t="s">
        <v>253</v>
      </c>
      <c r="E5359" s="117">
        <v>347265</v>
      </c>
      <c r="G5359" s="50" t="s">
        <v>89</v>
      </c>
      <c r="H5359" s="51">
        <v>109.71</v>
      </c>
      <c r="J5359" s="51">
        <v>6.09</v>
      </c>
      <c r="K5359" s="74">
        <f>Tabela6[[#This Row],[CONSUMO]]*Tabela6[[#This Row],[VALOR UNIT]]-Tabela6[[#This Row],[DESCONTO]]</f>
        <v>668.13389999999993</v>
      </c>
      <c r="L5359" s="53">
        <f>Tabela6[[#This Row],[CUSTO TOTAL]]/Tabela6[[#This Row],[CONSUMO]]</f>
        <v>6.09</v>
      </c>
      <c r="M5359" s="53" t="e">
        <f t="array" ref="M5359">SE</f>
        <v>#NAME?</v>
      </c>
      <c r="N5359" s="118" t="e">
        <f>Tabela6[[#This Row],[KM Rodados ]]/Tabela6[[#This Row],[CONSUMO]]</f>
        <v>#NAME?</v>
      </c>
    </row>
    <row r="5360" spans="1:14" x14ac:dyDescent="0.25">
      <c r="A5360" s="47">
        <v>48734</v>
      </c>
      <c r="B5360" s="78">
        <v>45559</v>
      </c>
      <c r="C5360" s="47" t="s">
        <v>38</v>
      </c>
      <c r="D5360" s="49" t="s">
        <v>255</v>
      </c>
      <c r="E5360" s="47">
        <v>154144</v>
      </c>
      <c r="G5360" s="50" t="s">
        <v>244</v>
      </c>
      <c r="H5360" s="51">
        <v>49.33</v>
      </c>
      <c r="J5360" s="51">
        <v>6.16</v>
      </c>
      <c r="K5360" s="74">
        <f>Tabela6[[#This Row],[CONSUMO]]*Tabela6[[#This Row],[VALOR UNIT]]-Tabela6[[#This Row],[DESCONTO]]</f>
        <v>303.87279999999998</v>
      </c>
      <c r="L5360" s="53">
        <f>Tabela6[[#This Row],[CUSTO TOTAL]]/Tabela6[[#This Row],[CONSUMO]]</f>
        <v>6.16</v>
      </c>
      <c r="M5360" s="53" t="e">
        <f t="array" ref="M5360">SE</f>
        <v>#NAME?</v>
      </c>
      <c r="N5360" s="49" t="e">
        <f>Tabela6[[#This Row],[KM Rodados ]]/Tabela6[[#This Row],[CONSUMO]]</f>
        <v>#NAME?</v>
      </c>
    </row>
    <row r="5361" spans="1:14" x14ac:dyDescent="0.25">
      <c r="A5361" s="47">
        <v>1331018</v>
      </c>
      <c r="B5361" s="78">
        <v>45559</v>
      </c>
      <c r="C5361" s="47" t="s">
        <v>401</v>
      </c>
      <c r="D5361" s="49" t="s">
        <v>247</v>
      </c>
      <c r="E5361" s="47">
        <v>57218</v>
      </c>
      <c r="G5361" s="50" t="s">
        <v>89</v>
      </c>
      <c r="H5361" s="51">
        <v>65.680000000000007</v>
      </c>
      <c r="J5361" s="51">
        <v>6.09</v>
      </c>
      <c r="K5361" s="74">
        <f>Tabela6[[#This Row],[CONSUMO]]*Tabela6[[#This Row],[VALOR UNIT]]-Tabela6[[#This Row],[DESCONTO]]</f>
        <v>399.99120000000005</v>
      </c>
      <c r="L5361" s="53">
        <f>Tabela6[[#This Row],[CUSTO TOTAL]]/Tabela6[[#This Row],[CONSUMO]]</f>
        <v>6.09</v>
      </c>
      <c r="M5361" s="53" t="e">
        <f t="array" ref="M5361">SE</f>
        <v>#NAME?</v>
      </c>
      <c r="N5361" s="49" t="e">
        <f>Tabela6[[#This Row],[KM Rodados ]]/Tabela6[[#This Row],[CONSUMO]]</f>
        <v>#NAME?</v>
      </c>
    </row>
    <row r="5362" spans="1:14" x14ac:dyDescent="0.25">
      <c r="A5362" s="47">
        <v>2394017</v>
      </c>
      <c r="B5362" s="78">
        <v>45560</v>
      </c>
      <c r="C5362" s="47" t="s">
        <v>222</v>
      </c>
      <c r="D5362" s="49" t="s">
        <v>252</v>
      </c>
      <c r="E5362" s="47">
        <v>625038</v>
      </c>
      <c r="G5362" s="50" t="s">
        <v>89</v>
      </c>
      <c r="H5362" s="51">
        <v>360.00400000000002</v>
      </c>
      <c r="J5362" s="51">
        <v>5.86</v>
      </c>
      <c r="K5362" s="74">
        <f>Tabela6[[#This Row],[CONSUMO]]*Tabela6[[#This Row],[VALOR UNIT]]-Tabela6[[#This Row],[DESCONTO]]</f>
        <v>2109.6234400000003</v>
      </c>
      <c r="L5362" s="53">
        <f>Tabela6[[#This Row],[CUSTO TOTAL]]/Tabela6[[#This Row],[CONSUMO]]</f>
        <v>5.86</v>
      </c>
      <c r="M5362" s="53" t="e">
        <f t="array" ref="M5362">SE</f>
        <v>#NAME?</v>
      </c>
      <c r="N5362" s="49" t="e">
        <f>Tabela6[[#This Row],[KM Rodados ]]/Tabela6[[#This Row],[CONSUMO]]</f>
        <v>#NAME?</v>
      </c>
    </row>
    <row r="5363" spans="1:14" x14ac:dyDescent="0.25">
      <c r="A5363" s="47">
        <v>2394017</v>
      </c>
      <c r="B5363" s="78">
        <v>45560</v>
      </c>
      <c r="C5363" s="47" t="s">
        <v>222</v>
      </c>
      <c r="D5363" s="49" t="s">
        <v>252</v>
      </c>
      <c r="E5363" s="47">
        <v>625038</v>
      </c>
      <c r="G5363" s="50" t="s">
        <v>241</v>
      </c>
      <c r="H5363" s="51">
        <v>34.97</v>
      </c>
      <c r="J5363" s="51">
        <v>2.85</v>
      </c>
      <c r="K5363" s="74">
        <f>Tabela6[[#This Row],[CONSUMO]]*Tabela6[[#This Row],[VALOR UNIT]]-Tabela6[[#This Row],[DESCONTO]]</f>
        <v>99.664500000000004</v>
      </c>
      <c r="L5363" s="53">
        <f>Tabela6[[#This Row],[CUSTO TOTAL]]/Tabela6[[#This Row],[CONSUMO]]</f>
        <v>2.85</v>
      </c>
      <c r="M5363" s="53" t="e">
        <f t="array" ref="M5363">SE</f>
        <v>#NAME?</v>
      </c>
      <c r="N5363" s="49" t="e">
        <f>Tabela6[[#This Row],[KM Rodados ]]/Tabela6[[#This Row],[CONSUMO]]</f>
        <v>#NAME?</v>
      </c>
    </row>
    <row r="5364" spans="1:14" x14ac:dyDescent="0.25">
      <c r="A5364" s="47">
        <v>317326</v>
      </c>
      <c r="B5364" s="78">
        <v>45560</v>
      </c>
      <c r="C5364" s="47" t="s">
        <v>17</v>
      </c>
      <c r="D5364" s="49" t="s">
        <v>562</v>
      </c>
      <c r="E5364" s="47">
        <v>434236</v>
      </c>
      <c r="G5364" s="50" t="s">
        <v>89</v>
      </c>
      <c r="H5364" s="51">
        <v>153.19</v>
      </c>
      <c r="J5364" s="51">
        <v>5.69</v>
      </c>
      <c r="K5364" s="74">
        <f>Tabela6[[#This Row],[CONSUMO]]*Tabela6[[#This Row],[VALOR UNIT]]-Tabela6[[#This Row],[DESCONTO]]</f>
        <v>871.65110000000004</v>
      </c>
      <c r="L5364" s="53">
        <f>Tabela6[[#This Row],[CUSTO TOTAL]]/Tabela6[[#This Row],[CONSUMO]]</f>
        <v>5.69</v>
      </c>
      <c r="M5364" s="53" t="e">
        <f t="array" ref="M5364">SE</f>
        <v>#NAME?</v>
      </c>
      <c r="N5364" s="49" t="e">
        <f>Tabela6[[#This Row],[KM Rodados ]]/Tabela6[[#This Row],[CONSUMO]]</f>
        <v>#NAME?</v>
      </c>
    </row>
    <row r="5365" spans="1:14" x14ac:dyDescent="0.25">
      <c r="A5365" s="47">
        <v>620404</v>
      </c>
      <c r="B5365" s="78">
        <v>45560</v>
      </c>
      <c r="C5365" s="47" t="s">
        <v>17</v>
      </c>
      <c r="D5365" s="49" t="s">
        <v>563</v>
      </c>
      <c r="E5365" s="47">
        <v>434792</v>
      </c>
      <c r="G5365" s="50" t="s">
        <v>89</v>
      </c>
      <c r="H5365" s="51">
        <v>151.71</v>
      </c>
      <c r="J5365" s="51">
        <v>6.06</v>
      </c>
      <c r="K5365" s="74">
        <f>Tabela6[[#This Row],[CONSUMO]]*Tabela6[[#This Row],[VALOR UNIT]]-Tabela6[[#This Row],[DESCONTO]]</f>
        <v>919.36260000000004</v>
      </c>
      <c r="L5365" s="53">
        <f>Tabela6[[#This Row],[CUSTO TOTAL]]/Tabela6[[#This Row],[CONSUMO]]</f>
        <v>6.06</v>
      </c>
      <c r="M5365" s="53" t="e">
        <f t="array" ref="M5365">SE</f>
        <v>#NAME?</v>
      </c>
      <c r="N5365" s="49" t="e">
        <f>Tabela6[[#This Row],[KM Rodados ]]/Tabela6[[#This Row],[CONSUMO]]</f>
        <v>#NAME?</v>
      </c>
    </row>
    <row r="5366" spans="1:14" x14ac:dyDescent="0.25">
      <c r="A5366" s="47">
        <v>250024</v>
      </c>
      <c r="B5366" s="78">
        <v>45560</v>
      </c>
      <c r="C5366" s="47" t="s">
        <v>17</v>
      </c>
      <c r="D5366" s="49" t="s">
        <v>563</v>
      </c>
      <c r="E5366" s="47">
        <v>434792</v>
      </c>
      <c r="G5366" s="50" t="s">
        <v>241</v>
      </c>
      <c r="H5366" s="51">
        <v>22.361999999999998</v>
      </c>
      <c r="J5366" s="51">
        <v>2.99</v>
      </c>
      <c r="K5366" s="74">
        <f>Tabela6[[#This Row],[CONSUMO]]*Tabela6[[#This Row],[VALOR UNIT]]-Tabela6[[#This Row],[DESCONTO]]</f>
        <v>66.862380000000002</v>
      </c>
      <c r="L5366" s="53">
        <f>Tabela6[[#This Row],[CUSTO TOTAL]]/Tabela6[[#This Row],[CONSUMO]]</f>
        <v>2.99</v>
      </c>
      <c r="M5366" s="53" t="e">
        <f t="array" ref="M5366">SE</f>
        <v>#NAME?</v>
      </c>
      <c r="N5366" s="49" t="e">
        <f>Tabela6[[#This Row],[KM Rodados ]]/Tabela6[[#This Row],[CONSUMO]]</f>
        <v>#NAME?</v>
      </c>
    </row>
    <row r="5367" spans="1:14" x14ac:dyDescent="0.25">
      <c r="A5367" s="47">
        <v>438609</v>
      </c>
      <c r="B5367" s="78">
        <v>45560</v>
      </c>
      <c r="C5367" s="47" t="s">
        <v>315</v>
      </c>
      <c r="D5367" s="49" t="s">
        <v>276</v>
      </c>
      <c r="E5367" s="47">
        <v>47070</v>
      </c>
      <c r="G5367" s="50" t="s">
        <v>241</v>
      </c>
      <c r="H5367" s="51">
        <v>16.832999999999998</v>
      </c>
      <c r="J5367" s="51">
        <v>3.69</v>
      </c>
      <c r="K5367" s="74">
        <f>Tabela6[[#This Row],[CONSUMO]]*Tabela6[[#This Row],[VALOR UNIT]]-Tabela6[[#This Row],[DESCONTO]]</f>
        <v>62.113769999999995</v>
      </c>
      <c r="L5367" s="53">
        <f>Tabela6[[#This Row],[CUSTO TOTAL]]/Tabela6[[#This Row],[CONSUMO]]</f>
        <v>3.69</v>
      </c>
      <c r="M5367" s="53" t="e">
        <f t="array" ref="M5367">SE</f>
        <v>#NAME?</v>
      </c>
      <c r="N5367" s="49" t="e">
        <f>Tabela6[[#This Row],[KM Rodados ]]/Tabela6[[#This Row],[CONSUMO]]</f>
        <v>#NAME?</v>
      </c>
    </row>
    <row r="5368" spans="1:14" x14ac:dyDescent="0.25">
      <c r="A5368" s="47">
        <v>75539</v>
      </c>
      <c r="B5368" s="78">
        <v>45560</v>
      </c>
      <c r="C5368" s="47" t="s">
        <v>401</v>
      </c>
      <c r="D5368" s="49" t="s">
        <v>247</v>
      </c>
      <c r="E5368" s="47">
        <v>57737</v>
      </c>
      <c r="G5368" s="50" t="s">
        <v>89</v>
      </c>
      <c r="H5368" s="51">
        <v>82.01</v>
      </c>
      <c r="J5368" s="51">
        <v>6.09</v>
      </c>
      <c r="K5368" s="74">
        <f>Tabela6[[#This Row],[CONSUMO]]*Tabela6[[#This Row],[VALOR UNIT]]-Tabela6[[#This Row],[DESCONTO]]</f>
        <v>499.4409</v>
      </c>
      <c r="L5368" s="53">
        <f>Tabela6[[#This Row],[CUSTO TOTAL]]/Tabela6[[#This Row],[CONSUMO]]</f>
        <v>6.09</v>
      </c>
      <c r="M5368" s="53" t="e">
        <f t="array" ref="M5368">SE</f>
        <v>#NAME?</v>
      </c>
      <c r="N5368" s="49" t="e">
        <f>Tabela6[[#This Row],[KM Rodados ]]/Tabela6[[#This Row],[CONSUMO]]</f>
        <v>#NAME?</v>
      </c>
    </row>
    <row r="5369" spans="1:14" x14ac:dyDescent="0.25">
      <c r="A5369" s="47">
        <v>75539</v>
      </c>
      <c r="B5369" s="78">
        <v>45560</v>
      </c>
      <c r="C5369" s="47" t="s">
        <v>401</v>
      </c>
      <c r="D5369" s="49" t="s">
        <v>247</v>
      </c>
      <c r="E5369" s="47">
        <v>57737</v>
      </c>
      <c r="G5369" s="50" t="s">
        <v>241</v>
      </c>
      <c r="H5369" s="51">
        <v>21</v>
      </c>
      <c r="J5369" s="51">
        <v>2.99</v>
      </c>
      <c r="K5369" s="74">
        <f>Tabela6[[#This Row],[CONSUMO]]*Tabela6[[#This Row],[VALOR UNIT]]-Tabela6[[#This Row],[DESCONTO]]</f>
        <v>62.790000000000006</v>
      </c>
      <c r="L5369" s="53">
        <f>Tabela6[[#This Row],[CUSTO TOTAL]]/Tabela6[[#This Row],[CONSUMO]]</f>
        <v>2.99</v>
      </c>
      <c r="M5369" s="53" t="e">
        <f t="array" ref="M5369">SE</f>
        <v>#NAME?</v>
      </c>
      <c r="N5369" s="49" t="e">
        <f>Tabela6[[#This Row],[KM Rodados ]]/Tabela6[[#This Row],[CONSUMO]]</f>
        <v>#NAME?</v>
      </c>
    </row>
    <row r="5370" spans="1:14" x14ac:dyDescent="0.25">
      <c r="A5370" s="47">
        <v>558606</v>
      </c>
      <c r="B5370" s="78">
        <v>45560</v>
      </c>
      <c r="C5370" s="47" t="s">
        <v>446</v>
      </c>
      <c r="D5370" s="49" t="s">
        <v>247</v>
      </c>
      <c r="E5370" s="47">
        <v>44370</v>
      </c>
      <c r="G5370" s="50" t="s">
        <v>89</v>
      </c>
      <c r="H5370" s="51">
        <v>80</v>
      </c>
      <c r="J5370" s="51">
        <v>6.67</v>
      </c>
      <c r="K5370" s="74">
        <f>Tabela6[[#This Row],[CONSUMO]]*Tabela6[[#This Row],[VALOR UNIT]]-Tabela6[[#This Row],[DESCONTO]]</f>
        <v>533.6</v>
      </c>
      <c r="L5370" s="53">
        <f>Tabela6[[#This Row],[CUSTO TOTAL]]/Tabela6[[#This Row],[CONSUMO]]</f>
        <v>6.67</v>
      </c>
      <c r="M5370" s="53" t="e">
        <f t="array" ref="M5370">SE</f>
        <v>#NAME?</v>
      </c>
      <c r="N5370" s="49" t="e">
        <f>Tabela6[[#This Row],[KM Rodados ]]/Tabela6[[#This Row],[CONSUMO]]</f>
        <v>#NAME?</v>
      </c>
    </row>
    <row r="5371" spans="1:14" x14ac:dyDescent="0.25">
      <c r="A5371" s="47">
        <v>558606</v>
      </c>
      <c r="B5371" s="78">
        <v>45560</v>
      </c>
      <c r="C5371" s="47" t="s">
        <v>446</v>
      </c>
      <c r="D5371" s="49" t="s">
        <v>247</v>
      </c>
      <c r="E5371" s="47">
        <v>44370</v>
      </c>
      <c r="G5371" s="50" t="s">
        <v>241</v>
      </c>
      <c r="H5371" s="51">
        <v>2.79</v>
      </c>
      <c r="J5371" s="51">
        <v>15</v>
      </c>
      <c r="K5371" s="74">
        <f>Tabela6[[#This Row],[CONSUMO]]*Tabela6[[#This Row],[VALOR UNIT]]-Tabela6[[#This Row],[DESCONTO]]</f>
        <v>41.85</v>
      </c>
      <c r="L5371" s="53">
        <f>Tabela6[[#This Row],[CUSTO TOTAL]]/Tabela6[[#This Row],[CONSUMO]]</f>
        <v>15</v>
      </c>
      <c r="M5371" s="53" t="e">
        <f t="array" ref="M5371">SE</f>
        <v>#NAME?</v>
      </c>
      <c r="N5371" s="49" t="e">
        <f>Tabela6[[#This Row],[KM Rodados ]]/Tabela6[[#This Row],[CONSUMO]]</f>
        <v>#NAME?</v>
      </c>
    </row>
    <row r="5372" spans="1:14" x14ac:dyDescent="0.25">
      <c r="A5372" s="47">
        <v>438482</v>
      </c>
      <c r="B5372" s="78">
        <v>45560</v>
      </c>
      <c r="C5372" s="47" t="s">
        <v>446</v>
      </c>
      <c r="D5372" s="49" t="s">
        <v>276</v>
      </c>
      <c r="E5372" s="47">
        <v>44635</v>
      </c>
      <c r="G5372" s="50" t="s">
        <v>241</v>
      </c>
      <c r="H5372" s="51">
        <v>23.032</v>
      </c>
      <c r="J5372" s="51">
        <v>3.69</v>
      </c>
      <c r="K5372" s="74">
        <f>Tabela6[[#This Row],[CONSUMO]]*Tabela6[[#This Row],[VALOR UNIT]]-Tabela6[[#This Row],[DESCONTO]]</f>
        <v>84.988079999999997</v>
      </c>
      <c r="L5372" s="53">
        <f>Tabela6[[#This Row],[CUSTO TOTAL]]/Tabela6[[#This Row],[CONSUMO]]</f>
        <v>3.69</v>
      </c>
      <c r="M5372" s="53" t="e">
        <f t="array" ref="M5372">SE</f>
        <v>#NAME?</v>
      </c>
      <c r="N5372" s="49" t="e">
        <f>Tabela6[[#This Row],[KM Rodados ]]/Tabela6[[#This Row],[CONSUMO]]</f>
        <v>#NAME?</v>
      </c>
    </row>
    <row r="5373" spans="1:14" x14ac:dyDescent="0.25">
      <c r="A5373" s="47">
        <v>295272</v>
      </c>
      <c r="B5373" s="78">
        <v>45561</v>
      </c>
      <c r="C5373" s="47" t="s">
        <v>206</v>
      </c>
      <c r="D5373" s="49" t="s">
        <v>262</v>
      </c>
      <c r="E5373" s="47">
        <v>1305379</v>
      </c>
      <c r="G5373" s="50" t="s">
        <v>241</v>
      </c>
      <c r="H5373" s="51">
        <v>35.002000000000002</v>
      </c>
      <c r="I5373" s="49">
        <v>12.6</v>
      </c>
      <c r="J5373" s="51">
        <v>3.69</v>
      </c>
      <c r="K5373" s="74">
        <f>Tabela6[[#This Row],[CONSUMO]]*Tabela6[[#This Row],[VALOR UNIT]]-Tabela6[[#This Row],[DESCONTO]]</f>
        <v>116.55738000000002</v>
      </c>
      <c r="L5373" s="53">
        <f>Tabela6[[#This Row],[CUSTO TOTAL]]/Tabela6[[#This Row],[CONSUMO]]</f>
        <v>3.3300205702531289</v>
      </c>
      <c r="M5373" s="53" t="e">
        <f t="array" ref="M5373">SE</f>
        <v>#NAME?</v>
      </c>
      <c r="N5373" s="49" t="e">
        <f>Tabela6[[#This Row],[KM Rodados ]]/Tabela6[[#This Row],[CONSUMO]]</f>
        <v>#NAME?</v>
      </c>
    </row>
    <row r="5374" spans="1:14" x14ac:dyDescent="0.25">
      <c r="A5374" s="47">
        <v>337015</v>
      </c>
      <c r="B5374" s="78">
        <v>45561</v>
      </c>
      <c r="C5374" s="47" t="s">
        <v>14</v>
      </c>
      <c r="D5374" s="49" t="s">
        <v>253</v>
      </c>
      <c r="G5374" s="50" t="s">
        <v>244</v>
      </c>
      <c r="H5374" s="51">
        <v>43.645000000000003</v>
      </c>
      <c r="J5374" s="51">
        <v>6.09</v>
      </c>
      <c r="K5374" s="74">
        <f>Tabela6[[#This Row],[CONSUMO]]*Tabela6[[#This Row],[VALOR UNIT]]-Tabela6[[#This Row],[DESCONTO]]</f>
        <v>265.79804999999999</v>
      </c>
      <c r="L5374" s="53">
        <f>Tabela6[[#This Row],[CUSTO TOTAL]]/Tabela6[[#This Row],[CONSUMO]]</f>
        <v>6.089999999999999</v>
      </c>
      <c r="M5374" s="53" t="e">
        <f t="array" ref="M5374">SE</f>
        <v>#NAME?</v>
      </c>
      <c r="N5374" s="49" t="e">
        <f>Tabela6[[#This Row],[KM Rodados ]]/Tabela6[[#This Row],[CONSUMO]]</f>
        <v>#NAME?</v>
      </c>
    </row>
    <row r="5375" spans="1:14" x14ac:dyDescent="0.25">
      <c r="A5375" s="47">
        <v>337162</v>
      </c>
      <c r="B5375" s="78">
        <v>45561</v>
      </c>
      <c r="C5375" s="47" t="s">
        <v>23</v>
      </c>
      <c r="D5375" s="49" t="s">
        <v>253</v>
      </c>
      <c r="E5375" s="47">
        <v>129937</v>
      </c>
      <c r="G5375" s="50" t="s">
        <v>89</v>
      </c>
      <c r="H5375" s="51">
        <v>181.38</v>
      </c>
      <c r="J5375" s="51">
        <v>6.09</v>
      </c>
      <c r="K5375" s="74">
        <f>Tabela6[[#This Row],[CONSUMO]]*Tabela6[[#This Row],[VALOR UNIT]]-Tabela6[[#This Row],[DESCONTO]]</f>
        <v>1104.6042</v>
      </c>
      <c r="L5375" s="53">
        <f>Tabela6[[#This Row],[CUSTO TOTAL]]/Tabela6[[#This Row],[CONSUMO]]</f>
        <v>6.09</v>
      </c>
      <c r="M5375" s="53" t="e">
        <f t="array" ref="M5375">SE</f>
        <v>#NAME?</v>
      </c>
      <c r="N5375" s="49" t="e">
        <f>Tabela6[[#This Row],[KM Rodados ]]/Tabela6[[#This Row],[CONSUMO]]</f>
        <v>#NAME?</v>
      </c>
    </row>
    <row r="5376" spans="1:14" x14ac:dyDescent="0.25">
      <c r="A5376" s="47">
        <v>295548</v>
      </c>
      <c r="B5376" s="78">
        <v>45562</v>
      </c>
      <c r="C5376" s="47" t="s">
        <v>40</v>
      </c>
      <c r="D5376" s="49" t="s">
        <v>262</v>
      </c>
      <c r="E5376" s="47">
        <v>222760</v>
      </c>
      <c r="G5376" s="50" t="s">
        <v>244</v>
      </c>
      <c r="H5376" s="51">
        <v>38.28</v>
      </c>
      <c r="J5376" s="51">
        <v>5.99</v>
      </c>
      <c r="K5376" s="74">
        <f>Tabela6[[#This Row],[CONSUMO]]*Tabela6[[#This Row],[VALOR UNIT]]-Tabela6[[#This Row],[DESCONTO]]</f>
        <v>229.2972</v>
      </c>
      <c r="L5376" s="53">
        <f>Tabela6[[#This Row],[CUSTO TOTAL]]/Tabela6[[#This Row],[CONSUMO]]</f>
        <v>5.99</v>
      </c>
      <c r="M5376" s="53" t="e">
        <f t="array" ref="M5376">SE</f>
        <v>#NAME?</v>
      </c>
      <c r="N5376" s="49" t="e">
        <f>Tabela6[[#This Row],[KM Rodados ]]/Tabela6[[#This Row],[CONSUMO]]</f>
        <v>#NAME?</v>
      </c>
    </row>
    <row r="5377" spans="1:14" x14ac:dyDescent="0.25">
      <c r="A5377" s="47">
        <v>296259</v>
      </c>
      <c r="B5377" s="78">
        <v>45565</v>
      </c>
      <c r="C5377" s="47" t="s">
        <v>215</v>
      </c>
      <c r="D5377" s="49" t="s">
        <v>262</v>
      </c>
      <c r="E5377" s="47">
        <v>244000</v>
      </c>
      <c r="G5377" s="50" t="s">
        <v>244</v>
      </c>
      <c r="H5377" s="51">
        <v>36.441000000000003</v>
      </c>
      <c r="J5377" s="51">
        <v>5.99</v>
      </c>
      <c r="K5377" s="74">
        <f>Tabela6[[#This Row],[CONSUMO]]*Tabela6[[#This Row],[VALOR UNIT]]-Tabela6[[#This Row],[DESCONTO]]</f>
        <v>218.28159000000002</v>
      </c>
      <c r="L5377" s="53">
        <f>Tabela6[[#This Row],[CUSTO TOTAL]]/Tabela6[[#This Row],[CONSUMO]]</f>
        <v>5.99</v>
      </c>
      <c r="M5377" s="53" t="e">
        <f t="array" ref="M5377">SE</f>
        <v>#NAME?</v>
      </c>
      <c r="N5377" s="49" t="e">
        <f>Tabela6[[#This Row],[KM Rodados ]]/Tabela6[[#This Row],[CONSUMO]]</f>
        <v>#NAME?</v>
      </c>
    </row>
    <row r="5378" spans="1:14" x14ac:dyDescent="0.25">
      <c r="A5378" s="47">
        <v>154715</v>
      </c>
      <c r="B5378" s="78">
        <v>45565</v>
      </c>
      <c r="C5378" s="47" t="s">
        <v>301</v>
      </c>
      <c r="D5378" s="49" t="s">
        <v>252</v>
      </c>
      <c r="E5378" s="47">
        <v>1167302</v>
      </c>
      <c r="G5378" s="50" t="s">
        <v>89</v>
      </c>
      <c r="H5378" s="51">
        <v>370</v>
      </c>
      <c r="J5378" s="51">
        <v>5.85</v>
      </c>
      <c r="K5378" s="74">
        <f>Tabela6[[#This Row],[CONSUMO]]*Tabela6[[#This Row],[VALOR UNIT]]-Tabela6[[#This Row],[DESCONTO]]</f>
        <v>2164.5</v>
      </c>
      <c r="L5378" s="53">
        <f>Tabela6[[#This Row],[CUSTO TOTAL]]/Tabela6[[#This Row],[CONSUMO]]</f>
        <v>5.85</v>
      </c>
      <c r="M5378" s="53" t="e">
        <f t="array" ref="M5378">SE</f>
        <v>#NAME?</v>
      </c>
      <c r="N5378" s="49" t="e">
        <f>Tabela6[[#This Row],[KM Rodados ]]/Tabela6[[#This Row],[CONSUMO]]</f>
        <v>#NAME?</v>
      </c>
    </row>
    <row r="5379" spans="1:14" x14ac:dyDescent="0.25">
      <c r="A5379" s="47">
        <v>439974</v>
      </c>
      <c r="B5379" s="78">
        <v>45565</v>
      </c>
      <c r="C5379" s="47" t="s">
        <v>40</v>
      </c>
      <c r="D5379" s="49" t="s">
        <v>262</v>
      </c>
      <c r="E5379" s="47">
        <v>223272</v>
      </c>
      <c r="G5379" s="50" t="s">
        <v>244</v>
      </c>
      <c r="H5379" s="51">
        <v>38.24</v>
      </c>
      <c r="J5379" s="51">
        <v>6.09</v>
      </c>
      <c r="K5379" s="74">
        <f>Tabela6[[#This Row],[CONSUMO]]*Tabela6[[#This Row],[VALOR UNIT]]-Tabela6[[#This Row],[DESCONTO]]</f>
        <v>232.88160000000002</v>
      </c>
      <c r="L5379" s="53">
        <f>Tabela6[[#This Row],[CUSTO TOTAL]]/Tabela6[[#This Row],[CONSUMO]]</f>
        <v>6.09</v>
      </c>
      <c r="M5379" s="53" t="e">
        <f t="array" ref="M5379">SE</f>
        <v>#NAME?</v>
      </c>
      <c r="N5379" s="49" t="e">
        <f>Tabela6[[#This Row],[KM Rodados ]]/Tabela6[[#This Row],[CONSUMO]]</f>
        <v>#NAME?</v>
      </c>
    </row>
    <row r="5380" spans="1:14" x14ac:dyDescent="0.25">
      <c r="A5380" s="117">
        <v>313164</v>
      </c>
      <c r="B5380" s="78">
        <v>45565</v>
      </c>
      <c r="C5380" s="47" t="s">
        <v>446</v>
      </c>
      <c r="D5380" s="49" t="s">
        <v>390</v>
      </c>
      <c r="E5380" s="117">
        <v>46145</v>
      </c>
      <c r="G5380" s="50" t="s">
        <v>241</v>
      </c>
      <c r="H5380" s="51">
        <v>26</v>
      </c>
      <c r="J5380" s="51">
        <v>3.69</v>
      </c>
      <c r="K5380" s="74">
        <f>Tabela6[[#This Row],[CONSUMO]]*Tabela6[[#This Row],[VALOR UNIT]]-Tabela6[[#This Row],[DESCONTO]]</f>
        <v>95.94</v>
      </c>
      <c r="L5380" s="53">
        <f>Tabela6[[#This Row],[CUSTO TOTAL]]/Tabela6[[#This Row],[CONSUMO]]</f>
        <v>3.69</v>
      </c>
      <c r="M5380" s="53" t="e">
        <f t="array" ref="M5380">SE</f>
        <v>#NAME?</v>
      </c>
      <c r="N5380" s="118" t="e">
        <f>Tabela6[[#This Row],[KM Rodados ]]/Tabela6[[#This Row],[CONSUMO]]</f>
        <v>#NAME?</v>
      </c>
    </row>
    <row r="5381" spans="1:14" x14ac:dyDescent="0.25">
      <c r="A5381" s="117">
        <v>296408</v>
      </c>
      <c r="B5381" s="78">
        <v>45566</v>
      </c>
      <c r="C5381" s="47" t="s">
        <v>73</v>
      </c>
      <c r="D5381" s="49" t="s">
        <v>262</v>
      </c>
      <c r="E5381" s="117">
        <v>230141</v>
      </c>
      <c r="G5381" s="50" t="s">
        <v>241</v>
      </c>
      <c r="H5381" s="51">
        <v>22.632000000000001</v>
      </c>
      <c r="I5381" s="49">
        <v>8.15</v>
      </c>
      <c r="J5381" s="51">
        <v>3.69</v>
      </c>
      <c r="K5381" s="74">
        <f>Tabela6[[#This Row],[CONSUMO]]*Tabela6[[#This Row],[VALOR UNIT]]-Tabela6[[#This Row],[DESCONTO]]</f>
        <v>75.362079999999992</v>
      </c>
      <c r="L5381" s="53">
        <f>Tabela6[[#This Row],[CUSTO TOTAL]]/Tabela6[[#This Row],[CONSUMO]]</f>
        <v>3.3298904206433364</v>
      </c>
      <c r="M5381" s="53" t="e">
        <f t="array" ref="M5381">SE</f>
        <v>#NAME?</v>
      </c>
      <c r="N5381" s="118" t="e">
        <f>Tabela6[[#This Row],[KM Rodados ]]/Tabela6[[#This Row],[CONSUMO]]</f>
        <v>#NAME?</v>
      </c>
    </row>
    <row r="5382" spans="1:14" x14ac:dyDescent="0.25">
      <c r="A5382" s="117">
        <v>296562</v>
      </c>
      <c r="B5382" s="78">
        <v>45566</v>
      </c>
      <c r="C5382" s="47" t="s">
        <v>207</v>
      </c>
      <c r="D5382" s="49" t="s">
        <v>262</v>
      </c>
      <c r="E5382" s="117">
        <v>87084</v>
      </c>
      <c r="G5382" s="50" t="s">
        <v>244</v>
      </c>
      <c r="H5382" s="51">
        <v>8.3510000000000009</v>
      </c>
      <c r="J5382" s="51">
        <v>5.99</v>
      </c>
      <c r="K5382" s="74">
        <f>Tabela6[[#This Row],[CONSUMO]]*Tabela6[[#This Row],[VALOR UNIT]]-Tabela6[[#This Row],[DESCONTO]]</f>
        <v>50.022490000000005</v>
      </c>
      <c r="L5382" s="53">
        <f>Tabela6[[#This Row],[CUSTO TOTAL]]/Tabela6[[#This Row],[CONSUMO]]</f>
        <v>5.99</v>
      </c>
      <c r="M5382" s="53" t="e">
        <f t="array" ref="M5382">SE</f>
        <v>#NAME?</v>
      </c>
      <c r="N5382" s="118" t="e">
        <f>Tabela6[[#This Row],[KM Rodados ]]/Tabela6[[#This Row],[CONSUMO]]</f>
        <v>#NAME?</v>
      </c>
    </row>
    <row r="5383" spans="1:14" x14ac:dyDescent="0.25">
      <c r="A5383" s="117">
        <v>50552</v>
      </c>
      <c r="B5383" s="78">
        <v>45566</v>
      </c>
      <c r="C5383" s="47" t="s">
        <v>23</v>
      </c>
      <c r="D5383" s="49" t="s">
        <v>255</v>
      </c>
      <c r="E5383" s="117">
        <v>298114</v>
      </c>
      <c r="G5383" s="50" t="s">
        <v>89</v>
      </c>
      <c r="H5383" s="51">
        <v>150</v>
      </c>
      <c r="J5383" s="51">
        <v>6.09</v>
      </c>
      <c r="K5383" s="74">
        <f>Tabela6[[#This Row],[CONSUMO]]*Tabela6[[#This Row],[VALOR UNIT]]-Tabela6[[#This Row],[DESCONTO]]</f>
        <v>913.5</v>
      </c>
      <c r="L5383" s="53">
        <f>Tabela6[[#This Row],[CUSTO TOTAL]]/Tabela6[[#This Row],[CONSUMO]]</f>
        <v>6.09</v>
      </c>
      <c r="M5383" s="53" t="e">
        <f t="array" ref="M5383">SE</f>
        <v>#NAME?</v>
      </c>
      <c r="N5383" s="118" t="e">
        <f>Tabela6[[#This Row],[KM Rodados ]]/Tabela6[[#This Row],[CONSUMO]]</f>
        <v>#NAME?</v>
      </c>
    </row>
    <row r="5384" spans="1:14" x14ac:dyDescent="0.25">
      <c r="A5384" s="117">
        <v>340760</v>
      </c>
      <c r="B5384" s="78">
        <v>45566</v>
      </c>
      <c r="C5384" s="47" t="s">
        <v>315</v>
      </c>
      <c r="D5384" s="49" t="s">
        <v>253</v>
      </c>
      <c r="E5384" s="117">
        <v>47821</v>
      </c>
      <c r="G5384" s="50" t="s">
        <v>89</v>
      </c>
      <c r="H5384" s="51">
        <v>66.319999999999993</v>
      </c>
      <c r="J5384" s="51">
        <v>6.09</v>
      </c>
      <c r="K5384" s="74">
        <f>Tabela6[[#This Row],[CONSUMO]]*Tabela6[[#This Row],[VALOR UNIT]]-Tabela6[[#This Row],[DESCONTO]]</f>
        <v>403.88879999999995</v>
      </c>
      <c r="L5384" s="53">
        <f>Tabela6[[#This Row],[CUSTO TOTAL]]/Tabela6[[#This Row],[CONSUMO]]</f>
        <v>6.09</v>
      </c>
      <c r="M5384" s="53" t="e">
        <f t="array" ref="M5384">SE</f>
        <v>#NAME?</v>
      </c>
      <c r="N5384" s="118" t="e">
        <f>Tabela6[[#This Row],[KM Rodados ]]/Tabela6[[#This Row],[CONSUMO]]</f>
        <v>#NAME?</v>
      </c>
    </row>
    <row r="5385" spans="1:14" x14ac:dyDescent="0.25">
      <c r="A5385" s="117">
        <v>280346</v>
      </c>
      <c r="B5385" s="78">
        <v>45566</v>
      </c>
      <c r="C5385" s="47" t="s">
        <v>446</v>
      </c>
      <c r="D5385" s="49" t="s">
        <v>580</v>
      </c>
      <c r="E5385" s="117">
        <v>46938</v>
      </c>
      <c r="G5385" s="50" t="s">
        <v>89</v>
      </c>
      <c r="H5385" s="51">
        <v>100</v>
      </c>
      <c r="J5385" s="51">
        <v>5.69</v>
      </c>
      <c r="K5385" s="74">
        <f>Tabela6[[#This Row],[CONSUMO]]*Tabela6[[#This Row],[VALOR UNIT]]-Tabela6[[#This Row],[DESCONTO]]</f>
        <v>569</v>
      </c>
      <c r="L5385" s="53">
        <f>Tabela6[[#This Row],[CUSTO TOTAL]]/Tabela6[[#This Row],[CONSUMO]]</f>
        <v>5.69</v>
      </c>
      <c r="M5385" s="53" t="e">
        <f t="array" ref="M5385">SE</f>
        <v>#NAME?</v>
      </c>
      <c r="N5385" s="118" t="e">
        <f>Tabela6[[#This Row],[KM Rodados ]]/Tabela6[[#This Row],[CONSUMO]]</f>
        <v>#NAME?</v>
      </c>
    </row>
    <row r="5386" spans="1:14" x14ac:dyDescent="0.25">
      <c r="A5386" s="117">
        <v>296605</v>
      </c>
      <c r="B5386" s="78">
        <v>45567</v>
      </c>
      <c r="C5386" s="47" t="s">
        <v>42</v>
      </c>
      <c r="D5386" s="49" t="s">
        <v>262</v>
      </c>
      <c r="E5386" s="117">
        <v>500272</v>
      </c>
      <c r="G5386" s="50" t="s">
        <v>89</v>
      </c>
      <c r="H5386" s="51">
        <v>34.549999999999997</v>
      </c>
      <c r="J5386" s="51">
        <v>6.09</v>
      </c>
      <c r="K5386" s="74">
        <f>Tabela6[[#This Row],[CONSUMO]]*Tabela6[[#This Row],[VALOR UNIT]]-Tabela6[[#This Row],[DESCONTO]]</f>
        <v>210.40949999999998</v>
      </c>
      <c r="L5386" s="53">
        <f>Tabela6[[#This Row],[CUSTO TOTAL]]/Tabela6[[#This Row],[CONSUMO]]</f>
        <v>6.09</v>
      </c>
      <c r="M5386" s="53" t="e">
        <f t="array" ref="M5386">SE</f>
        <v>#NAME?</v>
      </c>
      <c r="N5386" s="118" t="e">
        <f>Tabela6[[#This Row],[KM Rodados ]]/Tabela6[[#This Row],[CONSUMO]]</f>
        <v>#NAME?</v>
      </c>
    </row>
    <row r="5387" spans="1:14" x14ac:dyDescent="0.25">
      <c r="A5387" s="117">
        <v>341771</v>
      </c>
      <c r="B5387" s="78">
        <v>45567</v>
      </c>
      <c r="C5387" s="47" t="s">
        <v>39</v>
      </c>
      <c r="D5387" s="49" t="s">
        <v>253</v>
      </c>
      <c r="E5387" s="117">
        <v>133715</v>
      </c>
      <c r="G5387" s="50" t="s">
        <v>89</v>
      </c>
      <c r="H5387" s="51">
        <v>100.28</v>
      </c>
      <c r="J5387" s="51">
        <v>6.09</v>
      </c>
      <c r="K5387" s="74">
        <f>Tabela6[[#This Row],[CONSUMO]]*Tabela6[[#This Row],[VALOR UNIT]]-Tabela6[[#This Row],[DESCONTO]]</f>
        <v>610.70519999999999</v>
      </c>
      <c r="L5387" s="53">
        <f>Tabela6[[#This Row],[CUSTO TOTAL]]/Tabela6[[#This Row],[CONSUMO]]</f>
        <v>6.09</v>
      </c>
      <c r="M5387" s="53" t="e">
        <f t="array" ref="M5387">SE</f>
        <v>#NAME?</v>
      </c>
      <c r="N5387" s="118" t="e">
        <f>Tabela6[[#This Row],[KM Rodados ]]/Tabela6[[#This Row],[CONSUMO]]</f>
        <v>#NAME?</v>
      </c>
    </row>
    <row r="5388" spans="1:14" x14ac:dyDescent="0.25">
      <c r="A5388" s="117">
        <v>341771</v>
      </c>
      <c r="B5388" s="78">
        <v>45567</v>
      </c>
      <c r="C5388" s="47" t="s">
        <v>39</v>
      </c>
      <c r="D5388" s="49" t="s">
        <v>253</v>
      </c>
      <c r="E5388" s="117">
        <v>133715</v>
      </c>
      <c r="G5388" s="50" t="s">
        <v>241</v>
      </c>
      <c r="H5388" s="51">
        <v>13.446999999999999</v>
      </c>
      <c r="J5388" s="51">
        <v>3.49</v>
      </c>
      <c r="K5388" s="74">
        <f>Tabela6[[#This Row],[CONSUMO]]*Tabela6[[#This Row],[VALOR UNIT]]-Tabela6[[#This Row],[DESCONTO]]</f>
        <v>46.930030000000002</v>
      </c>
      <c r="L5388" s="53">
        <f>Tabela6[[#This Row],[CUSTO TOTAL]]/Tabela6[[#This Row],[CONSUMO]]</f>
        <v>3.49</v>
      </c>
      <c r="M5388" s="53" t="e">
        <f t="array" ref="M5388">SE</f>
        <v>#NAME?</v>
      </c>
      <c r="N5388" s="118" t="e">
        <f>Tabela6[[#This Row],[KM Rodados ]]/Tabela6[[#This Row],[CONSUMO]]</f>
        <v>#NAME?</v>
      </c>
    </row>
    <row r="5389" spans="1:14" x14ac:dyDescent="0.25">
      <c r="A5389" s="117">
        <v>341733</v>
      </c>
      <c r="B5389" s="78">
        <v>45567</v>
      </c>
      <c r="C5389" s="47" t="s">
        <v>11</v>
      </c>
      <c r="D5389" s="49" t="s">
        <v>253</v>
      </c>
      <c r="E5389" s="117">
        <v>423663</v>
      </c>
      <c r="G5389" s="50" t="s">
        <v>89</v>
      </c>
      <c r="H5389" s="51">
        <v>116.16</v>
      </c>
      <c r="J5389" s="51">
        <v>6.09</v>
      </c>
      <c r="K5389" s="74">
        <f>Tabela6[[#This Row],[CONSUMO]]*Tabela6[[#This Row],[VALOR UNIT]]-Tabela6[[#This Row],[DESCONTO]]</f>
        <v>707.4144</v>
      </c>
      <c r="L5389" s="53">
        <f>Tabela6[[#This Row],[CUSTO TOTAL]]/Tabela6[[#This Row],[CONSUMO]]</f>
        <v>6.09</v>
      </c>
      <c r="M5389" s="53" t="e">
        <f t="array" ref="M5389">SE</f>
        <v>#NAME?</v>
      </c>
      <c r="N5389" s="118" t="e">
        <f>Tabela6[[#This Row],[KM Rodados ]]/Tabela6[[#This Row],[CONSUMO]]</f>
        <v>#NAME?</v>
      </c>
    </row>
    <row r="5390" spans="1:14" x14ac:dyDescent="0.25">
      <c r="A5390" s="117">
        <v>29684804</v>
      </c>
      <c r="B5390" s="78">
        <v>45567</v>
      </c>
      <c r="C5390" s="47" t="s">
        <v>206</v>
      </c>
      <c r="D5390" s="49" t="s">
        <v>252</v>
      </c>
      <c r="E5390" s="117">
        <v>1037656</v>
      </c>
      <c r="G5390" s="50" t="s">
        <v>89</v>
      </c>
      <c r="H5390" s="51">
        <v>397.11</v>
      </c>
      <c r="J5390" s="51">
        <v>5.84</v>
      </c>
      <c r="K5390" s="74">
        <f>Tabela6[[#This Row],[CONSUMO]]*Tabela6[[#This Row],[VALOR UNIT]]-Tabela6[[#This Row],[DESCONTO]]</f>
        <v>2319.1224000000002</v>
      </c>
      <c r="L5390" s="53">
        <f>Tabela6[[#This Row],[CUSTO TOTAL]]/Tabela6[[#This Row],[CONSUMO]]</f>
        <v>5.84</v>
      </c>
      <c r="M5390" s="53" t="e">
        <f t="array" ref="M5390">SE</f>
        <v>#NAME?</v>
      </c>
      <c r="N5390" s="118" t="e">
        <f>Tabela6[[#This Row],[KM Rodados ]]/Tabela6[[#This Row],[CONSUMO]]</f>
        <v>#NAME?</v>
      </c>
    </row>
    <row r="5391" spans="1:14" x14ac:dyDescent="0.25">
      <c r="A5391" s="117">
        <v>296735</v>
      </c>
      <c r="B5391" s="78">
        <v>45567</v>
      </c>
      <c r="C5391" s="47" t="s">
        <v>17</v>
      </c>
      <c r="D5391" s="49" t="s">
        <v>262</v>
      </c>
      <c r="E5391" s="117"/>
      <c r="G5391" s="50" t="s">
        <v>241</v>
      </c>
      <c r="H5391" s="51">
        <v>20.716999999999999</v>
      </c>
      <c r="I5391" s="49">
        <v>7.46</v>
      </c>
      <c r="J5391" s="51">
        <v>3.69</v>
      </c>
      <c r="K5391" s="74">
        <f>Tabela6[[#This Row],[CONSUMO]]*Tabela6[[#This Row],[VALOR UNIT]]-Tabela6[[#This Row],[DESCONTO]]</f>
        <v>68.985730000000004</v>
      </c>
      <c r="L5391" s="53">
        <f>Tabela6[[#This Row],[CUSTO TOTAL]]/Tabela6[[#This Row],[CONSUMO]]</f>
        <v>3.3299092532702614</v>
      </c>
      <c r="M5391" s="53" t="e">
        <f t="array" ref="M5391">SE</f>
        <v>#NAME?</v>
      </c>
      <c r="N5391" s="118" t="e">
        <f>Tabela6[[#This Row],[KM Rodados ]]/Tabela6[[#This Row],[CONSUMO]]</f>
        <v>#NAME?</v>
      </c>
    </row>
    <row r="5392" spans="1:14" x14ac:dyDescent="0.25">
      <c r="A5392" s="117">
        <v>296776</v>
      </c>
      <c r="B5392" s="78">
        <v>45567</v>
      </c>
      <c r="C5392" s="47" t="s">
        <v>19</v>
      </c>
      <c r="D5392" s="49" t="s">
        <v>262</v>
      </c>
      <c r="E5392" s="117">
        <v>403170</v>
      </c>
      <c r="G5392" s="50" t="s">
        <v>241</v>
      </c>
      <c r="H5392" s="51">
        <v>22.018000000000001</v>
      </c>
      <c r="I5392" s="49">
        <v>7.93</v>
      </c>
      <c r="J5392" s="51">
        <v>3.69</v>
      </c>
      <c r="K5392" s="74">
        <f>Tabela6[[#This Row],[CONSUMO]]*Tabela6[[#This Row],[VALOR UNIT]]-Tabela6[[#This Row],[DESCONTO]]</f>
        <v>73.316419999999994</v>
      </c>
      <c r="L5392" s="53">
        <f>Tabela6[[#This Row],[CUSTO TOTAL]]/Tabela6[[#This Row],[CONSUMO]]</f>
        <v>3.3298401308020709</v>
      </c>
      <c r="M5392" s="53" t="e">
        <f t="array" ref="M5392">SE</f>
        <v>#NAME?</v>
      </c>
      <c r="N5392" s="118" t="e">
        <f>Tabela6[[#This Row],[KM Rodados ]]/Tabela6[[#This Row],[CONSUMO]]</f>
        <v>#NAME?</v>
      </c>
    </row>
    <row r="5393" spans="1:14" x14ac:dyDescent="0.25">
      <c r="A5393" s="117">
        <v>296627</v>
      </c>
      <c r="B5393" s="78">
        <v>45567</v>
      </c>
      <c r="C5393" s="47" t="s">
        <v>426</v>
      </c>
      <c r="D5393" s="49" t="s">
        <v>262</v>
      </c>
      <c r="E5393" s="117">
        <v>50418</v>
      </c>
      <c r="G5393" s="47" t="s">
        <v>241</v>
      </c>
      <c r="H5393" s="51">
        <v>13.815</v>
      </c>
      <c r="I5393" s="49">
        <v>4.9800000000000004</v>
      </c>
      <c r="J5393" s="51">
        <v>3.69</v>
      </c>
      <c r="K5393" s="74">
        <f>Tabela6[[#This Row],[CONSUMO]]*Tabela6[[#This Row],[VALOR UNIT]]-Tabela6[[#This Row],[DESCONTO]]</f>
        <v>45.997349999999997</v>
      </c>
      <c r="L5393" s="53">
        <f>Tabela6[[#This Row],[CUSTO TOTAL]]/Tabela6[[#This Row],[CONSUMO]]</f>
        <v>3.3295222584147663</v>
      </c>
      <c r="M5393" s="53" t="e">
        <f t="array" ref="M5393">SE</f>
        <v>#NAME?</v>
      </c>
      <c r="N5393" s="118" t="e">
        <f>Tabela6[[#This Row],[KM Rodados ]]/Tabela6[[#This Row],[CONSUMO]]</f>
        <v>#NAME?</v>
      </c>
    </row>
    <row r="5394" spans="1:14" x14ac:dyDescent="0.25">
      <c r="A5394" s="117">
        <v>148245</v>
      </c>
      <c r="B5394" s="78">
        <v>45568</v>
      </c>
      <c r="C5394" s="47" t="s">
        <v>68</v>
      </c>
      <c r="D5394" s="49" t="s">
        <v>252</v>
      </c>
      <c r="E5394" s="117">
        <v>112474</v>
      </c>
      <c r="G5394" s="50" t="s">
        <v>89</v>
      </c>
      <c r="H5394" s="51">
        <v>296.14999999999998</v>
      </c>
      <c r="I5394" s="49">
        <v>56.28</v>
      </c>
      <c r="J5394" s="51">
        <v>5.89</v>
      </c>
      <c r="K5394" s="74">
        <f>Tabela6[[#This Row],[CONSUMO]]*Tabela6[[#This Row],[VALOR UNIT]]-Tabela6[[#This Row],[DESCONTO]]</f>
        <v>1688.0434999999998</v>
      </c>
      <c r="L5394" s="53">
        <f>Tabela6[[#This Row],[CUSTO TOTAL]]/Tabela6[[#This Row],[CONSUMO]]</f>
        <v>5.6999611683268609</v>
      </c>
      <c r="M5394" s="53" t="e">
        <f t="array" ref="M5394">SE</f>
        <v>#NAME?</v>
      </c>
      <c r="N5394" s="118" t="e">
        <f>Tabela6[[#This Row],[KM Rodados ]]/Tabela6[[#This Row],[CONSUMO]]</f>
        <v>#NAME?</v>
      </c>
    </row>
    <row r="5395" spans="1:14" x14ac:dyDescent="0.25">
      <c r="A5395" s="117">
        <v>297014</v>
      </c>
      <c r="B5395" s="78">
        <v>45568</v>
      </c>
      <c r="C5395" s="47" t="s">
        <v>203</v>
      </c>
      <c r="D5395" s="49" t="s">
        <v>262</v>
      </c>
      <c r="E5395" s="117">
        <v>180850</v>
      </c>
      <c r="G5395" s="50" t="s">
        <v>244</v>
      </c>
      <c r="H5395" s="51">
        <v>34.909999999999997</v>
      </c>
      <c r="J5395" s="51">
        <v>5.99</v>
      </c>
      <c r="K5395" s="74">
        <f>Tabela6[[#This Row],[CONSUMO]]*Tabela6[[#This Row],[VALOR UNIT]]-Tabela6[[#This Row],[DESCONTO]]</f>
        <v>209.11089999999999</v>
      </c>
      <c r="L5395" s="53">
        <f>Tabela6[[#This Row],[CUSTO TOTAL]]/Tabela6[[#This Row],[CONSUMO]]</f>
        <v>5.99</v>
      </c>
      <c r="M5395" s="53" t="e">
        <f t="array" ref="M5395">SE</f>
        <v>#NAME?</v>
      </c>
      <c r="N5395" s="118" t="e">
        <f>Tabela6[[#This Row],[KM Rodados ]]/Tabela6[[#This Row],[CONSUMO]]</f>
        <v>#NAME?</v>
      </c>
    </row>
    <row r="5396" spans="1:14" x14ac:dyDescent="0.25">
      <c r="A5396" s="117">
        <v>788450</v>
      </c>
      <c r="B5396" s="78">
        <v>45568</v>
      </c>
      <c r="C5396" s="47" t="s">
        <v>301</v>
      </c>
      <c r="D5396" s="49" t="s">
        <v>275</v>
      </c>
      <c r="E5396" s="117">
        <v>116806</v>
      </c>
      <c r="G5396" s="50" t="s">
        <v>89</v>
      </c>
      <c r="H5396" s="51">
        <v>258.02</v>
      </c>
      <c r="J5396" s="51">
        <v>5.79</v>
      </c>
      <c r="K5396" s="74">
        <f>Tabela6[[#This Row],[CONSUMO]]*Tabela6[[#This Row],[VALOR UNIT]]-Tabela6[[#This Row],[DESCONTO]]</f>
        <v>1493.9358</v>
      </c>
      <c r="L5396" s="53">
        <f>Tabela6[[#This Row],[CUSTO TOTAL]]/Tabela6[[#This Row],[CONSUMO]]</f>
        <v>5.79</v>
      </c>
      <c r="M5396" s="53" t="e">
        <f t="array" ref="M5396">SE</f>
        <v>#NAME?</v>
      </c>
      <c r="N5396" s="118" t="e">
        <f>Tabela6[[#This Row],[KM Rodados ]]/Tabela6[[#This Row],[CONSUMO]]</f>
        <v>#NAME?</v>
      </c>
    </row>
    <row r="5397" spans="1:14" x14ac:dyDescent="0.25">
      <c r="A5397" s="117">
        <v>51062</v>
      </c>
      <c r="B5397" s="78">
        <v>45568</v>
      </c>
      <c r="C5397" s="47" t="s">
        <v>38</v>
      </c>
      <c r="D5397" s="49" t="s">
        <v>255</v>
      </c>
      <c r="E5397" s="117">
        <v>154631</v>
      </c>
      <c r="G5397" s="50" t="s">
        <v>244</v>
      </c>
      <c r="H5397" s="51">
        <v>48.78</v>
      </c>
      <c r="J5397" s="51">
        <v>5.89</v>
      </c>
      <c r="K5397" s="74">
        <f>Tabela6[[#This Row],[CONSUMO]]*Tabela6[[#This Row],[VALOR UNIT]]-Tabela6[[#This Row],[DESCONTO]]</f>
        <v>287.31419999999997</v>
      </c>
      <c r="L5397" s="53">
        <f>Tabela6[[#This Row],[CUSTO TOTAL]]/Tabela6[[#This Row],[CONSUMO]]</f>
        <v>5.89</v>
      </c>
      <c r="M5397" s="53" t="e">
        <f t="array" ref="M5397">SE</f>
        <v>#NAME?</v>
      </c>
      <c r="N5397" s="118" t="e">
        <f>Tabela6[[#This Row],[KM Rodados ]]/Tabela6[[#This Row],[CONSUMO]]</f>
        <v>#NAME?</v>
      </c>
    </row>
    <row r="5398" spans="1:14" x14ac:dyDescent="0.25">
      <c r="A5398" s="117">
        <v>296840</v>
      </c>
      <c r="B5398" s="78">
        <v>45568</v>
      </c>
      <c r="C5398" s="47" t="s">
        <v>23</v>
      </c>
      <c r="D5398" s="49" t="s">
        <v>262</v>
      </c>
      <c r="E5398" s="117">
        <v>986450</v>
      </c>
      <c r="G5398" s="50" t="s">
        <v>89</v>
      </c>
      <c r="H5398" s="51">
        <v>128.91</v>
      </c>
      <c r="J5398" s="51">
        <v>6.09</v>
      </c>
      <c r="K5398" s="74">
        <f>Tabela6[[#This Row],[CONSUMO]]*Tabela6[[#This Row],[VALOR UNIT]]-Tabela6[[#This Row],[DESCONTO]]</f>
        <v>785.06189999999992</v>
      </c>
      <c r="L5398" s="53">
        <f>Tabela6[[#This Row],[CUSTO TOTAL]]/Tabela6[[#This Row],[CONSUMO]]</f>
        <v>6.09</v>
      </c>
      <c r="M5398" s="53" t="e">
        <f t="array" ref="M5398">SE</f>
        <v>#NAME?</v>
      </c>
      <c r="N5398" s="118" t="e">
        <f>Tabela6[[#This Row],[KM Rodados ]]/Tabela6[[#This Row],[CONSUMO]]</f>
        <v>#NAME?</v>
      </c>
    </row>
    <row r="5399" spans="1:14" x14ac:dyDescent="0.25">
      <c r="A5399" s="117">
        <v>394653</v>
      </c>
      <c r="B5399" s="78">
        <v>45568</v>
      </c>
      <c r="C5399" s="47" t="s">
        <v>401</v>
      </c>
      <c r="D5399" s="49" t="s">
        <v>402</v>
      </c>
      <c r="E5399" s="117">
        <v>59266</v>
      </c>
      <c r="G5399" s="50" t="s">
        <v>89</v>
      </c>
      <c r="H5399" s="51">
        <v>66.775999999999996</v>
      </c>
      <c r="J5399" s="51">
        <v>5.99</v>
      </c>
      <c r="K5399" s="74">
        <f>Tabela6[[#This Row],[CONSUMO]]*Tabela6[[#This Row],[VALOR UNIT]]-Tabela6[[#This Row],[DESCONTO]]</f>
        <v>399.98824000000002</v>
      </c>
      <c r="L5399" s="53">
        <f>Tabela6[[#This Row],[CUSTO TOTAL]]/Tabela6[[#This Row],[CONSUMO]]</f>
        <v>5.99</v>
      </c>
      <c r="M5399" s="53" t="e">
        <f t="array" ref="M5399">SE</f>
        <v>#NAME?</v>
      </c>
      <c r="N5399" s="118" t="e">
        <f>Tabela6[[#This Row],[KM Rodados ]]/Tabela6[[#This Row],[CONSUMO]]</f>
        <v>#NAME?</v>
      </c>
    </row>
    <row r="5400" spans="1:14" x14ac:dyDescent="0.25">
      <c r="A5400" s="117">
        <v>343227</v>
      </c>
      <c r="B5400" s="78">
        <v>45569</v>
      </c>
      <c r="C5400" s="47" t="s">
        <v>43</v>
      </c>
      <c r="D5400" s="49" t="s">
        <v>253</v>
      </c>
      <c r="E5400" s="117">
        <v>208959</v>
      </c>
      <c r="G5400" s="50" t="s">
        <v>89</v>
      </c>
      <c r="H5400" s="51">
        <v>33</v>
      </c>
      <c r="J5400" s="51">
        <v>6.09</v>
      </c>
      <c r="K5400" s="74">
        <f>Tabela6[[#This Row],[CONSUMO]]*Tabela6[[#This Row],[VALOR UNIT]]-Tabela6[[#This Row],[DESCONTO]]</f>
        <v>200.97</v>
      </c>
      <c r="L5400" s="53">
        <f>Tabela6[[#This Row],[CUSTO TOTAL]]/Tabela6[[#This Row],[CONSUMO]]</f>
        <v>6.09</v>
      </c>
      <c r="M5400" s="53" t="e">
        <f t="array" ref="M5400">SE</f>
        <v>#NAME?</v>
      </c>
      <c r="N5400" s="118" t="e">
        <f>Tabela6[[#This Row],[KM Rodados ]]/Tabela6[[#This Row],[CONSUMO]]</f>
        <v>#NAME?</v>
      </c>
    </row>
    <row r="5401" spans="1:14" x14ac:dyDescent="0.25">
      <c r="A5401" s="117">
        <v>912057</v>
      </c>
      <c r="B5401" s="78">
        <v>45569</v>
      </c>
      <c r="C5401" s="47" t="s">
        <v>72</v>
      </c>
      <c r="D5401" s="49" t="s">
        <v>389</v>
      </c>
      <c r="E5401" s="117">
        <v>478420</v>
      </c>
      <c r="G5401" s="50" t="s">
        <v>89</v>
      </c>
      <c r="H5401" s="51">
        <v>36.115000000000002</v>
      </c>
      <c r="J5401" s="51">
        <v>6.44</v>
      </c>
      <c r="K5401" s="74">
        <f>Tabela6[[#This Row],[CONSUMO]]*Tabela6[[#This Row],[VALOR UNIT]]-Tabela6[[#This Row],[DESCONTO]]</f>
        <v>232.58060000000003</v>
      </c>
      <c r="L5401" s="53">
        <f>Tabela6[[#This Row],[CUSTO TOTAL]]/Tabela6[[#This Row],[CONSUMO]]</f>
        <v>6.44</v>
      </c>
      <c r="M5401" s="53" t="e">
        <f t="array" ref="M5401">SE</f>
        <v>#NAME?</v>
      </c>
      <c r="N5401" s="118" t="e">
        <f>Tabela6[[#This Row],[KM Rodados ]]/Tabela6[[#This Row],[CONSUMO]]</f>
        <v>#NAME?</v>
      </c>
    </row>
    <row r="5402" spans="1:14" x14ac:dyDescent="0.25">
      <c r="A5402" s="117">
        <v>343576</v>
      </c>
      <c r="B5402" s="78">
        <v>45569</v>
      </c>
      <c r="C5402" s="47" t="s">
        <v>315</v>
      </c>
      <c r="D5402" s="49" t="s">
        <v>253</v>
      </c>
      <c r="E5402" s="117">
        <v>48312</v>
      </c>
      <c r="G5402" s="50" t="s">
        <v>89</v>
      </c>
      <c r="H5402" s="51">
        <v>44.88</v>
      </c>
      <c r="J5402" s="51">
        <v>6.09</v>
      </c>
      <c r="K5402" s="74">
        <f>Tabela6[[#This Row],[CONSUMO]]*Tabela6[[#This Row],[VALOR UNIT]]-Tabela6[[#This Row],[DESCONTO]]</f>
        <v>273.31920000000002</v>
      </c>
      <c r="L5402" s="53">
        <f>Tabela6[[#This Row],[CUSTO TOTAL]]/Tabela6[[#This Row],[CONSUMO]]</f>
        <v>6.09</v>
      </c>
      <c r="M5402" s="53" t="e">
        <f t="array" ref="M5402">SE</f>
        <v>#NAME?</v>
      </c>
      <c r="N5402" s="118" t="e">
        <f>Tabela6[[#This Row],[KM Rodados ]]/Tabela6[[#This Row],[CONSUMO]]</f>
        <v>#NAME?</v>
      </c>
    </row>
    <row r="5403" spans="1:14" x14ac:dyDescent="0.25">
      <c r="A5403" s="117">
        <v>302277</v>
      </c>
      <c r="B5403" s="78">
        <v>45570</v>
      </c>
      <c r="C5403" s="47" t="s">
        <v>68</v>
      </c>
      <c r="D5403" s="49" t="s">
        <v>252</v>
      </c>
      <c r="E5403" s="117">
        <v>1011498</v>
      </c>
      <c r="G5403" s="50" t="s">
        <v>89</v>
      </c>
      <c r="H5403" s="51">
        <v>436.00900000000001</v>
      </c>
      <c r="I5403" s="49">
        <v>82.84</v>
      </c>
      <c r="J5403" s="51">
        <v>5.98</v>
      </c>
      <c r="K5403" s="74">
        <f>Tabela6[[#This Row],[CONSUMO]]*Tabela6[[#This Row],[VALOR UNIT]]-Tabela6[[#This Row],[DESCONTO]]</f>
        <v>2524.4938200000001</v>
      </c>
      <c r="L5403" s="53">
        <f>Tabela6[[#This Row],[CUSTO TOTAL]]/Tabela6[[#This Row],[CONSUMO]]</f>
        <v>5.7900039219373918</v>
      </c>
      <c r="M5403" s="53" t="e">
        <f t="array" ref="M5403">SE</f>
        <v>#NAME?</v>
      </c>
      <c r="N5403" s="118" t="e">
        <f>Tabela6[[#This Row],[KM Rodados ]]/Tabela6[[#This Row],[CONSUMO]]</f>
        <v>#NAME?</v>
      </c>
    </row>
    <row r="5404" spans="1:14" x14ac:dyDescent="0.25">
      <c r="A5404" s="117">
        <v>51746</v>
      </c>
      <c r="B5404" s="78">
        <v>45570</v>
      </c>
      <c r="C5404" s="47" t="s">
        <v>10</v>
      </c>
      <c r="D5404" s="49" t="s">
        <v>255</v>
      </c>
      <c r="E5404" s="117">
        <v>797166</v>
      </c>
      <c r="G5404" s="50" t="s">
        <v>89</v>
      </c>
      <c r="H5404" s="51">
        <v>216.77099999999999</v>
      </c>
      <c r="J5404" s="51">
        <v>6.09</v>
      </c>
      <c r="K5404" s="74">
        <f>Tabela6[[#This Row],[CONSUMO]]*Tabela6[[#This Row],[VALOR UNIT]]-Tabela6[[#This Row],[DESCONTO]]</f>
        <v>1320.1353899999999</v>
      </c>
      <c r="L5404" s="53">
        <f>Tabela6[[#This Row],[CUSTO TOTAL]]/Tabela6[[#This Row],[CONSUMO]]</f>
        <v>6.09</v>
      </c>
      <c r="M5404" s="53" t="e">
        <f t="array" ref="M5404">SE</f>
        <v>#NAME?</v>
      </c>
      <c r="N5404" s="118" t="e">
        <f>Tabela6[[#This Row],[KM Rodados ]]/Tabela6[[#This Row],[CONSUMO]]</f>
        <v>#NAME?</v>
      </c>
    </row>
    <row r="5405" spans="1:14" x14ac:dyDescent="0.25">
      <c r="A5405" s="117">
        <v>950462</v>
      </c>
      <c r="B5405" s="78">
        <v>45571</v>
      </c>
      <c r="C5405" s="47" t="s">
        <v>358</v>
      </c>
      <c r="D5405" s="49" t="s">
        <v>583</v>
      </c>
      <c r="E5405" s="117">
        <v>884906</v>
      </c>
      <c r="G5405" s="50" t="s">
        <v>89</v>
      </c>
      <c r="H5405" s="51">
        <v>300</v>
      </c>
      <c r="J5405" s="51">
        <v>6.29</v>
      </c>
      <c r="K5405" s="74">
        <f>Tabela6[[#This Row],[CONSUMO]]*Tabela6[[#This Row],[VALOR UNIT]]-Tabela6[[#This Row],[DESCONTO]]</f>
        <v>1887</v>
      </c>
      <c r="L5405" s="53">
        <f>Tabela6[[#This Row],[CUSTO TOTAL]]/Tabela6[[#This Row],[CONSUMO]]</f>
        <v>6.29</v>
      </c>
      <c r="M5405" s="53" t="e">
        <f t="array" ref="M5405">SE</f>
        <v>#NAME?</v>
      </c>
      <c r="N5405" s="118" t="e">
        <f>Tabela6[[#This Row],[KM Rodados ]]/Tabela6[[#This Row],[CONSUMO]]</f>
        <v>#NAME?</v>
      </c>
    </row>
    <row r="5406" spans="1:14" x14ac:dyDescent="0.25">
      <c r="A5406" s="117">
        <v>441989</v>
      </c>
      <c r="B5406" s="78">
        <v>45572</v>
      </c>
      <c r="C5406" s="47" t="s">
        <v>22</v>
      </c>
      <c r="D5406" s="49" t="s">
        <v>276</v>
      </c>
      <c r="E5406" s="117">
        <v>380874</v>
      </c>
      <c r="G5406" s="50" t="s">
        <v>89</v>
      </c>
      <c r="H5406" s="51">
        <v>88.16</v>
      </c>
      <c r="J5406" s="51">
        <v>6.19</v>
      </c>
      <c r="K5406" s="74">
        <f>Tabela6[[#This Row],[CONSUMO]]*Tabela6[[#This Row],[VALOR UNIT]]-Tabela6[[#This Row],[DESCONTO]]</f>
        <v>545.71040000000005</v>
      </c>
      <c r="L5406" s="53">
        <f>Tabela6[[#This Row],[CUSTO TOTAL]]/Tabela6[[#This Row],[CONSUMO]]</f>
        <v>6.19</v>
      </c>
      <c r="M5406" s="53" t="e">
        <f t="array" ref="M5406">SE</f>
        <v>#NAME?</v>
      </c>
      <c r="N5406" s="118" t="e">
        <f>Tabela6[[#This Row],[KM Rodados ]]/Tabela6[[#This Row],[CONSUMO]]</f>
        <v>#NAME?</v>
      </c>
    </row>
    <row r="5407" spans="1:14" x14ac:dyDescent="0.25">
      <c r="A5407" s="117">
        <v>89298</v>
      </c>
      <c r="B5407" s="78">
        <v>45572</v>
      </c>
      <c r="C5407" s="47" t="s">
        <v>73</v>
      </c>
      <c r="D5407" s="49" t="s">
        <v>579</v>
      </c>
      <c r="E5407" s="117">
        <v>231800</v>
      </c>
      <c r="G5407" s="50" t="s">
        <v>241</v>
      </c>
      <c r="H5407" s="51">
        <v>21</v>
      </c>
      <c r="J5407" s="51">
        <v>2.99</v>
      </c>
      <c r="K5407" s="74">
        <f>Tabela6[[#This Row],[CONSUMO]]*Tabela6[[#This Row],[VALOR UNIT]]-Tabela6[[#This Row],[DESCONTO]]</f>
        <v>62.790000000000006</v>
      </c>
      <c r="L5407" s="53">
        <f>Tabela6[[#This Row],[CUSTO TOTAL]]/Tabela6[[#This Row],[CONSUMO]]</f>
        <v>2.99</v>
      </c>
      <c r="M5407" s="53" t="e">
        <f t="array" ref="M5407">SE</f>
        <v>#NAME?</v>
      </c>
      <c r="N5407" s="118" t="e">
        <f>Tabela6[[#This Row],[KM Rodados ]]/Tabela6[[#This Row],[CONSUMO]]</f>
        <v>#NAME?</v>
      </c>
    </row>
    <row r="5408" spans="1:14" x14ac:dyDescent="0.25">
      <c r="A5408" s="117">
        <v>89298</v>
      </c>
      <c r="B5408" s="78">
        <v>45572</v>
      </c>
      <c r="C5408" s="47" t="s">
        <v>73</v>
      </c>
      <c r="D5408" s="49" t="s">
        <v>579</v>
      </c>
      <c r="E5408" s="117">
        <v>231800</v>
      </c>
      <c r="G5408" s="50" t="s">
        <v>89</v>
      </c>
      <c r="H5408" s="51">
        <v>133.22800000000001</v>
      </c>
      <c r="J5408" s="51">
        <v>5.69</v>
      </c>
      <c r="K5408" s="74">
        <f>Tabela6[[#This Row],[CONSUMO]]*Tabela6[[#This Row],[VALOR UNIT]]-Tabela6[[#This Row],[DESCONTO]]</f>
        <v>758.06732000000011</v>
      </c>
      <c r="L5408" s="53">
        <f>Tabela6[[#This Row],[CUSTO TOTAL]]/Tabela6[[#This Row],[CONSUMO]]</f>
        <v>5.69</v>
      </c>
      <c r="M5408" s="53" t="e">
        <f t="array" ref="M5408">SE</f>
        <v>#NAME?</v>
      </c>
      <c r="N5408" s="118" t="e">
        <f>Tabela6[[#This Row],[KM Rodados ]]/Tabela6[[#This Row],[CONSUMO]]</f>
        <v>#NAME?</v>
      </c>
    </row>
    <row r="5409" spans="1:14" x14ac:dyDescent="0.25">
      <c r="A5409" s="117">
        <v>297804</v>
      </c>
      <c r="B5409" s="78">
        <v>45572</v>
      </c>
      <c r="C5409" s="47" t="s">
        <v>206</v>
      </c>
      <c r="D5409" s="49" t="s">
        <v>262</v>
      </c>
      <c r="E5409" s="117">
        <v>103990</v>
      </c>
      <c r="G5409" s="50" t="s">
        <v>241</v>
      </c>
      <c r="H5409" s="51">
        <v>2.0539999999999998</v>
      </c>
      <c r="I5409" s="49">
        <v>7.94</v>
      </c>
      <c r="J5409" s="51">
        <v>3.69</v>
      </c>
      <c r="K5409" s="74">
        <f>Tabela6[[#This Row],[CONSUMO]]*Tabela6[[#This Row],[VALOR UNIT]]-Tabela6[[#This Row],[DESCONTO]]</f>
        <v>-0.36074000000000073</v>
      </c>
      <c r="L5409" s="53">
        <f>Tabela6[[#This Row],[CUSTO TOTAL]]/Tabela6[[#This Row],[CONSUMO]]</f>
        <v>-0.17562804284323308</v>
      </c>
      <c r="M5409" s="53" t="e">
        <f t="array" ref="M5409">SE</f>
        <v>#NAME?</v>
      </c>
      <c r="N5409" s="118" t="e">
        <f>Tabela6[[#This Row],[KM Rodados ]]/Tabela6[[#This Row],[CONSUMO]]</f>
        <v>#NAME?</v>
      </c>
    </row>
    <row r="5410" spans="1:14" x14ac:dyDescent="0.25">
      <c r="A5410" s="117">
        <v>442004</v>
      </c>
      <c r="B5410" s="78">
        <v>45572</v>
      </c>
      <c r="C5410" s="47" t="s">
        <v>14</v>
      </c>
      <c r="D5410" s="49" t="s">
        <v>276</v>
      </c>
      <c r="E5410" s="117">
        <v>346278</v>
      </c>
      <c r="G5410" s="50" t="s">
        <v>244</v>
      </c>
      <c r="H5410" s="51">
        <v>50</v>
      </c>
      <c r="J5410" s="51">
        <v>6.09</v>
      </c>
      <c r="K5410" s="74">
        <f>Tabela6[[#This Row],[CONSUMO]]*Tabela6[[#This Row],[VALOR UNIT]]-Tabela6[[#This Row],[DESCONTO]]</f>
        <v>304.5</v>
      </c>
      <c r="L5410" s="53">
        <f>Tabela6[[#This Row],[CUSTO TOTAL]]/Tabela6[[#This Row],[CONSUMO]]</f>
        <v>6.09</v>
      </c>
      <c r="M5410" s="53" t="e">
        <f t="array" ref="M5410">SE</f>
        <v>#NAME?</v>
      </c>
      <c r="N5410" s="118" t="e">
        <f>Tabela6[[#This Row],[KM Rodados ]]/Tabela6[[#This Row],[CONSUMO]]</f>
        <v>#NAME?</v>
      </c>
    </row>
    <row r="5411" spans="1:14" x14ac:dyDescent="0.25">
      <c r="A5411" s="117">
        <v>297793</v>
      </c>
      <c r="B5411" s="78">
        <v>45572</v>
      </c>
      <c r="C5411" s="47" t="s">
        <v>40</v>
      </c>
      <c r="D5411" s="49" t="s">
        <v>262</v>
      </c>
      <c r="E5411" s="117">
        <v>23627</v>
      </c>
      <c r="G5411" s="50" t="s">
        <v>244</v>
      </c>
      <c r="H5411" s="51">
        <v>36.658999999999999</v>
      </c>
      <c r="J5411" s="51">
        <v>5.99</v>
      </c>
      <c r="K5411" s="74">
        <f>Tabela6[[#This Row],[CONSUMO]]*Tabela6[[#This Row],[VALOR UNIT]]-Tabela6[[#This Row],[DESCONTO]]</f>
        <v>219.58741000000001</v>
      </c>
      <c r="L5411" s="53">
        <f>Tabela6[[#This Row],[CUSTO TOTAL]]/Tabela6[[#This Row],[CONSUMO]]</f>
        <v>5.99</v>
      </c>
      <c r="M5411" s="53" t="e">
        <f t="array" ref="M5411">SE</f>
        <v>#NAME?</v>
      </c>
      <c r="N5411" s="118" t="e">
        <f>Tabela6[[#This Row],[KM Rodados ]]/Tabela6[[#This Row],[CONSUMO]]</f>
        <v>#NAME?</v>
      </c>
    </row>
    <row r="5412" spans="1:14" x14ac:dyDescent="0.25">
      <c r="A5412" s="117">
        <v>297813</v>
      </c>
      <c r="B5412" s="78">
        <v>45572</v>
      </c>
      <c r="C5412" s="47" t="s">
        <v>446</v>
      </c>
      <c r="D5412" s="49" t="s">
        <v>262</v>
      </c>
      <c r="E5412" s="117">
        <v>48010</v>
      </c>
      <c r="G5412" s="50" t="s">
        <v>241</v>
      </c>
      <c r="H5412" s="51">
        <v>31.003</v>
      </c>
      <c r="I5412" s="49">
        <v>11.16</v>
      </c>
      <c r="J5412" s="51">
        <v>3.69</v>
      </c>
      <c r="K5412" s="74">
        <f>Tabela6[[#This Row],[CONSUMO]]*Tabela6[[#This Row],[VALOR UNIT]]-Tabela6[[#This Row],[DESCONTO]]</f>
        <v>103.24107000000001</v>
      </c>
      <c r="L5412" s="53">
        <f>Tabela6[[#This Row],[CUSTO TOTAL]]/Tabela6[[#This Row],[CONSUMO]]</f>
        <v>3.3300348353385161</v>
      </c>
      <c r="M5412" s="53" t="e">
        <f t="array" ref="M5412">SE</f>
        <v>#NAME?</v>
      </c>
      <c r="N5412" s="118" t="e">
        <f>Tabela6[[#This Row],[KM Rodados ]]/Tabela6[[#This Row],[CONSUMO]]</f>
        <v>#NAME?</v>
      </c>
    </row>
    <row r="5413" spans="1:14" x14ac:dyDescent="0.25">
      <c r="A5413" s="117">
        <v>345932</v>
      </c>
      <c r="B5413" s="78">
        <v>45573</v>
      </c>
      <c r="C5413" s="47" t="s">
        <v>67</v>
      </c>
      <c r="D5413" s="49" t="s">
        <v>253</v>
      </c>
      <c r="E5413" s="117">
        <v>740859</v>
      </c>
      <c r="G5413" s="50" t="s">
        <v>89</v>
      </c>
      <c r="H5413" s="51">
        <v>156.86000000000001</v>
      </c>
      <c r="J5413" s="51">
        <v>6.09</v>
      </c>
      <c r="K5413" s="74">
        <f>Tabela6[[#This Row],[CONSUMO]]*Tabela6[[#This Row],[VALOR UNIT]]-Tabela6[[#This Row],[DESCONTO]]</f>
        <v>955.27740000000006</v>
      </c>
      <c r="L5413" s="53">
        <f>Tabela6[[#This Row],[CUSTO TOTAL]]/Tabela6[[#This Row],[CONSUMO]]</f>
        <v>6.09</v>
      </c>
      <c r="M5413" s="53" t="e">
        <f t="array" ref="M5413">SE</f>
        <v>#NAME?</v>
      </c>
      <c r="N5413" s="118" t="e">
        <f>Tabela6[[#This Row],[KM Rodados ]]/Tabela6[[#This Row],[CONSUMO]]</f>
        <v>#NAME?</v>
      </c>
    </row>
    <row r="5414" spans="1:14" x14ac:dyDescent="0.25">
      <c r="A5414" s="117">
        <v>298014</v>
      </c>
      <c r="B5414" s="78">
        <v>45573</v>
      </c>
      <c r="C5414" s="47" t="s">
        <v>203</v>
      </c>
      <c r="D5414" s="49" t="s">
        <v>262</v>
      </c>
      <c r="E5414" s="117">
        <v>181848</v>
      </c>
      <c r="G5414" s="50" t="s">
        <v>244</v>
      </c>
      <c r="H5414" s="51">
        <v>41.679000000000002</v>
      </c>
      <c r="J5414" s="51">
        <v>5.99</v>
      </c>
      <c r="K5414" s="74">
        <f>Tabela6[[#This Row],[CONSUMO]]*Tabela6[[#This Row],[VALOR UNIT]]-Tabela6[[#This Row],[DESCONTO]]</f>
        <v>249.65721000000002</v>
      </c>
      <c r="L5414" s="53">
        <f>Tabela6[[#This Row],[CUSTO TOTAL]]/Tabela6[[#This Row],[CONSUMO]]</f>
        <v>5.99</v>
      </c>
      <c r="M5414" s="53" t="e">
        <f t="array" ref="M5414">SE</f>
        <v>#NAME?</v>
      </c>
      <c r="N5414" s="118" t="e">
        <f>Tabela6[[#This Row],[KM Rodados ]]/Tabela6[[#This Row],[CONSUMO]]</f>
        <v>#NAME?</v>
      </c>
    </row>
    <row r="5415" spans="1:14" x14ac:dyDescent="0.25">
      <c r="A5415" s="117">
        <v>857580</v>
      </c>
      <c r="B5415" s="78">
        <v>45573</v>
      </c>
      <c r="C5415" s="47" t="s">
        <v>10</v>
      </c>
      <c r="D5415" s="49" t="s">
        <v>584</v>
      </c>
      <c r="E5415" s="117">
        <v>787940</v>
      </c>
      <c r="G5415" s="50" t="s">
        <v>89</v>
      </c>
      <c r="H5415" s="51">
        <v>198.33</v>
      </c>
      <c r="J5415" s="51">
        <v>5.79</v>
      </c>
      <c r="K5415" s="74">
        <f>Tabela6[[#This Row],[CONSUMO]]*Tabela6[[#This Row],[VALOR UNIT]]-Tabela6[[#This Row],[DESCONTO]]</f>
        <v>1148.3307</v>
      </c>
      <c r="L5415" s="53">
        <f>Tabela6[[#This Row],[CUSTO TOTAL]]/Tabela6[[#This Row],[CONSUMO]]</f>
        <v>5.7899999999999991</v>
      </c>
      <c r="M5415" s="53" t="e">
        <f t="array" ref="M5415">SE</f>
        <v>#NAME?</v>
      </c>
      <c r="N5415" s="118" t="e">
        <f>Tabela6[[#This Row],[KM Rodados ]]/Tabela6[[#This Row],[CONSUMO]]</f>
        <v>#NAME?</v>
      </c>
    </row>
    <row r="5416" spans="1:14" x14ac:dyDescent="0.25">
      <c r="A5416" s="117">
        <v>495550</v>
      </c>
      <c r="B5416" s="78">
        <v>45573</v>
      </c>
      <c r="C5416" s="47" t="s">
        <v>206</v>
      </c>
      <c r="D5416" s="49" t="s">
        <v>252</v>
      </c>
      <c r="E5416" s="117">
        <v>1040487</v>
      </c>
      <c r="G5416" s="50" t="s">
        <v>89</v>
      </c>
      <c r="H5416" s="51">
        <v>368.51</v>
      </c>
      <c r="J5416" s="51">
        <v>5.7</v>
      </c>
      <c r="K5416" s="74">
        <f>Tabela6[[#This Row],[CONSUMO]]*Tabela6[[#This Row],[VALOR UNIT]]-Tabela6[[#This Row],[DESCONTO]]</f>
        <v>2100.5070000000001</v>
      </c>
      <c r="L5416" s="53">
        <f>Tabela6[[#This Row],[CUSTO TOTAL]]/Tabela6[[#This Row],[CONSUMO]]</f>
        <v>5.7</v>
      </c>
      <c r="M5416" s="53" t="e">
        <f t="array" ref="M5416">SE</f>
        <v>#NAME?</v>
      </c>
      <c r="N5416" s="118" t="e">
        <f>Tabela6[[#This Row],[KM Rodados ]]/Tabela6[[#This Row],[CONSUMO]]</f>
        <v>#NAME?</v>
      </c>
    </row>
    <row r="5417" spans="1:14" x14ac:dyDescent="0.25">
      <c r="A5417" s="117">
        <v>1055754</v>
      </c>
      <c r="B5417" s="78">
        <v>45573</v>
      </c>
      <c r="C5417" s="47" t="s">
        <v>401</v>
      </c>
      <c r="D5417" s="49" t="s">
        <v>250</v>
      </c>
      <c r="E5417" s="117">
        <v>60019</v>
      </c>
      <c r="G5417" s="50" t="s">
        <v>89</v>
      </c>
      <c r="H5417" s="51">
        <v>46.081000000000003</v>
      </c>
      <c r="J5417" s="51">
        <v>6.09</v>
      </c>
      <c r="K5417" s="74">
        <f>Tabela6[[#This Row],[CONSUMO]]*Tabela6[[#This Row],[VALOR UNIT]]-Tabela6[[#This Row],[DESCONTO]]</f>
        <v>280.63328999999999</v>
      </c>
      <c r="L5417" s="53">
        <f>Tabela6[[#This Row],[CUSTO TOTAL]]/Tabela6[[#This Row],[CONSUMO]]</f>
        <v>6.089999999999999</v>
      </c>
      <c r="M5417" s="53" t="e">
        <f t="array" ref="M5417">SE</f>
        <v>#NAME?</v>
      </c>
      <c r="N5417" s="118" t="e">
        <f>Tabela6[[#This Row],[KM Rodados ]]/Tabela6[[#This Row],[CONSUMO]]</f>
        <v>#NAME?</v>
      </c>
    </row>
    <row r="5418" spans="1:14" x14ac:dyDescent="0.25">
      <c r="A5418" s="117">
        <v>1055755</v>
      </c>
      <c r="B5418" s="78">
        <v>45573</v>
      </c>
      <c r="C5418" s="47" t="s">
        <v>401</v>
      </c>
      <c r="D5418" s="49" t="s">
        <v>250</v>
      </c>
      <c r="E5418" s="117">
        <v>60019</v>
      </c>
      <c r="G5418" s="50" t="s">
        <v>241</v>
      </c>
      <c r="H5418" s="51">
        <v>27.1</v>
      </c>
      <c r="J5418" s="51">
        <v>2.99</v>
      </c>
      <c r="K5418" s="74">
        <f>Tabela6[[#This Row],[CONSUMO]]*Tabela6[[#This Row],[VALOR UNIT]]-Tabela6[[#This Row],[DESCONTO]]</f>
        <v>81.029000000000011</v>
      </c>
      <c r="L5418" s="53">
        <f>Tabela6[[#This Row],[CUSTO TOTAL]]/Tabela6[[#This Row],[CONSUMO]]</f>
        <v>2.99</v>
      </c>
      <c r="M5418" s="53" t="e">
        <f t="array" ref="M5418">SE</f>
        <v>#NAME?</v>
      </c>
      <c r="N5418" s="118" t="e">
        <f>Tabela6[[#This Row],[KM Rodados ]]/Tabela6[[#This Row],[CONSUMO]]</f>
        <v>#NAME?</v>
      </c>
    </row>
    <row r="5419" spans="1:14" x14ac:dyDescent="0.25">
      <c r="A5419" s="117">
        <v>89747</v>
      </c>
      <c r="B5419" s="78">
        <v>45574</v>
      </c>
      <c r="C5419" s="47" t="s">
        <v>73</v>
      </c>
      <c r="D5419" s="49" t="s">
        <v>579</v>
      </c>
      <c r="E5419" s="117">
        <v>232663</v>
      </c>
      <c r="G5419" s="50" t="s">
        <v>89</v>
      </c>
      <c r="H5419" s="51">
        <v>190.2</v>
      </c>
      <c r="J5419" s="51">
        <v>5.69</v>
      </c>
      <c r="K5419" s="74">
        <f>Tabela6[[#This Row],[CONSUMO]]*Tabela6[[#This Row],[VALOR UNIT]]-Tabela6[[#This Row],[DESCONTO]]</f>
        <v>1082.2380000000001</v>
      </c>
      <c r="L5419" s="53">
        <f>Tabela6[[#This Row],[CUSTO TOTAL]]/Tabela6[[#This Row],[CONSUMO]]</f>
        <v>5.69</v>
      </c>
      <c r="M5419" s="53" t="e">
        <f t="array" ref="M5419">SE</f>
        <v>#NAME?</v>
      </c>
      <c r="N5419" s="118" t="e">
        <f>Tabela6[[#This Row],[KM Rodados ]]/Tabela6[[#This Row],[CONSUMO]]</f>
        <v>#NAME?</v>
      </c>
    </row>
    <row r="5420" spans="1:14" x14ac:dyDescent="0.25">
      <c r="A5420" s="117">
        <v>857956</v>
      </c>
      <c r="B5420" s="78">
        <v>45574</v>
      </c>
      <c r="C5420" s="47" t="s">
        <v>10</v>
      </c>
      <c r="D5420" s="49" t="s">
        <v>584</v>
      </c>
      <c r="E5420" s="117">
        <v>785482</v>
      </c>
      <c r="G5420" s="50" t="s">
        <v>89</v>
      </c>
      <c r="H5420" s="51">
        <v>155.14599999999999</v>
      </c>
      <c r="J5420" s="51">
        <v>5.79</v>
      </c>
      <c r="K5420" s="74">
        <f>Tabela6[[#This Row],[CONSUMO]]*Tabela6[[#This Row],[VALOR UNIT]]-Tabela6[[#This Row],[DESCONTO]]</f>
        <v>898.2953399999999</v>
      </c>
      <c r="L5420" s="53">
        <f>Tabela6[[#This Row],[CUSTO TOTAL]]/Tabela6[[#This Row],[CONSUMO]]</f>
        <v>5.79</v>
      </c>
      <c r="M5420" s="53" t="e">
        <f t="array" ref="M5420">SE</f>
        <v>#NAME?</v>
      </c>
      <c r="N5420" s="118" t="e">
        <f>Tabela6[[#This Row],[KM Rodados ]]/Tabela6[[#This Row],[CONSUMO]]</f>
        <v>#NAME?</v>
      </c>
    </row>
    <row r="5421" spans="1:14" x14ac:dyDescent="0.25">
      <c r="A5421" s="117">
        <v>52540</v>
      </c>
      <c r="B5421" s="78">
        <v>45574</v>
      </c>
      <c r="C5421" s="47" t="s">
        <v>14</v>
      </c>
      <c r="D5421" s="49" t="s">
        <v>255</v>
      </c>
      <c r="E5421" s="117">
        <v>346606</v>
      </c>
      <c r="G5421" s="50" t="s">
        <v>244</v>
      </c>
      <c r="H5421" s="51">
        <v>30.44</v>
      </c>
      <c r="J5421" s="51">
        <v>5.89</v>
      </c>
      <c r="K5421" s="74">
        <f>Tabela6[[#This Row],[CONSUMO]]*Tabela6[[#This Row],[VALOR UNIT]]-Tabela6[[#This Row],[DESCONTO]]</f>
        <v>179.29159999999999</v>
      </c>
      <c r="L5421" s="53">
        <f>Tabela6[[#This Row],[CUSTO TOTAL]]/Tabela6[[#This Row],[CONSUMO]]</f>
        <v>5.89</v>
      </c>
      <c r="M5421" s="53" t="e">
        <f t="array" ref="M5421">SE</f>
        <v>#NAME?</v>
      </c>
      <c r="N5421" s="118" t="e">
        <f>Tabela6[[#This Row],[KM Rodados ]]/Tabela6[[#This Row],[CONSUMO]]</f>
        <v>#NAME?</v>
      </c>
    </row>
    <row r="5422" spans="1:14" x14ac:dyDescent="0.25">
      <c r="A5422" s="117">
        <v>23756</v>
      </c>
      <c r="B5422" s="78">
        <v>45574</v>
      </c>
      <c r="C5422" s="47" t="s">
        <v>19</v>
      </c>
      <c r="D5422" s="49" t="s">
        <v>357</v>
      </c>
      <c r="E5422" s="117">
        <v>406620</v>
      </c>
      <c r="G5422" s="50" t="s">
        <v>89</v>
      </c>
      <c r="H5422" s="51">
        <v>88.004999999999995</v>
      </c>
      <c r="J5422" s="51">
        <v>5.93</v>
      </c>
      <c r="K5422" s="74">
        <f>Tabela6[[#This Row],[CONSUMO]]*Tabela6[[#This Row],[VALOR UNIT]]-Tabela6[[#This Row],[DESCONTO]]</f>
        <v>521.86964999999998</v>
      </c>
      <c r="L5422" s="53">
        <f>Tabela6[[#This Row],[CUSTO TOTAL]]/Tabela6[[#This Row],[CONSUMO]]</f>
        <v>5.93</v>
      </c>
      <c r="M5422" s="53" t="e">
        <f t="array" ref="M5422">SE</f>
        <v>#NAME?</v>
      </c>
      <c r="N5422" s="118" t="e">
        <f>Tabela6[[#This Row],[KM Rodados ]]/Tabela6[[#This Row],[CONSUMO]]</f>
        <v>#NAME?</v>
      </c>
    </row>
    <row r="5423" spans="1:14" x14ac:dyDescent="0.25">
      <c r="A5423" s="47">
        <v>298237</v>
      </c>
      <c r="B5423" s="78">
        <v>45574</v>
      </c>
      <c r="C5423" s="47" t="s">
        <v>19</v>
      </c>
      <c r="D5423" s="49" t="s">
        <v>262</v>
      </c>
      <c r="E5423" s="47">
        <v>406146</v>
      </c>
      <c r="G5423" s="50" t="s">
        <v>89</v>
      </c>
      <c r="H5423" s="51">
        <v>171.96100000000001</v>
      </c>
      <c r="J5423" s="51">
        <v>6.09</v>
      </c>
      <c r="K5423" s="74">
        <f>Tabela6[[#This Row],[CONSUMO]]*Tabela6[[#This Row],[VALOR UNIT]]-Tabela6[[#This Row],[DESCONTO]]</f>
        <v>1047.2424900000001</v>
      </c>
      <c r="L5423" s="53">
        <f>Tabela6[[#This Row],[CUSTO TOTAL]]/Tabela6[[#This Row],[CONSUMO]]</f>
        <v>6.09</v>
      </c>
      <c r="M5423" s="53" t="e">
        <f t="array" ref="M5423">SE</f>
        <v>#NAME?</v>
      </c>
      <c r="N5423" s="49" t="e">
        <f>Tabela6[[#This Row],[KM Rodados ]]/Tabela6[[#This Row],[CONSUMO]]</f>
        <v>#NAME?</v>
      </c>
    </row>
    <row r="5424" spans="1:14" x14ac:dyDescent="0.25">
      <c r="A5424" s="117">
        <v>397045</v>
      </c>
      <c r="B5424" s="78">
        <v>45574</v>
      </c>
      <c r="C5424" s="47" t="s">
        <v>401</v>
      </c>
      <c r="D5424" s="49" t="s">
        <v>402</v>
      </c>
      <c r="E5424" s="117">
        <v>675875</v>
      </c>
      <c r="G5424" s="50" t="s">
        <v>89</v>
      </c>
      <c r="H5424" s="51">
        <v>50.082999999999998</v>
      </c>
      <c r="J5424" s="51">
        <v>5.99</v>
      </c>
      <c r="K5424" s="74">
        <f>Tabela6[[#This Row],[CONSUMO]]*Tabela6[[#This Row],[VALOR UNIT]]-Tabela6[[#This Row],[DESCONTO]]</f>
        <v>299.99716999999998</v>
      </c>
      <c r="L5424" s="53">
        <f>Tabela6[[#This Row],[CUSTO TOTAL]]/Tabela6[[#This Row],[CONSUMO]]</f>
        <v>5.99</v>
      </c>
      <c r="M5424" s="53" t="e">
        <f t="array" ref="M5424">SE</f>
        <v>#NAME?</v>
      </c>
      <c r="N5424" s="118" t="e">
        <f>Tabela6[[#This Row],[KM Rodados ]]/Tabela6[[#This Row],[CONSUMO]]</f>
        <v>#NAME?</v>
      </c>
    </row>
    <row r="5425" spans="1:14" x14ac:dyDescent="0.25">
      <c r="A5425" s="117">
        <v>298441</v>
      </c>
      <c r="B5425" s="78">
        <v>45575</v>
      </c>
      <c r="C5425" s="47" t="s">
        <v>203</v>
      </c>
      <c r="D5425" s="49" t="s">
        <v>262</v>
      </c>
      <c r="E5425" s="117">
        <v>182396</v>
      </c>
      <c r="G5425" s="50" t="s">
        <v>244</v>
      </c>
      <c r="H5425" s="51">
        <v>42.18</v>
      </c>
      <c r="J5425" s="51">
        <v>5.99</v>
      </c>
      <c r="K5425" s="74">
        <f>Tabela6[[#This Row],[CONSUMO]]*Tabela6[[#This Row],[VALOR UNIT]]-Tabela6[[#This Row],[DESCONTO]]</f>
        <v>252.65819999999999</v>
      </c>
      <c r="L5425" s="53">
        <f>Tabela6[[#This Row],[CUSTO TOTAL]]/Tabela6[[#This Row],[CONSUMO]]</f>
        <v>5.99</v>
      </c>
      <c r="M5425" s="53" t="e">
        <f t="array" ref="M5425">SE</f>
        <v>#NAME?</v>
      </c>
      <c r="N5425" s="118" t="e">
        <f>Tabela6[[#This Row],[KM Rodados ]]/Tabela6[[#This Row],[CONSUMO]]</f>
        <v>#NAME?</v>
      </c>
    </row>
    <row r="5426" spans="1:14" x14ac:dyDescent="0.25">
      <c r="A5426" s="117">
        <v>298547</v>
      </c>
      <c r="B5426" s="78">
        <v>45575</v>
      </c>
      <c r="C5426" s="47" t="s">
        <v>40</v>
      </c>
      <c r="D5426" s="49" t="s">
        <v>262</v>
      </c>
      <c r="E5426" s="117">
        <v>24182</v>
      </c>
      <c r="G5426" s="50" t="s">
        <v>244</v>
      </c>
      <c r="H5426" s="51">
        <v>45.12</v>
      </c>
      <c r="J5426" s="51">
        <v>5.99</v>
      </c>
      <c r="K5426" s="74">
        <f>Tabela6[[#This Row],[CONSUMO]]*Tabela6[[#This Row],[VALOR UNIT]]-Tabela6[[#This Row],[DESCONTO]]</f>
        <v>270.2688</v>
      </c>
      <c r="L5426" s="53">
        <f>Tabela6[[#This Row],[CUSTO TOTAL]]/Tabela6[[#This Row],[CONSUMO]]</f>
        <v>5.99</v>
      </c>
      <c r="M5426" s="53" t="e">
        <f t="array" ref="M5426">SE</f>
        <v>#NAME?</v>
      </c>
      <c r="N5426" s="118" t="e">
        <f>Tabela6[[#This Row],[KM Rodados ]]/Tabela6[[#This Row],[CONSUMO]]</f>
        <v>#NAME?</v>
      </c>
    </row>
    <row r="5427" spans="1:14" x14ac:dyDescent="0.25">
      <c r="A5427" s="117">
        <v>75610</v>
      </c>
      <c r="B5427" s="78">
        <v>45576</v>
      </c>
      <c r="C5427" s="47" t="s">
        <v>43</v>
      </c>
      <c r="D5427" s="49" t="s">
        <v>560</v>
      </c>
      <c r="E5427" s="117">
        <v>209851</v>
      </c>
      <c r="G5427" s="50" t="s">
        <v>89</v>
      </c>
      <c r="H5427" s="51">
        <v>39.69</v>
      </c>
      <c r="J5427" s="51">
        <v>6.29</v>
      </c>
      <c r="K5427" s="74">
        <f>Tabela6[[#This Row],[CONSUMO]]*Tabela6[[#This Row],[VALOR UNIT]]-Tabela6[[#This Row],[DESCONTO]]</f>
        <v>249.65009999999998</v>
      </c>
      <c r="L5427" s="53">
        <f>Tabela6[[#This Row],[CUSTO TOTAL]]/Tabela6[[#This Row],[CONSUMO]]</f>
        <v>6.29</v>
      </c>
      <c r="M5427" s="53" t="e">
        <f t="array" ref="M5427">SE</f>
        <v>#NAME?</v>
      </c>
      <c r="N5427" s="118" t="e">
        <f>Tabela6[[#This Row],[KM Rodados ]]/Tabela6[[#This Row],[CONSUMO]]</f>
        <v>#NAME?</v>
      </c>
    </row>
    <row r="5428" spans="1:14" x14ac:dyDescent="0.25">
      <c r="A5428" s="117">
        <v>145959</v>
      </c>
      <c r="B5428" s="78">
        <v>45576</v>
      </c>
      <c r="C5428" s="47" t="s">
        <v>222</v>
      </c>
      <c r="D5428" s="49" t="s">
        <v>324</v>
      </c>
      <c r="E5428" s="117">
        <v>631255</v>
      </c>
      <c r="G5428" s="50" t="s">
        <v>89</v>
      </c>
      <c r="H5428" s="51">
        <v>331.48</v>
      </c>
      <c r="J5428" s="51">
        <v>5.65</v>
      </c>
      <c r="K5428" s="74">
        <f>Tabela6[[#This Row],[CONSUMO]]*Tabela6[[#This Row],[VALOR UNIT]]-Tabela6[[#This Row],[DESCONTO]]</f>
        <v>1872.8620000000003</v>
      </c>
      <c r="L5428" s="53">
        <f>Tabela6[[#This Row],[CUSTO TOTAL]]/Tabela6[[#This Row],[CONSUMO]]</f>
        <v>5.65</v>
      </c>
      <c r="M5428" s="53" t="e">
        <f t="array" ref="M5428">SE</f>
        <v>#NAME?</v>
      </c>
      <c r="N5428" s="118" t="e">
        <f>Tabela6[[#This Row],[KM Rodados ]]/Tabela6[[#This Row],[CONSUMO]]</f>
        <v>#NAME?</v>
      </c>
    </row>
    <row r="5429" spans="1:14" x14ac:dyDescent="0.25">
      <c r="A5429" s="117">
        <v>298824</v>
      </c>
      <c r="B5429" s="78">
        <v>45576</v>
      </c>
      <c r="C5429" s="47" t="s">
        <v>215</v>
      </c>
      <c r="D5429" s="49" t="s">
        <v>262</v>
      </c>
      <c r="E5429" s="117">
        <v>244436</v>
      </c>
      <c r="G5429" s="50" t="s">
        <v>244</v>
      </c>
      <c r="H5429" s="51">
        <v>38.25</v>
      </c>
      <c r="J5429" s="51">
        <v>5.99</v>
      </c>
      <c r="K5429" s="74">
        <f>Tabela6[[#This Row],[CONSUMO]]*Tabela6[[#This Row],[VALOR UNIT]]-Tabela6[[#This Row],[DESCONTO]]</f>
        <v>229.11750000000001</v>
      </c>
      <c r="L5429" s="53">
        <f>Tabela6[[#This Row],[CUSTO TOTAL]]/Tabela6[[#This Row],[CONSUMO]]</f>
        <v>5.99</v>
      </c>
      <c r="M5429" s="53" t="e">
        <f t="array" ref="M5429">SE</f>
        <v>#NAME?</v>
      </c>
      <c r="N5429" s="118" t="e">
        <f>Tabela6[[#This Row],[KM Rodados ]]/Tabela6[[#This Row],[CONSUMO]]</f>
        <v>#NAME?</v>
      </c>
    </row>
    <row r="5430" spans="1:14" x14ac:dyDescent="0.25">
      <c r="A5430" s="117">
        <v>348974</v>
      </c>
      <c r="B5430" s="78">
        <v>45576</v>
      </c>
      <c r="C5430" s="47" t="s">
        <v>39</v>
      </c>
      <c r="D5430" s="49" t="s">
        <v>253</v>
      </c>
      <c r="E5430" s="117">
        <v>134466</v>
      </c>
      <c r="G5430" s="50" t="s">
        <v>89</v>
      </c>
      <c r="H5430" s="51">
        <v>97.45</v>
      </c>
      <c r="J5430" s="51">
        <v>6.09</v>
      </c>
      <c r="K5430" s="74">
        <f>Tabela6[[#This Row],[CONSUMO]]*Tabela6[[#This Row],[VALOR UNIT]]-Tabela6[[#This Row],[DESCONTO]]</f>
        <v>593.47050000000002</v>
      </c>
      <c r="L5430" s="53">
        <f>Tabela6[[#This Row],[CUSTO TOTAL]]/Tabela6[[#This Row],[CONSUMO]]</f>
        <v>6.09</v>
      </c>
      <c r="M5430" s="53" t="e">
        <f t="array" ref="M5430">SE</f>
        <v>#NAME?</v>
      </c>
      <c r="N5430" s="118" t="e">
        <f>Tabela6[[#This Row],[KM Rodados ]]/Tabela6[[#This Row],[CONSUMO]]</f>
        <v>#NAME?</v>
      </c>
    </row>
    <row r="5431" spans="1:14" x14ac:dyDescent="0.25">
      <c r="A5431" s="117">
        <v>443227</v>
      </c>
      <c r="B5431" s="78">
        <v>45576</v>
      </c>
      <c r="C5431" s="47" t="s">
        <v>203</v>
      </c>
      <c r="D5431" s="49" t="s">
        <v>276</v>
      </c>
      <c r="E5431" s="117">
        <v>182784</v>
      </c>
      <c r="G5431" s="50" t="s">
        <v>244</v>
      </c>
      <c r="H5431" s="51">
        <v>33.67</v>
      </c>
      <c r="J5431" s="51">
        <v>6.09</v>
      </c>
      <c r="K5431" s="74">
        <f>Tabela6[[#This Row],[CONSUMO]]*Tabela6[[#This Row],[VALOR UNIT]]-Tabela6[[#This Row],[DESCONTO]]</f>
        <v>205.05029999999999</v>
      </c>
      <c r="L5431" s="53">
        <f>Tabela6[[#This Row],[CUSTO TOTAL]]/Tabela6[[#This Row],[CONSUMO]]</f>
        <v>6.09</v>
      </c>
      <c r="M5431" s="53" t="e">
        <f t="array" ref="M5431">SE</f>
        <v>#NAME?</v>
      </c>
      <c r="N5431" s="118" t="e">
        <f>Tabela6[[#This Row],[KM Rodados ]]/Tabela6[[#This Row],[CONSUMO]]</f>
        <v>#NAME?</v>
      </c>
    </row>
    <row r="5432" spans="1:14" x14ac:dyDescent="0.25">
      <c r="A5432" s="117">
        <v>298611</v>
      </c>
      <c r="B5432" s="78">
        <v>45576</v>
      </c>
      <c r="C5432" s="47" t="s">
        <v>73</v>
      </c>
      <c r="D5432" s="49" t="s">
        <v>262</v>
      </c>
      <c r="E5432" s="117">
        <v>233334</v>
      </c>
      <c r="G5432" s="50" t="s">
        <v>241</v>
      </c>
      <c r="H5432" s="51">
        <v>23.510999999999999</v>
      </c>
      <c r="I5432" s="49">
        <v>8.4700000000000006</v>
      </c>
      <c r="J5432" s="51">
        <v>3.69</v>
      </c>
      <c r="K5432" s="74">
        <f>Tabela6[[#This Row],[CONSUMO]]*Tabela6[[#This Row],[VALOR UNIT]]-Tabela6[[#This Row],[DESCONTO]]</f>
        <v>78.285589999999999</v>
      </c>
      <c r="L5432" s="53">
        <f>Tabela6[[#This Row],[CUSTO TOTAL]]/Tabela6[[#This Row],[CONSUMO]]</f>
        <v>3.3297430989749479</v>
      </c>
      <c r="M5432" s="53" t="e">
        <f t="array" ref="M5432">SE</f>
        <v>#NAME?</v>
      </c>
      <c r="N5432" s="118" t="e">
        <f>Tabela6[[#This Row],[KM Rodados ]]/Tabela6[[#This Row],[CONSUMO]]</f>
        <v>#NAME?</v>
      </c>
    </row>
    <row r="5433" spans="1:14" x14ac:dyDescent="0.25">
      <c r="A5433" s="117">
        <v>298745</v>
      </c>
      <c r="B5433" s="78">
        <v>45576</v>
      </c>
      <c r="C5433" s="47" t="s">
        <v>13</v>
      </c>
      <c r="D5433" s="49" t="s">
        <v>262</v>
      </c>
      <c r="E5433" s="117">
        <v>712663</v>
      </c>
      <c r="G5433" s="50" t="s">
        <v>241</v>
      </c>
      <c r="H5433" s="51">
        <v>22.053999999999998</v>
      </c>
      <c r="I5433" s="49">
        <v>7.94</v>
      </c>
      <c r="J5433" s="51">
        <v>3.69</v>
      </c>
      <c r="K5433" s="74">
        <f>Tabela6[[#This Row],[CONSUMO]]*Tabela6[[#This Row],[VALOR UNIT]]-Tabela6[[#This Row],[DESCONTO]]</f>
        <v>73.43925999999999</v>
      </c>
      <c r="L5433" s="53">
        <f>Tabela6[[#This Row],[CUSTO TOTAL]]/Tabela6[[#This Row],[CONSUMO]]</f>
        <v>3.3299746077809012</v>
      </c>
      <c r="M5433" s="53" t="e">
        <f t="array" ref="M5433">SE</f>
        <v>#NAME?</v>
      </c>
      <c r="N5433" s="118" t="e">
        <f>Tabela6[[#This Row],[KM Rodados ]]/Tabela6[[#This Row],[CONSUMO]]</f>
        <v>#NAME?</v>
      </c>
    </row>
    <row r="5434" spans="1:14" x14ac:dyDescent="0.25">
      <c r="A5434" s="117">
        <v>349159</v>
      </c>
      <c r="B5434" s="78">
        <v>45576</v>
      </c>
      <c r="C5434" s="47" t="s">
        <v>315</v>
      </c>
      <c r="D5434" s="49" t="s">
        <v>253</v>
      </c>
      <c r="E5434" s="117">
        <v>49059</v>
      </c>
      <c r="G5434" s="50" t="s">
        <v>89</v>
      </c>
      <c r="H5434" s="51">
        <v>62.56</v>
      </c>
      <c r="J5434" s="51">
        <v>6.09</v>
      </c>
      <c r="K5434" s="74">
        <f>Tabela6[[#This Row],[CONSUMO]]*Tabela6[[#This Row],[VALOR UNIT]]-Tabela6[[#This Row],[DESCONTO]]</f>
        <v>380.99040000000002</v>
      </c>
      <c r="L5434" s="53">
        <f>Tabela6[[#This Row],[CUSTO TOTAL]]/Tabela6[[#This Row],[CONSUMO]]</f>
        <v>6.09</v>
      </c>
      <c r="M5434" s="53" t="e">
        <f t="array" ref="M5434">SE</f>
        <v>#NAME?</v>
      </c>
      <c r="N5434" s="118" t="e">
        <f>Tabela6[[#This Row],[KM Rodados ]]/Tabela6[[#This Row],[CONSUMO]]</f>
        <v>#NAME?</v>
      </c>
    </row>
    <row r="5435" spans="1:14" x14ac:dyDescent="0.25">
      <c r="A5435" s="117">
        <v>79962</v>
      </c>
      <c r="B5435" s="78">
        <v>45577</v>
      </c>
      <c r="C5435" s="47" t="s">
        <v>301</v>
      </c>
      <c r="D5435" s="49" t="s">
        <v>535</v>
      </c>
      <c r="E5435" s="117">
        <v>107094</v>
      </c>
      <c r="G5435" s="50" t="s">
        <v>89</v>
      </c>
      <c r="H5435" s="51">
        <v>430</v>
      </c>
      <c r="J5435" s="51">
        <v>6.06</v>
      </c>
      <c r="K5435" s="74">
        <f>Tabela6[[#This Row],[CONSUMO]]*Tabela6[[#This Row],[VALOR UNIT]]-Tabela6[[#This Row],[DESCONTO]]</f>
        <v>2605.7999999999997</v>
      </c>
      <c r="L5435" s="53">
        <f>Tabela6[[#This Row],[CUSTO TOTAL]]/Tabela6[[#This Row],[CONSUMO]]</f>
        <v>6.06</v>
      </c>
      <c r="M5435" s="53" t="e">
        <f t="array" ref="M5435">SE</f>
        <v>#NAME?</v>
      </c>
      <c r="N5435" s="118" t="e">
        <f>Tabela6[[#This Row],[KM Rodados ]]/Tabela6[[#This Row],[CONSUMO]]</f>
        <v>#NAME?</v>
      </c>
    </row>
    <row r="5436" spans="1:14" x14ac:dyDescent="0.25">
      <c r="A5436" s="117">
        <v>53792</v>
      </c>
      <c r="B5436" s="78">
        <v>45579</v>
      </c>
      <c r="C5436" s="47" t="s">
        <v>38</v>
      </c>
      <c r="D5436" s="49" t="s">
        <v>255</v>
      </c>
      <c r="E5436" s="117">
        <v>156135</v>
      </c>
      <c r="G5436" s="50" t="s">
        <v>244</v>
      </c>
      <c r="H5436" s="51">
        <v>53.7</v>
      </c>
      <c r="J5436" s="51">
        <v>5.89</v>
      </c>
      <c r="K5436" s="74">
        <f>Tabela6[[#This Row],[CONSUMO]]*Tabela6[[#This Row],[VALOR UNIT]]-Tabela6[[#This Row],[DESCONTO]]</f>
        <v>316.29300000000001</v>
      </c>
      <c r="L5436" s="53">
        <f>Tabela6[[#This Row],[CUSTO TOTAL]]/Tabela6[[#This Row],[CONSUMO]]</f>
        <v>5.89</v>
      </c>
      <c r="M5436" s="53" t="e">
        <f t="array" ref="M5436">SE</f>
        <v>#NAME?</v>
      </c>
      <c r="N5436" s="118" t="e">
        <f>Tabela6[[#This Row],[KM Rodados ]]/Tabela6[[#This Row],[CONSUMO]]</f>
        <v>#NAME?</v>
      </c>
    </row>
    <row r="5437" spans="1:14" x14ac:dyDescent="0.25">
      <c r="A5437" s="117">
        <v>410283</v>
      </c>
      <c r="B5437" s="78">
        <v>45580</v>
      </c>
      <c r="C5437" s="47" t="s">
        <v>203</v>
      </c>
      <c r="D5437" s="49" t="s">
        <v>256</v>
      </c>
      <c r="E5437" s="117">
        <v>183275</v>
      </c>
      <c r="G5437" s="50" t="s">
        <v>244</v>
      </c>
      <c r="H5437" s="51">
        <v>40.99</v>
      </c>
      <c r="J5437" s="51">
        <v>5.99</v>
      </c>
      <c r="K5437" s="74">
        <f>Tabela6[[#This Row],[CONSUMO]]*Tabela6[[#This Row],[VALOR UNIT]]-Tabela6[[#This Row],[DESCONTO]]</f>
        <v>245.53010000000003</v>
      </c>
      <c r="L5437" s="53">
        <f>Tabela6[[#This Row],[CUSTO TOTAL]]/Tabela6[[#This Row],[CONSUMO]]</f>
        <v>5.99</v>
      </c>
      <c r="M5437" s="53" t="e">
        <f t="array" ref="M5437">SE</f>
        <v>#NAME?</v>
      </c>
      <c r="N5437" s="118" t="e">
        <f>Tabela6[[#This Row],[KM Rodados ]]/Tabela6[[#This Row],[CONSUMO]]</f>
        <v>#NAME?</v>
      </c>
    </row>
    <row r="5438" spans="1:14" x14ac:dyDescent="0.25">
      <c r="A5438" s="117">
        <v>203119</v>
      </c>
      <c r="B5438" s="78">
        <v>45580</v>
      </c>
      <c r="C5438" s="47" t="s">
        <v>301</v>
      </c>
      <c r="D5438" s="49" t="s">
        <v>581</v>
      </c>
      <c r="E5438" s="117">
        <v>117358</v>
      </c>
      <c r="G5438" s="50" t="s">
        <v>89</v>
      </c>
      <c r="H5438" s="51">
        <v>150</v>
      </c>
      <c r="J5438" s="51">
        <v>8.24</v>
      </c>
      <c r="K5438" s="74">
        <f>Tabela6[[#This Row],[CONSUMO]]*Tabela6[[#This Row],[VALOR UNIT]]-Tabela6[[#This Row],[DESCONTO]]</f>
        <v>1236</v>
      </c>
      <c r="L5438" s="53">
        <f>Tabela6[[#This Row],[CUSTO TOTAL]]/Tabela6[[#This Row],[CONSUMO]]</f>
        <v>8.24</v>
      </c>
      <c r="M5438" s="53" t="e">
        <f t="array" ref="M5438">SE</f>
        <v>#NAME?</v>
      </c>
      <c r="N5438" s="118" t="e">
        <f>Tabela6[[#This Row],[KM Rodados ]]/Tabela6[[#This Row],[CONSUMO]]</f>
        <v>#NAME?</v>
      </c>
    </row>
    <row r="5439" spans="1:14" x14ac:dyDescent="0.25">
      <c r="A5439" s="117">
        <v>299912</v>
      </c>
      <c r="B5439" s="78">
        <v>45581</v>
      </c>
      <c r="C5439" s="47" t="s">
        <v>17</v>
      </c>
      <c r="D5439" s="49" t="s">
        <v>262</v>
      </c>
      <c r="E5439" s="117"/>
      <c r="G5439" s="50" t="s">
        <v>241</v>
      </c>
      <c r="H5439" s="51">
        <v>26.498999999999999</v>
      </c>
      <c r="I5439" s="49">
        <v>9.5399999999999991</v>
      </c>
      <c r="J5439" s="51">
        <v>3.69</v>
      </c>
      <c r="K5439" s="74">
        <f>Tabela6[[#This Row],[CONSUMO]]*Tabela6[[#This Row],[VALOR UNIT]]-Tabela6[[#This Row],[DESCONTO]]</f>
        <v>88.241309999999999</v>
      </c>
      <c r="L5439" s="53">
        <f>Tabela6[[#This Row],[CUSTO TOTAL]]/Tabela6[[#This Row],[CONSUMO]]</f>
        <v>3.3299864145816822</v>
      </c>
      <c r="M5439" s="53" t="e">
        <f t="array" ref="M5439">SE</f>
        <v>#NAME?</v>
      </c>
      <c r="N5439" s="118" t="e">
        <f>Tabela6[[#This Row],[KM Rodados ]]/Tabela6[[#This Row],[CONSUMO]]</f>
        <v>#NAME?</v>
      </c>
    </row>
    <row r="5440" spans="1:14" x14ac:dyDescent="0.25">
      <c r="A5440" s="117">
        <v>300025</v>
      </c>
      <c r="B5440" s="78">
        <v>45581</v>
      </c>
      <c r="C5440" s="47" t="s">
        <v>354</v>
      </c>
      <c r="D5440" s="49" t="s">
        <v>262</v>
      </c>
      <c r="E5440" s="117">
        <v>64970</v>
      </c>
      <c r="G5440" s="50" t="s">
        <v>241</v>
      </c>
      <c r="H5440" s="51">
        <v>27.811</v>
      </c>
      <c r="I5440" s="49">
        <v>10.01</v>
      </c>
      <c r="J5440" s="51">
        <v>3.69</v>
      </c>
      <c r="K5440" s="74">
        <f>Tabela6[[#This Row],[CONSUMO]]*Tabela6[[#This Row],[VALOR UNIT]]-Tabela6[[#This Row],[DESCONTO]]</f>
        <v>92.612589999999997</v>
      </c>
      <c r="L5440" s="53">
        <f>Tabela6[[#This Row],[CUSTO TOTAL]]/Tabela6[[#This Row],[CONSUMO]]</f>
        <v>3.3300704757110493</v>
      </c>
      <c r="M5440" s="53" t="e">
        <f t="array" ref="M5440">SE</f>
        <v>#NAME?</v>
      </c>
      <c r="N5440" s="118" t="e">
        <f>Tabela6[[#This Row],[KM Rodados ]]/Tabela6[[#This Row],[CONSUMO]]</f>
        <v>#NAME?</v>
      </c>
    </row>
    <row r="5441" spans="1:14" x14ac:dyDescent="0.25">
      <c r="A5441" s="117">
        <v>299909</v>
      </c>
      <c r="B5441" s="78">
        <v>45581</v>
      </c>
      <c r="C5441" s="47" t="s">
        <v>401</v>
      </c>
      <c r="D5441" s="49" t="s">
        <v>262</v>
      </c>
      <c r="E5441" s="117">
        <v>62114</v>
      </c>
      <c r="G5441" s="50" t="s">
        <v>241</v>
      </c>
      <c r="H5441" s="51">
        <v>25.594999999999999</v>
      </c>
      <c r="I5441" s="49">
        <v>9.2200000000000006</v>
      </c>
      <c r="J5441" s="51">
        <v>3.69</v>
      </c>
      <c r="K5441" s="74">
        <f>Tabela6[[#This Row],[CONSUMO]]*Tabela6[[#This Row],[VALOR UNIT]]-Tabela6[[#This Row],[DESCONTO]]</f>
        <v>85.225549999999998</v>
      </c>
      <c r="L5441" s="53">
        <f>Tabela6[[#This Row],[CUSTO TOTAL]]/Tabela6[[#This Row],[CONSUMO]]</f>
        <v>3.3297733932408673</v>
      </c>
      <c r="M5441" s="53" t="e">
        <f t="array" ref="M5441">SE</f>
        <v>#NAME?</v>
      </c>
      <c r="N5441" s="118" t="e">
        <f>Tabela6[[#This Row],[KM Rodados ]]/Tabela6[[#This Row],[CONSUMO]]</f>
        <v>#NAME?</v>
      </c>
    </row>
    <row r="5442" spans="1:14" x14ac:dyDescent="0.25">
      <c r="A5442" s="117">
        <v>1497257</v>
      </c>
      <c r="B5442" s="78">
        <v>45582</v>
      </c>
      <c r="C5442" s="47" t="s">
        <v>68</v>
      </c>
      <c r="D5442" s="49" t="s">
        <v>252</v>
      </c>
      <c r="E5442" s="117">
        <v>1015475</v>
      </c>
      <c r="G5442" s="50" t="s">
        <v>89</v>
      </c>
      <c r="H5442" s="51">
        <v>510</v>
      </c>
      <c r="J5442" s="51">
        <v>5.85</v>
      </c>
      <c r="K5442" s="74">
        <f>Tabela6[[#This Row],[CONSUMO]]*Tabela6[[#This Row],[VALOR UNIT]]-Tabela6[[#This Row],[DESCONTO]]</f>
        <v>2983.5</v>
      </c>
      <c r="L5442" s="53">
        <f>Tabela6[[#This Row],[CUSTO TOTAL]]/Tabela6[[#This Row],[CONSUMO]]</f>
        <v>5.85</v>
      </c>
      <c r="M5442" s="53" t="e">
        <f t="array" ref="M5442">SE</f>
        <v>#NAME?</v>
      </c>
      <c r="N5442" s="118" t="e">
        <f>Tabela6[[#This Row],[KM Rodados ]]/Tabela6[[#This Row],[CONSUMO]]</f>
        <v>#NAME?</v>
      </c>
    </row>
    <row r="5443" spans="1:14" x14ac:dyDescent="0.25">
      <c r="A5443" s="117">
        <v>353418</v>
      </c>
      <c r="B5443" s="78">
        <v>45582</v>
      </c>
      <c r="C5443" s="47" t="s">
        <v>315</v>
      </c>
      <c r="D5443" s="49" t="s">
        <v>253</v>
      </c>
      <c r="E5443" s="117">
        <v>49796</v>
      </c>
      <c r="G5443" s="50" t="s">
        <v>89</v>
      </c>
      <c r="H5443" s="51">
        <v>53.44</v>
      </c>
      <c r="J5443" s="51">
        <v>6.09</v>
      </c>
      <c r="K5443" s="74">
        <f>Tabela6[[#This Row],[CONSUMO]]*Tabela6[[#This Row],[VALOR UNIT]]-Tabela6[[#This Row],[DESCONTO]]</f>
        <v>325.44959999999998</v>
      </c>
      <c r="L5443" s="53">
        <f>Tabela6[[#This Row],[CUSTO TOTAL]]/Tabela6[[#This Row],[CONSUMO]]</f>
        <v>6.09</v>
      </c>
      <c r="M5443" s="53" t="e">
        <f t="array" ref="M5443">SE</f>
        <v>#NAME?</v>
      </c>
      <c r="N5443" s="118" t="e">
        <f>Tabela6[[#This Row],[KM Rodados ]]/Tabela6[[#This Row],[CONSUMO]]</f>
        <v>#NAME?</v>
      </c>
    </row>
    <row r="5444" spans="1:14" x14ac:dyDescent="0.25">
      <c r="A5444" s="117">
        <v>3132871</v>
      </c>
      <c r="B5444" s="78">
        <v>45582</v>
      </c>
      <c r="C5444" s="47" t="s">
        <v>354</v>
      </c>
      <c r="D5444" s="49" t="s">
        <v>252</v>
      </c>
      <c r="E5444" s="117">
        <v>66013</v>
      </c>
      <c r="G5444" s="50" t="s">
        <v>89</v>
      </c>
      <c r="H5444" s="51">
        <v>280.02</v>
      </c>
      <c r="J5444" s="51">
        <v>5.85</v>
      </c>
      <c r="K5444" s="74">
        <f>Tabela6[[#This Row],[CONSUMO]]*Tabela6[[#This Row],[VALOR UNIT]]-Tabela6[[#This Row],[DESCONTO]]</f>
        <v>1638.1169999999997</v>
      </c>
      <c r="L5444" s="53">
        <f>Tabela6[[#This Row],[CUSTO TOTAL]]/Tabela6[[#This Row],[CONSUMO]]</f>
        <v>5.85</v>
      </c>
      <c r="M5444" s="53" t="e">
        <f t="array" ref="M5444">SE</f>
        <v>#NAME?</v>
      </c>
      <c r="N5444" s="118" t="e">
        <f>Tabela6[[#This Row],[KM Rodados ]]/Tabela6[[#This Row],[CONSUMO]]</f>
        <v>#NAME?</v>
      </c>
    </row>
    <row r="5445" spans="1:14" x14ac:dyDescent="0.25">
      <c r="A5445" s="117">
        <v>3132885</v>
      </c>
      <c r="B5445" s="78">
        <v>45582</v>
      </c>
      <c r="C5445" s="47" t="s">
        <v>354</v>
      </c>
      <c r="D5445" s="49" t="s">
        <v>252</v>
      </c>
      <c r="E5445" s="117">
        <v>66013</v>
      </c>
      <c r="G5445" s="50" t="s">
        <v>241</v>
      </c>
      <c r="H5445" s="51">
        <v>19.463000000000001</v>
      </c>
      <c r="J5445" s="51">
        <v>3.89</v>
      </c>
      <c r="K5445" s="74">
        <f>Tabela6[[#This Row],[CONSUMO]]*Tabela6[[#This Row],[VALOR UNIT]]-Tabela6[[#This Row],[DESCONTO]]</f>
        <v>75.711070000000007</v>
      </c>
      <c r="L5445" s="53">
        <f>Tabela6[[#This Row],[CUSTO TOTAL]]/Tabela6[[#This Row],[CONSUMO]]</f>
        <v>3.89</v>
      </c>
      <c r="M5445" s="53" t="e">
        <f t="array" ref="M5445">SE</f>
        <v>#NAME?</v>
      </c>
      <c r="N5445" s="118" t="e">
        <f>Tabela6[[#This Row],[KM Rodados ]]/Tabela6[[#This Row],[CONSUMO]]</f>
        <v>#NAME?</v>
      </c>
    </row>
    <row r="5446" spans="1:14" x14ac:dyDescent="0.25">
      <c r="A5446" s="117">
        <v>400111</v>
      </c>
      <c r="B5446" s="78">
        <v>45582</v>
      </c>
      <c r="C5446" s="47" t="s">
        <v>401</v>
      </c>
      <c r="D5446" s="49" t="s">
        <v>402</v>
      </c>
      <c r="E5446" s="117">
        <v>62766</v>
      </c>
      <c r="G5446" s="50" t="s">
        <v>89</v>
      </c>
      <c r="H5446" s="51">
        <v>50.082999999999998</v>
      </c>
      <c r="J5446" s="51">
        <v>5.99</v>
      </c>
      <c r="K5446" s="74">
        <f>Tabela6[[#This Row],[CONSUMO]]*Tabela6[[#This Row],[VALOR UNIT]]-Tabela6[[#This Row],[DESCONTO]]</f>
        <v>299.99716999999998</v>
      </c>
      <c r="L5446" s="53">
        <f>Tabela6[[#This Row],[CUSTO TOTAL]]/Tabela6[[#This Row],[CONSUMO]]</f>
        <v>5.99</v>
      </c>
      <c r="M5446" s="53" t="e">
        <f t="array" ref="M5446">SE</f>
        <v>#NAME?</v>
      </c>
      <c r="N5446" s="118" t="e">
        <f>Tabela6[[#This Row],[KM Rodados ]]/Tabela6[[#This Row],[CONSUMO]]</f>
        <v>#NAME?</v>
      </c>
    </row>
    <row r="5447" spans="1:14" x14ac:dyDescent="0.25">
      <c r="A5447" s="117">
        <v>47606</v>
      </c>
      <c r="B5447" s="78">
        <v>45583</v>
      </c>
      <c r="C5447" s="47" t="s">
        <v>401</v>
      </c>
      <c r="D5447" s="49" t="s">
        <v>250</v>
      </c>
      <c r="E5447" s="117">
        <v>63709</v>
      </c>
      <c r="G5447" s="50" t="s">
        <v>89</v>
      </c>
      <c r="H5447" s="51">
        <v>49.261000000000003</v>
      </c>
      <c r="J5447" s="51">
        <v>6.09</v>
      </c>
      <c r="K5447" s="74">
        <f>Tabela6[[#This Row],[CONSUMO]]*Tabela6[[#This Row],[VALOR UNIT]]-Tabela6[[#This Row],[DESCONTO]]</f>
        <v>299.99949000000004</v>
      </c>
      <c r="L5447" s="53">
        <f>Tabela6[[#This Row],[CUSTO TOTAL]]/Tabela6[[#This Row],[CONSUMO]]</f>
        <v>6.0900000000000007</v>
      </c>
      <c r="M5447" s="53" t="e">
        <f t="array" ref="M5447">SE</f>
        <v>#NAME?</v>
      </c>
      <c r="N5447" s="118" t="e">
        <f>Tabela6[[#This Row],[KM Rodados ]]/Tabela6[[#This Row],[CONSUMO]]</f>
        <v>#NAME?</v>
      </c>
    </row>
    <row r="5448" spans="1:14" x14ac:dyDescent="0.25">
      <c r="A5448" s="117">
        <v>300871</v>
      </c>
      <c r="B5448" s="78">
        <v>45585</v>
      </c>
      <c r="C5448" s="47" t="s">
        <v>446</v>
      </c>
      <c r="D5448" s="49" t="s">
        <v>262</v>
      </c>
      <c r="E5448" s="117">
        <v>51110</v>
      </c>
      <c r="G5448" s="50" t="s">
        <v>241</v>
      </c>
      <c r="H5448" s="51">
        <v>23.788</v>
      </c>
      <c r="I5448" s="49">
        <v>8.57</v>
      </c>
      <c r="J5448" s="51">
        <v>3.69</v>
      </c>
      <c r="K5448" s="74">
        <f>Tabela6[[#This Row],[CONSUMO]]*Tabela6[[#This Row],[VALOR UNIT]]-Tabela6[[#This Row],[DESCONTO]]</f>
        <v>79.207719999999995</v>
      </c>
      <c r="L5448" s="53">
        <f>Tabela6[[#This Row],[CUSTO TOTAL]]/Tabela6[[#This Row],[CONSUMO]]</f>
        <v>3.3297343198251217</v>
      </c>
      <c r="M5448" s="53" t="e">
        <f t="array" ref="M5448">SE</f>
        <v>#NAME?</v>
      </c>
      <c r="N5448" s="118" t="e">
        <f>Tabela6[[#This Row],[KM Rodados ]]/Tabela6[[#This Row],[CONSUMO]]</f>
        <v>#NAME?</v>
      </c>
    </row>
    <row r="5449" spans="1:14" x14ac:dyDescent="0.25">
      <c r="A5449" s="117">
        <v>356340</v>
      </c>
      <c r="B5449" s="78">
        <v>45586</v>
      </c>
      <c r="C5449" s="47" t="s">
        <v>39</v>
      </c>
      <c r="D5449" s="49" t="s">
        <v>253</v>
      </c>
      <c r="E5449" s="117">
        <v>135163</v>
      </c>
      <c r="G5449" s="50" t="s">
        <v>89</v>
      </c>
      <c r="H5449" s="51">
        <v>93.92</v>
      </c>
      <c r="J5449" s="51">
        <v>6.09</v>
      </c>
      <c r="K5449" s="74">
        <f>Tabela6[[#This Row],[CONSUMO]]*Tabela6[[#This Row],[VALOR UNIT]]-Tabela6[[#This Row],[DESCONTO]]</f>
        <v>571.97280000000001</v>
      </c>
      <c r="L5449" s="53">
        <f>Tabela6[[#This Row],[CUSTO TOTAL]]/Tabela6[[#This Row],[CONSUMO]]</f>
        <v>6.09</v>
      </c>
      <c r="M5449" s="53" t="e">
        <f t="array" ref="M5449">SE</f>
        <v>#NAME?</v>
      </c>
      <c r="N5449" s="118" t="e">
        <f>Tabela6[[#This Row],[KM Rodados ]]/Tabela6[[#This Row],[CONSUMO]]</f>
        <v>#NAME?</v>
      </c>
    </row>
    <row r="5450" spans="1:14" x14ac:dyDescent="0.25">
      <c r="A5450" s="117">
        <v>301067</v>
      </c>
      <c r="B5450" s="78">
        <v>45586</v>
      </c>
      <c r="C5450" s="47" t="s">
        <v>206</v>
      </c>
      <c r="D5450" s="49" t="s">
        <v>262</v>
      </c>
      <c r="E5450" s="117">
        <v>1043996</v>
      </c>
      <c r="G5450" s="50" t="s">
        <v>241</v>
      </c>
      <c r="H5450" s="51">
        <v>29.823</v>
      </c>
      <c r="I5450" s="49">
        <v>10.74</v>
      </c>
      <c r="J5450" s="51">
        <v>3.69</v>
      </c>
      <c r="K5450" s="74">
        <f>Tabela6[[#This Row],[CONSUMO]]*Tabela6[[#This Row],[VALOR UNIT]]-Tabela6[[#This Row],[DESCONTO]]</f>
        <v>99.306870000000004</v>
      </c>
      <c r="L5450" s="53">
        <f>Tabela6[[#This Row],[CUSTO TOTAL]]/Tabela6[[#This Row],[CONSUMO]]</f>
        <v>3.3298752640579421</v>
      </c>
      <c r="M5450" s="53" t="e">
        <f t="array" ref="M5450">SE</f>
        <v>#NAME?</v>
      </c>
      <c r="N5450" s="118" t="e">
        <f>Tabela6[[#This Row],[KM Rodados ]]/Tabela6[[#This Row],[CONSUMO]]</f>
        <v>#NAME?</v>
      </c>
    </row>
    <row r="5451" spans="1:14" x14ac:dyDescent="0.25">
      <c r="A5451" s="117">
        <v>243252</v>
      </c>
      <c r="B5451" s="78">
        <v>45586</v>
      </c>
      <c r="C5451" s="47" t="s">
        <v>206</v>
      </c>
      <c r="D5451" s="49" t="s">
        <v>263</v>
      </c>
      <c r="E5451" s="117">
        <v>1044092</v>
      </c>
      <c r="G5451" s="50" t="s">
        <v>89</v>
      </c>
      <c r="H5451" s="51">
        <v>400</v>
      </c>
      <c r="J5451" s="51">
        <v>6.09</v>
      </c>
      <c r="K5451" s="74">
        <f>Tabela6[[#This Row],[CONSUMO]]*Tabela6[[#This Row],[VALOR UNIT]]-Tabela6[[#This Row],[DESCONTO]]</f>
        <v>2436</v>
      </c>
      <c r="L5451" s="53">
        <f>Tabela6[[#This Row],[CUSTO TOTAL]]/Tabela6[[#This Row],[CONSUMO]]</f>
        <v>6.09</v>
      </c>
      <c r="M5451" s="53" t="e">
        <f t="array" ref="M5451">SE</f>
        <v>#NAME?</v>
      </c>
      <c r="N5451" s="118" t="e">
        <f>Tabela6[[#This Row],[KM Rodados ]]/Tabela6[[#This Row],[CONSUMO]]</f>
        <v>#NAME?</v>
      </c>
    </row>
    <row r="5452" spans="1:14" x14ac:dyDescent="0.25">
      <c r="A5452" s="117">
        <v>356290</v>
      </c>
      <c r="B5452" s="78">
        <v>45586</v>
      </c>
      <c r="C5452" s="47" t="s">
        <v>12</v>
      </c>
      <c r="D5452" s="49" t="s">
        <v>253</v>
      </c>
      <c r="E5452" s="117">
        <v>349122</v>
      </c>
      <c r="G5452" s="50" t="s">
        <v>89</v>
      </c>
      <c r="H5452" s="51">
        <v>102.27</v>
      </c>
      <c r="J5452" s="51">
        <v>6.09</v>
      </c>
      <c r="K5452" s="74">
        <f>Tabela6[[#This Row],[CONSUMO]]*Tabela6[[#This Row],[VALOR UNIT]]-Tabela6[[#This Row],[DESCONTO]]</f>
        <v>622.82429999999999</v>
      </c>
      <c r="L5452" s="53">
        <f>Tabela6[[#This Row],[CUSTO TOTAL]]/Tabela6[[#This Row],[CONSUMO]]</f>
        <v>6.09</v>
      </c>
      <c r="M5452" s="53" t="e">
        <f t="array" ref="M5452">SE</f>
        <v>#NAME?</v>
      </c>
      <c r="N5452" s="118" t="e">
        <f>Tabela6[[#This Row],[KM Rodados ]]/Tabela6[[#This Row],[CONSUMO]]</f>
        <v>#NAME?</v>
      </c>
    </row>
    <row r="5453" spans="1:14" x14ac:dyDescent="0.25">
      <c r="A5453" s="117">
        <v>356290</v>
      </c>
      <c r="B5453" s="78">
        <v>45586</v>
      </c>
      <c r="C5453" s="47" t="s">
        <v>12</v>
      </c>
      <c r="D5453" s="49" t="s">
        <v>253</v>
      </c>
      <c r="E5453" s="117">
        <v>349122</v>
      </c>
      <c r="G5453" s="50" t="s">
        <v>241</v>
      </c>
      <c r="H5453" s="51">
        <v>16.263999999999999</v>
      </c>
      <c r="J5453" s="51">
        <v>3.49</v>
      </c>
      <c r="K5453" s="74">
        <f>Tabela6[[#This Row],[CONSUMO]]*Tabela6[[#This Row],[VALOR UNIT]]-Tabela6[[#This Row],[DESCONTO]]</f>
        <v>56.761360000000003</v>
      </c>
      <c r="L5453" s="53">
        <f>Tabela6[[#This Row],[CUSTO TOTAL]]/Tabela6[[#This Row],[CONSUMO]]</f>
        <v>3.49</v>
      </c>
      <c r="M5453" s="53" t="e">
        <f t="array" ref="M5453">SE</f>
        <v>#NAME?</v>
      </c>
      <c r="N5453" s="118" t="e">
        <f>Tabela6[[#This Row],[KM Rodados ]]/Tabela6[[#This Row],[CONSUMO]]</f>
        <v>#NAME?</v>
      </c>
    </row>
    <row r="5454" spans="1:14" x14ac:dyDescent="0.25">
      <c r="A5454" s="117">
        <v>55627</v>
      </c>
      <c r="B5454" s="78">
        <v>45586</v>
      </c>
      <c r="C5454" s="47" t="s">
        <v>14</v>
      </c>
      <c r="D5454" s="49" t="s">
        <v>255</v>
      </c>
      <c r="E5454" s="117">
        <v>347170</v>
      </c>
      <c r="G5454" s="50" t="s">
        <v>244</v>
      </c>
      <c r="H5454" s="51">
        <v>45.25</v>
      </c>
      <c r="J5454" s="51">
        <v>6.26</v>
      </c>
      <c r="K5454" s="74">
        <f>Tabela6[[#This Row],[CONSUMO]]*Tabela6[[#This Row],[VALOR UNIT]]-Tabela6[[#This Row],[DESCONTO]]</f>
        <v>283.26499999999999</v>
      </c>
      <c r="L5454" s="53">
        <f>Tabela6[[#This Row],[CUSTO TOTAL]]/Tabela6[[#This Row],[CONSUMO]]</f>
        <v>6.26</v>
      </c>
      <c r="M5454" s="53" t="e">
        <f t="array" ref="M5454">SE</f>
        <v>#NAME?</v>
      </c>
      <c r="N5454" s="118" t="e">
        <f>Tabela6[[#This Row],[KM Rodados ]]/Tabela6[[#This Row],[CONSUMO]]</f>
        <v>#NAME?</v>
      </c>
    </row>
    <row r="5455" spans="1:14" x14ac:dyDescent="0.25">
      <c r="A5455" s="117">
        <v>446245</v>
      </c>
      <c r="B5455" s="78">
        <v>45586</v>
      </c>
      <c r="C5455" s="47" t="s">
        <v>426</v>
      </c>
      <c r="D5455" s="49" t="s">
        <v>276</v>
      </c>
      <c r="E5455" s="47">
        <v>58214</v>
      </c>
      <c r="G5455" s="50" t="s">
        <v>241</v>
      </c>
      <c r="H5455" s="51">
        <v>14.555</v>
      </c>
      <c r="J5455" s="51">
        <v>3.69</v>
      </c>
      <c r="K5455" s="74">
        <f>Tabela6[[#This Row],[CONSUMO]]*Tabela6[[#This Row],[VALOR UNIT]]-Tabela6[[#This Row],[DESCONTO]]</f>
        <v>53.707949999999997</v>
      </c>
      <c r="L5455" s="53">
        <f>Tabela6[[#This Row],[CUSTO TOTAL]]/Tabela6[[#This Row],[CONSUMO]]</f>
        <v>3.69</v>
      </c>
      <c r="M5455" s="53" t="e">
        <f t="array" ref="M5455">SE</f>
        <v>#NAME?</v>
      </c>
      <c r="N5455" s="118" t="e">
        <f>Tabela6[[#This Row],[KM Rodados ]]/Tabela6[[#This Row],[CONSUMO]]</f>
        <v>#NAME?</v>
      </c>
    </row>
    <row r="5456" spans="1:14" x14ac:dyDescent="0.25">
      <c r="A5456" s="117">
        <v>301292</v>
      </c>
      <c r="B5456" s="78">
        <v>45587</v>
      </c>
      <c r="C5456" s="47" t="s">
        <v>20</v>
      </c>
      <c r="D5456" s="49" t="s">
        <v>262</v>
      </c>
      <c r="E5456" s="117">
        <v>435361</v>
      </c>
      <c r="G5456" s="50" t="s">
        <v>89</v>
      </c>
      <c r="H5456" s="51">
        <v>75.2</v>
      </c>
      <c r="J5456" s="51">
        <v>5.99</v>
      </c>
      <c r="K5456" s="74">
        <f>Tabela6[[#This Row],[CONSUMO]]*Tabela6[[#This Row],[VALOR UNIT]]-Tabela6[[#This Row],[DESCONTO]]</f>
        <v>450.44800000000004</v>
      </c>
      <c r="L5456" s="53">
        <f>Tabela6[[#This Row],[CUSTO TOTAL]]/Tabela6[[#This Row],[CONSUMO]]</f>
        <v>5.99</v>
      </c>
      <c r="M5456" s="53" t="e">
        <f t="array" ref="M5456">SE</f>
        <v>#NAME?</v>
      </c>
      <c r="N5456" s="118" t="e">
        <f>Tabela6[[#This Row],[KM Rodados ]]/Tabela6[[#This Row],[CONSUMO]]</f>
        <v>#NAME?</v>
      </c>
    </row>
    <row r="5457" spans="1:14" x14ac:dyDescent="0.25">
      <c r="A5457" s="117">
        <v>697320</v>
      </c>
      <c r="B5457" s="78">
        <v>45587</v>
      </c>
      <c r="C5457" s="47" t="s">
        <v>401</v>
      </c>
      <c r="D5457" s="49" t="s">
        <v>357</v>
      </c>
      <c r="E5457" s="117">
        <v>64531</v>
      </c>
      <c r="G5457" s="50" t="s">
        <v>241</v>
      </c>
      <c r="H5457" s="51">
        <v>25</v>
      </c>
      <c r="J5457" s="51">
        <v>2.93</v>
      </c>
      <c r="K5457" s="74">
        <f>Tabela6[[#This Row],[CONSUMO]]*Tabela6[[#This Row],[VALOR UNIT]]-Tabela6[[#This Row],[DESCONTO]]</f>
        <v>73.25</v>
      </c>
      <c r="L5457" s="53">
        <f>Tabela6[[#This Row],[CUSTO TOTAL]]/Tabela6[[#This Row],[CONSUMO]]</f>
        <v>2.93</v>
      </c>
      <c r="M5457" s="53" t="e">
        <f t="array" ref="M5457">SE</f>
        <v>#NAME?</v>
      </c>
      <c r="N5457" s="118" t="e">
        <f>Tabela6[[#This Row],[KM Rodados ]]/Tabela6[[#This Row],[CONSUMO]]</f>
        <v>#NAME?</v>
      </c>
    </row>
    <row r="5458" spans="1:14" x14ac:dyDescent="0.25">
      <c r="A5458" s="117">
        <v>301524</v>
      </c>
      <c r="B5458" s="78">
        <v>45588</v>
      </c>
      <c r="C5458" s="47" t="s">
        <v>43</v>
      </c>
      <c r="D5458" s="49" t="s">
        <v>262</v>
      </c>
      <c r="E5458" s="117">
        <v>211623</v>
      </c>
      <c r="G5458" s="50" t="s">
        <v>89</v>
      </c>
      <c r="H5458" s="51">
        <v>34.229999999999997</v>
      </c>
      <c r="J5458" s="51">
        <v>5.99</v>
      </c>
      <c r="K5458" s="74">
        <f>Tabela6[[#This Row],[CONSUMO]]*Tabela6[[#This Row],[VALOR UNIT]]-Tabela6[[#This Row],[DESCONTO]]</f>
        <v>205.0377</v>
      </c>
      <c r="L5458" s="53">
        <f>Tabela6[[#This Row],[CUSTO TOTAL]]/Tabela6[[#This Row],[CONSUMO]]</f>
        <v>5.99</v>
      </c>
      <c r="M5458" s="53" t="e">
        <f t="array" ref="M5458">SE</f>
        <v>#NAME?</v>
      </c>
      <c r="N5458" s="118" t="e">
        <f>Tabela6[[#This Row],[KM Rodados ]]/Tabela6[[#This Row],[CONSUMO]]</f>
        <v>#NAME?</v>
      </c>
    </row>
    <row r="5459" spans="1:14" x14ac:dyDescent="0.25">
      <c r="A5459" s="117">
        <v>1070930</v>
      </c>
      <c r="B5459" s="78">
        <v>45588</v>
      </c>
      <c r="C5459" s="47" t="s">
        <v>43</v>
      </c>
      <c r="D5459" s="49" t="s">
        <v>250</v>
      </c>
      <c r="E5459" s="117">
        <v>212016</v>
      </c>
      <c r="G5459" s="50" t="s">
        <v>89</v>
      </c>
      <c r="H5459" s="51">
        <v>42.719000000000001</v>
      </c>
      <c r="J5459" s="51">
        <v>6.09</v>
      </c>
      <c r="K5459" s="74">
        <f>Tabela6[[#This Row],[CONSUMO]]*Tabela6[[#This Row],[VALOR UNIT]]-Tabela6[[#This Row],[DESCONTO]]</f>
        <v>260.15870999999999</v>
      </c>
      <c r="L5459" s="53">
        <f>Tabela6[[#This Row],[CUSTO TOTAL]]/Tabela6[[#This Row],[CONSUMO]]</f>
        <v>6.09</v>
      </c>
      <c r="M5459" s="53" t="e">
        <f t="array" ref="M5459">SE</f>
        <v>#NAME?</v>
      </c>
      <c r="N5459" s="118" t="e">
        <f>Tabela6[[#This Row],[KM Rodados ]]/Tabela6[[#This Row],[CONSUMO]]</f>
        <v>#NAME?</v>
      </c>
    </row>
    <row r="5460" spans="1:14" x14ac:dyDescent="0.25">
      <c r="A5460" s="117">
        <v>301706</v>
      </c>
      <c r="B5460" s="78">
        <v>45588</v>
      </c>
      <c r="C5460" s="47" t="s">
        <v>215</v>
      </c>
      <c r="D5460" s="49" t="s">
        <v>262</v>
      </c>
      <c r="E5460" s="117">
        <v>244873</v>
      </c>
      <c r="G5460" s="50" t="s">
        <v>244</v>
      </c>
      <c r="H5460" s="51">
        <v>37.78</v>
      </c>
      <c r="J5460" s="51">
        <v>5.99</v>
      </c>
      <c r="K5460" s="74">
        <f>Tabela6[[#This Row],[CONSUMO]]*Tabela6[[#This Row],[VALOR UNIT]]-Tabela6[[#This Row],[DESCONTO]]</f>
        <v>226.30220000000003</v>
      </c>
      <c r="L5460" s="53">
        <f>Tabela6[[#This Row],[CUSTO TOTAL]]/Tabela6[[#This Row],[CONSUMO]]</f>
        <v>5.99</v>
      </c>
      <c r="M5460" s="53" t="e">
        <f t="array" ref="M5460">SE</f>
        <v>#NAME?</v>
      </c>
      <c r="N5460" s="118" t="e">
        <f>Tabela6[[#This Row],[KM Rodados ]]/Tabela6[[#This Row],[CONSUMO]]</f>
        <v>#NAME?</v>
      </c>
    </row>
    <row r="5461" spans="1:14" x14ac:dyDescent="0.25">
      <c r="A5461" s="117">
        <v>446719</v>
      </c>
      <c r="B5461" s="78">
        <v>45588</v>
      </c>
      <c r="C5461" s="47" t="s">
        <v>203</v>
      </c>
      <c r="D5461" s="49" t="s">
        <v>276</v>
      </c>
      <c r="E5461" s="117">
        <v>183794</v>
      </c>
      <c r="G5461" s="50" t="s">
        <v>244</v>
      </c>
      <c r="H5461" s="51">
        <v>45.841000000000001</v>
      </c>
      <c r="J5461" s="51">
        <v>6.09</v>
      </c>
      <c r="K5461" s="74">
        <f>Tabela6[[#This Row],[CONSUMO]]*Tabela6[[#This Row],[VALOR UNIT]]-Tabela6[[#This Row],[DESCONTO]]</f>
        <v>279.17169000000001</v>
      </c>
      <c r="L5461" s="53">
        <f>Tabela6[[#This Row],[CUSTO TOTAL]]/Tabela6[[#This Row],[CONSUMO]]</f>
        <v>6.09</v>
      </c>
      <c r="M5461" s="53" t="e">
        <f t="array" ref="M5461">SE</f>
        <v>#NAME?</v>
      </c>
      <c r="N5461" s="118" t="e">
        <f>Tabela6[[#This Row],[KM Rodados ]]/Tabela6[[#This Row],[CONSUMO]]</f>
        <v>#NAME?</v>
      </c>
    </row>
    <row r="5462" spans="1:14" x14ac:dyDescent="0.25">
      <c r="A5462" s="117">
        <v>2921</v>
      </c>
      <c r="B5462" s="78">
        <v>45588</v>
      </c>
      <c r="C5462" s="47" t="s">
        <v>446</v>
      </c>
      <c r="D5462" s="49" t="s">
        <v>408</v>
      </c>
      <c r="E5462" s="117">
        <v>52924</v>
      </c>
      <c r="G5462" s="50" t="s">
        <v>241</v>
      </c>
      <c r="H5462" s="51">
        <v>12.018000000000001</v>
      </c>
      <c r="J5462" s="51">
        <v>3.34</v>
      </c>
      <c r="K5462" s="74">
        <f>Tabela6[[#This Row],[CONSUMO]]*Tabela6[[#This Row],[VALOR UNIT]]-Tabela6[[#This Row],[DESCONTO]]</f>
        <v>40.140120000000003</v>
      </c>
      <c r="L5462" s="53">
        <f>Tabela6[[#This Row],[CUSTO TOTAL]]/Tabela6[[#This Row],[CONSUMO]]</f>
        <v>3.34</v>
      </c>
      <c r="M5462" s="53" t="e">
        <f t="array" ref="M5462">SE</f>
        <v>#NAME?</v>
      </c>
      <c r="N5462" s="118" t="e">
        <f>Tabela6[[#This Row],[KM Rodados ]]/Tabela6[[#This Row],[CONSUMO]]</f>
        <v>#NAME?</v>
      </c>
    </row>
    <row r="5463" spans="1:14" x14ac:dyDescent="0.25">
      <c r="A5463" s="117">
        <v>1471520</v>
      </c>
      <c r="B5463" s="78">
        <v>45588</v>
      </c>
      <c r="C5463" s="47" t="s">
        <v>446</v>
      </c>
      <c r="D5463" s="49" t="s">
        <v>408</v>
      </c>
      <c r="E5463" s="117">
        <v>52924</v>
      </c>
      <c r="G5463" s="50" t="s">
        <v>89</v>
      </c>
      <c r="H5463" s="51">
        <v>100</v>
      </c>
      <c r="I5463" s="49">
        <v>70</v>
      </c>
      <c r="J5463" s="51">
        <v>6.54</v>
      </c>
      <c r="K5463" s="74">
        <f>Tabela6[[#This Row],[CONSUMO]]*Tabela6[[#This Row],[VALOR UNIT]]-Tabela6[[#This Row],[DESCONTO]]</f>
        <v>584</v>
      </c>
      <c r="L5463" s="53">
        <f>Tabela6[[#This Row],[CUSTO TOTAL]]/Tabela6[[#This Row],[CONSUMO]]</f>
        <v>5.84</v>
      </c>
      <c r="M5463" s="53" t="e">
        <f t="array" ref="M5463">SE</f>
        <v>#NAME?</v>
      </c>
      <c r="N5463" s="118" t="e">
        <f>Tabela6[[#This Row],[KM Rodados ]]/Tabela6[[#This Row],[CONSUMO]]</f>
        <v>#NAME?</v>
      </c>
    </row>
    <row r="5464" spans="1:14" x14ac:dyDescent="0.25">
      <c r="A5464" s="117">
        <v>358718</v>
      </c>
      <c r="B5464" s="78">
        <v>45589</v>
      </c>
      <c r="C5464" s="47" t="s">
        <v>315</v>
      </c>
      <c r="D5464" s="49" t="s">
        <v>253</v>
      </c>
      <c r="E5464" s="117">
        <v>50321</v>
      </c>
      <c r="G5464" s="50" t="s">
        <v>89</v>
      </c>
      <c r="H5464" s="51">
        <v>53.03</v>
      </c>
      <c r="J5464" s="51">
        <v>6.09</v>
      </c>
      <c r="K5464" s="74">
        <f>Tabela6[[#This Row],[CONSUMO]]*Tabela6[[#This Row],[VALOR UNIT]]-Tabela6[[#This Row],[DESCONTO]]</f>
        <v>322.95269999999999</v>
      </c>
      <c r="L5464" s="53">
        <f>Tabela6[[#This Row],[CUSTO TOTAL]]/Tabela6[[#This Row],[CONSUMO]]</f>
        <v>6.09</v>
      </c>
      <c r="M5464" s="53" t="e">
        <f t="array" ref="M5464">SE</f>
        <v>#NAME?</v>
      </c>
      <c r="N5464" s="118" t="e">
        <f>Tabela6[[#This Row],[KM Rodados ]]/Tabela6[[#This Row],[CONSUMO]]</f>
        <v>#NAME?</v>
      </c>
    </row>
    <row r="5465" spans="1:14" x14ac:dyDescent="0.25">
      <c r="A5465" s="117">
        <v>359906</v>
      </c>
      <c r="B5465" s="78">
        <v>45590</v>
      </c>
      <c r="C5465" s="47" t="s">
        <v>39</v>
      </c>
      <c r="D5465" s="49" t="s">
        <v>253</v>
      </c>
      <c r="E5465" s="117">
        <v>135623</v>
      </c>
      <c r="G5465" s="50" t="s">
        <v>89</v>
      </c>
      <c r="H5465" s="51">
        <v>90</v>
      </c>
      <c r="J5465" s="51">
        <v>6.09</v>
      </c>
      <c r="K5465" s="74">
        <f>Tabela6[[#This Row],[CONSUMO]]*Tabela6[[#This Row],[VALOR UNIT]]-Tabela6[[#This Row],[DESCONTO]]</f>
        <v>548.1</v>
      </c>
      <c r="L5465" s="53">
        <f>Tabela6[[#This Row],[CUSTO TOTAL]]/Tabela6[[#This Row],[CONSUMO]]</f>
        <v>6.09</v>
      </c>
      <c r="M5465" s="53" t="e">
        <f t="array" ref="M5465">SE</f>
        <v>#NAME?</v>
      </c>
      <c r="N5465" s="118" t="e">
        <f>Tabela6[[#This Row],[KM Rodados ]]/Tabela6[[#This Row],[CONSUMO]]</f>
        <v>#NAME?</v>
      </c>
    </row>
    <row r="5466" spans="1:14" x14ac:dyDescent="0.25">
      <c r="A5466" s="117">
        <v>302100</v>
      </c>
      <c r="B5466" s="78">
        <v>45590</v>
      </c>
      <c r="C5466" s="47" t="s">
        <v>203</v>
      </c>
      <c r="D5466" s="49" t="s">
        <v>262</v>
      </c>
      <c r="E5466" s="117">
        <v>184211</v>
      </c>
      <c r="G5466" s="50" t="s">
        <v>244</v>
      </c>
      <c r="H5466" s="51">
        <v>36.390999999999998</v>
      </c>
      <c r="J5466" s="51">
        <v>5.99</v>
      </c>
      <c r="K5466" s="74">
        <f>Tabela6[[#This Row],[CONSUMO]]*Tabela6[[#This Row],[VALOR UNIT]]-Tabela6[[#This Row],[DESCONTO]]</f>
        <v>217.98209</v>
      </c>
      <c r="L5466" s="53">
        <f>Tabela6[[#This Row],[CUSTO TOTAL]]/Tabela6[[#This Row],[CONSUMO]]</f>
        <v>5.99</v>
      </c>
      <c r="M5466" s="53" t="e">
        <f t="array" ref="M5466">SE</f>
        <v>#NAME?</v>
      </c>
      <c r="N5466" s="118" t="e">
        <f>Tabela6[[#This Row],[KM Rodados ]]/Tabela6[[#This Row],[CONSUMO]]</f>
        <v>#NAME?</v>
      </c>
    </row>
    <row r="5467" spans="1:14" x14ac:dyDescent="0.25">
      <c r="A5467" s="117">
        <v>302076</v>
      </c>
      <c r="B5467" s="78">
        <v>45590</v>
      </c>
      <c r="C5467" s="47" t="s">
        <v>19</v>
      </c>
      <c r="D5467" s="49" t="s">
        <v>262</v>
      </c>
      <c r="E5467" s="117">
        <v>408952</v>
      </c>
      <c r="G5467" s="50" t="s">
        <v>241</v>
      </c>
      <c r="H5467" s="51">
        <v>25.847999999999999</v>
      </c>
      <c r="I5467" s="49">
        <v>9.31</v>
      </c>
      <c r="J5467" s="51">
        <v>3.69</v>
      </c>
      <c r="K5467" s="74">
        <f>Tabela6[[#This Row],[CONSUMO]]*Tabela6[[#This Row],[VALOR UNIT]]-Tabela6[[#This Row],[DESCONTO]]</f>
        <v>86.069119999999998</v>
      </c>
      <c r="L5467" s="53">
        <f>Tabela6[[#This Row],[CUSTO TOTAL]]/Tabela6[[#This Row],[CONSUMO]]</f>
        <v>3.329817393995667</v>
      </c>
      <c r="M5467" s="53" t="e">
        <f t="array" ref="M5467">SE</f>
        <v>#NAME?</v>
      </c>
      <c r="N5467" s="118" t="e">
        <f>Tabela6[[#This Row],[KM Rodados ]]/Tabela6[[#This Row],[CONSUMO]]</f>
        <v>#NAME?</v>
      </c>
    </row>
    <row r="5468" spans="1:14" x14ac:dyDescent="0.25">
      <c r="A5468" s="117">
        <v>403067</v>
      </c>
      <c r="B5468" s="78">
        <v>45590</v>
      </c>
      <c r="C5468" s="47" t="s">
        <v>401</v>
      </c>
      <c r="D5468" s="49" t="s">
        <v>402</v>
      </c>
      <c r="E5468" s="117">
        <v>65603</v>
      </c>
      <c r="G5468" s="50" t="s">
        <v>89</v>
      </c>
      <c r="H5468" s="51">
        <v>66.778000000000006</v>
      </c>
      <c r="J5468" s="51">
        <v>5.99</v>
      </c>
      <c r="K5468" s="74">
        <f>Tabela6[[#This Row],[CONSUMO]]*Tabela6[[#This Row],[VALOR UNIT]]-Tabela6[[#This Row],[DESCONTO]]</f>
        <v>400.00022000000007</v>
      </c>
      <c r="L5468" s="53">
        <f>Tabela6[[#This Row],[CUSTO TOTAL]]/Tabela6[[#This Row],[CONSUMO]]</f>
        <v>5.99</v>
      </c>
      <c r="M5468" s="53" t="e">
        <f t="array" ref="M5468">SE</f>
        <v>#NAME?</v>
      </c>
      <c r="N5468" s="118" t="e">
        <f>Tabela6[[#This Row],[KM Rodados ]]/Tabela6[[#This Row],[CONSUMO]]</f>
        <v>#NAME?</v>
      </c>
    </row>
    <row r="5469" spans="1:14" x14ac:dyDescent="0.25">
      <c r="A5469" s="117">
        <v>302306</v>
      </c>
      <c r="B5469" s="78">
        <v>45591</v>
      </c>
      <c r="C5469" s="47" t="s">
        <v>446</v>
      </c>
      <c r="D5469" s="49" t="s">
        <v>262</v>
      </c>
      <c r="E5469" s="117">
        <v>53352</v>
      </c>
      <c r="G5469" s="50" t="s">
        <v>241</v>
      </c>
      <c r="H5469" s="51">
        <v>22.608000000000001</v>
      </c>
      <c r="I5469" s="49">
        <v>8.14</v>
      </c>
      <c r="J5469" s="51">
        <v>3.69</v>
      </c>
      <c r="K5469" s="74">
        <f>Tabela6[[#This Row],[CONSUMO]]*Tabela6[[#This Row],[VALOR UNIT]]-Tabela6[[#This Row],[DESCONTO]]</f>
        <v>75.283519999999996</v>
      </c>
      <c r="L5469" s="53">
        <f>Tabela6[[#This Row],[CUSTO TOTAL]]/Tabela6[[#This Row],[CONSUMO]]</f>
        <v>3.3299504600141541</v>
      </c>
      <c r="M5469" s="53" t="e">
        <f t="array" ref="M5469">SE</f>
        <v>#NAME?</v>
      </c>
      <c r="N5469" s="118" t="e">
        <f>Tabela6[[#This Row],[KM Rodados ]]/Tabela6[[#This Row],[CONSUMO]]</f>
        <v>#NAME?</v>
      </c>
    </row>
    <row r="5470" spans="1:14" x14ac:dyDescent="0.25">
      <c r="A5470" s="117">
        <v>302581</v>
      </c>
      <c r="B5470" s="78">
        <v>45592</v>
      </c>
      <c r="C5470" s="47" t="s">
        <v>354</v>
      </c>
      <c r="D5470" s="49" t="s">
        <v>262</v>
      </c>
      <c r="E5470" s="117">
        <v>68394</v>
      </c>
      <c r="G5470" s="50" t="s">
        <v>241</v>
      </c>
      <c r="H5470" s="51">
        <v>13.731</v>
      </c>
      <c r="I5470" s="49">
        <v>4.95</v>
      </c>
      <c r="J5470" s="51">
        <v>3.69</v>
      </c>
      <c r="K5470" s="74">
        <f>Tabela6[[#This Row],[CONSUMO]]*Tabela6[[#This Row],[VALOR UNIT]]-Tabela6[[#This Row],[DESCONTO]]</f>
        <v>45.717389999999995</v>
      </c>
      <c r="L5470" s="53">
        <f>Tabela6[[#This Row],[CUSTO TOTAL]]/Tabela6[[#This Row],[CONSUMO]]</f>
        <v>3.3295018571116448</v>
      </c>
      <c r="M5470" s="53" t="e">
        <f t="array" ref="M5470">SE</f>
        <v>#NAME?</v>
      </c>
      <c r="N5470" s="118" t="e">
        <f>Tabela6[[#This Row],[KM Rodados ]]/Tabela6[[#This Row],[CONSUMO]]</f>
        <v>#NAME?</v>
      </c>
    </row>
    <row r="5471" spans="1:14" x14ac:dyDescent="0.25">
      <c r="A5471" s="117">
        <v>302856</v>
      </c>
      <c r="B5471" s="78">
        <v>45593</v>
      </c>
      <c r="C5471" s="47" t="s">
        <v>73</v>
      </c>
      <c r="D5471" s="49" t="s">
        <v>262</v>
      </c>
      <c r="E5471" s="117"/>
      <c r="G5471" s="50" t="s">
        <v>241</v>
      </c>
      <c r="H5471" s="51">
        <v>20.018000000000001</v>
      </c>
      <c r="I5471" s="49">
        <v>7.21</v>
      </c>
      <c r="J5471" s="51">
        <v>3.69</v>
      </c>
      <c r="K5471" s="74">
        <f>Tabela6[[#This Row],[CONSUMO]]*Tabela6[[#This Row],[VALOR UNIT]]-Tabela6[[#This Row],[DESCONTO]]</f>
        <v>66.656420000000011</v>
      </c>
      <c r="L5471" s="53">
        <f>Tabela6[[#This Row],[CUSTO TOTAL]]/Tabela6[[#This Row],[CONSUMO]]</f>
        <v>3.3298241582575687</v>
      </c>
      <c r="M5471" s="53" t="e">
        <f t="array" ref="M5471">SE</f>
        <v>#NAME?</v>
      </c>
      <c r="N5471" s="118" t="e">
        <f>Tabela6[[#This Row],[KM Rodados ]]/Tabela6[[#This Row],[CONSUMO]]</f>
        <v>#NAME?</v>
      </c>
    </row>
    <row r="5472" spans="1:14" x14ac:dyDescent="0.25">
      <c r="A5472" s="117">
        <v>244380</v>
      </c>
      <c r="B5472" s="78">
        <v>45593</v>
      </c>
      <c r="C5472" s="47" t="s">
        <v>14</v>
      </c>
      <c r="D5472" s="49" t="s">
        <v>263</v>
      </c>
      <c r="E5472" s="117">
        <v>480857</v>
      </c>
      <c r="G5472" s="50" t="s">
        <v>89</v>
      </c>
      <c r="H5472" s="51">
        <v>27.731000000000002</v>
      </c>
      <c r="I5472" s="49">
        <v>4.16</v>
      </c>
      <c r="J5472" s="51">
        <v>6.09</v>
      </c>
      <c r="K5472" s="74">
        <f>Tabela6[[#This Row],[CONSUMO]]*Tabela6[[#This Row],[VALOR UNIT]]-Tabela6[[#This Row],[DESCONTO]]</f>
        <v>164.72179</v>
      </c>
      <c r="L5472" s="53">
        <f>Tabela6[[#This Row],[CUSTO TOTAL]]/Tabela6[[#This Row],[CONSUMO]]</f>
        <v>5.9399873787458075</v>
      </c>
      <c r="M5472" s="53" t="e">
        <f t="array" ref="M5472">SE</f>
        <v>#NAME?</v>
      </c>
      <c r="N5472" s="118" t="e">
        <f>Tabela6[[#This Row],[KM Rodados ]]/Tabela6[[#This Row],[CONSUMO]]</f>
        <v>#NAME?</v>
      </c>
    </row>
    <row r="5473" spans="1:14" x14ac:dyDescent="0.25">
      <c r="A5473" s="117">
        <v>616981</v>
      </c>
      <c r="B5473" s="78">
        <v>45593</v>
      </c>
      <c r="C5473" s="47" t="s">
        <v>40</v>
      </c>
      <c r="D5473" s="49" t="s">
        <v>309</v>
      </c>
      <c r="E5473" s="117">
        <v>226841</v>
      </c>
      <c r="G5473" s="50" t="s">
        <v>244</v>
      </c>
      <c r="H5473" s="51">
        <v>41.85</v>
      </c>
      <c r="J5473" s="51">
        <v>5.85</v>
      </c>
      <c r="K5473" s="74">
        <f>Tabela6[[#This Row],[CONSUMO]]*Tabela6[[#This Row],[VALOR UNIT]]-Tabela6[[#This Row],[DESCONTO]]</f>
        <v>244.82249999999999</v>
      </c>
      <c r="L5473" s="53">
        <f>Tabela6[[#This Row],[CUSTO TOTAL]]/Tabela6[[#This Row],[CONSUMO]]</f>
        <v>5.85</v>
      </c>
      <c r="M5473" s="53" t="e">
        <f t="array" ref="M5473">SE</f>
        <v>#NAME?</v>
      </c>
      <c r="N5473" s="118" t="e">
        <f>Tabela6[[#This Row],[KM Rodados ]]/Tabela6[[#This Row],[CONSUMO]]</f>
        <v>#NAME?</v>
      </c>
    </row>
    <row r="5474" spans="1:14" x14ac:dyDescent="0.25">
      <c r="A5474" s="117">
        <v>2297579</v>
      </c>
      <c r="B5474" s="78">
        <v>45593</v>
      </c>
      <c r="C5474" s="47" t="s">
        <v>446</v>
      </c>
      <c r="D5474" s="49" t="s">
        <v>252</v>
      </c>
      <c r="E5474" s="117">
        <v>54620</v>
      </c>
      <c r="G5474" s="50" t="s">
        <v>241</v>
      </c>
      <c r="H5474" s="51">
        <v>23.39</v>
      </c>
      <c r="J5474" s="51">
        <v>2.85</v>
      </c>
      <c r="K5474" s="74">
        <f>Tabela6[[#This Row],[CONSUMO]]*Tabela6[[#This Row],[VALOR UNIT]]-Tabela6[[#This Row],[DESCONTO]]</f>
        <v>66.661500000000004</v>
      </c>
      <c r="L5474" s="53">
        <f>Tabela6[[#This Row],[CUSTO TOTAL]]/Tabela6[[#This Row],[CONSUMO]]</f>
        <v>2.85</v>
      </c>
      <c r="M5474" s="53" t="e">
        <f t="array" ref="M5474">SE</f>
        <v>#NAME?</v>
      </c>
      <c r="N5474" s="118" t="e">
        <f>Tabela6[[#This Row],[KM Rodados ]]/Tabela6[[#This Row],[CONSUMO]]</f>
        <v>#NAME?</v>
      </c>
    </row>
    <row r="5475" spans="1:14" x14ac:dyDescent="0.25">
      <c r="A5475" s="117">
        <v>362451</v>
      </c>
      <c r="B5475" s="78">
        <v>45594</v>
      </c>
      <c r="C5475" s="47" t="s">
        <v>12</v>
      </c>
      <c r="D5475" s="49" t="s">
        <v>253</v>
      </c>
      <c r="E5475" s="117">
        <v>349655</v>
      </c>
      <c r="G5475" s="50" t="s">
        <v>89</v>
      </c>
      <c r="H5475" s="51">
        <v>100.3</v>
      </c>
      <c r="J5475" s="51">
        <v>6.09</v>
      </c>
      <c r="K5475" s="74">
        <f>Tabela6[[#This Row],[CONSUMO]]*Tabela6[[#This Row],[VALOR UNIT]]-Tabela6[[#This Row],[DESCONTO]]</f>
        <v>610.827</v>
      </c>
      <c r="L5475" s="53">
        <f>Tabela6[[#This Row],[CUSTO TOTAL]]/Tabela6[[#This Row],[CONSUMO]]</f>
        <v>6.09</v>
      </c>
      <c r="M5475" s="53" t="e">
        <f t="array" ref="M5475">SE</f>
        <v>#NAME?</v>
      </c>
      <c r="N5475" s="118" t="e">
        <f>Tabela6[[#This Row],[KM Rodados ]]/Tabela6[[#This Row],[CONSUMO]]</f>
        <v>#NAME?</v>
      </c>
    </row>
    <row r="5476" spans="1:14" x14ac:dyDescent="0.25">
      <c r="A5476" s="117">
        <v>362431</v>
      </c>
      <c r="B5476" s="78">
        <v>45594</v>
      </c>
      <c r="C5476" s="47" t="s">
        <v>315</v>
      </c>
      <c r="D5476" s="49" t="s">
        <v>253</v>
      </c>
      <c r="E5476" s="117">
        <v>50961</v>
      </c>
      <c r="G5476" s="50" t="s">
        <v>89</v>
      </c>
      <c r="H5476" s="51">
        <v>48.59</v>
      </c>
      <c r="J5476" s="51">
        <v>6.09</v>
      </c>
      <c r="K5476" s="74">
        <f>Tabela6[[#This Row],[CONSUMO]]*Tabela6[[#This Row],[VALOR UNIT]]-Tabela6[[#This Row],[DESCONTO]]</f>
        <v>295.91309999999999</v>
      </c>
      <c r="L5476" s="53">
        <f>Tabela6[[#This Row],[CUSTO TOTAL]]/Tabela6[[#This Row],[CONSUMO]]</f>
        <v>6.089999999999999</v>
      </c>
      <c r="M5476" s="53" t="e">
        <f t="array" ref="M5476">SE</f>
        <v>#NAME?</v>
      </c>
      <c r="N5476" s="118" t="e">
        <f>Tabela6[[#This Row],[KM Rodados ]]/Tabela6[[#This Row],[CONSUMO]]</f>
        <v>#NAME?</v>
      </c>
    </row>
    <row r="5477" spans="1:14" x14ac:dyDescent="0.25">
      <c r="A5477" s="117">
        <v>471688</v>
      </c>
      <c r="B5477" s="78">
        <v>45594</v>
      </c>
      <c r="C5477" s="47" t="s">
        <v>446</v>
      </c>
      <c r="D5477" s="49" t="s">
        <v>582</v>
      </c>
      <c r="E5477" s="117">
        <v>55067</v>
      </c>
      <c r="G5477" s="50" t="s">
        <v>89</v>
      </c>
      <c r="H5477" s="51">
        <v>120</v>
      </c>
      <c r="I5477" s="49">
        <v>6</v>
      </c>
      <c r="J5477" s="51">
        <v>6.19</v>
      </c>
      <c r="K5477" s="74">
        <f>Tabela6[[#This Row],[CONSUMO]]*Tabela6[[#This Row],[VALOR UNIT]]-Tabela6[[#This Row],[DESCONTO]]</f>
        <v>736.80000000000007</v>
      </c>
      <c r="L5477" s="53">
        <f>Tabela6[[#This Row],[CUSTO TOTAL]]/Tabela6[[#This Row],[CONSUMO]]</f>
        <v>6.1400000000000006</v>
      </c>
      <c r="M5477" s="53" t="e">
        <f t="array" ref="M5477">SE</f>
        <v>#NAME?</v>
      </c>
      <c r="N5477" s="118" t="e">
        <f>Tabela6[[#This Row],[KM Rodados ]]/Tabela6[[#This Row],[CONSUMO]]</f>
        <v>#NAME?</v>
      </c>
    </row>
    <row r="5478" spans="1:14" x14ac:dyDescent="0.25">
      <c r="A5478" s="117">
        <v>471686</v>
      </c>
      <c r="B5478" s="78">
        <v>45594</v>
      </c>
      <c r="C5478" s="47" t="s">
        <v>446</v>
      </c>
      <c r="D5478" s="49" t="s">
        <v>582</v>
      </c>
      <c r="E5478" s="117">
        <v>55067</v>
      </c>
      <c r="G5478" s="50" t="s">
        <v>89</v>
      </c>
      <c r="H5478" s="51">
        <v>120</v>
      </c>
      <c r="I5478" s="49">
        <v>6</v>
      </c>
      <c r="J5478" s="51">
        <v>6.19</v>
      </c>
      <c r="K5478" s="74">
        <f>Tabela6[[#This Row],[CONSUMO]]*Tabela6[[#This Row],[VALOR UNIT]]-Tabela6[[#This Row],[DESCONTO]]</f>
        <v>736.80000000000007</v>
      </c>
      <c r="L5478" s="53">
        <f>Tabela6[[#This Row],[CUSTO TOTAL]]/Tabela6[[#This Row],[CONSUMO]]</f>
        <v>6.1400000000000006</v>
      </c>
      <c r="M5478" s="53" t="e">
        <f t="array" ref="M5478">SE</f>
        <v>#NAME?</v>
      </c>
      <c r="N5478" s="118" t="e">
        <f>Tabela6[[#This Row],[KM Rodados ]]/Tabela6[[#This Row],[CONSUMO]]</f>
        <v>#NAME?</v>
      </c>
    </row>
    <row r="5479" spans="1:14" x14ac:dyDescent="0.25">
      <c r="A5479" s="47">
        <v>448845</v>
      </c>
      <c r="B5479" s="78">
        <v>45595</v>
      </c>
      <c r="C5479" s="49" t="s">
        <v>222</v>
      </c>
      <c r="D5479" s="49" t="s">
        <v>276</v>
      </c>
      <c r="E5479" s="47">
        <v>633499</v>
      </c>
      <c r="G5479" s="49" t="s">
        <v>241</v>
      </c>
      <c r="H5479" s="51">
        <v>29.19</v>
      </c>
      <c r="J5479" s="51">
        <v>3.69</v>
      </c>
    </row>
    <row r="5480" spans="1:14" x14ac:dyDescent="0.25">
      <c r="A5480" s="117">
        <v>259861</v>
      </c>
      <c r="B5480" s="78">
        <v>45595</v>
      </c>
      <c r="C5480" s="47" t="s">
        <v>72</v>
      </c>
      <c r="D5480" s="49" t="s">
        <v>511</v>
      </c>
      <c r="E5480" s="117">
        <v>481531</v>
      </c>
      <c r="G5480" s="50" t="s">
        <v>89</v>
      </c>
      <c r="H5480" s="51">
        <v>36.369999999999997</v>
      </c>
      <c r="J5480" s="51">
        <v>6.07</v>
      </c>
      <c r="K5480" s="74">
        <f>Tabela6[[#This Row],[CONSUMO]]*Tabela6[[#This Row],[VALOR UNIT]]-Tabela6[[#This Row],[DESCONTO]]</f>
        <v>220.76589999999999</v>
      </c>
      <c r="L5480" s="53">
        <f>Tabela6[[#This Row],[CUSTO TOTAL]]/Tabela6[[#This Row],[CONSUMO]]</f>
        <v>6.07</v>
      </c>
      <c r="M5480" s="53" t="e">
        <f t="array" ref="M5480">SE</f>
        <v>#NAME?</v>
      </c>
      <c r="N5480" s="118" t="e">
        <f>Tabela6[[#This Row],[KM Rodados ]]/Tabela6[[#This Row],[CONSUMO]]</f>
        <v>#NAME?</v>
      </c>
    </row>
    <row r="5481" spans="1:14" x14ac:dyDescent="0.25">
      <c r="A5481" s="117">
        <v>303367</v>
      </c>
      <c r="B5481" s="78">
        <v>45595</v>
      </c>
      <c r="C5481" s="47" t="s">
        <v>17</v>
      </c>
      <c r="D5481" s="49" t="s">
        <v>262</v>
      </c>
      <c r="E5481" s="117">
        <v>442195</v>
      </c>
      <c r="G5481" s="50" t="s">
        <v>241</v>
      </c>
      <c r="H5481" s="51">
        <v>22.253</v>
      </c>
      <c r="I5481" s="49">
        <v>8.01</v>
      </c>
      <c r="J5481" s="51">
        <v>3.69</v>
      </c>
      <c r="K5481" s="74">
        <f>Tabela6[[#This Row],[CONSUMO]]*Tabela6[[#This Row],[VALOR UNIT]]-Tabela6[[#This Row],[DESCONTO]]</f>
        <v>74.103569999999991</v>
      </c>
      <c r="L5481" s="53">
        <f>Tabela6[[#This Row],[CUSTO TOTAL]]/Tabela6[[#This Row],[CONSUMO]]</f>
        <v>3.3300485327820963</v>
      </c>
      <c r="M5481" s="53" t="e">
        <f t="array" ref="M5481">SE</f>
        <v>#NAME?</v>
      </c>
      <c r="N5481" s="118" t="e">
        <f>Tabela6[[#This Row],[KM Rodados ]]/Tabela6[[#This Row],[CONSUMO]]</f>
        <v>#NAME?</v>
      </c>
    </row>
    <row r="5482" spans="1:14" x14ac:dyDescent="0.25">
      <c r="A5482" s="117">
        <v>190695</v>
      </c>
      <c r="B5482" s="78">
        <v>45595</v>
      </c>
      <c r="C5482" s="47" t="s">
        <v>354</v>
      </c>
      <c r="D5482" s="49" t="s">
        <v>465</v>
      </c>
      <c r="E5482" s="117">
        <v>69921</v>
      </c>
      <c r="G5482" s="50" t="s">
        <v>241</v>
      </c>
      <c r="H5482" s="51">
        <v>20</v>
      </c>
      <c r="J5482" s="51">
        <v>2.99</v>
      </c>
      <c r="K5482" s="74">
        <f>Tabela6[[#This Row],[CONSUMO]]*Tabela6[[#This Row],[VALOR UNIT]]-Tabela6[[#This Row],[DESCONTO]]</f>
        <v>59.800000000000004</v>
      </c>
      <c r="L5482" s="53">
        <f>Tabela6[[#This Row],[CUSTO TOTAL]]/Tabela6[[#This Row],[CONSUMO]]</f>
        <v>2.99</v>
      </c>
      <c r="M5482" s="53" t="e">
        <f t="array" ref="M5482">SE</f>
        <v>#NAME?</v>
      </c>
      <c r="N5482" s="118" t="e">
        <f>Tabela6[[#This Row],[KM Rodados ]]/Tabela6[[#This Row],[CONSUMO]]</f>
        <v>#NAME?</v>
      </c>
    </row>
    <row r="5483" spans="1:14" x14ac:dyDescent="0.25">
      <c r="A5483" s="117">
        <v>190694</v>
      </c>
      <c r="B5483" s="78">
        <v>45595</v>
      </c>
      <c r="C5483" s="47" t="s">
        <v>354</v>
      </c>
      <c r="D5483" s="49" t="s">
        <v>465</v>
      </c>
      <c r="E5483" s="117">
        <v>69921</v>
      </c>
      <c r="G5483" s="50" t="s">
        <v>89</v>
      </c>
      <c r="H5483" s="51">
        <v>100.003</v>
      </c>
      <c r="J5483" s="51">
        <v>5.74</v>
      </c>
      <c r="K5483" s="74">
        <f>Tabela6[[#This Row],[CONSUMO]]*Tabela6[[#This Row],[VALOR UNIT]]-Tabela6[[#This Row],[DESCONTO]]</f>
        <v>574.01722000000007</v>
      </c>
      <c r="L5483" s="53">
        <f>Tabela6[[#This Row],[CUSTO TOTAL]]/Tabela6[[#This Row],[CONSUMO]]</f>
        <v>5.74</v>
      </c>
      <c r="M5483" s="53" t="e">
        <f t="array" ref="M5483">SE</f>
        <v>#NAME?</v>
      </c>
      <c r="N5483" s="118" t="e">
        <f>Tabela6[[#This Row],[KM Rodados ]]/Tabela6[[#This Row],[CONSUMO]]</f>
        <v>#NAME?</v>
      </c>
    </row>
    <row r="5484" spans="1:14" x14ac:dyDescent="0.25">
      <c r="A5484" s="117">
        <v>364224</v>
      </c>
      <c r="B5484" s="78">
        <v>45596</v>
      </c>
      <c r="C5484" s="47" t="s">
        <v>11</v>
      </c>
      <c r="D5484" s="49" t="s">
        <v>253</v>
      </c>
      <c r="E5484" s="117">
        <v>424928</v>
      </c>
      <c r="G5484" s="50" t="s">
        <v>89</v>
      </c>
      <c r="H5484" s="51">
        <v>118.95</v>
      </c>
      <c r="J5484" s="51">
        <v>6.09</v>
      </c>
      <c r="K5484" s="74">
        <f>Tabela6[[#This Row],[CONSUMO]]*Tabela6[[#This Row],[VALOR UNIT]]-Tabela6[[#This Row],[DESCONTO]]</f>
        <v>724.40549999999996</v>
      </c>
      <c r="L5484" s="53">
        <f>Tabela6[[#This Row],[CUSTO TOTAL]]/Tabela6[[#This Row],[CONSUMO]]</f>
        <v>6.09</v>
      </c>
      <c r="M5484" s="53" t="e">
        <f t="array" ref="M5484">SE</f>
        <v>#NAME?</v>
      </c>
      <c r="N5484" s="118" t="e">
        <f>Tabela6[[#This Row],[KM Rodados ]]/Tabela6[[#This Row],[CONSUMO]]</f>
        <v>#NAME?</v>
      </c>
    </row>
    <row r="5485" spans="1:14" x14ac:dyDescent="0.25">
      <c r="A5485" s="117">
        <v>548051</v>
      </c>
      <c r="B5485" s="78">
        <v>45596</v>
      </c>
      <c r="C5485" s="47" t="s">
        <v>301</v>
      </c>
      <c r="D5485" s="49" t="s">
        <v>237</v>
      </c>
      <c r="E5485" s="117">
        <v>1178443</v>
      </c>
      <c r="G5485" s="50" t="s">
        <v>89</v>
      </c>
      <c r="H5485" s="51">
        <v>321.68200000000002</v>
      </c>
      <c r="J5485" s="51">
        <v>5.74</v>
      </c>
      <c r="K5485" s="74">
        <f>Tabela6[[#This Row],[CONSUMO]]*Tabela6[[#This Row],[VALOR UNIT]]-Tabela6[[#This Row],[DESCONTO]]</f>
        <v>1846.4546800000001</v>
      </c>
      <c r="L5485" s="53">
        <f>Tabela6[[#This Row],[CUSTO TOTAL]]/Tabela6[[#This Row],[CONSUMO]]</f>
        <v>5.74</v>
      </c>
      <c r="M5485" s="53" t="e">
        <f t="array" ref="M5485">SE</f>
        <v>#NAME?</v>
      </c>
      <c r="N5485" s="118" t="e">
        <f>Tabela6[[#This Row],[KM Rodados ]]/Tabela6[[#This Row],[CONSUMO]]</f>
        <v>#NAME?</v>
      </c>
    </row>
    <row r="5486" spans="1:14" x14ac:dyDescent="0.25">
      <c r="A5486" s="117">
        <v>58525</v>
      </c>
      <c r="B5486" s="78">
        <v>45596</v>
      </c>
      <c r="C5486" s="47" t="s">
        <v>16</v>
      </c>
      <c r="D5486" s="49" t="s">
        <v>255</v>
      </c>
      <c r="E5486" s="117">
        <v>330477</v>
      </c>
      <c r="G5486" s="50" t="s">
        <v>89</v>
      </c>
      <c r="H5486" s="51">
        <v>113.64100000000001</v>
      </c>
      <c r="J5486" s="51">
        <v>6.37</v>
      </c>
      <c r="K5486" s="74">
        <f>Tabela6[[#This Row],[CONSUMO]]*Tabela6[[#This Row],[VALOR UNIT]]-Tabela6[[#This Row],[DESCONTO]]</f>
        <v>723.89317000000005</v>
      </c>
      <c r="L5486" s="53">
        <f>Tabela6[[#This Row],[CUSTO TOTAL]]/Tabela6[[#This Row],[CONSUMO]]</f>
        <v>6.37</v>
      </c>
      <c r="M5486" s="53" t="e">
        <f t="array" ref="M5486">SE</f>
        <v>#NAME?</v>
      </c>
      <c r="N5486" s="118" t="e">
        <f>Tabela6[[#This Row],[KM Rodados ]]/Tabela6[[#This Row],[CONSUMO]]</f>
        <v>#NAME?</v>
      </c>
    </row>
    <row r="5487" spans="1:14" x14ac:dyDescent="0.25">
      <c r="A5487" s="47">
        <v>4227</v>
      </c>
      <c r="B5487" s="78">
        <v>45597</v>
      </c>
      <c r="C5487" s="47" t="s">
        <v>72</v>
      </c>
      <c r="E5487" s="47">
        <v>482369</v>
      </c>
      <c r="G5487" s="50" t="s">
        <v>89</v>
      </c>
      <c r="H5487" s="51">
        <v>32.43</v>
      </c>
      <c r="J5487" s="51">
        <v>6.69</v>
      </c>
      <c r="K5487" s="74">
        <f>Tabela6[[#This Row],[CONSUMO]]*Tabela6[[#This Row],[VALOR UNIT]]-Tabela6[[#This Row],[DESCONTO]]</f>
        <v>216.95670000000001</v>
      </c>
      <c r="L5487" s="53">
        <f>Tabela6[[#This Row],[CUSTO TOTAL]]/Tabela6[[#This Row],[CONSUMO]]</f>
        <v>6.69</v>
      </c>
      <c r="M5487" s="53" t="e">
        <f t="array" ref="M5487">SE</f>
        <v>#NAME?</v>
      </c>
      <c r="N5487" s="49" t="e">
        <f>Tabela6[[#This Row],[KM Rodados ]]/Tabela6[[#This Row],[CONSUMO]]</f>
        <v>#NAME?</v>
      </c>
    </row>
    <row r="5488" spans="1:14" x14ac:dyDescent="0.25">
      <c r="A5488" s="47">
        <v>697320</v>
      </c>
      <c r="B5488" s="78">
        <v>45597</v>
      </c>
      <c r="C5488" s="47" t="s">
        <v>401</v>
      </c>
      <c r="D5488" s="49" t="s">
        <v>357</v>
      </c>
      <c r="E5488" s="47">
        <v>66774</v>
      </c>
      <c r="G5488" s="50" t="s">
        <v>241</v>
      </c>
      <c r="H5488" s="51">
        <v>22</v>
      </c>
      <c r="J5488" s="51">
        <v>2.93</v>
      </c>
      <c r="K5488" s="74">
        <f>Tabela6[[#This Row],[CONSUMO]]*Tabela6[[#This Row],[VALOR UNIT]]-Tabela6[[#This Row],[DESCONTO]]</f>
        <v>64.460000000000008</v>
      </c>
      <c r="L5488" s="53">
        <f>Tabela6[[#This Row],[CUSTO TOTAL]]/Tabela6[[#This Row],[CONSUMO]]</f>
        <v>2.93</v>
      </c>
      <c r="M5488" s="53" t="e">
        <f t="array" ref="M5488">SE</f>
        <v>#NAME?</v>
      </c>
      <c r="N5488" s="49" t="e">
        <f>Tabela6[[#This Row],[KM Rodados ]]/Tabela6[[#This Row],[CONSUMO]]</f>
        <v>#NAME?</v>
      </c>
    </row>
    <row r="5489" spans="1:14" x14ac:dyDescent="0.25">
      <c r="A5489" s="47">
        <v>697320</v>
      </c>
      <c r="B5489" s="78">
        <v>45597</v>
      </c>
      <c r="C5489" s="47" t="s">
        <v>401</v>
      </c>
      <c r="D5489" s="49" t="s">
        <v>357</v>
      </c>
      <c r="E5489" s="47">
        <v>66774</v>
      </c>
      <c r="G5489" s="50" t="s">
        <v>89</v>
      </c>
      <c r="H5489" s="51">
        <v>84.334000000000003</v>
      </c>
      <c r="J5489" s="51">
        <v>5.93</v>
      </c>
      <c r="K5489" s="74">
        <f>Tabela6[[#This Row],[CONSUMO]]*Tabela6[[#This Row],[VALOR UNIT]]-Tabela6[[#This Row],[DESCONTO]]</f>
        <v>500.10061999999999</v>
      </c>
      <c r="L5489" s="53">
        <f>Tabela6[[#This Row],[CUSTO TOTAL]]/Tabela6[[#This Row],[CONSUMO]]</f>
        <v>5.93</v>
      </c>
      <c r="M5489" s="53" t="e">
        <f t="array" ref="M5489">SE</f>
        <v>#NAME?</v>
      </c>
      <c r="N5489" s="49" t="e">
        <f>Tabela6[[#This Row],[KM Rodados ]]/Tabela6[[#This Row],[CONSUMO]]</f>
        <v>#NAME?</v>
      </c>
    </row>
    <row r="5490" spans="1:14" x14ac:dyDescent="0.25">
      <c r="A5490" s="47">
        <v>304315</v>
      </c>
      <c r="B5490" s="78">
        <v>45599</v>
      </c>
      <c r="C5490" s="47" t="s">
        <v>354</v>
      </c>
      <c r="D5490" s="49" t="s">
        <v>262</v>
      </c>
      <c r="E5490" s="47">
        <v>60906</v>
      </c>
      <c r="G5490" s="50" t="s">
        <v>241</v>
      </c>
      <c r="H5490" s="51">
        <v>16.356999999999999</v>
      </c>
      <c r="I5490" s="49">
        <v>5.89</v>
      </c>
      <c r="J5490" s="51">
        <v>3.69</v>
      </c>
      <c r="K5490" s="74">
        <f>Tabela6[[#This Row],[CONSUMO]]*Tabela6[[#This Row],[VALOR UNIT]]-Tabela6[[#This Row],[DESCONTO]]</f>
        <v>54.467329999999997</v>
      </c>
      <c r="L5490" s="53">
        <f>Tabela6[[#This Row],[CUSTO TOTAL]]/Tabela6[[#This Row],[CONSUMO]]</f>
        <v>3.3299095188604269</v>
      </c>
      <c r="M5490" s="53" t="e">
        <f t="array" ref="M5490">SE</f>
        <v>#NAME?</v>
      </c>
      <c r="N5490" s="49" t="e">
        <f>Tabela6[[#This Row],[KM Rodados ]]/Tabela6[[#This Row],[CONSUMO]]</f>
        <v>#NAME?</v>
      </c>
    </row>
    <row r="5491" spans="1:14" x14ac:dyDescent="0.25">
      <c r="A5491" s="47">
        <v>366947</v>
      </c>
      <c r="B5491" s="78">
        <v>45600</v>
      </c>
      <c r="C5491" s="47" t="s">
        <v>39</v>
      </c>
      <c r="D5491" s="49" t="s">
        <v>253</v>
      </c>
      <c r="E5491" s="47">
        <v>136018</v>
      </c>
      <c r="G5491" s="50" t="s">
        <v>89</v>
      </c>
      <c r="H5491" s="51">
        <v>73.040000000000006</v>
      </c>
      <c r="J5491" s="51">
        <v>6.09</v>
      </c>
      <c r="K5491" s="74">
        <f>Tabela6[[#This Row],[CONSUMO]]*Tabela6[[#This Row],[VALOR UNIT]]-Tabela6[[#This Row],[DESCONTO]]</f>
        <v>444.81360000000001</v>
      </c>
      <c r="L5491" s="53">
        <f>Tabela6[[#This Row],[CUSTO TOTAL]]/Tabela6[[#This Row],[CONSUMO]]</f>
        <v>6.09</v>
      </c>
      <c r="M5491" s="53" t="e">
        <f t="array" ref="M5491">SE</f>
        <v>#NAME?</v>
      </c>
      <c r="N5491" s="49" t="e">
        <f>Tabela6[[#This Row],[KM Rodados ]]/Tabela6[[#This Row],[CONSUMO]]</f>
        <v>#NAME?</v>
      </c>
    </row>
    <row r="5492" spans="1:14" x14ac:dyDescent="0.25">
      <c r="A5492" s="47">
        <v>366947</v>
      </c>
      <c r="B5492" s="78">
        <v>45600</v>
      </c>
      <c r="C5492" s="47" t="s">
        <v>39</v>
      </c>
      <c r="D5492" s="49" t="s">
        <v>253</v>
      </c>
      <c r="E5492" s="47">
        <v>136018</v>
      </c>
      <c r="G5492" s="50" t="s">
        <v>241</v>
      </c>
      <c r="H5492" s="51">
        <v>18.445</v>
      </c>
      <c r="J5492" s="51">
        <v>3.49</v>
      </c>
      <c r="K5492" s="74">
        <f>Tabela6[[#This Row],[CONSUMO]]*Tabela6[[#This Row],[VALOR UNIT]]-Tabela6[[#This Row],[DESCONTO]]</f>
        <v>64.373050000000006</v>
      </c>
      <c r="L5492" s="53">
        <f>Tabela6[[#This Row],[CUSTO TOTAL]]/Tabela6[[#This Row],[CONSUMO]]</f>
        <v>3.49</v>
      </c>
      <c r="M5492" s="53" t="e">
        <f t="array" ref="M5492">SE</f>
        <v>#NAME?</v>
      </c>
      <c r="N5492" s="49" t="e">
        <f>Tabela6[[#This Row],[KM Rodados ]]/Tabela6[[#This Row],[CONSUMO]]</f>
        <v>#NAME?</v>
      </c>
    </row>
    <row r="5493" spans="1:14" x14ac:dyDescent="0.25">
      <c r="A5493" s="47">
        <v>59468</v>
      </c>
      <c r="B5493" s="78">
        <v>45600</v>
      </c>
      <c r="C5493" s="47" t="s">
        <v>14</v>
      </c>
      <c r="D5493" s="49" t="s">
        <v>255</v>
      </c>
      <c r="E5493" s="47">
        <v>148105</v>
      </c>
      <c r="G5493" s="50" t="s">
        <v>244</v>
      </c>
      <c r="H5493" s="51">
        <v>50.131</v>
      </c>
      <c r="J5493" s="51">
        <v>5.99</v>
      </c>
      <c r="K5493" s="74">
        <f>Tabela6[[#This Row],[CONSUMO]]*Tabela6[[#This Row],[VALOR UNIT]]-Tabela6[[#This Row],[DESCONTO]]</f>
        <v>300.28469000000001</v>
      </c>
      <c r="L5493" s="53">
        <f>Tabela6[[#This Row],[CUSTO TOTAL]]/Tabela6[[#This Row],[CONSUMO]]</f>
        <v>5.99</v>
      </c>
      <c r="M5493" s="53" t="e">
        <f t="array" ref="M5493">SE</f>
        <v>#NAME?</v>
      </c>
      <c r="N5493" s="49" t="e">
        <f>Tabela6[[#This Row],[KM Rodados ]]/Tabela6[[#This Row],[CONSUMO]]</f>
        <v>#NAME?</v>
      </c>
    </row>
    <row r="5494" spans="1:14" x14ac:dyDescent="0.25">
      <c r="A5494" s="47">
        <v>304647</v>
      </c>
      <c r="B5494" s="78">
        <v>45600</v>
      </c>
      <c r="C5494" s="47" t="s">
        <v>74</v>
      </c>
      <c r="D5494" s="49" t="s">
        <v>262</v>
      </c>
      <c r="E5494" s="47">
        <v>59427</v>
      </c>
      <c r="G5494" s="50" t="s">
        <v>241</v>
      </c>
      <c r="H5494" s="51">
        <v>10.31</v>
      </c>
      <c r="I5494" s="49">
        <v>3.71</v>
      </c>
      <c r="J5494" s="51">
        <v>3.69</v>
      </c>
      <c r="K5494" s="74">
        <f>Tabela6[[#This Row],[CONSUMO]]*Tabela6[[#This Row],[VALOR UNIT]]-Tabela6[[#This Row],[DESCONTO]]</f>
        <v>34.3339</v>
      </c>
      <c r="L5494" s="53">
        <f>Tabela6[[#This Row],[CUSTO TOTAL]]/Tabela6[[#This Row],[CONSUMO]]</f>
        <v>3.3301551891367605</v>
      </c>
      <c r="M5494" s="53" t="e">
        <f t="array" ref="M5494">SE</f>
        <v>#NAME?</v>
      </c>
      <c r="N5494" s="49" t="e">
        <f>Tabela6[[#This Row],[KM Rodados ]]/Tabela6[[#This Row],[CONSUMO]]</f>
        <v>#NAME?</v>
      </c>
    </row>
    <row r="5495" spans="1:14" x14ac:dyDescent="0.25">
      <c r="A5495" s="47">
        <v>366946</v>
      </c>
      <c r="B5495" s="78">
        <v>45600</v>
      </c>
      <c r="C5495" s="47" t="s">
        <v>315</v>
      </c>
      <c r="D5495" s="49" t="s">
        <v>253</v>
      </c>
      <c r="E5495" s="47">
        <v>51596</v>
      </c>
      <c r="G5495" s="50" t="s">
        <v>89</v>
      </c>
      <c r="H5495" s="51">
        <v>33.380000000000003</v>
      </c>
      <c r="J5495" s="51">
        <v>6.09</v>
      </c>
      <c r="K5495" s="74">
        <f>Tabela6[[#This Row],[CONSUMO]]*Tabela6[[#This Row],[VALOR UNIT]]-Tabela6[[#This Row],[DESCONTO]]</f>
        <v>203.2842</v>
      </c>
      <c r="L5495" s="53">
        <f>Tabela6[[#This Row],[CUSTO TOTAL]]/Tabela6[[#This Row],[CONSUMO]]</f>
        <v>6.09</v>
      </c>
      <c r="M5495" s="53" t="e">
        <f t="array" ref="M5495">SE</f>
        <v>#NAME?</v>
      </c>
      <c r="N5495" s="49" t="e">
        <f>Tabela6[[#This Row],[KM Rodados ]]/Tabela6[[#This Row],[CONSUMO]]</f>
        <v>#NAME?</v>
      </c>
    </row>
    <row r="5496" spans="1:14" x14ac:dyDescent="0.25">
      <c r="A5496" s="47">
        <v>304490</v>
      </c>
      <c r="B5496" s="78">
        <v>45600</v>
      </c>
      <c r="C5496" s="47" t="s">
        <v>426</v>
      </c>
      <c r="D5496" s="49" t="s">
        <v>262</v>
      </c>
      <c r="E5496" s="117">
        <v>64905</v>
      </c>
      <c r="G5496" s="50" t="s">
        <v>89</v>
      </c>
      <c r="H5496" s="51">
        <v>76.381</v>
      </c>
      <c r="J5496" s="51">
        <v>5.99</v>
      </c>
      <c r="K5496" s="74">
        <f>Tabela6[[#This Row],[CONSUMO]]*Tabela6[[#This Row],[VALOR UNIT]]-Tabela6[[#This Row],[DESCONTO]]</f>
        <v>457.52219000000002</v>
      </c>
      <c r="L5496" s="53">
        <f>Tabela6[[#This Row],[CUSTO TOTAL]]/Tabela6[[#This Row],[CONSUMO]]</f>
        <v>5.99</v>
      </c>
      <c r="M5496" s="53" t="e">
        <f t="array" ref="M5496">SE</f>
        <v>#NAME?</v>
      </c>
      <c r="N5496" s="49" t="e">
        <f>Tabela6[[#This Row],[KM Rodados ]]/Tabela6[[#This Row],[CONSUMO]]</f>
        <v>#NAME?</v>
      </c>
    </row>
    <row r="5497" spans="1:14" x14ac:dyDescent="0.25">
      <c r="A5497" s="47">
        <v>368063</v>
      </c>
      <c r="B5497" s="78">
        <v>45601</v>
      </c>
      <c r="C5497" s="47" t="s">
        <v>11</v>
      </c>
      <c r="D5497" s="49" t="s">
        <v>253</v>
      </c>
      <c r="E5497" s="47">
        <v>336295</v>
      </c>
      <c r="G5497" s="50" t="s">
        <v>89</v>
      </c>
      <c r="H5497" s="51">
        <v>71.67</v>
      </c>
      <c r="J5497" s="51">
        <v>6.09</v>
      </c>
      <c r="K5497" s="74">
        <f>Tabela6[[#This Row],[CONSUMO]]*Tabela6[[#This Row],[VALOR UNIT]]-Tabela6[[#This Row],[DESCONTO]]</f>
        <v>436.47030000000001</v>
      </c>
      <c r="L5497" s="53">
        <f>Tabela6[[#This Row],[CUSTO TOTAL]]/Tabela6[[#This Row],[CONSUMO]]</f>
        <v>6.09</v>
      </c>
      <c r="M5497" s="53" t="e">
        <f t="array" ref="M5497">SE</f>
        <v>#NAME?</v>
      </c>
      <c r="N5497" s="49" t="e">
        <f>Tabela6[[#This Row],[KM Rodados ]]/Tabela6[[#This Row],[CONSUMO]]</f>
        <v>#NAME?</v>
      </c>
    </row>
    <row r="5498" spans="1:14" x14ac:dyDescent="0.25">
      <c r="A5498" s="47">
        <v>218576</v>
      </c>
      <c r="B5498" s="78">
        <v>45602</v>
      </c>
      <c r="C5498" s="47" t="s">
        <v>301</v>
      </c>
      <c r="D5498" s="49" t="s">
        <v>577</v>
      </c>
      <c r="E5498" s="47">
        <v>118018</v>
      </c>
      <c r="G5498" s="50" t="s">
        <v>89</v>
      </c>
      <c r="H5498" s="51">
        <v>432.91</v>
      </c>
      <c r="J5498" s="51">
        <v>5.99</v>
      </c>
      <c r="K5498" s="74">
        <f>Tabela6[[#This Row],[CONSUMO]]*Tabela6[[#This Row],[VALOR UNIT]]-Tabela6[[#This Row],[DESCONTO]]</f>
        <v>2593.1309000000001</v>
      </c>
      <c r="L5498" s="53">
        <f>Tabela6[[#This Row],[CUSTO TOTAL]]/Tabela6[[#This Row],[CONSUMO]]</f>
        <v>5.99</v>
      </c>
      <c r="M5498" s="53" t="e">
        <f t="array" ref="M5498">SE</f>
        <v>#NAME?</v>
      </c>
      <c r="N5498" s="49" t="e">
        <f>Tabela6[[#This Row],[KM Rodados ]]/Tabela6[[#This Row],[CONSUMO]]</f>
        <v>#NAME?</v>
      </c>
    </row>
    <row r="5499" spans="1:14" x14ac:dyDescent="0.25">
      <c r="A5499" s="47">
        <v>124744</v>
      </c>
      <c r="B5499" s="78">
        <v>45602</v>
      </c>
      <c r="C5499" s="47" t="s">
        <v>301</v>
      </c>
      <c r="D5499" s="49" t="s">
        <v>348</v>
      </c>
      <c r="E5499" s="47">
        <v>118063</v>
      </c>
      <c r="G5499" s="50" t="s">
        <v>89</v>
      </c>
      <c r="H5499" s="51">
        <v>197.79</v>
      </c>
      <c r="J5499" s="51">
        <v>5.89</v>
      </c>
      <c r="K5499" s="74">
        <f>Tabela6[[#This Row],[CONSUMO]]*Tabela6[[#This Row],[VALOR UNIT]]-Tabela6[[#This Row],[DESCONTO]]</f>
        <v>1164.9830999999999</v>
      </c>
      <c r="L5499" s="53">
        <f>Tabela6[[#This Row],[CUSTO TOTAL]]/Tabela6[[#This Row],[CONSUMO]]</f>
        <v>5.89</v>
      </c>
      <c r="M5499" s="53" t="e">
        <f t="array" ref="M5499">SE</f>
        <v>#NAME?</v>
      </c>
      <c r="N5499" s="49" t="e">
        <f>Tabela6[[#This Row],[KM Rodados ]]/Tabela6[[#This Row],[CONSUMO]]</f>
        <v>#NAME?</v>
      </c>
    </row>
    <row r="5500" spans="1:14" x14ac:dyDescent="0.25">
      <c r="A5500" s="47">
        <v>528263</v>
      </c>
      <c r="B5500" s="78">
        <v>45602</v>
      </c>
      <c r="C5500" s="47" t="s">
        <v>206</v>
      </c>
      <c r="D5500" s="49" t="s">
        <v>252</v>
      </c>
      <c r="E5500" s="47">
        <v>1048498</v>
      </c>
      <c r="G5500" s="50" t="s">
        <v>241</v>
      </c>
      <c r="H5500" s="51">
        <v>25.37</v>
      </c>
      <c r="J5500" s="51">
        <v>2.85</v>
      </c>
      <c r="K5500" s="74">
        <f>Tabela6[[#This Row],[CONSUMO]]*Tabela6[[#This Row],[VALOR UNIT]]-Tabela6[[#This Row],[DESCONTO]]</f>
        <v>72.304500000000004</v>
      </c>
      <c r="L5500" s="53">
        <f>Tabela6[[#This Row],[CUSTO TOTAL]]/Tabela6[[#This Row],[CONSUMO]]</f>
        <v>2.85</v>
      </c>
      <c r="M5500" s="53" t="e">
        <f t="array" ref="M5500">SE</f>
        <v>#NAME?</v>
      </c>
      <c r="N5500" s="49" t="e">
        <f>Tabela6[[#This Row],[KM Rodados ]]/Tabela6[[#This Row],[CONSUMO]]</f>
        <v>#NAME?</v>
      </c>
    </row>
    <row r="5501" spans="1:14" x14ac:dyDescent="0.25">
      <c r="A5501" s="47">
        <v>528261</v>
      </c>
      <c r="B5501" s="78">
        <v>45602</v>
      </c>
      <c r="C5501" s="47" t="s">
        <v>206</v>
      </c>
      <c r="D5501" s="49" t="s">
        <v>252</v>
      </c>
      <c r="E5501" s="47">
        <v>1048408</v>
      </c>
      <c r="G5501" s="50" t="s">
        <v>89</v>
      </c>
      <c r="H5501" s="51">
        <v>374.10500000000002</v>
      </c>
      <c r="J5501" s="51">
        <v>5.9</v>
      </c>
      <c r="K5501" s="74">
        <f>Tabela6[[#This Row],[CONSUMO]]*Tabela6[[#This Row],[VALOR UNIT]]-Tabela6[[#This Row],[DESCONTO]]</f>
        <v>2207.2195000000002</v>
      </c>
      <c r="L5501" s="53">
        <f>Tabela6[[#This Row],[CUSTO TOTAL]]/Tabela6[[#This Row],[CONSUMO]]</f>
        <v>5.9</v>
      </c>
      <c r="M5501" s="53" t="e">
        <f t="array" ref="M5501">SE</f>
        <v>#NAME?</v>
      </c>
      <c r="N5501" s="49" t="e">
        <f>Tabela6[[#This Row],[KM Rodados ]]/Tabela6[[#This Row],[CONSUMO]]</f>
        <v>#NAME?</v>
      </c>
    </row>
    <row r="5502" spans="1:14" x14ac:dyDescent="0.25">
      <c r="A5502" s="47">
        <v>368890</v>
      </c>
      <c r="B5502" s="78">
        <v>45602</v>
      </c>
      <c r="C5502" s="47" t="s">
        <v>12</v>
      </c>
      <c r="D5502" s="49" t="s">
        <v>253</v>
      </c>
      <c r="E5502" s="47">
        <v>350211</v>
      </c>
      <c r="G5502" s="50" t="s">
        <v>89</v>
      </c>
      <c r="H5502" s="51">
        <v>104.71</v>
      </c>
      <c r="J5502" s="51">
        <v>6.09</v>
      </c>
      <c r="K5502" s="74">
        <f>Tabela6[[#This Row],[CONSUMO]]*Tabela6[[#This Row],[VALOR UNIT]]-Tabela6[[#This Row],[DESCONTO]]</f>
        <v>637.68389999999999</v>
      </c>
      <c r="L5502" s="53">
        <f>Tabela6[[#This Row],[CUSTO TOTAL]]/Tabela6[[#This Row],[CONSUMO]]</f>
        <v>6.0900000000000007</v>
      </c>
      <c r="M5502" s="53" t="e">
        <f t="array" ref="M5502">SE</f>
        <v>#NAME?</v>
      </c>
      <c r="N5502" s="49" t="e">
        <f>Tabela6[[#This Row],[KM Rodados ]]/Tabela6[[#This Row],[CONSUMO]]</f>
        <v>#NAME?</v>
      </c>
    </row>
    <row r="5503" spans="1:14" x14ac:dyDescent="0.25">
      <c r="A5503" s="47">
        <v>305087</v>
      </c>
      <c r="B5503" s="78">
        <v>45602</v>
      </c>
      <c r="C5503" s="47" t="s">
        <v>15</v>
      </c>
      <c r="D5503" s="49" t="s">
        <v>262</v>
      </c>
      <c r="G5503" s="50" t="s">
        <v>241</v>
      </c>
      <c r="H5503" s="51">
        <v>23.584</v>
      </c>
      <c r="I5503" s="49">
        <v>8.49</v>
      </c>
      <c r="J5503" s="51">
        <v>3.69</v>
      </c>
      <c r="K5503" s="74">
        <f>Tabela6[[#This Row],[CONSUMO]]*Tabela6[[#This Row],[VALOR UNIT]]-Tabela6[[#This Row],[DESCONTO]]</f>
        <v>78.534959999999998</v>
      </c>
      <c r="L5503" s="53">
        <f>Tabela6[[#This Row],[CUSTO TOTAL]]/Tabela6[[#This Row],[CONSUMO]]</f>
        <v>3.3300101763907732</v>
      </c>
      <c r="M5503" s="53" t="e">
        <f t="array" ref="M5503">SE</f>
        <v>#NAME?</v>
      </c>
      <c r="N5503" s="49" t="e">
        <f>Tabela6[[#This Row],[KM Rodados ]]/Tabela6[[#This Row],[CONSUMO]]</f>
        <v>#NAME?</v>
      </c>
    </row>
    <row r="5504" spans="1:14" x14ac:dyDescent="0.25">
      <c r="A5504" s="47">
        <v>305145</v>
      </c>
      <c r="B5504" s="78">
        <v>45603</v>
      </c>
      <c r="C5504" s="47" t="s">
        <v>43</v>
      </c>
      <c r="D5504" s="49" t="s">
        <v>262</v>
      </c>
      <c r="E5504" s="47">
        <v>214699</v>
      </c>
      <c r="G5504" s="50" t="s">
        <v>89</v>
      </c>
      <c r="H5504" s="51">
        <v>24.629000000000001</v>
      </c>
      <c r="J5504" s="51">
        <v>5.99</v>
      </c>
      <c r="K5504" s="74">
        <f>Tabela6[[#This Row],[CONSUMO]]*Tabela6[[#This Row],[VALOR UNIT]]-Tabela6[[#This Row],[DESCONTO]]</f>
        <v>147.52771000000001</v>
      </c>
      <c r="L5504" s="53">
        <f>Tabela6[[#This Row],[CUSTO TOTAL]]/Tabela6[[#This Row],[CONSUMO]]</f>
        <v>5.99</v>
      </c>
      <c r="M5504" s="53" t="e">
        <f t="array" ref="M5504">SE</f>
        <v>#NAME?</v>
      </c>
      <c r="N5504" s="49" t="e">
        <f>Tabela6[[#This Row],[KM Rodados ]]/Tabela6[[#This Row],[CONSUMO]]</f>
        <v>#NAME?</v>
      </c>
    </row>
    <row r="5505" spans="1:14" x14ac:dyDescent="0.25">
      <c r="A5505" s="47">
        <v>451020</v>
      </c>
      <c r="B5505" s="78">
        <v>45603</v>
      </c>
      <c r="C5505" s="47" t="s">
        <v>215</v>
      </c>
      <c r="D5505" s="49" t="s">
        <v>262</v>
      </c>
      <c r="E5505" s="47">
        <v>245381</v>
      </c>
      <c r="G5505" s="50" t="s">
        <v>244</v>
      </c>
      <c r="H5505" s="51">
        <v>38.450000000000003</v>
      </c>
      <c r="J5505" s="51">
        <v>6.09</v>
      </c>
      <c r="K5505" s="74">
        <f>Tabela6[[#This Row],[CONSUMO]]*Tabela6[[#This Row],[VALOR UNIT]]-Tabela6[[#This Row],[DESCONTO]]</f>
        <v>234.16050000000001</v>
      </c>
      <c r="L5505" s="53">
        <f>Tabela6[[#This Row],[CUSTO TOTAL]]/Tabela6[[#This Row],[CONSUMO]]</f>
        <v>6.09</v>
      </c>
      <c r="M5505" s="53" t="e">
        <f t="array" ref="M5505">SE</f>
        <v>#NAME?</v>
      </c>
      <c r="N5505" s="49" t="e">
        <f>Tabela6[[#This Row],[KM Rodados ]]/Tabela6[[#This Row],[CONSUMO]]</f>
        <v>#NAME?</v>
      </c>
    </row>
    <row r="5506" spans="1:14" x14ac:dyDescent="0.25">
      <c r="A5506" s="47">
        <v>305151</v>
      </c>
      <c r="B5506" s="78">
        <v>45603</v>
      </c>
      <c r="C5506" s="47" t="s">
        <v>70</v>
      </c>
      <c r="D5506" s="49" t="s">
        <v>262</v>
      </c>
      <c r="E5506" s="47">
        <v>324662</v>
      </c>
      <c r="G5506" s="50" t="s">
        <v>241</v>
      </c>
      <c r="H5506" s="51">
        <v>71.438000000000002</v>
      </c>
      <c r="I5506" s="49">
        <v>25.72</v>
      </c>
      <c r="J5506" s="51">
        <v>3.69</v>
      </c>
      <c r="K5506" s="74">
        <f>Tabela6[[#This Row],[CONSUMO]]*Tabela6[[#This Row],[VALOR UNIT]]-Tabela6[[#This Row],[DESCONTO]]</f>
        <v>237.88622000000001</v>
      </c>
      <c r="L5506" s="53">
        <f>Tabela6[[#This Row],[CUSTO TOTAL]]/Tabela6[[#This Row],[CONSUMO]]</f>
        <v>3.3299675242867943</v>
      </c>
      <c r="M5506" s="53" t="e">
        <f t="array" ref="M5506">SE</f>
        <v>#NAME?</v>
      </c>
      <c r="N5506" s="49" t="e">
        <f>Tabela6[[#This Row],[KM Rodados ]]/Tabela6[[#This Row],[CONSUMO]]</f>
        <v>#NAME?</v>
      </c>
    </row>
    <row r="5507" spans="1:14" x14ac:dyDescent="0.25">
      <c r="A5507" s="47">
        <v>451408</v>
      </c>
      <c r="B5507" s="78">
        <v>45603</v>
      </c>
      <c r="C5507" s="47" t="s">
        <v>203</v>
      </c>
      <c r="D5507" s="49" t="s">
        <v>276</v>
      </c>
      <c r="E5507" s="47">
        <v>185173</v>
      </c>
      <c r="G5507" s="50" t="s">
        <v>244</v>
      </c>
      <c r="H5507" s="51">
        <v>42.08</v>
      </c>
      <c r="J5507" s="51">
        <v>6.09</v>
      </c>
      <c r="K5507" s="74">
        <f>Tabela6[[#This Row],[CONSUMO]]*Tabela6[[#This Row],[VALOR UNIT]]-Tabela6[[#This Row],[DESCONTO]]</f>
        <v>256.2672</v>
      </c>
      <c r="L5507" s="53">
        <f>Tabela6[[#This Row],[CUSTO TOTAL]]/Tabela6[[#This Row],[CONSUMO]]</f>
        <v>6.0900000000000007</v>
      </c>
      <c r="M5507" s="53" t="e">
        <f t="array" ref="M5507">SE</f>
        <v>#NAME?</v>
      </c>
      <c r="N5507" s="49" t="e">
        <f>Tabela6[[#This Row],[KM Rodados ]]/Tabela6[[#This Row],[CONSUMO]]</f>
        <v>#NAME?</v>
      </c>
    </row>
    <row r="5508" spans="1:14" x14ac:dyDescent="0.25">
      <c r="A5508" s="47">
        <v>305263</v>
      </c>
      <c r="B5508" s="78">
        <v>45603</v>
      </c>
      <c r="C5508" s="47" t="s">
        <v>40</v>
      </c>
      <c r="D5508" s="49" t="s">
        <v>262</v>
      </c>
      <c r="E5508" s="47">
        <v>227886</v>
      </c>
      <c r="G5508" s="50" t="s">
        <v>244</v>
      </c>
      <c r="H5508" s="51">
        <v>45.320999999999998</v>
      </c>
      <c r="J5508" s="51">
        <v>5.99</v>
      </c>
      <c r="K5508" s="74">
        <f>Tabela6[[#This Row],[CONSUMO]]*Tabela6[[#This Row],[VALOR UNIT]]-Tabela6[[#This Row],[DESCONTO]]</f>
        <v>271.47278999999997</v>
      </c>
      <c r="L5508" s="53">
        <f>Tabela6[[#This Row],[CUSTO TOTAL]]/Tabela6[[#This Row],[CONSUMO]]</f>
        <v>5.9899999999999993</v>
      </c>
      <c r="M5508" s="53" t="e">
        <f t="array" ref="M5508">SE</f>
        <v>#NAME?</v>
      </c>
      <c r="N5508" s="49" t="e">
        <f>Tabela6[[#This Row],[KM Rodados ]]/Tabela6[[#This Row],[CONSUMO]]</f>
        <v>#NAME?</v>
      </c>
    </row>
    <row r="5509" spans="1:14" x14ac:dyDescent="0.25">
      <c r="A5509" s="47">
        <v>305393</v>
      </c>
      <c r="B5509" s="78">
        <v>45604</v>
      </c>
      <c r="C5509" s="47" t="s">
        <v>73</v>
      </c>
      <c r="D5509" s="49" t="s">
        <v>262</v>
      </c>
      <c r="E5509" s="47">
        <v>238331</v>
      </c>
      <c r="G5509" s="50" t="s">
        <v>241</v>
      </c>
      <c r="H5509" s="51">
        <v>22.800999999999998</v>
      </c>
      <c r="I5509" s="49">
        <v>8.2100000000000009</v>
      </c>
      <c r="J5509" s="51">
        <v>3.69</v>
      </c>
      <c r="K5509" s="74">
        <f>Tabela6[[#This Row],[CONSUMO]]*Tabela6[[#This Row],[VALOR UNIT]]-Tabela6[[#This Row],[DESCONTO]]</f>
        <v>75.925690000000003</v>
      </c>
      <c r="L5509" s="53">
        <f>Tabela6[[#This Row],[CUSTO TOTAL]]/Tabela6[[#This Row],[CONSUMO]]</f>
        <v>3.3299280733301173</v>
      </c>
      <c r="M5509" s="53" t="e">
        <f t="array" ref="M5509">SE</f>
        <v>#NAME?</v>
      </c>
      <c r="N5509" s="49" t="e">
        <f>Tabela6[[#This Row],[KM Rodados ]]/Tabela6[[#This Row],[CONSUMO]]</f>
        <v>#NAME?</v>
      </c>
    </row>
    <row r="5510" spans="1:14" x14ac:dyDescent="0.25">
      <c r="A5510" s="47">
        <v>370786</v>
      </c>
      <c r="B5510" s="78">
        <v>45604</v>
      </c>
      <c r="C5510" s="47" t="s">
        <v>315</v>
      </c>
      <c r="D5510" s="49" t="s">
        <v>253</v>
      </c>
      <c r="E5510" s="47">
        <v>52214</v>
      </c>
      <c r="G5510" s="50" t="s">
        <v>89</v>
      </c>
      <c r="H5510" s="51">
        <v>59.17</v>
      </c>
      <c r="J5510" s="51">
        <v>6.09</v>
      </c>
      <c r="K5510" s="74">
        <f>Tabela6[[#This Row],[CONSUMO]]*Tabela6[[#This Row],[VALOR UNIT]]-Tabela6[[#This Row],[DESCONTO]]</f>
        <v>360.34530000000001</v>
      </c>
      <c r="L5510" s="53">
        <f>Tabela6[[#This Row],[CUSTO TOTAL]]/Tabela6[[#This Row],[CONSUMO]]</f>
        <v>6.09</v>
      </c>
      <c r="M5510" s="53" t="e">
        <f t="array" ref="M5510">SE</f>
        <v>#NAME?</v>
      </c>
      <c r="N5510" s="49" t="e">
        <f>Tabela6[[#This Row],[KM Rodados ]]/Tabela6[[#This Row],[CONSUMO]]</f>
        <v>#NAME?</v>
      </c>
    </row>
    <row r="5511" spans="1:14" x14ac:dyDescent="0.25">
      <c r="A5511" s="47">
        <v>305406</v>
      </c>
      <c r="B5511" s="78">
        <v>45604</v>
      </c>
      <c r="C5511" s="47" t="s">
        <v>354</v>
      </c>
      <c r="D5511" s="49" t="s">
        <v>262</v>
      </c>
      <c r="E5511" s="47">
        <v>73380</v>
      </c>
      <c r="G5511" s="50" t="s">
        <v>241</v>
      </c>
      <c r="H5511" s="51">
        <v>17.657</v>
      </c>
      <c r="I5511" s="49">
        <v>6.35</v>
      </c>
      <c r="J5511" s="51">
        <v>3.69</v>
      </c>
      <c r="K5511" s="74">
        <f>Tabela6[[#This Row],[CONSUMO]]*Tabela6[[#This Row],[VALOR UNIT]]-Tabela6[[#This Row],[DESCONTO]]</f>
        <v>58.80433</v>
      </c>
      <c r="L5511" s="53">
        <f>Tabela6[[#This Row],[CUSTO TOTAL]]/Tabela6[[#This Row],[CONSUMO]]</f>
        <v>3.3303692586509599</v>
      </c>
      <c r="M5511" s="53" t="e">
        <f t="array" ref="M5511">SE</f>
        <v>#NAME?</v>
      </c>
      <c r="N5511" s="49" t="e">
        <f>Tabela6[[#This Row],[KM Rodados ]]/Tabela6[[#This Row],[CONSUMO]]</f>
        <v>#NAME?</v>
      </c>
    </row>
    <row r="5512" spans="1:14" x14ac:dyDescent="0.25">
      <c r="A5512" s="47">
        <v>176651</v>
      </c>
      <c r="B5512" s="78">
        <v>45605</v>
      </c>
      <c r="C5512" s="47" t="s">
        <v>43</v>
      </c>
      <c r="D5512" s="49" t="s">
        <v>560</v>
      </c>
      <c r="E5512" s="47">
        <v>218986</v>
      </c>
      <c r="G5512" s="50" t="s">
        <v>89</v>
      </c>
      <c r="H5512" s="51">
        <v>19.39</v>
      </c>
      <c r="J5512" s="51">
        <v>6.39</v>
      </c>
      <c r="K5512" s="74">
        <f>Tabela6[[#This Row],[CONSUMO]]*Tabela6[[#This Row],[VALOR UNIT]]-Tabela6[[#This Row],[DESCONTO]]</f>
        <v>123.9021</v>
      </c>
      <c r="L5512" s="53">
        <f>Tabela6[[#This Row],[CUSTO TOTAL]]/Tabela6[[#This Row],[CONSUMO]]</f>
        <v>6.39</v>
      </c>
      <c r="M5512" s="53" t="e">
        <f t="array" ref="M5512">SE</f>
        <v>#NAME?</v>
      </c>
      <c r="N5512" s="49" t="e">
        <f>Tabela6[[#This Row],[KM Rodados ]]/Tabela6[[#This Row],[CONSUMO]]</f>
        <v>#NAME?</v>
      </c>
    </row>
    <row r="5513" spans="1:14" x14ac:dyDescent="0.25">
      <c r="A5513" s="47">
        <v>305701</v>
      </c>
      <c r="B5513" s="78">
        <v>45605</v>
      </c>
      <c r="C5513" s="47" t="s">
        <v>222</v>
      </c>
      <c r="D5513" s="49" t="s">
        <v>262</v>
      </c>
      <c r="E5513" s="47">
        <v>635490</v>
      </c>
      <c r="G5513" s="50" t="s">
        <v>241</v>
      </c>
      <c r="H5513" s="51">
        <v>34.003</v>
      </c>
      <c r="I5513" s="49">
        <v>12.24</v>
      </c>
      <c r="J5513" s="51">
        <v>3.69</v>
      </c>
      <c r="K5513" s="74">
        <f>Tabela6[[#This Row],[CONSUMO]]*Tabela6[[#This Row],[VALOR UNIT]]-Tabela6[[#This Row],[DESCONTO]]</f>
        <v>113.23107</v>
      </c>
      <c r="L5513" s="53">
        <f>Tabela6[[#This Row],[CUSTO TOTAL]]/Tabela6[[#This Row],[CONSUMO]]</f>
        <v>3.3300317619033617</v>
      </c>
      <c r="M5513" s="53" t="e">
        <f t="array" ref="M5513">SE</f>
        <v>#NAME?</v>
      </c>
      <c r="N5513" s="49" t="e">
        <f>Tabela6[[#This Row],[KM Rodados ]]/Tabela6[[#This Row],[CONSUMO]]</f>
        <v>#NAME?</v>
      </c>
    </row>
    <row r="5514" spans="1:14" x14ac:dyDescent="0.25">
      <c r="A5514" s="47">
        <v>1517531</v>
      </c>
      <c r="B5514" s="78">
        <v>45606</v>
      </c>
      <c r="C5514" s="47" t="s">
        <v>222</v>
      </c>
      <c r="D5514" s="49" t="s">
        <v>252</v>
      </c>
      <c r="E5514" s="47">
        <v>636672</v>
      </c>
      <c r="G5514" s="50" t="s">
        <v>89</v>
      </c>
      <c r="H5514" s="51">
        <v>365.98</v>
      </c>
      <c r="J5514" s="51">
        <v>5.97</v>
      </c>
      <c r="K5514" s="74">
        <f>Tabela6[[#This Row],[CONSUMO]]*Tabela6[[#This Row],[VALOR UNIT]]-Tabela6[[#This Row],[DESCONTO]]</f>
        <v>2184.9005999999999</v>
      </c>
      <c r="L5514" s="53">
        <f>Tabela6[[#This Row],[CUSTO TOTAL]]/Tabela6[[#This Row],[CONSUMO]]</f>
        <v>5.97</v>
      </c>
      <c r="M5514" s="53" t="e">
        <f t="array" ref="M5514">SE</f>
        <v>#NAME?</v>
      </c>
      <c r="N5514" s="49" t="e">
        <f>Tabela6[[#This Row],[KM Rodados ]]/Tabela6[[#This Row],[CONSUMO]]</f>
        <v>#NAME?</v>
      </c>
    </row>
    <row r="5515" spans="1:14" x14ac:dyDescent="0.25">
      <c r="A5515" s="117">
        <v>452576</v>
      </c>
      <c r="B5515" s="78">
        <v>45607</v>
      </c>
      <c r="C5515" s="47" t="s">
        <v>426</v>
      </c>
      <c r="D5515" s="49" t="s">
        <v>276</v>
      </c>
      <c r="E5515" s="117">
        <v>59781</v>
      </c>
      <c r="G5515" s="50" t="s">
        <v>89</v>
      </c>
      <c r="H5515" s="51">
        <v>58.430999999999997</v>
      </c>
      <c r="J5515" s="51">
        <v>5.99</v>
      </c>
      <c r="K5515" s="74">
        <f>Tabela6[[#This Row],[CONSUMO]]*Tabela6[[#This Row],[VALOR UNIT]]-Tabela6[[#This Row],[DESCONTO]]</f>
        <v>350.00169</v>
      </c>
      <c r="L5515" s="53">
        <f>Tabela6[[#This Row],[CUSTO TOTAL]]/Tabela6[[#This Row],[CONSUMO]]</f>
        <v>5.99</v>
      </c>
      <c r="M5515" s="53" t="e">
        <f t="array" ref="M5515">SE</f>
        <v>#NAME?</v>
      </c>
      <c r="N5515" s="118" t="e">
        <f>Tabela6[[#This Row],[KM Rodados ]]/Tabela6[[#This Row],[CONSUMO]]</f>
        <v>#NAME?</v>
      </c>
    </row>
    <row r="5516" spans="1:14" x14ac:dyDescent="0.25">
      <c r="A5516" s="47">
        <v>464670</v>
      </c>
      <c r="B5516" s="78">
        <v>45608</v>
      </c>
      <c r="C5516" s="47" t="s">
        <v>203</v>
      </c>
      <c r="D5516" s="49" t="s">
        <v>534</v>
      </c>
      <c r="E5516" s="47">
        <v>185706</v>
      </c>
      <c r="G5516" s="50" t="s">
        <v>244</v>
      </c>
      <c r="H5516" s="51">
        <v>43.05</v>
      </c>
      <c r="J5516" s="51">
        <v>5.99</v>
      </c>
      <c r="K5516" s="74">
        <f>Tabela6[[#This Row],[CONSUMO]]*Tabela6[[#This Row],[VALOR UNIT]]-Tabela6[[#This Row],[DESCONTO]]</f>
        <v>257.86950000000002</v>
      </c>
      <c r="L5516" s="53">
        <f>Tabela6[[#This Row],[CUSTO TOTAL]]/Tabela6[[#This Row],[CONSUMO]]</f>
        <v>5.9900000000000011</v>
      </c>
      <c r="M5516" s="53" t="e">
        <f t="array" ref="M5516">SE</f>
        <v>#NAME?</v>
      </c>
      <c r="N5516" s="49" t="e">
        <f>Tabela6[[#This Row],[KM Rodados ]]/Tabela6[[#This Row],[CONSUMO]]</f>
        <v>#NAME?</v>
      </c>
    </row>
    <row r="5517" spans="1:14" x14ac:dyDescent="0.25">
      <c r="A5517" s="47">
        <v>306385</v>
      </c>
      <c r="B5517" s="78">
        <v>45608</v>
      </c>
      <c r="C5517" s="47" t="s">
        <v>567</v>
      </c>
      <c r="D5517" s="49" t="s">
        <v>262</v>
      </c>
      <c r="E5517" s="47">
        <v>5140</v>
      </c>
      <c r="G5517" s="50" t="s">
        <v>241</v>
      </c>
      <c r="H5517" s="51">
        <v>62.441000000000003</v>
      </c>
      <c r="I5517" s="49">
        <v>22.48</v>
      </c>
      <c r="J5517" s="51">
        <v>3.69</v>
      </c>
      <c r="K5517" s="74">
        <f>Tabela6[[#This Row],[CONSUMO]]*Tabela6[[#This Row],[VALOR UNIT]]-Tabela6[[#This Row],[DESCONTO]]</f>
        <v>207.92729000000003</v>
      </c>
      <c r="L5517" s="53">
        <f>Tabela6[[#This Row],[CUSTO TOTAL]]/Tabela6[[#This Row],[CONSUMO]]</f>
        <v>3.3299801412533436</v>
      </c>
      <c r="M5517" s="53" t="e">
        <f t="array" ref="M5517">SE</f>
        <v>#NAME?</v>
      </c>
      <c r="N5517" s="49" t="e">
        <f>Tabela6[[#This Row],[KM Rodados ]]/Tabela6[[#This Row],[CONSUMO]]</f>
        <v>#NAME?</v>
      </c>
    </row>
    <row r="5518" spans="1:14" x14ac:dyDescent="0.25">
      <c r="A5518" s="47">
        <v>1579498</v>
      </c>
      <c r="B5518" s="78">
        <v>45609</v>
      </c>
      <c r="C5518" s="47" t="s">
        <v>222</v>
      </c>
      <c r="D5518" s="49" t="s">
        <v>305</v>
      </c>
      <c r="E5518" s="47">
        <v>637488</v>
      </c>
      <c r="G5518" s="50" t="s">
        <v>89</v>
      </c>
      <c r="H5518" s="51">
        <v>408</v>
      </c>
      <c r="J5518" s="51">
        <v>6.01</v>
      </c>
      <c r="K5518" s="74">
        <f>Tabela6[[#This Row],[CONSUMO]]*Tabela6[[#This Row],[VALOR UNIT]]-Tabela6[[#This Row],[DESCONTO]]</f>
        <v>2452.08</v>
      </c>
      <c r="L5518" s="53">
        <f>Tabela6[[#This Row],[CUSTO TOTAL]]/Tabela6[[#This Row],[CONSUMO]]</f>
        <v>6.01</v>
      </c>
      <c r="M5518" s="53" t="e">
        <f t="array" ref="M5518">SE</f>
        <v>#NAME?</v>
      </c>
      <c r="N5518" s="49" t="e">
        <f>Tabela6[[#This Row],[KM Rodados ]]/Tabela6[[#This Row],[CONSUMO]]</f>
        <v>#NAME?</v>
      </c>
    </row>
    <row r="5519" spans="1:14" x14ac:dyDescent="0.25">
      <c r="A5519" s="47">
        <v>1579499</v>
      </c>
      <c r="B5519" s="78">
        <v>45609</v>
      </c>
      <c r="C5519" s="47" t="s">
        <v>222</v>
      </c>
      <c r="D5519" s="49" t="s">
        <v>305</v>
      </c>
      <c r="E5519" s="47">
        <v>637488</v>
      </c>
      <c r="G5519" s="50" t="s">
        <v>241</v>
      </c>
      <c r="H5519" s="51">
        <v>45.640999999999998</v>
      </c>
      <c r="J5519" s="51">
        <v>3.59</v>
      </c>
      <c r="K5519" s="74">
        <f>Tabela6[[#This Row],[CONSUMO]]*Tabela6[[#This Row],[VALOR UNIT]]-Tabela6[[#This Row],[DESCONTO]]</f>
        <v>163.85118999999997</v>
      </c>
      <c r="L5519" s="53">
        <f>Tabela6[[#This Row],[CUSTO TOTAL]]/Tabela6[[#This Row],[CONSUMO]]</f>
        <v>3.5899999999999994</v>
      </c>
      <c r="M5519" s="53" t="e">
        <f t="array" ref="M5519">SE</f>
        <v>#NAME?</v>
      </c>
      <c r="N5519" s="49" t="e">
        <f>Tabela6[[#This Row],[KM Rodados ]]/Tabela6[[#This Row],[CONSUMO]]</f>
        <v>#NAME?</v>
      </c>
    </row>
    <row r="5520" spans="1:14" x14ac:dyDescent="0.25">
      <c r="A5520" s="47">
        <v>453248</v>
      </c>
      <c r="B5520" s="78">
        <v>45609</v>
      </c>
      <c r="C5520" s="47" t="s">
        <v>203</v>
      </c>
      <c r="D5520" s="49" t="s">
        <v>276</v>
      </c>
      <c r="E5520" s="47">
        <v>186295</v>
      </c>
      <c r="G5520" s="50" t="s">
        <v>244</v>
      </c>
      <c r="H5520" s="51">
        <v>44.12</v>
      </c>
      <c r="J5520" s="51">
        <v>6.09</v>
      </c>
      <c r="K5520" s="74">
        <f>Tabela6[[#This Row],[CONSUMO]]*Tabela6[[#This Row],[VALOR UNIT]]-Tabela6[[#This Row],[DESCONTO]]</f>
        <v>268.69079999999997</v>
      </c>
      <c r="L5520" s="53">
        <f>Tabela6[[#This Row],[CUSTO TOTAL]]/Tabela6[[#This Row],[CONSUMO]]</f>
        <v>6.09</v>
      </c>
      <c r="M5520" s="53" t="e">
        <f t="array" ref="M5520">SE</f>
        <v>#NAME?</v>
      </c>
      <c r="N5520" s="49" t="e">
        <f>Tabela6[[#This Row],[KM Rodados ]]/Tabela6[[#This Row],[CONSUMO]]</f>
        <v>#NAME?</v>
      </c>
    </row>
    <row r="5521" spans="1:14" x14ac:dyDescent="0.25">
      <c r="A5521" s="47">
        <v>61904</v>
      </c>
      <c r="B5521" s="78">
        <v>45609</v>
      </c>
      <c r="C5521" s="47" t="s">
        <v>14</v>
      </c>
      <c r="D5521" s="49" t="s">
        <v>255</v>
      </c>
      <c r="E5521" s="47">
        <v>348461</v>
      </c>
      <c r="G5521" s="50" t="s">
        <v>244</v>
      </c>
      <c r="H5521" s="51">
        <v>40.409999999999997</v>
      </c>
      <c r="J5521" s="51">
        <v>6.26</v>
      </c>
      <c r="K5521" s="74">
        <f>Tabela6[[#This Row],[CONSUMO]]*Tabela6[[#This Row],[VALOR UNIT]]-Tabela6[[#This Row],[DESCONTO]]</f>
        <v>252.96659999999997</v>
      </c>
      <c r="L5521" s="53">
        <f>Tabela6[[#This Row],[CUSTO TOTAL]]/Tabela6[[#This Row],[CONSUMO]]</f>
        <v>6.26</v>
      </c>
      <c r="M5521" s="53" t="e">
        <f t="array" ref="M5521">SE</f>
        <v>#NAME?</v>
      </c>
      <c r="N5521" s="49" t="e">
        <f>Tabela6[[#This Row],[KM Rodados ]]/Tabela6[[#This Row],[CONSUMO]]</f>
        <v>#NAME?</v>
      </c>
    </row>
    <row r="5522" spans="1:14" x14ac:dyDescent="0.25">
      <c r="A5522" s="47">
        <v>711200</v>
      </c>
      <c r="B5522" s="78">
        <v>45610</v>
      </c>
      <c r="C5522" s="47" t="s">
        <v>43</v>
      </c>
      <c r="D5522" s="49" t="s">
        <v>574</v>
      </c>
      <c r="E5522" s="47">
        <v>216380</v>
      </c>
      <c r="G5522" s="50" t="s">
        <v>89</v>
      </c>
      <c r="H5522" s="51">
        <v>10.95</v>
      </c>
      <c r="J5522" s="51">
        <v>4.63</v>
      </c>
      <c r="K5522" s="74">
        <f>Tabela6[[#This Row],[CONSUMO]]*Tabela6[[#This Row],[VALOR UNIT]]-Tabela6[[#This Row],[DESCONTO]]</f>
        <v>50.698499999999996</v>
      </c>
      <c r="L5522" s="53">
        <f>Tabela6[[#This Row],[CUSTO TOTAL]]/Tabela6[[#This Row],[CONSUMO]]</f>
        <v>4.63</v>
      </c>
      <c r="M5522" s="53" t="e">
        <f t="array" ref="M5522">SE</f>
        <v>#NAME?</v>
      </c>
      <c r="N5522" s="49" t="e">
        <f>Tabela6[[#This Row],[KM Rodados ]]/Tabela6[[#This Row],[CONSUMO]]</f>
        <v>#NAME?</v>
      </c>
    </row>
    <row r="5523" spans="1:14" x14ac:dyDescent="0.25">
      <c r="A5523" s="117">
        <v>453523</v>
      </c>
      <c r="B5523" s="78">
        <v>45610</v>
      </c>
      <c r="C5523" s="47" t="s">
        <v>42</v>
      </c>
      <c r="D5523" s="49" t="s">
        <v>276</v>
      </c>
      <c r="E5523" s="117">
        <v>683745</v>
      </c>
      <c r="G5523" s="50" t="s">
        <v>89</v>
      </c>
      <c r="H5523" s="51">
        <v>136.60900000000001</v>
      </c>
      <c r="J5523" s="51">
        <v>5.99</v>
      </c>
      <c r="K5523" s="74">
        <f>Tabela6[[#This Row],[CONSUMO]]*Tabela6[[#This Row],[VALOR UNIT]]-Tabela6[[#This Row],[DESCONTO]]</f>
        <v>818.28791000000012</v>
      </c>
      <c r="L5523" s="53">
        <f>Tabela6[[#This Row],[CUSTO TOTAL]]/Tabela6[[#This Row],[CONSUMO]]</f>
        <v>5.99</v>
      </c>
      <c r="M5523" s="53" t="e">
        <f t="array" ref="M5523">SE</f>
        <v>#NAME?</v>
      </c>
      <c r="N5523" s="118" t="e">
        <f>Tabela6[[#This Row],[KM Rodados ]]/Tabela6[[#This Row],[CONSUMO]]</f>
        <v>#NAME?</v>
      </c>
    </row>
    <row r="5524" spans="1:14" x14ac:dyDescent="0.25">
      <c r="A5524" s="47">
        <v>1246867</v>
      </c>
      <c r="B5524" s="78">
        <v>45610</v>
      </c>
      <c r="C5524" s="47" t="s">
        <v>72</v>
      </c>
      <c r="D5524" s="49" t="s">
        <v>578</v>
      </c>
      <c r="E5524" s="47">
        <v>483836</v>
      </c>
      <c r="G5524" s="50" t="s">
        <v>89</v>
      </c>
      <c r="H5524" s="51">
        <v>34.08</v>
      </c>
      <c r="J5524" s="51">
        <v>6.42</v>
      </c>
      <c r="K5524" s="74">
        <f>Tabela6[[#This Row],[CONSUMO]]*Tabela6[[#This Row],[VALOR UNIT]]-Tabela6[[#This Row],[DESCONTO]]</f>
        <v>218.7936</v>
      </c>
      <c r="L5524" s="53">
        <f>Tabela6[[#This Row],[CUSTO TOTAL]]/Tabela6[[#This Row],[CONSUMO]]</f>
        <v>6.42</v>
      </c>
      <c r="M5524" s="53" t="e">
        <f t="array" ref="M5524">SE</f>
        <v>#NAME?</v>
      </c>
      <c r="N5524" s="49" t="e">
        <f>Tabela6[[#This Row],[KM Rodados ]]/Tabela6[[#This Row],[CONSUMO]]</f>
        <v>#NAME?</v>
      </c>
    </row>
    <row r="5525" spans="1:14" x14ac:dyDescent="0.25">
      <c r="A5525" s="47">
        <v>453532</v>
      </c>
      <c r="B5525" s="78">
        <v>45610</v>
      </c>
      <c r="C5525" s="47" t="s">
        <v>38</v>
      </c>
      <c r="D5525" s="49" t="s">
        <v>262</v>
      </c>
      <c r="E5525" s="47">
        <v>157455</v>
      </c>
      <c r="G5525" s="50" t="s">
        <v>244</v>
      </c>
      <c r="H5525" s="51">
        <v>51.631</v>
      </c>
      <c r="J5525" s="51">
        <v>6.09</v>
      </c>
      <c r="K5525" s="74">
        <f>Tabela6[[#This Row],[CONSUMO]]*Tabela6[[#This Row],[VALOR UNIT]]-Tabela6[[#This Row],[DESCONTO]]</f>
        <v>314.43279000000001</v>
      </c>
      <c r="L5525" s="53">
        <f>Tabela6[[#This Row],[CUSTO TOTAL]]/Tabela6[[#This Row],[CONSUMO]]</f>
        <v>6.09</v>
      </c>
      <c r="M5525" s="53" t="e">
        <f t="array" ref="M5525">SE</f>
        <v>#NAME?</v>
      </c>
      <c r="N5525" s="49" t="e">
        <f>Tabela6[[#This Row],[KM Rodados ]]/Tabela6[[#This Row],[CONSUMO]]</f>
        <v>#NAME?</v>
      </c>
    </row>
    <row r="5526" spans="1:14" x14ac:dyDescent="0.25">
      <c r="A5526" s="47">
        <v>306853</v>
      </c>
      <c r="B5526" s="78">
        <v>45610</v>
      </c>
      <c r="C5526" s="47" t="s">
        <v>354</v>
      </c>
      <c r="D5526" s="49" t="s">
        <v>262</v>
      </c>
      <c r="E5526" s="47">
        <v>74980</v>
      </c>
      <c r="G5526" s="50" t="s">
        <v>241</v>
      </c>
      <c r="H5526" s="51">
        <v>23.451000000000001</v>
      </c>
      <c r="I5526" s="49">
        <v>8.44</v>
      </c>
      <c r="J5526" s="51">
        <v>3.69</v>
      </c>
      <c r="K5526" s="74">
        <f>Tabela6[[#This Row],[CONSUMO]]*Tabela6[[#This Row],[VALOR UNIT]]-Tabela6[[#This Row],[DESCONTO]]</f>
        <v>78.094189999999998</v>
      </c>
      <c r="L5526" s="53">
        <f>Tabela6[[#This Row],[CUSTO TOTAL]]/Tabela6[[#This Row],[CONSUMO]]</f>
        <v>3.3301006353673617</v>
      </c>
      <c r="M5526" s="53" t="e">
        <f t="array" ref="M5526">SE</f>
        <v>#NAME?</v>
      </c>
      <c r="N5526" s="49" t="e">
        <f>Tabela6[[#This Row],[KM Rodados ]]/Tabela6[[#This Row],[CONSUMO]]</f>
        <v>#NAME?</v>
      </c>
    </row>
    <row r="5527" spans="1:14" x14ac:dyDescent="0.25">
      <c r="A5527" s="47">
        <v>453934</v>
      </c>
      <c r="B5527" s="78">
        <v>45611</v>
      </c>
      <c r="C5527" s="47" t="s">
        <v>73</v>
      </c>
      <c r="D5527" s="49" t="s">
        <v>276</v>
      </c>
      <c r="E5527" s="47">
        <v>239648</v>
      </c>
      <c r="G5527" s="50" t="s">
        <v>241</v>
      </c>
      <c r="H5527" s="51">
        <v>12.993</v>
      </c>
      <c r="J5527" s="51">
        <v>3.69</v>
      </c>
      <c r="K5527" s="74">
        <f>Tabela6[[#This Row],[CONSUMO]]*Tabela6[[#This Row],[VALOR UNIT]]-Tabela6[[#This Row],[DESCONTO]]</f>
        <v>47.94417</v>
      </c>
      <c r="L5527" s="53">
        <f>Tabela6[[#This Row],[CUSTO TOTAL]]/Tabela6[[#This Row],[CONSUMO]]</f>
        <v>3.69</v>
      </c>
      <c r="M5527" s="53" t="e">
        <f t="array" ref="M5527">SE</f>
        <v>#NAME?</v>
      </c>
      <c r="N5527" s="49" t="e">
        <f>Tabela6[[#This Row],[KM Rodados ]]/Tabela6[[#This Row],[CONSUMO]]</f>
        <v>#NAME?</v>
      </c>
    </row>
    <row r="5528" spans="1:14" x14ac:dyDescent="0.25">
      <c r="A5528" s="47">
        <v>308029</v>
      </c>
      <c r="B5528" s="78">
        <v>45614</v>
      </c>
      <c r="C5528" s="47" t="s">
        <v>215</v>
      </c>
      <c r="D5528" s="49" t="s">
        <v>262</v>
      </c>
      <c r="E5528" s="47">
        <v>245842</v>
      </c>
      <c r="G5528" s="50" t="s">
        <v>244</v>
      </c>
      <c r="H5528" s="51">
        <v>37.25</v>
      </c>
      <c r="J5528" s="51">
        <v>5.99</v>
      </c>
      <c r="K5528" s="74">
        <f>Tabela6[[#This Row],[CONSUMO]]*Tabela6[[#This Row],[VALOR UNIT]]-Tabela6[[#This Row],[DESCONTO]]</f>
        <v>223.1275</v>
      </c>
      <c r="L5528" s="53">
        <f>Tabela6[[#This Row],[CUSTO TOTAL]]/Tabela6[[#This Row],[CONSUMO]]</f>
        <v>5.99</v>
      </c>
      <c r="M5528" s="53" t="e">
        <f t="array" ref="M5528">SE</f>
        <v>#NAME?</v>
      </c>
      <c r="N5528" s="49" t="e">
        <f>Tabela6[[#This Row],[KM Rodados ]]/Tabela6[[#This Row],[CONSUMO]]</f>
        <v>#NAME?</v>
      </c>
    </row>
    <row r="5529" spans="1:14" x14ac:dyDescent="0.25">
      <c r="A5529" s="47">
        <v>164011</v>
      </c>
      <c r="B5529" s="78">
        <v>45614</v>
      </c>
      <c r="C5529" s="47" t="s">
        <v>72</v>
      </c>
      <c r="D5529" s="49" t="s">
        <v>573</v>
      </c>
      <c r="G5529" s="50" t="s">
        <v>89</v>
      </c>
      <c r="H5529" s="51">
        <v>36.479999999999997</v>
      </c>
      <c r="J5529" s="51">
        <v>5.84</v>
      </c>
      <c r="K5529" s="74">
        <f>Tabela6[[#This Row],[CONSUMO]]*Tabela6[[#This Row],[VALOR UNIT]]-Tabela6[[#This Row],[DESCONTO]]</f>
        <v>213.04319999999998</v>
      </c>
      <c r="L5529" s="53">
        <f>Tabela6[[#This Row],[CUSTO TOTAL]]/Tabela6[[#This Row],[CONSUMO]]</f>
        <v>5.84</v>
      </c>
      <c r="M5529" s="53" t="e">
        <f t="array" ref="M5529">SE</f>
        <v>#NAME?</v>
      </c>
      <c r="N5529" s="49" t="e">
        <f>Tabela6[[#This Row],[KM Rodados ]]/Tabela6[[#This Row],[CONSUMO]]</f>
        <v>#NAME?</v>
      </c>
    </row>
    <row r="5530" spans="1:14" x14ac:dyDescent="0.25">
      <c r="A5530" s="47">
        <v>108595</v>
      </c>
      <c r="B5530" s="78">
        <v>45614</v>
      </c>
      <c r="C5530" s="47" t="s">
        <v>73</v>
      </c>
      <c r="D5530" s="49" t="s">
        <v>572</v>
      </c>
      <c r="E5530" s="47">
        <v>240873</v>
      </c>
      <c r="G5530" s="50" t="s">
        <v>89</v>
      </c>
      <c r="H5530" s="51">
        <v>183.11</v>
      </c>
      <c r="J5530" s="51">
        <v>5.99</v>
      </c>
      <c r="K5530" s="74">
        <f>Tabela6[[#This Row],[CONSUMO]]*Tabela6[[#This Row],[VALOR UNIT]]-Tabela6[[#This Row],[DESCONTO]]</f>
        <v>1096.8289000000002</v>
      </c>
      <c r="L5530" s="53">
        <f>Tabela6[[#This Row],[CUSTO TOTAL]]/Tabela6[[#This Row],[CONSUMO]]</f>
        <v>5.9900000000000011</v>
      </c>
      <c r="M5530" s="53" t="e">
        <f t="array" ref="M5530">SE</f>
        <v>#NAME?</v>
      </c>
      <c r="N5530" s="49" t="e">
        <f>Tabela6[[#This Row],[KM Rodados ]]/Tabela6[[#This Row],[CONSUMO]]</f>
        <v>#NAME?</v>
      </c>
    </row>
    <row r="5531" spans="1:14" x14ac:dyDescent="0.25">
      <c r="A5531" s="117">
        <v>109896</v>
      </c>
      <c r="B5531" s="78">
        <v>45614</v>
      </c>
      <c r="C5531" s="47" t="s">
        <v>73</v>
      </c>
      <c r="D5531" s="49" t="s">
        <v>572</v>
      </c>
      <c r="E5531" s="117">
        <v>240873</v>
      </c>
      <c r="G5531" s="50" t="s">
        <v>241</v>
      </c>
      <c r="H5531" s="51">
        <v>15.36</v>
      </c>
      <c r="J5531" s="51">
        <v>3.89</v>
      </c>
      <c r="K5531" s="74">
        <f>Tabela6[[#This Row],[CONSUMO]]*Tabela6[[#This Row],[VALOR UNIT]]-Tabela6[[#This Row],[DESCONTO]]</f>
        <v>59.750399999999999</v>
      </c>
      <c r="L5531" s="53">
        <f>Tabela6[[#This Row],[CUSTO TOTAL]]/Tabela6[[#This Row],[CONSUMO]]</f>
        <v>3.89</v>
      </c>
      <c r="M5531" s="53" t="e">
        <f t="array" ref="M5531">SE</f>
        <v>#NAME?</v>
      </c>
      <c r="N5531" s="118" t="e">
        <f>Tabela6[[#This Row],[KM Rodados ]]/Tabela6[[#This Row],[CONSUMO]]</f>
        <v>#NAME?</v>
      </c>
    </row>
    <row r="5532" spans="1:14" x14ac:dyDescent="0.25">
      <c r="A5532" s="47">
        <v>247766</v>
      </c>
      <c r="B5532" s="78">
        <v>45614</v>
      </c>
      <c r="C5532" s="47" t="s">
        <v>13</v>
      </c>
      <c r="D5532" s="49" t="s">
        <v>263</v>
      </c>
      <c r="E5532" s="47">
        <v>717750</v>
      </c>
      <c r="G5532" s="50" t="s">
        <v>89</v>
      </c>
      <c r="H5532" s="51">
        <v>53.79</v>
      </c>
      <c r="I5532" s="49">
        <v>8.07</v>
      </c>
      <c r="J5532" s="51">
        <v>6.14</v>
      </c>
      <c r="K5532" s="74">
        <f>Tabela6[[#This Row],[CONSUMO]]*Tabela6[[#This Row],[VALOR UNIT]]-Tabela6[[#This Row],[DESCONTO]]</f>
        <v>322.20060000000001</v>
      </c>
      <c r="L5532" s="53">
        <f>Tabela6[[#This Row],[CUSTO TOTAL]]/Tabela6[[#This Row],[CONSUMO]]</f>
        <v>5.9899721137757949</v>
      </c>
      <c r="M5532" s="53" t="e">
        <f t="array" ref="M5532">SE</f>
        <v>#NAME?</v>
      </c>
      <c r="N5532" s="49" t="e">
        <f>Tabela6[[#This Row],[KM Rodados ]]/Tabela6[[#This Row],[CONSUMO]]</f>
        <v>#NAME?</v>
      </c>
    </row>
    <row r="5533" spans="1:14" x14ac:dyDescent="0.25">
      <c r="A5533" s="47">
        <v>307999</v>
      </c>
      <c r="B5533" s="78">
        <v>45614</v>
      </c>
      <c r="C5533" s="47" t="s">
        <v>19</v>
      </c>
      <c r="D5533" s="49" t="s">
        <v>262</v>
      </c>
      <c r="E5533" s="47">
        <v>414246</v>
      </c>
      <c r="G5533" s="50" t="s">
        <v>241</v>
      </c>
      <c r="H5533" s="51">
        <v>23.716000000000001</v>
      </c>
      <c r="I5533" s="49">
        <v>8.5399999999999991</v>
      </c>
      <c r="J5533" s="51">
        <v>3.69</v>
      </c>
      <c r="K5533" s="74">
        <f>Tabela6[[#This Row],[CONSUMO]]*Tabela6[[#This Row],[VALOR UNIT]]-Tabela6[[#This Row],[DESCONTO]]</f>
        <v>78.972039999999993</v>
      </c>
      <c r="L5533" s="53">
        <f>Tabela6[[#This Row],[CUSTO TOTAL]]/Tabela6[[#This Row],[CONSUMO]]</f>
        <v>3.3299055489964577</v>
      </c>
      <c r="M5533" s="53" t="e">
        <f t="array" ref="M5533">SE</f>
        <v>#NAME?</v>
      </c>
      <c r="N5533" s="49" t="e">
        <f>Tabela6[[#This Row],[KM Rodados ]]/Tabela6[[#This Row],[CONSUMO]]</f>
        <v>#NAME?</v>
      </c>
    </row>
    <row r="5534" spans="1:14" x14ac:dyDescent="0.25">
      <c r="A5534" s="47">
        <v>455245</v>
      </c>
      <c r="B5534" s="78">
        <v>45615</v>
      </c>
      <c r="C5534" s="47" t="s">
        <v>38</v>
      </c>
      <c r="D5534" s="49" t="s">
        <v>262</v>
      </c>
      <c r="E5534" s="47">
        <v>158078</v>
      </c>
      <c r="G5534" s="50" t="s">
        <v>244</v>
      </c>
      <c r="H5534" s="51">
        <v>46.709000000000003</v>
      </c>
      <c r="J5534" s="51">
        <v>6.09</v>
      </c>
      <c r="K5534" s="74">
        <f>Tabela6[[#This Row],[CONSUMO]]*Tabela6[[#This Row],[VALOR UNIT]]-Tabela6[[#This Row],[DESCONTO]]</f>
        <v>284.45780999999999</v>
      </c>
      <c r="L5534" s="53">
        <f>Tabela6[[#This Row],[CUSTO TOTAL]]/Tabela6[[#This Row],[CONSUMO]]</f>
        <v>6.09</v>
      </c>
      <c r="M5534" s="53" t="e">
        <f t="array" ref="M5534">SE</f>
        <v>#NAME?</v>
      </c>
      <c r="N5534" s="49" t="e">
        <f>Tabela6[[#This Row],[KM Rodados ]]/Tabela6[[#This Row],[CONSUMO]]</f>
        <v>#NAME?</v>
      </c>
    </row>
    <row r="5535" spans="1:14" x14ac:dyDescent="0.25">
      <c r="A5535" s="47">
        <v>308083</v>
      </c>
      <c r="B5535" s="78">
        <v>45615</v>
      </c>
      <c r="C5535" s="47" t="s">
        <v>40</v>
      </c>
      <c r="D5535" s="49" t="s">
        <v>262</v>
      </c>
      <c r="E5535" s="47">
        <v>228664</v>
      </c>
      <c r="G5535" s="50" t="s">
        <v>244</v>
      </c>
      <c r="H5535" s="51">
        <v>29.498999999999999</v>
      </c>
      <c r="J5535" s="51">
        <v>5.99</v>
      </c>
      <c r="K5535" s="74">
        <f>Tabela6[[#This Row],[CONSUMO]]*Tabela6[[#This Row],[VALOR UNIT]]-Tabela6[[#This Row],[DESCONTO]]</f>
        <v>176.69900999999999</v>
      </c>
      <c r="L5535" s="53">
        <f>Tabela6[[#This Row],[CUSTO TOTAL]]/Tabela6[[#This Row],[CONSUMO]]</f>
        <v>5.99</v>
      </c>
      <c r="M5535" s="53" t="e">
        <f t="array" ref="M5535">SE</f>
        <v>#NAME?</v>
      </c>
      <c r="N5535" s="49" t="e">
        <f>Tabela6[[#This Row],[KM Rodados ]]/Tabela6[[#This Row],[CONSUMO]]</f>
        <v>#NAME?</v>
      </c>
    </row>
    <row r="5536" spans="1:14" x14ac:dyDescent="0.25">
      <c r="A5536" s="47">
        <v>63665</v>
      </c>
      <c r="B5536" s="78">
        <v>45616</v>
      </c>
      <c r="C5536" s="47" t="s">
        <v>40</v>
      </c>
      <c r="D5536" s="49" t="s">
        <v>255</v>
      </c>
      <c r="E5536" s="47">
        <v>272229</v>
      </c>
      <c r="G5536" s="50" t="s">
        <v>244</v>
      </c>
      <c r="H5536" s="51">
        <v>46.95</v>
      </c>
      <c r="J5536" s="51">
        <v>6.26</v>
      </c>
      <c r="K5536" s="74">
        <f>Tabela6[[#This Row],[CONSUMO]]*Tabela6[[#This Row],[VALOR UNIT]]-Tabela6[[#This Row],[DESCONTO]]</f>
        <v>293.90699999999998</v>
      </c>
      <c r="L5536" s="53">
        <f>Tabela6[[#This Row],[CUSTO TOTAL]]/Tabela6[[#This Row],[CONSUMO]]</f>
        <v>6.2599999999999989</v>
      </c>
      <c r="M5536" s="53" t="e">
        <f t="array" ref="M5536">SE</f>
        <v>#NAME?</v>
      </c>
      <c r="N5536" s="49" t="e">
        <f>Tabela6[[#This Row],[KM Rodados ]]/Tabela6[[#This Row],[CONSUMO]]</f>
        <v>#NAME?</v>
      </c>
    </row>
    <row r="5537" spans="1:14" x14ac:dyDescent="0.25">
      <c r="A5537" s="47">
        <v>308710</v>
      </c>
      <c r="B5537" s="78">
        <v>45617</v>
      </c>
      <c r="C5537" s="47" t="s">
        <v>17</v>
      </c>
      <c r="D5537" s="49" t="s">
        <v>262</v>
      </c>
      <c r="E5537" s="47">
        <v>447286</v>
      </c>
      <c r="G5537" s="50" t="s">
        <v>241</v>
      </c>
      <c r="H5537" s="51">
        <v>16.850000000000001</v>
      </c>
      <c r="I5537" s="49">
        <v>6.07</v>
      </c>
      <c r="J5537" s="51">
        <v>3.69</v>
      </c>
      <c r="K5537" s="74">
        <f>Tabela6[[#This Row],[CONSUMO]]*Tabela6[[#This Row],[VALOR UNIT]]-Tabela6[[#This Row],[DESCONTO]]</f>
        <v>56.106500000000004</v>
      </c>
      <c r="L5537" s="53">
        <f>Tabela6[[#This Row],[CUSTO TOTAL]]/Tabela6[[#This Row],[CONSUMO]]</f>
        <v>3.3297626112759642</v>
      </c>
      <c r="M5537" s="53" t="e">
        <f t="array" ref="M5537">SE</f>
        <v>#NAME?</v>
      </c>
      <c r="N5537" s="49" t="e">
        <f>Tabela6[[#This Row],[KM Rodados ]]/Tabela6[[#This Row],[CONSUMO]]</f>
        <v>#NAME?</v>
      </c>
    </row>
    <row r="5538" spans="1:14" x14ac:dyDescent="0.25">
      <c r="A5538" s="47">
        <v>248273</v>
      </c>
      <c r="B5538" s="78">
        <v>45617</v>
      </c>
      <c r="C5538" s="47" t="s">
        <v>19</v>
      </c>
      <c r="D5538" s="49" t="s">
        <v>263</v>
      </c>
      <c r="E5538" s="47">
        <v>414950</v>
      </c>
      <c r="G5538" s="50" t="s">
        <v>89</v>
      </c>
      <c r="H5538" s="51">
        <v>136.81</v>
      </c>
      <c r="I5538" s="49">
        <v>20.52</v>
      </c>
      <c r="J5538" s="51">
        <v>6.14</v>
      </c>
      <c r="K5538" s="74">
        <f>Tabela6[[#This Row],[CONSUMO]]*Tabela6[[#This Row],[VALOR UNIT]]-Tabela6[[#This Row],[DESCONTO]]</f>
        <v>819.49339999999995</v>
      </c>
      <c r="L5538" s="53">
        <f>Tabela6[[#This Row],[CUSTO TOTAL]]/Tabela6[[#This Row],[CONSUMO]]</f>
        <v>5.9900109641108106</v>
      </c>
      <c r="M5538" s="53" t="e">
        <f t="array" ref="M5538">SE</f>
        <v>#NAME?</v>
      </c>
      <c r="N5538" s="49" t="e">
        <f>Tabela6[[#This Row],[KM Rodados ]]/Tabela6[[#This Row],[CONSUMO]]</f>
        <v>#NAME?</v>
      </c>
    </row>
    <row r="5539" spans="1:14" x14ac:dyDescent="0.25">
      <c r="A5539" s="47">
        <v>308685</v>
      </c>
      <c r="B5539" s="78">
        <v>45617</v>
      </c>
      <c r="C5539" s="47" t="s">
        <v>40</v>
      </c>
      <c r="D5539" s="49" t="s">
        <v>262</v>
      </c>
      <c r="E5539" s="47">
        <v>229463</v>
      </c>
      <c r="G5539" s="50" t="s">
        <v>244</v>
      </c>
      <c r="H5539" s="51">
        <v>14.11</v>
      </c>
      <c r="J5539" s="51">
        <v>5.99</v>
      </c>
      <c r="K5539" s="74">
        <f>Tabela6[[#This Row],[CONSUMO]]*Tabela6[[#This Row],[VALOR UNIT]]-Tabela6[[#This Row],[DESCONTO]]</f>
        <v>84.518900000000002</v>
      </c>
      <c r="L5539" s="53">
        <f>Tabela6[[#This Row],[CUSTO TOTAL]]/Tabela6[[#This Row],[CONSUMO]]</f>
        <v>5.99</v>
      </c>
      <c r="M5539" s="53" t="e">
        <f t="array" ref="M5539">SE</f>
        <v>#NAME?</v>
      </c>
      <c r="N5539" s="49" t="e">
        <f>Tabela6[[#This Row],[KM Rodados ]]/Tabela6[[#This Row],[CONSUMO]]</f>
        <v>#NAME?</v>
      </c>
    </row>
    <row r="5540" spans="1:14" x14ac:dyDescent="0.25">
      <c r="A5540" s="47">
        <v>308647</v>
      </c>
      <c r="B5540" s="78">
        <v>45617</v>
      </c>
      <c r="C5540" s="47" t="s">
        <v>354</v>
      </c>
      <c r="D5540" s="49" t="s">
        <v>262</v>
      </c>
      <c r="E5540" s="47">
        <v>76260</v>
      </c>
      <c r="G5540" s="50" t="s">
        <v>241</v>
      </c>
      <c r="H5540" s="51">
        <v>18.728000000000002</v>
      </c>
      <c r="I5540" s="49">
        <v>6.75</v>
      </c>
      <c r="J5540" s="51">
        <v>3.69</v>
      </c>
      <c r="K5540" s="74">
        <f>Tabela6[[#This Row],[CONSUMO]]*Tabela6[[#This Row],[VALOR UNIT]]-Tabela6[[#This Row],[DESCONTO]]</f>
        <v>62.356320000000011</v>
      </c>
      <c r="L5540" s="53">
        <f>Tabela6[[#This Row],[CUSTO TOTAL]]/Tabela6[[#This Row],[CONSUMO]]</f>
        <v>3.3295771038017943</v>
      </c>
      <c r="M5540" s="53" t="e">
        <f t="array" ref="M5540">SE</f>
        <v>#NAME?</v>
      </c>
      <c r="N5540" s="49" t="e">
        <f>Tabela6[[#This Row],[KM Rodados ]]/Tabela6[[#This Row],[CONSUMO]]</f>
        <v>#NAME?</v>
      </c>
    </row>
    <row r="5541" spans="1:14" x14ac:dyDescent="0.25">
      <c r="A5541" s="47">
        <v>380563</v>
      </c>
      <c r="B5541" s="78">
        <v>45617</v>
      </c>
      <c r="C5541" s="47" t="s">
        <v>569</v>
      </c>
      <c r="D5541" s="49" t="s">
        <v>253</v>
      </c>
      <c r="E5541" s="47">
        <v>1632</v>
      </c>
      <c r="G5541" s="50" t="s">
        <v>89</v>
      </c>
      <c r="H5541" s="51">
        <v>150.00200000000001</v>
      </c>
      <c r="J5541" s="51">
        <v>6.19</v>
      </c>
      <c r="K5541" s="74">
        <f>Tabela6[[#This Row],[CONSUMO]]*Tabela6[[#This Row],[VALOR UNIT]]-Tabela6[[#This Row],[DESCONTO]]</f>
        <v>928.51238000000012</v>
      </c>
      <c r="L5541" s="53">
        <f>Tabela6[[#This Row],[CUSTO TOTAL]]/Tabela6[[#This Row],[CONSUMO]]</f>
        <v>6.19</v>
      </c>
      <c r="M5541" s="53" t="e">
        <f t="array" ref="M5541">SE</f>
        <v>#NAME?</v>
      </c>
      <c r="N5541" s="49" t="e">
        <f>Tabela6[[#This Row],[KM Rodados ]]/Tabela6[[#This Row],[CONSUMO]]</f>
        <v>#NAME?</v>
      </c>
    </row>
    <row r="5542" spans="1:14" x14ac:dyDescent="0.25">
      <c r="A5542" s="47">
        <v>129371</v>
      </c>
      <c r="B5542" s="78">
        <v>45618</v>
      </c>
      <c r="C5542" s="47" t="s">
        <v>72</v>
      </c>
      <c r="D5542" s="49" t="s">
        <v>256</v>
      </c>
      <c r="E5542" s="47">
        <v>485259</v>
      </c>
      <c r="G5542" s="50" t="s">
        <v>89</v>
      </c>
      <c r="H5542" s="51">
        <v>34.64</v>
      </c>
      <c r="J5542" s="51">
        <v>5.78</v>
      </c>
      <c r="K5542" s="74">
        <f>Tabela6[[#This Row],[CONSUMO]]*Tabela6[[#This Row],[VALOR UNIT]]-Tabela6[[#This Row],[DESCONTO]]</f>
        <v>200.2192</v>
      </c>
      <c r="L5542" s="53">
        <f>Tabela6[[#This Row],[CUSTO TOTAL]]/Tabela6[[#This Row],[CONSUMO]]</f>
        <v>5.78</v>
      </c>
      <c r="M5542" s="53" t="e">
        <f t="array" ref="M5542">SE</f>
        <v>#NAME?</v>
      </c>
      <c r="N5542" s="49" t="e">
        <f>Tabela6[[#This Row],[KM Rodados ]]/Tabela6[[#This Row],[CONSUMO]]</f>
        <v>#NAME?</v>
      </c>
    </row>
    <row r="5543" spans="1:14" x14ac:dyDescent="0.25">
      <c r="A5543" s="47">
        <v>308960</v>
      </c>
      <c r="B5543" s="78">
        <v>45618</v>
      </c>
      <c r="C5543" s="47" t="s">
        <v>13</v>
      </c>
      <c r="D5543" s="49" t="s">
        <v>262</v>
      </c>
      <c r="E5543" s="47">
        <v>718270</v>
      </c>
      <c r="G5543" s="50" t="s">
        <v>241</v>
      </c>
      <c r="H5543" s="51">
        <v>23.282</v>
      </c>
      <c r="I5543" s="49">
        <v>8.3800000000000008</v>
      </c>
      <c r="J5543" s="51">
        <v>3.69</v>
      </c>
      <c r="K5543" s="74">
        <f>Tabela6[[#This Row],[CONSUMO]]*Tabela6[[#This Row],[VALOR UNIT]]-Tabela6[[#This Row],[DESCONTO]]</f>
        <v>77.53058</v>
      </c>
      <c r="L5543" s="53">
        <f>Tabela6[[#This Row],[CUSTO TOTAL]]/Tabela6[[#This Row],[CONSUMO]]</f>
        <v>3.3300652864874154</v>
      </c>
      <c r="M5543" s="53" t="e">
        <f t="array" ref="M5543">SE</f>
        <v>#NAME?</v>
      </c>
      <c r="N5543" s="49" t="e">
        <f>Tabela6[[#This Row],[KM Rodados ]]/Tabela6[[#This Row],[CONSUMO]]</f>
        <v>#NAME?</v>
      </c>
    </row>
    <row r="5544" spans="1:14" x14ac:dyDescent="0.25">
      <c r="A5544" s="47">
        <v>308928</v>
      </c>
      <c r="B5544" s="78">
        <v>45618</v>
      </c>
      <c r="C5544" s="47" t="s">
        <v>40</v>
      </c>
      <c r="D5544" s="49" t="s">
        <v>262</v>
      </c>
      <c r="E5544" s="47">
        <v>229775</v>
      </c>
      <c r="G5544" s="50" t="s">
        <v>244</v>
      </c>
      <c r="H5544" s="51">
        <v>25.321000000000002</v>
      </c>
      <c r="J5544" s="51">
        <v>5.99</v>
      </c>
      <c r="K5544" s="74">
        <f>Tabela6[[#This Row],[CONSUMO]]*Tabela6[[#This Row],[VALOR UNIT]]-Tabela6[[#This Row],[DESCONTO]]</f>
        <v>151.67279000000002</v>
      </c>
      <c r="L5544" s="53">
        <f>Tabela6[[#This Row],[CUSTO TOTAL]]/Tabela6[[#This Row],[CONSUMO]]</f>
        <v>5.99</v>
      </c>
      <c r="M5544" s="53" t="e">
        <f t="array" ref="M5544">SE</f>
        <v>#NAME?</v>
      </c>
      <c r="N5544" s="49" t="e">
        <f>Tabela6[[#This Row],[KM Rodados ]]/Tabela6[[#This Row],[CONSUMO]]</f>
        <v>#NAME?</v>
      </c>
    </row>
    <row r="5545" spans="1:14" x14ac:dyDescent="0.25">
      <c r="A5545" s="47">
        <v>192742</v>
      </c>
      <c r="B5545" s="78">
        <v>45620</v>
      </c>
      <c r="C5545" s="47" t="s">
        <v>203</v>
      </c>
      <c r="D5545" s="49" t="s">
        <v>260</v>
      </c>
      <c r="E5545" s="47">
        <v>187316</v>
      </c>
      <c r="G5545" s="50" t="s">
        <v>244</v>
      </c>
      <c r="H5545" s="51">
        <v>46.518999999999998</v>
      </c>
      <c r="J5545" s="51">
        <v>5.99</v>
      </c>
      <c r="K5545" s="74">
        <f>Tabela6[[#This Row],[CONSUMO]]*Tabela6[[#This Row],[VALOR UNIT]]-Tabela6[[#This Row],[DESCONTO]]</f>
        <v>278.64881000000003</v>
      </c>
      <c r="L5545" s="53">
        <f>Tabela6[[#This Row],[CUSTO TOTAL]]/Tabela6[[#This Row],[CONSUMO]]</f>
        <v>5.9900000000000011</v>
      </c>
      <c r="M5545" s="53" t="e">
        <f t="array" ref="M5545">SE</f>
        <v>#NAME?</v>
      </c>
      <c r="N5545" s="49" t="e">
        <f>Tabela6[[#This Row],[KM Rodados ]]/Tabela6[[#This Row],[CONSUMO]]</f>
        <v>#NAME?</v>
      </c>
    </row>
    <row r="5546" spans="1:14" x14ac:dyDescent="0.25">
      <c r="A5546" s="47">
        <v>2332858</v>
      </c>
      <c r="B5546" s="78">
        <v>45620</v>
      </c>
      <c r="C5546" s="47" t="s">
        <v>446</v>
      </c>
      <c r="D5546" s="49" t="s">
        <v>252</v>
      </c>
      <c r="E5546" s="47">
        <v>63976</v>
      </c>
      <c r="G5546" s="50" t="s">
        <v>241</v>
      </c>
      <c r="H5546" s="51">
        <v>27.503</v>
      </c>
      <c r="J5546" s="51">
        <v>2.85</v>
      </c>
      <c r="K5546" s="74">
        <f>Tabela6[[#This Row],[CONSUMO]]*Tabela6[[#This Row],[VALOR UNIT]]-Tabela6[[#This Row],[DESCONTO]]</f>
        <v>78.38355</v>
      </c>
      <c r="L5546" s="53">
        <f>Tabela6[[#This Row],[CUSTO TOTAL]]/Tabela6[[#This Row],[CONSUMO]]</f>
        <v>2.85</v>
      </c>
      <c r="M5546" s="53" t="e">
        <f t="array" ref="M5546">SE</f>
        <v>#NAME?</v>
      </c>
      <c r="N5546" s="49" t="e">
        <f>Tabela6[[#This Row],[KM Rodados ]]/Tabela6[[#This Row],[CONSUMO]]</f>
        <v>#NAME?</v>
      </c>
    </row>
    <row r="5547" spans="1:14" x14ac:dyDescent="0.25">
      <c r="A5547" s="47">
        <v>309361</v>
      </c>
      <c r="B5547" s="78">
        <v>45620</v>
      </c>
      <c r="C5547" s="47" t="s">
        <v>569</v>
      </c>
      <c r="D5547" s="49" t="s">
        <v>262</v>
      </c>
      <c r="G5547" s="50" t="s">
        <v>241</v>
      </c>
      <c r="H5547" s="51">
        <v>22.367000000000001</v>
      </c>
      <c r="I5547" s="49">
        <v>8.0500000000000007</v>
      </c>
      <c r="J5547" s="51">
        <v>3.69</v>
      </c>
      <c r="K5547" s="74">
        <f>Tabela6[[#This Row],[CONSUMO]]*Tabela6[[#This Row],[VALOR UNIT]]-Tabela6[[#This Row],[DESCONTO]]</f>
        <v>74.484230000000011</v>
      </c>
      <c r="L5547" s="53">
        <f>Tabela6[[#This Row],[CUSTO TOTAL]]/Tabela6[[#This Row],[CONSUMO]]</f>
        <v>3.3300947824920644</v>
      </c>
      <c r="M5547" s="53" t="e">
        <f t="array" ref="M5547">SE</f>
        <v>#NAME?</v>
      </c>
      <c r="N5547" s="49" t="e">
        <f>Tabela6[[#This Row],[KM Rodados ]]/Tabela6[[#This Row],[CONSUMO]]</f>
        <v>#NAME?</v>
      </c>
    </row>
    <row r="5548" spans="1:14" x14ac:dyDescent="0.25">
      <c r="A5548" s="47">
        <v>309845</v>
      </c>
      <c r="B5548" s="78">
        <v>45621</v>
      </c>
      <c r="C5548" s="47" t="s">
        <v>74</v>
      </c>
      <c r="D5548" s="49" t="s">
        <v>262</v>
      </c>
      <c r="E5548" s="47">
        <v>164471</v>
      </c>
      <c r="G5548" s="50" t="s">
        <v>241</v>
      </c>
      <c r="H5548" s="51">
        <v>13.875</v>
      </c>
      <c r="I5548" s="49">
        <v>5</v>
      </c>
      <c r="J5548" s="51">
        <v>3.69</v>
      </c>
      <c r="K5548" s="74">
        <f>Tabela6[[#This Row],[CONSUMO]]*Tabela6[[#This Row],[VALOR UNIT]]-Tabela6[[#This Row],[DESCONTO]]</f>
        <v>46.198749999999997</v>
      </c>
      <c r="L5548" s="53">
        <f>Tabela6[[#This Row],[CUSTO TOTAL]]/Tabela6[[#This Row],[CONSUMO]]</f>
        <v>3.3296396396396393</v>
      </c>
      <c r="M5548" s="53" t="e">
        <f t="array" ref="M5548">SE</f>
        <v>#NAME?</v>
      </c>
      <c r="N5548" s="49" t="e">
        <f>Tabela6[[#This Row],[KM Rodados ]]/Tabela6[[#This Row],[CONSUMO]]</f>
        <v>#NAME?</v>
      </c>
    </row>
    <row r="5549" spans="1:14" x14ac:dyDescent="0.25">
      <c r="A5549" s="47">
        <v>153220</v>
      </c>
      <c r="B5549" s="78">
        <v>45622</v>
      </c>
      <c r="C5549" s="47" t="s">
        <v>43</v>
      </c>
      <c r="D5549" s="49" t="s">
        <v>576</v>
      </c>
      <c r="E5549" s="47">
        <v>217878</v>
      </c>
      <c r="G5549" s="50" t="s">
        <v>89</v>
      </c>
      <c r="H5549" s="51">
        <v>35.69</v>
      </c>
      <c r="J5549" s="51">
        <v>7.41</v>
      </c>
      <c r="K5549" s="74">
        <f>Tabela6[[#This Row],[CONSUMO]]*Tabela6[[#This Row],[VALOR UNIT]]-Tabela6[[#This Row],[DESCONTO]]</f>
        <v>264.46289999999999</v>
      </c>
      <c r="L5549" s="53">
        <f>Tabela6[[#This Row],[CUSTO TOTAL]]/Tabela6[[#This Row],[CONSUMO]]</f>
        <v>7.41</v>
      </c>
      <c r="M5549" s="53" t="e">
        <f t="array" ref="M5549">SE</f>
        <v>#NAME?</v>
      </c>
      <c r="N5549" s="49" t="e">
        <f>Tabela6[[#This Row],[KM Rodados ]]/Tabela6[[#This Row],[CONSUMO]]</f>
        <v>#NAME?</v>
      </c>
    </row>
    <row r="5550" spans="1:14" x14ac:dyDescent="0.25">
      <c r="A5550" s="47">
        <v>383832</v>
      </c>
      <c r="B5550" s="78">
        <v>45622</v>
      </c>
      <c r="C5550" s="47" t="s">
        <v>12</v>
      </c>
      <c r="D5550" s="49" t="s">
        <v>253</v>
      </c>
      <c r="E5550" s="47">
        <v>351159</v>
      </c>
      <c r="G5550" s="50" t="s">
        <v>89</v>
      </c>
      <c r="H5550" s="51">
        <v>95.46</v>
      </c>
      <c r="J5550" s="51">
        <v>6.09</v>
      </c>
      <c r="K5550" s="74">
        <f>Tabela6[[#This Row],[CONSUMO]]*Tabela6[[#This Row],[VALOR UNIT]]-Tabela6[[#This Row],[DESCONTO]]</f>
        <v>581.3513999999999</v>
      </c>
      <c r="L5550" s="53">
        <f>Tabela6[[#This Row],[CUSTO TOTAL]]/Tabela6[[#This Row],[CONSUMO]]</f>
        <v>6.089999999999999</v>
      </c>
      <c r="M5550" s="53" t="e">
        <f t="array" ref="M5550">SE</f>
        <v>#NAME?</v>
      </c>
      <c r="N5550" s="49" t="e">
        <f>Tabela6[[#This Row],[KM Rodados ]]/Tabela6[[#This Row],[CONSUMO]]</f>
        <v>#NAME?</v>
      </c>
    </row>
    <row r="5551" spans="1:14" x14ac:dyDescent="0.25">
      <c r="A5551" s="47">
        <v>310000</v>
      </c>
      <c r="B5551" s="78">
        <v>45622</v>
      </c>
      <c r="C5551" s="47" t="s">
        <v>40</v>
      </c>
      <c r="D5551" s="49" t="s">
        <v>262</v>
      </c>
      <c r="E5551" s="47">
        <v>230915</v>
      </c>
      <c r="G5551" s="50" t="s">
        <v>244</v>
      </c>
      <c r="H5551" s="51">
        <v>45.628999999999998</v>
      </c>
      <c r="J5551" s="51">
        <v>5.99</v>
      </c>
      <c r="K5551" s="74">
        <f>Tabela6[[#This Row],[CONSUMO]]*Tabela6[[#This Row],[VALOR UNIT]]-Tabela6[[#This Row],[DESCONTO]]</f>
        <v>273.31770999999998</v>
      </c>
      <c r="L5551" s="53">
        <f>Tabela6[[#This Row],[CUSTO TOTAL]]/Tabela6[[#This Row],[CONSUMO]]</f>
        <v>5.99</v>
      </c>
      <c r="M5551" s="53" t="e">
        <f t="array" ref="M5551">SE</f>
        <v>#NAME?</v>
      </c>
      <c r="N5551" s="49" t="e">
        <f>Tabela6[[#This Row],[KM Rodados ]]/Tabela6[[#This Row],[CONSUMO]]</f>
        <v>#NAME?</v>
      </c>
    </row>
    <row r="5552" spans="1:14" x14ac:dyDescent="0.25">
      <c r="A5552" s="47">
        <v>675603</v>
      </c>
      <c r="B5552" s="78">
        <v>45622</v>
      </c>
      <c r="C5552" s="47" t="s">
        <v>315</v>
      </c>
      <c r="D5552" s="49" t="s">
        <v>253</v>
      </c>
      <c r="E5552" s="47">
        <v>54121</v>
      </c>
      <c r="G5552" s="50" t="s">
        <v>89</v>
      </c>
      <c r="H5552" s="51">
        <v>48.02</v>
      </c>
      <c r="J5552" s="51">
        <v>6.09</v>
      </c>
      <c r="K5552" s="74">
        <f>Tabela6[[#This Row],[CONSUMO]]*Tabela6[[#This Row],[VALOR UNIT]]-Tabela6[[#This Row],[DESCONTO]]</f>
        <v>292.4418</v>
      </c>
      <c r="L5552" s="53">
        <f>Tabela6[[#This Row],[CUSTO TOTAL]]/Tabela6[[#This Row],[CONSUMO]]</f>
        <v>6.09</v>
      </c>
      <c r="M5552" s="53" t="e">
        <f t="array" ref="M5552">SE</f>
        <v>#NAME?</v>
      </c>
      <c r="N5552" s="49" t="e">
        <f>Tabela6[[#This Row],[KM Rodados ]]/Tabela6[[#This Row],[CONSUMO]]</f>
        <v>#NAME?</v>
      </c>
    </row>
    <row r="5553" spans="1:14" x14ac:dyDescent="0.25">
      <c r="A5553" s="47">
        <v>309940</v>
      </c>
      <c r="B5553" s="78">
        <v>45622</v>
      </c>
      <c r="C5553" s="47" t="s">
        <v>401</v>
      </c>
      <c r="D5553" s="49" t="s">
        <v>262</v>
      </c>
      <c r="E5553" s="47">
        <v>71803</v>
      </c>
      <c r="G5553" s="50" t="s">
        <v>241</v>
      </c>
      <c r="H5553" s="51">
        <v>29.413</v>
      </c>
      <c r="I5553" s="49">
        <v>10.58</v>
      </c>
      <c r="J5553" s="51">
        <v>3.69</v>
      </c>
      <c r="K5553" s="74">
        <f>Tabela6[[#This Row],[CONSUMO]]*Tabela6[[#This Row],[VALOR UNIT]]-Tabela6[[#This Row],[DESCONTO]]</f>
        <v>97.953969999999998</v>
      </c>
      <c r="L5553" s="53">
        <f>Tabela6[[#This Row],[CUSTO TOTAL]]/Tabela6[[#This Row],[CONSUMO]]</f>
        <v>3.3302951076054805</v>
      </c>
      <c r="M5553" s="53" t="e">
        <f t="array" ref="M5553">SE</f>
        <v>#NAME?</v>
      </c>
      <c r="N5553" s="49" t="e">
        <f>Tabela6[[#This Row],[KM Rodados ]]/Tabela6[[#This Row],[CONSUMO]]</f>
        <v>#NAME?</v>
      </c>
    </row>
    <row r="5554" spans="1:14" x14ac:dyDescent="0.25">
      <c r="A5554" s="47">
        <v>1792443</v>
      </c>
      <c r="B5554" s="78">
        <v>45622</v>
      </c>
      <c r="C5554" s="47" t="s">
        <v>446</v>
      </c>
      <c r="D5554" s="49" t="s">
        <v>305</v>
      </c>
      <c r="E5554" s="47">
        <v>64741</v>
      </c>
      <c r="G5554" s="50" t="s">
        <v>89</v>
      </c>
      <c r="H5554" s="51">
        <v>150.26</v>
      </c>
      <c r="J5554" s="51">
        <v>6.01</v>
      </c>
      <c r="K5554" s="74">
        <f>Tabela6[[#This Row],[CONSUMO]]*Tabela6[[#This Row],[VALOR UNIT]]-Tabela6[[#This Row],[DESCONTO]]</f>
        <v>903.06259999999986</v>
      </c>
      <c r="L5554" s="53">
        <f>Tabela6[[#This Row],[CUSTO TOTAL]]/Tabela6[[#This Row],[CONSUMO]]</f>
        <v>6.01</v>
      </c>
      <c r="M5554" s="53" t="e">
        <f t="array" ref="M5554">SE</f>
        <v>#NAME?</v>
      </c>
      <c r="N5554" s="49" t="e">
        <f>Tabela6[[#This Row],[KM Rodados ]]/Tabela6[[#This Row],[CONSUMO]]</f>
        <v>#NAME?</v>
      </c>
    </row>
    <row r="5555" spans="1:14" x14ac:dyDescent="0.25">
      <c r="A5555" s="47">
        <v>309963</v>
      </c>
      <c r="B5555" s="78">
        <v>45622</v>
      </c>
      <c r="C5555" s="47" t="s">
        <v>569</v>
      </c>
      <c r="D5555" s="49" t="s">
        <v>262</v>
      </c>
      <c r="E5555" s="47">
        <v>2769</v>
      </c>
      <c r="G5555" s="50" t="s">
        <v>241</v>
      </c>
      <c r="H5555" s="51">
        <v>30.641999999999999</v>
      </c>
      <c r="I5555" s="49">
        <v>11.03</v>
      </c>
      <c r="J5555" s="51">
        <v>3.69</v>
      </c>
      <c r="K5555" s="74">
        <f>Tabela6[[#This Row],[CONSUMO]]*Tabela6[[#This Row],[VALOR UNIT]]-Tabela6[[#This Row],[DESCONTO]]</f>
        <v>102.03898</v>
      </c>
      <c r="L5555" s="53">
        <f>Tabela6[[#This Row],[CUSTO TOTAL]]/Tabela6[[#This Row],[CONSUMO]]</f>
        <v>3.3300365511389596</v>
      </c>
      <c r="M5555" s="53" t="e">
        <f t="array" ref="M5555">SE</f>
        <v>#NAME?</v>
      </c>
      <c r="N5555" s="49" t="e">
        <f>Tabela6[[#This Row],[KM Rodados ]]/Tabela6[[#This Row],[CONSUMO]]</f>
        <v>#NAME?</v>
      </c>
    </row>
    <row r="5556" spans="1:14" x14ac:dyDescent="0.25">
      <c r="A5556" s="47">
        <v>249233</v>
      </c>
      <c r="B5556" s="78">
        <v>45623</v>
      </c>
      <c r="C5556" s="47" t="s">
        <v>68</v>
      </c>
      <c r="D5556" s="49" t="s">
        <v>263</v>
      </c>
      <c r="E5556" s="47">
        <v>102408</v>
      </c>
      <c r="G5556" s="50" t="s">
        <v>89</v>
      </c>
      <c r="H5556" s="51">
        <v>497.26100000000002</v>
      </c>
      <c r="I5556" s="49">
        <v>74.59</v>
      </c>
      <c r="J5556" s="51">
        <v>6.14</v>
      </c>
      <c r="K5556" s="74">
        <f>Tabela6[[#This Row],[CONSUMO]]*Tabela6[[#This Row],[VALOR UNIT]]-Tabela6[[#This Row],[DESCONTO]]</f>
        <v>2978.5925399999996</v>
      </c>
      <c r="L5556" s="53">
        <f>Tabela6[[#This Row],[CUSTO TOTAL]]/Tabela6[[#This Row],[CONSUMO]]</f>
        <v>5.9899982906361036</v>
      </c>
      <c r="M5556" s="53" t="e">
        <f t="array" ref="M5556">SE</f>
        <v>#NAME?</v>
      </c>
      <c r="N5556" s="49" t="e">
        <f>Tabela6[[#This Row],[KM Rodados ]]/Tabela6[[#This Row],[CONSUMO]]</f>
        <v>#NAME?</v>
      </c>
    </row>
    <row r="5557" spans="1:14" x14ac:dyDescent="0.25">
      <c r="A5557" s="47">
        <v>310237</v>
      </c>
      <c r="B5557" s="78">
        <v>45623</v>
      </c>
      <c r="C5557" s="47" t="s">
        <v>203</v>
      </c>
      <c r="D5557" s="49" t="s">
        <v>262</v>
      </c>
      <c r="E5557" s="47">
        <v>187832</v>
      </c>
      <c r="G5557" s="50" t="s">
        <v>244</v>
      </c>
      <c r="H5557" s="51">
        <v>43.73</v>
      </c>
      <c r="J5557" s="51">
        <v>5.99</v>
      </c>
      <c r="K5557" s="74">
        <f>Tabela6[[#This Row],[CONSUMO]]*Tabela6[[#This Row],[VALOR UNIT]]-Tabela6[[#This Row],[DESCONTO]]</f>
        <v>261.9427</v>
      </c>
      <c r="L5557" s="53">
        <f>Tabela6[[#This Row],[CUSTO TOTAL]]/Tabela6[[#This Row],[CONSUMO]]</f>
        <v>5.99</v>
      </c>
      <c r="M5557" s="53" t="e">
        <f t="array" ref="M5557">SE</f>
        <v>#NAME?</v>
      </c>
      <c r="N5557" s="49" t="e">
        <f>Tabela6[[#This Row],[KM Rodados ]]/Tabela6[[#This Row],[CONSUMO]]</f>
        <v>#NAME?</v>
      </c>
    </row>
    <row r="5558" spans="1:14" x14ac:dyDescent="0.25">
      <c r="A5558" s="47">
        <v>853657</v>
      </c>
      <c r="B5558" s="78">
        <v>45623</v>
      </c>
      <c r="C5558" s="47" t="s">
        <v>13</v>
      </c>
      <c r="D5558" s="49" t="s">
        <v>277</v>
      </c>
      <c r="E5558" s="47">
        <v>719731</v>
      </c>
      <c r="G5558" s="50" t="s">
        <v>89</v>
      </c>
      <c r="H5558" s="51">
        <v>115.02419999999999</v>
      </c>
      <c r="J5558" s="51">
        <v>6.19</v>
      </c>
      <c r="K5558" s="74">
        <f>Tabela6[[#This Row],[CONSUMO]]*Tabela6[[#This Row],[VALOR UNIT]]-Tabela6[[#This Row],[DESCONTO]]</f>
        <v>711.99979800000006</v>
      </c>
      <c r="L5558" s="53">
        <f>Tabela6[[#This Row],[CUSTO TOTAL]]/Tabela6[[#This Row],[CONSUMO]]</f>
        <v>6.1900000000000013</v>
      </c>
      <c r="M5558" s="53" t="e">
        <f t="array" ref="M5558">SE</f>
        <v>#NAME?</v>
      </c>
      <c r="N5558" s="49" t="e">
        <f>Tabela6[[#This Row],[KM Rodados ]]/Tabela6[[#This Row],[CONSUMO]]</f>
        <v>#NAME?</v>
      </c>
    </row>
    <row r="5559" spans="1:14" x14ac:dyDescent="0.25">
      <c r="A5559" s="47">
        <v>310194</v>
      </c>
      <c r="B5559" s="78">
        <v>45623</v>
      </c>
      <c r="C5559" s="47" t="s">
        <v>354</v>
      </c>
      <c r="D5559" s="49" t="s">
        <v>262</v>
      </c>
      <c r="E5559" s="47">
        <v>77291</v>
      </c>
      <c r="G5559" s="50" t="s">
        <v>241</v>
      </c>
      <c r="H5559" s="51">
        <v>18.271999999999998</v>
      </c>
      <c r="I5559" s="49">
        <v>6.57</v>
      </c>
      <c r="J5559" s="51">
        <v>3.69</v>
      </c>
      <c r="K5559" s="74">
        <f>Tabela6[[#This Row],[CONSUMO]]*Tabela6[[#This Row],[VALOR UNIT]]-Tabela6[[#This Row],[DESCONTO]]</f>
        <v>60.85367999999999</v>
      </c>
      <c r="L5559" s="53">
        <f>Tabela6[[#This Row],[CUSTO TOTAL]]/Tabela6[[#This Row],[CONSUMO]]</f>
        <v>3.3304334500875652</v>
      </c>
      <c r="M5559" s="53" t="e">
        <f t="array" ref="M5559">SE</f>
        <v>#NAME?</v>
      </c>
      <c r="N5559" s="49" t="e">
        <f>Tabela6[[#This Row],[KM Rodados ]]/Tabela6[[#This Row],[CONSUMO]]</f>
        <v>#NAME?</v>
      </c>
    </row>
    <row r="5560" spans="1:14" x14ac:dyDescent="0.25">
      <c r="A5560" s="47">
        <v>310200</v>
      </c>
      <c r="B5560" s="78">
        <v>45623</v>
      </c>
      <c r="C5560" s="47" t="s">
        <v>446</v>
      </c>
      <c r="D5560" s="49" t="s">
        <v>262</v>
      </c>
      <c r="E5560" s="47">
        <v>67245</v>
      </c>
      <c r="G5560" s="50" t="s">
        <v>241</v>
      </c>
      <c r="H5560" s="51">
        <v>20.103000000000002</v>
      </c>
      <c r="I5560" s="49">
        <v>7.24</v>
      </c>
      <c r="J5560" s="51">
        <v>3.69</v>
      </c>
      <c r="K5560" s="74">
        <f>Tabela6[[#This Row],[CONSUMO]]*Tabela6[[#This Row],[VALOR UNIT]]-Tabela6[[#This Row],[DESCONTO]]</f>
        <v>66.940070000000006</v>
      </c>
      <c r="L5560" s="53">
        <f>Tabela6[[#This Row],[CUSTO TOTAL]]/Tabela6[[#This Row],[CONSUMO]]</f>
        <v>3.3298547480475551</v>
      </c>
      <c r="M5560" s="53" t="e">
        <f t="array" ref="M5560">SE</f>
        <v>#NAME?</v>
      </c>
      <c r="N5560" s="49" t="e">
        <f>Tabela6[[#This Row],[KM Rodados ]]/Tabela6[[#This Row],[CONSUMO]]</f>
        <v>#NAME?</v>
      </c>
    </row>
    <row r="5561" spans="1:14" x14ac:dyDescent="0.25">
      <c r="A5561" s="47">
        <v>305981</v>
      </c>
      <c r="B5561" s="78">
        <v>45624</v>
      </c>
      <c r="C5561" s="47" t="s">
        <v>39</v>
      </c>
      <c r="D5561" s="49" t="s">
        <v>253</v>
      </c>
      <c r="E5561" s="47">
        <v>137501</v>
      </c>
      <c r="G5561" s="50" t="s">
        <v>89</v>
      </c>
      <c r="H5561" s="51">
        <v>84.22</v>
      </c>
      <c r="J5561" s="51">
        <v>6.09</v>
      </c>
      <c r="K5561" s="74">
        <f>Tabela6[[#This Row],[CONSUMO]]*Tabela6[[#This Row],[VALOR UNIT]]-Tabela6[[#This Row],[DESCONTO]]</f>
        <v>512.89980000000003</v>
      </c>
      <c r="L5561" s="53">
        <f>Tabela6[[#This Row],[CUSTO TOTAL]]/Tabela6[[#This Row],[CONSUMO]]</f>
        <v>6.0900000000000007</v>
      </c>
      <c r="M5561" s="53" t="e">
        <f t="array" ref="M5561">SE</f>
        <v>#NAME?</v>
      </c>
      <c r="N5561" s="49" t="e">
        <f>Tabela6[[#This Row],[KM Rodados ]]/Tabela6[[#This Row],[CONSUMO]]</f>
        <v>#NAME?</v>
      </c>
    </row>
    <row r="5562" spans="1:14" x14ac:dyDescent="0.25">
      <c r="A5562" s="47">
        <v>310406</v>
      </c>
      <c r="B5562" s="78">
        <v>45624</v>
      </c>
      <c r="C5562" s="47" t="s">
        <v>19</v>
      </c>
      <c r="D5562" s="49" t="s">
        <v>262</v>
      </c>
      <c r="E5562" s="47">
        <v>416706</v>
      </c>
      <c r="G5562" s="50" t="s">
        <v>241</v>
      </c>
      <c r="H5562" s="51">
        <v>20.103000000000002</v>
      </c>
      <c r="I5562" s="49">
        <v>7.24</v>
      </c>
      <c r="J5562" s="51">
        <v>3.69</v>
      </c>
      <c r="K5562" s="74">
        <f>Tabela6[[#This Row],[CONSUMO]]*Tabela6[[#This Row],[VALOR UNIT]]-Tabela6[[#This Row],[DESCONTO]]</f>
        <v>66.940070000000006</v>
      </c>
      <c r="L5562" s="53">
        <f>Tabela6[[#This Row],[CUSTO TOTAL]]/Tabela6[[#This Row],[CONSUMO]]</f>
        <v>3.3298547480475551</v>
      </c>
      <c r="M5562" s="53" t="e">
        <f t="array" ref="M5562">SE</f>
        <v>#NAME?</v>
      </c>
      <c r="N5562" s="49" t="e">
        <f>Tabela6[[#This Row],[KM Rodados ]]/Tabela6[[#This Row],[CONSUMO]]</f>
        <v>#NAME?</v>
      </c>
    </row>
    <row r="5563" spans="1:14" x14ac:dyDescent="0.25">
      <c r="A5563" s="47">
        <v>385754</v>
      </c>
      <c r="B5563" s="78">
        <v>45624</v>
      </c>
      <c r="C5563" s="47" t="s">
        <v>20</v>
      </c>
      <c r="D5563" s="49" t="s">
        <v>253</v>
      </c>
      <c r="E5563" s="47">
        <v>331507</v>
      </c>
      <c r="G5563" s="50" t="s">
        <v>89</v>
      </c>
      <c r="H5563" s="51">
        <v>73.790000000000006</v>
      </c>
      <c r="J5563" s="51">
        <v>6.09</v>
      </c>
      <c r="K5563" s="74">
        <f>Tabela6[[#This Row],[CONSUMO]]*Tabela6[[#This Row],[VALOR UNIT]]-Tabela6[[#This Row],[DESCONTO]]</f>
        <v>449.3811</v>
      </c>
      <c r="L5563" s="53">
        <f>Tabela6[[#This Row],[CUSTO TOTAL]]/Tabela6[[#This Row],[CONSUMO]]</f>
        <v>6.09</v>
      </c>
      <c r="M5563" s="53" t="e">
        <f t="array" ref="M5563">SE</f>
        <v>#NAME?</v>
      </c>
      <c r="N5563" s="49" t="e">
        <f>Tabela6[[#This Row],[KM Rodados ]]/Tabela6[[#This Row],[CONSUMO]]</f>
        <v>#NAME?</v>
      </c>
    </row>
    <row r="5564" spans="1:14" x14ac:dyDescent="0.25">
      <c r="A5564" s="47">
        <v>310393</v>
      </c>
      <c r="B5564" s="78">
        <v>45624</v>
      </c>
      <c r="C5564" s="47" t="s">
        <v>40</v>
      </c>
      <c r="D5564" s="49" t="s">
        <v>262</v>
      </c>
      <c r="E5564" s="47">
        <v>231424</v>
      </c>
      <c r="G5564" s="50" t="s">
        <v>244</v>
      </c>
      <c r="H5564" s="51">
        <v>36.71</v>
      </c>
      <c r="J5564" s="51">
        <v>5.99</v>
      </c>
      <c r="K5564" s="74">
        <f>Tabela6[[#This Row],[CONSUMO]]*Tabela6[[#This Row],[VALOR UNIT]]-Tabela6[[#This Row],[DESCONTO]]</f>
        <v>219.89290000000003</v>
      </c>
      <c r="L5564" s="53">
        <f>Tabela6[[#This Row],[CUSTO TOTAL]]/Tabela6[[#This Row],[CONSUMO]]</f>
        <v>5.99</v>
      </c>
      <c r="M5564" s="53" t="e">
        <f t="array" ref="M5564">SE</f>
        <v>#NAME?</v>
      </c>
      <c r="N5564" s="49" t="e">
        <f>Tabela6[[#This Row],[KM Rodados ]]/Tabela6[[#This Row],[CONSUMO]]</f>
        <v>#NAME?</v>
      </c>
    </row>
    <row r="5565" spans="1:14" x14ac:dyDescent="0.25">
      <c r="A5565" s="47">
        <v>458157</v>
      </c>
      <c r="B5565" s="78">
        <v>45625</v>
      </c>
      <c r="C5565" s="47" t="s">
        <v>17</v>
      </c>
      <c r="D5565" s="49" t="s">
        <v>262</v>
      </c>
      <c r="E5565" s="47">
        <v>449397</v>
      </c>
      <c r="G5565" s="50" t="s">
        <v>241</v>
      </c>
      <c r="H5565" s="51">
        <v>26.704999999999998</v>
      </c>
      <c r="J5565" s="51">
        <v>3.69</v>
      </c>
      <c r="K5565" s="74">
        <f>Tabela6[[#This Row],[CONSUMO]]*Tabela6[[#This Row],[VALOR UNIT]]-Tabela6[[#This Row],[DESCONTO]]</f>
        <v>98.541449999999998</v>
      </c>
      <c r="L5565" s="53">
        <f>Tabela6[[#This Row],[CUSTO TOTAL]]/Tabela6[[#This Row],[CONSUMO]]</f>
        <v>3.69</v>
      </c>
      <c r="M5565" s="53" t="e">
        <f t="array" ref="M5565">SE</f>
        <v>#NAME?</v>
      </c>
      <c r="N5565" s="49" t="e">
        <f>Tabela6[[#This Row],[KM Rodados ]]/Tabela6[[#This Row],[CONSUMO]]</f>
        <v>#NAME?</v>
      </c>
    </row>
    <row r="5566" spans="1:14" x14ac:dyDescent="0.25">
      <c r="A5566" s="47">
        <v>249646</v>
      </c>
      <c r="B5566" s="78">
        <v>45625</v>
      </c>
      <c r="C5566" s="47" t="s">
        <v>38</v>
      </c>
      <c r="D5566" s="49" t="s">
        <v>263</v>
      </c>
      <c r="E5566" s="47">
        <v>158530</v>
      </c>
      <c r="G5566" s="50" t="s">
        <v>244</v>
      </c>
      <c r="H5566" s="51">
        <v>42.53</v>
      </c>
      <c r="J5566" s="51">
        <v>6.14</v>
      </c>
      <c r="K5566" s="74">
        <f>Tabela6[[#This Row],[CONSUMO]]*Tabela6[[#This Row],[VALOR UNIT]]-Tabela6[[#This Row],[DESCONTO]]</f>
        <v>261.13420000000002</v>
      </c>
      <c r="L5566" s="53">
        <f>Tabela6[[#This Row],[CUSTO TOTAL]]/Tabela6[[#This Row],[CONSUMO]]</f>
        <v>6.1400000000000006</v>
      </c>
      <c r="M5566" s="53" t="e">
        <f t="array" ref="M5566">SE</f>
        <v>#NAME?</v>
      </c>
      <c r="N5566" s="49" t="e">
        <f>Tabela6[[#This Row],[KM Rodados ]]/Tabela6[[#This Row],[CONSUMO]]</f>
        <v>#NAME?</v>
      </c>
    </row>
    <row r="5567" spans="1:14" x14ac:dyDescent="0.25">
      <c r="A5567" s="47">
        <v>310771</v>
      </c>
      <c r="B5567" s="78">
        <v>45625</v>
      </c>
      <c r="C5567" s="47" t="s">
        <v>40</v>
      </c>
      <c r="D5567" s="49" t="s">
        <v>262</v>
      </c>
      <c r="E5567" s="47">
        <v>231974</v>
      </c>
      <c r="G5567" s="50" t="s">
        <v>244</v>
      </c>
      <c r="H5567" s="51">
        <v>44.588999999999999</v>
      </c>
      <c r="J5567" s="51">
        <v>5.99</v>
      </c>
      <c r="K5567" s="74">
        <f>Tabela6[[#This Row],[CONSUMO]]*Tabela6[[#This Row],[VALOR UNIT]]-Tabela6[[#This Row],[DESCONTO]]</f>
        <v>267.08811000000003</v>
      </c>
      <c r="L5567" s="53">
        <f>Tabela6[[#This Row],[CUSTO TOTAL]]/Tabela6[[#This Row],[CONSUMO]]</f>
        <v>5.9900000000000011</v>
      </c>
      <c r="M5567" s="53" t="e">
        <f t="array" ref="M5567">SE</f>
        <v>#NAME?</v>
      </c>
      <c r="N5567" s="49" t="e">
        <f>Tabela6[[#This Row],[KM Rodados ]]/Tabela6[[#This Row],[CONSUMO]]</f>
        <v>#NAME?</v>
      </c>
    </row>
    <row r="5568" spans="1:14" x14ac:dyDescent="0.25">
      <c r="A5568" s="47">
        <v>310716</v>
      </c>
      <c r="B5568" s="78">
        <v>45625</v>
      </c>
      <c r="C5568" s="47" t="s">
        <v>74</v>
      </c>
      <c r="D5568" s="49" t="s">
        <v>262</v>
      </c>
      <c r="E5568" s="47">
        <v>165487</v>
      </c>
      <c r="G5568" s="50" t="s">
        <v>241</v>
      </c>
      <c r="H5568" s="51">
        <v>5.0819999999999999</v>
      </c>
      <c r="I5568" s="49">
        <v>1.83</v>
      </c>
      <c r="J5568" s="51">
        <v>3.69</v>
      </c>
      <c r="K5568" s="74">
        <f>Tabela6[[#This Row],[CONSUMO]]*Tabela6[[#This Row],[VALOR UNIT]]-Tabela6[[#This Row],[DESCONTO]]</f>
        <v>16.922579999999996</v>
      </c>
      <c r="L5568" s="53">
        <f>Tabela6[[#This Row],[CUSTO TOTAL]]/Tabela6[[#This Row],[CONSUMO]]</f>
        <v>3.3299055489964573</v>
      </c>
      <c r="M5568" s="53" t="e">
        <f t="array" ref="M5568">SE</f>
        <v>#NAME?</v>
      </c>
      <c r="N5568" s="49" t="e">
        <f>Tabela6[[#This Row],[KM Rodados ]]/Tabela6[[#This Row],[CONSUMO]]</f>
        <v>#NAME?</v>
      </c>
    </row>
    <row r="5569" spans="1:14" x14ac:dyDescent="0.25">
      <c r="A5569" s="117">
        <v>250073</v>
      </c>
      <c r="B5569" s="78">
        <v>45628</v>
      </c>
      <c r="C5569" s="47" t="s">
        <v>43</v>
      </c>
      <c r="D5569" s="49" t="s">
        <v>263</v>
      </c>
      <c r="E5569" s="117"/>
      <c r="G5569" s="50" t="s">
        <v>89</v>
      </c>
      <c r="H5569" s="51">
        <v>27.1</v>
      </c>
      <c r="I5569" s="49">
        <v>4.07</v>
      </c>
      <c r="J5569" s="51">
        <v>6.14</v>
      </c>
      <c r="K5569" s="74">
        <f>Tabela6[[#This Row],[CONSUMO]]*Tabela6[[#This Row],[VALOR UNIT]]-Tabela6[[#This Row],[DESCONTO]]</f>
        <v>162.32400000000001</v>
      </c>
      <c r="L5569" s="53">
        <f>Tabela6[[#This Row],[CUSTO TOTAL]]/Tabela6[[#This Row],[CONSUMO]]</f>
        <v>5.9898154981549814</v>
      </c>
      <c r="M5569" s="53" t="e">
        <f t="array" ref="M5569">SE</f>
        <v>#NAME?</v>
      </c>
      <c r="N5569" s="118" t="e">
        <f>Tabela6[[#This Row],[KM Rodados ]]/Tabela6[[#This Row],[CONSUMO]]</f>
        <v>#NAME?</v>
      </c>
    </row>
    <row r="5570" spans="1:14" x14ac:dyDescent="0.25">
      <c r="A5570" s="117">
        <v>459644</v>
      </c>
      <c r="B5570" s="78">
        <v>45629</v>
      </c>
      <c r="C5570" s="47" t="s">
        <v>203</v>
      </c>
      <c r="D5570" s="49" t="s">
        <v>276</v>
      </c>
      <c r="E5570" s="121">
        <v>189035</v>
      </c>
      <c r="G5570" s="50" t="s">
        <v>244</v>
      </c>
      <c r="H5570" s="51">
        <v>47.12</v>
      </c>
      <c r="J5570" s="51">
        <v>6.09</v>
      </c>
      <c r="K5570" s="74">
        <f>Tabela6[[#This Row],[CONSUMO]]*Tabela6[[#This Row],[VALOR UNIT]]-Tabela6[[#This Row],[DESCONTO]]</f>
        <v>286.96080000000001</v>
      </c>
      <c r="L5570" s="53">
        <f>Tabela6[[#This Row],[CUSTO TOTAL]]/Tabela6[[#This Row],[CONSUMO]]</f>
        <v>6.0900000000000007</v>
      </c>
      <c r="M5570" s="53" t="e">
        <f t="array" ref="M5570">SE</f>
        <v>#NAME?</v>
      </c>
      <c r="N5570" s="118" t="e">
        <f>Tabela6[[#This Row],[KM Rodados ]]/Tabela6[[#This Row],[CONSUMO]]</f>
        <v>#NAME?</v>
      </c>
    </row>
    <row r="5571" spans="1:14" x14ac:dyDescent="0.25">
      <c r="A5571" s="117">
        <v>1335677</v>
      </c>
      <c r="B5571" s="78">
        <v>45629</v>
      </c>
      <c r="C5571" s="47" t="s">
        <v>72</v>
      </c>
      <c r="D5571" s="49" t="s">
        <v>590</v>
      </c>
      <c r="E5571" s="117">
        <v>486078</v>
      </c>
      <c r="G5571" s="50" t="s">
        <v>89</v>
      </c>
      <c r="H5571" s="51">
        <v>41.78</v>
      </c>
      <c r="J5571" s="51">
        <v>6.49</v>
      </c>
      <c r="K5571" s="74">
        <f>Tabela6[[#This Row],[CONSUMO]]*Tabela6[[#This Row],[VALOR UNIT]]-Tabela6[[#This Row],[DESCONTO]]</f>
        <v>271.15219999999999</v>
      </c>
      <c r="L5571" s="53">
        <f>Tabela6[[#This Row],[CUSTO TOTAL]]/Tabela6[[#This Row],[CONSUMO]]</f>
        <v>6.4899999999999993</v>
      </c>
      <c r="M5571" s="53" t="e">
        <f t="array" ref="M5571">SE</f>
        <v>#NAME?</v>
      </c>
      <c r="N5571" s="118" t="e">
        <f>Tabela6[[#This Row],[KM Rodados ]]/Tabela6[[#This Row],[CONSUMO]]</f>
        <v>#NAME?</v>
      </c>
    </row>
    <row r="5572" spans="1:14" x14ac:dyDescent="0.25">
      <c r="A5572" s="117">
        <v>459656</v>
      </c>
      <c r="B5572" s="78">
        <v>45629</v>
      </c>
      <c r="C5572" s="47" t="s">
        <v>40</v>
      </c>
      <c r="D5572" s="49" t="s">
        <v>276</v>
      </c>
      <c r="E5572" s="117">
        <v>232429</v>
      </c>
      <c r="G5572" s="50" t="s">
        <v>244</v>
      </c>
      <c r="H5572" s="51">
        <v>34.299999999999997</v>
      </c>
      <c r="J5572" s="51">
        <v>6.09</v>
      </c>
      <c r="K5572" s="74">
        <f>Tabela6[[#This Row],[CONSUMO]]*Tabela6[[#This Row],[VALOR UNIT]]-Tabela6[[#This Row],[DESCONTO]]</f>
        <v>208.88699999999997</v>
      </c>
      <c r="L5572" s="53">
        <f>Tabela6[[#This Row],[CUSTO TOTAL]]/Tabela6[[#This Row],[CONSUMO]]</f>
        <v>6.09</v>
      </c>
      <c r="M5572" s="53" t="e">
        <f t="array" ref="M5572">SE</f>
        <v>#NAME?</v>
      </c>
      <c r="N5572" s="118" t="e">
        <f>Tabela6[[#This Row],[KM Rodados ]]/Tabela6[[#This Row],[CONSUMO]]</f>
        <v>#NAME?</v>
      </c>
    </row>
    <row r="5573" spans="1:14" x14ac:dyDescent="0.25">
      <c r="A5573" s="117">
        <v>311951</v>
      </c>
      <c r="B5573" s="78">
        <v>45630</v>
      </c>
      <c r="C5573" s="47" t="s">
        <v>38</v>
      </c>
      <c r="D5573" s="49" t="s">
        <v>262</v>
      </c>
      <c r="E5573" s="117">
        <v>158963</v>
      </c>
      <c r="G5573" s="50" t="s">
        <v>244</v>
      </c>
      <c r="H5573" s="51">
        <v>39.229999999999997</v>
      </c>
      <c r="J5573" s="51">
        <v>5.99</v>
      </c>
      <c r="K5573" s="74">
        <f>Tabela6[[#This Row],[CONSUMO]]*Tabela6[[#This Row],[VALOR UNIT]]-Tabela6[[#This Row],[DESCONTO]]</f>
        <v>234.98769999999999</v>
      </c>
      <c r="L5573" s="53">
        <f>Tabela6[[#This Row],[CUSTO TOTAL]]/Tabela6[[#This Row],[CONSUMO]]</f>
        <v>5.99</v>
      </c>
      <c r="M5573" s="53" t="e">
        <f t="array" ref="M5573">SE</f>
        <v>#NAME?</v>
      </c>
      <c r="N5573" s="118" t="e">
        <f>Tabela6[[#This Row],[KM Rodados ]]/Tabela6[[#This Row],[CONSUMO]]</f>
        <v>#NAME?</v>
      </c>
    </row>
    <row r="5574" spans="1:14" x14ac:dyDescent="0.25">
      <c r="A5574" s="117">
        <v>460204</v>
      </c>
      <c r="B5574" s="78">
        <v>45631</v>
      </c>
      <c r="C5574" s="47" t="s">
        <v>203</v>
      </c>
      <c r="D5574" s="49" t="s">
        <v>276</v>
      </c>
      <c r="E5574" s="117">
        <v>189571</v>
      </c>
      <c r="G5574" s="50" t="s">
        <v>244</v>
      </c>
      <c r="H5574" s="51">
        <v>42.69</v>
      </c>
      <c r="J5574" s="51">
        <v>6.09</v>
      </c>
      <c r="K5574" s="74">
        <f>Tabela6[[#This Row],[CONSUMO]]*Tabela6[[#This Row],[VALOR UNIT]]-Tabela6[[#This Row],[DESCONTO]]</f>
        <v>259.9821</v>
      </c>
      <c r="L5574" s="53">
        <f>Tabela6[[#This Row],[CUSTO TOTAL]]/Tabela6[[#This Row],[CONSUMO]]</f>
        <v>6.0900000000000007</v>
      </c>
      <c r="M5574" s="53" t="e">
        <f t="array" ref="M5574">SE</f>
        <v>#NAME?</v>
      </c>
      <c r="N5574" s="118" t="e">
        <f>Tabela6[[#This Row],[KM Rodados ]]/Tabela6[[#This Row],[CONSUMO]]</f>
        <v>#NAME?</v>
      </c>
    </row>
    <row r="5575" spans="1:14" x14ac:dyDescent="0.25">
      <c r="A5575" s="117">
        <v>391497</v>
      </c>
      <c r="B5575" s="78">
        <v>45631</v>
      </c>
      <c r="C5575" s="47" t="s">
        <v>12</v>
      </c>
      <c r="D5575" s="49" t="s">
        <v>253</v>
      </c>
      <c r="E5575" s="117">
        <v>351684</v>
      </c>
      <c r="G5575" s="50" t="s">
        <v>89</v>
      </c>
      <c r="H5575" s="51">
        <v>100.51</v>
      </c>
      <c r="J5575" s="51">
        <v>6.09</v>
      </c>
      <c r="K5575" s="74">
        <f>Tabela6[[#This Row],[CONSUMO]]*Tabela6[[#This Row],[VALOR UNIT]]-Tabela6[[#This Row],[DESCONTO]]</f>
        <v>612.10590000000002</v>
      </c>
      <c r="L5575" s="53">
        <f>Tabela6[[#This Row],[CUSTO TOTAL]]/Tabela6[[#This Row],[CONSUMO]]</f>
        <v>6.09</v>
      </c>
      <c r="M5575" s="53" t="e">
        <f t="array" ref="M5575">SE</f>
        <v>#NAME?</v>
      </c>
      <c r="N5575" s="118" t="e">
        <f>Tabela6[[#This Row],[KM Rodados ]]/Tabela6[[#This Row],[CONSUMO]]</f>
        <v>#NAME?</v>
      </c>
    </row>
    <row r="5576" spans="1:14" x14ac:dyDescent="0.25">
      <c r="A5576" s="117">
        <v>391606</v>
      </c>
      <c r="B5576" s="78">
        <v>45631</v>
      </c>
      <c r="C5576" s="47" t="s">
        <v>20</v>
      </c>
      <c r="D5576" s="49" t="s">
        <v>253</v>
      </c>
      <c r="E5576" s="117">
        <v>338022</v>
      </c>
      <c r="G5576" s="50" t="s">
        <v>89</v>
      </c>
      <c r="H5576" s="51">
        <v>45.93</v>
      </c>
      <c r="J5576" s="51">
        <v>6.09</v>
      </c>
      <c r="K5576" s="74">
        <f>Tabela6[[#This Row],[CONSUMO]]*Tabela6[[#This Row],[VALOR UNIT]]-Tabela6[[#This Row],[DESCONTO]]</f>
        <v>279.71370000000002</v>
      </c>
      <c r="L5576" s="53">
        <f>Tabela6[[#This Row],[CUSTO TOTAL]]/Tabela6[[#This Row],[CONSUMO]]</f>
        <v>6.0900000000000007</v>
      </c>
      <c r="M5576" s="53" t="e">
        <f t="array" ref="M5576">SE</f>
        <v>#NAME?</v>
      </c>
      <c r="N5576" s="118" t="e">
        <f>Tabela6[[#This Row],[KM Rodados ]]/Tabela6[[#This Row],[CONSUMO]]</f>
        <v>#NAME?</v>
      </c>
    </row>
    <row r="5577" spans="1:14" x14ac:dyDescent="0.25">
      <c r="A5577" s="117">
        <v>52646</v>
      </c>
      <c r="B5577" s="78">
        <v>45631</v>
      </c>
      <c r="C5577" s="47" t="s">
        <v>446</v>
      </c>
      <c r="D5577" s="49" t="s">
        <v>311</v>
      </c>
      <c r="E5577" s="117">
        <v>67110</v>
      </c>
      <c r="G5577" s="50" t="s">
        <v>241</v>
      </c>
      <c r="H5577" s="51">
        <v>30.01</v>
      </c>
      <c r="J5577" s="51">
        <v>3.44</v>
      </c>
      <c r="K5577" s="74">
        <f>Tabela6[[#This Row],[CONSUMO]]*Tabela6[[#This Row],[VALOR UNIT]]-Tabela6[[#This Row],[DESCONTO]]</f>
        <v>103.23440000000001</v>
      </c>
      <c r="L5577" s="53">
        <f>Tabela6[[#This Row],[CUSTO TOTAL]]/Tabela6[[#This Row],[CONSUMO]]</f>
        <v>3.44</v>
      </c>
      <c r="M5577" s="53" t="e">
        <f t="array" ref="M5577">SE</f>
        <v>#NAME?</v>
      </c>
      <c r="N5577" s="118" t="e">
        <f>Tabela6[[#This Row],[KM Rodados ]]/Tabela6[[#This Row],[CONSUMO]]</f>
        <v>#NAME?</v>
      </c>
    </row>
    <row r="5578" spans="1:14" x14ac:dyDescent="0.25">
      <c r="A5578" s="117">
        <v>40993</v>
      </c>
      <c r="B5578" s="78">
        <v>45632</v>
      </c>
      <c r="C5578" s="47" t="s">
        <v>43</v>
      </c>
      <c r="D5578" s="49" t="s">
        <v>589</v>
      </c>
      <c r="E5578" s="117">
        <v>220826</v>
      </c>
      <c r="G5578" s="50" t="s">
        <v>89</v>
      </c>
      <c r="H5578" s="51">
        <v>34.21</v>
      </c>
      <c r="J5578" s="51">
        <v>6.79</v>
      </c>
      <c r="K5578" s="74">
        <f>Tabela6[[#This Row],[CONSUMO]]*Tabela6[[#This Row],[VALOR UNIT]]-Tabela6[[#This Row],[DESCONTO]]</f>
        <v>232.2859</v>
      </c>
      <c r="L5578" s="53">
        <f>Tabela6[[#This Row],[CUSTO TOTAL]]/Tabela6[[#This Row],[CONSUMO]]</f>
        <v>6.79</v>
      </c>
      <c r="M5578" s="53" t="e">
        <f t="array" ref="M5578">SE</f>
        <v>#NAME?</v>
      </c>
      <c r="N5578" s="118" t="e">
        <f>Tabela6[[#This Row],[KM Rodados ]]/Tabela6[[#This Row],[CONSUMO]]</f>
        <v>#NAME?</v>
      </c>
    </row>
    <row r="5579" spans="1:14" x14ac:dyDescent="0.25">
      <c r="A5579" s="117">
        <v>312412</v>
      </c>
      <c r="B5579" s="78">
        <v>45632</v>
      </c>
      <c r="C5579" s="47" t="s">
        <v>215</v>
      </c>
      <c r="D5579" s="49" t="s">
        <v>262</v>
      </c>
      <c r="E5579" s="117">
        <v>246718</v>
      </c>
      <c r="G5579" s="50" t="s">
        <v>244</v>
      </c>
      <c r="H5579" s="51">
        <v>33.94</v>
      </c>
      <c r="J5579" s="51">
        <v>5.99</v>
      </c>
      <c r="K5579" s="74">
        <f>Tabela6[[#This Row],[CONSUMO]]*Tabela6[[#This Row],[VALOR UNIT]]-Tabela6[[#This Row],[DESCONTO]]</f>
        <v>203.3006</v>
      </c>
      <c r="L5579" s="53">
        <f>Tabela6[[#This Row],[CUSTO TOTAL]]/Tabela6[[#This Row],[CONSUMO]]</f>
        <v>5.99</v>
      </c>
      <c r="M5579" s="53" t="e">
        <f t="array" ref="M5579">SE</f>
        <v>#NAME?</v>
      </c>
      <c r="N5579" s="118" t="e">
        <f>Tabela6[[#This Row],[KM Rodados ]]/Tabela6[[#This Row],[CONSUMO]]</f>
        <v>#NAME?</v>
      </c>
    </row>
    <row r="5580" spans="1:14" x14ac:dyDescent="0.25">
      <c r="A5580" s="117">
        <v>312387</v>
      </c>
      <c r="B5580" s="78">
        <v>45632</v>
      </c>
      <c r="C5580" s="47" t="s">
        <v>70</v>
      </c>
      <c r="D5580" s="49" t="s">
        <v>262</v>
      </c>
      <c r="E5580" s="117">
        <v>331803</v>
      </c>
      <c r="G5580" s="50" t="s">
        <v>241</v>
      </c>
      <c r="H5580" s="51">
        <v>53.960999999999999</v>
      </c>
      <c r="I5580" s="49">
        <v>19.43</v>
      </c>
      <c r="J5580" s="51">
        <v>3.69</v>
      </c>
      <c r="K5580" s="74">
        <f>Tabela6[[#This Row],[CONSUMO]]*Tabela6[[#This Row],[VALOR UNIT]]-Tabela6[[#This Row],[DESCONTO]]</f>
        <v>179.68608999999998</v>
      </c>
      <c r="L5580" s="53">
        <f>Tabela6[[#This Row],[CUSTO TOTAL]]/Tabela6[[#This Row],[CONSUMO]]</f>
        <v>3.3299251311132112</v>
      </c>
      <c r="M5580" s="53" t="e">
        <f t="array" ref="M5580">SE</f>
        <v>#NAME?</v>
      </c>
      <c r="N5580" s="118" t="e">
        <f>Tabela6[[#This Row],[KM Rodados ]]/Tabela6[[#This Row],[CONSUMO]]</f>
        <v>#NAME?</v>
      </c>
    </row>
    <row r="5581" spans="1:14" x14ac:dyDescent="0.25">
      <c r="A5581" s="117">
        <v>460604</v>
      </c>
      <c r="B5581" s="78">
        <v>45632</v>
      </c>
      <c r="C5581" s="47" t="s">
        <v>203</v>
      </c>
      <c r="D5581" s="49" t="s">
        <v>276</v>
      </c>
      <c r="E5581" s="117">
        <v>479541</v>
      </c>
      <c r="G5581" s="50" t="s">
        <v>244</v>
      </c>
      <c r="H5581" s="51">
        <v>43.829000000000001</v>
      </c>
      <c r="J5581" s="51">
        <v>6.09</v>
      </c>
      <c r="K5581" s="74">
        <f>Tabela6[[#This Row],[CONSUMO]]*Tabela6[[#This Row],[VALOR UNIT]]-Tabela6[[#This Row],[DESCONTO]]</f>
        <v>266.91861</v>
      </c>
      <c r="L5581" s="53">
        <f>Tabela6[[#This Row],[CUSTO TOTAL]]/Tabela6[[#This Row],[CONSUMO]]</f>
        <v>6.09</v>
      </c>
      <c r="M5581" s="53" t="e">
        <f t="array" ref="M5581">SE</f>
        <v>#NAME?</v>
      </c>
      <c r="N5581" s="118" t="e">
        <f>Tabela6[[#This Row],[KM Rodados ]]/Tabela6[[#This Row],[CONSUMO]]</f>
        <v>#NAME?</v>
      </c>
    </row>
    <row r="5582" spans="1:14" x14ac:dyDescent="0.25">
      <c r="A5582" s="117">
        <v>1331018</v>
      </c>
      <c r="B5582" s="78">
        <v>45632</v>
      </c>
      <c r="C5582" s="47" t="s">
        <v>401</v>
      </c>
      <c r="D5582" s="49" t="s">
        <v>247</v>
      </c>
      <c r="E5582" s="117">
        <v>74426</v>
      </c>
      <c r="G5582" s="50" t="s">
        <v>89</v>
      </c>
      <c r="H5582" s="51">
        <v>81.3</v>
      </c>
      <c r="J5582" s="51">
        <v>6.15</v>
      </c>
      <c r="K5582" s="74">
        <f>Tabela6[[#This Row],[CONSUMO]]*Tabela6[[#This Row],[VALOR UNIT]]-Tabela6[[#This Row],[DESCONTO]]</f>
        <v>499.995</v>
      </c>
      <c r="L5582" s="53">
        <f>Tabela6[[#This Row],[CUSTO TOTAL]]/Tabela6[[#This Row],[CONSUMO]]</f>
        <v>6.15</v>
      </c>
      <c r="M5582" s="53" t="e">
        <f t="array" ref="M5582">SE</f>
        <v>#NAME?</v>
      </c>
      <c r="N5582" s="118" t="e">
        <f>Tabela6[[#This Row],[KM Rodados ]]/Tabela6[[#This Row],[CONSUMO]]</f>
        <v>#NAME?</v>
      </c>
    </row>
    <row r="5583" spans="1:14" x14ac:dyDescent="0.25">
      <c r="A5583" s="117">
        <v>1331018</v>
      </c>
      <c r="B5583" s="78">
        <v>45632</v>
      </c>
      <c r="C5583" s="47" t="s">
        <v>401</v>
      </c>
      <c r="D5583" s="49" t="s">
        <v>247</v>
      </c>
      <c r="E5583" s="117">
        <v>74426</v>
      </c>
      <c r="G5583" s="50" t="s">
        <v>241</v>
      </c>
      <c r="H5583" s="51">
        <v>29</v>
      </c>
      <c r="J5583" s="51">
        <v>3.09</v>
      </c>
      <c r="K5583" s="74">
        <f>Tabela6[[#This Row],[CONSUMO]]*Tabela6[[#This Row],[VALOR UNIT]]-Tabela6[[#This Row],[DESCONTO]]</f>
        <v>89.61</v>
      </c>
      <c r="L5583" s="53">
        <f>Tabela6[[#This Row],[CUSTO TOTAL]]/Tabela6[[#This Row],[CONSUMO]]</f>
        <v>3.09</v>
      </c>
      <c r="M5583" s="53" t="e">
        <f t="array" ref="M5583">SE</f>
        <v>#NAME?</v>
      </c>
      <c r="N5583" s="118" t="e">
        <f>Tabela6[[#This Row],[KM Rodados ]]/Tabela6[[#This Row],[CONSUMO]]</f>
        <v>#NAME?</v>
      </c>
    </row>
    <row r="5584" spans="1:14" x14ac:dyDescent="0.25">
      <c r="A5584" s="117">
        <v>312423</v>
      </c>
      <c r="B5584" s="78">
        <v>45632</v>
      </c>
      <c r="C5584" s="47" t="s">
        <v>426</v>
      </c>
      <c r="D5584" s="49" t="s">
        <v>262</v>
      </c>
      <c r="E5584" s="117">
        <v>65884</v>
      </c>
      <c r="G5584" s="50" t="s">
        <v>241</v>
      </c>
      <c r="H5584" s="51">
        <v>17.260000000000002</v>
      </c>
      <c r="I5584" s="49">
        <v>6.21</v>
      </c>
      <c r="J5584" s="51">
        <v>3.69</v>
      </c>
      <c r="K5584" s="74">
        <f>Tabela6[[#This Row],[CONSUMO]]*Tabela6[[#This Row],[VALOR UNIT]]-Tabela6[[#This Row],[DESCONTO]]</f>
        <v>57.479400000000005</v>
      </c>
      <c r="L5584" s="53">
        <f>Tabela6[[#This Row],[CUSTO TOTAL]]/Tabela6[[#This Row],[CONSUMO]]</f>
        <v>3.3302085747392818</v>
      </c>
      <c r="M5584" s="53" t="e">
        <f t="array" ref="M5584">SE</f>
        <v>#NAME?</v>
      </c>
      <c r="N5584" s="118" t="e">
        <f>Tabela6[[#This Row],[KM Rodados ]]/Tabela6[[#This Row],[CONSUMO]]</f>
        <v>#NAME?</v>
      </c>
    </row>
    <row r="5585" spans="1:14" x14ac:dyDescent="0.25">
      <c r="A5585" s="117">
        <v>1798161</v>
      </c>
      <c r="B5585" s="78">
        <v>45632</v>
      </c>
      <c r="C5585" s="47" t="s">
        <v>446</v>
      </c>
      <c r="D5585" s="49" t="s">
        <v>305</v>
      </c>
      <c r="E5585" s="117">
        <v>68184</v>
      </c>
      <c r="G5585" s="50" t="s">
        <v>89</v>
      </c>
      <c r="H5585" s="51">
        <v>110.02</v>
      </c>
      <c r="J5585" s="51">
        <v>6.08</v>
      </c>
      <c r="K5585" s="74">
        <f>Tabela6[[#This Row],[CONSUMO]]*Tabela6[[#This Row],[VALOR UNIT]]-Tabela6[[#This Row],[DESCONTO]]</f>
        <v>668.92160000000001</v>
      </c>
      <c r="L5585" s="53">
        <f>Tabela6[[#This Row],[CUSTO TOTAL]]/Tabela6[[#This Row],[CONSUMO]]</f>
        <v>6.08</v>
      </c>
      <c r="M5585" s="53" t="e">
        <f t="array" ref="M5585">SE</f>
        <v>#NAME?</v>
      </c>
      <c r="N5585" s="118" t="e">
        <f>Tabela6[[#This Row],[KM Rodados ]]/Tabela6[[#This Row],[CONSUMO]]</f>
        <v>#NAME?</v>
      </c>
    </row>
    <row r="5586" spans="1:14" x14ac:dyDescent="0.25">
      <c r="A5586" s="117">
        <v>312927</v>
      </c>
      <c r="B5586" s="78">
        <v>45634</v>
      </c>
      <c r="C5586" s="47" t="s">
        <v>206</v>
      </c>
      <c r="D5586" s="49" t="s">
        <v>262</v>
      </c>
      <c r="E5586" s="117">
        <v>1054580</v>
      </c>
      <c r="G5586" s="50" t="s">
        <v>241</v>
      </c>
      <c r="H5586" s="51">
        <v>41.603000000000002</v>
      </c>
      <c r="I5586" s="49">
        <v>14.98</v>
      </c>
      <c r="J5586" s="51">
        <v>3.69</v>
      </c>
      <c r="K5586" s="74">
        <f>Tabela6[[#This Row],[CONSUMO]]*Tabela6[[#This Row],[VALOR UNIT]]-Tabela6[[#This Row],[DESCONTO]]</f>
        <v>138.53507000000002</v>
      </c>
      <c r="L5586" s="53">
        <f>Tabela6[[#This Row],[CUSTO TOTAL]]/Tabela6[[#This Row],[CONSUMO]]</f>
        <v>3.3299298127538881</v>
      </c>
      <c r="M5586" s="53" t="e">
        <f t="array" ref="M5586">SE</f>
        <v>#NAME?</v>
      </c>
      <c r="N5586" s="118" t="e">
        <f>Tabela6[[#This Row],[KM Rodados ]]/Tabela6[[#This Row],[CONSUMO]]</f>
        <v>#NAME?</v>
      </c>
    </row>
    <row r="5587" spans="1:14" x14ac:dyDescent="0.25">
      <c r="A5587" s="117">
        <v>264605</v>
      </c>
      <c r="B5587" s="78">
        <v>45635</v>
      </c>
      <c r="C5587" s="47" t="s">
        <v>567</v>
      </c>
      <c r="D5587" s="49" t="s">
        <v>586</v>
      </c>
      <c r="E5587" s="117">
        <v>11828</v>
      </c>
      <c r="G5587" s="50" t="s">
        <v>241</v>
      </c>
      <c r="H5587" s="51">
        <v>71.319999999999993</v>
      </c>
      <c r="J5587" s="51">
        <v>3.89</v>
      </c>
      <c r="K5587" s="74">
        <f>Tabela6[[#This Row],[CONSUMO]]*Tabela6[[#This Row],[VALOR UNIT]]-Tabela6[[#This Row],[DESCONTO]]</f>
        <v>277.4348</v>
      </c>
      <c r="L5587" s="53">
        <f>Tabela6[[#This Row],[CUSTO TOTAL]]/Tabela6[[#This Row],[CONSUMO]]</f>
        <v>3.89</v>
      </c>
      <c r="M5587" s="53" t="e">
        <f t="array" ref="M5587">SE</f>
        <v>#NAME?</v>
      </c>
      <c r="N5587" s="118" t="e">
        <f>Tabela6[[#This Row],[KM Rodados ]]/Tabela6[[#This Row],[CONSUMO]]</f>
        <v>#NAME?</v>
      </c>
    </row>
    <row r="5588" spans="1:14" x14ac:dyDescent="0.25">
      <c r="A5588" s="117">
        <v>52408</v>
      </c>
      <c r="B5588" s="78">
        <v>45636</v>
      </c>
      <c r="C5588" s="47" t="s">
        <v>43</v>
      </c>
      <c r="D5588" s="49" t="s">
        <v>593</v>
      </c>
      <c r="E5588" s="117">
        <v>221372</v>
      </c>
      <c r="G5588" s="50" t="s">
        <v>89</v>
      </c>
      <c r="H5588" s="51">
        <v>30.76</v>
      </c>
      <c r="J5588" s="51">
        <v>5.89</v>
      </c>
      <c r="K5588" s="74">
        <f>Tabela6[[#This Row],[CONSUMO]]*Tabela6[[#This Row],[VALOR UNIT]]-Tabela6[[#This Row],[DESCONTO]]</f>
        <v>181.1764</v>
      </c>
      <c r="L5588" s="53">
        <f>Tabela6[[#This Row],[CUSTO TOTAL]]/Tabela6[[#This Row],[CONSUMO]]</f>
        <v>5.89</v>
      </c>
      <c r="M5588" s="53" t="e">
        <f t="array" ref="M5588">SE</f>
        <v>#NAME?</v>
      </c>
      <c r="N5588" s="118" t="e">
        <f>Tabela6[[#This Row],[KM Rodados ]]/Tabela6[[#This Row],[CONSUMO]]</f>
        <v>#NAME?</v>
      </c>
    </row>
    <row r="5589" spans="1:14" x14ac:dyDescent="0.25">
      <c r="A5589" s="117">
        <v>64328</v>
      </c>
      <c r="B5589" s="78">
        <v>45636</v>
      </c>
      <c r="C5589" s="47" t="s">
        <v>301</v>
      </c>
      <c r="D5589" s="49" t="s">
        <v>275</v>
      </c>
      <c r="E5589" s="117">
        <v>114096</v>
      </c>
      <c r="G5589" s="50" t="s">
        <v>241</v>
      </c>
      <c r="H5589" s="51">
        <v>38</v>
      </c>
      <c r="J5589" s="51">
        <v>3.79</v>
      </c>
      <c r="K5589" s="74">
        <f>Tabela6[[#This Row],[CONSUMO]]*Tabela6[[#This Row],[VALOR UNIT]]-Tabela6[[#This Row],[DESCONTO]]</f>
        <v>144.02000000000001</v>
      </c>
      <c r="L5589" s="53">
        <f>Tabela6[[#This Row],[CUSTO TOTAL]]/Tabela6[[#This Row],[CONSUMO]]</f>
        <v>3.7900000000000005</v>
      </c>
      <c r="M5589" s="53" t="e">
        <f t="array" ref="M5589">SE</f>
        <v>#NAME?</v>
      </c>
      <c r="N5589" s="118" t="e">
        <f>Tabela6[[#This Row],[KM Rodados ]]/Tabela6[[#This Row],[CONSUMO]]</f>
        <v>#NAME?</v>
      </c>
    </row>
    <row r="5590" spans="1:14" x14ac:dyDescent="0.25">
      <c r="A5590" s="117">
        <v>27652</v>
      </c>
      <c r="B5590" s="78">
        <v>45636</v>
      </c>
      <c r="C5590" s="47" t="s">
        <v>14</v>
      </c>
      <c r="D5590" s="49" t="s">
        <v>255</v>
      </c>
      <c r="E5590" s="117">
        <v>34971</v>
      </c>
      <c r="G5590" s="50" t="s">
        <v>244</v>
      </c>
      <c r="H5590" s="51">
        <v>42.53</v>
      </c>
      <c r="J5590" s="51">
        <v>6.26</v>
      </c>
      <c r="K5590" s="74">
        <f>Tabela6[[#This Row],[CONSUMO]]*Tabela6[[#This Row],[VALOR UNIT]]-Tabela6[[#This Row],[DESCONTO]]</f>
        <v>266.23779999999999</v>
      </c>
      <c r="L5590" s="53">
        <f>Tabela6[[#This Row],[CUSTO TOTAL]]/Tabela6[[#This Row],[CONSUMO]]</f>
        <v>6.26</v>
      </c>
      <c r="M5590" s="53" t="e">
        <f t="array" ref="M5590">SE</f>
        <v>#NAME?</v>
      </c>
      <c r="N5590" s="118" t="e">
        <f>Tabela6[[#This Row],[KM Rodados ]]/Tabela6[[#This Row],[CONSUMO]]</f>
        <v>#NAME?</v>
      </c>
    </row>
    <row r="5591" spans="1:14" x14ac:dyDescent="0.25">
      <c r="A5591" s="117">
        <v>313289</v>
      </c>
      <c r="B5591" s="78">
        <v>45636</v>
      </c>
      <c r="C5591" s="47" t="s">
        <v>40</v>
      </c>
      <c r="D5591" s="49" t="s">
        <v>262</v>
      </c>
      <c r="E5591" s="117">
        <v>232925</v>
      </c>
      <c r="G5591" s="50" t="s">
        <v>244</v>
      </c>
      <c r="H5591" s="51">
        <v>42.619</v>
      </c>
      <c r="J5591" s="51">
        <v>5.99</v>
      </c>
      <c r="K5591" s="74">
        <f>Tabela6[[#This Row],[CONSUMO]]*Tabela6[[#This Row],[VALOR UNIT]]-Tabela6[[#This Row],[DESCONTO]]</f>
        <v>255.28781000000001</v>
      </c>
      <c r="L5591" s="53">
        <f>Tabela6[[#This Row],[CUSTO TOTAL]]/Tabela6[[#This Row],[CONSUMO]]</f>
        <v>5.99</v>
      </c>
      <c r="M5591" s="53" t="e">
        <f t="array" ref="M5591">SE</f>
        <v>#NAME?</v>
      </c>
      <c r="N5591" s="118" t="e">
        <f>Tabela6[[#This Row],[KM Rodados ]]/Tabela6[[#This Row],[CONSUMO]]</f>
        <v>#NAME?</v>
      </c>
    </row>
    <row r="5592" spans="1:14" x14ac:dyDescent="0.25">
      <c r="A5592" s="117">
        <v>35087</v>
      </c>
      <c r="B5592" s="78">
        <v>45636</v>
      </c>
      <c r="C5592" s="47" t="s">
        <v>569</v>
      </c>
      <c r="D5592" s="49" t="s">
        <v>246</v>
      </c>
      <c r="E5592" s="117">
        <v>7752</v>
      </c>
      <c r="G5592" s="50" t="s">
        <v>241</v>
      </c>
      <c r="H5592" s="51">
        <v>29.8</v>
      </c>
      <c r="I5592" s="49">
        <v>2.98</v>
      </c>
      <c r="J5592" s="51">
        <v>2.99</v>
      </c>
      <c r="K5592" s="74">
        <f>Tabela6[[#This Row],[CONSUMO]]*Tabela6[[#This Row],[VALOR UNIT]]-Tabela6[[#This Row],[DESCONTO]]</f>
        <v>86.122</v>
      </c>
      <c r="L5592" s="53">
        <f>Tabela6[[#This Row],[CUSTO TOTAL]]/Tabela6[[#This Row],[CONSUMO]]</f>
        <v>2.89</v>
      </c>
      <c r="M5592" s="53" t="e">
        <f t="array" ref="M5592">SE</f>
        <v>#NAME?</v>
      </c>
      <c r="N5592" s="118" t="e">
        <f>Tabela6[[#This Row],[KM Rodados ]]/Tabela6[[#This Row],[CONSUMO]]</f>
        <v>#NAME?</v>
      </c>
    </row>
    <row r="5593" spans="1:14" x14ac:dyDescent="0.25">
      <c r="A5593" s="117">
        <v>35086</v>
      </c>
      <c r="B5593" s="78">
        <v>45636</v>
      </c>
      <c r="C5593" s="47" t="s">
        <v>569</v>
      </c>
      <c r="D5593" s="49" t="s">
        <v>246</v>
      </c>
      <c r="E5593" s="117">
        <v>7752</v>
      </c>
      <c r="G5593" s="50" t="s">
        <v>89</v>
      </c>
      <c r="H5593" s="51">
        <v>100</v>
      </c>
      <c r="I5593" s="49">
        <v>82</v>
      </c>
      <c r="J5593" s="51">
        <v>6.71</v>
      </c>
      <c r="K5593" s="74">
        <f>Tabela6[[#This Row],[CONSUMO]]*Tabela6[[#This Row],[VALOR UNIT]]-Tabela6[[#This Row],[DESCONTO]]</f>
        <v>589</v>
      </c>
      <c r="L5593" s="53">
        <f>Tabela6[[#This Row],[CUSTO TOTAL]]/Tabela6[[#This Row],[CONSUMO]]</f>
        <v>5.89</v>
      </c>
      <c r="M5593" s="53" t="e">
        <f t="array" ref="M5593">SE</f>
        <v>#NAME?</v>
      </c>
      <c r="N5593" s="118" t="e">
        <f>Tabela6[[#This Row],[KM Rodados ]]/Tabela6[[#This Row],[CONSUMO]]</f>
        <v>#NAME?</v>
      </c>
    </row>
    <row r="5594" spans="1:14" x14ac:dyDescent="0.25">
      <c r="A5594" s="117">
        <v>890425</v>
      </c>
      <c r="B5594" s="78">
        <v>45637</v>
      </c>
      <c r="C5594" s="47" t="s">
        <v>15</v>
      </c>
      <c r="D5594" s="49" t="s">
        <v>318</v>
      </c>
      <c r="E5594" s="117">
        <v>464489</v>
      </c>
      <c r="G5594" s="50" t="s">
        <v>89</v>
      </c>
      <c r="H5594" s="51">
        <v>73.709999999999994</v>
      </c>
      <c r="J5594" s="51">
        <v>5.84</v>
      </c>
      <c r="K5594" s="74">
        <f>Tabela6[[#This Row],[CONSUMO]]*Tabela6[[#This Row],[VALOR UNIT]]-Tabela6[[#This Row],[DESCONTO]]</f>
        <v>430.46639999999996</v>
      </c>
      <c r="L5594" s="53">
        <f>Tabela6[[#This Row],[CUSTO TOTAL]]/Tabela6[[#This Row],[CONSUMO]]</f>
        <v>5.84</v>
      </c>
      <c r="M5594" s="53" t="e">
        <f t="array" ref="M5594">SE</f>
        <v>#NAME?</v>
      </c>
      <c r="N5594" s="118" t="e">
        <f>Tabela6[[#This Row],[KM Rodados ]]/Tabela6[[#This Row],[CONSUMO]]</f>
        <v>#NAME?</v>
      </c>
    </row>
    <row r="5595" spans="1:14" x14ac:dyDescent="0.25">
      <c r="A5595" s="117">
        <v>419903</v>
      </c>
      <c r="B5595" s="78">
        <v>45637</v>
      </c>
      <c r="C5595" s="47" t="s">
        <v>401</v>
      </c>
      <c r="D5595" s="49" t="s">
        <v>402</v>
      </c>
      <c r="E5595" s="117">
        <v>75534</v>
      </c>
      <c r="G5595" s="50" t="s">
        <v>89</v>
      </c>
      <c r="H5595" s="51">
        <v>66.778000000000006</v>
      </c>
      <c r="J5595" s="51">
        <v>5.99</v>
      </c>
      <c r="K5595" s="74">
        <f>Tabela6[[#This Row],[CONSUMO]]*Tabela6[[#This Row],[VALOR UNIT]]-Tabela6[[#This Row],[DESCONTO]]</f>
        <v>400.00022000000007</v>
      </c>
      <c r="L5595" s="53">
        <f>Tabela6[[#This Row],[CUSTO TOTAL]]/Tabela6[[#This Row],[CONSUMO]]</f>
        <v>5.99</v>
      </c>
      <c r="M5595" s="53" t="e">
        <f t="array" ref="M5595">SE</f>
        <v>#NAME?</v>
      </c>
      <c r="N5595" s="118" t="e">
        <f>Tabela6[[#This Row],[KM Rodados ]]/Tabela6[[#This Row],[CONSUMO]]</f>
        <v>#NAME?</v>
      </c>
    </row>
    <row r="5596" spans="1:14" x14ac:dyDescent="0.25">
      <c r="A5596" s="117">
        <v>313773</v>
      </c>
      <c r="B5596" s="78">
        <v>45638</v>
      </c>
      <c r="C5596" s="47" t="s">
        <v>73</v>
      </c>
      <c r="D5596" s="49" t="s">
        <v>262</v>
      </c>
      <c r="E5596" s="117">
        <v>244705</v>
      </c>
      <c r="G5596" s="50" t="s">
        <v>241</v>
      </c>
      <c r="H5596" s="51">
        <v>25.016999999999999</v>
      </c>
      <c r="I5596" s="49">
        <v>9</v>
      </c>
      <c r="J5596" s="51">
        <v>3.69</v>
      </c>
      <c r="K5596" s="74">
        <f>Tabela6[[#This Row],[CONSUMO]]*Tabela6[[#This Row],[VALOR UNIT]]-Tabela6[[#This Row],[DESCONTO]]</f>
        <v>83.312730000000002</v>
      </c>
      <c r="L5596" s="53">
        <f>Tabela6[[#This Row],[CUSTO TOTAL]]/Tabela6[[#This Row],[CONSUMO]]</f>
        <v>3.3302446336491189</v>
      </c>
      <c r="M5596" s="53" t="e">
        <f t="array" ref="M5596">SE</f>
        <v>#NAME?</v>
      </c>
      <c r="N5596" s="118" t="e">
        <f>Tabela6[[#This Row],[KM Rodados ]]/Tabela6[[#This Row],[CONSUMO]]</f>
        <v>#NAME?</v>
      </c>
    </row>
    <row r="5597" spans="1:14" x14ac:dyDescent="0.25">
      <c r="A5597" s="117">
        <v>313775</v>
      </c>
      <c r="B5597" s="78">
        <v>45638</v>
      </c>
      <c r="C5597" s="47" t="s">
        <v>19</v>
      </c>
      <c r="D5597" s="49" t="s">
        <v>262</v>
      </c>
      <c r="E5597" s="117">
        <v>19652</v>
      </c>
      <c r="G5597" s="50" t="s">
        <v>241</v>
      </c>
      <c r="H5597" s="51">
        <v>24.222000000000001</v>
      </c>
      <c r="I5597" s="49">
        <v>8.7200000000000006</v>
      </c>
      <c r="J5597" s="51">
        <v>3.69</v>
      </c>
      <c r="K5597" s="74">
        <f>Tabela6[[#This Row],[CONSUMO]]*Tabela6[[#This Row],[VALOR UNIT]]-Tabela6[[#This Row],[DESCONTO]]</f>
        <v>80.659180000000006</v>
      </c>
      <c r="L5597" s="53">
        <f>Tabela6[[#This Row],[CUSTO TOTAL]]/Tabela6[[#This Row],[CONSUMO]]</f>
        <v>3.3299966972174055</v>
      </c>
      <c r="M5597" s="53" t="e">
        <f t="array" ref="M5597">SE</f>
        <v>#NAME?</v>
      </c>
      <c r="N5597" s="118" t="e">
        <f>Tabela6[[#This Row],[KM Rodados ]]/Tabela6[[#This Row],[CONSUMO]]</f>
        <v>#NAME?</v>
      </c>
    </row>
    <row r="5598" spans="1:14" x14ac:dyDescent="0.25">
      <c r="A5598" s="117">
        <v>462349</v>
      </c>
      <c r="B5598" s="78">
        <v>45638</v>
      </c>
      <c r="C5598" s="47" t="s">
        <v>40</v>
      </c>
      <c r="D5598" s="49" t="s">
        <v>276</v>
      </c>
      <c r="E5598" s="117">
        <v>233358</v>
      </c>
      <c r="G5598" s="50" t="s">
        <v>244</v>
      </c>
      <c r="H5598" s="51">
        <v>35.799999999999997</v>
      </c>
      <c r="J5598" s="51">
        <v>6.09</v>
      </c>
      <c r="K5598" s="74">
        <f>Tabela6[[#This Row],[CONSUMO]]*Tabela6[[#This Row],[VALOR UNIT]]-Tabela6[[#This Row],[DESCONTO]]</f>
        <v>218.02199999999999</v>
      </c>
      <c r="L5598" s="53">
        <f>Tabela6[[#This Row],[CUSTO TOTAL]]/Tabela6[[#This Row],[CONSUMO]]</f>
        <v>6.09</v>
      </c>
      <c r="M5598" s="53" t="e">
        <f t="array" ref="M5598">SE</f>
        <v>#NAME?</v>
      </c>
      <c r="N5598" s="118" t="e">
        <f>Tabela6[[#This Row],[KM Rodados ]]/Tabela6[[#This Row],[CONSUMO]]</f>
        <v>#NAME?</v>
      </c>
    </row>
    <row r="5599" spans="1:14" x14ac:dyDescent="0.25">
      <c r="A5599" s="117">
        <v>398770</v>
      </c>
      <c r="B5599" s="78">
        <v>45639</v>
      </c>
      <c r="C5599" s="47" t="s">
        <v>11</v>
      </c>
      <c r="D5599" s="49" t="s">
        <v>253</v>
      </c>
      <c r="E5599" s="117">
        <v>427210</v>
      </c>
      <c r="G5599" s="50" t="s">
        <v>89</v>
      </c>
      <c r="H5599" s="51">
        <v>246.08</v>
      </c>
      <c r="J5599" s="51">
        <v>6.09</v>
      </c>
      <c r="K5599" s="74">
        <f>Tabela6[[#This Row],[CONSUMO]]*Tabela6[[#This Row],[VALOR UNIT]]-Tabela6[[#This Row],[DESCONTO]]</f>
        <v>1498.6272000000001</v>
      </c>
      <c r="L5599" s="53">
        <f>Tabela6[[#This Row],[CUSTO TOTAL]]/Tabela6[[#This Row],[CONSUMO]]</f>
        <v>6.09</v>
      </c>
      <c r="M5599" s="53" t="e">
        <f t="array" ref="M5599">SE</f>
        <v>#NAME?</v>
      </c>
      <c r="N5599" s="118" t="e">
        <f>Tabela6[[#This Row],[KM Rodados ]]/Tabela6[[#This Row],[CONSUMO]]</f>
        <v>#NAME?</v>
      </c>
    </row>
    <row r="5600" spans="1:14" x14ac:dyDescent="0.25">
      <c r="A5600" s="117">
        <v>314028</v>
      </c>
      <c r="B5600" s="78">
        <v>45639</v>
      </c>
      <c r="C5600" s="47" t="s">
        <v>567</v>
      </c>
      <c r="D5600" s="49" t="s">
        <v>262</v>
      </c>
      <c r="E5600" s="117">
        <v>13829</v>
      </c>
      <c r="G5600" s="50" t="s">
        <v>241</v>
      </c>
      <c r="H5600" s="51">
        <v>53.154000000000003</v>
      </c>
      <c r="I5600" s="49">
        <v>19.14</v>
      </c>
      <c r="J5600" s="51">
        <v>3.69</v>
      </c>
      <c r="K5600" s="74">
        <f>Tabela6[[#This Row],[CONSUMO]]*Tabela6[[#This Row],[VALOR UNIT]]-Tabela6[[#This Row],[DESCONTO]]</f>
        <v>176.99826000000002</v>
      </c>
      <c r="L5600" s="53">
        <f>Tabela6[[#This Row],[CUSTO TOTAL]]/Tabela6[[#This Row],[CONSUMO]]</f>
        <v>3.3299142115362907</v>
      </c>
      <c r="M5600" s="53" t="e">
        <f t="array" ref="M5600">SE</f>
        <v>#NAME?</v>
      </c>
      <c r="N5600" s="118" t="e">
        <f>Tabela6[[#This Row],[KM Rodados ]]/Tabela6[[#This Row],[CONSUMO]]</f>
        <v>#NAME?</v>
      </c>
    </row>
    <row r="5601" spans="1:14" x14ac:dyDescent="0.25">
      <c r="A5601" s="117">
        <v>28719</v>
      </c>
      <c r="B5601" s="78">
        <v>45640</v>
      </c>
      <c r="C5601" s="47" t="s">
        <v>14</v>
      </c>
      <c r="D5601" s="49" t="s">
        <v>255</v>
      </c>
      <c r="E5601" s="117">
        <v>350089</v>
      </c>
      <c r="G5601" s="50" t="s">
        <v>244</v>
      </c>
      <c r="H5601" s="51">
        <v>35.520000000000003</v>
      </c>
      <c r="J5601" s="51">
        <v>6.26</v>
      </c>
      <c r="K5601" s="74">
        <f>Tabela6[[#This Row],[CONSUMO]]*Tabela6[[#This Row],[VALOR UNIT]]-Tabela6[[#This Row],[DESCONTO]]</f>
        <v>222.35520000000002</v>
      </c>
      <c r="L5601" s="53">
        <f>Tabela6[[#This Row],[CUSTO TOTAL]]/Tabela6[[#This Row],[CONSUMO]]</f>
        <v>6.26</v>
      </c>
      <c r="M5601" s="53" t="e">
        <f t="array" ref="M5601">SE</f>
        <v>#NAME?</v>
      </c>
      <c r="N5601" s="118" t="e">
        <f>Tabela6[[#This Row],[KM Rodados ]]/Tabela6[[#This Row],[CONSUMO]]</f>
        <v>#NAME?</v>
      </c>
    </row>
    <row r="5602" spans="1:14" x14ac:dyDescent="0.25">
      <c r="A5602" s="121">
        <v>304981</v>
      </c>
      <c r="B5602" s="78">
        <v>45642</v>
      </c>
      <c r="C5602" s="47" t="s">
        <v>68</v>
      </c>
      <c r="D5602" s="49" t="s">
        <v>263</v>
      </c>
      <c r="E5602" s="117">
        <v>102713</v>
      </c>
      <c r="G5602" s="50" t="s">
        <v>89</v>
      </c>
      <c r="H5602" s="51">
        <v>348.82</v>
      </c>
      <c r="I5602" s="49">
        <v>52.32</v>
      </c>
      <c r="J5602" s="51">
        <v>6.14</v>
      </c>
      <c r="K5602" s="74">
        <f>Tabela6[[#This Row],[CONSUMO]]*Tabela6[[#This Row],[VALOR UNIT]]-Tabela6[[#This Row],[DESCONTO]]</f>
        <v>2089.4347999999995</v>
      </c>
      <c r="L5602" s="53">
        <f>Tabela6[[#This Row],[CUSTO TOTAL]]/Tabela6[[#This Row],[CONSUMO]]</f>
        <v>5.9900086004242867</v>
      </c>
      <c r="M5602" s="53" t="e">
        <f t="array" ref="M5602">SE</f>
        <v>#NAME?</v>
      </c>
      <c r="N5602" s="118" t="e">
        <f>Tabela6[[#This Row],[KM Rodados ]]/Tabela6[[#This Row],[CONSUMO]]</f>
        <v>#NAME?</v>
      </c>
    </row>
    <row r="5603" spans="1:14" x14ac:dyDescent="0.25">
      <c r="A5603" s="117">
        <v>463469</v>
      </c>
      <c r="B5603" s="78">
        <v>45642</v>
      </c>
      <c r="C5603" s="47" t="s">
        <v>43</v>
      </c>
      <c r="D5603" s="49" t="s">
        <v>276</v>
      </c>
      <c r="E5603" s="117">
        <v>222256</v>
      </c>
      <c r="G5603" s="50" t="s">
        <v>89</v>
      </c>
      <c r="H5603" s="51">
        <v>15.88</v>
      </c>
      <c r="J5603" s="51">
        <v>5.99</v>
      </c>
      <c r="K5603" s="74">
        <f>Tabela6[[#This Row],[CONSUMO]]*Tabela6[[#This Row],[VALOR UNIT]]-Tabela6[[#This Row],[DESCONTO]]</f>
        <v>95.121200000000002</v>
      </c>
      <c r="L5603" s="53">
        <f>Tabela6[[#This Row],[CUSTO TOTAL]]/Tabela6[[#This Row],[CONSUMO]]</f>
        <v>5.99</v>
      </c>
      <c r="M5603" s="53" t="e">
        <f t="array" ref="M5603">SE</f>
        <v>#NAME?</v>
      </c>
      <c r="N5603" s="118" t="e">
        <f>Tabela6[[#This Row],[KM Rodados ]]/Tabela6[[#This Row],[CONSUMO]]</f>
        <v>#NAME?</v>
      </c>
    </row>
    <row r="5604" spans="1:14" x14ac:dyDescent="0.25">
      <c r="A5604" s="117">
        <v>88767</v>
      </c>
      <c r="B5604" s="78">
        <v>45642</v>
      </c>
      <c r="C5604" s="47" t="s">
        <v>43</v>
      </c>
      <c r="D5604" s="49" t="s">
        <v>585</v>
      </c>
      <c r="E5604" s="117">
        <v>222887</v>
      </c>
      <c r="G5604" s="50" t="s">
        <v>89</v>
      </c>
      <c r="H5604" s="51">
        <v>36.722999999999999</v>
      </c>
      <c r="J5604" s="51">
        <v>6.09</v>
      </c>
      <c r="K5604" s="74">
        <f>Tabela6[[#This Row],[CONSUMO]]*Tabela6[[#This Row],[VALOR UNIT]]-Tabela6[[#This Row],[DESCONTO]]</f>
        <v>223.64306999999999</v>
      </c>
      <c r="L5604" s="53">
        <f>Tabela6[[#This Row],[CUSTO TOTAL]]/Tabela6[[#This Row],[CONSUMO]]</f>
        <v>6.09</v>
      </c>
      <c r="M5604" s="53" t="e">
        <f t="array" ref="M5604">SE</f>
        <v>#NAME?</v>
      </c>
      <c r="N5604" s="118" t="e">
        <f>Tabela6[[#This Row],[KM Rodados ]]/Tabela6[[#This Row],[CONSUMO]]</f>
        <v>#NAME?</v>
      </c>
    </row>
    <row r="5605" spans="1:14" x14ac:dyDescent="0.25">
      <c r="A5605" s="117">
        <v>314971</v>
      </c>
      <c r="B5605" s="78">
        <v>45642</v>
      </c>
      <c r="C5605" s="47" t="s">
        <v>43</v>
      </c>
      <c r="D5605" s="49" t="s">
        <v>262</v>
      </c>
      <c r="E5605" s="117">
        <v>223179</v>
      </c>
      <c r="G5605" s="50" t="s">
        <v>89</v>
      </c>
      <c r="H5605" s="51">
        <v>36.020000000000003</v>
      </c>
      <c r="J5605" s="51">
        <v>5.99</v>
      </c>
      <c r="K5605" s="74">
        <f>Tabela6[[#This Row],[CONSUMO]]*Tabela6[[#This Row],[VALOR UNIT]]-Tabela6[[#This Row],[DESCONTO]]</f>
        <v>215.75980000000001</v>
      </c>
      <c r="L5605" s="53">
        <f>Tabela6[[#This Row],[CUSTO TOTAL]]/Tabela6[[#This Row],[CONSUMO]]</f>
        <v>5.99</v>
      </c>
      <c r="M5605" s="53" t="e">
        <f t="array" ref="M5605">SE</f>
        <v>#NAME?</v>
      </c>
      <c r="N5605" s="118" t="e">
        <f>Tabela6[[#This Row],[KM Rodados ]]/Tabela6[[#This Row],[CONSUMO]]</f>
        <v>#NAME?</v>
      </c>
    </row>
    <row r="5606" spans="1:14" x14ac:dyDescent="0.25">
      <c r="A5606" s="117">
        <v>463550</v>
      </c>
      <c r="B5606" s="78">
        <v>45642</v>
      </c>
      <c r="C5606" s="47" t="s">
        <v>203</v>
      </c>
      <c r="D5606" s="49" t="s">
        <v>276</v>
      </c>
      <c r="E5606" s="117">
        <v>190687</v>
      </c>
      <c r="G5606" s="50" t="s">
        <v>244</v>
      </c>
      <c r="H5606" s="51">
        <v>45</v>
      </c>
      <c r="J5606" s="51">
        <v>6.09</v>
      </c>
      <c r="K5606" s="74">
        <f>Tabela6[[#This Row],[CONSUMO]]*Tabela6[[#This Row],[VALOR UNIT]]-Tabela6[[#This Row],[DESCONTO]]</f>
        <v>274.05</v>
      </c>
      <c r="L5606" s="53">
        <f>Tabela6[[#This Row],[CUSTO TOTAL]]/Tabela6[[#This Row],[CONSUMO]]</f>
        <v>6.09</v>
      </c>
      <c r="M5606" s="53" t="e">
        <f t="array" ref="M5606">SE</f>
        <v>#NAME?</v>
      </c>
      <c r="N5606" s="118" t="e">
        <f>Tabela6[[#This Row],[KM Rodados ]]/Tabela6[[#This Row],[CONSUMO]]</f>
        <v>#NAME?</v>
      </c>
    </row>
    <row r="5607" spans="1:14" x14ac:dyDescent="0.25">
      <c r="A5607" s="117">
        <v>100400</v>
      </c>
      <c r="B5607" s="78">
        <v>45642</v>
      </c>
      <c r="C5607" s="47" t="s">
        <v>72</v>
      </c>
      <c r="D5607" s="49" t="s">
        <v>588</v>
      </c>
      <c r="E5607" s="117">
        <v>488637</v>
      </c>
      <c r="G5607" s="50" t="s">
        <v>89</v>
      </c>
      <c r="H5607" s="51">
        <v>40</v>
      </c>
      <c r="J5607" s="51">
        <v>6.84</v>
      </c>
      <c r="K5607" s="74">
        <f>Tabela6[[#This Row],[CONSUMO]]*Tabela6[[#This Row],[VALOR UNIT]]-Tabela6[[#This Row],[DESCONTO]]</f>
        <v>273.60000000000002</v>
      </c>
      <c r="L5607" s="53">
        <f>Tabela6[[#This Row],[CUSTO TOTAL]]/Tabela6[[#This Row],[CONSUMO]]</f>
        <v>6.8400000000000007</v>
      </c>
      <c r="M5607" s="53" t="e">
        <f t="array" ref="M5607">SE</f>
        <v>#NAME?</v>
      </c>
      <c r="N5607" s="118" t="e">
        <f>Tabela6[[#This Row],[KM Rodados ]]/Tabela6[[#This Row],[CONSUMO]]</f>
        <v>#NAME?</v>
      </c>
    </row>
    <row r="5608" spans="1:14" x14ac:dyDescent="0.25">
      <c r="A5608" s="117">
        <v>79076</v>
      </c>
      <c r="B5608" s="78">
        <v>45642</v>
      </c>
      <c r="C5608" s="47" t="s">
        <v>13</v>
      </c>
      <c r="D5608" s="49" t="s">
        <v>357</v>
      </c>
      <c r="E5608" s="117">
        <v>723279</v>
      </c>
      <c r="G5608" s="50" t="s">
        <v>89</v>
      </c>
      <c r="H5608" s="51">
        <v>104.03100000000001</v>
      </c>
      <c r="J5608" s="51">
        <v>6.09</v>
      </c>
      <c r="K5608" s="74">
        <f>Tabela6[[#This Row],[CONSUMO]]*Tabela6[[#This Row],[VALOR UNIT]]-Tabela6[[#This Row],[DESCONTO]]</f>
        <v>633.54879000000005</v>
      </c>
      <c r="L5608" s="53">
        <f>Tabela6[[#This Row],[CUSTO TOTAL]]/Tabela6[[#This Row],[CONSUMO]]</f>
        <v>6.09</v>
      </c>
      <c r="M5608" s="53" t="e">
        <f t="array" ref="M5608">SE</f>
        <v>#NAME?</v>
      </c>
      <c r="N5608" s="118" t="e">
        <f>Tabela6[[#This Row],[KM Rodados ]]/Tabela6[[#This Row],[CONSUMO]]</f>
        <v>#NAME?</v>
      </c>
    </row>
    <row r="5609" spans="1:14" x14ac:dyDescent="0.25">
      <c r="A5609" s="117">
        <v>314772</v>
      </c>
      <c r="B5609" s="78">
        <v>45642</v>
      </c>
      <c r="C5609" s="47" t="s">
        <v>354</v>
      </c>
      <c r="D5609" s="49" t="s">
        <v>262</v>
      </c>
      <c r="E5609" s="117">
        <v>80207</v>
      </c>
      <c r="G5609" s="50" t="s">
        <v>241</v>
      </c>
      <c r="H5609" s="51">
        <v>19.126999999999999</v>
      </c>
      <c r="I5609" s="49">
        <v>6.89</v>
      </c>
      <c r="J5609" s="51">
        <v>3.69</v>
      </c>
      <c r="K5609" s="74">
        <f>Tabela6[[#This Row],[CONSUMO]]*Tabela6[[#This Row],[VALOR UNIT]]-Tabela6[[#This Row],[DESCONTO]]</f>
        <v>63.688629999999989</v>
      </c>
      <c r="L5609" s="53">
        <f>Tabela6[[#This Row],[CUSTO TOTAL]]/Tabela6[[#This Row],[CONSUMO]]</f>
        <v>3.3297762325508442</v>
      </c>
      <c r="M5609" s="53" t="e">
        <f t="array" ref="M5609">SE</f>
        <v>#NAME?</v>
      </c>
      <c r="N5609" s="118" t="e">
        <f>Tabela6[[#This Row],[KM Rodados ]]/Tabela6[[#This Row],[CONSUMO]]</f>
        <v>#NAME?</v>
      </c>
    </row>
    <row r="5610" spans="1:14" x14ac:dyDescent="0.25">
      <c r="A5610" s="117">
        <v>313071</v>
      </c>
      <c r="B5610" s="78">
        <v>45642</v>
      </c>
      <c r="C5610" s="47" t="s">
        <v>354</v>
      </c>
      <c r="D5610" s="49" t="s">
        <v>262</v>
      </c>
      <c r="E5610" s="117">
        <v>79011</v>
      </c>
      <c r="G5610" s="50" t="s">
        <v>241</v>
      </c>
      <c r="H5610" s="51">
        <v>29.027999999999999</v>
      </c>
      <c r="I5610" s="49">
        <v>10.45</v>
      </c>
      <c r="J5610" s="51">
        <v>3.69</v>
      </c>
      <c r="K5610" s="74">
        <f>Tabela6[[#This Row],[CONSUMO]]*Tabela6[[#This Row],[VALOR UNIT]]-Tabela6[[#This Row],[DESCONTO]]</f>
        <v>96.663319999999985</v>
      </c>
      <c r="L5610" s="53">
        <f>Tabela6[[#This Row],[CUSTO TOTAL]]/Tabela6[[#This Row],[CONSUMO]]</f>
        <v>3.3300027559597627</v>
      </c>
      <c r="M5610" s="53" t="e">
        <f t="array" ref="M5610">SE</f>
        <v>#NAME?</v>
      </c>
      <c r="N5610" s="118" t="e">
        <f>Tabela6[[#This Row],[KM Rodados ]]/Tabela6[[#This Row],[CONSUMO]]</f>
        <v>#NAME?</v>
      </c>
    </row>
    <row r="5611" spans="1:14" x14ac:dyDescent="0.25">
      <c r="A5611" s="117">
        <v>314856</v>
      </c>
      <c r="B5611" s="78">
        <v>45642</v>
      </c>
      <c r="C5611" s="47" t="s">
        <v>446</v>
      </c>
      <c r="D5611" s="49" t="s">
        <v>262</v>
      </c>
      <c r="E5611" s="117">
        <v>69102</v>
      </c>
      <c r="G5611" s="50" t="s">
        <v>241</v>
      </c>
      <c r="H5611" s="51">
        <v>30.413</v>
      </c>
      <c r="I5611" s="49">
        <v>10.94</v>
      </c>
      <c r="J5611" s="51">
        <v>3.69</v>
      </c>
      <c r="K5611" s="74">
        <f>Tabela6[[#This Row],[CONSUMO]]*Tabela6[[#This Row],[VALOR UNIT]]-Tabela6[[#This Row],[DESCONTO]]</f>
        <v>101.28397</v>
      </c>
      <c r="L5611" s="53">
        <f>Tabela6[[#This Row],[CUSTO TOTAL]]/Tabela6[[#This Row],[CONSUMO]]</f>
        <v>3.3302854042679115</v>
      </c>
      <c r="M5611" s="53" t="e">
        <f t="array" ref="M5611">SE</f>
        <v>#NAME?</v>
      </c>
      <c r="N5611" s="118" t="e">
        <f>Tabela6[[#This Row],[KM Rodados ]]/Tabela6[[#This Row],[CONSUMO]]</f>
        <v>#NAME?</v>
      </c>
    </row>
    <row r="5612" spans="1:14" x14ac:dyDescent="0.25">
      <c r="A5612" s="117">
        <v>1742587</v>
      </c>
      <c r="B5612" s="78">
        <v>45643</v>
      </c>
      <c r="C5612" s="47" t="s">
        <v>43</v>
      </c>
      <c r="D5612" s="49" t="s">
        <v>587</v>
      </c>
      <c r="E5612" s="117">
        <v>223790</v>
      </c>
      <c r="G5612" s="50" t="s">
        <v>89</v>
      </c>
      <c r="H5612" s="51">
        <v>49.95</v>
      </c>
      <c r="J5612" s="51">
        <v>6.49</v>
      </c>
      <c r="K5612" s="74">
        <f>Tabela6[[#This Row],[CONSUMO]]*Tabela6[[#This Row],[VALOR UNIT]]-Tabela6[[#This Row],[DESCONTO]]</f>
        <v>324.17550000000006</v>
      </c>
      <c r="L5612" s="53">
        <f>Tabela6[[#This Row],[CUSTO TOTAL]]/Tabela6[[#This Row],[CONSUMO]]</f>
        <v>6.4900000000000011</v>
      </c>
      <c r="M5612" s="53" t="e">
        <f t="array" ref="M5612">SE</f>
        <v>#NAME?</v>
      </c>
      <c r="N5612" s="118" t="e">
        <f>Tabela6[[#This Row],[KM Rodados ]]/Tabela6[[#This Row],[CONSUMO]]</f>
        <v>#NAME?</v>
      </c>
    </row>
    <row r="5613" spans="1:14" x14ac:dyDescent="0.25">
      <c r="A5613" s="117">
        <v>109307</v>
      </c>
      <c r="B5613" s="78">
        <v>45643</v>
      </c>
      <c r="C5613" s="47" t="s">
        <v>43</v>
      </c>
      <c r="D5613" s="49" t="s">
        <v>591</v>
      </c>
      <c r="E5613" s="117">
        <v>223495</v>
      </c>
      <c r="G5613" s="50" t="s">
        <v>89</v>
      </c>
      <c r="H5613" s="51">
        <v>37.659999999999997</v>
      </c>
      <c r="J5613" s="51">
        <v>6.22</v>
      </c>
      <c r="K5613" s="74">
        <f>Tabela6[[#This Row],[CONSUMO]]*Tabela6[[#This Row],[VALOR UNIT]]-Tabela6[[#This Row],[DESCONTO]]</f>
        <v>234.24519999999998</v>
      </c>
      <c r="L5613" s="53">
        <f>Tabela6[[#This Row],[CUSTO TOTAL]]/Tabela6[[#This Row],[CONSUMO]]</f>
        <v>6.22</v>
      </c>
      <c r="M5613" s="53" t="e">
        <f t="array" ref="M5613">SE</f>
        <v>#NAME?</v>
      </c>
      <c r="N5613" s="118" t="e">
        <f>Tabela6[[#This Row],[KM Rodados ]]/Tabela6[[#This Row],[CONSUMO]]</f>
        <v>#NAME?</v>
      </c>
    </row>
    <row r="5614" spans="1:14" x14ac:dyDescent="0.25">
      <c r="A5614" s="117">
        <v>41717</v>
      </c>
      <c r="B5614" s="78">
        <v>45643</v>
      </c>
      <c r="C5614" s="47" t="s">
        <v>43</v>
      </c>
      <c r="D5614" s="49" t="s">
        <v>594</v>
      </c>
      <c r="E5614" s="117">
        <v>224012</v>
      </c>
      <c r="G5614" s="50" t="s">
        <v>89</v>
      </c>
      <c r="H5614" s="51">
        <v>32.729999999999997</v>
      </c>
      <c r="J5614" s="51">
        <v>6.99</v>
      </c>
      <c r="K5614" s="74">
        <f>Tabela6[[#This Row],[CONSUMO]]*Tabela6[[#This Row],[VALOR UNIT]]-Tabela6[[#This Row],[DESCONTO]]</f>
        <v>228.78269999999998</v>
      </c>
      <c r="L5614" s="53">
        <f>Tabela6[[#This Row],[CUSTO TOTAL]]/Tabela6[[#This Row],[CONSUMO]]</f>
        <v>6.99</v>
      </c>
      <c r="M5614" s="53" t="e">
        <f t="array" ref="M5614">SE</f>
        <v>#NAME?</v>
      </c>
      <c r="N5614" s="118" t="e">
        <f>Tabela6[[#This Row],[KM Rodados ]]/Tabela6[[#This Row],[CONSUMO]]</f>
        <v>#NAME?</v>
      </c>
    </row>
    <row r="5615" spans="1:14" x14ac:dyDescent="0.25">
      <c r="A5615" s="117">
        <v>401930</v>
      </c>
      <c r="B5615" s="78">
        <v>45643</v>
      </c>
      <c r="C5615" s="47" t="s">
        <v>12</v>
      </c>
      <c r="D5615" s="49" t="s">
        <v>253</v>
      </c>
      <c r="E5615" s="117">
        <v>352261</v>
      </c>
      <c r="G5615" s="50" t="s">
        <v>89</v>
      </c>
      <c r="H5615" s="51">
        <v>117.04</v>
      </c>
      <c r="J5615" s="51">
        <v>6.09</v>
      </c>
      <c r="K5615" s="74">
        <f>Tabela6[[#This Row],[CONSUMO]]*Tabela6[[#This Row],[VALOR UNIT]]-Tabela6[[#This Row],[DESCONTO]]</f>
        <v>712.77359999999999</v>
      </c>
      <c r="L5615" s="53">
        <f>Tabela6[[#This Row],[CUSTO TOTAL]]/Tabela6[[#This Row],[CONSUMO]]</f>
        <v>6.09</v>
      </c>
      <c r="M5615" s="53" t="e">
        <f t="array" ref="M5615">SE</f>
        <v>#NAME?</v>
      </c>
      <c r="N5615" s="118" t="e">
        <f>Tabela6[[#This Row],[KM Rodados ]]/Tabela6[[#This Row],[CONSUMO]]</f>
        <v>#NAME?</v>
      </c>
    </row>
    <row r="5616" spans="1:14" x14ac:dyDescent="0.25">
      <c r="A5616" s="117">
        <v>607586</v>
      </c>
      <c r="B5616" s="78">
        <v>45644</v>
      </c>
      <c r="C5616" s="47" t="s">
        <v>43</v>
      </c>
      <c r="D5616" s="49" t="s">
        <v>592</v>
      </c>
      <c r="E5616" s="117">
        <v>224349</v>
      </c>
      <c r="G5616" s="50" t="s">
        <v>89</v>
      </c>
      <c r="H5616" s="51">
        <v>46.030999999999999</v>
      </c>
      <c r="J5616" s="51">
        <v>6.87</v>
      </c>
      <c r="K5616" s="74">
        <f>Tabela6[[#This Row],[CONSUMO]]*Tabela6[[#This Row],[VALOR UNIT]]-Tabela6[[#This Row],[DESCONTO]]</f>
        <v>316.23297000000002</v>
      </c>
      <c r="L5616" s="53">
        <f>Tabela6[[#This Row],[CUSTO TOTAL]]/Tabela6[[#This Row],[CONSUMO]]</f>
        <v>6.870000000000001</v>
      </c>
      <c r="M5616" s="53" t="e">
        <f t="array" ref="M5616">SE</f>
        <v>#NAME?</v>
      </c>
      <c r="N5616" s="118" t="e">
        <f>Tabela6[[#This Row],[KM Rodados ]]/Tabela6[[#This Row],[CONSUMO]]</f>
        <v>#NAME?</v>
      </c>
    </row>
    <row r="5617" spans="1:14" x14ac:dyDescent="0.25">
      <c r="A5617" s="117">
        <v>115902</v>
      </c>
      <c r="B5617" s="78">
        <v>45644</v>
      </c>
      <c r="C5617" s="47" t="s">
        <v>203</v>
      </c>
      <c r="D5617" s="49" t="s">
        <v>294</v>
      </c>
      <c r="E5617" s="117">
        <v>191436</v>
      </c>
      <c r="G5617" s="50" t="s">
        <v>244</v>
      </c>
      <c r="H5617" s="51">
        <v>36.799999999999997</v>
      </c>
      <c r="J5617" s="51">
        <v>5.89</v>
      </c>
      <c r="K5617" s="74">
        <f>Tabela6[[#This Row],[CONSUMO]]*Tabela6[[#This Row],[VALOR UNIT]]-Tabela6[[#This Row],[DESCONTO]]</f>
        <v>216.75199999999998</v>
      </c>
      <c r="L5617" s="53">
        <f>Tabela6[[#This Row],[CUSTO TOTAL]]/Tabela6[[#This Row],[CONSUMO]]</f>
        <v>5.89</v>
      </c>
      <c r="M5617" s="53" t="e">
        <f t="array" ref="M5617">SE</f>
        <v>#NAME?</v>
      </c>
      <c r="N5617" s="118" t="e">
        <f>Tabela6[[#This Row],[KM Rodados ]]/Tabela6[[#This Row],[CONSUMO]]</f>
        <v>#NAME?</v>
      </c>
    </row>
    <row r="5618" spans="1:14" x14ac:dyDescent="0.25">
      <c r="A5618" s="117">
        <v>1344959</v>
      </c>
      <c r="B5618" s="78">
        <v>45644</v>
      </c>
      <c r="C5618" s="47" t="s">
        <v>72</v>
      </c>
      <c r="D5618" s="49" t="s">
        <v>372</v>
      </c>
      <c r="E5618" s="117">
        <v>489171</v>
      </c>
      <c r="G5618" s="50" t="s">
        <v>89</v>
      </c>
      <c r="H5618" s="51">
        <v>24.78</v>
      </c>
      <c r="J5618" s="51">
        <v>6.49</v>
      </c>
      <c r="K5618" s="74">
        <f>Tabela6[[#This Row],[CONSUMO]]*Tabela6[[#This Row],[VALOR UNIT]]-Tabela6[[#This Row],[DESCONTO]]</f>
        <v>160.82220000000001</v>
      </c>
      <c r="L5618" s="53">
        <f>Tabela6[[#This Row],[CUSTO TOTAL]]/Tabela6[[#This Row],[CONSUMO]]</f>
        <v>6.49</v>
      </c>
      <c r="M5618" s="53" t="e">
        <f t="array" ref="M5618">SE</f>
        <v>#NAME?</v>
      </c>
      <c r="N5618" s="118" t="e">
        <f>Tabela6[[#This Row],[KM Rodados ]]/Tabela6[[#This Row],[CONSUMO]]</f>
        <v>#NAME?</v>
      </c>
    </row>
    <row r="5619" spans="1:14" x14ac:dyDescent="0.25">
      <c r="A5619" s="117">
        <v>315282</v>
      </c>
      <c r="B5619" s="78">
        <v>45644</v>
      </c>
      <c r="C5619" s="47" t="s">
        <v>74</v>
      </c>
      <c r="D5619" s="49" t="s">
        <v>262</v>
      </c>
      <c r="E5619" s="117">
        <v>68908</v>
      </c>
      <c r="G5619" s="50" t="s">
        <v>241</v>
      </c>
      <c r="H5619" s="51">
        <v>14.513999999999999</v>
      </c>
      <c r="I5619" s="49">
        <v>5.23</v>
      </c>
      <c r="J5619" s="51">
        <v>3.69</v>
      </c>
      <c r="K5619" s="74">
        <f>Tabela6[[#This Row],[CONSUMO]]*Tabela6[[#This Row],[VALOR UNIT]]-Tabela6[[#This Row],[DESCONTO]]</f>
        <v>48.32665999999999</v>
      </c>
      <c r="L5619" s="53">
        <f>Tabela6[[#This Row],[CUSTO TOTAL]]/Tabela6[[#This Row],[CONSUMO]]</f>
        <v>3.329658260989389</v>
      </c>
      <c r="M5619" s="53" t="e">
        <f t="array" ref="M5619">SE</f>
        <v>#NAME?</v>
      </c>
      <c r="N5619" s="118" t="e">
        <f>Tabela6[[#This Row],[KM Rodados ]]/Tabela6[[#This Row],[CONSUMO]]</f>
        <v>#NAME?</v>
      </c>
    </row>
    <row r="5620" spans="1:14" x14ac:dyDescent="0.25">
      <c r="A5620" s="117">
        <v>315253</v>
      </c>
      <c r="B5620" s="78">
        <v>45644</v>
      </c>
      <c r="C5620" s="47" t="s">
        <v>567</v>
      </c>
      <c r="D5620" s="49" t="s">
        <v>262</v>
      </c>
      <c r="E5620" s="117"/>
      <c r="G5620" s="50" t="s">
        <v>241</v>
      </c>
      <c r="H5620" s="51">
        <v>26.004999999999999</v>
      </c>
      <c r="I5620" s="49">
        <v>9.36</v>
      </c>
      <c r="J5620" s="51">
        <v>3.69</v>
      </c>
      <c r="K5620" s="74">
        <f>Tabela6[[#This Row],[CONSUMO]]*Tabela6[[#This Row],[VALOR UNIT]]-Tabela6[[#This Row],[DESCONTO]]</f>
        <v>86.59845</v>
      </c>
      <c r="L5620" s="53">
        <f>Tabela6[[#This Row],[CUSTO TOTAL]]/Tabela6[[#This Row],[CONSUMO]]</f>
        <v>3.3300692174581812</v>
      </c>
      <c r="M5620" s="53" t="e">
        <f t="array" ref="M5620">SE</f>
        <v>#NAME?</v>
      </c>
      <c r="N5620" s="118" t="e">
        <f>Tabela6[[#This Row],[KM Rodados ]]/Tabela6[[#This Row],[CONSUMO]]</f>
        <v>#NAME?</v>
      </c>
    </row>
    <row r="5621" spans="1:14" x14ac:dyDescent="0.25">
      <c r="A5621" s="117">
        <v>315540</v>
      </c>
      <c r="B5621" s="78">
        <v>45645</v>
      </c>
      <c r="C5621" s="47" t="s">
        <v>40</v>
      </c>
      <c r="D5621" s="49" t="s">
        <v>262</v>
      </c>
      <c r="E5621" s="117">
        <v>234767</v>
      </c>
      <c r="G5621" s="50" t="s">
        <v>244</v>
      </c>
      <c r="H5621" s="51">
        <v>44.06</v>
      </c>
      <c r="J5621" s="51">
        <v>5.99</v>
      </c>
      <c r="K5621" s="74">
        <f>Tabela6[[#This Row],[CONSUMO]]*Tabela6[[#This Row],[VALOR UNIT]]-Tabela6[[#This Row],[DESCONTO]]</f>
        <v>263.9194</v>
      </c>
      <c r="L5621" s="53">
        <f>Tabela6[[#This Row],[CUSTO TOTAL]]/Tabela6[[#This Row],[CONSUMO]]</f>
        <v>5.9899999999999993</v>
      </c>
      <c r="M5621" s="53" t="e">
        <f t="array" ref="M5621">SE</f>
        <v>#NAME?</v>
      </c>
      <c r="N5621" s="118" t="e">
        <f>Tabela6[[#This Row],[KM Rodados ]]/Tabela6[[#This Row],[CONSUMO]]</f>
        <v>#NAME?</v>
      </c>
    </row>
    <row r="5622" spans="1:14" x14ac:dyDescent="0.25">
      <c r="A5622" s="117">
        <v>315568</v>
      </c>
      <c r="B5622" s="78">
        <v>45645</v>
      </c>
      <c r="C5622" s="47" t="s">
        <v>74</v>
      </c>
      <c r="D5622" s="49" t="s">
        <v>262</v>
      </c>
      <c r="E5622" s="117">
        <v>69018</v>
      </c>
      <c r="G5622" s="50" t="s">
        <v>89</v>
      </c>
      <c r="H5622" s="51">
        <v>82</v>
      </c>
      <c r="J5622" s="51">
        <v>5.99</v>
      </c>
      <c r="K5622" s="74">
        <f>Tabela6[[#This Row],[CONSUMO]]*Tabela6[[#This Row],[VALOR UNIT]]-Tabela6[[#This Row],[DESCONTO]]</f>
        <v>491.18</v>
      </c>
      <c r="L5622" s="53">
        <f>Tabela6[[#This Row],[CUSTO TOTAL]]/Tabela6[[#This Row],[CONSUMO]]</f>
        <v>5.99</v>
      </c>
      <c r="M5622" s="53" t="e">
        <f t="array" ref="M5622">SE</f>
        <v>#NAME?</v>
      </c>
      <c r="N5622" s="118" t="e">
        <f>Tabela6[[#This Row],[KM Rodados ]]/Tabela6[[#This Row],[CONSUMO]]</f>
        <v>#NAME?</v>
      </c>
    </row>
    <row r="5623" spans="1:14" x14ac:dyDescent="0.25">
      <c r="A5623" s="117">
        <v>315659</v>
      </c>
      <c r="B5623" s="78">
        <v>45645</v>
      </c>
      <c r="C5623" s="47" t="s">
        <v>426</v>
      </c>
      <c r="D5623" s="49" t="s">
        <v>262</v>
      </c>
      <c r="E5623" s="117">
        <v>66167</v>
      </c>
      <c r="G5623" s="50" t="s">
        <v>241</v>
      </c>
      <c r="H5623" s="51">
        <v>7.2750000000000004</v>
      </c>
      <c r="I5623" s="49">
        <v>2.61</v>
      </c>
      <c r="J5623" s="51">
        <v>3.69</v>
      </c>
      <c r="K5623" s="74">
        <f>Tabela6[[#This Row],[CONSUMO]]*Tabela6[[#This Row],[VALOR UNIT]]-Tabela6[[#This Row],[DESCONTO]]</f>
        <v>24.234750000000002</v>
      </c>
      <c r="L5623" s="53">
        <f>Tabela6[[#This Row],[CUSTO TOTAL]]/Tabela6[[#This Row],[CONSUMO]]</f>
        <v>3.3312371134020617</v>
      </c>
      <c r="M5623" s="53" t="e">
        <f t="array" ref="M5623">SE</f>
        <v>#NAME?</v>
      </c>
      <c r="N5623" s="118" t="e">
        <f>Tabela6[[#This Row],[KM Rodados ]]/Tabela6[[#This Row],[CONSUMO]]</f>
        <v>#NAME?</v>
      </c>
    </row>
    <row r="5624" spans="1:14" x14ac:dyDescent="0.25">
      <c r="A5624" s="117">
        <v>1805610</v>
      </c>
      <c r="B5624" s="78">
        <v>45645</v>
      </c>
      <c r="C5624" s="47" t="s">
        <v>446</v>
      </c>
      <c r="D5624" s="49" t="s">
        <v>305</v>
      </c>
      <c r="E5624" s="117">
        <v>71340</v>
      </c>
      <c r="G5624" s="50" t="s">
        <v>89</v>
      </c>
      <c r="H5624" s="51">
        <v>243.78899999999999</v>
      </c>
      <c r="J5624" s="51">
        <v>6.08</v>
      </c>
      <c r="K5624" s="74">
        <f>Tabela6[[#This Row],[CONSUMO]]*Tabela6[[#This Row],[VALOR UNIT]]-Tabela6[[#This Row],[DESCONTO]]</f>
        <v>1482.23712</v>
      </c>
      <c r="L5624" s="53">
        <f>Tabela6[[#This Row],[CUSTO TOTAL]]/Tabela6[[#This Row],[CONSUMO]]</f>
        <v>6.08</v>
      </c>
      <c r="M5624" s="53" t="e">
        <f t="array" ref="M5624">SE</f>
        <v>#NAME?</v>
      </c>
      <c r="N5624" s="118" t="e">
        <f>Tabela6[[#This Row],[KM Rodados ]]/Tabela6[[#This Row],[CONSUMO]]</f>
        <v>#NAME?</v>
      </c>
    </row>
    <row r="5625" spans="1:14" x14ac:dyDescent="0.25">
      <c r="A5625" s="117">
        <v>44157</v>
      </c>
      <c r="B5625" s="78">
        <v>45645</v>
      </c>
      <c r="C5625" s="47" t="s">
        <v>446</v>
      </c>
      <c r="D5625" s="49" t="s">
        <v>461</v>
      </c>
      <c r="E5625" s="117">
        <v>70642</v>
      </c>
      <c r="G5625" s="50" t="s">
        <v>241</v>
      </c>
      <c r="H5625" s="51">
        <v>26.65</v>
      </c>
      <c r="J5625" s="51">
        <v>3.79</v>
      </c>
      <c r="K5625" s="74">
        <f>Tabela6[[#This Row],[CONSUMO]]*Tabela6[[#This Row],[VALOR UNIT]]-Tabela6[[#This Row],[DESCONTO]]</f>
        <v>101.0035</v>
      </c>
      <c r="L5625" s="53">
        <f>Tabela6[[#This Row],[CUSTO TOTAL]]/Tabela6[[#This Row],[CONSUMO]]</f>
        <v>3.7900000000000005</v>
      </c>
      <c r="M5625" s="53" t="e">
        <f t="array" ref="M5625">SE</f>
        <v>#NAME?</v>
      </c>
      <c r="N5625" s="118" t="e">
        <f>Tabela6[[#This Row],[KM Rodados ]]/Tabela6[[#This Row],[CONSUMO]]</f>
        <v>#NAME?</v>
      </c>
    </row>
    <row r="5626" spans="1:14" x14ac:dyDescent="0.25">
      <c r="A5626" s="117">
        <v>127418</v>
      </c>
      <c r="B5626" s="78">
        <v>45646</v>
      </c>
      <c r="C5626" s="47" t="s">
        <v>203</v>
      </c>
      <c r="D5626" s="49" t="s">
        <v>534</v>
      </c>
      <c r="E5626" s="117">
        <v>192267</v>
      </c>
      <c r="G5626" s="50" t="s">
        <v>244</v>
      </c>
      <c r="H5626" s="51">
        <v>35.81</v>
      </c>
      <c r="J5626" s="51">
        <v>5.99</v>
      </c>
      <c r="K5626" s="74">
        <f>Tabela6[[#This Row],[CONSUMO]]*Tabela6[[#This Row],[VALOR UNIT]]-Tabela6[[#This Row],[DESCONTO]]</f>
        <v>214.50190000000003</v>
      </c>
      <c r="L5626" s="53">
        <f>Tabela6[[#This Row],[CUSTO TOTAL]]/Tabela6[[#This Row],[CONSUMO]]</f>
        <v>5.99</v>
      </c>
      <c r="M5626" s="53" t="e">
        <f t="array" ref="M5626">SE</f>
        <v>#NAME?</v>
      </c>
      <c r="N5626" s="118" t="e">
        <f>Tabela6[[#This Row],[KM Rodados ]]/Tabela6[[#This Row],[CONSUMO]]</f>
        <v>#NAME?</v>
      </c>
    </row>
    <row r="5627" spans="1:14" x14ac:dyDescent="0.25">
      <c r="A5627" s="117">
        <v>315836</v>
      </c>
      <c r="B5627" s="78">
        <v>45646</v>
      </c>
      <c r="C5627" s="47" t="s">
        <v>73</v>
      </c>
      <c r="D5627" s="49" t="s">
        <v>262</v>
      </c>
      <c r="E5627" s="117">
        <v>246488</v>
      </c>
      <c r="G5627" s="50" t="s">
        <v>241</v>
      </c>
      <c r="H5627" s="51">
        <v>22.56</v>
      </c>
      <c r="I5627" s="49">
        <v>8.1300000000000008</v>
      </c>
      <c r="J5627" s="51">
        <v>3.69</v>
      </c>
      <c r="K5627" s="74">
        <f>Tabela6[[#This Row],[CONSUMO]]*Tabela6[[#This Row],[VALOR UNIT]]-Tabela6[[#This Row],[DESCONTO]]</f>
        <v>75.116399999999999</v>
      </c>
      <c r="L5627" s="53">
        <f>Tabela6[[#This Row],[CUSTO TOTAL]]/Tabela6[[#This Row],[CONSUMO]]</f>
        <v>3.3296276595744683</v>
      </c>
      <c r="M5627" s="53" t="e">
        <f t="array" ref="M5627">SE</f>
        <v>#NAME?</v>
      </c>
      <c r="N5627" s="118" t="e">
        <f>Tabela6[[#This Row],[KM Rodados ]]/Tabela6[[#This Row],[CONSUMO]]</f>
        <v>#NAME?</v>
      </c>
    </row>
    <row r="5628" spans="1:14" x14ac:dyDescent="0.25">
      <c r="A5628" s="117">
        <v>80362</v>
      </c>
      <c r="B5628" s="78">
        <v>45646</v>
      </c>
      <c r="C5628" s="47" t="s">
        <v>10</v>
      </c>
      <c r="D5628" s="49" t="s">
        <v>595</v>
      </c>
      <c r="E5628" s="117">
        <v>802188</v>
      </c>
      <c r="G5628" s="50" t="s">
        <v>89</v>
      </c>
      <c r="H5628" s="51">
        <v>218.155</v>
      </c>
      <c r="J5628" s="51">
        <v>7.34</v>
      </c>
      <c r="K5628" s="74">
        <f>Tabela6[[#This Row],[CONSUMO]]*Tabela6[[#This Row],[VALOR UNIT]]-Tabela6[[#This Row],[DESCONTO]]</f>
        <v>1601.2576999999999</v>
      </c>
      <c r="L5628" s="53">
        <f>Tabela6[[#This Row],[CUSTO TOTAL]]/Tabela6[[#This Row],[CONSUMO]]</f>
        <v>7.34</v>
      </c>
      <c r="M5628" s="53" t="e">
        <f t="array" ref="M5628">SE</f>
        <v>#NAME?</v>
      </c>
      <c r="N5628" s="118" t="e">
        <f>Tabela6[[#This Row],[KM Rodados ]]/Tabela6[[#This Row],[CONSUMO]]</f>
        <v>#NAME?</v>
      </c>
    </row>
    <row r="5629" spans="1:14" x14ac:dyDescent="0.25">
      <c r="A5629" s="117">
        <v>253055</v>
      </c>
      <c r="B5629" s="78">
        <v>45646</v>
      </c>
      <c r="C5629" s="47" t="s">
        <v>17</v>
      </c>
      <c r="D5629" s="49" t="s">
        <v>263</v>
      </c>
      <c r="E5629" s="117">
        <v>451683</v>
      </c>
      <c r="G5629" s="50" t="s">
        <v>241</v>
      </c>
      <c r="H5629" s="51">
        <v>27.542000000000002</v>
      </c>
      <c r="J5629" s="51">
        <v>3.29</v>
      </c>
      <c r="K5629" s="74">
        <f>Tabela6[[#This Row],[CONSUMO]]*Tabela6[[#This Row],[VALOR UNIT]]-Tabela6[[#This Row],[DESCONTO]]</f>
        <v>90.61318</v>
      </c>
      <c r="L5629" s="53">
        <f>Tabela6[[#This Row],[CUSTO TOTAL]]/Tabela6[[#This Row],[CONSUMO]]</f>
        <v>3.2899999999999996</v>
      </c>
      <c r="M5629" s="53" t="e">
        <f t="array" ref="M5629">SE</f>
        <v>#NAME?</v>
      </c>
      <c r="N5629" s="118" t="e">
        <f>Tabela6[[#This Row],[KM Rodados ]]/Tabela6[[#This Row],[CONSUMO]]</f>
        <v>#NAME?</v>
      </c>
    </row>
    <row r="5630" spans="1:14" x14ac:dyDescent="0.25">
      <c r="A5630" s="117">
        <v>929772</v>
      </c>
      <c r="B5630" s="78">
        <v>45647</v>
      </c>
      <c r="C5630" s="47" t="s">
        <v>10</v>
      </c>
      <c r="D5630" s="49" t="s">
        <v>596</v>
      </c>
      <c r="E5630" s="117">
        <v>802916</v>
      </c>
      <c r="G5630" s="50" t="s">
        <v>89</v>
      </c>
      <c r="H5630" s="51">
        <v>188.24</v>
      </c>
      <c r="J5630" s="51">
        <v>5.95</v>
      </c>
      <c r="K5630" s="74">
        <f>Tabela6[[#This Row],[CONSUMO]]*Tabela6[[#This Row],[VALOR UNIT]]-Tabela6[[#This Row],[DESCONTO]]</f>
        <v>1120.028</v>
      </c>
      <c r="L5630" s="53">
        <f>Tabela6[[#This Row],[CUSTO TOTAL]]/Tabela6[[#This Row],[CONSUMO]]</f>
        <v>5.95</v>
      </c>
      <c r="M5630" s="53" t="e">
        <f t="array" ref="M5630">SE</f>
        <v>#NAME?</v>
      </c>
      <c r="N5630" s="118" t="e">
        <f>Tabela6[[#This Row],[KM Rodados ]]/Tabela6[[#This Row],[CONSUMO]]</f>
        <v>#NAME?</v>
      </c>
    </row>
    <row r="5631" spans="1:14" x14ac:dyDescent="0.25">
      <c r="A5631" s="117">
        <v>662987</v>
      </c>
      <c r="B5631" s="78">
        <v>45649</v>
      </c>
      <c r="C5631" s="47" t="s">
        <v>203</v>
      </c>
      <c r="D5631" s="49" t="s">
        <v>386</v>
      </c>
      <c r="E5631" s="117">
        <v>192647</v>
      </c>
      <c r="G5631" s="50" t="s">
        <v>244</v>
      </c>
      <c r="H5631" s="51">
        <v>64.62</v>
      </c>
      <c r="J5631" s="51">
        <v>6.39</v>
      </c>
      <c r="K5631" s="74">
        <f>Tabela6[[#This Row],[CONSUMO]]*Tabela6[[#This Row],[VALOR UNIT]]-Tabela6[[#This Row],[DESCONTO]]</f>
        <v>412.92180000000002</v>
      </c>
      <c r="L5631" s="53">
        <f>Tabela6[[#This Row],[CUSTO TOTAL]]/Tabela6[[#This Row],[CONSUMO]]</f>
        <v>6.39</v>
      </c>
      <c r="M5631" s="53" t="e">
        <f t="array" ref="M5631">SE</f>
        <v>#NAME?</v>
      </c>
      <c r="N5631" s="118" t="e">
        <f>Tabela6[[#This Row],[KM Rodados ]]/Tabela6[[#This Row],[CONSUMO]]</f>
        <v>#NAME?</v>
      </c>
    </row>
    <row r="5632" spans="1:14" x14ac:dyDescent="0.25">
      <c r="A5632" s="117">
        <v>316649</v>
      </c>
      <c r="B5632" s="78">
        <v>45649</v>
      </c>
      <c r="C5632" s="47" t="s">
        <v>206</v>
      </c>
      <c r="D5632" s="49" t="s">
        <v>262</v>
      </c>
      <c r="E5632" s="117">
        <v>1058123</v>
      </c>
      <c r="G5632" s="50" t="s">
        <v>241</v>
      </c>
      <c r="H5632" s="51">
        <v>25.029</v>
      </c>
      <c r="I5632" s="49">
        <v>9.01</v>
      </c>
      <c r="J5632" s="51">
        <v>3.69</v>
      </c>
      <c r="K5632" s="74">
        <f>Tabela6[[#This Row],[CONSUMO]]*Tabela6[[#This Row],[VALOR UNIT]]-Tabela6[[#This Row],[DESCONTO]]</f>
        <v>83.347009999999997</v>
      </c>
      <c r="L5632" s="53">
        <f>Tabela6[[#This Row],[CUSTO TOTAL]]/Tabela6[[#This Row],[CONSUMO]]</f>
        <v>3.330017579607655</v>
      </c>
      <c r="M5632" s="53" t="e">
        <f t="array" ref="M5632">SE</f>
        <v>#NAME?</v>
      </c>
      <c r="N5632" s="118" t="e">
        <f>Tabela6[[#This Row],[KM Rodados ]]/Tabela6[[#This Row],[CONSUMO]]</f>
        <v>#NAME?</v>
      </c>
    </row>
    <row r="5633" spans="1:14" x14ac:dyDescent="0.25">
      <c r="A5633" s="117">
        <v>406917</v>
      </c>
      <c r="B5633" s="78">
        <v>45649</v>
      </c>
      <c r="C5633" s="47" t="s">
        <v>20</v>
      </c>
      <c r="D5633" s="49" t="s">
        <v>253</v>
      </c>
      <c r="E5633" s="117">
        <v>340142</v>
      </c>
      <c r="G5633" s="50" t="s">
        <v>89</v>
      </c>
      <c r="H5633" s="51">
        <v>65.17</v>
      </c>
      <c r="J5633" s="51">
        <v>6.09</v>
      </c>
      <c r="K5633" s="74">
        <f>Tabela6[[#This Row],[CONSUMO]]*Tabela6[[#This Row],[VALOR UNIT]]-Tabela6[[#This Row],[DESCONTO]]</f>
        <v>396.88530000000003</v>
      </c>
      <c r="L5633" s="53">
        <f>Tabela6[[#This Row],[CUSTO TOTAL]]/Tabela6[[#This Row],[CONSUMO]]</f>
        <v>6.09</v>
      </c>
      <c r="M5633" s="53" t="e">
        <f t="array" ref="M5633">SE</f>
        <v>#NAME?</v>
      </c>
      <c r="N5633" s="118" t="e">
        <f>Tabela6[[#This Row],[KM Rodados ]]/Tabela6[[#This Row],[CONSUMO]]</f>
        <v>#NAME?</v>
      </c>
    </row>
    <row r="5634" spans="1:14" x14ac:dyDescent="0.25">
      <c r="A5634" s="117">
        <v>409018</v>
      </c>
      <c r="B5634" s="78">
        <v>45652</v>
      </c>
      <c r="C5634" s="47" t="s">
        <v>39</v>
      </c>
      <c r="D5634" s="49" t="s">
        <v>253</v>
      </c>
      <c r="E5634" s="117">
        <v>138903</v>
      </c>
      <c r="G5634" s="50" t="s">
        <v>89</v>
      </c>
      <c r="H5634" s="51">
        <v>92.64</v>
      </c>
      <c r="J5634" s="51">
        <v>6.09</v>
      </c>
      <c r="K5634" s="74">
        <f>Tabela6[[#This Row],[CONSUMO]]*Tabela6[[#This Row],[VALOR UNIT]]-Tabela6[[#This Row],[DESCONTO]]</f>
        <v>564.17759999999998</v>
      </c>
      <c r="L5634" s="53">
        <f>Tabela6[[#This Row],[CUSTO TOTAL]]/Tabela6[[#This Row],[CONSUMO]]</f>
        <v>6.09</v>
      </c>
      <c r="M5634" s="53" t="e">
        <f t="array" ref="M5634">SE</f>
        <v>#NAME?</v>
      </c>
      <c r="N5634" s="118" t="e">
        <f>Tabela6[[#This Row],[KM Rodados ]]/Tabela6[[#This Row],[CONSUMO]]</f>
        <v>#NAME?</v>
      </c>
    </row>
    <row r="5635" spans="1:14" x14ac:dyDescent="0.25">
      <c r="A5635" s="117">
        <v>409018</v>
      </c>
      <c r="B5635" s="78">
        <v>45652</v>
      </c>
      <c r="C5635" s="47" t="s">
        <v>39</v>
      </c>
      <c r="D5635" s="49" t="s">
        <v>253</v>
      </c>
      <c r="E5635" s="117">
        <v>138903</v>
      </c>
      <c r="G5635" s="50" t="s">
        <v>241</v>
      </c>
      <c r="H5635" s="51">
        <v>10.53</v>
      </c>
      <c r="J5635" s="51">
        <v>3.49</v>
      </c>
      <c r="K5635" s="74">
        <f>Tabela6[[#This Row],[CONSUMO]]*Tabela6[[#This Row],[VALOR UNIT]]-Tabela6[[#This Row],[DESCONTO]]</f>
        <v>36.749699999999997</v>
      </c>
      <c r="L5635" s="53">
        <f>Tabela6[[#This Row],[CUSTO TOTAL]]/Tabela6[[#This Row],[CONSUMO]]</f>
        <v>3.4899999999999998</v>
      </c>
      <c r="M5635" s="53" t="e">
        <f t="array" ref="M5635">SE</f>
        <v>#NAME?</v>
      </c>
      <c r="N5635" s="118" t="e">
        <f>Tabela6[[#This Row],[KM Rodados ]]/Tabela6[[#This Row],[CONSUMO]]</f>
        <v>#NAME?</v>
      </c>
    </row>
    <row r="5636" spans="1:14" x14ac:dyDescent="0.25">
      <c r="A5636" s="117">
        <v>466743</v>
      </c>
      <c r="B5636" s="78">
        <v>45652</v>
      </c>
      <c r="C5636" s="47" t="s">
        <v>203</v>
      </c>
      <c r="D5636" s="49" t="s">
        <v>276</v>
      </c>
      <c r="E5636" s="117">
        <v>193178</v>
      </c>
      <c r="G5636" s="50" t="s">
        <v>244</v>
      </c>
      <c r="H5636" s="51">
        <v>41.8</v>
      </c>
      <c r="J5636" s="51">
        <v>6.09</v>
      </c>
      <c r="K5636" s="74">
        <f>Tabela6[[#This Row],[CONSUMO]]*Tabela6[[#This Row],[VALOR UNIT]]-Tabela6[[#This Row],[DESCONTO]]</f>
        <v>254.56199999999998</v>
      </c>
      <c r="L5636" s="53">
        <f>Tabela6[[#This Row],[CUSTO TOTAL]]/Tabela6[[#This Row],[CONSUMO]]</f>
        <v>6.09</v>
      </c>
      <c r="M5636" s="53" t="e">
        <f t="array" ref="M5636">SE</f>
        <v>#NAME?</v>
      </c>
      <c r="N5636" s="118" t="e">
        <f>Tabela6[[#This Row],[KM Rodados ]]/Tabela6[[#This Row],[CONSUMO]]</f>
        <v>#NAME?</v>
      </c>
    </row>
    <row r="5637" spans="1:14" x14ac:dyDescent="0.25">
      <c r="A5637" s="117">
        <v>31803</v>
      </c>
      <c r="B5637" s="78">
        <v>45652</v>
      </c>
      <c r="C5637" s="47" t="s">
        <v>38</v>
      </c>
      <c r="D5637" s="49" t="s">
        <v>255</v>
      </c>
      <c r="E5637" s="117">
        <v>16044</v>
      </c>
      <c r="G5637" s="50" t="s">
        <v>244</v>
      </c>
      <c r="H5637" s="51">
        <v>50.88</v>
      </c>
      <c r="J5637" s="51">
        <v>5.99</v>
      </c>
      <c r="K5637" s="74">
        <f>Tabela6[[#This Row],[CONSUMO]]*Tabela6[[#This Row],[VALOR UNIT]]-Tabela6[[#This Row],[DESCONTO]]</f>
        <v>304.77120000000002</v>
      </c>
      <c r="L5637" s="53">
        <f>Tabela6[[#This Row],[CUSTO TOTAL]]/Tabela6[[#This Row],[CONSUMO]]</f>
        <v>5.99</v>
      </c>
      <c r="M5637" s="53" t="e">
        <f t="array" ref="M5637">SE</f>
        <v>#NAME?</v>
      </c>
      <c r="N5637" s="118" t="e">
        <f>Tabela6[[#This Row],[KM Rodados ]]/Tabela6[[#This Row],[CONSUMO]]</f>
        <v>#NAME?</v>
      </c>
    </row>
    <row r="5638" spans="1:14" x14ac:dyDescent="0.25">
      <c r="A5638" s="117">
        <v>1559950</v>
      </c>
      <c r="B5638" s="54">
        <v>45652</v>
      </c>
      <c r="C5638" s="47" t="s">
        <v>567</v>
      </c>
      <c r="D5638" s="49" t="s">
        <v>252</v>
      </c>
      <c r="E5638" s="117">
        <v>17846</v>
      </c>
      <c r="G5638" s="50" t="s">
        <v>241</v>
      </c>
      <c r="H5638" s="51">
        <v>50.402999999999999</v>
      </c>
      <c r="J5638" s="51">
        <v>3.89</v>
      </c>
      <c r="K5638" s="74">
        <f>Tabela6[[#This Row],[CONSUMO]]*Tabela6[[#This Row],[VALOR UNIT]]-Tabela6[[#This Row],[DESCONTO]]</f>
        <v>196.06766999999999</v>
      </c>
      <c r="L5638" s="53">
        <f>Tabela6[[#This Row],[CUSTO TOTAL]]/Tabela6[[#This Row],[CONSUMO]]</f>
        <v>3.89</v>
      </c>
      <c r="M5638" s="53" t="e">
        <f t="array" ref="M5638">SE</f>
        <v>#NAME?</v>
      </c>
      <c r="N5638" s="118" t="e">
        <f>Tabela6[[#This Row],[KM Rodados ]]/Tabela6[[#This Row],[CONSUMO]]</f>
        <v>#NAME?</v>
      </c>
    </row>
    <row r="5639" spans="1:14" x14ac:dyDescent="0.25">
      <c r="A5639" s="117">
        <v>1559950</v>
      </c>
      <c r="B5639" s="78">
        <v>45652</v>
      </c>
      <c r="C5639" s="47" t="s">
        <v>567</v>
      </c>
      <c r="D5639" s="49" t="s">
        <v>252</v>
      </c>
      <c r="E5639" s="117">
        <v>17846</v>
      </c>
      <c r="G5639" s="50" t="s">
        <v>89</v>
      </c>
      <c r="H5639" s="51">
        <v>50</v>
      </c>
      <c r="J5639" s="51">
        <v>6.29</v>
      </c>
      <c r="K5639" s="74">
        <f>Tabela6[[#This Row],[CONSUMO]]*Tabela6[[#This Row],[VALOR UNIT]]-Tabela6[[#This Row],[DESCONTO]]</f>
        <v>314.5</v>
      </c>
      <c r="L5639" s="53">
        <f>Tabela6[[#This Row],[CUSTO TOTAL]]/Tabela6[[#This Row],[CONSUMO]]</f>
        <v>6.29</v>
      </c>
      <c r="M5639" s="53" t="e">
        <f t="array" ref="M5639">SE</f>
        <v>#NAME?</v>
      </c>
      <c r="N5639" s="118" t="e">
        <f>Tabela6[[#This Row],[KM Rodados ]]/Tabela6[[#This Row],[CONSUMO]]</f>
        <v>#NAME?</v>
      </c>
    </row>
    <row r="5640" spans="1:14" x14ac:dyDescent="0.25">
      <c r="A5640" s="117"/>
      <c r="B5640" s="78">
        <v>45653</v>
      </c>
      <c r="C5640" s="47" t="s">
        <v>43</v>
      </c>
      <c r="D5640" s="49" t="s">
        <v>336</v>
      </c>
      <c r="E5640" s="117">
        <v>222616</v>
      </c>
      <c r="G5640" s="50" t="s">
        <v>89</v>
      </c>
      <c r="H5640" s="51">
        <v>40.78</v>
      </c>
      <c r="J5640" s="51">
        <v>6.29</v>
      </c>
      <c r="K5640" s="74">
        <f>Tabela6[[#This Row],[CONSUMO]]*Tabela6[[#This Row],[VALOR UNIT]]-Tabela6[[#This Row],[DESCONTO]]</f>
        <v>256.50620000000004</v>
      </c>
      <c r="L5640" s="53">
        <f>Tabela6[[#This Row],[CUSTO TOTAL]]/Tabela6[[#This Row],[CONSUMO]]</f>
        <v>6.2900000000000009</v>
      </c>
      <c r="M5640" s="53" t="e">
        <f t="array" ref="M5640">SE</f>
        <v>#NAME?</v>
      </c>
      <c r="N5640" s="118" t="e">
        <f>Tabela6[[#This Row],[KM Rodados ]]/Tabela6[[#This Row],[CONSUMO]]</f>
        <v>#NAME?</v>
      </c>
    </row>
    <row r="5641" spans="1:14" x14ac:dyDescent="0.25">
      <c r="A5641" s="117">
        <v>409418</v>
      </c>
      <c r="B5641" s="78">
        <v>45653</v>
      </c>
      <c r="C5641" s="47" t="s">
        <v>11</v>
      </c>
      <c r="D5641" s="49" t="s">
        <v>253</v>
      </c>
      <c r="E5641" s="117">
        <v>427890</v>
      </c>
      <c r="G5641" s="50" t="s">
        <v>89</v>
      </c>
      <c r="H5641" s="51">
        <v>118.99</v>
      </c>
      <c r="J5641" s="51">
        <v>6.09</v>
      </c>
      <c r="K5641" s="74">
        <f>Tabela6[[#This Row],[CONSUMO]]*Tabela6[[#This Row],[VALOR UNIT]]-Tabela6[[#This Row],[DESCONTO]]</f>
        <v>724.64909999999998</v>
      </c>
      <c r="L5641" s="53">
        <f>Tabela6[[#This Row],[CUSTO TOTAL]]/Tabela6[[#This Row],[CONSUMO]]</f>
        <v>6.09</v>
      </c>
      <c r="M5641" s="53" t="e">
        <f t="array" ref="M5641">SE</f>
        <v>#NAME?</v>
      </c>
      <c r="N5641" s="118" t="e">
        <f>Tabela6[[#This Row],[KM Rodados ]]/Tabela6[[#This Row],[CONSUMO]]</f>
        <v>#NAME?</v>
      </c>
    </row>
    <row r="5642" spans="1:14" x14ac:dyDescent="0.25">
      <c r="A5642" s="117">
        <v>165034</v>
      </c>
      <c r="B5642" s="78">
        <v>45653</v>
      </c>
      <c r="C5642" s="47" t="s">
        <v>426</v>
      </c>
      <c r="D5642" s="49" t="s">
        <v>585</v>
      </c>
      <c r="E5642" s="117">
        <v>66923</v>
      </c>
      <c r="G5642" s="50" t="s">
        <v>89</v>
      </c>
      <c r="H5642" s="51">
        <v>91.32</v>
      </c>
      <c r="J5642" s="51">
        <v>6.09</v>
      </c>
      <c r="K5642" s="74">
        <f>Tabela6[[#This Row],[CONSUMO]]*Tabela6[[#This Row],[VALOR UNIT]]-Tabela6[[#This Row],[DESCONTO]]</f>
        <v>556.13879999999995</v>
      </c>
      <c r="L5642" s="53">
        <f>Tabela6[[#This Row],[CUSTO TOTAL]]/Tabela6[[#This Row],[CONSUMO]]</f>
        <v>6.09</v>
      </c>
      <c r="M5642" s="53" t="e">
        <f t="array" ref="M5642">SE</f>
        <v>#NAME?</v>
      </c>
      <c r="N5642" s="118" t="e">
        <f>Tabela6[[#This Row],[KM Rodados ]]/Tabela6[[#This Row],[CONSUMO]]</f>
        <v>#NAME?</v>
      </c>
    </row>
    <row r="5643" spans="1:14" x14ac:dyDescent="0.25">
      <c r="A5643" s="117">
        <v>317876</v>
      </c>
      <c r="B5643" s="78">
        <v>45653</v>
      </c>
      <c r="C5643" s="47" t="s">
        <v>446</v>
      </c>
      <c r="D5643" s="49" t="s">
        <v>262</v>
      </c>
      <c r="E5643" s="117">
        <v>82681</v>
      </c>
      <c r="G5643" s="50" t="s">
        <v>241</v>
      </c>
      <c r="H5643" s="51">
        <v>31.774000000000001</v>
      </c>
      <c r="I5643" s="49">
        <v>11.44</v>
      </c>
      <c r="J5643" s="51">
        <v>3.69</v>
      </c>
      <c r="K5643" s="74">
        <f>Tabela6[[#This Row],[CONSUMO]]*Tabela6[[#This Row],[VALOR UNIT]]-Tabela6[[#This Row],[DESCONTO]]</f>
        <v>105.80606</v>
      </c>
      <c r="L5643" s="53">
        <f>Tabela6[[#This Row],[CUSTO TOTAL]]/Tabela6[[#This Row],[CONSUMO]]</f>
        <v>3.3299571977088185</v>
      </c>
      <c r="M5643" s="53" t="e">
        <f t="array" ref="M5643">SE</f>
        <v>#NAME?</v>
      </c>
      <c r="N5643" s="118" t="e">
        <f>Tabela6[[#This Row],[KM Rodados ]]/Tabela6[[#This Row],[CONSUMO]]</f>
        <v>#NAME?</v>
      </c>
    </row>
    <row r="5644" spans="1:14" x14ac:dyDescent="0.25">
      <c r="A5644" s="117">
        <v>1946197</v>
      </c>
      <c r="B5644" s="78">
        <v>45653</v>
      </c>
      <c r="C5644" s="47" t="s">
        <v>567</v>
      </c>
      <c r="D5644" s="49" t="s">
        <v>252</v>
      </c>
      <c r="E5644" s="117">
        <v>18509</v>
      </c>
      <c r="G5644" s="50" t="s">
        <v>89</v>
      </c>
      <c r="H5644" s="51">
        <v>100.012</v>
      </c>
      <c r="J5644" s="51">
        <v>6.29</v>
      </c>
      <c r="K5644" s="74">
        <f>Tabela6[[#This Row],[CONSUMO]]*Tabela6[[#This Row],[VALOR UNIT]]-Tabela6[[#This Row],[DESCONTO]]</f>
        <v>629.07547999999997</v>
      </c>
      <c r="L5644" s="53">
        <f>Tabela6[[#This Row],[CUSTO TOTAL]]/Tabela6[[#This Row],[CONSUMO]]</f>
        <v>6.29</v>
      </c>
      <c r="M5644" s="53" t="e">
        <f t="array" ref="M5644">SE</f>
        <v>#NAME?</v>
      </c>
      <c r="N5644" s="118" t="e">
        <f>Tabela6[[#This Row],[KM Rodados ]]/Tabela6[[#This Row],[CONSUMO]]</f>
        <v>#NAME?</v>
      </c>
    </row>
    <row r="5645" spans="1:14" x14ac:dyDescent="0.25">
      <c r="A5645" s="117">
        <v>317702</v>
      </c>
      <c r="B5645" s="78">
        <v>45653</v>
      </c>
      <c r="C5645" s="47" t="s">
        <v>569</v>
      </c>
      <c r="D5645" s="49" t="s">
        <v>262</v>
      </c>
      <c r="E5645" s="117">
        <v>8473</v>
      </c>
      <c r="G5645" s="50" t="s">
        <v>241</v>
      </c>
      <c r="H5645" s="51">
        <v>26.209</v>
      </c>
      <c r="I5645" s="49">
        <v>9.43</v>
      </c>
      <c r="J5645" s="51">
        <v>3.69</v>
      </c>
      <c r="K5645" s="74">
        <f>Tabela6[[#This Row],[CONSUMO]]*Tabela6[[#This Row],[VALOR UNIT]]-Tabela6[[#This Row],[DESCONTO]]</f>
        <v>87.281209999999987</v>
      </c>
      <c r="L5645" s="53">
        <f>Tabela6[[#This Row],[CUSTO TOTAL]]/Tabela6[[#This Row],[CONSUMO]]</f>
        <v>3.3301999313213013</v>
      </c>
      <c r="M5645" s="53" t="e">
        <f t="array" ref="M5645">SE</f>
        <v>#NAME?</v>
      </c>
      <c r="N5645" s="118" t="e">
        <f>Tabela6[[#This Row],[KM Rodados ]]/Tabela6[[#This Row],[CONSUMO]]</f>
        <v>#NAME?</v>
      </c>
    </row>
    <row r="5646" spans="1:14" x14ac:dyDescent="0.25">
      <c r="A5646" s="117">
        <v>1053064</v>
      </c>
      <c r="B5646" s="78">
        <v>45655</v>
      </c>
      <c r="C5646" s="47" t="s">
        <v>222</v>
      </c>
      <c r="D5646" s="49" t="s">
        <v>376</v>
      </c>
      <c r="E5646" s="117">
        <v>888732</v>
      </c>
      <c r="G5646" s="50" t="s">
        <v>89</v>
      </c>
      <c r="H5646" s="51">
        <v>346.19</v>
      </c>
      <c r="J5646" s="51">
        <v>6.93</v>
      </c>
      <c r="K5646" s="74">
        <f>Tabela6[[#This Row],[CONSUMO]]*Tabela6[[#This Row],[VALOR UNIT]]-Tabela6[[#This Row],[DESCONTO]]</f>
        <v>2399.0967000000001</v>
      </c>
      <c r="L5646" s="53">
        <f>Tabela6[[#This Row],[CUSTO TOTAL]]/Tabela6[[#This Row],[CONSUMO]]</f>
        <v>6.9300000000000006</v>
      </c>
      <c r="M5646" s="53" t="e">
        <f t="array" ref="M5646">SE</f>
        <v>#NAME?</v>
      </c>
      <c r="N5646" s="118" t="e">
        <f>Tabela6[[#This Row],[KM Rodados ]]/Tabela6[[#This Row],[CONSUMO]]</f>
        <v>#NAME?</v>
      </c>
    </row>
    <row r="5647" spans="1:14" x14ac:dyDescent="0.25">
      <c r="A5647" s="117">
        <v>1053051</v>
      </c>
      <c r="B5647" s="78">
        <v>45655</v>
      </c>
      <c r="C5647" s="47" t="s">
        <v>206</v>
      </c>
      <c r="D5647" s="49" t="s">
        <v>376</v>
      </c>
      <c r="E5647" s="117">
        <v>106097</v>
      </c>
      <c r="G5647" s="50" t="s">
        <v>89</v>
      </c>
      <c r="H5647" s="51">
        <v>346.02699999999999</v>
      </c>
      <c r="J5647" s="51">
        <v>6.93</v>
      </c>
      <c r="K5647" s="74">
        <f>Tabela6[[#This Row],[CONSUMO]]*Tabela6[[#This Row],[VALOR UNIT]]-Tabela6[[#This Row],[DESCONTO]]</f>
        <v>2397.9671099999996</v>
      </c>
      <c r="L5647" s="53">
        <f>Tabela6[[#This Row],[CUSTO TOTAL]]/Tabela6[[#This Row],[CONSUMO]]</f>
        <v>6.9299999999999988</v>
      </c>
      <c r="M5647" s="53" t="e">
        <f t="array" ref="M5647">SE</f>
        <v>#NAME?</v>
      </c>
      <c r="N5647" s="118" t="e">
        <f>Tabela6[[#This Row],[KM Rodados ]]/Tabela6[[#This Row],[CONSUMO]]</f>
        <v>#NAME?</v>
      </c>
    </row>
    <row r="5648" spans="1:14" x14ac:dyDescent="0.25">
      <c r="A5648" s="117">
        <v>410910</v>
      </c>
      <c r="B5648" s="78">
        <v>45656</v>
      </c>
      <c r="C5648" s="47" t="s">
        <v>12</v>
      </c>
      <c r="D5648" s="49" t="s">
        <v>253</v>
      </c>
      <c r="E5648" s="117">
        <v>352878</v>
      </c>
      <c r="G5648" s="50" t="s">
        <v>89</v>
      </c>
      <c r="H5648" s="51">
        <v>110.83</v>
      </c>
      <c r="J5648" s="51">
        <v>6.09</v>
      </c>
      <c r="K5648" s="74">
        <f>Tabela6[[#This Row],[CONSUMO]]*Tabela6[[#This Row],[VALOR UNIT]]-Tabela6[[#This Row],[DESCONTO]]</f>
        <v>674.9547</v>
      </c>
      <c r="L5648" s="53">
        <f>Tabela6[[#This Row],[CUSTO TOTAL]]/Tabela6[[#This Row],[CONSUMO]]</f>
        <v>6.09</v>
      </c>
      <c r="M5648" s="53" t="e">
        <f t="array" ref="M5648">SE</f>
        <v>#NAME?</v>
      </c>
      <c r="N5648" s="118" t="e">
        <f>Tabela6[[#This Row],[KM Rodados ]]/Tabela6[[#This Row],[CONSUMO]]</f>
        <v>#NAME?</v>
      </c>
    </row>
    <row r="5649" spans="1:14" x14ac:dyDescent="0.25">
      <c r="A5649" s="117">
        <v>411136</v>
      </c>
      <c r="B5649" s="78">
        <v>45656</v>
      </c>
      <c r="C5649" s="47" t="s">
        <v>315</v>
      </c>
      <c r="D5649" s="49" t="s">
        <v>253</v>
      </c>
      <c r="E5649" s="117">
        <v>57429</v>
      </c>
      <c r="G5649" s="50" t="s">
        <v>89</v>
      </c>
      <c r="H5649" s="51">
        <v>51.61</v>
      </c>
      <c r="J5649" s="51">
        <v>6.09</v>
      </c>
      <c r="K5649" s="74">
        <f>Tabela6[[#This Row],[CONSUMO]]*Tabela6[[#This Row],[VALOR UNIT]]-Tabela6[[#This Row],[DESCONTO]]</f>
        <v>314.30489999999998</v>
      </c>
      <c r="L5649" s="53">
        <f>Tabela6[[#This Row],[CUSTO TOTAL]]/Tabela6[[#This Row],[CONSUMO]]</f>
        <v>6.09</v>
      </c>
      <c r="M5649" s="53" t="e">
        <f t="array" ref="M5649">SE</f>
        <v>#NAME?</v>
      </c>
      <c r="N5649" s="118" t="e">
        <f>Tabela6[[#This Row],[KM Rodados ]]/Tabela6[[#This Row],[CONSUMO]]</f>
        <v>#NAME?</v>
      </c>
    </row>
    <row r="5650" spans="1:14" x14ac:dyDescent="0.25">
      <c r="A5650" s="117">
        <v>788043</v>
      </c>
      <c r="B5650" s="78">
        <v>45659</v>
      </c>
      <c r="C5650" s="47" t="s">
        <v>41</v>
      </c>
      <c r="D5650" s="49" t="s">
        <v>277</v>
      </c>
      <c r="E5650" s="117">
        <v>750426</v>
      </c>
      <c r="G5650" s="50" t="s">
        <v>89</v>
      </c>
      <c r="H5650" s="51">
        <v>133.06</v>
      </c>
      <c r="J5650" s="51">
        <v>6.29</v>
      </c>
      <c r="K5650" s="74">
        <f>Tabela6[[#This Row],[CONSUMO]]*Tabela6[[#This Row],[VALOR UNIT]]-Tabela6[[#This Row],[DESCONTO]]</f>
        <v>836.94740000000002</v>
      </c>
      <c r="L5650" s="53">
        <f>Tabela6[[#This Row],[CUSTO TOTAL]]/Tabela6[[#This Row],[CONSUMO]]</f>
        <v>6.29</v>
      </c>
      <c r="M5650" s="53" t="e">
        <f t="array" ref="M5650">SE</f>
        <v>#NAME?</v>
      </c>
      <c r="N5650" s="118" t="e">
        <f>Tabela6[[#This Row],[KM Rodados ]]/Tabela6[[#This Row],[CONSUMO]]</f>
        <v>#NAME?</v>
      </c>
    </row>
    <row r="5651" spans="1:14" x14ac:dyDescent="0.25">
      <c r="A5651" s="117">
        <v>319493</v>
      </c>
      <c r="B5651" s="78">
        <v>45659</v>
      </c>
      <c r="C5651" s="47" t="s">
        <v>315</v>
      </c>
      <c r="D5651" s="49" t="s">
        <v>262</v>
      </c>
      <c r="E5651" s="117">
        <v>57582</v>
      </c>
      <c r="G5651" s="50" t="s">
        <v>241</v>
      </c>
      <c r="H5651" s="51">
        <v>3.2879999999999998</v>
      </c>
      <c r="I5651" s="49">
        <v>1.18</v>
      </c>
      <c r="J5651" s="51">
        <v>3.69</v>
      </c>
      <c r="K5651" s="74">
        <f>Tabela6[[#This Row],[CONSUMO]]*Tabela6[[#This Row],[VALOR UNIT]]-Tabela6[[#This Row],[DESCONTO]]</f>
        <v>10.952719999999999</v>
      </c>
      <c r="L5651" s="53">
        <f>Tabela6[[#This Row],[CUSTO TOTAL]]/Tabela6[[#This Row],[CONSUMO]]</f>
        <v>3.3311192214111922</v>
      </c>
      <c r="M5651" s="53" t="e">
        <f t="array" ref="M5651">SE</f>
        <v>#NAME?</v>
      </c>
      <c r="N5651" s="118" t="e">
        <f>Tabela6[[#This Row],[KM Rodados ]]/Tabela6[[#This Row],[CONSUMO]]</f>
        <v>#NAME?</v>
      </c>
    </row>
    <row r="5652" spans="1:14" x14ac:dyDescent="0.25">
      <c r="A5652" s="117">
        <v>319429</v>
      </c>
      <c r="B5652" s="78">
        <v>45659</v>
      </c>
      <c r="C5652" s="47" t="s">
        <v>354</v>
      </c>
      <c r="D5652" s="49" t="s">
        <v>262</v>
      </c>
      <c r="E5652" s="117">
        <v>81655</v>
      </c>
      <c r="G5652" s="50" t="s">
        <v>241</v>
      </c>
      <c r="H5652" s="51">
        <v>23.295000000000002</v>
      </c>
      <c r="I5652" s="49">
        <v>8.39</v>
      </c>
      <c r="J5652" s="51">
        <v>3.69</v>
      </c>
      <c r="K5652" s="74">
        <f>Tabela6[[#This Row],[CONSUMO]]*Tabela6[[#This Row],[VALOR UNIT]]-Tabela6[[#This Row],[DESCONTO]]</f>
        <v>77.568550000000002</v>
      </c>
      <c r="L5652" s="53">
        <f>Tabela6[[#This Row],[CUSTO TOTAL]]/Tabela6[[#This Row],[CONSUMO]]</f>
        <v>3.3298368748658507</v>
      </c>
      <c r="M5652" s="53" t="e">
        <f t="array" ref="M5652">SE</f>
        <v>#NAME?</v>
      </c>
      <c r="N5652" s="118" t="e">
        <f>Tabela6[[#This Row],[KM Rodados ]]/Tabela6[[#This Row],[CONSUMO]]</f>
        <v>#NAME?</v>
      </c>
    </row>
    <row r="5653" spans="1:14" x14ac:dyDescent="0.25">
      <c r="A5653" s="117">
        <v>320828</v>
      </c>
      <c r="B5653" s="78">
        <v>45663</v>
      </c>
      <c r="C5653" s="47" t="s">
        <v>203</v>
      </c>
      <c r="D5653" s="49" t="s">
        <v>262</v>
      </c>
      <c r="E5653" s="121">
        <v>193753</v>
      </c>
      <c r="G5653" s="50" t="s">
        <v>244</v>
      </c>
      <c r="H5653" s="51">
        <v>47.87</v>
      </c>
      <c r="J5653" s="51">
        <v>5.99</v>
      </c>
      <c r="K5653" s="74">
        <f>Tabela6[[#This Row],[CONSUMO]]*Tabela6[[#This Row],[VALOR UNIT]]-Tabela6[[#This Row],[DESCONTO]]</f>
        <v>286.74129999999997</v>
      </c>
      <c r="L5653" s="53">
        <f>Tabela6[[#This Row],[CUSTO TOTAL]]/Tabela6[[#This Row],[CONSUMO]]</f>
        <v>5.9899999999999993</v>
      </c>
      <c r="M5653" s="53" t="e">
        <f t="array" ref="M5653">SE</f>
        <v>#NAME?</v>
      </c>
      <c r="N5653" s="118" t="e">
        <f>Tabela6[[#This Row],[KM Rodados ]]/Tabela6[[#This Row],[CONSUMO]]</f>
        <v>#NAME?</v>
      </c>
    </row>
    <row r="5654" spans="1:14" x14ac:dyDescent="0.25">
      <c r="A5654" s="117">
        <v>470120</v>
      </c>
      <c r="B5654" s="78">
        <v>45663</v>
      </c>
      <c r="C5654" s="47" t="s">
        <v>40</v>
      </c>
      <c r="D5654" s="49" t="s">
        <v>276</v>
      </c>
      <c r="E5654" s="117">
        <v>236603</v>
      </c>
      <c r="G5654" s="50" t="s">
        <v>244</v>
      </c>
      <c r="H5654" s="51">
        <v>46.8</v>
      </c>
      <c r="J5654" s="51">
        <v>6.09</v>
      </c>
      <c r="K5654" s="74">
        <f>Tabela6[[#This Row],[CONSUMO]]*Tabela6[[#This Row],[VALOR UNIT]]-Tabela6[[#This Row],[DESCONTO]]</f>
        <v>285.012</v>
      </c>
      <c r="L5654" s="53">
        <f>Tabela6[[#This Row],[CUSTO TOTAL]]/Tabela6[[#This Row],[CONSUMO]]</f>
        <v>6.0900000000000007</v>
      </c>
      <c r="M5654" s="53" t="e">
        <f t="array" ref="M5654">SE</f>
        <v>#NAME?</v>
      </c>
      <c r="N5654" s="118" t="e">
        <f>Tabela6[[#This Row],[KM Rodados ]]/Tabela6[[#This Row],[CONSUMO]]</f>
        <v>#NAME?</v>
      </c>
    </row>
    <row r="5655" spans="1:14" x14ac:dyDescent="0.25">
      <c r="A5655" s="117">
        <v>255423</v>
      </c>
      <c r="B5655" s="78">
        <v>45664</v>
      </c>
      <c r="C5655" s="47" t="s">
        <v>43</v>
      </c>
      <c r="D5655" s="49" t="s">
        <v>263</v>
      </c>
      <c r="E5655" s="117">
        <v>514818</v>
      </c>
      <c r="G5655" s="50" t="s">
        <v>89</v>
      </c>
      <c r="H5655" s="51">
        <v>43.79</v>
      </c>
      <c r="I5655" s="49">
        <v>6.57</v>
      </c>
      <c r="J5655" s="51">
        <v>6.14</v>
      </c>
      <c r="K5655" s="74">
        <f>Tabela6[[#This Row],[CONSUMO]]*Tabela6[[#This Row],[VALOR UNIT]]-Tabela6[[#This Row],[DESCONTO]]</f>
        <v>262.30059999999997</v>
      </c>
      <c r="L5655" s="53">
        <f>Tabela6[[#This Row],[CUSTO TOTAL]]/Tabela6[[#This Row],[CONSUMO]]</f>
        <v>5.9899657456040183</v>
      </c>
      <c r="M5655" s="53" t="e">
        <f t="array" ref="M5655">SE</f>
        <v>#NAME?</v>
      </c>
      <c r="N5655" s="118" t="e">
        <f>Tabela6[[#This Row],[KM Rodados ]]/Tabela6[[#This Row],[CONSUMO]]</f>
        <v>#NAME?</v>
      </c>
    </row>
    <row r="5656" spans="1:14" x14ac:dyDescent="0.25">
      <c r="A5656" s="117">
        <v>470552</v>
      </c>
      <c r="B5656" s="78">
        <v>45665</v>
      </c>
      <c r="C5656" s="47" t="s">
        <v>215</v>
      </c>
      <c r="D5656" s="49" t="s">
        <v>276</v>
      </c>
      <c r="E5656" s="117">
        <v>247623</v>
      </c>
      <c r="G5656" s="50" t="s">
        <v>244</v>
      </c>
      <c r="H5656" s="51">
        <v>37.86</v>
      </c>
      <c r="J5656" s="51">
        <v>6.09</v>
      </c>
      <c r="K5656" s="74">
        <f>Tabela6[[#This Row],[CONSUMO]]*Tabela6[[#This Row],[VALOR UNIT]]-Tabela6[[#This Row],[DESCONTO]]</f>
        <v>230.56739999999999</v>
      </c>
      <c r="L5656" s="53">
        <f>Tabela6[[#This Row],[CUSTO TOTAL]]/Tabela6[[#This Row],[CONSUMO]]</f>
        <v>6.09</v>
      </c>
      <c r="M5656" s="53" t="e">
        <f t="array" ref="M5656">SE</f>
        <v>#NAME?</v>
      </c>
      <c r="N5656" s="118" t="e">
        <f>Tabela6[[#This Row],[KM Rodados ]]/Tabela6[[#This Row],[CONSUMO]]</f>
        <v>#NAME?</v>
      </c>
    </row>
    <row r="5657" spans="1:14" x14ac:dyDescent="0.25">
      <c r="A5657" s="117">
        <v>415921</v>
      </c>
      <c r="B5657" s="78">
        <v>45665</v>
      </c>
      <c r="C5657" s="47" t="s">
        <v>315</v>
      </c>
      <c r="D5657" s="49" t="s">
        <v>253</v>
      </c>
      <c r="E5657" s="117">
        <v>58373</v>
      </c>
      <c r="G5657" s="50" t="s">
        <v>89</v>
      </c>
      <c r="H5657" s="51">
        <v>69.81</v>
      </c>
      <c r="J5657" s="51">
        <v>6.09</v>
      </c>
      <c r="K5657" s="74">
        <f>Tabela6[[#This Row],[CONSUMO]]*Tabela6[[#This Row],[VALOR UNIT]]-Tabela6[[#This Row],[DESCONTO]]</f>
        <v>425.1429</v>
      </c>
      <c r="L5657" s="53">
        <f>Tabela6[[#This Row],[CUSTO TOTAL]]/Tabela6[[#This Row],[CONSUMO]]</f>
        <v>6.09</v>
      </c>
      <c r="M5657" s="53" t="e">
        <f t="array" ref="M5657">SE</f>
        <v>#NAME?</v>
      </c>
      <c r="N5657" s="118" t="e">
        <f>Tabela6[[#This Row],[KM Rodados ]]/Tabela6[[#This Row],[CONSUMO]]</f>
        <v>#NAME?</v>
      </c>
    </row>
    <row r="5658" spans="1:14" x14ac:dyDescent="0.25">
      <c r="A5658" s="117">
        <v>416649</v>
      </c>
      <c r="B5658" s="78">
        <v>45666</v>
      </c>
      <c r="C5658" s="47" t="s">
        <v>39</v>
      </c>
      <c r="D5658" s="49" t="s">
        <v>253</v>
      </c>
      <c r="E5658" s="117">
        <v>139456</v>
      </c>
      <c r="G5658" s="50" t="s">
        <v>89</v>
      </c>
      <c r="H5658" s="51">
        <v>97.16</v>
      </c>
      <c r="J5658" s="51">
        <v>6.09</v>
      </c>
      <c r="K5658" s="74">
        <f>Tabela6[[#This Row],[CONSUMO]]*Tabela6[[#This Row],[VALOR UNIT]]-Tabela6[[#This Row],[DESCONTO]]</f>
        <v>591.70439999999996</v>
      </c>
      <c r="L5658" s="53">
        <f>Tabela6[[#This Row],[CUSTO TOTAL]]/Tabela6[[#This Row],[CONSUMO]]</f>
        <v>6.09</v>
      </c>
      <c r="M5658" s="53" t="e">
        <f t="array" ref="M5658">SE</f>
        <v>#NAME?</v>
      </c>
      <c r="N5658" s="118" t="e">
        <f>Tabela6[[#This Row],[KM Rodados ]]/Tabela6[[#This Row],[CONSUMO]]</f>
        <v>#NAME?</v>
      </c>
    </row>
    <row r="5659" spans="1:14" x14ac:dyDescent="0.25">
      <c r="A5659" s="117">
        <v>1147102</v>
      </c>
      <c r="B5659" s="78">
        <v>45666</v>
      </c>
      <c r="C5659" s="47" t="s">
        <v>401</v>
      </c>
      <c r="D5659" s="49" t="s">
        <v>250</v>
      </c>
      <c r="E5659" s="117">
        <v>77135</v>
      </c>
      <c r="G5659" s="50" t="s">
        <v>241</v>
      </c>
      <c r="H5659" s="51">
        <v>34.9</v>
      </c>
      <c r="J5659" s="51">
        <v>2.98</v>
      </c>
      <c r="K5659" s="74">
        <f>Tabela6[[#This Row],[CONSUMO]]*Tabela6[[#This Row],[VALOR UNIT]]-Tabela6[[#This Row],[DESCONTO]]</f>
        <v>104.002</v>
      </c>
      <c r="L5659" s="53">
        <f>Tabela6[[#This Row],[CUSTO TOTAL]]/Tabela6[[#This Row],[CONSUMO]]</f>
        <v>2.98</v>
      </c>
      <c r="M5659" s="53" t="e">
        <f t="array" ref="M5659">SE</f>
        <v>#NAME?</v>
      </c>
      <c r="N5659" s="118" t="e">
        <f>Tabela6[[#This Row],[KM Rodados ]]/Tabela6[[#This Row],[CONSUMO]]</f>
        <v>#NAME?</v>
      </c>
    </row>
    <row r="5660" spans="1:14" x14ac:dyDescent="0.25">
      <c r="A5660" s="117">
        <v>1147103</v>
      </c>
      <c r="B5660" s="78">
        <v>45666</v>
      </c>
      <c r="C5660" s="47" t="s">
        <v>401</v>
      </c>
      <c r="D5660" s="49" t="s">
        <v>250</v>
      </c>
      <c r="E5660" s="117">
        <v>77135</v>
      </c>
      <c r="G5660" s="50" t="s">
        <v>89</v>
      </c>
      <c r="H5660" s="51">
        <v>133.98099999999999</v>
      </c>
      <c r="J5660" s="51">
        <v>6.15</v>
      </c>
      <c r="K5660" s="74">
        <f>Tabela6[[#This Row],[CONSUMO]]*Tabela6[[#This Row],[VALOR UNIT]]-Tabela6[[#This Row],[DESCONTO]]</f>
        <v>823.98315000000002</v>
      </c>
      <c r="L5660" s="53">
        <f>Tabela6[[#This Row],[CUSTO TOTAL]]/Tabela6[[#This Row],[CONSUMO]]</f>
        <v>6.15</v>
      </c>
      <c r="M5660" s="53" t="e">
        <f t="array" ref="M5660">SE</f>
        <v>#NAME?</v>
      </c>
      <c r="N5660" s="118" t="e">
        <f>Tabela6[[#This Row],[KM Rodados ]]/Tabela6[[#This Row],[CONSUMO]]</f>
        <v>#NAME?</v>
      </c>
    </row>
    <row r="5661" spans="1:14" x14ac:dyDescent="0.25">
      <c r="A5661" s="117">
        <v>43225</v>
      </c>
      <c r="B5661" s="78">
        <v>45666</v>
      </c>
      <c r="C5661" s="47" t="s">
        <v>401</v>
      </c>
      <c r="D5661" s="49" t="s">
        <v>598</v>
      </c>
      <c r="E5661" s="117">
        <v>78085</v>
      </c>
      <c r="G5661" s="50" t="s">
        <v>89</v>
      </c>
      <c r="H5661" s="51">
        <v>47.31</v>
      </c>
      <c r="J5661" s="51">
        <v>6.36</v>
      </c>
      <c r="K5661" s="74">
        <f>Tabela6[[#This Row],[CONSUMO]]*Tabela6[[#This Row],[VALOR UNIT]]-Tabela6[[#This Row],[DESCONTO]]</f>
        <v>300.89160000000004</v>
      </c>
      <c r="L5661" s="53">
        <f>Tabela6[[#This Row],[CUSTO TOTAL]]/Tabela6[[#This Row],[CONSUMO]]</f>
        <v>6.36</v>
      </c>
      <c r="M5661" s="53" t="e">
        <f t="array" ref="M5661">SE</f>
        <v>#NAME?</v>
      </c>
      <c r="N5661" s="118" t="e">
        <f>Tabela6[[#This Row],[KM Rodados ]]/Tabela6[[#This Row],[CONSUMO]]</f>
        <v>#NAME?</v>
      </c>
    </row>
    <row r="5662" spans="1:14" x14ac:dyDescent="0.25">
      <c r="A5662" s="117">
        <v>417322</v>
      </c>
      <c r="B5662" s="78">
        <v>45667</v>
      </c>
      <c r="C5662" s="47" t="s">
        <v>12</v>
      </c>
      <c r="D5662" s="49" t="s">
        <v>253</v>
      </c>
      <c r="E5662" s="117">
        <v>353494</v>
      </c>
      <c r="G5662" s="50" t="s">
        <v>89</v>
      </c>
      <c r="H5662" s="51">
        <v>106.7</v>
      </c>
      <c r="J5662" s="51">
        <v>6.09</v>
      </c>
      <c r="K5662" s="74">
        <f>Tabela6[[#This Row],[CONSUMO]]*Tabela6[[#This Row],[VALOR UNIT]]-Tabela6[[#This Row],[DESCONTO]]</f>
        <v>649.803</v>
      </c>
      <c r="L5662" s="53">
        <f>Tabela6[[#This Row],[CUSTO TOTAL]]/Tabela6[[#This Row],[CONSUMO]]</f>
        <v>6.09</v>
      </c>
      <c r="M5662" s="53" t="e">
        <f t="array" ref="M5662">SE</f>
        <v>#NAME?</v>
      </c>
      <c r="N5662" s="118" t="e">
        <f>Tabela6[[#This Row],[KM Rodados ]]/Tabela6[[#This Row],[CONSUMO]]</f>
        <v>#NAME?</v>
      </c>
    </row>
    <row r="5663" spans="1:14" x14ac:dyDescent="0.25">
      <c r="A5663" s="117">
        <v>255905</v>
      </c>
      <c r="B5663" s="78">
        <v>45667</v>
      </c>
      <c r="C5663" s="47" t="s">
        <v>15</v>
      </c>
      <c r="D5663" s="49" t="s">
        <v>263</v>
      </c>
      <c r="E5663" s="117">
        <v>468932</v>
      </c>
      <c r="G5663" s="50" t="s">
        <v>89</v>
      </c>
      <c r="H5663" s="51">
        <v>125.051</v>
      </c>
      <c r="I5663" s="49">
        <v>18.760000000000002</v>
      </c>
      <c r="J5663" s="51">
        <v>6.14</v>
      </c>
      <c r="K5663" s="74">
        <f>Tabela6[[#This Row],[CONSUMO]]*Tabela6[[#This Row],[VALOR UNIT]]-Tabela6[[#This Row],[DESCONTO]]</f>
        <v>749.05313999999998</v>
      </c>
      <c r="L5663" s="53">
        <f>Tabela6[[#This Row],[CUSTO TOTAL]]/Tabela6[[#This Row],[CONSUMO]]</f>
        <v>5.9899812076672712</v>
      </c>
      <c r="M5663" s="53" t="e">
        <f t="array" ref="M5663">SE</f>
        <v>#NAME?</v>
      </c>
      <c r="N5663" s="118" t="e">
        <f>Tabela6[[#This Row],[KM Rodados ]]/Tabela6[[#This Row],[CONSUMO]]</f>
        <v>#NAME?</v>
      </c>
    </row>
    <row r="5664" spans="1:14" x14ac:dyDescent="0.25">
      <c r="A5664" s="117">
        <v>255905</v>
      </c>
      <c r="B5664" s="78">
        <v>45667</v>
      </c>
      <c r="C5664" s="47" t="s">
        <v>15</v>
      </c>
      <c r="D5664" s="49" t="s">
        <v>263</v>
      </c>
      <c r="E5664" s="117">
        <v>468932</v>
      </c>
      <c r="G5664" s="50" t="s">
        <v>241</v>
      </c>
      <c r="H5664" s="51">
        <v>20.92</v>
      </c>
      <c r="J5664" s="51">
        <v>2.99</v>
      </c>
      <c r="K5664" s="74">
        <f>Tabela6[[#This Row],[CONSUMO]]*Tabela6[[#This Row],[VALOR UNIT]]-Tabela6[[#This Row],[DESCONTO]]</f>
        <v>62.55080000000001</v>
      </c>
      <c r="L5664" s="53">
        <f>Tabela6[[#This Row],[CUSTO TOTAL]]/Tabela6[[#This Row],[CONSUMO]]</f>
        <v>2.99</v>
      </c>
      <c r="M5664" s="53" t="e">
        <f t="array" ref="M5664">SE</f>
        <v>#NAME?</v>
      </c>
      <c r="N5664" s="118" t="e">
        <f>Tabela6[[#This Row],[KM Rodados ]]/Tabela6[[#This Row],[CONSUMO]]</f>
        <v>#NAME?</v>
      </c>
    </row>
    <row r="5665" spans="1:14" x14ac:dyDescent="0.25">
      <c r="A5665" s="117">
        <v>984549</v>
      </c>
      <c r="B5665" s="78">
        <v>45670</v>
      </c>
      <c r="C5665" s="47" t="s">
        <v>401</v>
      </c>
      <c r="D5665" s="49" t="s">
        <v>597</v>
      </c>
      <c r="E5665" s="117">
        <v>78316</v>
      </c>
      <c r="G5665" s="50" t="s">
        <v>89</v>
      </c>
      <c r="H5665" s="51">
        <v>84.75</v>
      </c>
      <c r="I5665" s="49">
        <v>9.33</v>
      </c>
      <c r="J5665" s="51">
        <v>6.28</v>
      </c>
      <c r="K5665" s="74">
        <f>Tabela6[[#This Row],[CONSUMO]]*Tabela6[[#This Row],[VALOR UNIT]]-Tabela6[[#This Row],[DESCONTO]]</f>
        <v>522.9</v>
      </c>
      <c r="L5665" s="53">
        <f>Tabela6[[#This Row],[CUSTO TOTAL]]/Tabela6[[#This Row],[CONSUMO]]</f>
        <v>6.1699115044247783</v>
      </c>
      <c r="M5665" s="53" t="e">
        <f t="array" ref="M5665">SE</f>
        <v>#NAME?</v>
      </c>
      <c r="N5665" s="118" t="e">
        <f>Tabela6[[#This Row],[KM Rodados ]]/Tabela6[[#This Row],[CONSUMO]]</f>
        <v>#NAME?</v>
      </c>
    </row>
    <row r="5666" spans="1:14" x14ac:dyDescent="0.25">
      <c r="A5666" s="117">
        <v>1817443</v>
      </c>
      <c r="B5666" s="78">
        <v>45670</v>
      </c>
      <c r="C5666" s="47" t="s">
        <v>446</v>
      </c>
      <c r="D5666" s="49" t="s">
        <v>305</v>
      </c>
      <c r="E5666" s="117">
        <v>75587</v>
      </c>
      <c r="G5666" s="50" t="s">
        <v>89</v>
      </c>
      <c r="H5666" s="51">
        <v>150.27000000000001</v>
      </c>
      <c r="J5666" s="51">
        <v>6.03</v>
      </c>
      <c r="K5666" s="74">
        <f>Tabela6[[#This Row],[CONSUMO]]*Tabela6[[#This Row],[VALOR UNIT]]-Tabela6[[#This Row],[DESCONTO]]</f>
        <v>906.12810000000013</v>
      </c>
      <c r="L5666" s="53">
        <f>Tabela6[[#This Row],[CUSTO TOTAL]]/Tabela6[[#This Row],[CONSUMO]]</f>
        <v>6.03</v>
      </c>
      <c r="M5666" s="53" t="e">
        <f t="array" ref="M5666">SE</f>
        <v>#NAME?</v>
      </c>
      <c r="N5666" s="118" t="e">
        <f>Tabela6[[#This Row],[KM Rodados ]]/Tabela6[[#This Row],[CONSUMO]]</f>
        <v>#NAME?</v>
      </c>
    </row>
    <row r="5667" spans="1:14" x14ac:dyDescent="0.25">
      <c r="A5667" s="117">
        <v>1817444</v>
      </c>
      <c r="B5667" s="78">
        <v>45670</v>
      </c>
      <c r="C5667" s="47" t="s">
        <v>446</v>
      </c>
      <c r="D5667" s="49" t="s">
        <v>305</v>
      </c>
      <c r="E5667" s="117">
        <v>75582</v>
      </c>
      <c r="G5667" s="50" t="s">
        <v>241</v>
      </c>
      <c r="H5667" s="51">
        <v>28.37</v>
      </c>
      <c r="J5667" s="51">
        <v>3.59</v>
      </c>
      <c r="K5667" s="74">
        <f>Tabela6[[#This Row],[CONSUMO]]*Tabela6[[#This Row],[VALOR UNIT]]-Tabela6[[#This Row],[DESCONTO]]</f>
        <v>101.84829999999999</v>
      </c>
      <c r="L5667" s="53">
        <f>Tabela6[[#This Row],[CUSTO TOTAL]]/Tabela6[[#This Row],[CONSUMO]]</f>
        <v>3.59</v>
      </c>
      <c r="M5667" s="53" t="e">
        <f t="array" ref="M5667">SE</f>
        <v>#NAME?</v>
      </c>
      <c r="N5667" s="118" t="e">
        <f>Tabela6[[#This Row],[KM Rodados ]]/Tabela6[[#This Row],[CONSUMO]]</f>
        <v>#NAME?</v>
      </c>
    </row>
    <row r="5668" spans="1:14" x14ac:dyDescent="0.25">
      <c r="A5668" s="117">
        <v>256469</v>
      </c>
      <c r="B5668" s="78">
        <v>45671</v>
      </c>
      <c r="C5668" s="47" t="s">
        <v>72</v>
      </c>
      <c r="D5668" s="49" t="s">
        <v>263</v>
      </c>
      <c r="E5668" s="117">
        <v>491350</v>
      </c>
      <c r="G5668" s="50" t="s">
        <v>89</v>
      </c>
      <c r="H5668" s="51">
        <v>29.600999999999999</v>
      </c>
      <c r="I5668" s="49">
        <v>4.46</v>
      </c>
      <c r="J5668" s="51">
        <v>6.14</v>
      </c>
      <c r="K5668" s="74">
        <f>Tabela6[[#This Row],[CONSUMO]]*Tabela6[[#This Row],[VALOR UNIT]]-Tabela6[[#This Row],[DESCONTO]]</f>
        <v>177.29013999999998</v>
      </c>
      <c r="L5668" s="53">
        <f>Tabela6[[#This Row],[CUSTO TOTAL]]/Tabela6[[#This Row],[CONSUMO]]</f>
        <v>5.9893294145468055</v>
      </c>
      <c r="M5668" s="53" t="e">
        <f t="array" ref="M5668">SE</f>
        <v>#NAME?</v>
      </c>
      <c r="N5668" s="118" t="e">
        <f>Tabela6[[#This Row],[KM Rodados ]]/Tabela6[[#This Row],[CONSUMO]]</f>
        <v>#NAME?</v>
      </c>
    </row>
    <row r="5669" spans="1:14" x14ac:dyDescent="0.25">
      <c r="A5669" s="117">
        <v>329275</v>
      </c>
      <c r="B5669" s="78">
        <v>45672</v>
      </c>
      <c r="C5669" s="47" t="s">
        <v>43</v>
      </c>
      <c r="D5669" s="49" t="s">
        <v>600</v>
      </c>
      <c r="E5669" s="117">
        <v>226664</v>
      </c>
      <c r="G5669" s="50" t="s">
        <v>89</v>
      </c>
      <c r="H5669" s="51">
        <v>45.06</v>
      </c>
      <c r="J5669" s="51">
        <v>6.54</v>
      </c>
      <c r="K5669" s="74">
        <f>Tabela6[[#This Row],[CONSUMO]]*Tabela6[[#This Row],[VALOR UNIT]]-Tabela6[[#This Row],[DESCONTO]]</f>
        <v>294.69240000000002</v>
      </c>
      <c r="L5669" s="53">
        <f>Tabela6[[#This Row],[CUSTO TOTAL]]/Tabela6[[#This Row],[CONSUMO]]</f>
        <v>6.54</v>
      </c>
      <c r="M5669" s="53" t="e">
        <f t="array" ref="M5669">SE</f>
        <v>#NAME?</v>
      </c>
      <c r="N5669" s="118" t="e">
        <f>Tabela6[[#This Row],[KM Rodados ]]/Tabela6[[#This Row],[CONSUMO]]</f>
        <v>#NAME?</v>
      </c>
    </row>
    <row r="5670" spans="1:14" x14ac:dyDescent="0.25">
      <c r="A5670" s="117">
        <v>235616</v>
      </c>
      <c r="B5670" s="78">
        <v>45672</v>
      </c>
      <c r="C5670" s="47" t="s">
        <v>401</v>
      </c>
      <c r="D5670" s="49" t="s">
        <v>597</v>
      </c>
      <c r="E5670" s="117">
        <v>79717</v>
      </c>
      <c r="G5670" s="50" t="s">
        <v>241</v>
      </c>
      <c r="H5670" s="51">
        <v>21.757999999999999</v>
      </c>
      <c r="J5670" s="51">
        <v>2.39</v>
      </c>
      <c r="K5670" s="74">
        <f>Tabela6[[#This Row],[CONSUMO]]*Tabela6[[#This Row],[VALOR UNIT]]-Tabela6[[#This Row],[DESCONTO]]</f>
        <v>52.001620000000003</v>
      </c>
      <c r="L5670" s="53">
        <f>Tabela6[[#This Row],[CUSTO TOTAL]]/Tabela6[[#This Row],[CONSUMO]]</f>
        <v>2.39</v>
      </c>
      <c r="M5670" s="53" t="e">
        <f t="array" ref="M5670">SE</f>
        <v>#NAME?</v>
      </c>
      <c r="N5670" s="118" t="e">
        <f>Tabela6[[#This Row],[KM Rodados ]]/Tabela6[[#This Row],[CONSUMO]]</f>
        <v>#NAME?</v>
      </c>
    </row>
    <row r="5671" spans="1:14" x14ac:dyDescent="0.25">
      <c r="A5671" s="117">
        <v>984549</v>
      </c>
      <c r="B5671" s="78">
        <v>45672</v>
      </c>
      <c r="C5671" s="47" t="s">
        <v>401</v>
      </c>
      <c r="D5671" s="49" t="s">
        <v>597</v>
      </c>
      <c r="E5671" s="117">
        <v>79717</v>
      </c>
      <c r="G5671" s="50" t="s">
        <v>89</v>
      </c>
      <c r="H5671" s="51">
        <v>64</v>
      </c>
      <c r="I5671" s="49">
        <v>7.04</v>
      </c>
      <c r="J5671" s="51">
        <v>6.28</v>
      </c>
      <c r="K5671" s="74">
        <f>Tabela6[[#This Row],[CONSUMO]]*Tabela6[[#This Row],[VALOR UNIT]]-Tabela6[[#This Row],[DESCONTO]]</f>
        <v>394.88</v>
      </c>
      <c r="L5671" s="53">
        <f>Tabela6[[#This Row],[CUSTO TOTAL]]/Tabela6[[#This Row],[CONSUMO]]</f>
        <v>6.17</v>
      </c>
      <c r="M5671" s="53" t="e">
        <f t="array" ref="M5671">SE</f>
        <v>#NAME?</v>
      </c>
      <c r="N5671" s="118" t="e">
        <f>Tabela6[[#This Row],[KM Rodados ]]/Tabela6[[#This Row],[CONSUMO]]</f>
        <v>#NAME?</v>
      </c>
    </row>
    <row r="5672" spans="1:14" x14ac:dyDescent="0.25">
      <c r="A5672" s="117">
        <v>624252</v>
      </c>
      <c r="B5672" s="78">
        <v>45672</v>
      </c>
      <c r="C5672" s="47" t="s">
        <v>567</v>
      </c>
      <c r="D5672" s="49" t="s">
        <v>599</v>
      </c>
      <c r="E5672" s="117">
        <v>22927</v>
      </c>
      <c r="G5672" s="50" t="s">
        <v>241</v>
      </c>
      <c r="H5672" s="51">
        <v>65.069999999999993</v>
      </c>
      <c r="J5672" s="51">
        <v>2.99</v>
      </c>
      <c r="K5672" s="74">
        <f>Tabela6[[#This Row],[CONSUMO]]*Tabela6[[#This Row],[VALOR UNIT]]-Tabela6[[#This Row],[DESCONTO]]</f>
        <v>194.55930000000001</v>
      </c>
      <c r="L5672" s="53">
        <f>Tabela6[[#This Row],[CUSTO TOTAL]]/Tabela6[[#This Row],[CONSUMO]]</f>
        <v>2.99</v>
      </c>
      <c r="M5672" s="53" t="e">
        <f t="array" ref="M5672">SE</f>
        <v>#NAME?</v>
      </c>
      <c r="N5672" s="118" t="e">
        <f>Tabela6[[#This Row],[KM Rodados ]]/Tabela6[[#This Row],[CONSUMO]]</f>
        <v>#NAME?</v>
      </c>
    </row>
    <row r="5673" spans="1:14" x14ac:dyDescent="0.25">
      <c r="A5673" s="117">
        <v>624251</v>
      </c>
      <c r="B5673" s="78">
        <v>45672</v>
      </c>
      <c r="C5673" s="47" t="s">
        <v>567</v>
      </c>
      <c r="D5673" s="49" t="s">
        <v>599</v>
      </c>
      <c r="E5673" s="117">
        <v>22927</v>
      </c>
      <c r="G5673" s="50" t="s">
        <v>89</v>
      </c>
      <c r="H5673" s="51">
        <v>100</v>
      </c>
      <c r="J5673" s="51">
        <v>6.29</v>
      </c>
      <c r="K5673" s="74">
        <f>Tabela6[[#This Row],[CONSUMO]]*Tabela6[[#This Row],[VALOR UNIT]]-Tabela6[[#This Row],[DESCONTO]]</f>
        <v>629</v>
      </c>
      <c r="L5673" s="53">
        <f>Tabela6[[#This Row],[CUSTO TOTAL]]/Tabela6[[#This Row],[CONSUMO]]</f>
        <v>6.29</v>
      </c>
      <c r="M5673" s="53" t="e">
        <f t="array" ref="M5673">SE</f>
        <v>#NAME?</v>
      </c>
      <c r="N5673" s="118" t="e">
        <f>Tabela6[[#This Row],[KM Rodados ]]/Tabela6[[#This Row],[CONSUMO]]</f>
        <v>#NAME?</v>
      </c>
    </row>
    <row r="5674" spans="1:14" x14ac:dyDescent="0.25">
      <c r="A5674" s="117">
        <v>399263</v>
      </c>
      <c r="B5674" s="78">
        <v>45673</v>
      </c>
      <c r="C5674" s="47" t="s">
        <v>68</v>
      </c>
      <c r="D5674" s="49" t="s">
        <v>601</v>
      </c>
      <c r="E5674" s="117">
        <v>103602</v>
      </c>
      <c r="G5674" s="50" t="s">
        <v>89</v>
      </c>
      <c r="H5674" s="51">
        <v>403.88099999999997</v>
      </c>
      <c r="J5674" s="51">
        <v>6.19</v>
      </c>
      <c r="K5674" s="74">
        <f>Tabela6[[#This Row],[CONSUMO]]*Tabela6[[#This Row],[VALOR UNIT]]-Tabela6[[#This Row],[DESCONTO]]</f>
        <v>2500.0233899999998</v>
      </c>
      <c r="L5674" s="53">
        <f>Tabela6[[#This Row],[CUSTO TOTAL]]/Tabela6[[#This Row],[CONSUMO]]</f>
        <v>6.19</v>
      </c>
      <c r="M5674" s="53" t="e">
        <f t="array" ref="M5674">SE</f>
        <v>#NAME?</v>
      </c>
      <c r="N5674" s="118" t="e">
        <f>Tabela6[[#This Row],[KM Rodados ]]/Tabela6[[#This Row],[CONSUMO]]</f>
        <v>#NAME?</v>
      </c>
    </row>
    <row r="5675" spans="1:14" x14ac:dyDescent="0.25">
      <c r="A5675" s="117">
        <v>87813</v>
      </c>
      <c r="B5675" s="78">
        <v>45673</v>
      </c>
      <c r="C5675" s="47" t="s">
        <v>72</v>
      </c>
      <c r="D5675" s="49" t="s">
        <v>268</v>
      </c>
      <c r="E5675" s="117">
        <v>499232</v>
      </c>
      <c r="G5675" s="50" t="s">
        <v>89</v>
      </c>
      <c r="H5675" s="51">
        <v>43.48</v>
      </c>
      <c r="J5675" s="51">
        <v>5.89</v>
      </c>
      <c r="K5675" s="74">
        <f>Tabela6[[#This Row],[CONSUMO]]*Tabela6[[#This Row],[VALOR UNIT]]-Tabela6[[#This Row],[DESCONTO]]</f>
        <v>256.09719999999999</v>
      </c>
      <c r="L5675" s="53">
        <f>Tabela6[[#This Row],[CUSTO TOTAL]]/Tabela6[[#This Row],[CONSUMO]]</f>
        <v>5.89</v>
      </c>
      <c r="M5675" s="53" t="e">
        <f t="array" ref="M5675">SE</f>
        <v>#NAME?</v>
      </c>
      <c r="N5675" s="118" t="e">
        <f>Tabela6[[#This Row],[KM Rodados ]]/Tabela6[[#This Row],[CONSUMO]]</f>
        <v>#NAME?</v>
      </c>
    </row>
    <row r="5676" spans="1:14" x14ac:dyDescent="0.25">
      <c r="A5676" s="117">
        <v>443870</v>
      </c>
      <c r="B5676" s="78">
        <v>45673</v>
      </c>
      <c r="C5676" s="47" t="s">
        <v>72</v>
      </c>
      <c r="D5676" s="49" t="s">
        <v>233</v>
      </c>
      <c r="E5676" s="117">
        <v>492018</v>
      </c>
      <c r="G5676" s="50" t="s">
        <v>89</v>
      </c>
      <c r="H5676" s="51">
        <v>25.771000000000001</v>
      </c>
      <c r="J5676" s="51">
        <v>6.19</v>
      </c>
      <c r="K5676" s="74">
        <f>Tabela6[[#This Row],[CONSUMO]]*Tabela6[[#This Row],[VALOR UNIT]]-Tabela6[[#This Row],[DESCONTO]]</f>
        <v>159.52249</v>
      </c>
      <c r="L5676" s="53">
        <f>Tabela6[[#This Row],[CUSTO TOTAL]]/Tabela6[[#This Row],[CONSUMO]]</f>
        <v>6.19</v>
      </c>
      <c r="M5676" s="53" t="e">
        <f t="array" ref="M5676">SE</f>
        <v>#NAME?</v>
      </c>
      <c r="N5676" s="118" t="e">
        <f>Tabela6[[#This Row],[KM Rodados ]]/Tabela6[[#This Row],[CONSUMO]]</f>
        <v>#NAME?</v>
      </c>
    </row>
    <row r="5677" spans="1:14" x14ac:dyDescent="0.25">
      <c r="A5677" s="117">
        <v>999577</v>
      </c>
      <c r="B5677" s="78">
        <v>45673</v>
      </c>
      <c r="C5677" s="47" t="s">
        <v>567</v>
      </c>
      <c r="D5677" s="49" t="s">
        <v>583</v>
      </c>
      <c r="E5677" s="117">
        <v>23529</v>
      </c>
      <c r="G5677" s="50" t="s">
        <v>89</v>
      </c>
      <c r="H5677" s="51">
        <v>300</v>
      </c>
      <c r="J5677" s="51">
        <v>6.39</v>
      </c>
      <c r="K5677" s="74">
        <f>Tabela6[[#This Row],[CONSUMO]]*Tabela6[[#This Row],[VALOR UNIT]]-Tabela6[[#This Row],[DESCONTO]]</f>
        <v>1917</v>
      </c>
      <c r="L5677" s="53">
        <f>Tabela6[[#This Row],[CUSTO TOTAL]]/Tabela6[[#This Row],[CONSUMO]]</f>
        <v>6.39</v>
      </c>
      <c r="M5677" s="53" t="e">
        <f t="array" ref="M5677">SE</f>
        <v>#NAME?</v>
      </c>
      <c r="N5677" s="118" t="e">
        <f>Tabela6[[#This Row],[KM Rodados ]]/Tabela6[[#This Row],[CONSUMO]]</f>
        <v>#NAME?</v>
      </c>
    </row>
    <row r="5678" spans="1:14" x14ac:dyDescent="0.25">
      <c r="A5678" s="117">
        <v>254865</v>
      </c>
      <c r="B5678" s="78">
        <v>45674</v>
      </c>
      <c r="C5678" s="47" t="s">
        <v>43</v>
      </c>
      <c r="D5678" s="49" t="s">
        <v>589</v>
      </c>
      <c r="E5678" s="117">
        <v>17.574000000000002</v>
      </c>
      <c r="G5678" s="50" t="s">
        <v>89</v>
      </c>
      <c r="H5678" s="51">
        <v>17.673999999999999</v>
      </c>
      <c r="J5678" s="51">
        <v>6.79</v>
      </c>
      <c r="K5678" s="74">
        <f>Tabela6[[#This Row],[CONSUMO]]*Tabela6[[#This Row],[VALOR UNIT]]-Tabela6[[#This Row],[DESCONTO]]</f>
        <v>120.00646</v>
      </c>
      <c r="L5678" s="53">
        <f>Tabela6[[#This Row],[CUSTO TOTAL]]/Tabela6[[#This Row],[CONSUMO]]</f>
        <v>6.79</v>
      </c>
      <c r="M5678" s="53" t="e">
        <f t="array" ref="M5678">SE</f>
        <v>#NAME?</v>
      </c>
      <c r="N5678" s="118" t="e">
        <f>Tabela6[[#This Row],[KM Rodados ]]/Tabela6[[#This Row],[CONSUMO]]</f>
        <v>#NAME?</v>
      </c>
    </row>
    <row r="5679" spans="1:14" x14ac:dyDescent="0.25">
      <c r="A5679" s="117">
        <v>195050</v>
      </c>
      <c r="B5679" s="78">
        <v>45677</v>
      </c>
      <c r="C5679" s="47" t="s">
        <v>43</v>
      </c>
      <c r="D5679" s="49" t="s">
        <v>560</v>
      </c>
      <c r="E5679" s="117">
        <v>227628</v>
      </c>
      <c r="G5679" s="50" t="s">
        <v>89</v>
      </c>
      <c r="H5679" s="50">
        <v>12.39</v>
      </c>
      <c r="J5679" s="51">
        <v>6.49</v>
      </c>
      <c r="K5679" s="74">
        <f>Tabela6[[#This Row],[CONSUMO]]*Tabela6[[#This Row],[VALOR UNIT]]-Tabela6[[#This Row],[DESCONTO]]</f>
        <v>80.411100000000005</v>
      </c>
      <c r="L5679" s="53">
        <f>Tabela6[[#This Row],[CUSTO TOTAL]]/Tabela6[[#This Row],[CONSUMO]]</f>
        <v>6.49</v>
      </c>
      <c r="M5679" s="53" t="e">
        <f t="array" ref="M5679">SE</f>
        <v>#NAME?</v>
      </c>
      <c r="N5679" s="118" t="e">
        <f>Tabela6[[#This Row],[KM Rodados ]]/Tabela6[[#This Row],[CONSUMO]]</f>
        <v>#NAME?</v>
      </c>
    </row>
    <row r="5680" spans="1:14" x14ac:dyDescent="0.25">
      <c r="A5680" s="117">
        <v>1580010</v>
      </c>
      <c r="B5680" s="78">
        <v>45677</v>
      </c>
      <c r="C5680" s="47" t="s">
        <v>446</v>
      </c>
      <c r="D5680" s="49" t="s">
        <v>252</v>
      </c>
      <c r="E5680" s="117">
        <v>77562</v>
      </c>
      <c r="G5680" s="50" t="s">
        <v>241</v>
      </c>
      <c r="H5680" s="117">
        <v>32.283000000000001</v>
      </c>
      <c r="J5680" s="51">
        <v>2.9</v>
      </c>
      <c r="K5680" s="74">
        <f>Tabela6[[#This Row],[CONSUMO]]*Tabela6[[#This Row],[VALOR UNIT]]-Tabela6[[#This Row],[DESCONTO]]</f>
        <v>93.620699999999999</v>
      </c>
      <c r="L5680" s="53">
        <f>Tabela6[[#This Row],[CUSTO TOTAL]]/Tabela6[[#This Row],[CONSUMO]]</f>
        <v>2.9</v>
      </c>
      <c r="M5680" s="53" t="e">
        <f t="array" ref="M5680">SE</f>
        <v>#NAME?</v>
      </c>
      <c r="N5680" s="118" t="e">
        <f>Tabela6[[#This Row],[KM Rodados ]]/Tabela6[[#This Row],[CONSUMO]]</f>
        <v>#NAME?</v>
      </c>
    </row>
    <row r="5681" spans="1:14" x14ac:dyDescent="0.25">
      <c r="A5681" s="117">
        <v>36012</v>
      </c>
      <c r="B5681" s="78">
        <v>45677</v>
      </c>
      <c r="C5681" s="47" t="s">
        <v>446</v>
      </c>
      <c r="D5681" s="49" t="s">
        <v>490</v>
      </c>
      <c r="E5681" s="117">
        <v>78034</v>
      </c>
      <c r="G5681" s="50" t="s">
        <v>89</v>
      </c>
      <c r="H5681" s="50">
        <v>150.00299999999999</v>
      </c>
      <c r="J5681" s="51">
        <v>6.29</v>
      </c>
      <c r="K5681" s="74">
        <f>Tabela6[[#This Row],[CONSUMO]]*Tabela6[[#This Row],[VALOR UNIT]]-Tabela6[[#This Row],[DESCONTO]]</f>
        <v>943.51886999999988</v>
      </c>
      <c r="L5681" s="53">
        <f>Tabela6[[#This Row],[CUSTO TOTAL]]/Tabela6[[#This Row],[CONSUMO]]</f>
        <v>6.29</v>
      </c>
      <c r="M5681" s="53" t="e">
        <f t="array" ref="M5681">SE</f>
        <v>#NAME?</v>
      </c>
      <c r="N5681" s="118" t="e">
        <f>Tabela6[[#This Row],[KM Rodados ]]/Tabela6[[#This Row],[CONSUMO]]</f>
        <v>#NAME?</v>
      </c>
    </row>
    <row r="5682" spans="1:14" x14ac:dyDescent="0.25">
      <c r="A5682" s="117">
        <v>697320</v>
      </c>
      <c r="B5682" s="78">
        <v>45678</v>
      </c>
      <c r="C5682" s="47" t="s">
        <v>401</v>
      </c>
      <c r="D5682" s="49" t="s">
        <v>357</v>
      </c>
      <c r="E5682" s="117">
        <v>80326</v>
      </c>
      <c r="G5682" s="50" t="s">
        <v>89</v>
      </c>
      <c r="H5682" s="50">
        <v>65.709999999999994</v>
      </c>
      <c r="J5682" s="51">
        <v>6.09</v>
      </c>
      <c r="K5682" s="74">
        <f>Tabela6[[#This Row],[CONSUMO]]*Tabela6[[#This Row],[VALOR UNIT]]-Tabela6[[#This Row],[DESCONTO]]</f>
        <v>400.17389999999995</v>
      </c>
      <c r="L5682" s="53">
        <f>Tabela6[[#This Row],[CUSTO TOTAL]]/Tabela6[[#This Row],[CONSUMO]]</f>
        <v>6.09</v>
      </c>
      <c r="M5682" s="53" t="e">
        <f t="array" ref="M5682">SE</f>
        <v>#NAME?</v>
      </c>
      <c r="N5682" s="118" t="e">
        <f>Tabela6[[#This Row],[KM Rodados ]]/Tabela6[[#This Row],[CONSUMO]]</f>
        <v>#NAME?</v>
      </c>
    </row>
    <row r="5683" spans="1:14" x14ac:dyDescent="0.25">
      <c r="A5683" s="117">
        <v>257636</v>
      </c>
      <c r="B5683" s="78">
        <v>45679</v>
      </c>
      <c r="C5683" s="47" t="s">
        <v>43</v>
      </c>
      <c r="D5683" s="49" t="s">
        <v>263</v>
      </c>
      <c r="E5683" s="117">
        <v>228142</v>
      </c>
      <c r="G5683" s="50" t="s">
        <v>89</v>
      </c>
      <c r="H5683" s="50">
        <v>29.02</v>
      </c>
      <c r="I5683" s="49">
        <v>4.3600000000000003</v>
      </c>
      <c r="J5683" s="51">
        <v>6.14</v>
      </c>
      <c r="K5683" s="74">
        <f>Tabela6[[#This Row],[CONSUMO]]*Tabela6[[#This Row],[VALOR UNIT]]-Tabela6[[#This Row],[DESCONTO]]</f>
        <v>173.82279999999997</v>
      </c>
      <c r="L5683" s="53">
        <f>Tabela6[[#This Row],[CUSTO TOTAL]]/Tabela6[[#This Row],[CONSUMO]]</f>
        <v>5.9897587870434172</v>
      </c>
      <c r="M5683" s="53" t="e">
        <f t="array" ref="M5683">SE</f>
        <v>#NAME?</v>
      </c>
      <c r="N5683" s="118" t="e">
        <f>Tabela6[[#This Row],[KM Rodados ]]/Tabela6[[#This Row],[CONSUMO]]</f>
        <v>#NAME?</v>
      </c>
    </row>
    <row r="5684" spans="1:14" x14ac:dyDescent="0.25">
      <c r="A5684" s="117">
        <v>462440</v>
      </c>
      <c r="B5684" s="78">
        <v>45679</v>
      </c>
      <c r="C5684" s="47" t="s">
        <v>72</v>
      </c>
      <c r="D5684" s="49" t="s">
        <v>256</v>
      </c>
      <c r="E5684" s="117">
        <v>492709</v>
      </c>
      <c r="G5684" s="50" t="s">
        <v>89</v>
      </c>
      <c r="H5684" s="50">
        <v>41.460999999999999</v>
      </c>
      <c r="J5684" s="51">
        <v>5.89</v>
      </c>
      <c r="K5684" s="74">
        <f>Tabela6[[#This Row],[CONSUMO]]*Tabela6[[#This Row],[VALOR UNIT]]-Tabela6[[#This Row],[DESCONTO]]</f>
        <v>244.20528999999999</v>
      </c>
      <c r="L5684" s="53">
        <f>Tabela6[[#This Row],[CUSTO TOTAL]]/Tabela6[[#This Row],[CONSUMO]]</f>
        <v>5.89</v>
      </c>
      <c r="M5684" s="53" t="e">
        <f t="array" ref="M5684">SE</f>
        <v>#NAME?</v>
      </c>
      <c r="N5684" s="118" t="e">
        <f>Tabela6[[#This Row],[KM Rodados ]]/Tabela6[[#This Row],[CONSUMO]]</f>
        <v>#NAME?</v>
      </c>
    </row>
    <row r="5685" spans="1:14" x14ac:dyDescent="0.25">
      <c r="A5685" s="117">
        <v>349093</v>
      </c>
      <c r="B5685" s="78">
        <v>45679</v>
      </c>
      <c r="C5685" s="47" t="s">
        <v>10</v>
      </c>
      <c r="D5685" s="49" t="s">
        <v>602</v>
      </c>
      <c r="E5685" s="117">
        <v>808583</v>
      </c>
      <c r="G5685" s="50" t="s">
        <v>89</v>
      </c>
      <c r="H5685" s="50">
        <v>181</v>
      </c>
      <c r="J5685" s="51">
        <v>6.15</v>
      </c>
      <c r="K5685" s="74">
        <f>Tabela6[[#This Row],[CONSUMO]]*Tabela6[[#This Row],[VALOR UNIT]]-Tabela6[[#This Row],[DESCONTO]]</f>
        <v>1113.1500000000001</v>
      </c>
      <c r="L5685" s="53">
        <f>Tabela6[[#This Row],[CUSTO TOTAL]]/Tabela6[[#This Row],[CONSUMO]]</f>
        <v>6.15</v>
      </c>
      <c r="M5685" s="53" t="e">
        <f t="array" ref="M5685">SE</f>
        <v>#NAME?</v>
      </c>
      <c r="N5685" s="118" t="e">
        <f>Tabela6[[#This Row],[KM Rodados ]]/Tabela6[[#This Row],[CONSUMO]]</f>
        <v>#NAME?</v>
      </c>
    </row>
    <row r="5686" spans="1:14" x14ac:dyDescent="0.25">
      <c r="A5686" s="117">
        <v>349235</v>
      </c>
      <c r="B5686" s="78">
        <v>45680</v>
      </c>
      <c r="C5686" s="47" t="s">
        <v>10</v>
      </c>
      <c r="D5686" s="49" t="s">
        <v>602</v>
      </c>
      <c r="E5686" s="117">
        <v>809245</v>
      </c>
      <c r="G5686" s="50" t="s">
        <v>89</v>
      </c>
      <c r="H5686" s="51">
        <v>197.04300000000001</v>
      </c>
      <c r="J5686" s="51">
        <v>6.15</v>
      </c>
      <c r="K5686" s="74">
        <f>Tabela6[[#This Row],[CONSUMO]]*Tabela6[[#This Row],[VALOR UNIT]]-Tabela6[[#This Row],[DESCONTO]]</f>
        <v>1211.8144500000001</v>
      </c>
      <c r="L5686" s="53">
        <f>Tabela6[[#This Row],[CUSTO TOTAL]]/Tabela6[[#This Row],[CONSUMO]]</f>
        <v>6.15</v>
      </c>
      <c r="M5686" s="53" t="e">
        <f t="array" ref="M5686">SE</f>
        <v>#NAME?</v>
      </c>
      <c r="N5686" s="118" t="e">
        <f>Tabela6[[#This Row],[KM Rodados ]]/Tabela6[[#This Row],[CONSUMO]]</f>
        <v>#NAME?</v>
      </c>
    </row>
    <row r="5687" spans="1:14" x14ac:dyDescent="0.25">
      <c r="A5687" s="117">
        <v>426808</v>
      </c>
      <c r="B5687" s="78">
        <v>45680</v>
      </c>
      <c r="C5687" s="47" t="s">
        <v>11</v>
      </c>
      <c r="D5687" s="49" t="s">
        <v>253</v>
      </c>
      <c r="E5687" s="117">
        <v>429142</v>
      </c>
      <c r="G5687" s="50" t="s">
        <v>89</v>
      </c>
      <c r="H5687" s="51">
        <v>229.99</v>
      </c>
      <c r="J5687" s="51">
        <v>6.09</v>
      </c>
      <c r="K5687" s="74">
        <f>Tabela6[[#This Row],[CONSUMO]]*Tabela6[[#This Row],[VALOR UNIT]]-Tabela6[[#This Row],[DESCONTO]]</f>
        <v>1400.6391000000001</v>
      </c>
      <c r="L5687" s="53">
        <f>Tabela6[[#This Row],[CUSTO TOTAL]]/Tabela6[[#This Row],[CONSUMO]]</f>
        <v>6.09</v>
      </c>
      <c r="M5687" s="53" t="e">
        <f t="array" ref="M5687">SE</f>
        <v>#NAME?</v>
      </c>
      <c r="N5687" s="118" t="e">
        <f>Tabela6[[#This Row],[KM Rodados ]]/Tabela6[[#This Row],[CONSUMO]]</f>
        <v>#NAME?</v>
      </c>
    </row>
    <row r="5688" spans="1:14" x14ac:dyDescent="0.25">
      <c r="A5688" s="117">
        <v>1822378</v>
      </c>
      <c r="B5688" s="78">
        <v>45680</v>
      </c>
      <c r="C5688" s="47" t="s">
        <v>446</v>
      </c>
      <c r="D5688" s="49" t="s">
        <v>305</v>
      </c>
      <c r="E5688" s="117">
        <v>79267</v>
      </c>
      <c r="G5688" s="50" t="s">
        <v>241</v>
      </c>
      <c r="H5688" s="51">
        <v>25.56</v>
      </c>
      <c r="J5688" s="51">
        <v>3.59</v>
      </c>
      <c r="K5688" s="74">
        <f>Tabela6[[#This Row],[CONSUMO]]*Tabela6[[#This Row],[VALOR UNIT]]-Tabela6[[#This Row],[DESCONTO]]</f>
        <v>91.76039999999999</v>
      </c>
      <c r="L5688" s="53">
        <f>Tabela6[[#This Row],[CUSTO TOTAL]]/Tabela6[[#This Row],[CONSUMO]]</f>
        <v>3.59</v>
      </c>
      <c r="M5688" s="53" t="e">
        <f t="array" ref="M5688">SE</f>
        <v>#NAME?</v>
      </c>
      <c r="N5688" s="118" t="e">
        <f>Tabela6[[#This Row],[KM Rodados ]]/Tabela6[[#This Row],[CONSUMO]]</f>
        <v>#NAME?</v>
      </c>
    </row>
    <row r="5689" spans="1:14" x14ac:dyDescent="0.25">
      <c r="A5689" s="117">
        <v>1119021</v>
      </c>
      <c r="B5689" s="78">
        <v>45681</v>
      </c>
      <c r="C5689" s="47" t="s">
        <v>72</v>
      </c>
      <c r="D5689" s="49" t="s">
        <v>256</v>
      </c>
      <c r="E5689" s="117">
        <v>493230</v>
      </c>
      <c r="G5689" s="50" t="s">
        <v>89</v>
      </c>
      <c r="H5689" s="51">
        <v>35.92</v>
      </c>
      <c r="J5689" s="51">
        <v>5.89</v>
      </c>
      <c r="K5689" s="74">
        <f>Tabela6[[#This Row],[CONSUMO]]*Tabela6[[#This Row],[VALOR UNIT]]-Tabela6[[#This Row],[DESCONTO]]</f>
        <v>211.56880000000001</v>
      </c>
      <c r="L5689" s="53">
        <f>Tabela6[[#This Row],[CUSTO TOTAL]]/Tabela6[[#This Row],[CONSUMO]]</f>
        <v>5.89</v>
      </c>
      <c r="M5689" s="53" t="e">
        <f t="array" ref="M5689">SE</f>
        <v>#NAME?</v>
      </c>
      <c r="N5689" s="118" t="e">
        <f>Tabela6[[#This Row],[KM Rodados ]]/Tabela6[[#This Row],[CONSUMO]]</f>
        <v>#NAME?</v>
      </c>
    </row>
    <row r="5690" spans="1:14" x14ac:dyDescent="0.25">
      <c r="A5690" s="117">
        <v>427858</v>
      </c>
      <c r="B5690" s="78">
        <v>45681</v>
      </c>
      <c r="C5690" s="47" t="s">
        <v>315</v>
      </c>
      <c r="D5690" s="49" t="s">
        <v>253</v>
      </c>
      <c r="E5690" s="117">
        <v>60153</v>
      </c>
      <c r="G5690" s="50" t="s">
        <v>89</v>
      </c>
      <c r="H5690" s="51">
        <v>41.69</v>
      </c>
      <c r="J5690" s="51">
        <v>6.09</v>
      </c>
      <c r="K5690" s="74">
        <f>Tabela6[[#This Row],[CONSUMO]]*Tabela6[[#This Row],[VALOR UNIT]]-Tabela6[[#This Row],[DESCONTO]]</f>
        <v>253.89209999999997</v>
      </c>
      <c r="L5690" s="53">
        <f>Tabela6[[#This Row],[CUSTO TOTAL]]/Tabela6[[#This Row],[CONSUMO]]</f>
        <v>6.09</v>
      </c>
      <c r="M5690" s="53" t="e">
        <f t="array" ref="M5690">SE</f>
        <v>#NAME?</v>
      </c>
      <c r="N5690" s="118" t="e">
        <f>Tabela6[[#This Row],[KM Rodados ]]/Tabela6[[#This Row],[CONSUMO]]</f>
        <v>#NAME?</v>
      </c>
    </row>
    <row r="5691" spans="1:14" x14ac:dyDescent="0.25">
      <c r="A5691" s="117">
        <v>697320</v>
      </c>
      <c r="B5691" s="78">
        <v>45681</v>
      </c>
      <c r="C5691" s="47" t="s">
        <v>401</v>
      </c>
      <c r="D5691" s="49" t="s">
        <v>264</v>
      </c>
      <c r="E5691" s="117">
        <v>81304</v>
      </c>
      <c r="G5691" s="50" t="s">
        <v>89</v>
      </c>
      <c r="H5691" s="51">
        <v>49.27</v>
      </c>
      <c r="J5691" s="51">
        <v>6.09</v>
      </c>
      <c r="K5691" s="74">
        <f>Tabela6[[#This Row],[CONSUMO]]*Tabela6[[#This Row],[VALOR UNIT]]-Tabela6[[#This Row],[DESCONTO]]</f>
        <v>300.05430000000001</v>
      </c>
      <c r="L5691" s="53">
        <f>Tabela6[[#This Row],[CUSTO TOTAL]]/Tabela6[[#This Row],[CONSUMO]]</f>
        <v>6.09</v>
      </c>
      <c r="M5691" s="53" t="e">
        <f t="array" ref="M5691">SE</f>
        <v>#NAME?</v>
      </c>
      <c r="N5691" s="118" t="e">
        <f>Tabela6[[#This Row],[KM Rodados ]]/Tabela6[[#This Row],[CONSUMO]]</f>
        <v>#NAME?</v>
      </c>
    </row>
    <row r="5692" spans="1:14" x14ac:dyDescent="0.25">
      <c r="A5692" s="117">
        <v>697320</v>
      </c>
      <c r="B5692" s="78">
        <v>45681</v>
      </c>
      <c r="C5692" s="47" t="s">
        <v>401</v>
      </c>
      <c r="D5692" s="49" t="s">
        <v>264</v>
      </c>
      <c r="E5692" s="117">
        <v>81304</v>
      </c>
      <c r="G5692" s="50" t="s">
        <v>241</v>
      </c>
      <c r="H5692" s="51">
        <v>23</v>
      </c>
      <c r="J5692" s="51">
        <v>3.05</v>
      </c>
      <c r="K5692" s="74">
        <f>Tabela6[[#This Row],[CONSUMO]]*Tabela6[[#This Row],[VALOR UNIT]]-Tabela6[[#This Row],[DESCONTO]]</f>
        <v>70.149999999999991</v>
      </c>
      <c r="L5692" s="53">
        <f>Tabela6[[#This Row],[CUSTO TOTAL]]/Tabela6[[#This Row],[CONSUMO]]</f>
        <v>3.05</v>
      </c>
      <c r="M5692" s="53" t="e">
        <f t="array" ref="M5692">SE</f>
        <v>#NAME?</v>
      </c>
      <c r="N5692" s="118" t="e">
        <f>Tabela6[[#This Row],[KM Rodados ]]/Tabela6[[#This Row],[CONSUMO]]</f>
        <v>#NAME?</v>
      </c>
    </row>
    <row r="5693" spans="1:14" x14ac:dyDescent="0.25">
      <c r="A5693" s="117">
        <v>1823278</v>
      </c>
      <c r="B5693" s="78">
        <v>45681</v>
      </c>
      <c r="C5693" s="47" t="s">
        <v>446</v>
      </c>
      <c r="D5693" s="49" t="s">
        <v>305</v>
      </c>
      <c r="E5693" s="117">
        <v>50597</v>
      </c>
      <c r="G5693" s="50" t="s">
        <v>89</v>
      </c>
      <c r="H5693" s="51">
        <v>150</v>
      </c>
      <c r="J5693" s="51">
        <v>6.14</v>
      </c>
      <c r="K5693" s="74">
        <f>Tabela6[[#This Row],[CONSUMO]]*Tabela6[[#This Row],[VALOR UNIT]]-Tabela6[[#This Row],[DESCONTO]]</f>
        <v>921</v>
      </c>
      <c r="L5693" s="53">
        <f>Tabela6[[#This Row],[CUSTO TOTAL]]/Tabela6[[#This Row],[CONSUMO]]</f>
        <v>6.14</v>
      </c>
      <c r="M5693" s="53" t="e">
        <f t="array" ref="M5693">SE</f>
        <v>#NAME?</v>
      </c>
      <c r="N5693" s="118" t="e">
        <f>Tabela6[[#This Row],[KM Rodados ]]/Tabela6[[#This Row],[CONSUMO]]</f>
        <v>#NAME?</v>
      </c>
    </row>
    <row r="5694" spans="1:14" x14ac:dyDescent="0.25">
      <c r="A5694" s="117">
        <v>22923</v>
      </c>
      <c r="B5694" s="78">
        <v>45682</v>
      </c>
      <c r="C5694" s="47" t="s">
        <v>567</v>
      </c>
      <c r="D5694" s="49" t="s">
        <v>603</v>
      </c>
      <c r="E5694" s="117">
        <v>25643</v>
      </c>
      <c r="G5694" s="50" t="s">
        <v>89</v>
      </c>
      <c r="H5694" s="51">
        <v>100</v>
      </c>
      <c r="J5694" s="51">
        <v>6.39</v>
      </c>
      <c r="K5694" s="74">
        <f>Tabela6[[#This Row],[CONSUMO]]*Tabela6[[#This Row],[VALOR UNIT]]-Tabela6[[#This Row],[DESCONTO]]</f>
        <v>639</v>
      </c>
      <c r="L5694" s="53">
        <f>Tabela6[[#This Row],[CUSTO TOTAL]]/Tabela6[[#This Row],[CONSUMO]]</f>
        <v>6.39</v>
      </c>
      <c r="M5694" s="53" t="e">
        <f t="array" ref="M5694">SE</f>
        <v>#NAME?</v>
      </c>
      <c r="N5694" s="118" t="e">
        <f>Tabela6[[#This Row],[KM Rodados ]]/Tabela6[[#This Row],[CONSUMO]]</f>
        <v>#NAME?</v>
      </c>
    </row>
    <row r="5695" spans="1:14" x14ac:dyDescent="0.25">
      <c r="A5695" s="117">
        <v>1004507</v>
      </c>
      <c r="B5695" s="78">
        <v>45683</v>
      </c>
      <c r="C5695" s="47" t="s">
        <v>567</v>
      </c>
      <c r="D5695" s="49" t="s">
        <v>583</v>
      </c>
      <c r="E5695" s="117">
        <v>26102</v>
      </c>
      <c r="G5695" s="50" t="s">
        <v>89</v>
      </c>
      <c r="H5695" s="51">
        <v>300</v>
      </c>
      <c r="J5695" s="51">
        <v>6.39</v>
      </c>
      <c r="K5695" s="74">
        <f>Tabela6[[#This Row],[CONSUMO]]*Tabela6[[#This Row],[VALOR UNIT]]-Tabela6[[#This Row],[DESCONTO]]</f>
        <v>1917</v>
      </c>
      <c r="L5695" s="53">
        <f>Tabela6[[#This Row],[CUSTO TOTAL]]/Tabela6[[#This Row],[CONSUMO]]</f>
        <v>6.39</v>
      </c>
      <c r="M5695" s="53" t="e">
        <f t="array" ref="M5695">SE</f>
        <v>#NAME?</v>
      </c>
      <c r="N5695" s="118" t="e">
        <f>Tabela6[[#This Row],[KM Rodados ]]/Tabela6[[#This Row],[CONSUMO]]</f>
        <v>#NAME?</v>
      </c>
    </row>
    <row r="5696" spans="1:14" x14ac:dyDescent="0.25">
      <c r="A5696" s="117">
        <v>429651</v>
      </c>
      <c r="B5696" s="78">
        <v>45684</v>
      </c>
      <c r="C5696" s="47" t="s">
        <v>39</v>
      </c>
      <c r="D5696" s="49" t="s">
        <v>253</v>
      </c>
      <c r="E5696" s="117">
        <v>140157</v>
      </c>
      <c r="G5696" s="50" t="s">
        <v>89</v>
      </c>
      <c r="H5696" s="51">
        <v>87.84</v>
      </c>
      <c r="J5696" s="51">
        <v>6.09</v>
      </c>
      <c r="K5696" s="74">
        <f>Tabela6[[#This Row],[CONSUMO]]*Tabela6[[#This Row],[VALOR UNIT]]-Tabela6[[#This Row],[DESCONTO]]</f>
        <v>534.94560000000001</v>
      </c>
      <c r="L5696" s="53">
        <f>Tabela6[[#This Row],[CUSTO TOTAL]]/Tabela6[[#This Row],[CONSUMO]]</f>
        <v>6.09</v>
      </c>
      <c r="M5696" s="53" t="e">
        <f t="array" ref="M5696">SE</f>
        <v>#NAME?</v>
      </c>
      <c r="N5696" s="118" t="e">
        <f>Tabela6[[#This Row],[KM Rodados ]]/Tabela6[[#This Row],[CONSUMO]]</f>
        <v>#NAME?</v>
      </c>
    </row>
    <row r="5697" spans="1:14" x14ac:dyDescent="0.25">
      <c r="A5697" s="117">
        <v>429651</v>
      </c>
      <c r="B5697" s="78">
        <v>45684</v>
      </c>
      <c r="C5697" s="47" t="s">
        <v>39</v>
      </c>
      <c r="D5697" s="49" t="s">
        <v>253</v>
      </c>
      <c r="E5697" s="117">
        <v>140157</v>
      </c>
      <c r="G5697" s="50" t="s">
        <v>241</v>
      </c>
      <c r="H5697" s="51">
        <v>7.4160000000000004</v>
      </c>
      <c r="J5697" s="51">
        <v>3.49</v>
      </c>
      <c r="K5697" s="74">
        <f>Tabela6[[#This Row],[CONSUMO]]*Tabela6[[#This Row],[VALOR UNIT]]-Tabela6[[#This Row],[DESCONTO]]</f>
        <v>25.881840000000004</v>
      </c>
      <c r="L5697" s="53">
        <f>Tabela6[[#This Row],[CUSTO TOTAL]]/Tabela6[[#This Row],[CONSUMO]]</f>
        <v>3.49</v>
      </c>
      <c r="M5697" s="53" t="e">
        <f t="array" ref="M5697">SE</f>
        <v>#NAME?</v>
      </c>
      <c r="N5697" s="118" t="e">
        <f>Tabela6[[#This Row],[KM Rodados ]]/Tabela6[[#This Row],[CONSUMO]]</f>
        <v>#NAME?</v>
      </c>
    </row>
    <row r="5698" spans="1:14" x14ac:dyDescent="0.25">
      <c r="A5698" s="117">
        <v>429672</v>
      </c>
      <c r="B5698" s="78">
        <v>45684</v>
      </c>
      <c r="C5698" s="47" t="s">
        <v>20</v>
      </c>
      <c r="D5698" s="49" t="s">
        <v>253</v>
      </c>
      <c r="E5698" s="117">
        <v>242739</v>
      </c>
      <c r="G5698" s="50" t="s">
        <v>89</v>
      </c>
      <c r="H5698" s="51">
        <v>90</v>
      </c>
      <c r="J5698" s="51">
        <v>6.09</v>
      </c>
      <c r="K5698" s="74">
        <f>Tabela6[[#This Row],[CONSUMO]]*Tabela6[[#This Row],[VALOR UNIT]]-Tabela6[[#This Row],[DESCONTO]]</f>
        <v>548.1</v>
      </c>
      <c r="L5698" s="53">
        <f>Tabela6[[#This Row],[CUSTO TOTAL]]/Tabela6[[#This Row],[CONSUMO]]</f>
        <v>6.09</v>
      </c>
      <c r="M5698" s="53" t="e">
        <f t="array" ref="M5698">SE</f>
        <v>#NAME?</v>
      </c>
      <c r="N5698" s="118" t="e">
        <f>Tabela6[[#This Row],[KM Rodados ]]/Tabela6[[#This Row],[CONSUMO]]</f>
        <v>#NAME?</v>
      </c>
    </row>
    <row r="5699" spans="1:14" x14ac:dyDescent="0.25">
      <c r="A5699" s="117">
        <v>339224</v>
      </c>
      <c r="B5699" s="78">
        <v>45685</v>
      </c>
      <c r="C5699" s="47" t="s">
        <v>74</v>
      </c>
      <c r="D5699" s="49" t="s">
        <v>562</v>
      </c>
      <c r="E5699" s="117">
        <v>171737</v>
      </c>
      <c r="G5699" s="50" t="s">
        <v>89</v>
      </c>
      <c r="H5699" s="51">
        <v>85.54</v>
      </c>
      <c r="J5699" s="51">
        <v>5.89</v>
      </c>
      <c r="K5699" s="74">
        <f>Tabela6[[#This Row],[CONSUMO]]*Tabela6[[#This Row],[VALOR UNIT]]-Tabela6[[#This Row],[DESCONTO]]</f>
        <v>503.8306</v>
      </c>
      <c r="L5699" s="53">
        <f>Tabela6[[#This Row],[CUSTO TOTAL]]/Tabela6[[#This Row],[CONSUMO]]</f>
        <v>5.89</v>
      </c>
      <c r="M5699" s="53" t="e">
        <f t="array" ref="M5699">SE</f>
        <v>#NAME?</v>
      </c>
      <c r="N5699" s="118" t="e">
        <f>Tabela6[[#This Row],[KM Rodados ]]/Tabela6[[#This Row],[CONSUMO]]</f>
        <v>#NAME?</v>
      </c>
    </row>
    <row r="5700" spans="1:14" x14ac:dyDescent="0.25">
      <c r="A5700" s="117">
        <v>431392</v>
      </c>
      <c r="B5700" s="78">
        <v>45686</v>
      </c>
      <c r="C5700" s="47" t="s">
        <v>11</v>
      </c>
      <c r="D5700" s="49" t="s">
        <v>253</v>
      </c>
      <c r="E5700" s="117">
        <v>429599</v>
      </c>
      <c r="G5700" s="50" t="s">
        <v>241</v>
      </c>
      <c r="H5700" s="51">
        <v>12</v>
      </c>
      <c r="J5700" s="51">
        <v>3.49</v>
      </c>
      <c r="K5700" s="74">
        <f>Tabela6[[#This Row],[CONSUMO]]*Tabela6[[#This Row],[VALOR UNIT]]-Tabela6[[#This Row],[DESCONTO]]</f>
        <v>41.88</v>
      </c>
      <c r="L5700" s="53">
        <f>Tabela6[[#This Row],[CUSTO TOTAL]]/Tabela6[[#This Row],[CONSUMO]]</f>
        <v>3.49</v>
      </c>
      <c r="M5700" s="53" t="e">
        <f t="array" ref="M5700">SE</f>
        <v>#NAME?</v>
      </c>
      <c r="N5700" s="118" t="e">
        <f>Tabela6[[#This Row],[KM Rodados ]]/Tabela6[[#This Row],[CONSUMO]]</f>
        <v>#NAME?</v>
      </c>
    </row>
    <row r="5701" spans="1:14" x14ac:dyDescent="0.25">
      <c r="A5701" s="117">
        <v>29071</v>
      </c>
      <c r="B5701" s="78">
        <v>45686</v>
      </c>
      <c r="C5701" s="47" t="s">
        <v>74</v>
      </c>
      <c r="D5701" s="49" t="s">
        <v>604</v>
      </c>
      <c r="E5701" s="117">
        <v>172578</v>
      </c>
      <c r="G5701" s="50" t="s">
        <v>89</v>
      </c>
      <c r="H5701" s="51">
        <v>103.47199999999999</v>
      </c>
      <c r="J5701" s="51">
        <v>7.21</v>
      </c>
      <c r="K5701" s="74">
        <f>Tabela6[[#This Row],[CONSUMO]]*Tabela6[[#This Row],[VALOR UNIT]]-Tabela6[[#This Row],[DESCONTO]]</f>
        <v>746.03311999999994</v>
      </c>
      <c r="L5701" s="53">
        <f>Tabela6[[#This Row],[CUSTO TOTAL]]/Tabela6[[#This Row],[CONSUMO]]</f>
        <v>7.21</v>
      </c>
      <c r="M5701" s="53" t="e">
        <f t="array" ref="M5701">SE</f>
        <v>#NAME?</v>
      </c>
      <c r="N5701" s="118" t="e">
        <f>Tabela6[[#This Row],[KM Rodados ]]/Tabela6[[#This Row],[CONSUMO]]</f>
        <v>#NAME?</v>
      </c>
    </row>
    <row r="5702" spans="1:14" x14ac:dyDescent="0.25">
      <c r="A5702" s="117">
        <v>437008</v>
      </c>
      <c r="B5702" s="78">
        <v>45686</v>
      </c>
      <c r="C5702" s="47" t="s">
        <v>401</v>
      </c>
      <c r="D5702" s="49" t="s">
        <v>402</v>
      </c>
      <c r="E5702" s="117">
        <v>82326</v>
      </c>
      <c r="G5702" s="50" t="s">
        <v>89</v>
      </c>
      <c r="H5702" s="51">
        <v>50.082999999999998</v>
      </c>
      <c r="J5702" s="51">
        <v>5.99</v>
      </c>
      <c r="K5702" s="74">
        <f>Tabela6[[#This Row],[CONSUMO]]*Tabela6[[#This Row],[VALOR UNIT]]-Tabela6[[#This Row],[DESCONTO]]</f>
        <v>299.99716999999998</v>
      </c>
      <c r="L5702" s="53">
        <f>Tabela6[[#This Row],[CUSTO TOTAL]]/Tabela6[[#This Row],[CONSUMO]]</f>
        <v>5.99</v>
      </c>
      <c r="M5702" s="53" t="e">
        <f t="array" ref="M5702">SE</f>
        <v>#NAME?</v>
      </c>
      <c r="N5702" s="118" t="e">
        <f>Tabela6[[#This Row],[KM Rodados ]]/Tabela6[[#This Row],[CONSUMO]]</f>
        <v>#NAME?</v>
      </c>
    </row>
    <row r="5703" spans="1:14" x14ac:dyDescent="0.25">
      <c r="A5703" s="117">
        <v>432807</v>
      </c>
      <c r="B5703" s="78">
        <v>45688</v>
      </c>
      <c r="C5703" s="47" t="s">
        <v>12</v>
      </c>
      <c r="D5703" s="49" t="s">
        <v>253</v>
      </c>
      <c r="E5703" s="117">
        <v>354129</v>
      </c>
      <c r="G5703" s="50" t="s">
        <v>89</v>
      </c>
      <c r="H5703" s="51">
        <v>112.34</v>
      </c>
      <c r="J5703" s="51">
        <v>6.09</v>
      </c>
      <c r="K5703" s="74">
        <f>Tabela6[[#This Row],[CONSUMO]]*Tabela6[[#This Row],[VALOR UNIT]]-Tabela6[[#This Row],[DESCONTO]]</f>
        <v>684.15060000000005</v>
      </c>
      <c r="L5703" s="53">
        <f>Tabela6[[#This Row],[CUSTO TOTAL]]/Tabela6[[#This Row],[CONSUMO]]</f>
        <v>6.09</v>
      </c>
      <c r="M5703" s="53" t="e">
        <f t="array" ref="M5703">SE</f>
        <v>#NAME?</v>
      </c>
      <c r="N5703" s="118" t="e">
        <f>Tabela6[[#This Row],[KM Rodados ]]/Tabela6[[#This Row],[CONSUMO]]</f>
        <v>#NAME?</v>
      </c>
    </row>
    <row r="5704" spans="1:14" x14ac:dyDescent="0.25">
      <c r="A5704" s="117">
        <v>327769</v>
      </c>
      <c r="B5704" s="78">
        <v>45691</v>
      </c>
      <c r="C5704" s="47" t="s">
        <v>74</v>
      </c>
      <c r="D5704" s="49" t="s">
        <v>262</v>
      </c>
      <c r="E5704" s="117"/>
      <c r="G5704" s="50" t="s">
        <v>241</v>
      </c>
      <c r="H5704" s="51">
        <v>10.021000000000001</v>
      </c>
      <c r="J5704" s="51">
        <v>3.33</v>
      </c>
      <c r="K5704" s="74">
        <f>Tabela6[[#This Row],[CONSUMO]]*Tabela6[[#This Row],[VALOR UNIT]]-Tabela6[[#This Row],[DESCONTO]]</f>
        <v>33.369930000000004</v>
      </c>
      <c r="L5704" s="53">
        <f>Tabela6[[#This Row],[CUSTO TOTAL]]/Tabela6[[#This Row],[CONSUMO]]</f>
        <v>3.33</v>
      </c>
      <c r="M5704" s="53" t="e">
        <f t="array" ref="M5704">SE</f>
        <v>#NAME?</v>
      </c>
      <c r="N5704" s="118" t="e">
        <f>Tabela6[[#This Row],[KM Rodados ]]/Tabela6[[#This Row],[CONSUMO]]</f>
        <v>#NAME?</v>
      </c>
    </row>
    <row r="5705" spans="1:14" x14ac:dyDescent="0.25">
      <c r="A5705" s="117">
        <v>478895</v>
      </c>
      <c r="B5705" s="78">
        <v>45691</v>
      </c>
      <c r="C5705" s="47" t="s">
        <v>203</v>
      </c>
      <c r="D5705" s="49" t="s">
        <v>276</v>
      </c>
      <c r="E5705" s="117">
        <v>198529</v>
      </c>
      <c r="G5705" s="50" t="s">
        <v>244</v>
      </c>
      <c r="H5705" s="51">
        <v>38.299999999999997</v>
      </c>
      <c r="J5705" s="51">
        <v>6.29</v>
      </c>
      <c r="K5705" s="74">
        <f>Tabela6[[#This Row],[CONSUMO]]*Tabela6[[#This Row],[VALOR UNIT]]-Tabela6[[#This Row],[DESCONTO]]</f>
        <v>240.90699999999998</v>
      </c>
      <c r="L5705" s="53">
        <f>Tabela6[[#This Row],[CUSTO TOTAL]]/Tabela6[[#This Row],[CONSUMO]]</f>
        <v>6.29</v>
      </c>
      <c r="M5705" s="53" t="e">
        <f t="array" ref="M5705">SE</f>
        <v>#NAME?</v>
      </c>
      <c r="N5705" s="118" t="e">
        <f>Tabela6[[#This Row],[KM Rodados ]]/Tabela6[[#This Row],[CONSUMO]]</f>
        <v>#NAME?</v>
      </c>
    </row>
    <row r="5706" spans="1:14" x14ac:dyDescent="0.25">
      <c r="A5706" s="117">
        <v>875173</v>
      </c>
      <c r="B5706" s="78">
        <v>45691</v>
      </c>
      <c r="C5706" s="47" t="s">
        <v>43</v>
      </c>
      <c r="D5706" s="49" t="s">
        <v>387</v>
      </c>
      <c r="E5706" s="117">
        <v>229967</v>
      </c>
      <c r="G5706" s="50" t="s">
        <v>89</v>
      </c>
      <c r="H5706" s="51">
        <v>24.190999999999999</v>
      </c>
      <c r="I5706" s="49">
        <v>21</v>
      </c>
      <c r="J5706" s="51">
        <v>6.89</v>
      </c>
      <c r="K5706" s="74">
        <f>Tabela6[[#This Row],[CONSUMO]]*Tabela6[[#This Row],[VALOR UNIT]]-Tabela6[[#This Row],[DESCONTO]]</f>
        <v>145.67598999999998</v>
      </c>
      <c r="L5706" s="53">
        <f>Tabela6[[#This Row],[CUSTO TOTAL]]/Tabela6[[#This Row],[CONSUMO]]</f>
        <v>6.0219085610350955</v>
      </c>
      <c r="M5706" s="53" t="e">
        <f t="array" ref="M5706">SE</f>
        <v>#NAME?</v>
      </c>
      <c r="N5706" s="118" t="e">
        <f>Tabela6[[#This Row],[KM Rodados ]]/Tabela6[[#This Row],[CONSUMO]]</f>
        <v>#NAME?</v>
      </c>
    </row>
    <row r="5707" spans="1:14" x14ac:dyDescent="0.25">
      <c r="A5707" s="117">
        <v>435100</v>
      </c>
      <c r="B5707" s="78">
        <v>45691</v>
      </c>
      <c r="C5707" s="47" t="s">
        <v>39</v>
      </c>
      <c r="D5707" s="49" t="s">
        <v>253</v>
      </c>
      <c r="E5707" s="117">
        <v>14052</v>
      </c>
      <c r="G5707" s="50" t="s">
        <v>89</v>
      </c>
      <c r="H5707" s="51">
        <v>89.5</v>
      </c>
      <c r="J5707" s="51">
        <v>6.39</v>
      </c>
      <c r="K5707" s="74">
        <f>Tabela6[[#This Row],[CONSUMO]]*Tabela6[[#This Row],[VALOR UNIT]]-Tabela6[[#This Row],[DESCONTO]]</f>
        <v>571.90499999999997</v>
      </c>
      <c r="L5707" s="53">
        <f>Tabela6[[#This Row],[CUSTO TOTAL]]/Tabela6[[#This Row],[CONSUMO]]</f>
        <v>6.39</v>
      </c>
      <c r="M5707" s="53" t="e">
        <f t="array" ref="M5707">SE</f>
        <v>#NAME?</v>
      </c>
      <c r="N5707" s="118" t="e">
        <f>Tabela6[[#This Row],[KM Rodados ]]/Tabela6[[#This Row],[CONSUMO]]</f>
        <v>#NAME?</v>
      </c>
    </row>
    <row r="5708" spans="1:14" x14ac:dyDescent="0.25">
      <c r="A5708" s="117">
        <v>435606</v>
      </c>
      <c r="B5708" s="78">
        <v>45692</v>
      </c>
      <c r="C5708" s="47" t="s">
        <v>11</v>
      </c>
      <c r="D5708" s="49" t="s">
        <v>253</v>
      </c>
      <c r="E5708" s="117">
        <v>429706</v>
      </c>
      <c r="G5708" s="50" t="s">
        <v>89</v>
      </c>
      <c r="H5708" s="51">
        <v>107.56</v>
      </c>
      <c r="J5708" s="51">
        <v>6.39</v>
      </c>
      <c r="K5708" s="74">
        <f>Tabela6[[#This Row],[CONSUMO]]*Tabela6[[#This Row],[VALOR UNIT]]-Tabela6[[#This Row],[DESCONTO]]</f>
        <v>687.30840000000001</v>
      </c>
      <c r="L5708" s="53">
        <f>Tabela6[[#This Row],[CUSTO TOTAL]]/Tabela6[[#This Row],[CONSUMO]]</f>
        <v>6.39</v>
      </c>
      <c r="M5708" s="53" t="e">
        <f t="array" ref="M5708">SE</f>
        <v>#NAME?</v>
      </c>
      <c r="N5708" s="118" t="e">
        <f>Tabela6[[#This Row],[KM Rodados ]]/Tabela6[[#This Row],[CONSUMO]]</f>
        <v>#NAME?</v>
      </c>
    </row>
    <row r="5709" spans="1:14" x14ac:dyDescent="0.25">
      <c r="A5709" s="117">
        <v>327872</v>
      </c>
      <c r="B5709" s="78">
        <v>45692</v>
      </c>
      <c r="C5709" s="47" t="s">
        <v>72</v>
      </c>
      <c r="D5709" s="49" t="s">
        <v>262</v>
      </c>
      <c r="E5709" s="117">
        <v>495425</v>
      </c>
      <c r="G5709" s="50" t="s">
        <v>89</v>
      </c>
      <c r="H5709" s="51">
        <v>14.21</v>
      </c>
      <c r="J5709" s="51">
        <v>6.28</v>
      </c>
      <c r="K5709" s="74">
        <f>Tabela6[[#This Row],[CONSUMO]]*Tabela6[[#This Row],[VALOR UNIT]]-Tabela6[[#This Row],[DESCONTO]]</f>
        <v>89.238800000000012</v>
      </c>
      <c r="L5709" s="53">
        <f>Tabela6[[#This Row],[CUSTO TOTAL]]/Tabela6[[#This Row],[CONSUMO]]</f>
        <v>6.28</v>
      </c>
      <c r="M5709" s="53" t="e">
        <f t="array" ref="M5709">SE</f>
        <v>#NAME?</v>
      </c>
      <c r="N5709" s="118" t="e">
        <f>Tabela6[[#This Row],[KM Rodados ]]/Tabela6[[#This Row],[CONSUMO]]</f>
        <v>#NAME?</v>
      </c>
    </row>
    <row r="5710" spans="1:14" x14ac:dyDescent="0.25">
      <c r="A5710" s="117">
        <v>327900</v>
      </c>
      <c r="B5710" s="78">
        <v>45692</v>
      </c>
      <c r="C5710" s="47" t="s">
        <v>40</v>
      </c>
      <c r="D5710" s="49" t="s">
        <v>262</v>
      </c>
      <c r="E5710" s="117">
        <v>240745</v>
      </c>
      <c r="G5710" s="50" t="s">
        <v>244</v>
      </c>
      <c r="H5710" s="51">
        <v>43.401000000000003</v>
      </c>
      <c r="J5710" s="51">
        <v>5.9898999999999996</v>
      </c>
      <c r="K5710" s="74">
        <f>Tabela6[[#This Row],[CONSUMO]]*Tabela6[[#This Row],[VALOR UNIT]]-Tabela6[[#This Row],[DESCONTO]]</f>
        <v>259.96764990000003</v>
      </c>
      <c r="L5710" s="53">
        <f>Tabela6[[#This Row],[CUSTO TOTAL]]/Tabela6[[#This Row],[CONSUMO]]</f>
        <v>5.9899000000000004</v>
      </c>
      <c r="M5710" s="53" t="e">
        <f t="array" ref="M5710">SE</f>
        <v>#NAME?</v>
      </c>
      <c r="N5710" s="118" t="e">
        <f>Tabela6[[#This Row],[KM Rodados ]]/Tabela6[[#This Row],[CONSUMO]]</f>
        <v>#NAME?</v>
      </c>
    </row>
    <row r="5711" spans="1:14" x14ac:dyDescent="0.25">
      <c r="A5711" s="117">
        <v>327918</v>
      </c>
      <c r="B5711" s="78">
        <v>45692</v>
      </c>
      <c r="C5711" s="47" t="s">
        <v>446</v>
      </c>
      <c r="D5711" s="49" t="s">
        <v>262</v>
      </c>
      <c r="E5711" s="117">
        <v>82777</v>
      </c>
      <c r="G5711" s="50" t="s">
        <v>241</v>
      </c>
      <c r="H5711" s="51">
        <v>28.341000000000001</v>
      </c>
      <c r="J5711" s="51">
        <v>3.33</v>
      </c>
      <c r="K5711" s="74">
        <f>Tabela6[[#This Row],[CONSUMO]]*Tabela6[[#This Row],[VALOR UNIT]]-Tabela6[[#This Row],[DESCONTO]]</f>
        <v>94.375530000000012</v>
      </c>
      <c r="L5711" s="53">
        <f>Tabela6[[#This Row],[CUSTO TOTAL]]/Tabela6[[#This Row],[CONSUMO]]</f>
        <v>3.3300000000000005</v>
      </c>
      <c r="M5711" s="53" t="e">
        <f t="array" ref="M5711">SE</f>
        <v>#NAME?</v>
      </c>
      <c r="N5711" s="118" t="e">
        <f>Tabela6[[#This Row],[KM Rodados ]]/Tabela6[[#This Row],[CONSUMO]]</f>
        <v>#NAME?</v>
      </c>
    </row>
    <row r="5712" spans="1:14" x14ac:dyDescent="0.25">
      <c r="A5712" s="117">
        <v>327977</v>
      </c>
      <c r="B5712" s="78">
        <v>45692</v>
      </c>
      <c r="C5712" s="47" t="s">
        <v>569</v>
      </c>
      <c r="D5712" s="49" t="s">
        <v>262</v>
      </c>
      <c r="E5712" s="117">
        <v>14384</v>
      </c>
      <c r="G5712" s="50" t="s">
        <v>241</v>
      </c>
      <c r="H5712" s="51">
        <v>22.042000000000002</v>
      </c>
      <c r="J5712" s="51">
        <v>3.33</v>
      </c>
      <c r="K5712" s="74">
        <f>Tabela6[[#This Row],[CONSUMO]]*Tabela6[[#This Row],[VALOR UNIT]]-Tabela6[[#This Row],[DESCONTO]]</f>
        <v>73.399860000000004</v>
      </c>
      <c r="L5712" s="53">
        <f>Tabela6[[#This Row],[CUSTO TOTAL]]/Tabela6[[#This Row],[CONSUMO]]</f>
        <v>3.33</v>
      </c>
      <c r="M5712" s="53" t="e">
        <f t="array" ref="M5712">SE</f>
        <v>#NAME?</v>
      </c>
      <c r="N5712" s="118" t="e">
        <f>Tabela6[[#This Row],[KM Rodados ]]/Tabela6[[#This Row],[CONSUMO]]</f>
        <v>#NAME?</v>
      </c>
    </row>
    <row r="5713" spans="1:14" x14ac:dyDescent="0.25">
      <c r="A5713" s="117">
        <v>118388</v>
      </c>
      <c r="B5713" s="78">
        <v>45693</v>
      </c>
      <c r="C5713" s="47" t="s">
        <v>401</v>
      </c>
      <c r="D5713" s="49" t="s">
        <v>357</v>
      </c>
      <c r="E5713" s="117">
        <v>84732</v>
      </c>
      <c r="G5713" s="50" t="s">
        <v>89</v>
      </c>
      <c r="H5713" s="51">
        <v>63.603000000000002</v>
      </c>
      <c r="J5713" s="51">
        <v>6.29</v>
      </c>
      <c r="K5713" s="74">
        <f>Tabela6[[#This Row],[CONSUMO]]*Tabela6[[#This Row],[VALOR UNIT]]-Tabela6[[#This Row],[DESCONTO]]</f>
        <v>400.06287000000003</v>
      </c>
      <c r="L5713" s="53">
        <f>Tabela6[[#This Row],[CUSTO TOTAL]]/Tabela6[[#This Row],[CONSUMO]]</f>
        <v>6.29</v>
      </c>
      <c r="M5713" s="53" t="e">
        <f t="array" ref="M5713">SE</f>
        <v>#NAME?</v>
      </c>
      <c r="N5713" s="118" t="e">
        <f>Tabela6[[#This Row],[KM Rodados ]]/Tabela6[[#This Row],[CONSUMO]]</f>
        <v>#NAME?</v>
      </c>
    </row>
    <row r="5714" spans="1:14" x14ac:dyDescent="0.25">
      <c r="A5714" s="117">
        <v>328125</v>
      </c>
      <c r="B5714" s="78">
        <v>45693</v>
      </c>
      <c r="C5714" s="47" t="s">
        <v>315</v>
      </c>
      <c r="D5714" s="49" t="s">
        <v>262</v>
      </c>
      <c r="E5714" s="117">
        <v>62726</v>
      </c>
      <c r="G5714" s="50" t="s">
        <v>89</v>
      </c>
      <c r="H5714" s="51">
        <v>55.445</v>
      </c>
      <c r="J5714" s="51">
        <v>6.14</v>
      </c>
      <c r="K5714" s="74">
        <f>Tabela6[[#This Row],[CONSUMO]]*Tabela6[[#This Row],[VALOR UNIT]]-Tabela6[[#This Row],[DESCONTO]]</f>
        <v>340.4323</v>
      </c>
      <c r="L5714" s="53">
        <f>Tabela6[[#This Row],[CUSTO TOTAL]]/Tabela6[[#This Row],[CONSUMO]]</f>
        <v>6.14</v>
      </c>
      <c r="M5714" s="53" t="e">
        <f t="array" ref="M5714">SE</f>
        <v>#NAME?</v>
      </c>
      <c r="N5714" s="118" t="e">
        <f>Tabela6[[#This Row],[KM Rodados ]]/Tabela6[[#This Row],[CONSUMO]]</f>
        <v>#NAME?</v>
      </c>
    </row>
    <row r="5715" spans="1:14" x14ac:dyDescent="0.25">
      <c r="A5715" s="117">
        <v>328072</v>
      </c>
      <c r="B5715" s="78">
        <v>45693</v>
      </c>
      <c r="C5715" s="47" t="s">
        <v>43</v>
      </c>
      <c r="D5715" s="49" t="s">
        <v>262</v>
      </c>
      <c r="E5715" s="117">
        <v>230401</v>
      </c>
      <c r="G5715" s="50" t="s">
        <v>89</v>
      </c>
      <c r="H5715" s="51">
        <v>15.49</v>
      </c>
      <c r="J5715" s="51">
        <v>6.2897999999999996</v>
      </c>
      <c r="K5715" s="74">
        <f>Tabela6[[#This Row],[CONSUMO]]*Tabela6[[#This Row],[VALOR UNIT]]-Tabela6[[#This Row],[DESCONTO]]</f>
        <v>97.429001999999997</v>
      </c>
      <c r="L5715" s="53">
        <f>Tabela6[[#This Row],[CUSTO TOTAL]]/Tabela6[[#This Row],[CONSUMO]]</f>
        <v>6.2897999999999996</v>
      </c>
      <c r="M5715" s="53" t="e">
        <f t="array" ref="M5715">SE</f>
        <v>#NAME?</v>
      </c>
      <c r="N5715" s="118" t="e">
        <f>Tabela6[[#This Row],[KM Rodados ]]/Tabela6[[#This Row],[CONSUMO]]</f>
        <v>#NAME?</v>
      </c>
    </row>
    <row r="5716" spans="1:14" x14ac:dyDescent="0.25">
      <c r="A5716" s="117">
        <v>328147</v>
      </c>
      <c r="B5716" s="78">
        <v>45693</v>
      </c>
      <c r="C5716" s="47" t="s">
        <v>73</v>
      </c>
      <c r="D5716" s="49" t="s">
        <v>262</v>
      </c>
      <c r="E5716" s="117">
        <v>252915</v>
      </c>
      <c r="G5716" s="50" t="s">
        <v>241</v>
      </c>
      <c r="H5716" s="51">
        <v>13.068</v>
      </c>
      <c r="J5716" s="51">
        <v>3.33</v>
      </c>
      <c r="K5716" s="74">
        <f>Tabela6[[#This Row],[CONSUMO]]*Tabela6[[#This Row],[VALOR UNIT]]-Tabela6[[#This Row],[DESCONTO]]</f>
        <v>43.516440000000003</v>
      </c>
      <c r="L5716" s="53">
        <f>Tabela6[[#This Row],[CUSTO TOTAL]]/Tabela6[[#This Row],[CONSUMO]]</f>
        <v>3.3300000000000005</v>
      </c>
      <c r="M5716" s="53" t="e">
        <f t="array" ref="M5716">SE</f>
        <v>#NAME?</v>
      </c>
      <c r="N5716" s="118" t="e">
        <f>Tabela6[[#This Row],[KM Rodados ]]/Tabela6[[#This Row],[CONSUMO]]</f>
        <v>#NAME?</v>
      </c>
    </row>
    <row r="5717" spans="1:14" x14ac:dyDescent="0.25">
      <c r="A5717" s="117">
        <v>328086</v>
      </c>
      <c r="B5717" s="78">
        <v>45693</v>
      </c>
      <c r="C5717" s="47" t="s">
        <v>40</v>
      </c>
      <c r="D5717" s="49" t="s">
        <v>262</v>
      </c>
      <c r="E5717" s="117">
        <v>241239</v>
      </c>
      <c r="G5717" s="50" t="s">
        <v>244</v>
      </c>
      <c r="H5717" s="51">
        <v>38.799999999999997</v>
      </c>
      <c r="J5717" s="51">
        <v>5.9898999999999996</v>
      </c>
      <c r="K5717" s="74">
        <f>Tabela6[[#This Row],[CONSUMO]]*Tabela6[[#This Row],[VALOR UNIT]]-Tabela6[[#This Row],[DESCONTO]]</f>
        <v>232.40811999999997</v>
      </c>
      <c r="L5717" s="53">
        <f>Tabela6[[#This Row],[CUSTO TOTAL]]/Tabela6[[#This Row],[CONSUMO]]</f>
        <v>5.9898999999999996</v>
      </c>
      <c r="M5717" s="53" t="e">
        <f t="array" ref="M5717">SE</f>
        <v>#NAME?</v>
      </c>
      <c r="N5717" s="118" t="e">
        <f>Tabela6[[#This Row],[KM Rodados ]]/Tabela6[[#This Row],[CONSUMO]]</f>
        <v>#NAME?</v>
      </c>
    </row>
    <row r="5718" spans="1:14" x14ac:dyDescent="0.25">
      <c r="A5718" s="117">
        <v>479742</v>
      </c>
      <c r="B5718" s="78">
        <v>45694</v>
      </c>
      <c r="C5718" s="47" t="s">
        <v>40</v>
      </c>
      <c r="D5718" s="49" t="s">
        <v>276</v>
      </c>
      <c r="E5718" s="117">
        <v>241785</v>
      </c>
      <c r="G5718" s="50" t="s">
        <v>244</v>
      </c>
      <c r="H5718" s="51">
        <v>44.68</v>
      </c>
      <c r="J5718" s="51">
        <v>6.29</v>
      </c>
      <c r="K5718" s="74">
        <f>Tabela6[[#This Row],[CONSUMO]]*Tabela6[[#This Row],[VALOR UNIT]]-Tabela6[[#This Row],[DESCONTO]]</f>
        <v>281.03719999999998</v>
      </c>
      <c r="L5718" s="53">
        <f>Tabela6[[#This Row],[CUSTO TOTAL]]/Tabela6[[#This Row],[CONSUMO]]</f>
        <v>6.29</v>
      </c>
      <c r="M5718" s="53" t="e">
        <f t="array" ref="M5718">SE</f>
        <v>#NAME?</v>
      </c>
      <c r="N5718" s="118" t="e">
        <f>Tabela6[[#This Row],[KM Rodados ]]/Tabela6[[#This Row],[CONSUMO]]</f>
        <v>#NAME?</v>
      </c>
    </row>
    <row r="5719" spans="1:14" x14ac:dyDescent="0.25">
      <c r="A5719" s="117">
        <v>328307</v>
      </c>
      <c r="B5719" s="78">
        <v>45694</v>
      </c>
      <c r="C5719" s="47" t="s">
        <v>681</v>
      </c>
      <c r="D5719" s="49" t="s">
        <v>262</v>
      </c>
      <c r="E5719" s="117"/>
      <c r="G5719" s="50" t="s">
        <v>241</v>
      </c>
      <c r="H5719" s="51">
        <v>33.99</v>
      </c>
      <c r="J5719" s="51">
        <v>3.33</v>
      </c>
      <c r="K5719" s="74">
        <f>Tabela6[[#This Row],[CONSUMO]]*Tabela6[[#This Row],[VALOR UNIT]]-Tabela6[[#This Row],[DESCONTO]]</f>
        <v>113.18670000000002</v>
      </c>
      <c r="L5719" s="53">
        <f>Tabela6[[#This Row],[CUSTO TOTAL]]/Tabela6[[#This Row],[CONSUMO]]</f>
        <v>3.33</v>
      </c>
      <c r="M5719" s="53" t="e">
        <f t="array" ref="M5719">SE</f>
        <v>#NAME?</v>
      </c>
      <c r="N5719" s="118" t="e">
        <f>Tabela6[[#This Row],[KM Rodados ]]/Tabela6[[#This Row],[CONSUMO]]</f>
        <v>#NAME?</v>
      </c>
    </row>
    <row r="5720" spans="1:14" x14ac:dyDescent="0.25">
      <c r="A5720" s="117">
        <v>328366</v>
      </c>
      <c r="B5720" s="78">
        <v>45694</v>
      </c>
      <c r="C5720" s="47" t="s">
        <v>203</v>
      </c>
      <c r="D5720" s="49" t="s">
        <v>262</v>
      </c>
      <c r="E5720" s="117">
        <v>200086</v>
      </c>
      <c r="G5720" s="50" t="s">
        <v>244</v>
      </c>
      <c r="H5720" s="51">
        <v>46.97</v>
      </c>
      <c r="J5720" s="51">
        <v>5.9898999999999996</v>
      </c>
      <c r="K5720" s="74">
        <f>Tabela6[[#This Row],[CONSUMO]]*Tabela6[[#This Row],[VALOR UNIT]]-Tabela6[[#This Row],[DESCONTO]]</f>
        <v>281.34560299999998</v>
      </c>
      <c r="L5720" s="53">
        <f>Tabela6[[#This Row],[CUSTO TOTAL]]/Tabela6[[#This Row],[CONSUMO]]</f>
        <v>5.9898999999999996</v>
      </c>
      <c r="M5720" s="53" t="e">
        <f t="array" ref="M5720">SE</f>
        <v>#NAME?</v>
      </c>
      <c r="N5720" s="118" t="e">
        <f>Tabela6[[#This Row],[KM Rodados ]]/Tabela6[[#This Row],[CONSUMO]]</f>
        <v>#NAME?</v>
      </c>
    </row>
    <row r="5721" spans="1:14" x14ac:dyDescent="0.25">
      <c r="A5721" s="117">
        <v>328306</v>
      </c>
      <c r="B5721" s="78">
        <v>45694</v>
      </c>
      <c r="C5721" s="47" t="s">
        <v>426</v>
      </c>
      <c r="D5721" s="49" t="s">
        <v>262</v>
      </c>
      <c r="E5721" s="117"/>
      <c r="G5721" s="50" t="s">
        <v>241</v>
      </c>
      <c r="H5721" s="51">
        <v>13.497999999999999</v>
      </c>
      <c r="J5721" s="51">
        <v>3.33</v>
      </c>
      <c r="K5721" s="74">
        <f>Tabela6[[#This Row],[CONSUMO]]*Tabela6[[#This Row],[VALOR UNIT]]-Tabela6[[#This Row],[DESCONTO]]</f>
        <v>44.948340000000002</v>
      </c>
      <c r="L5721" s="53">
        <f>Tabela6[[#This Row],[CUSTO TOTAL]]/Tabela6[[#This Row],[CONSUMO]]</f>
        <v>3.3300000000000005</v>
      </c>
      <c r="M5721" s="53" t="e">
        <f t="array" ref="M5721">SE</f>
        <v>#NAME?</v>
      </c>
      <c r="N5721" s="118" t="e">
        <f>Tabela6[[#This Row],[KM Rodados ]]/Tabela6[[#This Row],[CONSUMO]]</f>
        <v>#NAME?</v>
      </c>
    </row>
    <row r="5722" spans="1:14" x14ac:dyDescent="0.25">
      <c r="A5722" s="117">
        <v>328644</v>
      </c>
      <c r="B5722" s="78">
        <v>45695</v>
      </c>
      <c r="C5722" s="47" t="s">
        <v>40</v>
      </c>
      <c r="D5722" s="49" t="s">
        <v>262</v>
      </c>
      <c r="E5722" s="117">
        <v>242029</v>
      </c>
      <c r="G5722" s="50" t="s">
        <v>244</v>
      </c>
      <c r="H5722" s="51">
        <v>24.548999999999999</v>
      </c>
      <c r="J5722" s="51">
        <v>5.99</v>
      </c>
      <c r="K5722" s="74">
        <f>Tabela6[[#This Row],[CONSUMO]]*Tabela6[[#This Row],[VALOR UNIT]]-Tabela6[[#This Row],[DESCONTO]]</f>
        <v>147.04850999999999</v>
      </c>
      <c r="L5722" s="53">
        <f>Tabela6[[#This Row],[CUSTO TOTAL]]/Tabela6[[#This Row],[CONSUMO]]</f>
        <v>5.99</v>
      </c>
      <c r="M5722" s="53" t="e">
        <f t="array" ref="M5722">SE</f>
        <v>#NAME?</v>
      </c>
      <c r="N5722" s="118" t="e">
        <f>Tabela6[[#This Row],[KM Rodados ]]/Tabela6[[#This Row],[CONSUMO]]</f>
        <v>#NAME?</v>
      </c>
    </row>
    <row r="5723" spans="1:14" x14ac:dyDescent="0.25">
      <c r="A5723" s="117">
        <v>737918</v>
      </c>
      <c r="B5723" s="78">
        <v>45695</v>
      </c>
      <c r="C5723" s="47" t="s">
        <v>43</v>
      </c>
      <c r="D5723" s="49" t="s">
        <v>605</v>
      </c>
      <c r="E5723" s="117">
        <v>231116</v>
      </c>
      <c r="G5723" s="50" t="s">
        <v>89</v>
      </c>
      <c r="H5723" s="51">
        <v>11.445</v>
      </c>
      <c r="J5723" s="51">
        <v>6.99</v>
      </c>
      <c r="K5723" s="74">
        <f>Tabela6[[#This Row],[CONSUMO]]*Tabela6[[#This Row],[VALOR UNIT]]-Tabela6[[#This Row],[DESCONTO]]</f>
        <v>80.000550000000004</v>
      </c>
      <c r="L5723" s="53">
        <f>Tabela6[[#This Row],[CUSTO TOTAL]]/Tabela6[[#This Row],[CONSUMO]]</f>
        <v>6.99</v>
      </c>
      <c r="M5723" s="53" t="e">
        <f t="array" ref="M5723">SE</f>
        <v>#NAME?</v>
      </c>
      <c r="N5723" s="118" t="e">
        <f>Tabela6[[#This Row],[KM Rodados ]]/Tabela6[[#This Row],[CONSUMO]]</f>
        <v>#NAME?</v>
      </c>
    </row>
    <row r="5724" spans="1:14" x14ac:dyDescent="0.25">
      <c r="A5724" s="117">
        <v>2435976</v>
      </c>
      <c r="B5724" s="78">
        <v>45695</v>
      </c>
      <c r="C5724" s="47" t="s">
        <v>446</v>
      </c>
      <c r="D5724" s="49" t="s">
        <v>252</v>
      </c>
      <c r="E5724" s="117">
        <v>84375</v>
      </c>
      <c r="G5724" s="50" t="s">
        <v>89</v>
      </c>
      <c r="H5724" s="51">
        <v>150</v>
      </c>
      <c r="J5724" s="51">
        <v>6.43</v>
      </c>
      <c r="K5724" s="74">
        <f>Tabela6[[#This Row],[CONSUMO]]*Tabela6[[#This Row],[VALOR UNIT]]-Tabela6[[#This Row],[DESCONTO]]</f>
        <v>964.5</v>
      </c>
      <c r="L5724" s="53">
        <f>Tabela6[[#This Row],[CUSTO TOTAL]]/Tabela6[[#This Row],[CONSUMO]]</f>
        <v>6.43</v>
      </c>
      <c r="M5724" s="53" t="e">
        <f t="array" ref="M5724">SE</f>
        <v>#NAME?</v>
      </c>
      <c r="N5724" s="118" t="e">
        <f>Tabela6[[#This Row],[KM Rodados ]]/Tabela6[[#This Row],[CONSUMO]]</f>
        <v>#NAME?</v>
      </c>
    </row>
    <row r="5725" spans="1:14" x14ac:dyDescent="0.25">
      <c r="A5725" s="117">
        <v>2435976</v>
      </c>
      <c r="B5725" s="78">
        <v>45695</v>
      </c>
      <c r="C5725" s="47" t="s">
        <v>446</v>
      </c>
      <c r="D5725" s="49" t="s">
        <v>252</v>
      </c>
      <c r="E5725" s="117">
        <v>84375</v>
      </c>
      <c r="G5725" s="50" t="s">
        <v>241</v>
      </c>
      <c r="H5725" s="51">
        <v>10.074999999999999</v>
      </c>
      <c r="J5725" s="51">
        <v>2.9</v>
      </c>
      <c r="K5725" s="74">
        <f>Tabela6[[#This Row],[CONSUMO]]*Tabela6[[#This Row],[VALOR UNIT]]-Tabela6[[#This Row],[DESCONTO]]</f>
        <v>29.217499999999998</v>
      </c>
      <c r="L5725" s="53">
        <f>Tabela6[[#This Row],[CUSTO TOTAL]]/Tabela6[[#This Row],[CONSUMO]]</f>
        <v>2.9</v>
      </c>
      <c r="M5725" s="53" t="e">
        <f t="array" ref="M5725">SE</f>
        <v>#NAME?</v>
      </c>
      <c r="N5725" s="118" t="e">
        <f>Tabela6[[#This Row],[KM Rodados ]]/Tabela6[[#This Row],[CONSUMO]]</f>
        <v>#NAME?</v>
      </c>
    </row>
    <row r="5726" spans="1:14" x14ac:dyDescent="0.25">
      <c r="A5726" s="117">
        <v>130169</v>
      </c>
      <c r="B5726" s="78">
        <v>45695</v>
      </c>
      <c r="C5726" s="47" t="s">
        <v>446</v>
      </c>
      <c r="D5726" s="49" t="s">
        <v>305</v>
      </c>
      <c r="E5726" s="117">
        <v>84923</v>
      </c>
      <c r="G5726" s="50" t="s">
        <v>241</v>
      </c>
      <c r="H5726" s="51">
        <v>24</v>
      </c>
      <c r="J5726" s="51">
        <v>3.59</v>
      </c>
      <c r="K5726" s="74">
        <f>Tabela6[[#This Row],[CONSUMO]]*Tabela6[[#This Row],[VALOR UNIT]]-Tabela6[[#This Row],[DESCONTO]]</f>
        <v>86.16</v>
      </c>
      <c r="L5726" s="53">
        <f>Tabela6[[#This Row],[CUSTO TOTAL]]/Tabela6[[#This Row],[CONSUMO]]</f>
        <v>3.59</v>
      </c>
      <c r="M5726" s="53" t="e">
        <f t="array" ref="M5726">SE</f>
        <v>#NAME?</v>
      </c>
      <c r="N5726" s="118" t="e">
        <f>Tabela6[[#This Row],[KM Rodados ]]/Tabela6[[#This Row],[CONSUMO]]</f>
        <v>#NAME?</v>
      </c>
    </row>
    <row r="5727" spans="1:14" x14ac:dyDescent="0.25">
      <c r="A5727" s="117">
        <v>328550</v>
      </c>
      <c r="B5727" s="78">
        <v>45695</v>
      </c>
      <c r="C5727" s="47" t="s">
        <v>43</v>
      </c>
      <c r="D5727" s="49" t="s">
        <v>262</v>
      </c>
      <c r="E5727" s="117">
        <v>230999</v>
      </c>
      <c r="G5727" s="50" t="s">
        <v>89</v>
      </c>
      <c r="H5727" s="51">
        <v>20</v>
      </c>
      <c r="J5727" s="51">
        <v>6.29</v>
      </c>
      <c r="K5727" s="74">
        <f>Tabela6[[#This Row],[CONSUMO]]*Tabela6[[#This Row],[VALOR UNIT]]-Tabela6[[#This Row],[DESCONTO]]</f>
        <v>125.8</v>
      </c>
      <c r="L5727" s="53">
        <f>Tabela6[[#This Row],[CUSTO TOTAL]]/Tabela6[[#This Row],[CONSUMO]]</f>
        <v>6.29</v>
      </c>
      <c r="M5727" s="53" t="e">
        <f t="array" ref="M5727">SE</f>
        <v>#NAME?</v>
      </c>
      <c r="N5727" s="118" t="e">
        <f>Tabela6[[#This Row],[KM Rodados ]]/Tabela6[[#This Row],[CONSUMO]]</f>
        <v>#NAME?</v>
      </c>
    </row>
    <row r="5728" spans="1:14" x14ac:dyDescent="0.25">
      <c r="A5728" s="117">
        <v>1011090</v>
      </c>
      <c r="B5728" s="78">
        <v>45697</v>
      </c>
      <c r="C5728" s="47" t="s">
        <v>206</v>
      </c>
      <c r="D5728" s="49" t="s">
        <v>583</v>
      </c>
      <c r="E5728" s="117">
        <v>73002</v>
      </c>
      <c r="G5728" s="50" t="s">
        <v>89</v>
      </c>
      <c r="H5728" s="51">
        <v>308</v>
      </c>
      <c r="J5728" s="51">
        <v>6.89</v>
      </c>
      <c r="K5728" s="74">
        <f>Tabela6[[#This Row],[CONSUMO]]*Tabela6[[#This Row],[VALOR UNIT]]-Tabela6[[#This Row],[DESCONTO]]</f>
        <v>2122.12</v>
      </c>
      <c r="L5728" s="53">
        <f>Tabela6[[#This Row],[CUSTO TOTAL]]/Tabela6[[#This Row],[CONSUMO]]</f>
        <v>6.89</v>
      </c>
      <c r="M5728" s="53" t="e">
        <f t="array" ref="M5728">SE</f>
        <v>#NAME?</v>
      </c>
      <c r="N5728" s="118" t="e">
        <f>Tabela6[[#This Row],[KM Rodados ]]/Tabela6[[#This Row],[CONSUMO]]</f>
        <v>#NAME?</v>
      </c>
    </row>
    <row r="5729" spans="1:14" x14ac:dyDescent="0.25">
      <c r="A5729" s="117">
        <v>1011089</v>
      </c>
      <c r="B5729" s="78">
        <v>45697</v>
      </c>
      <c r="C5729" s="47" t="s">
        <v>567</v>
      </c>
      <c r="D5729" s="49" t="s">
        <v>583</v>
      </c>
      <c r="E5729" s="117">
        <v>30200</v>
      </c>
      <c r="G5729" s="50" t="s">
        <v>89</v>
      </c>
      <c r="H5729" s="51">
        <v>300</v>
      </c>
      <c r="J5729" s="51">
        <v>6.89</v>
      </c>
      <c r="K5729" s="74">
        <f>Tabela6[[#This Row],[CONSUMO]]*Tabela6[[#This Row],[VALOR UNIT]]-Tabela6[[#This Row],[DESCONTO]]</f>
        <v>2067</v>
      </c>
      <c r="L5729" s="53">
        <f>Tabela6[[#This Row],[CUSTO TOTAL]]/Tabela6[[#This Row],[CONSUMO]]</f>
        <v>6.89</v>
      </c>
      <c r="M5729" s="53" t="e">
        <f t="array" ref="M5729">SE</f>
        <v>#NAME?</v>
      </c>
      <c r="N5729" s="118" t="e">
        <f>Tabela6[[#This Row],[KM Rodados ]]/Tabela6[[#This Row],[CONSUMO]]</f>
        <v>#NAME?</v>
      </c>
    </row>
    <row r="5730" spans="1:14" x14ac:dyDescent="0.25">
      <c r="A5730" s="117">
        <v>329377</v>
      </c>
      <c r="B5730" s="78">
        <v>45698</v>
      </c>
      <c r="C5730" s="47" t="s">
        <v>354</v>
      </c>
      <c r="D5730" s="49" t="s">
        <v>262</v>
      </c>
      <c r="E5730" s="117">
        <v>88011</v>
      </c>
      <c r="G5730" s="50" t="s">
        <v>241</v>
      </c>
      <c r="H5730" s="51">
        <v>18.018999999999998</v>
      </c>
      <c r="J5730" s="51">
        <v>3.32</v>
      </c>
      <c r="K5730" s="74">
        <f>Tabela6[[#This Row],[CONSUMO]]*Tabela6[[#This Row],[VALOR UNIT]]-Tabela6[[#This Row],[DESCONTO]]</f>
        <v>59.82307999999999</v>
      </c>
      <c r="L5730" s="53">
        <f>Tabela6[[#This Row],[CUSTO TOTAL]]/Tabela6[[#This Row],[CONSUMO]]</f>
        <v>3.32</v>
      </c>
      <c r="M5730" s="53" t="e">
        <f t="array" ref="M5730">SE</f>
        <v>#NAME?</v>
      </c>
      <c r="N5730" s="118" t="e">
        <f>Tabela6[[#This Row],[KM Rodados ]]/Tabela6[[#This Row],[CONSUMO]]</f>
        <v>#NAME?</v>
      </c>
    </row>
    <row r="5731" spans="1:14" x14ac:dyDescent="0.25">
      <c r="A5731" s="117">
        <v>330137</v>
      </c>
      <c r="B5731" s="78">
        <v>45701</v>
      </c>
      <c r="C5731" s="47" t="s">
        <v>569</v>
      </c>
      <c r="D5731" s="49" t="s">
        <v>262</v>
      </c>
      <c r="E5731" s="117">
        <v>15895</v>
      </c>
      <c r="G5731" s="50" t="s">
        <v>241</v>
      </c>
      <c r="H5731" s="51">
        <v>23.016999999999999</v>
      </c>
      <c r="J5731" s="51">
        <v>3.3300999999999998</v>
      </c>
      <c r="K5731" s="74">
        <f>Tabela6[[#This Row],[CONSUMO]]*Tabela6[[#This Row],[VALOR UNIT]]-Tabela6[[#This Row],[DESCONTO]]</f>
        <v>76.648911699999999</v>
      </c>
      <c r="L5731" s="53">
        <f>Tabela6[[#This Row],[CUSTO TOTAL]]/Tabela6[[#This Row],[CONSUMO]]</f>
        <v>3.3300999999999998</v>
      </c>
      <c r="M5731" s="53" t="e">
        <f t="array" ref="M5731">SE</f>
        <v>#NAME?</v>
      </c>
      <c r="N5731" s="118" t="e">
        <f>Tabela6[[#This Row],[KM Rodados ]]/Tabela6[[#This Row],[CONSUMO]]</f>
        <v>#NAME?</v>
      </c>
    </row>
    <row r="5732" spans="1:14" x14ac:dyDescent="0.25">
      <c r="A5732" s="117">
        <v>328723</v>
      </c>
      <c r="B5732" s="78">
        <v>45705</v>
      </c>
      <c r="C5732" s="47" t="s">
        <v>401</v>
      </c>
      <c r="D5732" s="49" t="s">
        <v>262</v>
      </c>
      <c r="E5732" s="117">
        <v>88011</v>
      </c>
      <c r="G5732" s="50" t="s">
        <v>241</v>
      </c>
      <c r="H5732" s="51">
        <v>27.87</v>
      </c>
      <c r="J5732" s="51">
        <v>3.33</v>
      </c>
      <c r="K5732" s="74">
        <f>Tabela6[[#This Row],[CONSUMO]]*Tabela6[[#This Row],[VALOR UNIT]]-Tabela6[[#This Row],[DESCONTO]]</f>
        <v>92.807100000000005</v>
      </c>
      <c r="L5732" s="53">
        <f>Tabela6[[#This Row],[CUSTO TOTAL]]/Tabela6[[#This Row],[CONSUMO]]</f>
        <v>3.33</v>
      </c>
      <c r="M5732" s="53" t="e">
        <f t="array" ref="M5732">SE</f>
        <v>#NAME?</v>
      </c>
      <c r="N5732" s="118" t="e">
        <f>Tabela6[[#This Row],[KM Rodados ]]/Tabela6[[#This Row],[CONSUMO]]</f>
        <v>#NAME?</v>
      </c>
    </row>
    <row r="5733" spans="1:14" x14ac:dyDescent="0.25">
      <c r="A5733" s="117">
        <v>331852</v>
      </c>
      <c r="B5733" s="78">
        <v>45708</v>
      </c>
      <c r="C5733" s="47" t="s">
        <v>74</v>
      </c>
      <c r="D5733" s="49" t="s">
        <v>262</v>
      </c>
      <c r="E5733" s="117">
        <v>177755</v>
      </c>
      <c r="G5733" s="50" t="s">
        <v>241</v>
      </c>
      <c r="H5733" s="51">
        <v>18.07</v>
      </c>
      <c r="J5733" s="51">
        <v>3.3229000000000002</v>
      </c>
      <c r="K5733" s="74">
        <f>Tabela6[[#This Row],[CONSUMO]]*Tabela6[[#This Row],[VALOR UNIT]]-Tabela6[[#This Row],[DESCONTO]]</f>
        <v>60.044803000000002</v>
      </c>
      <c r="L5733" s="53">
        <f>Tabela6[[#This Row],[CUSTO TOTAL]]/Tabela6[[#This Row],[CONSUMO]]</f>
        <v>3.3229000000000002</v>
      </c>
      <c r="M5733" s="53" t="e">
        <f t="array" ref="M5733">SE</f>
        <v>#NAME?</v>
      </c>
      <c r="N5733" s="118" t="e">
        <f>Tabela6[[#This Row],[KM Rodados ]]/Tabela6[[#This Row],[CONSUMO]]</f>
        <v>#NAME?</v>
      </c>
    </row>
    <row r="5734" spans="1:14" x14ac:dyDescent="0.25">
      <c r="A5734" s="117">
        <v>331928</v>
      </c>
      <c r="B5734" s="78">
        <v>45709</v>
      </c>
      <c r="C5734" s="47" t="s">
        <v>15</v>
      </c>
      <c r="D5734" s="49" t="s">
        <v>262</v>
      </c>
      <c r="E5734" s="117">
        <v>476817</v>
      </c>
      <c r="G5734" s="50" t="s">
        <v>89</v>
      </c>
      <c r="H5734" s="51">
        <v>133.07</v>
      </c>
      <c r="J5734" s="51">
        <v>6.2899000000000003</v>
      </c>
      <c r="K5734" s="74">
        <f>Tabela6[[#This Row],[CONSUMO]]*Tabela6[[#This Row],[VALOR UNIT]]-Tabela6[[#This Row],[DESCONTO]]</f>
        <v>836.99699299999997</v>
      </c>
      <c r="L5734" s="53">
        <f>Tabela6[[#This Row],[CUSTO TOTAL]]/Tabela6[[#This Row],[CONSUMO]]</f>
        <v>6.2899000000000003</v>
      </c>
      <c r="M5734" s="53" t="e">
        <f t="array" ref="M5734">SE</f>
        <v>#NAME?</v>
      </c>
      <c r="N5734" s="118" t="e">
        <f>Tabela6[[#This Row],[KM Rodados ]]/Tabela6[[#This Row],[CONSUMO]]</f>
        <v>#NAME?</v>
      </c>
    </row>
    <row r="5735" spans="1:14" x14ac:dyDescent="0.25">
      <c r="A5735" s="117">
        <v>332957</v>
      </c>
      <c r="B5735" s="78">
        <v>45712</v>
      </c>
      <c r="C5735" s="47" t="s">
        <v>74</v>
      </c>
      <c r="D5735" s="49" t="s">
        <v>262</v>
      </c>
      <c r="E5735" s="117">
        <v>178277</v>
      </c>
      <c r="G5735" s="50" t="s">
        <v>241</v>
      </c>
      <c r="H5735" s="51">
        <v>6.6980000000000004</v>
      </c>
      <c r="J5735" s="51">
        <v>3.3292999999999999</v>
      </c>
      <c r="K5735" s="74">
        <f>Tabela6[[#This Row],[CONSUMO]]*Tabela6[[#This Row],[VALOR UNIT]]-Tabela6[[#This Row],[DESCONTO]]</f>
        <v>22.299651400000002</v>
      </c>
      <c r="L5735" s="53">
        <f>Tabela6[[#This Row],[CUSTO TOTAL]]/Tabela6[[#This Row],[CONSUMO]]</f>
        <v>3.3292999999999999</v>
      </c>
      <c r="M5735" s="53" t="e">
        <f t="array" ref="M5735">SE</f>
        <v>#NAME?</v>
      </c>
      <c r="N5735" s="118" t="e">
        <f>Tabela6[[#This Row],[KM Rodados ]]/Tabela6[[#This Row],[CONSUMO]]</f>
        <v>#NAME?</v>
      </c>
    </row>
    <row r="5736" spans="1:14" x14ac:dyDescent="0.25">
      <c r="A5736" s="117">
        <v>329386</v>
      </c>
      <c r="B5736" s="78">
        <v>45698</v>
      </c>
      <c r="C5736" s="47" t="s">
        <v>222</v>
      </c>
      <c r="D5736" s="49" t="s">
        <v>262</v>
      </c>
      <c r="E5736" s="117">
        <v>655225</v>
      </c>
      <c r="G5736" s="50" t="s">
        <v>241</v>
      </c>
      <c r="H5736" s="51">
        <v>2.3119999999999998</v>
      </c>
      <c r="J5736" s="51">
        <v>3.33</v>
      </c>
      <c r="K5736" s="74">
        <f>Tabela6[[#This Row],[CONSUMO]]*Tabela6[[#This Row],[VALOR UNIT]]-Tabela6[[#This Row],[DESCONTO]]</f>
        <v>7.6989599999999996</v>
      </c>
      <c r="L5736" s="53">
        <f>Tabela6[[#This Row],[CUSTO TOTAL]]/Tabela6[[#This Row],[CONSUMO]]</f>
        <v>3.33</v>
      </c>
      <c r="M5736" s="53" t="e">
        <f t="array" ref="M5736">SE</f>
        <v>#NAME?</v>
      </c>
      <c r="N5736" s="118" t="e">
        <f>Tabela6[[#This Row],[KM Rodados ]]/Tabela6[[#This Row],[CONSUMO]]</f>
        <v>#NAME?</v>
      </c>
    </row>
    <row r="5737" spans="1:14" x14ac:dyDescent="0.25">
      <c r="A5737" s="117">
        <v>329402</v>
      </c>
      <c r="B5737" s="78">
        <v>45698</v>
      </c>
      <c r="C5737" s="47" t="s">
        <v>68</v>
      </c>
      <c r="D5737" s="49" t="s">
        <v>262</v>
      </c>
      <c r="E5737" s="117">
        <v>1041689</v>
      </c>
      <c r="G5737" s="50" t="s">
        <v>241</v>
      </c>
      <c r="H5737" s="51">
        <v>30.004000000000001</v>
      </c>
      <c r="J5737" s="51">
        <v>3.3298000000000001</v>
      </c>
      <c r="K5737" s="74">
        <f>Tabela6[[#This Row],[CONSUMO]]*Tabela6[[#This Row],[VALOR UNIT]]-Tabela6[[#This Row],[DESCONTO]]</f>
        <v>99.907319200000003</v>
      </c>
      <c r="L5737" s="53">
        <f>Tabela6[[#This Row],[CUSTO TOTAL]]/Tabela6[[#This Row],[CONSUMO]]</f>
        <v>3.3298000000000001</v>
      </c>
      <c r="M5737" s="53" t="e">
        <f t="array" ref="M5737">SE</f>
        <v>#NAME?</v>
      </c>
      <c r="N5737" s="118" t="e">
        <f>Tabela6[[#This Row],[KM Rodados ]]/Tabela6[[#This Row],[CONSUMO]]</f>
        <v>#NAME?</v>
      </c>
    </row>
    <row r="5738" spans="1:14" x14ac:dyDescent="0.25">
      <c r="A5738" s="117">
        <v>783352</v>
      </c>
      <c r="B5738" s="78">
        <v>45698</v>
      </c>
      <c r="C5738" s="47" t="s">
        <v>72</v>
      </c>
      <c r="D5738" s="49" t="s">
        <v>589</v>
      </c>
      <c r="E5738" s="117">
        <v>496914</v>
      </c>
      <c r="G5738" s="50" t="s">
        <v>89</v>
      </c>
      <c r="H5738" s="51">
        <v>42.32</v>
      </c>
      <c r="J5738" s="51">
        <v>6.99</v>
      </c>
      <c r="K5738" s="74">
        <f>Tabela6[[#This Row],[CONSUMO]]*Tabela6[[#This Row],[VALOR UNIT]]-Tabela6[[#This Row],[DESCONTO]]</f>
        <v>295.8168</v>
      </c>
      <c r="L5738" s="53">
        <f>Tabela6[[#This Row],[CUSTO TOTAL]]/Tabela6[[#This Row],[CONSUMO]]</f>
        <v>6.99</v>
      </c>
      <c r="M5738" s="53" t="e">
        <f t="array" ref="M5738">SE</f>
        <v>#NAME?</v>
      </c>
      <c r="N5738" s="118" t="e">
        <f>Tabela6[[#This Row],[KM Rodados ]]/Tabela6[[#This Row],[CONSUMO]]</f>
        <v>#NAME?</v>
      </c>
    </row>
    <row r="5739" spans="1:14" x14ac:dyDescent="0.25">
      <c r="A5739" s="117">
        <v>440390</v>
      </c>
      <c r="B5739" s="78">
        <v>45698</v>
      </c>
      <c r="C5739" s="47" t="s">
        <v>12</v>
      </c>
      <c r="D5739" s="49" t="s">
        <v>253</v>
      </c>
      <c r="E5739" s="117">
        <v>354683</v>
      </c>
      <c r="G5739" s="50" t="s">
        <v>89</v>
      </c>
      <c r="H5739" s="51">
        <v>105.96</v>
      </c>
      <c r="J5739" s="51">
        <v>6.39</v>
      </c>
      <c r="K5739" s="74">
        <f>Tabela6[[#This Row],[CONSUMO]]*Tabela6[[#This Row],[VALOR UNIT]]-Tabela6[[#This Row],[DESCONTO]]</f>
        <v>677.08439999999996</v>
      </c>
      <c r="L5739" s="53">
        <f>Tabela6[[#This Row],[CUSTO TOTAL]]/Tabela6[[#This Row],[CONSUMO]]</f>
        <v>6.39</v>
      </c>
      <c r="M5739" s="53" t="e">
        <f t="array" ref="M5739">SE</f>
        <v>#NAME?</v>
      </c>
      <c r="N5739" s="118" t="e">
        <f>Tabela6[[#This Row],[KM Rodados ]]/Tabela6[[#This Row],[CONSUMO]]</f>
        <v>#NAME?</v>
      </c>
    </row>
    <row r="5740" spans="1:14" x14ac:dyDescent="0.25">
      <c r="A5740" s="117">
        <v>329401</v>
      </c>
      <c r="B5740" s="78">
        <v>45698</v>
      </c>
      <c r="C5740" s="47" t="s">
        <v>215</v>
      </c>
      <c r="D5740" s="49" t="s">
        <v>262</v>
      </c>
      <c r="E5740" s="117">
        <v>248784</v>
      </c>
      <c r="G5740" s="50" t="s">
        <v>244</v>
      </c>
      <c r="H5740" s="51">
        <v>42.77</v>
      </c>
      <c r="J5740" s="51">
        <v>5.9898999999999996</v>
      </c>
      <c r="K5740" s="74">
        <f>Tabela6[[#This Row],[CONSUMO]]*Tabela6[[#This Row],[VALOR UNIT]]-Tabela6[[#This Row],[DESCONTO]]</f>
        <v>256.18802299999999</v>
      </c>
      <c r="L5740" s="53">
        <f>Tabela6[[#This Row],[CUSTO TOTAL]]/Tabela6[[#This Row],[CONSUMO]]</f>
        <v>5.9898999999999996</v>
      </c>
      <c r="M5740" s="53" t="e">
        <f t="array" ref="M5740">SE</f>
        <v>#NAME?</v>
      </c>
      <c r="N5740" s="118" t="e">
        <f>Tabela6[[#This Row],[KM Rodados ]]/Tabela6[[#This Row],[CONSUMO]]</f>
        <v>#NAME?</v>
      </c>
    </row>
    <row r="5741" spans="1:14" x14ac:dyDescent="0.25">
      <c r="A5741" s="117">
        <v>481189</v>
      </c>
      <c r="B5741" s="78">
        <v>45698</v>
      </c>
      <c r="C5741" s="47" t="s">
        <v>203</v>
      </c>
      <c r="D5741" s="49" t="s">
        <v>276</v>
      </c>
      <c r="E5741" s="117">
        <v>200580</v>
      </c>
      <c r="G5741" s="50" t="s">
        <v>244</v>
      </c>
      <c r="H5741" s="51">
        <v>38.39</v>
      </c>
      <c r="J5741" s="51">
        <v>6.28</v>
      </c>
      <c r="K5741" s="74">
        <f>Tabela6[[#This Row],[CONSUMO]]*Tabela6[[#This Row],[VALOR UNIT]]-Tabela6[[#This Row],[DESCONTO]]</f>
        <v>241.08920000000001</v>
      </c>
      <c r="L5741" s="53">
        <f>Tabela6[[#This Row],[CUSTO TOTAL]]/Tabela6[[#This Row],[CONSUMO]]</f>
        <v>6.28</v>
      </c>
      <c r="M5741" s="53" t="e">
        <f t="array" ref="M5741">SE</f>
        <v>#NAME?</v>
      </c>
      <c r="N5741" s="118" t="e">
        <f>Tabela6[[#This Row],[KM Rodados ]]/Tabela6[[#This Row],[CONSUMO]]</f>
        <v>#NAME?</v>
      </c>
    </row>
    <row r="5742" spans="1:14" x14ac:dyDescent="0.25">
      <c r="A5742" s="117">
        <v>329561</v>
      </c>
      <c r="B5742" s="78">
        <v>45698</v>
      </c>
      <c r="C5742" s="47" t="s">
        <v>40</v>
      </c>
      <c r="D5742" s="49" t="s">
        <v>262</v>
      </c>
      <c r="E5742" s="117">
        <v>242523</v>
      </c>
      <c r="G5742" s="50" t="s">
        <v>89</v>
      </c>
      <c r="H5742" s="51">
        <v>42.441000000000003</v>
      </c>
      <c r="J5742" s="51">
        <v>5.98</v>
      </c>
      <c r="K5742" s="74">
        <f>Tabela6[[#This Row],[CONSUMO]]*Tabela6[[#This Row],[VALOR UNIT]]-Tabela6[[#This Row],[DESCONTO]]</f>
        <v>253.79718000000003</v>
      </c>
      <c r="L5742" s="53">
        <f>Tabela6[[#This Row],[CUSTO TOTAL]]/Tabela6[[#This Row],[CONSUMO]]</f>
        <v>5.98</v>
      </c>
      <c r="M5742" s="53" t="e">
        <f t="array" ref="M5742">SE</f>
        <v>#NAME?</v>
      </c>
      <c r="N5742" s="118" t="e">
        <f>Tabela6[[#This Row],[KM Rodados ]]/Tabela6[[#This Row],[CONSUMO]]</f>
        <v>#NAME?</v>
      </c>
    </row>
    <row r="5743" spans="1:14" x14ac:dyDescent="0.25">
      <c r="A5743" s="117">
        <v>329693</v>
      </c>
      <c r="B5743" s="78">
        <v>45699</v>
      </c>
      <c r="C5743" s="47" t="s">
        <v>203</v>
      </c>
      <c r="D5743" s="49" t="s">
        <v>262</v>
      </c>
      <c r="E5743" s="117">
        <v>201036</v>
      </c>
      <c r="G5743" s="50" t="s">
        <v>244</v>
      </c>
      <c r="H5743" s="51">
        <v>36.020000000000003</v>
      </c>
      <c r="J5743" s="51">
        <v>5.99</v>
      </c>
      <c r="K5743" s="74">
        <f>Tabela6[[#This Row],[CONSUMO]]*Tabela6[[#This Row],[VALOR UNIT]]-Tabela6[[#This Row],[DESCONTO]]</f>
        <v>215.75980000000001</v>
      </c>
      <c r="L5743" s="53">
        <f>Tabela6[[#This Row],[CUSTO TOTAL]]/Tabela6[[#This Row],[CONSUMO]]</f>
        <v>5.99</v>
      </c>
      <c r="M5743" s="53" t="e">
        <f t="array" ref="M5743">SE</f>
        <v>#NAME?</v>
      </c>
      <c r="N5743" s="118" t="e">
        <f>Tabela6[[#This Row],[KM Rodados ]]/Tabela6[[#This Row],[CONSUMO]]</f>
        <v>#NAME?</v>
      </c>
    </row>
    <row r="5744" spans="1:14" x14ac:dyDescent="0.25">
      <c r="A5744" s="117">
        <v>825619</v>
      </c>
      <c r="B5744" s="78">
        <v>45700</v>
      </c>
      <c r="C5744" s="47" t="s">
        <v>72</v>
      </c>
      <c r="D5744" s="49" t="s">
        <v>589</v>
      </c>
      <c r="E5744" s="117">
        <v>497610</v>
      </c>
      <c r="G5744" s="50" t="s">
        <v>89</v>
      </c>
      <c r="H5744" s="51">
        <v>44.34</v>
      </c>
      <c r="J5744" s="51">
        <v>6.99</v>
      </c>
      <c r="K5744" s="74">
        <f>Tabela6[[#This Row],[CONSUMO]]*Tabela6[[#This Row],[VALOR UNIT]]-Tabela6[[#This Row],[DESCONTO]]</f>
        <v>309.93660000000006</v>
      </c>
      <c r="L5744" s="53">
        <f>Tabela6[[#This Row],[CUSTO TOTAL]]/Tabela6[[#This Row],[CONSUMO]]</f>
        <v>6.9900000000000011</v>
      </c>
      <c r="M5744" s="53" t="e">
        <f t="array" ref="M5744">SE</f>
        <v>#NAME?</v>
      </c>
      <c r="N5744" s="118" t="e">
        <f>Tabela6[[#This Row],[KM Rodados ]]/Tabela6[[#This Row],[CONSUMO]]</f>
        <v>#NAME?</v>
      </c>
    </row>
    <row r="5745" spans="1:14" x14ac:dyDescent="0.25">
      <c r="A5745" s="117">
        <v>474393</v>
      </c>
      <c r="B5745" s="78">
        <v>45700</v>
      </c>
      <c r="C5745" s="47" t="s">
        <v>401</v>
      </c>
      <c r="D5745" s="49" t="s">
        <v>256</v>
      </c>
      <c r="E5745" s="117">
        <v>86748</v>
      </c>
      <c r="G5745" s="50" t="s">
        <v>89</v>
      </c>
      <c r="H5745" s="51">
        <v>82.57</v>
      </c>
      <c r="J5745" s="51">
        <v>6.19</v>
      </c>
      <c r="K5745" s="74">
        <f>Tabela6[[#This Row],[CONSUMO]]*Tabela6[[#This Row],[VALOR UNIT]]-Tabela6[[#This Row],[DESCONTO]]</f>
        <v>511.10829999999999</v>
      </c>
      <c r="L5745" s="53">
        <f>Tabela6[[#This Row],[CUSTO TOTAL]]/Tabela6[[#This Row],[CONSUMO]]</f>
        <v>6.19</v>
      </c>
      <c r="M5745" s="53" t="e">
        <f t="array" ref="M5745">SE</f>
        <v>#NAME?</v>
      </c>
      <c r="N5745" s="118" t="e">
        <f>Tabela6[[#This Row],[KM Rodados ]]/Tabela6[[#This Row],[CONSUMO]]</f>
        <v>#NAME?</v>
      </c>
    </row>
    <row r="5746" spans="1:14" x14ac:dyDescent="0.25">
      <c r="A5746" s="117">
        <v>330070</v>
      </c>
      <c r="B5746" s="78">
        <v>45701</v>
      </c>
      <c r="C5746" s="47" t="s">
        <v>43</v>
      </c>
      <c r="D5746" s="49" t="s">
        <v>262</v>
      </c>
      <c r="E5746" s="117">
        <v>231930</v>
      </c>
      <c r="G5746" s="50" t="s">
        <v>89</v>
      </c>
      <c r="H5746" s="51">
        <v>14.24</v>
      </c>
      <c r="J5746" s="51">
        <v>6.29</v>
      </c>
      <c r="K5746" s="74">
        <f>Tabela6[[#This Row],[CONSUMO]]*Tabela6[[#This Row],[VALOR UNIT]]-Tabela6[[#This Row],[DESCONTO]]</f>
        <v>89.569600000000008</v>
      </c>
      <c r="L5746" s="53">
        <f>Tabela6[[#This Row],[CUSTO TOTAL]]/Tabela6[[#This Row],[CONSUMO]]</f>
        <v>6.2900000000000009</v>
      </c>
      <c r="M5746" s="53" t="e">
        <f t="array" ref="M5746">SE</f>
        <v>#NAME?</v>
      </c>
      <c r="N5746" s="118" t="e">
        <f>Tabela6[[#This Row],[KM Rodados ]]/Tabela6[[#This Row],[CONSUMO]]</f>
        <v>#NAME?</v>
      </c>
    </row>
    <row r="5747" spans="1:14" x14ac:dyDescent="0.25">
      <c r="A5747" s="117">
        <v>260116</v>
      </c>
      <c r="B5747" s="78">
        <v>45701</v>
      </c>
      <c r="C5747" s="47" t="s">
        <v>43</v>
      </c>
      <c r="D5747" s="49" t="s">
        <v>606</v>
      </c>
      <c r="E5747" s="117">
        <v>232208</v>
      </c>
      <c r="G5747" s="50" t="s">
        <v>89</v>
      </c>
      <c r="H5747" s="51">
        <v>34.369999999999997</v>
      </c>
      <c r="J5747" s="51">
        <v>6.49</v>
      </c>
      <c r="K5747" s="74">
        <f>Tabela6[[#This Row],[CONSUMO]]*Tabela6[[#This Row],[VALOR UNIT]]-Tabela6[[#This Row],[DESCONTO]]</f>
        <v>223.06129999999999</v>
      </c>
      <c r="L5747" s="53">
        <f>Tabela6[[#This Row],[CUSTO TOTAL]]/Tabela6[[#This Row],[CONSUMO]]</f>
        <v>6.49</v>
      </c>
      <c r="M5747" s="53" t="e">
        <f t="array" ref="M5747">SE</f>
        <v>#NAME?</v>
      </c>
      <c r="N5747" s="118" t="e">
        <f>Tabela6[[#This Row],[KM Rodados ]]/Tabela6[[#This Row],[CONSUMO]]</f>
        <v>#NAME?</v>
      </c>
    </row>
    <row r="5748" spans="1:14" x14ac:dyDescent="0.25">
      <c r="A5748" s="117">
        <v>474841</v>
      </c>
      <c r="B5748" s="78">
        <v>45701</v>
      </c>
      <c r="C5748" s="47" t="s">
        <v>315</v>
      </c>
      <c r="D5748" s="49" t="s">
        <v>256</v>
      </c>
      <c r="E5748" s="117">
        <v>63843</v>
      </c>
      <c r="G5748" s="50" t="s">
        <v>89</v>
      </c>
      <c r="H5748" s="51">
        <v>26.7</v>
      </c>
      <c r="J5748" s="51">
        <v>6.19</v>
      </c>
      <c r="K5748" s="74">
        <f>Tabela6[[#This Row],[CONSUMO]]*Tabela6[[#This Row],[VALOR UNIT]]-Tabela6[[#This Row],[DESCONTO]]</f>
        <v>165.273</v>
      </c>
      <c r="L5748" s="53">
        <f>Tabela6[[#This Row],[CUSTO TOTAL]]/Tabela6[[#This Row],[CONSUMO]]</f>
        <v>6.19</v>
      </c>
      <c r="M5748" s="53" t="e">
        <f t="array" ref="M5748">SE</f>
        <v>#NAME?</v>
      </c>
      <c r="N5748" s="118" t="e">
        <f>Tabela6[[#This Row],[KM Rodados ]]/Tabela6[[#This Row],[CONSUMO]]</f>
        <v>#NAME?</v>
      </c>
    </row>
    <row r="5749" spans="1:14" x14ac:dyDescent="0.25">
      <c r="A5749" s="117">
        <v>330120</v>
      </c>
      <c r="B5749" s="78">
        <v>45701</v>
      </c>
      <c r="C5749" s="47" t="s">
        <v>40</v>
      </c>
      <c r="D5749" s="49" t="s">
        <v>262</v>
      </c>
      <c r="E5749" s="117">
        <v>243101</v>
      </c>
      <c r="G5749" s="50" t="s">
        <v>244</v>
      </c>
      <c r="H5749" s="51">
        <v>47.16</v>
      </c>
      <c r="J5749" s="51">
        <v>5.99</v>
      </c>
      <c r="K5749" s="74">
        <f>Tabela6[[#This Row],[CONSUMO]]*Tabela6[[#This Row],[VALOR UNIT]]-Tabela6[[#This Row],[DESCONTO]]</f>
        <v>282.48840000000001</v>
      </c>
      <c r="L5749" s="53">
        <f>Tabela6[[#This Row],[CUSTO TOTAL]]/Tabela6[[#This Row],[CONSUMO]]</f>
        <v>5.9900000000000011</v>
      </c>
      <c r="M5749" s="53" t="e">
        <f t="array" ref="M5749">SE</f>
        <v>#NAME?</v>
      </c>
      <c r="N5749" s="118" t="e">
        <f>Tabela6[[#This Row],[KM Rodados ]]/Tabela6[[#This Row],[CONSUMO]]</f>
        <v>#NAME?</v>
      </c>
    </row>
    <row r="5750" spans="1:14" x14ac:dyDescent="0.25">
      <c r="A5750" s="117">
        <v>330400</v>
      </c>
      <c r="B5750" s="78">
        <v>45702</v>
      </c>
      <c r="C5750" s="47" t="s">
        <v>446</v>
      </c>
      <c r="D5750" s="49" t="s">
        <v>262</v>
      </c>
      <c r="E5750" s="117">
        <v>330400</v>
      </c>
      <c r="G5750" s="50" t="s">
        <v>241</v>
      </c>
      <c r="H5750" s="51">
        <v>30.04</v>
      </c>
      <c r="J5750" s="51">
        <v>3.3298000000000001</v>
      </c>
      <c r="K5750" s="74">
        <f>Tabela6[[#This Row],[CONSUMO]]*Tabela6[[#This Row],[VALOR UNIT]]-Tabela6[[#This Row],[DESCONTO]]</f>
        <v>100.027192</v>
      </c>
      <c r="L5750" s="53">
        <f>Tabela6[[#This Row],[CUSTO TOTAL]]/Tabela6[[#This Row],[CONSUMO]]</f>
        <v>3.3298000000000001</v>
      </c>
      <c r="M5750" s="53" t="e">
        <f t="array" ref="M5750">SE</f>
        <v>#NAME?</v>
      </c>
      <c r="N5750" s="118" t="e">
        <f>Tabela6[[#This Row],[KM Rodados ]]/Tabela6[[#This Row],[CONSUMO]]</f>
        <v>#NAME?</v>
      </c>
    </row>
    <row r="5751" spans="1:14" x14ac:dyDescent="0.25">
      <c r="A5751" s="117">
        <v>482476</v>
      </c>
      <c r="B5751" s="78">
        <v>45702</v>
      </c>
      <c r="C5751" s="47" t="s">
        <v>203</v>
      </c>
      <c r="D5751" s="49" t="s">
        <v>276</v>
      </c>
      <c r="E5751" s="117">
        <v>201650</v>
      </c>
      <c r="G5751" s="50" t="s">
        <v>244</v>
      </c>
      <c r="H5751" s="51">
        <v>47.07</v>
      </c>
      <c r="J5751" s="51">
        <v>6.2899000000000003</v>
      </c>
      <c r="K5751" s="74">
        <f>Tabela6[[#This Row],[CONSUMO]]*Tabela6[[#This Row],[VALOR UNIT]]-Tabela6[[#This Row],[DESCONTO]]</f>
        <v>296.06559300000004</v>
      </c>
      <c r="L5751" s="53">
        <f>Tabela6[[#This Row],[CUSTO TOTAL]]/Tabela6[[#This Row],[CONSUMO]]</f>
        <v>6.2899000000000003</v>
      </c>
      <c r="M5751" s="53" t="e">
        <f t="array" ref="M5751">SE</f>
        <v>#NAME?</v>
      </c>
      <c r="N5751" s="118" t="e">
        <f>Tabela6[[#This Row],[KM Rodados ]]/Tabela6[[#This Row],[CONSUMO]]</f>
        <v>#NAME?</v>
      </c>
    </row>
    <row r="5752" spans="1:14" x14ac:dyDescent="0.25">
      <c r="A5752" s="117">
        <v>330396</v>
      </c>
      <c r="B5752" s="78">
        <v>45702</v>
      </c>
      <c r="C5752" s="47" t="s">
        <v>567</v>
      </c>
      <c r="D5752" s="49" t="s">
        <v>262</v>
      </c>
      <c r="E5752" s="117">
        <v>31427</v>
      </c>
      <c r="G5752" s="50" t="s">
        <v>241</v>
      </c>
      <c r="H5752" s="51">
        <v>80.14</v>
      </c>
      <c r="J5752" s="51">
        <v>3.33</v>
      </c>
      <c r="K5752" s="74">
        <f>Tabela6[[#This Row],[CONSUMO]]*Tabela6[[#This Row],[VALOR UNIT]]-Tabela6[[#This Row],[DESCONTO]]</f>
        <v>266.86619999999999</v>
      </c>
      <c r="L5752" s="53">
        <f>Tabela6[[#This Row],[CUSTO TOTAL]]/Tabela6[[#This Row],[CONSUMO]]</f>
        <v>3.33</v>
      </c>
      <c r="M5752" s="53" t="e">
        <f t="array" ref="M5752">SE</f>
        <v>#NAME?</v>
      </c>
      <c r="N5752" s="118" t="e">
        <f>Tabela6[[#This Row],[KM Rodados ]]/Tabela6[[#This Row],[CONSUMO]]</f>
        <v>#NAME?</v>
      </c>
    </row>
    <row r="5753" spans="1:14" x14ac:dyDescent="0.25">
      <c r="A5753" s="117">
        <v>330704</v>
      </c>
      <c r="B5753" s="78">
        <v>45703</v>
      </c>
      <c r="C5753" s="47" t="s">
        <v>73</v>
      </c>
      <c r="D5753" s="49" t="s">
        <v>262</v>
      </c>
      <c r="E5753" s="117">
        <v>255092</v>
      </c>
      <c r="G5753" s="50" t="s">
        <v>241</v>
      </c>
      <c r="H5753" s="51">
        <v>28.015999999999998</v>
      </c>
      <c r="J5753" s="51">
        <v>3.32</v>
      </c>
      <c r="K5753" s="74">
        <f>Tabela6[[#This Row],[CONSUMO]]*Tabela6[[#This Row],[VALOR UNIT]]-Tabela6[[#This Row],[DESCONTO]]</f>
        <v>93.013119999999986</v>
      </c>
      <c r="L5753" s="53">
        <f>Tabela6[[#This Row],[CUSTO TOTAL]]/Tabela6[[#This Row],[CONSUMO]]</f>
        <v>3.32</v>
      </c>
      <c r="M5753" s="53" t="e">
        <f t="array" ref="M5753">SE</f>
        <v>#NAME?</v>
      </c>
      <c r="N5753" s="118" t="e">
        <f>Tabela6[[#This Row],[KM Rodados ]]/Tabela6[[#This Row],[CONSUMO]]</f>
        <v>#NAME?</v>
      </c>
    </row>
    <row r="5754" spans="1:14" x14ac:dyDescent="0.25">
      <c r="A5754" s="117">
        <v>1143993</v>
      </c>
      <c r="B5754" s="78">
        <v>45705</v>
      </c>
      <c r="C5754" s="47" t="s">
        <v>203</v>
      </c>
      <c r="D5754" s="49" t="s">
        <v>607</v>
      </c>
      <c r="E5754" s="117">
        <v>202546</v>
      </c>
      <c r="G5754" s="50" t="s">
        <v>244</v>
      </c>
      <c r="H5754" s="51">
        <v>40.826000000000001</v>
      </c>
      <c r="J5754" s="51">
        <v>6.09</v>
      </c>
      <c r="K5754" s="74">
        <f>Tabela6[[#This Row],[CONSUMO]]*Tabela6[[#This Row],[VALOR UNIT]]-Tabela6[[#This Row],[DESCONTO]]</f>
        <v>248.63033999999999</v>
      </c>
      <c r="L5754" s="53">
        <f>Tabela6[[#This Row],[CUSTO TOTAL]]/Tabela6[[#This Row],[CONSUMO]]</f>
        <v>6.09</v>
      </c>
      <c r="M5754" s="53" t="e">
        <f t="array" ref="M5754">SE</f>
        <v>#NAME?</v>
      </c>
      <c r="N5754" s="118" t="e">
        <f>Tabela6[[#This Row],[KM Rodados ]]/Tabela6[[#This Row],[CONSUMO]]</f>
        <v>#NAME?</v>
      </c>
    </row>
    <row r="5755" spans="1:14" x14ac:dyDescent="0.25">
      <c r="A5755" s="117">
        <v>331061</v>
      </c>
      <c r="B5755" s="78">
        <v>45705</v>
      </c>
      <c r="C5755" s="47" t="s">
        <v>203</v>
      </c>
      <c r="D5755" s="49" t="s">
        <v>262</v>
      </c>
      <c r="E5755" s="117">
        <v>202048</v>
      </c>
      <c r="G5755" s="50" t="s">
        <v>244</v>
      </c>
      <c r="H5755" s="51">
        <v>30.341000000000001</v>
      </c>
      <c r="J5755" s="51">
        <v>5.9898999999999996</v>
      </c>
      <c r="K5755" s="74">
        <f>Tabela6[[#This Row],[CONSUMO]]*Tabela6[[#This Row],[VALOR UNIT]]-Tabela6[[#This Row],[DESCONTO]]</f>
        <v>181.7395559</v>
      </c>
      <c r="L5755" s="53">
        <f>Tabela6[[#This Row],[CUSTO TOTAL]]/Tabela6[[#This Row],[CONSUMO]]</f>
        <v>5.9898999999999996</v>
      </c>
      <c r="M5755" s="53" t="e">
        <f t="array" ref="M5755">SE</f>
        <v>#NAME?</v>
      </c>
      <c r="N5755" s="118" t="e">
        <f>Tabela6[[#This Row],[KM Rodados ]]/Tabela6[[#This Row],[CONSUMO]]</f>
        <v>#NAME?</v>
      </c>
    </row>
    <row r="5756" spans="1:14" x14ac:dyDescent="0.25">
      <c r="A5756" s="117">
        <v>330986</v>
      </c>
      <c r="B5756" s="78">
        <v>45705</v>
      </c>
      <c r="C5756" s="47" t="s">
        <v>72</v>
      </c>
      <c r="D5756" s="49" t="s">
        <v>262</v>
      </c>
      <c r="E5756" s="117">
        <v>498118</v>
      </c>
      <c r="G5756" s="50" t="s">
        <v>89</v>
      </c>
      <c r="H5756" s="51">
        <v>18.010000000000002</v>
      </c>
      <c r="J5756" s="51">
        <v>6.2897999999999996</v>
      </c>
      <c r="K5756" s="74">
        <f>Tabela6[[#This Row],[CONSUMO]]*Tabela6[[#This Row],[VALOR UNIT]]-Tabela6[[#This Row],[DESCONTO]]</f>
        <v>113.279298</v>
      </c>
      <c r="L5756" s="53">
        <f>Tabela6[[#This Row],[CUSTO TOTAL]]/Tabela6[[#This Row],[CONSUMO]]</f>
        <v>6.2897999999999996</v>
      </c>
      <c r="M5756" s="53" t="e">
        <f t="array" ref="M5756">SE</f>
        <v>#NAME?</v>
      </c>
      <c r="N5756" s="118" t="e">
        <f>Tabela6[[#This Row],[KM Rodados ]]/Tabela6[[#This Row],[CONSUMO]]</f>
        <v>#NAME?</v>
      </c>
    </row>
    <row r="5757" spans="1:14" x14ac:dyDescent="0.25">
      <c r="A5757" s="117">
        <v>331089</v>
      </c>
      <c r="B5757" s="78">
        <v>45705</v>
      </c>
      <c r="C5757" s="47" t="s">
        <v>40</v>
      </c>
      <c r="D5757" s="49" t="s">
        <v>262</v>
      </c>
      <c r="E5757" s="117">
        <v>243920</v>
      </c>
      <c r="G5757" s="50" t="s">
        <v>244</v>
      </c>
      <c r="H5757" s="51">
        <v>34.588999999999999</v>
      </c>
      <c r="J5757" s="51">
        <v>5.99</v>
      </c>
      <c r="K5757" s="74">
        <f>Tabela6[[#This Row],[CONSUMO]]*Tabela6[[#This Row],[VALOR UNIT]]-Tabela6[[#This Row],[DESCONTO]]</f>
        <v>207.18810999999999</v>
      </c>
      <c r="L5757" s="53">
        <f>Tabela6[[#This Row],[CUSTO TOTAL]]/Tabela6[[#This Row],[CONSUMO]]</f>
        <v>5.99</v>
      </c>
      <c r="M5757" s="53" t="e">
        <f t="array" ref="M5757">SE</f>
        <v>#NAME?</v>
      </c>
      <c r="N5757" s="118" t="e">
        <f>Tabela6[[#This Row],[KM Rodados ]]/Tabela6[[#This Row],[CONSUMO]]</f>
        <v>#NAME?</v>
      </c>
    </row>
    <row r="5758" spans="1:14" x14ac:dyDescent="0.25">
      <c r="A5758" s="117">
        <v>331227</v>
      </c>
      <c r="B5758" s="78">
        <v>45705</v>
      </c>
      <c r="C5758" s="47" t="s">
        <v>40</v>
      </c>
      <c r="D5758" s="49" t="s">
        <v>262</v>
      </c>
      <c r="E5758" s="117">
        <v>244241</v>
      </c>
      <c r="G5758" s="50" t="s">
        <v>244</v>
      </c>
      <c r="H5758" s="51">
        <v>25.609000000000002</v>
      </c>
      <c r="J5758" s="51">
        <v>5.99</v>
      </c>
      <c r="K5758" s="74">
        <f>Tabela6[[#This Row],[CONSUMO]]*Tabela6[[#This Row],[VALOR UNIT]]-Tabela6[[#This Row],[DESCONTO]]</f>
        <v>153.39791000000002</v>
      </c>
      <c r="L5758" s="53">
        <f>Tabela6[[#This Row],[CUSTO TOTAL]]/Tabela6[[#This Row],[CONSUMO]]</f>
        <v>5.99</v>
      </c>
      <c r="M5758" s="53" t="e">
        <f t="array" ref="M5758">SE</f>
        <v>#NAME?</v>
      </c>
      <c r="N5758" s="118" t="e">
        <f>Tabela6[[#This Row],[KM Rodados ]]/Tabela6[[#This Row],[CONSUMO]]</f>
        <v>#NAME?</v>
      </c>
    </row>
    <row r="5759" spans="1:14" x14ac:dyDescent="0.25">
      <c r="A5759" s="117">
        <v>47463</v>
      </c>
      <c r="B5759" s="78">
        <v>45706</v>
      </c>
      <c r="C5759" s="47" t="s">
        <v>18</v>
      </c>
      <c r="D5759" s="49" t="s">
        <v>255</v>
      </c>
      <c r="E5759" s="117">
        <v>393715</v>
      </c>
      <c r="G5759" s="50" t="s">
        <v>89</v>
      </c>
      <c r="H5759" s="51">
        <v>70.3</v>
      </c>
      <c r="J5759" s="51">
        <v>6.79</v>
      </c>
      <c r="K5759" s="74">
        <f>Tabela6[[#This Row],[CONSUMO]]*Tabela6[[#This Row],[VALOR UNIT]]-Tabela6[[#This Row],[DESCONTO]]</f>
        <v>477.33699999999999</v>
      </c>
      <c r="L5759" s="53">
        <f>Tabela6[[#This Row],[CUSTO TOTAL]]/Tabela6[[#This Row],[CONSUMO]]</f>
        <v>6.79</v>
      </c>
      <c r="M5759" s="53" t="e">
        <f t="array" ref="M5759">SE</f>
        <v>#NAME?</v>
      </c>
      <c r="N5759" s="118" t="e">
        <f>Tabela6[[#This Row],[KM Rodados ]]/Tabela6[[#This Row],[CONSUMO]]</f>
        <v>#NAME?</v>
      </c>
    </row>
    <row r="5760" spans="1:14" x14ac:dyDescent="0.25">
      <c r="A5760" s="117">
        <v>331326</v>
      </c>
      <c r="B5760" s="78">
        <v>45706</v>
      </c>
      <c r="C5760" s="47" t="s">
        <v>203</v>
      </c>
      <c r="D5760" s="49" t="s">
        <v>262</v>
      </c>
      <c r="E5760" s="117">
        <v>202914</v>
      </c>
      <c r="G5760" s="50" t="s">
        <v>244</v>
      </c>
      <c r="H5760" s="51">
        <v>28.658999999999999</v>
      </c>
      <c r="J5760" s="51">
        <v>5.99</v>
      </c>
      <c r="K5760" s="74">
        <f>Tabela6[[#This Row],[CONSUMO]]*Tabela6[[#This Row],[VALOR UNIT]]-Tabela6[[#This Row],[DESCONTO]]</f>
        <v>171.66740999999999</v>
      </c>
      <c r="L5760" s="53">
        <f>Tabela6[[#This Row],[CUSTO TOTAL]]/Tabela6[[#This Row],[CONSUMO]]</f>
        <v>5.99</v>
      </c>
      <c r="M5760" s="53" t="e">
        <f t="array" ref="M5760">SE</f>
        <v>#NAME?</v>
      </c>
      <c r="N5760" s="118" t="e">
        <f>Tabela6[[#This Row],[KM Rodados ]]/Tabela6[[#This Row],[CONSUMO]]</f>
        <v>#NAME?</v>
      </c>
    </row>
    <row r="5761" spans="1:14" x14ac:dyDescent="0.25">
      <c r="A5761" s="117">
        <v>331521</v>
      </c>
      <c r="B5761" s="78">
        <v>45707</v>
      </c>
      <c r="C5761" s="47" t="s">
        <v>315</v>
      </c>
      <c r="D5761" s="49" t="s">
        <v>262</v>
      </c>
      <c r="E5761" s="117">
        <v>64643</v>
      </c>
      <c r="G5761" s="50" t="s">
        <v>89</v>
      </c>
      <c r="H5761" s="51">
        <v>65.090999999999994</v>
      </c>
      <c r="J5761" s="51">
        <v>6.28</v>
      </c>
      <c r="K5761" s="74">
        <f>Tabela6[[#This Row],[CONSUMO]]*Tabela6[[#This Row],[VALOR UNIT]]-Tabela6[[#This Row],[DESCONTO]]</f>
        <v>408.77148</v>
      </c>
      <c r="L5761" s="53">
        <f>Tabela6[[#This Row],[CUSTO TOTAL]]/Tabela6[[#This Row],[CONSUMO]]</f>
        <v>6.28</v>
      </c>
      <c r="M5761" s="53" t="e">
        <f t="array" ref="M5761">SE</f>
        <v>#NAME?</v>
      </c>
      <c r="N5761" s="118" t="e">
        <f>Tabela6[[#This Row],[KM Rodados ]]/Tabela6[[#This Row],[CONSUMO]]</f>
        <v>#NAME?</v>
      </c>
    </row>
    <row r="5762" spans="1:14" x14ac:dyDescent="0.25">
      <c r="A5762" s="117">
        <v>484221</v>
      </c>
      <c r="B5762" s="78">
        <v>45707</v>
      </c>
      <c r="C5762" s="47" t="s">
        <v>203</v>
      </c>
      <c r="D5762" s="49" t="s">
        <v>276</v>
      </c>
      <c r="E5762" s="117">
        <v>203301</v>
      </c>
      <c r="G5762" s="50" t="s">
        <v>244</v>
      </c>
      <c r="H5762" s="51">
        <v>31.32</v>
      </c>
      <c r="J5762" s="51">
        <v>6.2899000000000003</v>
      </c>
      <c r="K5762" s="74">
        <f>Tabela6[[#This Row],[CONSUMO]]*Tabela6[[#This Row],[VALOR UNIT]]-Tabela6[[#This Row],[DESCONTO]]</f>
        <v>196.99966800000001</v>
      </c>
      <c r="L5762" s="53">
        <f>Tabela6[[#This Row],[CUSTO TOTAL]]/Tabela6[[#This Row],[CONSUMO]]</f>
        <v>6.2899000000000003</v>
      </c>
      <c r="M5762" s="53" t="e">
        <f t="array" ref="M5762">SE</f>
        <v>#NAME?</v>
      </c>
      <c r="N5762" s="118" t="e">
        <f>Tabela6[[#This Row],[KM Rodados ]]/Tabela6[[#This Row],[CONSUMO]]</f>
        <v>#NAME?</v>
      </c>
    </row>
    <row r="5763" spans="1:14" x14ac:dyDescent="0.25">
      <c r="A5763" s="117">
        <v>331902</v>
      </c>
      <c r="B5763" s="78">
        <v>45708</v>
      </c>
      <c r="C5763" s="47" t="s">
        <v>203</v>
      </c>
      <c r="D5763" s="49" t="s">
        <v>262</v>
      </c>
      <c r="E5763" s="117">
        <v>205199</v>
      </c>
      <c r="G5763" s="50" t="s">
        <v>244</v>
      </c>
      <c r="H5763" s="51">
        <v>35.558999999999997</v>
      </c>
      <c r="J5763" s="51">
        <v>5.99</v>
      </c>
      <c r="K5763" s="74">
        <f>Tabela6[[#This Row],[CONSUMO]]*Tabela6[[#This Row],[VALOR UNIT]]-Tabela6[[#This Row],[DESCONTO]]</f>
        <v>212.99840999999998</v>
      </c>
      <c r="L5763" s="53">
        <f>Tabela6[[#This Row],[CUSTO TOTAL]]/Tabela6[[#This Row],[CONSUMO]]</f>
        <v>5.99</v>
      </c>
      <c r="M5763" s="53" t="e">
        <f t="array" ref="M5763">SE</f>
        <v>#NAME?</v>
      </c>
      <c r="N5763" s="118" t="e">
        <f>Tabela6[[#This Row],[KM Rodados ]]/Tabela6[[#This Row],[CONSUMO]]</f>
        <v>#NAME?</v>
      </c>
    </row>
    <row r="5764" spans="1:14" x14ac:dyDescent="0.25">
      <c r="A5764" s="117">
        <v>457312</v>
      </c>
      <c r="B5764" s="78">
        <v>45708</v>
      </c>
      <c r="C5764" s="47" t="s">
        <v>43</v>
      </c>
      <c r="D5764" s="49" t="s">
        <v>560</v>
      </c>
      <c r="E5764" s="117">
        <v>233690</v>
      </c>
      <c r="G5764" s="50" t="s">
        <v>89</v>
      </c>
      <c r="H5764" s="51">
        <v>30.241</v>
      </c>
      <c r="J5764" s="51">
        <v>6.79</v>
      </c>
      <c r="K5764" s="74">
        <f>Tabela6[[#This Row],[CONSUMO]]*Tabela6[[#This Row],[VALOR UNIT]]-Tabela6[[#This Row],[DESCONTO]]</f>
        <v>205.33638999999999</v>
      </c>
      <c r="L5764" s="53">
        <f>Tabela6[[#This Row],[CUSTO TOTAL]]/Tabela6[[#This Row],[CONSUMO]]</f>
        <v>6.79</v>
      </c>
      <c r="M5764" s="53" t="e">
        <f t="array" ref="M5764">SE</f>
        <v>#NAME?</v>
      </c>
      <c r="N5764" s="118" t="e">
        <f>Tabela6[[#This Row],[KM Rodados ]]/Tabela6[[#This Row],[CONSUMO]]</f>
        <v>#NAME?</v>
      </c>
    </row>
    <row r="5765" spans="1:14" x14ac:dyDescent="0.25">
      <c r="A5765" s="117">
        <v>331776</v>
      </c>
      <c r="B5765" s="78">
        <v>45708</v>
      </c>
      <c r="C5765" s="47" t="s">
        <v>215</v>
      </c>
      <c r="D5765" s="49" t="s">
        <v>262</v>
      </c>
      <c r="E5765" s="117">
        <v>249206</v>
      </c>
      <c r="G5765" s="50" t="s">
        <v>244</v>
      </c>
      <c r="H5765" s="51">
        <v>39.401000000000003</v>
      </c>
      <c r="J5765" s="51">
        <v>5.9898999999999996</v>
      </c>
      <c r="K5765" s="74">
        <f>Tabela6[[#This Row],[CONSUMO]]*Tabela6[[#This Row],[VALOR UNIT]]-Tabela6[[#This Row],[DESCONTO]]</f>
        <v>236.0080499</v>
      </c>
      <c r="L5765" s="53">
        <f>Tabela6[[#This Row],[CUSTO TOTAL]]/Tabela6[[#This Row],[CONSUMO]]</f>
        <v>5.9898999999999996</v>
      </c>
      <c r="M5765" s="53" t="e">
        <f t="array" ref="M5765">SE</f>
        <v>#NAME?</v>
      </c>
      <c r="N5765" s="118" t="e">
        <f>Tabela6[[#This Row],[KM Rodados ]]/Tabela6[[#This Row],[CONSUMO]]</f>
        <v>#NAME?</v>
      </c>
    </row>
    <row r="5766" spans="1:14" x14ac:dyDescent="0.25">
      <c r="A5766" s="117">
        <v>331754</v>
      </c>
      <c r="B5766" s="78">
        <v>45708</v>
      </c>
      <c r="C5766" s="47" t="s">
        <v>40</v>
      </c>
      <c r="D5766" s="49" t="s">
        <v>262</v>
      </c>
      <c r="E5766" s="117">
        <v>245141</v>
      </c>
      <c r="G5766" s="50" t="s">
        <v>244</v>
      </c>
      <c r="H5766" s="51">
        <v>34.090000000000003</v>
      </c>
      <c r="J5766" s="51">
        <v>5.99</v>
      </c>
      <c r="K5766" s="74">
        <f>Tabela6[[#This Row],[CONSUMO]]*Tabela6[[#This Row],[VALOR UNIT]]-Tabela6[[#This Row],[DESCONTO]]</f>
        <v>204.19910000000002</v>
      </c>
      <c r="L5766" s="53">
        <f>Tabela6[[#This Row],[CUSTO TOTAL]]/Tabela6[[#This Row],[CONSUMO]]</f>
        <v>5.99</v>
      </c>
      <c r="M5766" s="53" t="e">
        <f t="array" ref="M5766">SE</f>
        <v>#NAME?</v>
      </c>
      <c r="N5766" s="118" t="e">
        <f>Tabela6[[#This Row],[KM Rodados ]]/Tabela6[[#This Row],[CONSUMO]]</f>
        <v>#NAME?</v>
      </c>
    </row>
    <row r="5767" spans="1:14" x14ac:dyDescent="0.25">
      <c r="A5767" s="117">
        <v>332266</v>
      </c>
      <c r="B5767" s="78">
        <v>45710</v>
      </c>
      <c r="C5767" s="47" t="s">
        <v>446</v>
      </c>
      <c r="D5767" s="49" t="s">
        <v>262</v>
      </c>
      <c r="E5767" s="117">
        <v>88692</v>
      </c>
      <c r="G5767" s="50" t="s">
        <v>241</v>
      </c>
      <c r="H5767" s="51">
        <v>29.966999999999999</v>
      </c>
      <c r="J5767" s="51">
        <v>3.3298999999999999</v>
      </c>
      <c r="K5767" s="74">
        <f>Tabela6[[#This Row],[CONSUMO]]*Tabela6[[#This Row],[VALOR UNIT]]-Tabela6[[#This Row],[DESCONTO]]</f>
        <v>99.787113299999987</v>
      </c>
      <c r="L5767" s="53">
        <f>Tabela6[[#This Row],[CUSTO TOTAL]]/Tabela6[[#This Row],[CONSUMO]]</f>
        <v>3.3298999999999999</v>
      </c>
      <c r="M5767" s="53" t="e">
        <f t="array" ref="M5767">SE</f>
        <v>#NAME?</v>
      </c>
      <c r="N5767" s="118" t="e">
        <f>Tabela6[[#This Row],[KM Rodados ]]/Tabela6[[#This Row],[CONSUMO]]</f>
        <v>#NAME?</v>
      </c>
    </row>
    <row r="5768" spans="1:14" x14ac:dyDescent="0.25">
      <c r="A5768" s="117">
        <v>557237</v>
      </c>
      <c r="B5768" s="78">
        <v>45711</v>
      </c>
      <c r="C5768" s="47" t="s">
        <v>358</v>
      </c>
      <c r="D5768" s="49" t="s">
        <v>333</v>
      </c>
      <c r="E5768" s="117">
        <v>905966</v>
      </c>
      <c r="G5768" s="50" t="s">
        <v>89</v>
      </c>
      <c r="H5768" s="51">
        <v>422</v>
      </c>
      <c r="J5768" s="51">
        <v>6.19</v>
      </c>
      <c r="K5768" s="74">
        <f>Tabela6[[#This Row],[CONSUMO]]*Tabela6[[#This Row],[VALOR UNIT]]-Tabela6[[#This Row],[DESCONTO]]</f>
        <v>2612.1800000000003</v>
      </c>
      <c r="L5768" s="53">
        <f>Tabela6[[#This Row],[CUSTO TOTAL]]/Tabela6[[#This Row],[CONSUMO]]</f>
        <v>6.19</v>
      </c>
      <c r="M5768" s="53" t="e">
        <f t="array" ref="M5768">SE</f>
        <v>#NAME?</v>
      </c>
      <c r="N5768" s="118" t="e">
        <f>Tabela6[[#This Row],[KM Rodados ]]/Tabela6[[#This Row],[CONSUMO]]</f>
        <v>#NAME?</v>
      </c>
    </row>
    <row r="5769" spans="1:14" x14ac:dyDescent="0.25">
      <c r="A5769" s="117">
        <v>332695</v>
      </c>
      <c r="B5769" s="78">
        <v>45711</v>
      </c>
      <c r="C5769" s="47" t="s">
        <v>203</v>
      </c>
      <c r="D5769" s="49" t="s">
        <v>262</v>
      </c>
      <c r="E5769" s="117">
        <v>204160</v>
      </c>
      <c r="G5769" s="50" t="s">
        <v>244</v>
      </c>
      <c r="H5769" s="51">
        <v>34.639000000000003</v>
      </c>
      <c r="J5769" s="51">
        <v>5.99</v>
      </c>
      <c r="K5769" s="74">
        <f>Tabela6[[#This Row],[CONSUMO]]*Tabela6[[#This Row],[VALOR UNIT]]-Tabela6[[#This Row],[DESCONTO]]</f>
        <v>207.48761000000002</v>
      </c>
      <c r="L5769" s="53">
        <f>Tabela6[[#This Row],[CUSTO TOTAL]]/Tabela6[[#This Row],[CONSUMO]]</f>
        <v>5.99</v>
      </c>
      <c r="M5769" s="53" t="e">
        <f t="array" ref="M5769">SE</f>
        <v>#NAME?</v>
      </c>
      <c r="N5769" s="118" t="e">
        <f>Tabela6[[#This Row],[KM Rodados ]]/Tabela6[[#This Row],[CONSUMO]]</f>
        <v>#NAME?</v>
      </c>
    </row>
    <row r="5770" spans="1:14" x14ac:dyDescent="0.25">
      <c r="A5770" s="117">
        <v>49222</v>
      </c>
      <c r="B5770" s="78">
        <v>45712</v>
      </c>
      <c r="C5770" s="47" t="s">
        <v>38</v>
      </c>
      <c r="D5770" s="49" t="s">
        <v>255</v>
      </c>
      <c r="E5770" s="117">
        <v>163230</v>
      </c>
      <c r="G5770" s="50" t="s">
        <v>244</v>
      </c>
      <c r="H5770" s="51">
        <v>49.21</v>
      </c>
      <c r="J5770" s="51">
        <v>6.37</v>
      </c>
      <c r="K5770" s="74">
        <f>Tabela6[[#This Row],[CONSUMO]]*Tabela6[[#This Row],[VALOR UNIT]]-Tabela6[[#This Row],[DESCONTO]]</f>
        <v>313.46770000000004</v>
      </c>
      <c r="L5770" s="53">
        <f>Tabela6[[#This Row],[CUSTO TOTAL]]/Tabela6[[#This Row],[CONSUMO]]</f>
        <v>6.370000000000001</v>
      </c>
      <c r="M5770" s="53" t="e">
        <f t="array" ref="M5770">SE</f>
        <v>#NAME?</v>
      </c>
      <c r="N5770" s="118" t="e">
        <f>Tabela6[[#This Row],[KM Rodados ]]/Tabela6[[#This Row],[CONSUMO]]</f>
        <v>#NAME?</v>
      </c>
    </row>
    <row r="5771" spans="1:14" x14ac:dyDescent="0.25">
      <c r="A5771" s="117">
        <v>356440</v>
      </c>
      <c r="B5771" s="78">
        <v>45712</v>
      </c>
      <c r="C5771" s="47" t="s">
        <v>67</v>
      </c>
      <c r="D5771" s="49" t="s">
        <v>273</v>
      </c>
      <c r="E5771" s="117">
        <v>763366</v>
      </c>
      <c r="G5771" s="50" t="s">
        <v>89</v>
      </c>
      <c r="H5771" s="51">
        <v>181</v>
      </c>
      <c r="J5771" s="51">
        <v>6.19</v>
      </c>
      <c r="K5771" s="74">
        <f>Tabela6[[#This Row],[CONSUMO]]*Tabela6[[#This Row],[VALOR UNIT]]-Tabela6[[#This Row],[DESCONTO]]</f>
        <v>1120.3900000000001</v>
      </c>
      <c r="L5771" s="53">
        <f>Tabela6[[#This Row],[CUSTO TOTAL]]/Tabela6[[#This Row],[CONSUMO]]</f>
        <v>6.19</v>
      </c>
      <c r="M5771" s="53" t="e">
        <f t="array" ref="M5771">SE</f>
        <v>#NAME?</v>
      </c>
      <c r="N5771" s="118" t="e">
        <f>Tabela6[[#This Row],[KM Rodados ]]/Tabela6[[#This Row],[CONSUMO]]</f>
        <v>#NAME?</v>
      </c>
    </row>
    <row r="5772" spans="1:14" x14ac:dyDescent="0.25">
      <c r="A5772" s="117">
        <v>515124</v>
      </c>
      <c r="B5772" s="78">
        <v>45712</v>
      </c>
      <c r="C5772" s="47" t="s">
        <v>67</v>
      </c>
      <c r="D5772" s="49" t="s">
        <v>273</v>
      </c>
      <c r="E5772" s="117">
        <v>763787</v>
      </c>
      <c r="G5772" s="50" t="s">
        <v>89</v>
      </c>
      <c r="H5772" s="51">
        <v>106.021</v>
      </c>
      <c r="J5772" s="51">
        <v>6.29</v>
      </c>
      <c r="K5772" s="74">
        <f>Tabela6[[#This Row],[CONSUMO]]*Tabela6[[#This Row],[VALOR UNIT]]-Tabela6[[#This Row],[DESCONTO]]</f>
        <v>666.87208999999996</v>
      </c>
      <c r="L5772" s="53">
        <f>Tabela6[[#This Row],[CUSTO TOTAL]]/Tabela6[[#This Row],[CONSUMO]]</f>
        <v>6.2899999999999991</v>
      </c>
      <c r="M5772" s="53" t="e">
        <f t="array" ref="M5772">SE</f>
        <v>#NAME?</v>
      </c>
      <c r="N5772" s="118" t="e">
        <f>Tabela6[[#This Row],[KM Rodados ]]/Tabela6[[#This Row],[CONSUMO]]</f>
        <v>#NAME?</v>
      </c>
    </row>
    <row r="5773" spans="1:14" x14ac:dyDescent="0.25">
      <c r="A5773" s="117">
        <v>515125</v>
      </c>
      <c r="B5773" s="78">
        <v>45712</v>
      </c>
      <c r="C5773" s="47" t="s">
        <v>67</v>
      </c>
      <c r="D5773" s="49" t="s">
        <v>273</v>
      </c>
      <c r="E5773" s="117">
        <v>763787</v>
      </c>
      <c r="G5773" s="50" t="s">
        <v>241</v>
      </c>
      <c r="H5773" s="51">
        <v>11.55</v>
      </c>
      <c r="J5773" s="51">
        <v>3.19</v>
      </c>
      <c r="K5773" s="74">
        <f>Tabela6[[#This Row],[CONSUMO]]*Tabela6[[#This Row],[VALOR UNIT]]-Tabela6[[#This Row],[DESCONTO]]</f>
        <v>36.844500000000004</v>
      </c>
      <c r="L5773" s="53">
        <f>Tabela6[[#This Row],[CUSTO TOTAL]]/Tabela6[[#This Row],[CONSUMO]]</f>
        <v>3.19</v>
      </c>
      <c r="M5773" s="53" t="e">
        <f t="array" ref="M5773">SE</f>
        <v>#NAME?</v>
      </c>
      <c r="N5773" s="118" t="e">
        <f>Tabela6[[#This Row],[KM Rodados ]]/Tabela6[[#This Row],[CONSUMO]]</f>
        <v>#NAME?</v>
      </c>
    </row>
    <row r="5774" spans="1:14" x14ac:dyDescent="0.25">
      <c r="A5774" s="117">
        <v>141632</v>
      </c>
      <c r="B5774" s="78">
        <v>45712</v>
      </c>
      <c r="C5774" s="47" t="s">
        <v>203</v>
      </c>
      <c r="D5774" s="49" t="s">
        <v>608</v>
      </c>
      <c r="E5774" s="117">
        <v>204633</v>
      </c>
      <c r="G5774" s="50" t="s">
        <v>244</v>
      </c>
      <c r="H5774" s="51">
        <v>34.94</v>
      </c>
      <c r="J5774" s="51">
        <v>6.19</v>
      </c>
      <c r="K5774" s="74">
        <f>Tabela6[[#This Row],[CONSUMO]]*Tabela6[[#This Row],[VALOR UNIT]]-Tabela6[[#This Row],[DESCONTO]]</f>
        <v>216.27860000000001</v>
      </c>
      <c r="L5774" s="53">
        <f>Tabela6[[#This Row],[CUSTO TOTAL]]/Tabela6[[#This Row],[CONSUMO]]</f>
        <v>6.19</v>
      </c>
      <c r="M5774" s="53" t="e">
        <f t="array" ref="M5774">SE</f>
        <v>#NAME?</v>
      </c>
      <c r="N5774" s="118" t="e">
        <f>Tabela6[[#This Row],[KM Rodados ]]/Tabela6[[#This Row],[CONSUMO]]</f>
        <v>#NAME?</v>
      </c>
    </row>
    <row r="5775" spans="1:14" x14ac:dyDescent="0.25">
      <c r="A5775" s="117">
        <v>133585</v>
      </c>
      <c r="B5775" s="78">
        <v>45712</v>
      </c>
      <c r="C5775" s="47" t="s">
        <v>446</v>
      </c>
      <c r="D5775" s="49" t="s">
        <v>490</v>
      </c>
      <c r="E5775" s="117">
        <v>90338</v>
      </c>
      <c r="G5775" s="50" t="s">
        <v>241</v>
      </c>
      <c r="H5775" s="51">
        <v>29.01</v>
      </c>
      <c r="J5775" s="51">
        <v>3.29</v>
      </c>
      <c r="K5775" s="74">
        <f>Tabela6[[#This Row],[CONSUMO]]*Tabela6[[#This Row],[VALOR UNIT]]-Tabela6[[#This Row],[DESCONTO]]</f>
        <v>95.442900000000009</v>
      </c>
      <c r="L5775" s="53">
        <f>Tabela6[[#This Row],[CUSTO TOTAL]]/Tabela6[[#This Row],[CONSUMO]]</f>
        <v>3.29</v>
      </c>
      <c r="M5775" s="53" t="e">
        <f t="array" ref="M5775">SE</f>
        <v>#NAME?</v>
      </c>
      <c r="N5775" s="118" t="e">
        <f>Tabela6[[#This Row],[KM Rodados ]]/Tabela6[[#This Row],[CONSUMO]]</f>
        <v>#NAME?</v>
      </c>
    </row>
    <row r="5776" spans="1:14" x14ac:dyDescent="0.25">
      <c r="A5776" s="117">
        <v>133586</v>
      </c>
      <c r="B5776" s="78">
        <v>45712</v>
      </c>
      <c r="C5776" s="47" t="s">
        <v>446</v>
      </c>
      <c r="D5776" s="49" t="s">
        <v>490</v>
      </c>
      <c r="E5776" s="117">
        <v>90338</v>
      </c>
      <c r="G5776" s="50" t="s">
        <v>89</v>
      </c>
      <c r="H5776" s="51">
        <v>150</v>
      </c>
      <c r="J5776" s="51">
        <v>6.61</v>
      </c>
      <c r="K5776" s="74">
        <f>Tabela6[[#This Row],[CONSUMO]]*Tabela6[[#This Row],[VALOR UNIT]]-Tabela6[[#This Row],[DESCONTO]]</f>
        <v>991.5</v>
      </c>
      <c r="L5776" s="53">
        <f>Tabela6[[#This Row],[CUSTO TOTAL]]/Tabela6[[#This Row],[CONSUMO]]</f>
        <v>6.61</v>
      </c>
      <c r="M5776" s="53" t="e">
        <f t="array" ref="M5776">SE</f>
        <v>#NAME?</v>
      </c>
      <c r="N5776" s="118" t="e">
        <f>Tabela6[[#This Row],[KM Rodados ]]/Tabela6[[#This Row],[CONSUMO]]</f>
        <v>#NAME?</v>
      </c>
    </row>
    <row r="5777" spans="1:14" x14ac:dyDescent="0.25">
      <c r="A5777" s="117">
        <v>49303</v>
      </c>
      <c r="B5777" s="78">
        <v>45712</v>
      </c>
      <c r="C5777" s="47" t="s">
        <v>38</v>
      </c>
      <c r="D5777" s="49" t="s">
        <v>255</v>
      </c>
      <c r="E5777" s="117">
        <v>163230</v>
      </c>
      <c r="G5777" s="50" t="s">
        <v>244</v>
      </c>
      <c r="H5777" s="51">
        <v>49.21</v>
      </c>
      <c r="J5777" s="51">
        <v>6.37</v>
      </c>
      <c r="K5777" s="74">
        <f>Tabela6[[#This Row],[CONSUMO]]*Tabela6[[#This Row],[VALOR UNIT]]-Tabela6[[#This Row],[DESCONTO]]</f>
        <v>313.46770000000004</v>
      </c>
      <c r="L5777" s="53">
        <f>Tabela6[[#This Row],[CUSTO TOTAL]]/Tabela6[[#This Row],[CONSUMO]]</f>
        <v>6.370000000000001</v>
      </c>
      <c r="M5777" s="53" t="e">
        <f t="array" ref="M5777">SE</f>
        <v>#NAME?</v>
      </c>
      <c r="N5777" s="118" t="e">
        <f>Tabela6[[#This Row],[KM Rodados ]]/Tabela6[[#This Row],[CONSUMO]]</f>
        <v>#NAME?</v>
      </c>
    </row>
    <row r="5778" spans="1:14" x14ac:dyDescent="0.25">
      <c r="A5778" s="117">
        <v>49429</v>
      </c>
      <c r="B5778" s="78">
        <v>45712</v>
      </c>
      <c r="C5778" s="47" t="s">
        <v>18</v>
      </c>
      <c r="D5778" s="49" t="s">
        <v>255</v>
      </c>
      <c r="E5778" s="117">
        <v>394295</v>
      </c>
      <c r="G5778" s="50" t="s">
        <v>89</v>
      </c>
      <c r="H5778" s="51">
        <v>66.3</v>
      </c>
      <c r="J5778" s="51">
        <v>6.79</v>
      </c>
      <c r="K5778" s="74">
        <f>Tabela6[[#This Row],[CONSUMO]]*Tabela6[[#This Row],[VALOR UNIT]]-Tabela6[[#This Row],[DESCONTO]]</f>
        <v>450.17699999999996</v>
      </c>
      <c r="L5778" s="53">
        <f>Tabela6[[#This Row],[CUSTO TOTAL]]/Tabela6[[#This Row],[CONSUMO]]</f>
        <v>6.79</v>
      </c>
      <c r="M5778" s="53" t="e">
        <f t="array" ref="M5778">SE</f>
        <v>#NAME?</v>
      </c>
      <c r="N5778" s="118" t="e">
        <f>Tabela6[[#This Row],[KM Rodados ]]/Tabela6[[#This Row],[CONSUMO]]</f>
        <v>#NAME?</v>
      </c>
    </row>
    <row r="5779" spans="1:14" x14ac:dyDescent="0.25">
      <c r="A5779" s="117">
        <v>332910</v>
      </c>
      <c r="B5779" s="78">
        <v>45712</v>
      </c>
      <c r="C5779" s="47" t="s">
        <v>40</v>
      </c>
      <c r="D5779" s="49" t="s">
        <v>262</v>
      </c>
      <c r="E5779" s="117">
        <v>245637</v>
      </c>
      <c r="G5779" s="50" t="s">
        <v>244</v>
      </c>
      <c r="H5779" s="51">
        <v>45.470999999999997</v>
      </c>
      <c r="J5779" s="51">
        <v>5.9898999999999996</v>
      </c>
      <c r="K5779" s="74">
        <f>Tabela6[[#This Row],[CONSUMO]]*Tabela6[[#This Row],[VALOR UNIT]]-Tabela6[[#This Row],[DESCONTO]]</f>
        <v>272.36674289999996</v>
      </c>
      <c r="L5779" s="53">
        <f>Tabela6[[#This Row],[CUSTO TOTAL]]/Tabela6[[#This Row],[CONSUMO]]</f>
        <v>5.9898999999999996</v>
      </c>
      <c r="M5779" s="53" t="e">
        <f t="array" ref="M5779">SE</f>
        <v>#NAME?</v>
      </c>
      <c r="N5779" s="118" t="e">
        <f>Tabela6[[#This Row],[KM Rodados ]]/Tabela6[[#This Row],[CONSUMO]]</f>
        <v>#NAME?</v>
      </c>
    </row>
    <row r="5780" spans="1:14" x14ac:dyDescent="0.25">
      <c r="A5780" s="117">
        <v>333090</v>
      </c>
      <c r="B5780" s="78">
        <v>45713</v>
      </c>
      <c r="C5780" s="47" t="s">
        <v>40</v>
      </c>
      <c r="D5780" s="49" t="s">
        <v>262</v>
      </c>
      <c r="E5780" s="117">
        <v>245960</v>
      </c>
      <c r="G5780" s="50" t="s">
        <v>244</v>
      </c>
      <c r="H5780" s="51">
        <v>28.08</v>
      </c>
      <c r="J5780" s="51">
        <v>5.99</v>
      </c>
      <c r="K5780" s="74">
        <f>Tabela6[[#This Row],[CONSUMO]]*Tabela6[[#This Row],[VALOR UNIT]]-Tabela6[[#This Row],[DESCONTO]]</f>
        <v>168.19919999999999</v>
      </c>
      <c r="L5780" s="53">
        <f>Tabela6[[#This Row],[CUSTO TOTAL]]/Tabela6[[#This Row],[CONSUMO]]</f>
        <v>5.99</v>
      </c>
      <c r="M5780" s="53" t="e">
        <f t="array" ref="M5780">SE</f>
        <v>#NAME?</v>
      </c>
      <c r="N5780" s="118" t="e">
        <f>Tabela6[[#This Row],[KM Rodados ]]/Tabela6[[#This Row],[CONSUMO]]</f>
        <v>#NAME?</v>
      </c>
    </row>
    <row r="5781" spans="1:14" x14ac:dyDescent="0.25">
      <c r="A5781" s="117">
        <v>333255</v>
      </c>
      <c r="B5781" s="78">
        <v>45713</v>
      </c>
      <c r="C5781" s="47" t="s">
        <v>17</v>
      </c>
      <c r="D5781" s="49" t="s">
        <v>262</v>
      </c>
      <c r="E5781" s="117">
        <v>465831</v>
      </c>
      <c r="G5781" s="50" t="s">
        <v>241</v>
      </c>
      <c r="H5781" s="51">
        <v>1.772</v>
      </c>
      <c r="J5781" s="51">
        <v>3.3294999999999999</v>
      </c>
      <c r="K5781" s="74">
        <f>Tabela6[[#This Row],[CONSUMO]]*Tabela6[[#This Row],[VALOR UNIT]]-Tabela6[[#This Row],[DESCONTO]]</f>
        <v>5.8998739999999996</v>
      </c>
      <c r="L5781" s="53">
        <f>Tabela6[[#This Row],[CUSTO TOTAL]]/Tabela6[[#This Row],[CONSUMO]]</f>
        <v>3.3294999999999999</v>
      </c>
      <c r="M5781" s="53" t="e">
        <f t="array" ref="M5781">SE</f>
        <v>#NAME?</v>
      </c>
      <c r="N5781" s="118" t="e">
        <f>Tabela6[[#This Row],[KM Rodados ]]/Tabela6[[#This Row],[CONSUMO]]</f>
        <v>#NAME?</v>
      </c>
    </row>
    <row r="5782" spans="1:14" x14ac:dyDescent="0.25">
      <c r="A5782" s="117">
        <v>333071</v>
      </c>
      <c r="B5782" s="78">
        <v>45713</v>
      </c>
      <c r="C5782" s="47" t="s">
        <v>43</v>
      </c>
      <c r="D5782" s="49" t="s">
        <v>262</v>
      </c>
      <c r="E5782" s="117">
        <v>234107</v>
      </c>
      <c r="G5782" s="50" t="s">
        <v>89</v>
      </c>
      <c r="H5782" s="51">
        <v>15.55</v>
      </c>
      <c r="J5782" s="51">
        <v>6.29</v>
      </c>
      <c r="K5782" s="74">
        <f>Tabela6[[#This Row],[CONSUMO]]*Tabela6[[#This Row],[VALOR UNIT]]-Tabela6[[#This Row],[DESCONTO]]</f>
        <v>97.8095</v>
      </c>
      <c r="L5782" s="53">
        <f>Tabela6[[#This Row],[CUSTO TOTAL]]/Tabela6[[#This Row],[CONSUMO]]</f>
        <v>6.29</v>
      </c>
      <c r="M5782" s="53" t="e">
        <f t="array" ref="M5782">SE</f>
        <v>#NAME?</v>
      </c>
      <c r="N5782" s="118" t="e">
        <f>Tabela6[[#This Row],[KM Rodados ]]/Tabela6[[#This Row],[CONSUMO]]</f>
        <v>#NAME?</v>
      </c>
    </row>
    <row r="5783" spans="1:14" x14ac:dyDescent="0.25">
      <c r="A5783" s="117">
        <v>49644</v>
      </c>
      <c r="B5783" s="78">
        <v>45713</v>
      </c>
      <c r="C5783" s="47" t="s">
        <v>16</v>
      </c>
      <c r="D5783" s="49" t="s">
        <v>255</v>
      </c>
      <c r="E5783" s="117">
        <v>335135</v>
      </c>
      <c r="G5783" s="50" t="s">
        <v>89</v>
      </c>
      <c r="H5783" s="51">
        <v>101.13</v>
      </c>
      <c r="J5783" s="51">
        <v>6.49</v>
      </c>
      <c r="K5783" s="74">
        <f>Tabela6[[#This Row],[CONSUMO]]*Tabela6[[#This Row],[VALOR UNIT]]-Tabela6[[#This Row],[DESCONTO]]</f>
        <v>656.33370000000002</v>
      </c>
      <c r="L5783" s="53">
        <f>Tabela6[[#This Row],[CUSTO TOTAL]]/Tabela6[[#This Row],[CONSUMO]]</f>
        <v>6.49</v>
      </c>
      <c r="M5783" s="53" t="e">
        <f t="array" ref="M5783">SE</f>
        <v>#NAME?</v>
      </c>
      <c r="N5783" s="118" t="e">
        <f>Tabela6[[#This Row],[KM Rodados ]]/Tabela6[[#This Row],[CONSUMO]]</f>
        <v>#NAME?</v>
      </c>
    </row>
    <row r="5784" spans="1:14" x14ac:dyDescent="0.25">
      <c r="A5784" s="117" t="s">
        <v>630</v>
      </c>
      <c r="B5784" s="78">
        <v>45713</v>
      </c>
      <c r="C5784" s="47" t="s">
        <v>23</v>
      </c>
      <c r="D5784" s="49" t="s">
        <v>269</v>
      </c>
      <c r="E5784" s="117">
        <v>324317</v>
      </c>
      <c r="G5784" s="50" t="s">
        <v>89</v>
      </c>
      <c r="H5784" s="51">
        <v>100.01</v>
      </c>
      <c r="J5784" s="51">
        <v>6.29</v>
      </c>
      <c r="K5784" s="74">
        <f>Tabela6[[#This Row],[CONSUMO]]*Tabela6[[#This Row],[VALOR UNIT]]-Tabela6[[#This Row],[DESCONTO]]</f>
        <v>629.06290000000001</v>
      </c>
      <c r="L5784" s="53">
        <f>Tabela6[[#This Row],[CUSTO TOTAL]]/Tabela6[[#This Row],[CONSUMO]]</f>
        <v>6.29</v>
      </c>
      <c r="M5784" s="53" t="e">
        <f t="array" ref="M5784">SE</f>
        <v>#NAME?</v>
      </c>
      <c r="N5784" s="118" t="e">
        <f>Tabela6[[#This Row],[KM Rodados ]]/Tabela6[[#This Row],[CONSUMO]]</f>
        <v>#NAME?</v>
      </c>
    </row>
    <row r="5785" spans="1:14" x14ac:dyDescent="0.25">
      <c r="A5785" s="117">
        <v>581405</v>
      </c>
      <c r="B5785" s="78">
        <v>45713</v>
      </c>
      <c r="C5785" s="47" t="s">
        <v>23</v>
      </c>
      <c r="D5785" s="49" t="s">
        <v>269</v>
      </c>
      <c r="E5785" s="117">
        <v>324317</v>
      </c>
      <c r="G5785" s="50" t="s">
        <v>241</v>
      </c>
      <c r="H5785" s="51">
        <v>31.251000000000001</v>
      </c>
      <c r="J5785" s="51">
        <v>3.19</v>
      </c>
      <c r="K5785" s="74">
        <f>Tabela6[[#This Row],[CONSUMO]]*Tabela6[[#This Row],[VALOR UNIT]]-Tabela6[[#This Row],[DESCONTO]]</f>
        <v>99.690690000000004</v>
      </c>
      <c r="L5785" s="53">
        <f>Tabela6[[#This Row],[CUSTO TOTAL]]/Tabela6[[#This Row],[CONSUMO]]</f>
        <v>3.19</v>
      </c>
      <c r="M5785" s="53" t="e">
        <f t="array" ref="M5785">SE</f>
        <v>#NAME?</v>
      </c>
      <c r="N5785" s="118" t="e">
        <f>Tabela6[[#This Row],[KM Rodados ]]/Tabela6[[#This Row],[CONSUMO]]</f>
        <v>#NAME?</v>
      </c>
    </row>
    <row r="5786" spans="1:14" x14ac:dyDescent="0.25">
      <c r="A5786" s="117" t="s">
        <v>631</v>
      </c>
      <c r="B5786" s="78">
        <v>45713</v>
      </c>
      <c r="C5786" s="47" t="s">
        <v>73</v>
      </c>
      <c r="D5786" s="49" t="s">
        <v>271</v>
      </c>
      <c r="E5786" s="117">
        <v>257413</v>
      </c>
      <c r="G5786" s="50" t="s">
        <v>241</v>
      </c>
      <c r="H5786" s="51">
        <v>27.841000000000001</v>
      </c>
      <c r="J5786" s="51">
        <v>3.19</v>
      </c>
      <c r="K5786" s="74">
        <f>Tabela6[[#This Row],[CONSUMO]]*Tabela6[[#This Row],[VALOR UNIT]]-Tabela6[[#This Row],[DESCONTO]]</f>
        <v>88.812790000000007</v>
      </c>
      <c r="L5786" s="53">
        <f>Tabela6[[#This Row],[CUSTO TOTAL]]/Tabela6[[#This Row],[CONSUMO]]</f>
        <v>3.19</v>
      </c>
      <c r="M5786" s="53" t="e">
        <f t="array" ref="M5786">SE</f>
        <v>#NAME?</v>
      </c>
      <c r="N5786" s="118" t="e">
        <f>Tabela6[[#This Row],[KM Rodados ]]/Tabela6[[#This Row],[CONSUMO]]</f>
        <v>#NAME?</v>
      </c>
    </row>
    <row r="5787" spans="1:14" x14ac:dyDescent="0.25">
      <c r="A5787" s="117">
        <v>152546</v>
      </c>
      <c r="B5787" s="78">
        <v>45713</v>
      </c>
      <c r="C5787" s="47" t="s">
        <v>43</v>
      </c>
      <c r="D5787" s="49" t="s">
        <v>609</v>
      </c>
      <c r="E5787" s="117">
        <v>234417</v>
      </c>
      <c r="G5787" s="50" t="s">
        <v>89</v>
      </c>
      <c r="H5787" s="51">
        <v>40.85</v>
      </c>
      <c r="J5787" s="51">
        <v>6.18</v>
      </c>
      <c r="K5787" s="74">
        <f>Tabela6[[#This Row],[CONSUMO]]*Tabela6[[#This Row],[VALOR UNIT]]-Tabela6[[#This Row],[DESCONTO]]</f>
        <v>252.453</v>
      </c>
      <c r="L5787" s="53">
        <f>Tabela6[[#This Row],[CUSTO TOTAL]]/Tabela6[[#This Row],[CONSUMO]]</f>
        <v>6.18</v>
      </c>
      <c r="M5787" s="53" t="e">
        <f t="array" ref="M5787">SE</f>
        <v>#NAME?</v>
      </c>
      <c r="N5787" s="118" t="e">
        <f>Tabela6[[#This Row],[KM Rodados ]]/Tabela6[[#This Row],[CONSUMO]]</f>
        <v>#NAME?</v>
      </c>
    </row>
    <row r="5788" spans="1:14" x14ac:dyDescent="0.25">
      <c r="A5788" s="117">
        <v>389253</v>
      </c>
      <c r="B5788" s="78">
        <v>45713</v>
      </c>
      <c r="C5788" s="47" t="s">
        <v>22</v>
      </c>
      <c r="D5788" s="49" t="s">
        <v>300</v>
      </c>
      <c r="E5788" s="117">
        <v>397834</v>
      </c>
      <c r="G5788" s="50" t="s">
        <v>89</v>
      </c>
      <c r="H5788" s="51">
        <v>162.48099999999999</v>
      </c>
      <c r="J5788" s="51">
        <v>6.29</v>
      </c>
      <c r="K5788" s="74">
        <f>Tabela6[[#This Row],[CONSUMO]]*Tabela6[[#This Row],[VALOR UNIT]]-Tabela6[[#This Row],[DESCONTO]]</f>
        <v>1022.00549</v>
      </c>
      <c r="L5788" s="53">
        <f>Tabela6[[#This Row],[CUSTO TOTAL]]/Tabela6[[#This Row],[CONSUMO]]</f>
        <v>6.29</v>
      </c>
      <c r="M5788" s="53" t="e">
        <f t="array" ref="M5788">SE</f>
        <v>#NAME?</v>
      </c>
      <c r="N5788" s="118" t="e">
        <f>Tabela6[[#This Row],[KM Rodados ]]/Tabela6[[#This Row],[CONSUMO]]</f>
        <v>#NAME?</v>
      </c>
    </row>
    <row r="5789" spans="1:14" x14ac:dyDescent="0.25">
      <c r="A5789" s="117">
        <v>357245</v>
      </c>
      <c r="B5789" s="78">
        <v>45713</v>
      </c>
      <c r="C5789" s="47" t="s">
        <v>615</v>
      </c>
      <c r="D5789" s="49" t="s">
        <v>374</v>
      </c>
      <c r="E5789" s="117">
        <v>6037</v>
      </c>
      <c r="G5789" s="50" t="s">
        <v>89</v>
      </c>
      <c r="H5789" s="51">
        <v>465</v>
      </c>
      <c r="J5789" s="51">
        <v>6.29</v>
      </c>
      <c r="K5789" s="74">
        <f>Tabela6[[#This Row],[CONSUMO]]*Tabela6[[#This Row],[VALOR UNIT]]-Tabela6[[#This Row],[DESCONTO]]</f>
        <v>2924.85</v>
      </c>
      <c r="L5789" s="53">
        <f>Tabela6[[#This Row],[CUSTO TOTAL]]/Tabela6[[#This Row],[CONSUMO]]</f>
        <v>6.29</v>
      </c>
      <c r="M5789" s="53" t="e">
        <f t="array" ref="M5789">SE</f>
        <v>#NAME?</v>
      </c>
      <c r="N5789" s="118" t="e">
        <f>Tabela6[[#This Row],[KM Rodados ]]/Tabela6[[#This Row],[CONSUMO]]</f>
        <v>#NAME?</v>
      </c>
    </row>
    <row r="5790" spans="1:14" x14ac:dyDescent="0.25">
      <c r="A5790" s="117">
        <v>150915</v>
      </c>
      <c r="B5790" s="78">
        <v>45713</v>
      </c>
      <c r="C5790" s="47" t="s">
        <v>401</v>
      </c>
      <c r="D5790" s="49" t="s">
        <v>247</v>
      </c>
      <c r="E5790" s="117">
        <v>89627</v>
      </c>
      <c r="G5790" s="50" t="s">
        <v>89</v>
      </c>
      <c r="H5790" s="51">
        <v>77.510000000000005</v>
      </c>
      <c r="J5790" s="51">
        <v>6.45</v>
      </c>
      <c r="K5790" s="74">
        <f>Tabela6[[#This Row],[CONSUMO]]*Tabela6[[#This Row],[VALOR UNIT]]-Tabela6[[#This Row],[DESCONTO]]</f>
        <v>499.93950000000007</v>
      </c>
      <c r="L5790" s="53">
        <f>Tabela6[[#This Row],[CUSTO TOTAL]]/Tabela6[[#This Row],[CONSUMO]]</f>
        <v>6.45</v>
      </c>
      <c r="M5790" s="53" t="e">
        <f t="array" ref="M5790">SE</f>
        <v>#NAME?</v>
      </c>
      <c r="N5790" s="118" t="e">
        <f>Tabela6[[#This Row],[KM Rodados ]]/Tabela6[[#This Row],[CONSUMO]]</f>
        <v>#NAME?</v>
      </c>
    </row>
    <row r="5791" spans="1:14" x14ac:dyDescent="0.25">
      <c r="A5791" s="117">
        <v>150915</v>
      </c>
      <c r="B5791" s="78">
        <v>45713</v>
      </c>
      <c r="C5791" s="47" t="s">
        <v>401</v>
      </c>
      <c r="D5791" s="49" t="s">
        <v>247</v>
      </c>
      <c r="E5791" s="117">
        <v>89627</v>
      </c>
      <c r="G5791" s="50" t="s">
        <v>241</v>
      </c>
      <c r="H5791" s="51">
        <v>18</v>
      </c>
      <c r="J5791" s="51">
        <v>3.09</v>
      </c>
      <c r="K5791" s="74">
        <f>Tabela6[[#This Row],[CONSUMO]]*Tabela6[[#This Row],[VALOR UNIT]]-Tabela6[[#This Row],[DESCONTO]]</f>
        <v>55.62</v>
      </c>
      <c r="L5791" s="53">
        <f>Tabela6[[#This Row],[CUSTO TOTAL]]/Tabela6[[#This Row],[CONSUMO]]</f>
        <v>3.09</v>
      </c>
      <c r="M5791" s="53" t="e">
        <f t="array" ref="M5791">SE</f>
        <v>#NAME?</v>
      </c>
      <c r="N5791" s="118" t="e">
        <f>Tabela6[[#This Row],[KM Rodados ]]/Tabela6[[#This Row],[CONSUMO]]</f>
        <v>#NAME?</v>
      </c>
    </row>
    <row r="5792" spans="1:14" x14ac:dyDescent="0.25">
      <c r="A5792" s="117">
        <v>453645</v>
      </c>
      <c r="B5792" s="78">
        <v>45714</v>
      </c>
      <c r="C5792" s="47" t="s">
        <v>43</v>
      </c>
      <c r="D5792" s="49" t="s">
        <v>253</v>
      </c>
      <c r="E5792" s="117"/>
      <c r="G5792" s="50" t="s">
        <v>241</v>
      </c>
      <c r="H5792" s="51">
        <v>40</v>
      </c>
      <c r="J5792" s="51">
        <v>3.49</v>
      </c>
      <c r="K5792" s="74">
        <f>Tabela6[[#This Row],[CONSUMO]]*Tabela6[[#This Row],[VALOR UNIT]]-Tabela6[[#This Row],[DESCONTO]]</f>
        <v>139.60000000000002</v>
      </c>
      <c r="L5792" s="53">
        <f>Tabela6[[#This Row],[CUSTO TOTAL]]/Tabela6[[#This Row],[CONSUMO]]</f>
        <v>3.4900000000000007</v>
      </c>
      <c r="M5792" s="53" t="e">
        <f t="array" ref="M5792">SE</f>
        <v>#NAME?</v>
      </c>
      <c r="N5792" s="118" t="e">
        <f>Tabela6[[#This Row],[KM Rodados ]]/Tabela6[[#This Row],[CONSUMO]]</f>
        <v>#NAME?</v>
      </c>
    </row>
    <row r="5793" spans="1:14" x14ac:dyDescent="0.25">
      <c r="A5793" s="117">
        <v>530443</v>
      </c>
      <c r="B5793" s="78">
        <v>45714</v>
      </c>
      <c r="C5793" s="47" t="s">
        <v>358</v>
      </c>
      <c r="D5793" s="49" t="s">
        <v>343</v>
      </c>
      <c r="E5793" s="117">
        <v>907322</v>
      </c>
      <c r="G5793" s="50" t="s">
        <v>89</v>
      </c>
      <c r="H5793" s="51">
        <v>431.00200000000001</v>
      </c>
      <c r="J5793" s="51">
        <v>5.99</v>
      </c>
      <c r="K5793" s="74">
        <f>Tabela6[[#This Row],[CONSUMO]]*Tabela6[[#This Row],[VALOR UNIT]]-Tabela6[[#This Row],[DESCONTO]]</f>
        <v>2581.7019800000003</v>
      </c>
      <c r="L5793" s="53">
        <f>Tabela6[[#This Row],[CUSTO TOTAL]]/Tabela6[[#This Row],[CONSUMO]]</f>
        <v>5.99</v>
      </c>
      <c r="M5793" s="53" t="e">
        <f t="array" ref="M5793">SE</f>
        <v>#NAME?</v>
      </c>
      <c r="N5793" s="118" t="e">
        <f>Tabela6[[#This Row],[KM Rodados ]]/Tabela6[[#This Row],[CONSUMO]]</f>
        <v>#NAME?</v>
      </c>
    </row>
    <row r="5794" spans="1:14" x14ac:dyDescent="0.25">
      <c r="A5794" s="117" t="s">
        <v>632</v>
      </c>
      <c r="B5794" s="78">
        <v>45714</v>
      </c>
      <c r="C5794" s="47" t="s">
        <v>67</v>
      </c>
      <c r="D5794" s="49" t="s">
        <v>273</v>
      </c>
      <c r="E5794" s="117">
        <v>764245</v>
      </c>
      <c r="G5794" s="50" t="s">
        <v>89</v>
      </c>
      <c r="H5794" s="51">
        <v>123.7</v>
      </c>
      <c r="J5794" s="51">
        <v>6.29</v>
      </c>
      <c r="K5794" s="74">
        <f>Tabela6[[#This Row],[CONSUMO]]*Tabela6[[#This Row],[VALOR UNIT]]-Tabela6[[#This Row],[DESCONTO]]</f>
        <v>778.07299999999998</v>
      </c>
      <c r="L5794" s="53">
        <f>Tabela6[[#This Row],[CUSTO TOTAL]]/Tabela6[[#This Row],[CONSUMO]]</f>
        <v>6.29</v>
      </c>
      <c r="M5794" s="53" t="e">
        <f t="array" ref="M5794">SE</f>
        <v>#NAME?</v>
      </c>
      <c r="N5794" s="118" t="e">
        <f>Tabela6[[#This Row],[KM Rodados ]]/Tabela6[[#This Row],[CONSUMO]]</f>
        <v>#NAME?</v>
      </c>
    </row>
    <row r="5795" spans="1:14" x14ac:dyDescent="0.25">
      <c r="A5795" s="117">
        <v>333652</v>
      </c>
      <c r="B5795" s="78">
        <v>45715</v>
      </c>
      <c r="C5795" s="47" t="s">
        <v>40</v>
      </c>
      <c r="D5795" s="49" t="s">
        <v>262</v>
      </c>
      <c r="E5795" s="117">
        <v>246432</v>
      </c>
      <c r="G5795" s="50" t="s">
        <v>244</v>
      </c>
      <c r="H5795" s="51">
        <v>41.350999999999999</v>
      </c>
      <c r="J5795" s="51">
        <v>5.9898999999999996</v>
      </c>
      <c r="K5795" s="74">
        <f>Tabela6[[#This Row],[CONSUMO]]*Tabela6[[#This Row],[VALOR UNIT]]-Tabela6[[#This Row],[DESCONTO]]</f>
        <v>247.68835489999998</v>
      </c>
      <c r="L5795" s="53">
        <f>Tabela6[[#This Row],[CUSTO TOTAL]]/Tabela6[[#This Row],[CONSUMO]]</f>
        <v>5.9898999999999996</v>
      </c>
      <c r="M5795" s="53" t="e">
        <f t="array" ref="M5795">SE</f>
        <v>#NAME?</v>
      </c>
      <c r="N5795" s="118" t="e">
        <f>Tabela6[[#This Row],[KM Rodados ]]/Tabela6[[#This Row],[CONSUMO]]</f>
        <v>#NAME?</v>
      </c>
    </row>
    <row r="5796" spans="1:14" x14ac:dyDescent="0.25">
      <c r="A5796" s="117">
        <v>168070</v>
      </c>
      <c r="B5796" s="78">
        <v>45715</v>
      </c>
      <c r="C5796" s="47" t="s">
        <v>43</v>
      </c>
      <c r="D5796" s="49" t="s">
        <v>610</v>
      </c>
      <c r="E5796" s="117">
        <v>234982</v>
      </c>
      <c r="G5796" s="50" t="s">
        <v>89</v>
      </c>
      <c r="H5796" s="51">
        <v>38.78</v>
      </c>
      <c r="J5796" s="51">
        <v>6.19</v>
      </c>
      <c r="K5796" s="74">
        <f>Tabela6[[#This Row],[CONSUMO]]*Tabela6[[#This Row],[VALOR UNIT]]-Tabela6[[#This Row],[DESCONTO]]</f>
        <v>240.04820000000001</v>
      </c>
      <c r="L5796" s="53">
        <f>Tabela6[[#This Row],[CUSTO TOTAL]]/Tabela6[[#This Row],[CONSUMO]]</f>
        <v>6.19</v>
      </c>
      <c r="M5796" s="53" t="e">
        <f t="array" ref="M5796">SE</f>
        <v>#NAME?</v>
      </c>
      <c r="N5796" s="118" t="e">
        <f>Tabela6[[#This Row],[KM Rodados ]]/Tabela6[[#This Row],[CONSUMO]]</f>
        <v>#NAME?</v>
      </c>
    </row>
    <row r="5797" spans="1:14" x14ac:dyDescent="0.25">
      <c r="A5797" s="117">
        <v>170550</v>
      </c>
      <c r="B5797" s="78">
        <v>45715</v>
      </c>
      <c r="C5797" s="47" t="s">
        <v>401</v>
      </c>
      <c r="D5797" s="49" t="s">
        <v>247</v>
      </c>
      <c r="E5797" s="117">
        <v>90522</v>
      </c>
      <c r="G5797" s="50" t="s">
        <v>89</v>
      </c>
      <c r="H5797" s="51">
        <v>46.51</v>
      </c>
      <c r="J5797" s="51">
        <v>6.45</v>
      </c>
      <c r="K5797" s="74">
        <f>Tabela6[[#This Row],[CONSUMO]]*Tabela6[[#This Row],[VALOR UNIT]]-Tabela6[[#This Row],[DESCONTO]]</f>
        <v>299.98950000000002</v>
      </c>
      <c r="L5797" s="53">
        <f>Tabela6[[#This Row],[CUSTO TOTAL]]/Tabela6[[#This Row],[CONSUMO]]</f>
        <v>6.4500000000000011</v>
      </c>
      <c r="M5797" s="53" t="e">
        <f t="array" ref="M5797">SE</f>
        <v>#NAME?</v>
      </c>
      <c r="N5797" s="118" t="e">
        <f>Tabela6[[#This Row],[KM Rodados ]]/Tabela6[[#This Row],[CONSUMO]]</f>
        <v>#NAME?</v>
      </c>
    </row>
    <row r="5798" spans="1:14" x14ac:dyDescent="0.25">
      <c r="A5798" s="117" t="s">
        <v>633</v>
      </c>
      <c r="B5798" s="78">
        <v>45715</v>
      </c>
      <c r="C5798" s="47" t="s">
        <v>567</v>
      </c>
      <c r="D5798" s="49" t="s">
        <v>268</v>
      </c>
      <c r="E5798" s="117">
        <v>33099</v>
      </c>
      <c r="G5798" s="50" t="s">
        <v>241</v>
      </c>
      <c r="H5798" s="51">
        <v>37.100999999999999</v>
      </c>
      <c r="J5798" s="51">
        <v>3.19</v>
      </c>
      <c r="K5798" s="74">
        <f>Tabela6[[#This Row],[CONSUMO]]*Tabela6[[#This Row],[VALOR UNIT]]-Tabela6[[#This Row],[DESCONTO]]</f>
        <v>118.35218999999999</v>
      </c>
      <c r="L5798" s="53">
        <f>Tabela6[[#This Row],[CUSTO TOTAL]]/Tabela6[[#This Row],[CONSUMO]]</f>
        <v>3.19</v>
      </c>
      <c r="M5798" s="53" t="e">
        <f t="array" ref="M5798">SE</f>
        <v>#NAME?</v>
      </c>
      <c r="N5798" s="118" t="e">
        <f>Tabela6[[#This Row],[KM Rodados ]]/Tabela6[[#This Row],[CONSUMO]]</f>
        <v>#NAME?</v>
      </c>
    </row>
    <row r="5799" spans="1:14" x14ac:dyDescent="0.25">
      <c r="A5799" s="117" t="s">
        <v>634</v>
      </c>
      <c r="B5799" s="78">
        <v>45715</v>
      </c>
      <c r="C5799" s="47" t="s">
        <v>358</v>
      </c>
      <c r="D5799" s="49" t="s">
        <v>378</v>
      </c>
      <c r="E5799" s="117">
        <v>908154</v>
      </c>
      <c r="G5799" s="50" t="s">
        <v>89</v>
      </c>
      <c r="H5799" s="51">
        <v>240</v>
      </c>
      <c r="J5799" s="51">
        <v>6.29</v>
      </c>
      <c r="K5799" s="74">
        <f>Tabela6[[#This Row],[CONSUMO]]*Tabela6[[#This Row],[VALOR UNIT]]-Tabela6[[#This Row],[DESCONTO]]</f>
        <v>1509.6</v>
      </c>
      <c r="L5799" s="53">
        <f>Tabela6[[#This Row],[CUSTO TOTAL]]/Tabela6[[#This Row],[CONSUMO]]</f>
        <v>6.29</v>
      </c>
      <c r="M5799" s="53" t="e">
        <f t="array" ref="M5799">SE</f>
        <v>#NAME?</v>
      </c>
      <c r="N5799" s="118" t="e">
        <f>Tabela6[[#This Row],[KM Rodados ]]/Tabela6[[#This Row],[CONSUMO]]</f>
        <v>#NAME?</v>
      </c>
    </row>
    <row r="5800" spans="1:14" x14ac:dyDescent="0.25">
      <c r="A5800" s="117" t="s">
        <v>635</v>
      </c>
      <c r="B5800" s="78">
        <v>45715</v>
      </c>
      <c r="C5800" s="47" t="s">
        <v>22</v>
      </c>
      <c r="D5800" s="49" t="s">
        <v>300</v>
      </c>
      <c r="E5800" s="117">
        <v>397826</v>
      </c>
      <c r="G5800" s="50" t="s">
        <v>89</v>
      </c>
      <c r="H5800" s="51">
        <v>170.07</v>
      </c>
      <c r="J5800" s="51">
        <v>6.29</v>
      </c>
      <c r="K5800" s="74">
        <f>Tabela6[[#This Row],[CONSUMO]]*Tabela6[[#This Row],[VALOR UNIT]]-Tabela6[[#This Row],[DESCONTO]]</f>
        <v>1069.7402999999999</v>
      </c>
      <c r="L5800" s="53">
        <f>Tabela6[[#This Row],[CUSTO TOTAL]]/Tabela6[[#This Row],[CONSUMO]]</f>
        <v>6.29</v>
      </c>
      <c r="M5800" s="53" t="e">
        <f t="array" ref="M5800">SE</f>
        <v>#NAME?</v>
      </c>
      <c r="N5800" s="118" t="e">
        <f>Tabela6[[#This Row],[KM Rodados ]]/Tabela6[[#This Row],[CONSUMO]]</f>
        <v>#NAME?</v>
      </c>
    </row>
    <row r="5801" spans="1:14" x14ac:dyDescent="0.25">
      <c r="A5801" s="117">
        <v>443940</v>
      </c>
      <c r="B5801" s="78">
        <v>45715</v>
      </c>
      <c r="C5801" s="47" t="s">
        <v>10</v>
      </c>
      <c r="D5801" s="49" t="s">
        <v>270</v>
      </c>
      <c r="E5801" s="117">
        <v>817759</v>
      </c>
      <c r="G5801" s="50" t="s">
        <v>89</v>
      </c>
      <c r="H5801" s="51">
        <v>30</v>
      </c>
      <c r="J5801" s="51">
        <v>6.19</v>
      </c>
      <c r="K5801" s="74">
        <f>Tabela6[[#This Row],[CONSUMO]]*Tabela6[[#This Row],[VALOR UNIT]]-Tabela6[[#This Row],[DESCONTO]]</f>
        <v>185.70000000000002</v>
      </c>
      <c r="L5801" s="53">
        <f>Tabela6[[#This Row],[CUSTO TOTAL]]/Tabela6[[#This Row],[CONSUMO]]</f>
        <v>6.19</v>
      </c>
      <c r="M5801" s="53" t="e">
        <f t="array" ref="M5801">SE</f>
        <v>#NAME?</v>
      </c>
      <c r="N5801" s="118" t="e">
        <f>Tabela6[[#This Row],[KM Rodados ]]/Tabela6[[#This Row],[CONSUMO]]</f>
        <v>#NAME?</v>
      </c>
    </row>
    <row r="5802" spans="1:14" x14ac:dyDescent="0.25">
      <c r="A5802" s="117" t="s">
        <v>636</v>
      </c>
      <c r="B5802" s="78">
        <v>45715</v>
      </c>
      <c r="C5802" s="47" t="s">
        <v>615</v>
      </c>
      <c r="D5802" s="49" t="s">
        <v>332</v>
      </c>
      <c r="E5802" s="117">
        <v>7133</v>
      </c>
      <c r="G5802" s="50" t="s">
        <v>89</v>
      </c>
      <c r="H5802" s="51">
        <v>573.36800000000005</v>
      </c>
      <c r="J5802" s="51">
        <v>5.99</v>
      </c>
      <c r="K5802" s="74">
        <f>Tabela6[[#This Row],[CONSUMO]]*Tabela6[[#This Row],[VALOR UNIT]]-Tabela6[[#This Row],[DESCONTO]]</f>
        <v>3434.4743200000003</v>
      </c>
      <c r="L5802" s="53">
        <f>Tabela6[[#This Row],[CUSTO TOTAL]]/Tabela6[[#This Row],[CONSUMO]]</f>
        <v>5.99</v>
      </c>
      <c r="M5802" s="53" t="e">
        <f t="array" ref="M5802">SE</f>
        <v>#NAME?</v>
      </c>
      <c r="N5802" s="118" t="e">
        <f>Tabela6[[#This Row],[KM Rodados ]]/Tabela6[[#This Row],[CONSUMO]]</f>
        <v>#NAME?</v>
      </c>
    </row>
    <row r="5803" spans="1:14" x14ac:dyDescent="0.25">
      <c r="A5803" s="117">
        <v>88690</v>
      </c>
      <c r="B5803" s="78">
        <v>45715</v>
      </c>
      <c r="C5803" s="47" t="s">
        <v>615</v>
      </c>
      <c r="D5803" s="49" t="s">
        <v>332</v>
      </c>
      <c r="E5803" s="117">
        <v>7133</v>
      </c>
      <c r="G5803" s="50" t="s">
        <v>241</v>
      </c>
      <c r="H5803" s="51">
        <v>53.84</v>
      </c>
      <c r="J5803" s="51">
        <v>3.19</v>
      </c>
      <c r="K5803" s="74">
        <f>Tabela6[[#This Row],[CONSUMO]]*Tabela6[[#This Row],[VALOR UNIT]]-Tabela6[[#This Row],[DESCONTO]]</f>
        <v>171.74960000000002</v>
      </c>
      <c r="L5803" s="53">
        <f>Tabela6[[#This Row],[CUSTO TOTAL]]/Tabela6[[#This Row],[CONSUMO]]</f>
        <v>3.19</v>
      </c>
      <c r="M5803" s="53" t="e">
        <f t="array" ref="M5803">SE</f>
        <v>#NAME?</v>
      </c>
      <c r="N5803" s="118" t="e">
        <f>Tabela6[[#This Row],[KM Rodados ]]/Tabela6[[#This Row],[CONSUMO]]</f>
        <v>#NAME?</v>
      </c>
    </row>
    <row r="5804" spans="1:14" x14ac:dyDescent="0.25">
      <c r="A5804" s="117">
        <v>454639</v>
      </c>
      <c r="B5804" s="78">
        <v>45715</v>
      </c>
      <c r="C5804" s="47" t="s">
        <v>20</v>
      </c>
      <c r="D5804" s="49" t="s">
        <v>253</v>
      </c>
      <c r="E5804" s="117">
        <v>345937</v>
      </c>
      <c r="G5804" s="50" t="s">
        <v>89</v>
      </c>
      <c r="H5804" s="51">
        <v>80.290000000000006</v>
      </c>
      <c r="J5804" s="51">
        <v>6.39</v>
      </c>
      <c r="K5804" s="74">
        <f>Tabela6[[#This Row],[CONSUMO]]*Tabela6[[#This Row],[VALOR UNIT]]-Tabela6[[#This Row],[DESCONTO]]</f>
        <v>513.05309999999997</v>
      </c>
      <c r="L5804" s="53">
        <f>Tabela6[[#This Row],[CUSTO TOTAL]]/Tabela6[[#This Row],[CONSUMO]]</f>
        <v>6.3899999999999988</v>
      </c>
      <c r="M5804" s="53" t="e">
        <f t="array" ref="M5804">SE</f>
        <v>#NAME?</v>
      </c>
      <c r="N5804" s="118" t="e">
        <f>Tabela6[[#This Row],[KM Rodados ]]/Tabela6[[#This Row],[CONSUMO]]</f>
        <v>#NAME?</v>
      </c>
    </row>
    <row r="5805" spans="1:14" x14ac:dyDescent="0.25">
      <c r="A5805" s="117">
        <v>454672</v>
      </c>
      <c r="B5805" s="78">
        <v>45715</v>
      </c>
      <c r="C5805" s="47" t="s">
        <v>12</v>
      </c>
      <c r="D5805" s="49" t="s">
        <v>253</v>
      </c>
      <c r="E5805" s="117">
        <v>355778</v>
      </c>
      <c r="G5805" s="50" t="s">
        <v>89</v>
      </c>
      <c r="H5805" s="51">
        <v>116.12</v>
      </c>
      <c r="J5805" s="51">
        <v>6.39</v>
      </c>
      <c r="K5805" s="74">
        <f>Tabela6[[#This Row],[CONSUMO]]*Tabela6[[#This Row],[VALOR UNIT]]-Tabela6[[#This Row],[DESCONTO]]</f>
        <v>742.0068</v>
      </c>
      <c r="L5805" s="53">
        <f>Tabela6[[#This Row],[CUSTO TOTAL]]/Tabela6[[#This Row],[CONSUMO]]</f>
        <v>6.39</v>
      </c>
      <c r="M5805" s="53" t="e">
        <f t="array" ref="M5805">SE</f>
        <v>#NAME?</v>
      </c>
      <c r="N5805" s="118" t="e">
        <f>Tabela6[[#This Row],[KM Rodados ]]/Tabela6[[#This Row],[CONSUMO]]</f>
        <v>#NAME?</v>
      </c>
    </row>
    <row r="5806" spans="1:14" x14ac:dyDescent="0.25">
      <c r="A5806" s="117" t="s">
        <v>685</v>
      </c>
      <c r="B5806" s="78">
        <v>45715</v>
      </c>
      <c r="C5806" s="47" t="s">
        <v>11</v>
      </c>
      <c r="D5806" s="49" t="s">
        <v>253</v>
      </c>
      <c r="E5806" s="117"/>
      <c r="G5806" s="50" t="s">
        <v>244</v>
      </c>
      <c r="H5806" s="51">
        <v>12.15</v>
      </c>
      <c r="J5806" s="51">
        <v>6.99</v>
      </c>
      <c r="K5806" s="74">
        <f>Tabela6[[#This Row],[CONSUMO]]*Tabela6[[#This Row],[VALOR UNIT]]-Tabela6[[#This Row],[DESCONTO]]</f>
        <v>84.9285</v>
      </c>
      <c r="L5806" s="53">
        <f>Tabela6[[#This Row],[CUSTO TOTAL]]/Tabela6[[#This Row],[CONSUMO]]</f>
        <v>6.9899999999999993</v>
      </c>
      <c r="M5806" s="53" t="e">
        <f t="array" ref="M5806">SE</f>
        <v>#NAME?</v>
      </c>
      <c r="N5806" s="118" t="e">
        <f>Tabela6[[#This Row],[KM Rodados ]]/Tabela6[[#This Row],[CONSUMO]]</f>
        <v>#NAME?</v>
      </c>
    </row>
    <row r="5807" spans="1:14" x14ac:dyDescent="0.25">
      <c r="A5807" s="117" t="s">
        <v>686</v>
      </c>
      <c r="B5807" s="78">
        <v>45715</v>
      </c>
      <c r="C5807" s="47" t="s">
        <v>23</v>
      </c>
      <c r="D5807" s="49" t="s">
        <v>253</v>
      </c>
      <c r="E5807" s="117">
        <v>325165</v>
      </c>
      <c r="G5807" s="50" t="s">
        <v>89</v>
      </c>
      <c r="H5807" s="51">
        <v>182.78</v>
      </c>
      <c r="J5807" s="51">
        <v>6.39</v>
      </c>
      <c r="K5807" s="74">
        <f>Tabela6[[#This Row],[CONSUMO]]*Tabela6[[#This Row],[VALOR UNIT]]-Tabela6[[#This Row],[DESCONTO]]</f>
        <v>1167.9641999999999</v>
      </c>
      <c r="L5807" s="53">
        <f>Tabela6[[#This Row],[CUSTO TOTAL]]/Tabela6[[#This Row],[CONSUMO]]</f>
        <v>6.39</v>
      </c>
      <c r="M5807" s="53" t="e">
        <f t="array" ref="M5807">SE</f>
        <v>#NAME?</v>
      </c>
      <c r="N5807" s="118" t="e">
        <f>Tabela6[[#This Row],[KM Rodados ]]/Tabela6[[#This Row],[CONSUMO]]</f>
        <v>#NAME?</v>
      </c>
    </row>
    <row r="5808" spans="1:14" x14ac:dyDescent="0.25">
      <c r="A5808" s="117">
        <v>333692</v>
      </c>
      <c r="B5808" s="78">
        <v>45715</v>
      </c>
      <c r="C5808" s="47" t="s">
        <v>203</v>
      </c>
      <c r="D5808" s="49" t="s">
        <v>262</v>
      </c>
      <c r="E5808" s="117">
        <v>205199</v>
      </c>
      <c r="G5808" s="50" t="s">
        <v>244</v>
      </c>
      <c r="H5808" s="51">
        <v>44.609000000000002</v>
      </c>
      <c r="J5808" s="51">
        <v>5.99</v>
      </c>
      <c r="K5808" s="74">
        <f>Tabela6[[#This Row],[CONSUMO]]*Tabela6[[#This Row],[VALOR UNIT]]-Tabela6[[#This Row],[DESCONTO]]</f>
        <v>267.20791000000003</v>
      </c>
      <c r="L5808" s="53">
        <f>Tabela6[[#This Row],[CUSTO TOTAL]]/Tabela6[[#This Row],[CONSUMO]]</f>
        <v>5.99</v>
      </c>
      <c r="M5808" s="53" t="e">
        <f t="array" ref="M5808">SE</f>
        <v>#NAME?</v>
      </c>
      <c r="N5808" s="118" t="e">
        <f>Tabela6[[#This Row],[KM Rodados ]]/Tabela6[[#This Row],[CONSUMO]]</f>
        <v>#NAME?</v>
      </c>
    </row>
    <row r="5809" spans="1:14" x14ac:dyDescent="0.25">
      <c r="A5809" s="117">
        <v>334028</v>
      </c>
      <c r="B5809" s="78">
        <v>45716</v>
      </c>
      <c r="C5809" s="47" t="s">
        <v>681</v>
      </c>
      <c r="D5809" s="49" t="s">
        <v>262</v>
      </c>
      <c r="E5809" s="117">
        <v>5385</v>
      </c>
      <c r="G5809" s="50" t="s">
        <v>241</v>
      </c>
      <c r="H5809" s="51">
        <v>35.002000000000002</v>
      </c>
      <c r="J5809" s="51">
        <v>3.33</v>
      </c>
      <c r="K5809" s="74">
        <f>Tabela6[[#This Row],[CONSUMO]]*Tabela6[[#This Row],[VALOR UNIT]]-Tabela6[[#This Row],[DESCONTO]]</f>
        <v>116.55666000000001</v>
      </c>
      <c r="L5809" s="53">
        <f>Tabela6[[#This Row],[CUSTO TOTAL]]/Tabela6[[#This Row],[CONSUMO]]</f>
        <v>3.33</v>
      </c>
      <c r="M5809" s="53" t="e">
        <f t="array" ref="M5809">SE</f>
        <v>#NAME?</v>
      </c>
      <c r="N5809" s="118" t="e">
        <f>Tabela6[[#This Row],[KM Rodados ]]/Tabela6[[#This Row],[CONSUMO]]</f>
        <v>#NAME?</v>
      </c>
    </row>
    <row r="5810" spans="1:14" x14ac:dyDescent="0.25">
      <c r="A5810" s="117">
        <v>333849</v>
      </c>
      <c r="B5810" s="78">
        <v>45716</v>
      </c>
      <c r="C5810" s="47" t="s">
        <v>72</v>
      </c>
      <c r="D5810" s="49" t="s">
        <v>262</v>
      </c>
      <c r="E5810" s="117">
        <v>500507</v>
      </c>
      <c r="G5810" s="50" t="s">
        <v>89</v>
      </c>
      <c r="H5810" s="51">
        <v>31.161000000000001</v>
      </c>
      <c r="J5810" s="51">
        <v>6.2899000000000003</v>
      </c>
      <c r="K5810" s="74">
        <f>Tabela6[[#This Row],[CONSUMO]]*Tabela6[[#This Row],[VALOR UNIT]]-Tabela6[[#This Row],[DESCONTO]]</f>
        <v>195.99957390000003</v>
      </c>
      <c r="L5810" s="53">
        <f>Tabela6[[#This Row],[CUSTO TOTAL]]/Tabela6[[#This Row],[CONSUMO]]</f>
        <v>6.2899000000000003</v>
      </c>
      <c r="M5810" s="53" t="e">
        <f t="array" ref="M5810">SE</f>
        <v>#NAME?</v>
      </c>
      <c r="N5810" s="118" t="e">
        <f>Tabela6[[#This Row],[KM Rodados ]]/Tabela6[[#This Row],[CONSUMO]]</f>
        <v>#NAME?</v>
      </c>
    </row>
    <row r="5811" spans="1:14" x14ac:dyDescent="0.25">
      <c r="A5811" s="117">
        <v>333911</v>
      </c>
      <c r="B5811" s="78">
        <v>45716</v>
      </c>
      <c r="C5811" s="47" t="s">
        <v>215</v>
      </c>
      <c r="D5811" s="49" t="s">
        <v>262</v>
      </c>
      <c r="E5811" s="117">
        <v>249788</v>
      </c>
      <c r="G5811" s="50" t="s">
        <v>244</v>
      </c>
      <c r="H5811" s="51">
        <v>37.71</v>
      </c>
      <c r="J5811" s="51">
        <v>5.9898999999999996</v>
      </c>
      <c r="K5811" s="74">
        <f>Tabela6[[#This Row],[CONSUMO]]*Tabela6[[#This Row],[VALOR UNIT]]-Tabela6[[#This Row],[DESCONTO]]</f>
        <v>225.87912899999998</v>
      </c>
      <c r="L5811" s="53">
        <f>Tabela6[[#This Row],[CUSTO TOTAL]]/Tabela6[[#This Row],[CONSUMO]]</f>
        <v>5.9898999999999996</v>
      </c>
      <c r="M5811" s="53" t="e">
        <f t="array" ref="M5811">SE</f>
        <v>#NAME?</v>
      </c>
      <c r="N5811" s="118" t="e">
        <f>Tabela6[[#This Row],[KM Rodados ]]/Tabela6[[#This Row],[CONSUMO]]</f>
        <v>#NAME?</v>
      </c>
    </row>
    <row r="5812" spans="1:14" x14ac:dyDescent="0.25">
      <c r="A5812" s="117">
        <v>391212</v>
      </c>
      <c r="B5812" s="78">
        <v>45716</v>
      </c>
      <c r="C5812" s="47" t="s">
        <v>43</v>
      </c>
      <c r="D5812" s="49" t="s">
        <v>300</v>
      </c>
      <c r="E5812" s="117">
        <v>235704</v>
      </c>
      <c r="G5812" s="50" t="s">
        <v>89</v>
      </c>
      <c r="H5812" s="51">
        <v>47.481000000000002</v>
      </c>
      <c r="J5812" s="51">
        <v>6.29</v>
      </c>
      <c r="K5812" s="74">
        <f>Tabela6[[#This Row],[CONSUMO]]*Tabela6[[#This Row],[VALOR UNIT]]-Tabela6[[#This Row],[DESCONTO]]</f>
        <v>298.65548999999999</v>
      </c>
      <c r="L5812" s="53">
        <f>Tabela6[[#This Row],[CUSTO TOTAL]]/Tabela6[[#This Row],[CONSUMO]]</f>
        <v>6.2899999999999991</v>
      </c>
      <c r="M5812" s="53" t="e">
        <f t="array" ref="M5812">SE</f>
        <v>#NAME?</v>
      </c>
      <c r="N5812" s="118" t="e">
        <f>Tabela6[[#This Row],[KM Rodados ]]/Tabela6[[#This Row],[CONSUMO]]</f>
        <v>#NAME?</v>
      </c>
    </row>
    <row r="5813" spans="1:14" x14ac:dyDescent="0.25">
      <c r="A5813" s="117">
        <v>172439</v>
      </c>
      <c r="B5813" s="78">
        <v>45716</v>
      </c>
      <c r="C5813" s="47" t="s">
        <v>43</v>
      </c>
      <c r="D5813" s="49" t="s">
        <v>246</v>
      </c>
      <c r="E5813" s="117">
        <v>235332</v>
      </c>
      <c r="G5813" s="50" t="s">
        <v>89</v>
      </c>
      <c r="H5813" s="51">
        <v>30.37</v>
      </c>
      <c r="J5813" s="51">
        <v>6.19</v>
      </c>
      <c r="K5813" s="74">
        <f>Tabela6[[#This Row],[CONSUMO]]*Tabela6[[#This Row],[VALOR UNIT]]-Tabela6[[#This Row],[DESCONTO]]</f>
        <v>187.99030000000002</v>
      </c>
      <c r="L5813" s="53">
        <f>Tabela6[[#This Row],[CUSTO TOTAL]]/Tabela6[[#This Row],[CONSUMO]]</f>
        <v>6.19</v>
      </c>
      <c r="M5813" s="53" t="e">
        <f t="array" ref="M5813">SE</f>
        <v>#NAME?</v>
      </c>
      <c r="N5813" s="118" t="e">
        <f>Tabela6[[#This Row],[KM Rodados ]]/Tabela6[[#This Row],[CONSUMO]]</f>
        <v>#NAME?</v>
      </c>
    </row>
    <row r="5814" spans="1:14" x14ac:dyDescent="0.25">
      <c r="A5814" s="117">
        <v>50666</v>
      </c>
      <c r="B5814" s="78">
        <v>45716</v>
      </c>
      <c r="C5814" s="47" t="s">
        <v>18</v>
      </c>
      <c r="D5814" s="49" t="s">
        <v>255</v>
      </c>
      <c r="E5814" s="117">
        <v>394953</v>
      </c>
      <c r="G5814" s="50" t="s">
        <v>89</v>
      </c>
      <c r="H5814" s="51">
        <v>80.489999999999995</v>
      </c>
      <c r="J5814" s="51">
        <v>6.79</v>
      </c>
      <c r="K5814" s="74">
        <f>Tabela6[[#This Row],[CONSUMO]]*Tabela6[[#This Row],[VALOR UNIT]]-Tabela6[[#This Row],[DESCONTO]]</f>
        <v>546.52710000000002</v>
      </c>
      <c r="L5814" s="53">
        <f>Tabela6[[#This Row],[CUSTO TOTAL]]/Tabela6[[#This Row],[CONSUMO]]</f>
        <v>6.7900000000000009</v>
      </c>
      <c r="M5814" s="53" t="e">
        <f t="array" ref="M5814">SE</f>
        <v>#NAME?</v>
      </c>
      <c r="N5814" s="118" t="e">
        <f>Tabela6[[#This Row],[KM Rodados ]]/Tabela6[[#This Row],[CONSUMO]]</f>
        <v>#NAME?</v>
      </c>
    </row>
    <row r="5815" spans="1:14" x14ac:dyDescent="0.25">
      <c r="A5815" s="117" t="s">
        <v>637</v>
      </c>
      <c r="B5815" s="78">
        <v>45717</v>
      </c>
      <c r="C5815" s="47" t="s">
        <v>615</v>
      </c>
      <c r="D5815" s="49" t="s">
        <v>378</v>
      </c>
      <c r="E5815" s="117">
        <v>8278</v>
      </c>
      <c r="G5815" s="50" t="s">
        <v>89</v>
      </c>
      <c r="H5815" s="51">
        <v>415</v>
      </c>
      <c r="J5815" s="51">
        <v>6.29</v>
      </c>
      <c r="K5815" s="74">
        <f>Tabela6[[#This Row],[CONSUMO]]*Tabela6[[#This Row],[VALOR UNIT]]-Tabela6[[#This Row],[DESCONTO]]</f>
        <v>2610.35</v>
      </c>
      <c r="L5815" s="53">
        <f>Tabela6[[#This Row],[CUSTO TOTAL]]/Tabela6[[#This Row],[CONSUMO]]</f>
        <v>6.29</v>
      </c>
      <c r="M5815" s="53" t="e">
        <f t="array" ref="M5815">SE</f>
        <v>#NAME?</v>
      </c>
      <c r="N5815" s="118" t="e">
        <f>Tabela6[[#This Row],[KM Rodados ]]/Tabela6[[#This Row],[CONSUMO]]</f>
        <v>#NAME?</v>
      </c>
    </row>
    <row r="5816" spans="1:14" x14ac:dyDescent="0.25">
      <c r="A5816" s="117">
        <v>359108</v>
      </c>
      <c r="B5816" s="78">
        <v>45719</v>
      </c>
      <c r="C5816" s="47" t="s">
        <v>358</v>
      </c>
      <c r="D5816" s="49" t="s">
        <v>374</v>
      </c>
      <c r="E5816" s="117">
        <v>909636</v>
      </c>
      <c r="G5816" s="50" t="s">
        <v>89</v>
      </c>
      <c r="H5816" s="51">
        <v>514.15</v>
      </c>
      <c r="J5816" s="51">
        <v>6.29</v>
      </c>
      <c r="K5816" s="74">
        <f>Tabela6[[#This Row],[CONSUMO]]*Tabela6[[#This Row],[VALOR UNIT]]-Tabela6[[#This Row],[DESCONTO]]</f>
        <v>3234.0034999999998</v>
      </c>
      <c r="L5816" s="53">
        <f>Tabela6[[#This Row],[CUSTO TOTAL]]/Tabela6[[#This Row],[CONSUMO]]</f>
        <v>6.29</v>
      </c>
      <c r="M5816" s="53" t="e">
        <f t="array" ref="M5816">SE</f>
        <v>#NAME?</v>
      </c>
      <c r="N5816" s="118" t="e">
        <f>Tabela6[[#This Row],[KM Rodados ]]/Tabela6[[#This Row],[CONSUMO]]</f>
        <v>#NAME?</v>
      </c>
    </row>
    <row r="5817" spans="1:14" x14ac:dyDescent="0.25">
      <c r="A5817" s="117">
        <v>13031</v>
      </c>
      <c r="B5817" s="78">
        <v>45719</v>
      </c>
      <c r="C5817" s="47" t="s">
        <v>446</v>
      </c>
      <c r="D5817" s="49" t="s">
        <v>611</v>
      </c>
      <c r="E5817" s="117">
        <v>92268</v>
      </c>
      <c r="G5817" s="50" t="s">
        <v>241</v>
      </c>
      <c r="H5817" s="51">
        <v>28.74</v>
      </c>
      <c r="J5817" s="51">
        <v>3.59</v>
      </c>
      <c r="K5817" s="74">
        <f>Tabela6[[#This Row],[CONSUMO]]*Tabela6[[#This Row],[VALOR UNIT]]-Tabela6[[#This Row],[DESCONTO]]</f>
        <v>103.17659999999999</v>
      </c>
      <c r="L5817" s="53">
        <f>Tabela6[[#This Row],[CUSTO TOTAL]]/Tabela6[[#This Row],[CONSUMO]]</f>
        <v>3.59</v>
      </c>
      <c r="M5817" s="53" t="e">
        <f t="array" ref="M5817">SE</f>
        <v>#NAME?</v>
      </c>
      <c r="N5817" s="118" t="e">
        <f>Tabela6[[#This Row],[KM Rodados ]]/Tabela6[[#This Row],[CONSUMO]]</f>
        <v>#NAME?</v>
      </c>
    </row>
    <row r="5818" spans="1:14" x14ac:dyDescent="0.25">
      <c r="A5818" s="117">
        <v>448973</v>
      </c>
      <c r="B5818" s="78">
        <v>45720</v>
      </c>
      <c r="C5818" s="47" t="s">
        <v>564</v>
      </c>
      <c r="D5818" s="49" t="s">
        <v>333</v>
      </c>
      <c r="E5818" s="117">
        <v>64020</v>
      </c>
      <c r="G5818" s="50" t="s">
        <v>89</v>
      </c>
      <c r="H5818" s="51">
        <v>819.88099999999997</v>
      </c>
      <c r="J5818" s="51">
        <v>6.19</v>
      </c>
      <c r="K5818" s="74">
        <f>Tabela6[[#This Row],[CONSUMO]]*Tabela6[[#This Row],[VALOR UNIT]]-Tabela6[[#This Row],[DESCONTO]]</f>
        <v>5075.0633900000003</v>
      </c>
      <c r="L5818" s="53">
        <f>Tabela6[[#This Row],[CUSTO TOTAL]]/Tabela6[[#This Row],[CONSUMO]]</f>
        <v>6.19</v>
      </c>
      <c r="M5818" s="53" t="e">
        <f t="array" ref="M5818">SE</f>
        <v>#NAME?</v>
      </c>
      <c r="N5818" s="118" t="e">
        <f>Tabela6[[#This Row],[KM Rodados ]]/Tabela6[[#This Row],[CONSUMO]]</f>
        <v>#NAME?</v>
      </c>
    </row>
    <row r="5819" spans="1:14" x14ac:dyDescent="0.25">
      <c r="A5819" s="117">
        <v>448974</v>
      </c>
      <c r="B5819" s="78">
        <v>45720</v>
      </c>
      <c r="C5819" s="47" t="s">
        <v>564</v>
      </c>
      <c r="D5819" s="49" t="s">
        <v>333</v>
      </c>
      <c r="E5819" s="117">
        <v>64020</v>
      </c>
      <c r="G5819" s="50" t="s">
        <v>241</v>
      </c>
      <c r="H5819" s="51">
        <v>259.99</v>
      </c>
      <c r="J5819" s="51">
        <v>3.19</v>
      </c>
      <c r="K5819" s="74">
        <f>Tabela6[[#This Row],[CONSUMO]]*Tabela6[[#This Row],[VALOR UNIT]]-Tabela6[[#This Row],[DESCONTO]]</f>
        <v>829.36810000000003</v>
      </c>
      <c r="L5819" s="53">
        <f>Tabela6[[#This Row],[CUSTO TOTAL]]/Tabela6[[#This Row],[CONSUMO]]</f>
        <v>3.19</v>
      </c>
      <c r="M5819" s="53" t="e">
        <f t="array" ref="M5819">SE</f>
        <v>#NAME?</v>
      </c>
      <c r="N5819" s="118" t="e">
        <f>Tabela6[[#This Row],[KM Rodados ]]/Tabela6[[#This Row],[CONSUMO]]</f>
        <v>#NAME?</v>
      </c>
    </row>
    <row r="5820" spans="1:14" x14ac:dyDescent="0.25">
      <c r="A5820" s="117">
        <v>18084</v>
      </c>
      <c r="B5820" s="78">
        <v>45720</v>
      </c>
      <c r="C5820" s="47" t="s">
        <v>569</v>
      </c>
      <c r="D5820" s="49" t="s">
        <v>612</v>
      </c>
      <c r="E5820" s="117">
        <v>9500</v>
      </c>
      <c r="G5820" s="50" t="s">
        <v>89</v>
      </c>
      <c r="H5820" s="51">
        <v>136.41</v>
      </c>
      <c r="J5820" s="51">
        <v>6.59</v>
      </c>
      <c r="K5820" s="74">
        <f>Tabela6[[#This Row],[CONSUMO]]*Tabela6[[#This Row],[VALOR UNIT]]-Tabela6[[#This Row],[DESCONTO]]</f>
        <v>898.94189999999992</v>
      </c>
      <c r="L5820" s="53">
        <f>Tabela6[[#This Row],[CUSTO TOTAL]]/Tabela6[[#This Row],[CONSUMO]]</f>
        <v>6.59</v>
      </c>
      <c r="M5820" s="53" t="e">
        <f t="array" ref="M5820">SE</f>
        <v>#NAME?</v>
      </c>
      <c r="N5820" s="118" t="e">
        <f>Tabela6[[#This Row],[KM Rodados ]]/Tabela6[[#This Row],[CONSUMO]]</f>
        <v>#NAME?</v>
      </c>
    </row>
    <row r="5821" spans="1:14" x14ac:dyDescent="0.25">
      <c r="A5821" s="117">
        <v>18092</v>
      </c>
      <c r="B5821" s="78">
        <v>45720</v>
      </c>
      <c r="C5821" s="47" t="s">
        <v>569</v>
      </c>
      <c r="D5821" s="49" t="s">
        <v>612</v>
      </c>
      <c r="E5821" s="117">
        <v>9500</v>
      </c>
      <c r="G5821" s="50" t="s">
        <v>241</v>
      </c>
      <c r="H5821" s="51">
        <v>20.55</v>
      </c>
      <c r="J5821" s="51">
        <v>3.79</v>
      </c>
      <c r="K5821" s="74">
        <f>Tabela6[[#This Row],[CONSUMO]]*Tabela6[[#This Row],[VALOR UNIT]]-Tabela6[[#This Row],[DESCONTO]]</f>
        <v>77.884500000000003</v>
      </c>
      <c r="L5821" s="53">
        <f>Tabela6[[#This Row],[CUSTO TOTAL]]/Tabela6[[#This Row],[CONSUMO]]</f>
        <v>3.79</v>
      </c>
      <c r="M5821" s="53" t="e">
        <f t="array" ref="M5821">SE</f>
        <v>#NAME?</v>
      </c>
      <c r="N5821" s="118" t="e">
        <f>Tabela6[[#This Row],[KM Rodados ]]/Tabela6[[#This Row],[CONSUMO]]</f>
        <v>#NAME?</v>
      </c>
    </row>
    <row r="5822" spans="1:14" x14ac:dyDescent="0.25">
      <c r="A5822" s="117">
        <v>517509</v>
      </c>
      <c r="B5822" s="78">
        <v>45721</v>
      </c>
      <c r="C5822" s="47" t="s">
        <v>23</v>
      </c>
      <c r="D5822" s="49" t="s">
        <v>273</v>
      </c>
      <c r="E5822" s="117">
        <v>325819</v>
      </c>
      <c r="G5822" s="50" t="s">
        <v>89</v>
      </c>
      <c r="H5822" s="51">
        <v>165.07</v>
      </c>
      <c r="J5822" s="51">
        <v>6.29</v>
      </c>
      <c r="K5822" s="74">
        <f>Tabela6[[#This Row],[CONSUMO]]*Tabela6[[#This Row],[VALOR UNIT]]-Tabela6[[#This Row],[DESCONTO]]</f>
        <v>1038.2902999999999</v>
      </c>
      <c r="L5822" s="53">
        <f>Tabela6[[#This Row],[CUSTO TOTAL]]/Tabela6[[#This Row],[CONSUMO]]</f>
        <v>6.2899999999999991</v>
      </c>
      <c r="M5822" s="53" t="e">
        <f t="array" ref="M5822">SE</f>
        <v>#NAME?</v>
      </c>
      <c r="N5822" s="118" t="e">
        <f>Tabela6[[#This Row],[KM Rodados ]]/Tabela6[[#This Row],[CONSUMO]]</f>
        <v>#NAME?</v>
      </c>
    </row>
    <row r="5823" spans="1:14" x14ac:dyDescent="0.25">
      <c r="A5823" s="117">
        <v>458875</v>
      </c>
      <c r="B5823" s="78">
        <v>45721</v>
      </c>
      <c r="C5823" s="47" t="s">
        <v>39</v>
      </c>
      <c r="D5823" s="49" t="s">
        <v>253</v>
      </c>
      <c r="E5823" s="117">
        <v>141884</v>
      </c>
      <c r="G5823" s="50" t="s">
        <v>89</v>
      </c>
      <c r="H5823" s="51">
        <v>94.5</v>
      </c>
      <c r="J5823" s="51">
        <v>6.39</v>
      </c>
      <c r="K5823" s="74">
        <f>Tabela6[[#This Row],[CONSUMO]]*Tabela6[[#This Row],[VALOR UNIT]]-Tabela6[[#This Row],[DESCONTO]]</f>
        <v>603.85500000000002</v>
      </c>
      <c r="L5823" s="53">
        <f>Tabela6[[#This Row],[CUSTO TOTAL]]/Tabela6[[#This Row],[CONSUMO]]</f>
        <v>6.3900000000000006</v>
      </c>
      <c r="M5823" s="53" t="e">
        <f t="array" ref="M5823">SE</f>
        <v>#NAME?</v>
      </c>
      <c r="N5823" s="118" t="e">
        <f>Tabela6[[#This Row],[KM Rodados ]]/Tabela6[[#This Row],[CONSUMO]]</f>
        <v>#NAME?</v>
      </c>
    </row>
    <row r="5824" spans="1:14" x14ac:dyDescent="0.25">
      <c r="A5824" s="117">
        <v>458875</v>
      </c>
      <c r="B5824" s="78">
        <v>45721</v>
      </c>
      <c r="C5824" s="47" t="s">
        <v>39</v>
      </c>
      <c r="D5824" s="49" t="s">
        <v>253</v>
      </c>
      <c r="E5824" s="117">
        <v>141884</v>
      </c>
      <c r="G5824" s="50" t="s">
        <v>241</v>
      </c>
      <c r="H5824" s="51">
        <v>11.5</v>
      </c>
      <c r="J5824" s="51">
        <v>3.49</v>
      </c>
      <c r="K5824" s="74">
        <f>Tabela6[[#This Row],[CONSUMO]]*Tabela6[[#This Row],[VALOR UNIT]]-Tabela6[[#This Row],[DESCONTO]]</f>
        <v>40.135000000000005</v>
      </c>
      <c r="L5824" s="53">
        <f>Tabela6[[#This Row],[CUSTO TOTAL]]/Tabela6[[#This Row],[CONSUMO]]</f>
        <v>3.4900000000000007</v>
      </c>
      <c r="M5824" s="53" t="e">
        <f t="array" ref="M5824">SE</f>
        <v>#NAME?</v>
      </c>
      <c r="N5824" s="118" t="e">
        <f>Tabela6[[#This Row],[KM Rodados ]]/Tabela6[[#This Row],[CONSUMO]]</f>
        <v>#NAME?</v>
      </c>
    </row>
    <row r="5825" spans="1:14" x14ac:dyDescent="0.25">
      <c r="A5825" s="117" t="s">
        <v>687</v>
      </c>
      <c r="B5825" s="78">
        <v>45722</v>
      </c>
      <c r="C5825" s="47" t="s">
        <v>11</v>
      </c>
      <c r="D5825" s="49" t="s">
        <v>253</v>
      </c>
      <c r="E5825" s="117">
        <v>431599</v>
      </c>
      <c r="G5825" s="50" t="s">
        <v>89</v>
      </c>
      <c r="H5825" s="51">
        <v>119.59</v>
      </c>
      <c r="J5825" s="51">
        <v>6.39</v>
      </c>
      <c r="K5825" s="74">
        <f>Tabela6[[#This Row],[CONSUMO]]*Tabela6[[#This Row],[VALOR UNIT]]-Tabela6[[#This Row],[DESCONTO]]</f>
        <v>764.18010000000004</v>
      </c>
      <c r="L5825" s="53">
        <f>Tabela6[[#This Row],[CUSTO TOTAL]]/Tabela6[[#This Row],[CONSUMO]]</f>
        <v>6.3900000000000006</v>
      </c>
      <c r="M5825" s="53" t="e">
        <f t="array" ref="M5825">SE</f>
        <v>#NAME?</v>
      </c>
      <c r="N5825" s="118" t="e">
        <f>Tabela6[[#This Row],[KM Rodados ]]/Tabela6[[#This Row],[CONSUMO]]</f>
        <v>#NAME?</v>
      </c>
    </row>
    <row r="5826" spans="1:14" x14ac:dyDescent="0.25">
      <c r="A5826" s="117">
        <v>29171</v>
      </c>
      <c r="B5826" s="78">
        <v>45722</v>
      </c>
      <c r="C5826" s="47" t="s">
        <v>43</v>
      </c>
      <c r="D5826" s="49" t="s">
        <v>512</v>
      </c>
      <c r="E5826" s="117">
        <v>266097</v>
      </c>
      <c r="G5826" s="50" t="s">
        <v>89</v>
      </c>
      <c r="H5826" s="51">
        <v>38.58</v>
      </c>
      <c r="J5826" s="51">
        <v>6.44</v>
      </c>
      <c r="K5826" s="74">
        <f>Tabela6[[#This Row],[CONSUMO]]*Tabela6[[#This Row],[VALOR UNIT]]-Tabela6[[#This Row],[DESCONTO]]</f>
        <v>248.45519999999999</v>
      </c>
      <c r="L5826" s="53">
        <f>Tabela6[[#This Row],[CUSTO TOTAL]]/Tabela6[[#This Row],[CONSUMO]]</f>
        <v>6.44</v>
      </c>
      <c r="M5826" s="53" t="e">
        <f t="array" ref="M5826">SE</f>
        <v>#NAME?</v>
      </c>
      <c r="N5826" s="118" t="e">
        <f>Tabela6[[#This Row],[KM Rodados ]]/Tabela6[[#This Row],[CONSUMO]]</f>
        <v>#NAME?</v>
      </c>
    </row>
    <row r="5827" spans="1:14" x14ac:dyDescent="0.25">
      <c r="A5827" s="117">
        <v>28591</v>
      </c>
      <c r="B5827" s="78">
        <v>45722</v>
      </c>
      <c r="C5827" s="47" t="s">
        <v>72</v>
      </c>
      <c r="D5827" s="49" t="s">
        <v>389</v>
      </c>
      <c r="E5827" s="117">
        <v>501541</v>
      </c>
      <c r="G5827" s="50" t="s">
        <v>89</v>
      </c>
      <c r="H5827" s="51">
        <v>24.74</v>
      </c>
      <c r="J5827" s="51">
        <v>6.79</v>
      </c>
      <c r="K5827" s="74">
        <f>Tabela6[[#This Row],[CONSUMO]]*Tabela6[[#This Row],[VALOR UNIT]]-Tabela6[[#This Row],[DESCONTO]]</f>
        <v>167.9846</v>
      </c>
      <c r="L5827" s="53">
        <f>Tabela6[[#This Row],[CUSTO TOTAL]]/Tabela6[[#This Row],[CONSUMO]]</f>
        <v>6.79</v>
      </c>
      <c r="M5827" s="53" t="e">
        <f t="array" ref="M5827">SE</f>
        <v>#NAME?</v>
      </c>
      <c r="N5827" s="118" t="e">
        <f>Tabela6[[#This Row],[KM Rodados ]]/Tabela6[[#This Row],[CONSUMO]]</f>
        <v>#NAME?</v>
      </c>
    </row>
    <row r="5828" spans="1:14" x14ac:dyDescent="0.25">
      <c r="A5828" s="117">
        <v>30211</v>
      </c>
      <c r="B5828" s="78">
        <v>45722</v>
      </c>
      <c r="C5828" s="47" t="s">
        <v>401</v>
      </c>
      <c r="D5828" s="49" t="s">
        <v>402</v>
      </c>
      <c r="E5828" s="121">
        <v>91407</v>
      </c>
      <c r="G5828" s="50" t="s">
        <v>89</v>
      </c>
      <c r="H5828" s="51">
        <v>62.6</v>
      </c>
      <c r="J5828" s="51">
        <v>6.39</v>
      </c>
      <c r="K5828" s="74">
        <f>Tabela6[[#This Row],[CONSUMO]]*Tabela6[[#This Row],[VALOR UNIT]]-Tabela6[[#This Row],[DESCONTO]]</f>
        <v>400.01400000000001</v>
      </c>
      <c r="L5828" s="53">
        <f>Tabela6[[#This Row],[CUSTO TOTAL]]/Tabela6[[#This Row],[CONSUMO]]</f>
        <v>6.39</v>
      </c>
      <c r="M5828" s="53" t="e">
        <f t="array" ref="M5828">SE</f>
        <v>#NAME?</v>
      </c>
      <c r="N5828" s="118" t="e">
        <f>Tabela6[[#This Row],[KM Rodados ]]/Tabela6[[#This Row],[CONSUMO]]</f>
        <v>#NAME?</v>
      </c>
    </row>
    <row r="5829" spans="1:14" x14ac:dyDescent="0.25">
      <c r="A5829" s="117">
        <v>31189</v>
      </c>
      <c r="B5829" s="78">
        <v>45722</v>
      </c>
      <c r="C5829" s="47" t="s">
        <v>446</v>
      </c>
      <c r="D5829" s="49" t="s">
        <v>611</v>
      </c>
      <c r="E5829" s="117">
        <v>93590</v>
      </c>
      <c r="G5829" s="50" t="s">
        <v>89</v>
      </c>
      <c r="H5829" s="51">
        <v>150.47999999999999</v>
      </c>
      <c r="J5829" s="51">
        <v>6.22</v>
      </c>
      <c r="K5829" s="74">
        <f>Tabela6[[#This Row],[CONSUMO]]*Tabela6[[#This Row],[VALOR UNIT]]-Tabela6[[#This Row],[DESCONTO]]</f>
        <v>935.98559999999986</v>
      </c>
      <c r="L5829" s="53">
        <f>Tabela6[[#This Row],[CUSTO TOTAL]]/Tabela6[[#This Row],[CONSUMO]]</f>
        <v>6.22</v>
      </c>
      <c r="M5829" s="53" t="e">
        <f t="array" ref="M5829">SE</f>
        <v>#NAME?</v>
      </c>
      <c r="N5829" s="118" t="e">
        <f>Tabela6[[#This Row],[KM Rodados ]]/Tabela6[[#This Row],[CONSUMO]]</f>
        <v>#NAME?</v>
      </c>
    </row>
    <row r="5830" spans="1:14" x14ac:dyDescent="0.25">
      <c r="A5830" s="117">
        <v>31197</v>
      </c>
      <c r="B5830" s="78">
        <v>45722</v>
      </c>
      <c r="C5830" s="47" t="s">
        <v>446</v>
      </c>
      <c r="D5830" s="49" t="s">
        <v>611</v>
      </c>
      <c r="E5830" s="117">
        <v>93590</v>
      </c>
      <c r="G5830" s="50" t="s">
        <v>241</v>
      </c>
      <c r="H5830" s="51">
        <v>24.15</v>
      </c>
      <c r="J5830" s="51">
        <v>3.59</v>
      </c>
      <c r="K5830" s="74">
        <f>Tabela6[[#This Row],[CONSUMO]]*Tabela6[[#This Row],[VALOR UNIT]]-Tabela6[[#This Row],[DESCONTO]]</f>
        <v>86.698499999999996</v>
      </c>
      <c r="L5830" s="53">
        <f>Tabela6[[#This Row],[CUSTO TOTAL]]/Tabela6[[#This Row],[CONSUMO]]</f>
        <v>3.59</v>
      </c>
      <c r="M5830" s="53" t="e">
        <f t="array" ref="M5830">SE</f>
        <v>#NAME?</v>
      </c>
      <c r="N5830" s="118" t="e">
        <f>Tabela6[[#This Row],[KM Rodados ]]/Tabela6[[#This Row],[CONSUMO]]</f>
        <v>#NAME?</v>
      </c>
    </row>
    <row r="5831" spans="1:14" x14ac:dyDescent="0.25">
      <c r="A5831" s="117">
        <v>32992</v>
      </c>
      <c r="B5831" s="78">
        <v>45722</v>
      </c>
      <c r="C5831" s="47" t="s">
        <v>564</v>
      </c>
      <c r="D5831" s="49" t="s">
        <v>613</v>
      </c>
      <c r="E5831" s="117">
        <v>64427</v>
      </c>
      <c r="G5831" s="50" t="s">
        <v>89</v>
      </c>
      <c r="H5831" s="51">
        <v>379.47</v>
      </c>
      <c r="J5831" s="51">
        <v>6.29</v>
      </c>
      <c r="K5831" s="74">
        <f>Tabela6[[#This Row],[CONSUMO]]*Tabela6[[#This Row],[VALOR UNIT]]-Tabela6[[#This Row],[DESCONTO]]</f>
        <v>2386.8663000000001</v>
      </c>
      <c r="L5831" s="53">
        <f>Tabela6[[#This Row],[CUSTO TOTAL]]/Tabela6[[#This Row],[CONSUMO]]</f>
        <v>6.29</v>
      </c>
      <c r="M5831" s="53" t="e">
        <f t="array" ref="M5831">SE</f>
        <v>#NAME?</v>
      </c>
      <c r="N5831" s="118" t="e">
        <f>Tabela6[[#This Row],[KM Rodados ]]/Tabela6[[#This Row],[CONSUMO]]</f>
        <v>#NAME?</v>
      </c>
    </row>
    <row r="5832" spans="1:14" x14ac:dyDescent="0.25">
      <c r="A5832" s="117">
        <v>584207</v>
      </c>
      <c r="B5832" s="78">
        <v>45722</v>
      </c>
      <c r="C5832" s="47" t="s">
        <v>67</v>
      </c>
      <c r="D5832" s="49" t="s">
        <v>269</v>
      </c>
      <c r="E5832" s="117">
        <v>764840</v>
      </c>
      <c r="G5832" s="50" t="s">
        <v>89</v>
      </c>
      <c r="H5832" s="51">
        <v>165</v>
      </c>
      <c r="J5832" s="51">
        <v>6.29</v>
      </c>
      <c r="K5832" s="74">
        <f>Tabela6[[#This Row],[CONSUMO]]*Tabela6[[#This Row],[VALOR UNIT]]-Tabela6[[#This Row],[DESCONTO]]</f>
        <v>1037.8499999999999</v>
      </c>
      <c r="L5832" s="53">
        <f>Tabela6[[#This Row],[CUSTO TOTAL]]/Tabela6[[#This Row],[CONSUMO]]</f>
        <v>6.2899999999999991</v>
      </c>
      <c r="M5832" s="53" t="e">
        <f t="array" ref="M5832">SE</f>
        <v>#NAME?</v>
      </c>
      <c r="N5832" s="118" t="e">
        <f>Tabela6[[#This Row],[KM Rodados ]]/Tabela6[[#This Row],[CONSUMO]]</f>
        <v>#NAME?</v>
      </c>
    </row>
    <row r="5833" spans="1:14" x14ac:dyDescent="0.25">
      <c r="A5833" s="117">
        <v>584208</v>
      </c>
      <c r="B5833" s="78">
        <v>45722</v>
      </c>
      <c r="C5833" s="47" t="s">
        <v>67</v>
      </c>
      <c r="D5833" s="49" t="s">
        <v>269</v>
      </c>
      <c r="E5833" s="117">
        <v>764842</v>
      </c>
      <c r="G5833" s="50" t="s">
        <v>241</v>
      </c>
      <c r="H5833" s="51">
        <v>12.44</v>
      </c>
      <c r="J5833" s="51">
        <v>3.19</v>
      </c>
      <c r="K5833" s="74">
        <f>Tabela6[[#This Row],[CONSUMO]]*Tabela6[[#This Row],[VALOR UNIT]]-Tabela6[[#This Row],[DESCONTO]]</f>
        <v>39.683599999999998</v>
      </c>
      <c r="L5833" s="53">
        <f>Tabela6[[#This Row],[CUSTO TOTAL]]/Tabela6[[#This Row],[CONSUMO]]</f>
        <v>3.19</v>
      </c>
      <c r="M5833" s="53" t="e">
        <f t="array" ref="M5833">SE</f>
        <v>#NAME?</v>
      </c>
      <c r="N5833" s="118" t="e">
        <f>Tabela6[[#This Row],[KM Rodados ]]/Tabela6[[#This Row],[CONSUMO]]</f>
        <v>#NAME?</v>
      </c>
    </row>
    <row r="5834" spans="1:14" x14ac:dyDescent="0.25">
      <c r="A5834" s="117">
        <v>360041</v>
      </c>
      <c r="B5834" s="78">
        <v>45722</v>
      </c>
      <c r="C5834" s="47" t="s">
        <v>358</v>
      </c>
      <c r="D5834" s="49" t="s">
        <v>374</v>
      </c>
      <c r="E5834" s="117">
        <v>911248</v>
      </c>
      <c r="G5834" s="50" t="s">
        <v>89</v>
      </c>
      <c r="H5834" s="51">
        <v>501</v>
      </c>
      <c r="J5834" s="51">
        <v>6.29</v>
      </c>
      <c r="K5834" s="74">
        <f>Tabela6[[#This Row],[CONSUMO]]*Tabela6[[#This Row],[VALOR UNIT]]-Tabela6[[#This Row],[DESCONTO]]</f>
        <v>3151.29</v>
      </c>
      <c r="L5834" s="53">
        <f>Tabela6[[#This Row],[CUSTO TOTAL]]/Tabela6[[#This Row],[CONSUMO]]</f>
        <v>6.29</v>
      </c>
      <c r="M5834" s="53" t="e">
        <f t="array" ref="M5834">SE</f>
        <v>#NAME?</v>
      </c>
      <c r="N5834" s="118" t="e">
        <f>Tabela6[[#This Row],[KM Rodados ]]/Tabela6[[#This Row],[CONSUMO]]</f>
        <v>#NAME?</v>
      </c>
    </row>
    <row r="5835" spans="1:14" x14ac:dyDescent="0.25">
      <c r="A5835" s="117">
        <v>89500</v>
      </c>
      <c r="B5835" s="78">
        <v>45722</v>
      </c>
      <c r="C5835" s="47" t="s">
        <v>564</v>
      </c>
      <c r="D5835" s="49" t="s">
        <v>332</v>
      </c>
      <c r="E5835" s="117">
        <v>6574</v>
      </c>
      <c r="G5835" s="50" t="s">
        <v>89</v>
      </c>
      <c r="H5835" s="51">
        <v>685.00400000000002</v>
      </c>
      <c r="J5835" s="51">
        <v>5.99</v>
      </c>
      <c r="K5835" s="74">
        <f>Tabela6[[#This Row],[CONSUMO]]*Tabela6[[#This Row],[VALOR UNIT]]-Tabela6[[#This Row],[DESCONTO]]</f>
        <v>4103.1739600000001</v>
      </c>
      <c r="L5835" s="53">
        <f>Tabela6[[#This Row],[CUSTO TOTAL]]/Tabela6[[#This Row],[CONSUMO]]</f>
        <v>5.99</v>
      </c>
      <c r="M5835" s="53" t="e">
        <f t="array" ref="M5835">SE</f>
        <v>#NAME?</v>
      </c>
      <c r="N5835" s="118" t="e">
        <f>Tabela6[[#This Row],[KM Rodados ]]/Tabela6[[#This Row],[CONSUMO]]</f>
        <v>#NAME?</v>
      </c>
    </row>
    <row r="5836" spans="1:14" x14ac:dyDescent="0.25">
      <c r="A5836" s="117">
        <v>517800</v>
      </c>
      <c r="B5836" s="78">
        <v>45722</v>
      </c>
      <c r="C5836" s="47" t="s">
        <v>67</v>
      </c>
      <c r="D5836" s="49" t="s">
        <v>269</v>
      </c>
      <c r="E5836" s="117">
        <v>765210</v>
      </c>
      <c r="G5836" s="50" t="s">
        <v>89</v>
      </c>
      <c r="H5836" s="51">
        <v>87.441000000000003</v>
      </c>
      <c r="J5836" s="51">
        <v>6.29</v>
      </c>
      <c r="K5836" s="74">
        <f>Tabela6[[#This Row],[CONSUMO]]*Tabela6[[#This Row],[VALOR UNIT]]-Tabela6[[#This Row],[DESCONTO]]</f>
        <v>550.00389000000007</v>
      </c>
      <c r="L5836" s="53">
        <f>Tabela6[[#This Row],[CUSTO TOTAL]]/Tabela6[[#This Row],[CONSUMO]]</f>
        <v>6.2900000000000009</v>
      </c>
      <c r="M5836" s="53" t="e">
        <f t="array" ref="M5836">SE</f>
        <v>#NAME?</v>
      </c>
      <c r="N5836" s="118" t="e">
        <f>Tabela6[[#This Row],[KM Rodados ]]/Tabela6[[#This Row],[CONSUMO]]</f>
        <v>#NAME?</v>
      </c>
    </row>
    <row r="5837" spans="1:14" x14ac:dyDescent="0.25">
      <c r="A5837" s="117">
        <v>335745</v>
      </c>
      <c r="B5837" s="78">
        <v>45722</v>
      </c>
      <c r="C5837" s="47" t="s">
        <v>74</v>
      </c>
      <c r="D5837" s="49" t="s">
        <v>262</v>
      </c>
      <c r="E5837" s="117">
        <v>179804</v>
      </c>
      <c r="G5837" s="50" t="s">
        <v>241</v>
      </c>
      <c r="H5837" s="51">
        <v>6.01</v>
      </c>
      <c r="J5837" s="51">
        <v>3.3294000000000001</v>
      </c>
      <c r="K5837" s="74">
        <f>Tabela6[[#This Row],[CONSUMO]]*Tabela6[[#This Row],[VALOR UNIT]]-Tabela6[[#This Row],[DESCONTO]]</f>
        <v>20.009694</v>
      </c>
      <c r="L5837" s="53">
        <f>Tabela6[[#This Row],[CUSTO TOTAL]]/Tabela6[[#This Row],[CONSUMO]]</f>
        <v>3.3294000000000001</v>
      </c>
      <c r="M5837" s="53" t="e">
        <f t="array" ref="M5837">SE</f>
        <v>#NAME?</v>
      </c>
      <c r="N5837" s="118" t="e">
        <f>Tabela6[[#This Row],[KM Rodados ]]/Tabela6[[#This Row],[CONSUMO]]</f>
        <v>#NAME?</v>
      </c>
    </row>
    <row r="5838" spans="1:14" x14ac:dyDescent="0.25">
      <c r="A5838" s="117">
        <v>335636</v>
      </c>
      <c r="B5838" s="78">
        <v>45722</v>
      </c>
      <c r="C5838" s="47" t="s">
        <v>354</v>
      </c>
      <c r="D5838" s="49" t="s">
        <v>262</v>
      </c>
      <c r="E5838" s="117">
        <v>93194</v>
      </c>
      <c r="G5838" s="50" t="s">
        <v>241</v>
      </c>
      <c r="H5838" s="51">
        <v>25.016999999999999</v>
      </c>
      <c r="J5838" s="51">
        <v>3.33</v>
      </c>
      <c r="K5838" s="74">
        <f>Tabela6[[#This Row],[CONSUMO]]*Tabela6[[#This Row],[VALOR UNIT]]-Tabela6[[#This Row],[DESCONTO]]</f>
        <v>83.306610000000006</v>
      </c>
      <c r="L5838" s="53">
        <f>Tabela6[[#This Row],[CUSTO TOTAL]]/Tabela6[[#This Row],[CONSUMO]]</f>
        <v>3.3300000000000005</v>
      </c>
      <c r="M5838" s="53" t="e">
        <f t="array" ref="M5838">SE</f>
        <v>#NAME?</v>
      </c>
      <c r="N5838" s="118" t="e">
        <f>Tabela6[[#This Row],[KM Rodados ]]/Tabela6[[#This Row],[CONSUMO]]</f>
        <v>#NAME?</v>
      </c>
    </row>
    <row r="5839" spans="1:14" x14ac:dyDescent="0.25">
      <c r="A5839" s="117">
        <v>395199</v>
      </c>
      <c r="B5839" s="78">
        <v>45723</v>
      </c>
      <c r="C5839" s="47" t="s">
        <v>615</v>
      </c>
      <c r="D5839" s="49" t="s">
        <v>300</v>
      </c>
      <c r="E5839" s="117">
        <v>9106</v>
      </c>
      <c r="G5839" s="50" t="s">
        <v>89</v>
      </c>
      <c r="H5839" s="51">
        <v>365</v>
      </c>
      <c r="J5839" s="51">
        <v>6.29</v>
      </c>
      <c r="K5839" s="74">
        <f>Tabela6[[#This Row],[CONSUMO]]*Tabela6[[#This Row],[VALOR UNIT]]-Tabela6[[#This Row],[DESCONTO]]</f>
        <v>2295.85</v>
      </c>
      <c r="L5839" s="53">
        <f>Tabela6[[#This Row],[CUSTO TOTAL]]/Tabela6[[#This Row],[CONSUMO]]</f>
        <v>6.29</v>
      </c>
      <c r="M5839" s="53" t="e">
        <f t="array" ref="M5839">SE</f>
        <v>#NAME?</v>
      </c>
      <c r="N5839" s="118" t="e">
        <f>Tabela6[[#This Row],[KM Rodados ]]/Tabela6[[#This Row],[CONSUMO]]</f>
        <v>#NAME?</v>
      </c>
    </row>
    <row r="5840" spans="1:14" x14ac:dyDescent="0.25">
      <c r="A5840" s="117">
        <v>395200</v>
      </c>
      <c r="B5840" s="78">
        <v>45723</v>
      </c>
      <c r="C5840" s="47" t="s">
        <v>358</v>
      </c>
      <c r="D5840" s="49" t="s">
        <v>300</v>
      </c>
      <c r="E5840" s="117">
        <v>9106</v>
      </c>
      <c r="G5840" s="50" t="s">
        <v>241</v>
      </c>
      <c r="H5840" s="51">
        <v>35.44</v>
      </c>
      <c r="J5840" s="51">
        <v>3.19</v>
      </c>
      <c r="K5840" s="74">
        <f>Tabela6[[#This Row],[CONSUMO]]*Tabela6[[#This Row],[VALOR UNIT]]-Tabela6[[#This Row],[DESCONTO]]</f>
        <v>113.05359999999999</v>
      </c>
      <c r="L5840" s="53">
        <f>Tabela6[[#This Row],[CUSTO TOTAL]]/Tabela6[[#This Row],[CONSUMO]]</f>
        <v>3.19</v>
      </c>
      <c r="M5840" s="53" t="e">
        <f t="array" ref="M5840">SE</f>
        <v>#NAME?</v>
      </c>
      <c r="N5840" s="118" t="e">
        <f>Tabela6[[#This Row],[KM Rodados ]]/Tabela6[[#This Row],[CONSUMO]]</f>
        <v>#NAME?</v>
      </c>
    </row>
    <row r="5841" spans="1:14" x14ac:dyDescent="0.25">
      <c r="A5841" s="117">
        <v>35303</v>
      </c>
      <c r="B5841" s="78">
        <v>45723</v>
      </c>
      <c r="C5841" s="47" t="s">
        <v>72</v>
      </c>
      <c r="D5841" s="49" t="s">
        <v>614</v>
      </c>
      <c r="E5841" s="117">
        <v>502104</v>
      </c>
      <c r="G5841" s="50" t="s">
        <v>89</v>
      </c>
      <c r="H5841" s="51">
        <v>35.840000000000003</v>
      </c>
      <c r="J5841" s="51">
        <v>6.99</v>
      </c>
      <c r="K5841" s="74">
        <f>Tabela6[[#This Row],[CONSUMO]]*Tabela6[[#This Row],[VALOR UNIT]]-Tabela6[[#This Row],[DESCONTO]]</f>
        <v>250.52160000000003</v>
      </c>
      <c r="L5841" s="53">
        <f>Tabela6[[#This Row],[CUSTO TOTAL]]/Tabela6[[#This Row],[CONSUMO]]</f>
        <v>6.99</v>
      </c>
      <c r="M5841" s="53" t="e">
        <f t="array" ref="M5841">SE</f>
        <v>#NAME?</v>
      </c>
      <c r="N5841" s="118" t="e">
        <f>Tabela6[[#This Row],[KM Rodados ]]/Tabela6[[#This Row],[CONSUMO]]</f>
        <v>#NAME?</v>
      </c>
    </row>
    <row r="5842" spans="1:14" x14ac:dyDescent="0.25">
      <c r="A5842" s="117">
        <v>36156</v>
      </c>
      <c r="B5842" s="78">
        <v>45723</v>
      </c>
      <c r="C5842" s="47" t="s">
        <v>569</v>
      </c>
      <c r="D5842" s="49" t="s">
        <v>453</v>
      </c>
      <c r="E5842" s="117">
        <v>9999</v>
      </c>
      <c r="G5842" s="50" t="s">
        <v>89</v>
      </c>
      <c r="H5842" s="51">
        <v>185.58</v>
      </c>
      <c r="J5842" s="51">
        <v>6.64</v>
      </c>
      <c r="K5842" s="74">
        <f>Tabela6[[#This Row],[CONSUMO]]*Tabela6[[#This Row],[VALOR UNIT]]-Tabela6[[#This Row],[DESCONTO]]</f>
        <v>1232.2511999999999</v>
      </c>
      <c r="L5842" s="53">
        <f>Tabela6[[#This Row],[CUSTO TOTAL]]/Tabela6[[#This Row],[CONSUMO]]</f>
        <v>6.6399999999999988</v>
      </c>
      <c r="M5842" s="53" t="e">
        <f t="array" ref="M5842">SE</f>
        <v>#NAME?</v>
      </c>
      <c r="N5842" s="118" t="e">
        <f>Tabela6[[#This Row],[KM Rodados ]]/Tabela6[[#This Row],[CONSUMO]]</f>
        <v>#NAME?</v>
      </c>
    </row>
    <row r="5843" spans="1:14" x14ac:dyDescent="0.25">
      <c r="A5843" s="117">
        <v>394953</v>
      </c>
      <c r="B5843" s="78">
        <v>45723</v>
      </c>
      <c r="C5843" s="47" t="s">
        <v>38</v>
      </c>
      <c r="D5843" s="49" t="s">
        <v>255</v>
      </c>
      <c r="E5843" s="117">
        <v>163715</v>
      </c>
      <c r="G5843" s="50" t="s">
        <v>244</v>
      </c>
      <c r="H5843" s="51">
        <v>51.95</v>
      </c>
      <c r="J5843" s="51">
        <v>6.09</v>
      </c>
      <c r="K5843" s="74">
        <f>Tabela6[[#This Row],[CONSUMO]]*Tabela6[[#This Row],[VALOR UNIT]]-Tabela6[[#This Row],[DESCONTO]]</f>
        <v>316.37549999999999</v>
      </c>
      <c r="L5843" s="53">
        <f>Tabela6[[#This Row],[CUSTO TOTAL]]/Tabela6[[#This Row],[CONSUMO]]</f>
        <v>6.09</v>
      </c>
      <c r="M5843" s="53" t="e">
        <f t="array" ref="M5843">SE</f>
        <v>#NAME?</v>
      </c>
      <c r="N5843" s="118" t="e">
        <f>Tabela6[[#This Row],[KM Rodados ]]/Tabela6[[#This Row],[CONSUMO]]</f>
        <v>#NAME?</v>
      </c>
    </row>
    <row r="5844" spans="1:14" x14ac:dyDescent="0.25">
      <c r="A5844" s="117">
        <v>335867</v>
      </c>
      <c r="B5844" s="78">
        <v>45723</v>
      </c>
      <c r="C5844" s="47" t="s">
        <v>40</v>
      </c>
      <c r="D5844" s="49" t="s">
        <v>262</v>
      </c>
      <c r="E5844" s="117">
        <v>247044</v>
      </c>
      <c r="G5844" s="50" t="s">
        <v>244</v>
      </c>
      <c r="H5844" s="51">
        <v>49.29</v>
      </c>
      <c r="J5844" s="51">
        <v>5.99</v>
      </c>
      <c r="K5844" s="74">
        <f>Tabela6[[#This Row],[CONSUMO]]*Tabela6[[#This Row],[VALOR UNIT]]-Tabela6[[#This Row],[DESCONTO]]</f>
        <v>295.24709999999999</v>
      </c>
      <c r="L5844" s="53">
        <f>Tabela6[[#This Row],[CUSTO TOTAL]]/Tabela6[[#This Row],[CONSUMO]]</f>
        <v>5.99</v>
      </c>
      <c r="M5844" s="53" t="e">
        <f t="array" ref="M5844">SE</f>
        <v>#NAME?</v>
      </c>
      <c r="N5844" s="118" t="e">
        <f>Tabela6[[#This Row],[KM Rodados ]]/Tabela6[[#This Row],[CONSUMO]]</f>
        <v>#NAME?</v>
      </c>
    </row>
    <row r="5845" spans="1:14" x14ac:dyDescent="0.25">
      <c r="A5845" s="117">
        <v>361016</v>
      </c>
      <c r="B5845" s="78">
        <v>45725</v>
      </c>
      <c r="C5845" s="47" t="s">
        <v>615</v>
      </c>
      <c r="D5845" s="49" t="s">
        <v>374</v>
      </c>
      <c r="E5845" s="117">
        <v>10034</v>
      </c>
      <c r="G5845" s="50" t="s">
        <v>89</v>
      </c>
      <c r="H5845" s="51">
        <v>480.56</v>
      </c>
      <c r="J5845" s="51">
        <v>6.29</v>
      </c>
      <c r="K5845" s="74">
        <f>Tabela6[[#This Row],[CONSUMO]]*Tabela6[[#This Row],[VALOR UNIT]]-Tabela6[[#This Row],[DESCONTO]]</f>
        <v>3022.7224000000001</v>
      </c>
      <c r="L5845" s="53">
        <f>Tabela6[[#This Row],[CUSTO TOTAL]]/Tabela6[[#This Row],[CONSUMO]]</f>
        <v>6.29</v>
      </c>
      <c r="M5845" s="53" t="e">
        <f t="array" ref="M5845">SE</f>
        <v>#NAME?</v>
      </c>
      <c r="N5845" s="118" t="e">
        <f>Tabela6[[#This Row],[KM Rodados ]]/Tabela6[[#This Row],[CONSUMO]]</f>
        <v>#NAME?</v>
      </c>
    </row>
    <row r="5846" spans="1:14" x14ac:dyDescent="0.25">
      <c r="A5846" s="117">
        <v>53925</v>
      </c>
      <c r="B5846" s="78">
        <v>45726</v>
      </c>
      <c r="C5846" s="47" t="s">
        <v>615</v>
      </c>
      <c r="D5846" s="49" t="s">
        <v>613</v>
      </c>
      <c r="E5846" s="117">
        <v>10669</v>
      </c>
      <c r="G5846" s="50" t="s">
        <v>89</v>
      </c>
      <c r="H5846" s="51">
        <v>105</v>
      </c>
      <c r="J5846" s="51">
        <v>6.29</v>
      </c>
      <c r="K5846" s="74">
        <f>Tabela6[[#This Row],[CONSUMO]]*Tabela6[[#This Row],[VALOR UNIT]]-Tabela6[[#This Row],[DESCONTO]]</f>
        <v>660.45</v>
      </c>
      <c r="L5846" s="53">
        <f>Tabela6[[#This Row],[CUSTO TOTAL]]/Tabela6[[#This Row],[CONSUMO]]</f>
        <v>6.29</v>
      </c>
      <c r="M5846" s="53" t="e">
        <f t="array" ref="M5846">SE</f>
        <v>#NAME?</v>
      </c>
      <c r="N5846" s="118" t="e">
        <f>Tabela6[[#This Row],[KM Rodados ]]/Tabela6[[#This Row],[CONSUMO]]</f>
        <v>#NAME?</v>
      </c>
    </row>
    <row r="5847" spans="1:14" x14ac:dyDescent="0.25">
      <c r="A5847" s="117">
        <v>518821</v>
      </c>
      <c r="B5847" s="78">
        <v>45726</v>
      </c>
      <c r="C5847" s="47" t="s">
        <v>67</v>
      </c>
      <c r="D5847" s="49" t="s">
        <v>269</v>
      </c>
      <c r="E5847" s="117">
        <v>765700</v>
      </c>
      <c r="G5847" s="50" t="s">
        <v>89</v>
      </c>
      <c r="H5847" s="51">
        <v>133.55099999999999</v>
      </c>
      <c r="J5847" s="51">
        <v>6.29</v>
      </c>
      <c r="K5847" s="74">
        <f>Tabela6[[#This Row],[CONSUMO]]*Tabela6[[#This Row],[VALOR UNIT]]-Tabela6[[#This Row],[DESCONTO]]</f>
        <v>840.03578999999991</v>
      </c>
      <c r="L5847" s="53">
        <f>Tabela6[[#This Row],[CUSTO TOTAL]]/Tabela6[[#This Row],[CONSUMO]]</f>
        <v>6.29</v>
      </c>
      <c r="M5847" s="53" t="e">
        <f t="array" ref="M5847">SE</f>
        <v>#NAME?</v>
      </c>
      <c r="N5847" s="118" t="e">
        <f>Tabela6[[#This Row],[KM Rodados ]]/Tabela6[[#This Row],[CONSUMO]]</f>
        <v>#NAME?</v>
      </c>
    </row>
    <row r="5848" spans="1:14" x14ac:dyDescent="0.25">
      <c r="A5848" s="117">
        <v>490477</v>
      </c>
      <c r="B5848" s="78">
        <v>45726</v>
      </c>
      <c r="C5848" s="47" t="s">
        <v>569</v>
      </c>
      <c r="D5848" s="49" t="s">
        <v>276</v>
      </c>
      <c r="E5848" s="117"/>
      <c r="G5848" s="50" t="s">
        <v>241</v>
      </c>
      <c r="H5848" s="51">
        <v>27.707999999999998</v>
      </c>
      <c r="J5848" s="51">
        <v>3.6899000000000002</v>
      </c>
      <c r="K5848" s="74">
        <f>Tabela6[[#This Row],[CONSUMO]]*Tabela6[[#This Row],[VALOR UNIT]]-Tabela6[[#This Row],[DESCONTO]]</f>
        <v>102.23974920000001</v>
      </c>
      <c r="L5848" s="53">
        <f>Tabela6[[#This Row],[CUSTO TOTAL]]/Tabela6[[#This Row],[CONSUMO]]</f>
        <v>3.6899000000000006</v>
      </c>
      <c r="M5848" s="53" t="e">
        <f t="array" ref="M5848">SE</f>
        <v>#NAME?</v>
      </c>
      <c r="N5848" s="118" t="e">
        <f>Tabela6[[#This Row],[KM Rodados ]]/Tabela6[[#This Row],[CONSUMO]]</f>
        <v>#NAME?</v>
      </c>
    </row>
    <row r="5849" spans="1:14" x14ac:dyDescent="0.25">
      <c r="A5849" s="117">
        <v>337016</v>
      </c>
      <c r="B5849" s="78">
        <v>45727</v>
      </c>
      <c r="C5849" s="47" t="s">
        <v>40</v>
      </c>
      <c r="D5849" s="49" t="s">
        <v>262</v>
      </c>
      <c r="E5849" s="117">
        <v>247635</v>
      </c>
      <c r="G5849" s="50" t="s">
        <v>244</v>
      </c>
      <c r="H5849" s="51">
        <v>48.341000000000001</v>
      </c>
      <c r="J5849" s="51">
        <v>5.9898999999999996</v>
      </c>
      <c r="K5849" s="74">
        <f>Tabela6[[#This Row],[CONSUMO]]*Tabela6[[#This Row],[VALOR UNIT]]-Tabela6[[#This Row],[DESCONTO]]</f>
        <v>289.55775589999996</v>
      </c>
      <c r="L5849" s="53">
        <f>Tabela6[[#This Row],[CUSTO TOTAL]]/Tabela6[[#This Row],[CONSUMO]]</f>
        <v>5.9898999999999987</v>
      </c>
      <c r="M5849" s="53" t="e">
        <f t="array" ref="M5849">SE</f>
        <v>#NAME?</v>
      </c>
      <c r="N5849" s="118" t="e">
        <f>Tabela6[[#This Row],[KM Rodados ]]/Tabela6[[#This Row],[CONSUMO]]</f>
        <v>#NAME?</v>
      </c>
    </row>
    <row r="5850" spans="1:14" x14ac:dyDescent="0.25">
      <c r="A5850" s="117">
        <v>62962</v>
      </c>
      <c r="B5850" s="78">
        <v>45727</v>
      </c>
      <c r="C5850" s="47" t="s">
        <v>401</v>
      </c>
      <c r="D5850" s="49" t="s">
        <v>247</v>
      </c>
      <c r="E5850" s="117">
        <v>92329</v>
      </c>
      <c r="G5850" s="50" t="s">
        <v>89</v>
      </c>
      <c r="H5850" s="51">
        <v>77.37</v>
      </c>
      <c r="J5850" s="51">
        <v>6.45</v>
      </c>
      <c r="K5850" s="74">
        <f>Tabela6[[#This Row],[CONSUMO]]*Tabela6[[#This Row],[VALOR UNIT]]-Tabela6[[#This Row],[DESCONTO]]</f>
        <v>499.03650000000005</v>
      </c>
      <c r="L5850" s="53">
        <f>Tabela6[[#This Row],[CUSTO TOTAL]]/Tabela6[[#This Row],[CONSUMO]]</f>
        <v>6.45</v>
      </c>
      <c r="M5850" s="53" t="e">
        <f t="array" ref="M5850">SE</f>
        <v>#NAME?</v>
      </c>
      <c r="N5850" s="118" t="e">
        <f>Tabela6[[#This Row],[KM Rodados ]]/Tabela6[[#This Row],[CONSUMO]]</f>
        <v>#NAME?</v>
      </c>
    </row>
    <row r="5851" spans="1:14" x14ac:dyDescent="0.25">
      <c r="A5851" s="117">
        <v>89784</v>
      </c>
      <c r="B5851" s="78">
        <v>45727</v>
      </c>
      <c r="C5851" s="47" t="s">
        <v>615</v>
      </c>
      <c r="D5851" s="49" t="s">
        <v>332</v>
      </c>
      <c r="E5851" s="117">
        <v>10829</v>
      </c>
      <c r="G5851" s="50" t="s">
        <v>89</v>
      </c>
      <c r="H5851" s="51">
        <v>491.88200000000001</v>
      </c>
      <c r="J5851" s="51">
        <v>5.95</v>
      </c>
      <c r="K5851" s="74">
        <f>Tabela6[[#This Row],[CONSUMO]]*Tabela6[[#This Row],[VALOR UNIT]]-Tabela6[[#This Row],[DESCONTO]]</f>
        <v>2926.6979000000001</v>
      </c>
      <c r="L5851" s="53">
        <f>Tabela6[[#This Row],[CUSTO TOTAL]]/Tabela6[[#This Row],[CONSUMO]]</f>
        <v>5.95</v>
      </c>
      <c r="M5851" s="53" t="e">
        <f t="array" ref="M5851">SE</f>
        <v>#NAME?</v>
      </c>
      <c r="N5851" s="118" t="e">
        <f>Tabela6[[#This Row],[KM Rodados ]]/Tabela6[[#This Row],[CONSUMO]]</f>
        <v>#NAME?</v>
      </c>
    </row>
    <row r="5852" spans="1:14" x14ac:dyDescent="0.25">
      <c r="A5852" s="117">
        <v>89784</v>
      </c>
      <c r="B5852" s="78">
        <v>45727</v>
      </c>
      <c r="C5852" s="47" t="s">
        <v>615</v>
      </c>
      <c r="D5852" s="49" t="s">
        <v>332</v>
      </c>
      <c r="E5852" s="117">
        <v>10829</v>
      </c>
      <c r="G5852" s="50" t="s">
        <v>241</v>
      </c>
      <c r="H5852" s="51">
        <v>62.271000000000001</v>
      </c>
      <c r="J5852" s="51">
        <v>3.19</v>
      </c>
      <c r="K5852" s="74">
        <f>Tabela6[[#This Row],[CONSUMO]]*Tabela6[[#This Row],[VALOR UNIT]]-Tabela6[[#This Row],[DESCONTO]]</f>
        <v>198.64448999999999</v>
      </c>
      <c r="L5852" s="53">
        <f>Tabela6[[#This Row],[CUSTO TOTAL]]/Tabela6[[#This Row],[CONSUMO]]</f>
        <v>3.19</v>
      </c>
      <c r="M5852" s="53" t="e">
        <f t="array" ref="M5852">SE</f>
        <v>#NAME?</v>
      </c>
      <c r="N5852" s="118" t="e">
        <f>Tabela6[[#This Row],[KM Rodados ]]/Tabela6[[#This Row],[CONSUMO]]</f>
        <v>#NAME?</v>
      </c>
    </row>
    <row r="5853" spans="1:14" x14ac:dyDescent="0.25">
      <c r="A5853" s="117" t="s">
        <v>638</v>
      </c>
      <c r="B5853" s="78">
        <v>45727</v>
      </c>
      <c r="C5853" s="47" t="s">
        <v>10</v>
      </c>
      <c r="D5853" s="49" t="s">
        <v>259</v>
      </c>
      <c r="E5853" s="117">
        <v>819178</v>
      </c>
      <c r="G5853" s="50" t="s">
        <v>89</v>
      </c>
      <c r="H5853" s="51">
        <v>149.53</v>
      </c>
      <c r="J5853" s="51">
        <v>6.29</v>
      </c>
      <c r="K5853" s="74">
        <f>Tabela6[[#This Row],[CONSUMO]]*Tabela6[[#This Row],[VALOR UNIT]]-Tabela6[[#This Row],[DESCONTO]]</f>
        <v>940.54370000000006</v>
      </c>
      <c r="L5853" s="53">
        <f>Tabela6[[#This Row],[CUSTO TOTAL]]/Tabela6[[#This Row],[CONSUMO]]</f>
        <v>6.29</v>
      </c>
      <c r="M5853" s="53" t="e">
        <f t="array" ref="M5853">SE</f>
        <v>#NAME?</v>
      </c>
      <c r="N5853" s="118" t="e">
        <f>Tabela6[[#This Row],[KM Rodados ]]/Tabela6[[#This Row],[CONSUMO]]</f>
        <v>#NAME?</v>
      </c>
    </row>
    <row r="5854" spans="1:14" x14ac:dyDescent="0.25">
      <c r="A5854" s="117">
        <v>463470</v>
      </c>
      <c r="B5854" s="78">
        <v>45727</v>
      </c>
      <c r="C5854" s="47" t="s">
        <v>23</v>
      </c>
      <c r="D5854" s="49" t="s">
        <v>253</v>
      </c>
      <c r="E5854" s="117">
        <v>326713</v>
      </c>
      <c r="G5854" s="50" t="s">
        <v>89</v>
      </c>
      <c r="H5854" s="51">
        <v>180.66</v>
      </c>
      <c r="J5854" s="51">
        <v>6.39</v>
      </c>
      <c r="K5854" s="74">
        <f>Tabela6[[#This Row],[CONSUMO]]*Tabela6[[#This Row],[VALOR UNIT]]-Tabela6[[#This Row],[DESCONTO]]</f>
        <v>1154.4173999999998</v>
      </c>
      <c r="L5854" s="53">
        <f>Tabela6[[#This Row],[CUSTO TOTAL]]/Tabela6[[#This Row],[CONSUMO]]</f>
        <v>6.3899999999999988</v>
      </c>
      <c r="M5854" s="53" t="e">
        <f t="array" ref="M5854">SE</f>
        <v>#NAME?</v>
      </c>
      <c r="N5854" s="118" t="e">
        <f>Tabela6[[#This Row],[KM Rodados ]]/Tabela6[[#This Row],[CONSUMO]]</f>
        <v>#NAME?</v>
      </c>
    </row>
    <row r="5855" spans="1:14" x14ac:dyDescent="0.25">
      <c r="A5855" s="117">
        <v>336946</v>
      </c>
      <c r="B5855" s="78">
        <v>45727</v>
      </c>
      <c r="C5855" s="47" t="s">
        <v>401</v>
      </c>
      <c r="D5855" s="49" t="s">
        <v>262</v>
      </c>
      <c r="E5855" s="117">
        <v>92058</v>
      </c>
      <c r="G5855" s="50" t="s">
        <v>241</v>
      </c>
      <c r="H5855" s="51">
        <v>28.088000000000001</v>
      </c>
      <c r="J5855" s="51">
        <v>3.3298000000000001</v>
      </c>
      <c r="K5855" s="74">
        <f>Tabela6[[#This Row],[CONSUMO]]*Tabela6[[#This Row],[VALOR UNIT]]-Tabela6[[#This Row],[DESCONTO]]</f>
        <v>93.527422400000006</v>
      </c>
      <c r="L5855" s="53">
        <f>Tabela6[[#This Row],[CUSTO TOTAL]]/Tabela6[[#This Row],[CONSUMO]]</f>
        <v>3.3298000000000001</v>
      </c>
      <c r="M5855" s="53" t="e">
        <f t="array" ref="M5855">SE</f>
        <v>#NAME?</v>
      </c>
      <c r="N5855" s="118" t="e">
        <f>Tabela6[[#This Row],[KM Rodados ]]/Tabela6[[#This Row],[CONSUMO]]</f>
        <v>#NAME?</v>
      </c>
    </row>
    <row r="5856" spans="1:14" x14ac:dyDescent="0.25">
      <c r="A5856" s="117">
        <v>336874</v>
      </c>
      <c r="B5856" s="78">
        <v>45727</v>
      </c>
      <c r="C5856" s="47" t="s">
        <v>426</v>
      </c>
      <c r="D5856" s="49" t="s">
        <v>262</v>
      </c>
      <c r="E5856" s="117">
        <v>76738</v>
      </c>
      <c r="G5856" s="50" t="s">
        <v>241</v>
      </c>
      <c r="H5856" s="51">
        <v>17.693999999999999</v>
      </c>
      <c r="J5856" s="51">
        <v>3.3298999999999999</v>
      </c>
      <c r="K5856" s="74">
        <f>Tabela6[[#This Row],[CONSUMO]]*Tabela6[[#This Row],[VALOR UNIT]]-Tabela6[[#This Row],[DESCONTO]]</f>
        <v>58.919250599999991</v>
      </c>
      <c r="L5856" s="53">
        <f>Tabela6[[#This Row],[CUSTO TOTAL]]/Tabela6[[#This Row],[CONSUMO]]</f>
        <v>3.3298999999999999</v>
      </c>
      <c r="M5856" s="53" t="e">
        <f t="array" ref="M5856">SE</f>
        <v>#NAME?</v>
      </c>
      <c r="N5856" s="118" t="e">
        <f>Tabela6[[#This Row],[KM Rodados ]]/Tabela6[[#This Row],[CONSUMO]]</f>
        <v>#NAME?</v>
      </c>
    </row>
    <row r="5857" spans="1:14" x14ac:dyDescent="0.25">
      <c r="A5857" s="117">
        <v>66780</v>
      </c>
      <c r="B5857" s="78">
        <v>45728</v>
      </c>
      <c r="C5857" s="47" t="s">
        <v>72</v>
      </c>
      <c r="D5857" s="49" t="s">
        <v>614</v>
      </c>
      <c r="E5857" s="117">
        <v>503268</v>
      </c>
      <c r="G5857" s="50" t="s">
        <v>89</v>
      </c>
      <c r="H5857" s="51">
        <v>43.86</v>
      </c>
      <c r="J5857" s="51">
        <v>6.99</v>
      </c>
      <c r="K5857" s="74">
        <f>Tabela6[[#This Row],[CONSUMO]]*Tabela6[[#This Row],[VALOR UNIT]]-Tabela6[[#This Row],[DESCONTO]]</f>
        <v>306.58140000000003</v>
      </c>
      <c r="L5857" s="53">
        <f>Tabela6[[#This Row],[CUSTO TOTAL]]/Tabela6[[#This Row],[CONSUMO]]</f>
        <v>6.9900000000000011</v>
      </c>
      <c r="M5857" s="53" t="e">
        <f t="array" ref="M5857">SE</f>
        <v>#NAME?</v>
      </c>
      <c r="N5857" s="118" t="e">
        <f>Tabela6[[#This Row],[KM Rodados ]]/Tabela6[[#This Row],[CONSUMO]]</f>
        <v>#NAME?</v>
      </c>
    </row>
    <row r="5858" spans="1:14" x14ac:dyDescent="0.25">
      <c r="A5858" s="117">
        <v>425876</v>
      </c>
      <c r="B5858" s="78">
        <v>45728</v>
      </c>
      <c r="C5858" s="47" t="s">
        <v>67</v>
      </c>
      <c r="D5858" s="49" t="s">
        <v>269</v>
      </c>
      <c r="E5858" s="117">
        <v>766188</v>
      </c>
      <c r="G5858" s="50" t="s">
        <v>89</v>
      </c>
      <c r="H5858" s="51">
        <v>123</v>
      </c>
      <c r="J5858" s="51">
        <v>6.19</v>
      </c>
      <c r="K5858" s="74">
        <f>Tabela6[[#This Row],[CONSUMO]]*Tabela6[[#This Row],[VALOR UNIT]]-Tabela6[[#This Row],[DESCONTO]]</f>
        <v>761.37</v>
      </c>
      <c r="L5858" s="53">
        <f>Tabela6[[#This Row],[CUSTO TOTAL]]/Tabela6[[#This Row],[CONSUMO]]</f>
        <v>6.19</v>
      </c>
      <c r="M5858" s="53" t="e">
        <f t="array" ref="M5858">SE</f>
        <v>#NAME?</v>
      </c>
      <c r="N5858" s="118" t="e">
        <f>Tabela6[[#This Row],[KM Rodados ]]/Tabela6[[#This Row],[CONSUMO]]</f>
        <v>#NAME?</v>
      </c>
    </row>
    <row r="5859" spans="1:14" x14ac:dyDescent="0.25">
      <c r="A5859" s="117">
        <v>464327</v>
      </c>
      <c r="B5859" s="78">
        <v>45728</v>
      </c>
      <c r="C5859" s="47" t="s">
        <v>12</v>
      </c>
      <c r="D5859" s="49" t="s">
        <v>253</v>
      </c>
      <c r="E5859" s="117">
        <v>356405</v>
      </c>
      <c r="G5859" s="50" t="s">
        <v>89</v>
      </c>
      <c r="H5859" s="51">
        <v>111.15</v>
      </c>
      <c r="J5859" s="51">
        <v>6.39</v>
      </c>
      <c r="K5859" s="74">
        <f>Tabela6[[#This Row],[CONSUMO]]*Tabela6[[#This Row],[VALOR UNIT]]-Tabela6[[#This Row],[DESCONTO]]</f>
        <v>710.24850000000004</v>
      </c>
      <c r="L5859" s="53">
        <f>Tabela6[[#This Row],[CUSTO TOTAL]]/Tabela6[[#This Row],[CONSUMO]]</f>
        <v>6.39</v>
      </c>
      <c r="M5859" s="53" t="e">
        <f t="array" ref="M5859">SE</f>
        <v>#NAME?</v>
      </c>
      <c r="N5859" s="118" t="e">
        <f>Tabela6[[#This Row],[KM Rodados ]]/Tabela6[[#This Row],[CONSUMO]]</f>
        <v>#NAME?</v>
      </c>
    </row>
    <row r="5860" spans="1:14" x14ac:dyDescent="0.25">
      <c r="A5860" s="117" t="s">
        <v>688</v>
      </c>
      <c r="B5860" s="78">
        <v>45728</v>
      </c>
      <c r="C5860" s="47" t="s">
        <v>39</v>
      </c>
      <c r="D5860" s="49" t="s">
        <v>253</v>
      </c>
      <c r="E5860" s="117">
        <v>142358</v>
      </c>
      <c r="G5860" s="50" t="s">
        <v>89</v>
      </c>
      <c r="H5860" s="51">
        <v>90.35</v>
      </c>
      <c r="J5860" s="51">
        <v>6.39</v>
      </c>
      <c r="K5860" s="74">
        <f>Tabela6[[#This Row],[CONSUMO]]*Tabela6[[#This Row],[VALOR UNIT]]-Tabela6[[#This Row],[DESCONTO]]</f>
        <v>577.33649999999989</v>
      </c>
      <c r="L5860" s="53">
        <f>Tabela6[[#This Row],[CUSTO TOTAL]]/Tabela6[[#This Row],[CONSUMO]]</f>
        <v>6.3899999999999988</v>
      </c>
      <c r="M5860" s="53" t="e">
        <f t="array" ref="M5860">SE</f>
        <v>#NAME?</v>
      </c>
      <c r="N5860" s="118" t="e">
        <f>Tabela6[[#This Row],[KM Rodados ]]/Tabela6[[#This Row],[CONSUMO]]</f>
        <v>#NAME?</v>
      </c>
    </row>
    <row r="5861" spans="1:14" x14ac:dyDescent="0.25">
      <c r="A5861" s="117">
        <v>204249</v>
      </c>
      <c r="B5861" s="78">
        <v>45728</v>
      </c>
      <c r="C5861" s="47"/>
      <c r="E5861" s="117"/>
      <c r="G5861" s="50"/>
      <c r="K5861" s="74">
        <f>Tabela6[[#This Row],[CONSUMO]]*Tabela6[[#This Row],[VALOR UNIT]]-Tabela6[[#This Row],[DESCONTO]]</f>
        <v>0</v>
      </c>
      <c r="L5861" s="53" t="e">
        <f>Tabela6[[#This Row],[CUSTO TOTAL]]/Tabela6[[#This Row],[CONSUMO]]</f>
        <v>#DIV/0!</v>
      </c>
      <c r="M5861" s="53" t="e">
        <f t="array" ref="M5861">SE</f>
        <v>#NAME?</v>
      </c>
      <c r="N5861" s="118" t="e">
        <f>Tabela6[[#This Row],[KM Rodados ]]/Tabela6[[#This Row],[CONSUMO]]</f>
        <v>#NAME?</v>
      </c>
    </row>
    <row r="5862" spans="1:14" x14ac:dyDescent="0.25">
      <c r="A5862" s="117">
        <v>53763</v>
      </c>
      <c r="B5862" s="78">
        <v>45728</v>
      </c>
      <c r="C5862" s="47" t="s">
        <v>18</v>
      </c>
      <c r="D5862" s="49" t="s">
        <v>255</v>
      </c>
      <c r="E5862" s="117">
        <v>395664</v>
      </c>
      <c r="G5862" s="50" t="s">
        <v>89</v>
      </c>
      <c r="H5862" s="51">
        <v>83.17</v>
      </c>
      <c r="J5862" s="51">
        <v>6.49</v>
      </c>
      <c r="K5862" s="74">
        <f>Tabela6[[#This Row],[CONSUMO]]*Tabela6[[#This Row],[VALOR UNIT]]-Tabela6[[#This Row],[DESCONTO]]</f>
        <v>539.77330000000006</v>
      </c>
      <c r="L5862" s="53">
        <f>Tabela6[[#This Row],[CUSTO TOTAL]]/Tabela6[[#This Row],[CONSUMO]]</f>
        <v>6.49</v>
      </c>
      <c r="M5862" s="53" t="e">
        <f t="array" ref="M5862">SE</f>
        <v>#NAME?</v>
      </c>
      <c r="N5862" s="118" t="e">
        <f>Tabela6[[#This Row],[KM Rodados ]]/Tabela6[[#This Row],[CONSUMO]]</f>
        <v>#NAME?</v>
      </c>
    </row>
    <row r="5863" spans="1:14" x14ac:dyDescent="0.25">
      <c r="A5863" s="117">
        <v>337539</v>
      </c>
      <c r="B5863" s="78">
        <v>45729</v>
      </c>
      <c r="C5863" s="47" t="s">
        <v>354</v>
      </c>
      <c r="D5863" s="49" t="s">
        <v>262</v>
      </c>
      <c r="E5863" s="117">
        <v>94702</v>
      </c>
      <c r="G5863" s="50" t="s">
        <v>241</v>
      </c>
      <c r="H5863" s="51">
        <v>26.27</v>
      </c>
      <c r="J5863" s="51">
        <v>3.33</v>
      </c>
      <c r="K5863" s="74">
        <f>Tabela6[[#This Row],[CONSUMO]]*Tabela6[[#This Row],[VALOR UNIT]]-Tabela6[[#This Row],[DESCONTO]]</f>
        <v>87.479100000000003</v>
      </c>
      <c r="L5863" s="53">
        <f>Tabela6[[#This Row],[CUSTO TOTAL]]/Tabela6[[#This Row],[CONSUMO]]</f>
        <v>3.33</v>
      </c>
      <c r="M5863" s="53" t="e">
        <f t="array" ref="M5863">SE</f>
        <v>#NAME?</v>
      </c>
      <c r="N5863" s="118" t="e">
        <f>Tabela6[[#This Row],[KM Rodados ]]/Tabela6[[#This Row],[CONSUMO]]</f>
        <v>#NAME?</v>
      </c>
    </row>
    <row r="5864" spans="1:14" x14ac:dyDescent="0.25">
      <c r="A5864" s="117">
        <v>337430</v>
      </c>
      <c r="B5864" s="78">
        <v>45729</v>
      </c>
      <c r="C5864" s="47" t="s">
        <v>40</v>
      </c>
      <c r="D5864" s="49" t="s">
        <v>262</v>
      </c>
      <c r="E5864" s="117">
        <v>248207</v>
      </c>
      <c r="G5864" s="50" t="s">
        <v>244</v>
      </c>
      <c r="H5864" s="51">
        <v>45.97</v>
      </c>
      <c r="J5864" s="51">
        <v>5.9898999999999996</v>
      </c>
      <c r="K5864" s="74">
        <f>Tabela6[[#This Row],[CONSUMO]]*Tabela6[[#This Row],[VALOR UNIT]]-Tabela6[[#This Row],[DESCONTO]]</f>
        <v>275.35570299999995</v>
      </c>
      <c r="L5864" s="53">
        <f>Tabela6[[#This Row],[CUSTO TOTAL]]/Tabela6[[#This Row],[CONSUMO]]</f>
        <v>5.9898999999999987</v>
      </c>
      <c r="M5864" s="53" t="e">
        <f t="array" ref="M5864">SE</f>
        <v>#NAME?</v>
      </c>
      <c r="N5864" s="118" t="e">
        <f>Tabela6[[#This Row],[KM Rodados ]]/Tabela6[[#This Row],[CONSUMO]]</f>
        <v>#NAME?</v>
      </c>
    </row>
    <row r="5865" spans="1:14" x14ac:dyDescent="0.25">
      <c r="A5865" s="117" t="s">
        <v>639</v>
      </c>
      <c r="B5865" s="78">
        <v>45729</v>
      </c>
      <c r="C5865" s="47" t="s">
        <v>615</v>
      </c>
      <c r="D5865" s="49" t="s">
        <v>374</v>
      </c>
      <c r="E5865" s="117">
        <v>11925</v>
      </c>
      <c r="G5865" s="50" t="s">
        <v>89</v>
      </c>
      <c r="H5865" s="51">
        <v>420.02100000000002</v>
      </c>
      <c r="J5865" s="51">
        <v>6.29</v>
      </c>
      <c r="K5865" s="74">
        <f>Tabela6[[#This Row],[CONSUMO]]*Tabela6[[#This Row],[VALOR UNIT]]-Tabela6[[#This Row],[DESCONTO]]</f>
        <v>2641.9320900000002</v>
      </c>
      <c r="L5865" s="53">
        <f>Tabela6[[#This Row],[CUSTO TOTAL]]/Tabela6[[#This Row],[CONSUMO]]</f>
        <v>6.29</v>
      </c>
      <c r="M5865" s="53" t="e">
        <f t="array" ref="M5865">SE</f>
        <v>#NAME?</v>
      </c>
      <c r="N5865" s="118" t="e">
        <f>Tabela6[[#This Row],[KM Rodados ]]/Tabela6[[#This Row],[CONSUMO]]</f>
        <v>#NAME?</v>
      </c>
    </row>
    <row r="5866" spans="1:14" x14ac:dyDescent="0.25">
      <c r="A5866" s="117" t="s">
        <v>640</v>
      </c>
      <c r="B5866" s="78">
        <v>45729</v>
      </c>
      <c r="C5866" s="47" t="s">
        <v>567</v>
      </c>
      <c r="D5866" s="49" t="s">
        <v>268</v>
      </c>
      <c r="E5866" s="117">
        <v>35002</v>
      </c>
      <c r="G5866" s="50" t="s">
        <v>241</v>
      </c>
      <c r="H5866" s="51">
        <v>52.7</v>
      </c>
      <c r="J5866" s="51">
        <v>3.19</v>
      </c>
      <c r="K5866" s="74">
        <f>Tabela6[[#This Row],[CONSUMO]]*Tabela6[[#This Row],[VALOR UNIT]]-Tabela6[[#This Row],[DESCONTO]]</f>
        <v>168.113</v>
      </c>
      <c r="L5866" s="53">
        <f>Tabela6[[#This Row],[CUSTO TOTAL]]/Tabela6[[#This Row],[CONSUMO]]</f>
        <v>3.19</v>
      </c>
      <c r="M5866" s="53" t="e">
        <f t="array" ref="M5866">SE</f>
        <v>#NAME?</v>
      </c>
      <c r="N5866" s="118" t="e">
        <f>Tabela6[[#This Row],[KM Rodados ]]/Tabela6[[#This Row],[CONSUMO]]</f>
        <v>#NAME?</v>
      </c>
    </row>
    <row r="5867" spans="1:14" x14ac:dyDescent="0.25">
      <c r="A5867" s="117">
        <v>398573</v>
      </c>
      <c r="B5867" s="78">
        <v>45729</v>
      </c>
      <c r="C5867" s="47" t="s">
        <v>23</v>
      </c>
      <c r="D5867" s="49" t="s">
        <v>300</v>
      </c>
      <c r="E5867" s="117">
        <v>327387</v>
      </c>
      <c r="G5867" s="50" t="s">
        <v>89</v>
      </c>
      <c r="H5867" s="51">
        <v>162.11000000000001</v>
      </c>
      <c r="J5867" s="51">
        <v>6.29</v>
      </c>
      <c r="K5867" s="74">
        <f>Tabela6[[#This Row],[CONSUMO]]*Tabela6[[#This Row],[VALOR UNIT]]-Tabela6[[#This Row],[DESCONTO]]</f>
        <v>1019.6719000000001</v>
      </c>
      <c r="L5867" s="53">
        <f>Tabela6[[#This Row],[CUSTO TOTAL]]/Tabela6[[#This Row],[CONSUMO]]</f>
        <v>6.29</v>
      </c>
      <c r="M5867" s="53" t="e">
        <f t="array" ref="M5867">SE</f>
        <v>#NAME?</v>
      </c>
      <c r="N5867" s="118" t="e">
        <f>Tabela6[[#This Row],[KM Rodados ]]/Tabela6[[#This Row],[CONSUMO]]</f>
        <v>#NAME?</v>
      </c>
    </row>
    <row r="5868" spans="1:14" x14ac:dyDescent="0.25">
      <c r="A5868" s="117">
        <v>465179</v>
      </c>
      <c r="B5868" s="78">
        <v>45729</v>
      </c>
      <c r="C5868" s="47" t="s">
        <v>315</v>
      </c>
      <c r="D5868" s="49" t="s">
        <v>253</v>
      </c>
      <c r="E5868" s="117"/>
      <c r="G5868" s="50" t="s">
        <v>89</v>
      </c>
      <c r="H5868" s="51">
        <v>65.33</v>
      </c>
      <c r="J5868" s="51">
        <v>6.39</v>
      </c>
      <c r="K5868" s="74">
        <f>Tabela6[[#This Row],[CONSUMO]]*Tabela6[[#This Row],[VALOR UNIT]]-Tabela6[[#This Row],[DESCONTO]]</f>
        <v>417.45869999999996</v>
      </c>
      <c r="L5868" s="53">
        <f>Tabela6[[#This Row],[CUSTO TOTAL]]/Tabela6[[#This Row],[CONSUMO]]</f>
        <v>6.39</v>
      </c>
      <c r="M5868" s="53" t="e">
        <f t="array" ref="M5868">SE</f>
        <v>#NAME?</v>
      </c>
      <c r="N5868" s="118" t="e">
        <f>Tabela6[[#This Row],[KM Rodados ]]/Tabela6[[#This Row],[CONSUMO]]</f>
        <v>#NAME?</v>
      </c>
    </row>
    <row r="5869" spans="1:14" x14ac:dyDescent="0.25">
      <c r="A5869" s="117">
        <v>465179</v>
      </c>
      <c r="B5869" s="78">
        <v>45729</v>
      </c>
      <c r="C5869" s="47" t="s">
        <v>315</v>
      </c>
      <c r="D5869" s="49" t="s">
        <v>253</v>
      </c>
      <c r="E5869" s="117"/>
      <c r="G5869" s="50" t="s">
        <v>241</v>
      </c>
      <c r="H5869" s="51">
        <v>8.548</v>
      </c>
      <c r="J5869" s="51">
        <v>3.49</v>
      </c>
      <c r="K5869" s="74">
        <f>Tabela6[[#This Row],[CONSUMO]]*Tabela6[[#This Row],[VALOR UNIT]]-Tabela6[[#This Row],[DESCONTO]]</f>
        <v>29.832520000000002</v>
      </c>
      <c r="L5869" s="53">
        <f>Tabela6[[#This Row],[CUSTO TOTAL]]/Tabela6[[#This Row],[CONSUMO]]</f>
        <v>3.49</v>
      </c>
      <c r="M5869" s="53" t="e">
        <f t="array" ref="M5869">SE</f>
        <v>#NAME?</v>
      </c>
      <c r="N5869" s="118" t="e">
        <f>Tabela6[[#This Row],[KM Rodados ]]/Tabela6[[#This Row],[CONSUMO]]</f>
        <v>#NAME?</v>
      </c>
    </row>
    <row r="5870" spans="1:14" x14ac:dyDescent="0.25">
      <c r="A5870" s="117">
        <v>54093</v>
      </c>
      <c r="B5870" s="78">
        <v>45729</v>
      </c>
      <c r="C5870" s="47" t="s">
        <v>16</v>
      </c>
      <c r="D5870" s="49" t="s">
        <v>255</v>
      </c>
      <c r="E5870" s="117">
        <v>335726</v>
      </c>
      <c r="G5870" s="50" t="s">
        <v>89</v>
      </c>
      <c r="H5870" s="51">
        <v>111.55</v>
      </c>
      <c r="J5870" s="51">
        <v>6.49</v>
      </c>
      <c r="K5870" s="74">
        <f>Tabela6[[#This Row],[CONSUMO]]*Tabela6[[#This Row],[VALOR UNIT]]-Tabela6[[#This Row],[DESCONTO]]</f>
        <v>723.95950000000005</v>
      </c>
      <c r="L5870" s="53">
        <f>Tabela6[[#This Row],[CUSTO TOTAL]]/Tabela6[[#This Row],[CONSUMO]]</f>
        <v>6.49</v>
      </c>
      <c r="M5870" s="53" t="e">
        <f t="array" ref="M5870">SE</f>
        <v>#NAME?</v>
      </c>
      <c r="N5870" s="118" t="e">
        <f>Tabela6[[#This Row],[KM Rodados ]]/Tabela6[[#This Row],[CONSUMO]]</f>
        <v>#NAME?</v>
      </c>
    </row>
    <row r="5871" spans="1:14" x14ac:dyDescent="0.25">
      <c r="A5871" s="117">
        <v>732302</v>
      </c>
      <c r="B5871" s="78">
        <v>45730</v>
      </c>
      <c r="C5871" s="47" t="s">
        <v>13</v>
      </c>
      <c r="D5871" s="49" t="s">
        <v>259</v>
      </c>
      <c r="E5871" s="117">
        <v>733666</v>
      </c>
      <c r="G5871" s="50" t="s">
        <v>89</v>
      </c>
      <c r="H5871" s="51">
        <v>114.721</v>
      </c>
      <c r="J5871" s="51">
        <v>6.29</v>
      </c>
      <c r="K5871" s="74">
        <f>Tabela6[[#This Row],[CONSUMO]]*Tabela6[[#This Row],[VALOR UNIT]]-Tabela6[[#This Row],[DESCONTO]]</f>
        <v>721.59509000000003</v>
      </c>
      <c r="L5871" s="53">
        <f>Tabela6[[#This Row],[CUSTO TOTAL]]/Tabela6[[#This Row],[CONSUMO]]</f>
        <v>6.29</v>
      </c>
      <c r="M5871" s="53" t="e">
        <f t="array" ref="M5871">SE</f>
        <v>#NAME?</v>
      </c>
      <c r="N5871" s="118" t="e">
        <f>Tabela6[[#This Row],[KM Rodados ]]/Tabela6[[#This Row],[CONSUMO]]</f>
        <v>#NAME?</v>
      </c>
    </row>
    <row r="5872" spans="1:14" x14ac:dyDescent="0.25">
      <c r="A5872" s="117">
        <v>82880</v>
      </c>
      <c r="B5872" s="78">
        <v>45730</v>
      </c>
      <c r="C5872" s="47" t="s">
        <v>72</v>
      </c>
      <c r="D5872" s="49" t="s">
        <v>248</v>
      </c>
      <c r="E5872" s="117">
        <v>503852</v>
      </c>
      <c r="G5872" s="50" t="s">
        <v>89</v>
      </c>
      <c r="H5872" s="51">
        <v>51.97</v>
      </c>
      <c r="J5872" s="51">
        <v>6.49</v>
      </c>
      <c r="K5872" s="74">
        <f>Tabela6[[#This Row],[CONSUMO]]*Tabela6[[#This Row],[VALOR UNIT]]-Tabela6[[#This Row],[DESCONTO]]</f>
        <v>337.28530000000001</v>
      </c>
      <c r="L5872" s="53">
        <f>Tabela6[[#This Row],[CUSTO TOTAL]]/Tabela6[[#This Row],[CONSUMO]]</f>
        <v>6.49</v>
      </c>
      <c r="M5872" s="53" t="e">
        <f t="array" ref="M5872">SE</f>
        <v>#NAME?</v>
      </c>
      <c r="N5872" s="118" t="e">
        <f>Tabela6[[#This Row],[KM Rodados ]]/Tabela6[[#This Row],[CONSUMO]]</f>
        <v>#NAME?</v>
      </c>
    </row>
    <row r="5873" spans="1:14" x14ac:dyDescent="0.25">
      <c r="A5873" s="117">
        <v>54640</v>
      </c>
      <c r="B5873" s="78">
        <v>45730</v>
      </c>
      <c r="C5873" s="47" t="s">
        <v>38</v>
      </c>
      <c r="D5873" s="49" t="s">
        <v>255</v>
      </c>
      <c r="E5873" s="117"/>
      <c r="G5873" s="50" t="s">
        <v>244</v>
      </c>
      <c r="H5873" s="51">
        <v>51.8</v>
      </c>
      <c r="J5873" s="51">
        <v>6.09</v>
      </c>
      <c r="K5873" s="74">
        <f>Tabela6[[#This Row],[CONSUMO]]*Tabela6[[#This Row],[VALOR UNIT]]-Tabela6[[#This Row],[DESCONTO]]</f>
        <v>315.46199999999999</v>
      </c>
      <c r="L5873" s="53">
        <f>Tabela6[[#This Row],[CUSTO TOTAL]]/Tabela6[[#This Row],[CONSUMO]]</f>
        <v>6.09</v>
      </c>
      <c r="M5873" s="53" t="e">
        <f t="array" ref="M5873">SE</f>
        <v>#NAME?</v>
      </c>
      <c r="N5873" s="118" t="e">
        <f>Tabela6[[#This Row],[KM Rodados ]]/Tabela6[[#This Row],[CONSUMO]]</f>
        <v>#NAME?</v>
      </c>
    </row>
    <row r="5874" spans="1:14" x14ac:dyDescent="0.25">
      <c r="A5874" s="117">
        <v>85436</v>
      </c>
      <c r="B5874" s="78">
        <v>45730</v>
      </c>
      <c r="C5874" s="47" t="s">
        <v>401</v>
      </c>
      <c r="D5874" s="49" t="s">
        <v>324</v>
      </c>
      <c r="E5874" s="117">
        <v>93356</v>
      </c>
      <c r="G5874" s="50" t="s">
        <v>89</v>
      </c>
      <c r="H5874" s="51">
        <v>58.45</v>
      </c>
      <c r="J5874" s="51">
        <v>6.09</v>
      </c>
      <c r="K5874" s="74">
        <f>Tabela6[[#This Row],[CONSUMO]]*Tabela6[[#This Row],[VALOR UNIT]]-Tabela6[[#This Row],[DESCONTO]]</f>
        <v>355.96050000000002</v>
      </c>
      <c r="L5874" s="53">
        <f>Tabela6[[#This Row],[CUSTO TOTAL]]/Tabela6[[#This Row],[CONSUMO]]</f>
        <v>6.09</v>
      </c>
      <c r="M5874" s="53" t="e">
        <f t="array" ref="M5874">SE</f>
        <v>#NAME?</v>
      </c>
      <c r="N5874" s="118" t="e">
        <f>Tabela6[[#This Row],[KM Rodados ]]/Tabela6[[#This Row],[CONSUMO]]</f>
        <v>#NAME?</v>
      </c>
    </row>
    <row r="5875" spans="1:14" x14ac:dyDescent="0.25">
      <c r="A5875" s="117">
        <v>85446</v>
      </c>
      <c r="B5875" s="78">
        <v>45730</v>
      </c>
      <c r="C5875" s="47" t="s">
        <v>401</v>
      </c>
      <c r="D5875" s="49" t="s">
        <v>324</v>
      </c>
      <c r="E5875" s="117">
        <v>93356</v>
      </c>
      <c r="G5875" s="50" t="s">
        <v>241</v>
      </c>
      <c r="H5875" s="51">
        <v>10.8</v>
      </c>
      <c r="J5875" s="51">
        <v>3.19</v>
      </c>
      <c r="K5875" s="74">
        <f>Tabela6[[#This Row],[CONSUMO]]*Tabela6[[#This Row],[VALOR UNIT]]-Tabela6[[#This Row],[DESCONTO]]</f>
        <v>34.451999999999998</v>
      </c>
      <c r="L5875" s="53">
        <f>Tabela6[[#This Row],[CUSTO TOTAL]]/Tabela6[[#This Row],[CONSUMO]]</f>
        <v>3.1899999999999995</v>
      </c>
      <c r="M5875" s="53" t="e">
        <f t="array" ref="M5875">SE</f>
        <v>#NAME?</v>
      </c>
      <c r="N5875" s="118" t="e">
        <f>Tabela6[[#This Row],[KM Rodados ]]/Tabela6[[#This Row],[CONSUMO]]</f>
        <v>#NAME?</v>
      </c>
    </row>
    <row r="5876" spans="1:14" x14ac:dyDescent="0.25">
      <c r="A5876" s="117">
        <v>466537</v>
      </c>
      <c r="B5876" s="78">
        <v>45730</v>
      </c>
      <c r="C5876" s="47" t="s">
        <v>18</v>
      </c>
      <c r="D5876" s="49" t="s">
        <v>253</v>
      </c>
      <c r="E5876" s="117">
        <v>396319</v>
      </c>
      <c r="G5876" s="50" t="s">
        <v>89</v>
      </c>
      <c r="H5876" s="51">
        <v>76.930000000000007</v>
      </c>
      <c r="J5876" s="51">
        <v>6.39</v>
      </c>
      <c r="K5876" s="74">
        <f>Tabela6[[#This Row],[CONSUMO]]*Tabela6[[#This Row],[VALOR UNIT]]-Tabela6[[#This Row],[DESCONTO]]</f>
        <v>491.58270000000005</v>
      </c>
      <c r="L5876" s="53">
        <f>Tabela6[[#This Row],[CUSTO TOTAL]]/Tabela6[[#This Row],[CONSUMO]]</f>
        <v>6.39</v>
      </c>
      <c r="M5876" s="53" t="e">
        <f t="array" ref="M5876">SE</f>
        <v>#NAME?</v>
      </c>
      <c r="N5876" s="118" t="e">
        <f>Tabela6[[#This Row],[KM Rodados ]]/Tabela6[[#This Row],[CONSUMO]]</f>
        <v>#NAME?</v>
      </c>
    </row>
    <row r="5877" spans="1:14" x14ac:dyDescent="0.25">
      <c r="A5877" s="117">
        <v>337635</v>
      </c>
      <c r="B5877" s="78">
        <v>45730</v>
      </c>
      <c r="C5877" s="47" t="s">
        <v>681</v>
      </c>
      <c r="D5877" s="49" t="s">
        <v>262</v>
      </c>
      <c r="E5877" s="117">
        <v>7531</v>
      </c>
      <c r="G5877" s="50" t="s">
        <v>241</v>
      </c>
      <c r="H5877" s="51">
        <v>33.380000000000003</v>
      </c>
      <c r="J5877" s="51">
        <v>3.33</v>
      </c>
      <c r="K5877" s="74">
        <f>Tabela6[[#This Row],[CONSUMO]]*Tabela6[[#This Row],[VALOR UNIT]]-Tabela6[[#This Row],[DESCONTO]]</f>
        <v>111.15540000000001</v>
      </c>
      <c r="L5877" s="53">
        <f>Tabela6[[#This Row],[CUSTO TOTAL]]/Tabela6[[#This Row],[CONSUMO]]</f>
        <v>3.33</v>
      </c>
      <c r="M5877" s="53" t="e">
        <f t="array" ref="M5877">SE</f>
        <v>#NAME?</v>
      </c>
      <c r="N5877" s="118" t="e">
        <f>Tabela6[[#This Row],[KM Rodados ]]/Tabela6[[#This Row],[CONSUMO]]</f>
        <v>#NAME?</v>
      </c>
    </row>
    <row r="5878" spans="1:14" x14ac:dyDescent="0.25">
      <c r="A5878" s="117">
        <v>338004</v>
      </c>
      <c r="B5878" s="78">
        <v>45731</v>
      </c>
      <c r="C5878" s="47" t="s">
        <v>40</v>
      </c>
      <c r="D5878" s="49" t="s">
        <v>262</v>
      </c>
      <c r="E5878" s="117">
        <v>248382</v>
      </c>
      <c r="G5878" s="50" t="s">
        <v>244</v>
      </c>
      <c r="H5878" s="51">
        <v>15.89</v>
      </c>
      <c r="J5878" s="51">
        <v>5.9898999999999996</v>
      </c>
      <c r="K5878" s="74">
        <f>Tabela6[[#This Row],[CONSUMO]]*Tabela6[[#This Row],[VALOR UNIT]]-Tabela6[[#This Row],[DESCONTO]]</f>
        <v>95.179510999999991</v>
      </c>
      <c r="L5878" s="53">
        <f>Tabela6[[#This Row],[CUSTO TOTAL]]/Tabela6[[#This Row],[CONSUMO]]</f>
        <v>5.9898999999999996</v>
      </c>
      <c r="M5878" s="53" t="e">
        <f t="array" ref="M5878">SE</f>
        <v>#NAME?</v>
      </c>
      <c r="N5878" s="118" t="e">
        <f>Tabela6[[#This Row],[KM Rodados ]]/Tabela6[[#This Row],[CONSUMO]]</f>
        <v>#NAME?</v>
      </c>
    </row>
    <row r="5879" spans="1:14" x14ac:dyDescent="0.25">
      <c r="A5879" s="117">
        <v>499661</v>
      </c>
      <c r="B5879" s="78">
        <v>45731</v>
      </c>
      <c r="C5879" s="47" t="s">
        <v>564</v>
      </c>
      <c r="D5879" s="49" t="s">
        <v>641</v>
      </c>
      <c r="E5879" s="117">
        <v>68075</v>
      </c>
      <c r="G5879" s="50" t="s">
        <v>241</v>
      </c>
      <c r="H5879" s="51">
        <v>99.9</v>
      </c>
      <c r="J5879" s="51">
        <v>4</v>
      </c>
      <c r="K5879" s="74">
        <f>Tabela6[[#This Row],[CONSUMO]]*Tabela6[[#This Row],[VALOR UNIT]]-Tabela6[[#This Row],[DESCONTO]]</f>
        <v>399.6</v>
      </c>
      <c r="L5879" s="53">
        <f>Tabela6[[#This Row],[CUSTO TOTAL]]/Tabela6[[#This Row],[CONSUMO]]</f>
        <v>4</v>
      </c>
      <c r="M5879" s="53" t="e">
        <f t="array" ref="M5879">SE</f>
        <v>#NAME?</v>
      </c>
      <c r="N5879" s="118" t="e">
        <f>Tabela6[[#This Row],[KM Rodados ]]/Tabela6[[#This Row],[CONSUMO]]</f>
        <v>#NAME?</v>
      </c>
    </row>
    <row r="5880" spans="1:14" x14ac:dyDescent="0.25">
      <c r="A5880" s="117">
        <v>565065</v>
      </c>
      <c r="B5880" s="78">
        <v>45732</v>
      </c>
      <c r="C5880" s="47" t="s">
        <v>68</v>
      </c>
      <c r="D5880" s="49" t="s">
        <v>333</v>
      </c>
      <c r="E5880" s="117">
        <v>1045893</v>
      </c>
      <c r="G5880" s="50" t="s">
        <v>89</v>
      </c>
      <c r="H5880" s="51">
        <v>401.92</v>
      </c>
      <c r="J5880" s="51">
        <v>6.19</v>
      </c>
      <c r="K5880" s="74">
        <f>Tabela6[[#This Row],[CONSUMO]]*Tabela6[[#This Row],[VALOR UNIT]]-Tabela6[[#This Row],[DESCONTO]]</f>
        <v>2487.8848000000003</v>
      </c>
      <c r="L5880" s="53">
        <f>Tabela6[[#This Row],[CUSTO TOTAL]]/Tabela6[[#This Row],[CONSUMO]]</f>
        <v>6.19</v>
      </c>
      <c r="M5880" s="53" t="e">
        <f t="array" ref="M5880">SE</f>
        <v>#NAME?</v>
      </c>
      <c r="N5880" s="118" t="e">
        <f>Tabela6[[#This Row],[KM Rodados ]]/Tabela6[[#This Row],[CONSUMO]]</f>
        <v>#NAME?</v>
      </c>
    </row>
    <row r="5881" spans="1:14" x14ac:dyDescent="0.25">
      <c r="A5881" s="117">
        <v>65977</v>
      </c>
      <c r="B5881" s="78">
        <v>45732</v>
      </c>
      <c r="C5881" s="47" t="s">
        <v>10</v>
      </c>
      <c r="D5881" s="49" t="s">
        <v>252</v>
      </c>
      <c r="E5881" s="117">
        <v>820272</v>
      </c>
      <c r="G5881" s="50" t="s">
        <v>89</v>
      </c>
      <c r="H5881" s="51">
        <v>167.011</v>
      </c>
      <c r="J5881" s="51">
        <v>6.67</v>
      </c>
      <c r="K5881" s="74">
        <f>Tabela6[[#This Row],[CONSUMO]]*Tabela6[[#This Row],[VALOR UNIT]]-Tabela6[[#This Row],[DESCONTO]]</f>
        <v>1113.9633699999999</v>
      </c>
      <c r="L5881" s="53">
        <f>Tabela6[[#This Row],[CUSTO TOTAL]]/Tabela6[[#This Row],[CONSUMO]]</f>
        <v>6.67</v>
      </c>
      <c r="M5881" s="53" t="e">
        <f t="array" ref="M5881">SE</f>
        <v>#NAME?</v>
      </c>
      <c r="N5881" s="118" t="e">
        <f>Tabela6[[#This Row],[KM Rodados ]]/Tabela6[[#This Row],[CONSUMO]]</f>
        <v>#NAME?</v>
      </c>
    </row>
    <row r="5882" spans="1:14" x14ac:dyDescent="0.25">
      <c r="A5882" s="117">
        <v>492305</v>
      </c>
      <c r="B5882" s="78">
        <v>45732</v>
      </c>
      <c r="C5882" s="47" t="s">
        <v>203</v>
      </c>
      <c r="D5882" s="49" t="s">
        <v>276</v>
      </c>
      <c r="E5882" s="117"/>
      <c r="G5882" s="50" t="s">
        <v>244</v>
      </c>
      <c r="H5882" s="51">
        <v>17.78</v>
      </c>
      <c r="J5882" s="51">
        <v>6.19</v>
      </c>
      <c r="K5882" s="74">
        <f>Tabela6[[#This Row],[CONSUMO]]*Tabela6[[#This Row],[VALOR UNIT]]-Tabela6[[#This Row],[DESCONTO]]</f>
        <v>110.05820000000001</v>
      </c>
      <c r="L5882" s="53">
        <f>Tabela6[[#This Row],[CUSTO TOTAL]]/Tabela6[[#This Row],[CONSUMO]]</f>
        <v>6.19</v>
      </c>
      <c r="M5882" s="53" t="e">
        <f t="array" ref="M5882">SE</f>
        <v>#NAME?</v>
      </c>
      <c r="N5882" s="118" t="e">
        <f>Tabela6[[#This Row],[KM Rodados ]]/Tabela6[[#This Row],[CONSUMO]]</f>
        <v>#NAME?</v>
      </c>
    </row>
    <row r="5883" spans="1:14" x14ac:dyDescent="0.25">
      <c r="A5883" s="117">
        <v>338571</v>
      </c>
      <c r="B5883" s="78">
        <v>45733</v>
      </c>
      <c r="C5883" s="47" t="s">
        <v>446</v>
      </c>
      <c r="D5883" s="49" t="s">
        <v>262</v>
      </c>
      <c r="E5883" s="117">
        <v>95189</v>
      </c>
      <c r="G5883" s="50" t="s">
        <v>241</v>
      </c>
      <c r="H5883" s="51">
        <v>29.004000000000001</v>
      </c>
      <c r="J5883" s="51">
        <v>3.3298000000000001</v>
      </c>
      <c r="K5883" s="74">
        <f>Tabela6[[#This Row],[CONSUMO]]*Tabela6[[#This Row],[VALOR UNIT]]-Tabela6[[#This Row],[DESCONTO]]</f>
        <v>96.577519200000012</v>
      </c>
      <c r="L5883" s="53">
        <f>Tabela6[[#This Row],[CUSTO TOTAL]]/Tabela6[[#This Row],[CONSUMO]]</f>
        <v>3.3298000000000001</v>
      </c>
      <c r="M5883" s="53" t="e">
        <f t="array" ref="M5883">SE</f>
        <v>#NAME?</v>
      </c>
      <c r="N5883" s="118" t="e">
        <f>Tabela6[[#This Row],[KM Rodados ]]/Tabela6[[#This Row],[CONSUMO]]</f>
        <v>#NAME?</v>
      </c>
    </row>
    <row r="5884" spans="1:14" x14ac:dyDescent="0.25">
      <c r="A5884" s="117">
        <v>468531</v>
      </c>
      <c r="B5884" s="78">
        <v>45733</v>
      </c>
      <c r="C5884" s="47" t="s">
        <v>71</v>
      </c>
      <c r="D5884" s="49" t="s">
        <v>253</v>
      </c>
      <c r="E5884" s="117">
        <v>208077</v>
      </c>
      <c r="G5884" s="50" t="s">
        <v>89</v>
      </c>
      <c r="H5884" s="51">
        <v>674.56</v>
      </c>
      <c r="J5884" s="51">
        <v>6.39</v>
      </c>
      <c r="K5884" s="74">
        <f>Tabela6[[#This Row],[CONSUMO]]*Tabela6[[#This Row],[VALOR UNIT]]-Tabela6[[#This Row],[DESCONTO]]</f>
        <v>4310.4383999999991</v>
      </c>
      <c r="L5884" s="53">
        <f>Tabela6[[#This Row],[CUSTO TOTAL]]/Tabela6[[#This Row],[CONSUMO]]</f>
        <v>6.3899999999999988</v>
      </c>
      <c r="M5884" s="53" t="e">
        <f t="array" ref="M5884">SE</f>
        <v>#NAME?</v>
      </c>
      <c r="N5884" s="118" t="e">
        <f>Tabela6[[#This Row],[KM Rodados ]]/Tabela6[[#This Row],[CONSUMO]]</f>
        <v>#NAME?</v>
      </c>
    </row>
    <row r="5885" spans="1:14" x14ac:dyDescent="0.25">
      <c r="A5885" s="117">
        <v>468531</v>
      </c>
      <c r="B5885" s="78">
        <v>45733</v>
      </c>
      <c r="C5885" s="47" t="s">
        <v>71</v>
      </c>
      <c r="D5885" s="49" t="s">
        <v>253</v>
      </c>
      <c r="E5885" s="117">
        <v>208077</v>
      </c>
      <c r="G5885" s="50" t="s">
        <v>241</v>
      </c>
      <c r="H5885" s="51">
        <v>40.18</v>
      </c>
      <c r="J5885" s="51">
        <v>3.49</v>
      </c>
      <c r="K5885" s="74">
        <f>Tabela6[[#This Row],[CONSUMO]]*Tabela6[[#This Row],[VALOR UNIT]]-Tabela6[[#This Row],[DESCONTO]]</f>
        <v>140.22820000000002</v>
      </c>
      <c r="L5885" s="53">
        <f>Tabela6[[#This Row],[CUSTO TOTAL]]/Tabela6[[#This Row],[CONSUMO]]</f>
        <v>3.49</v>
      </c>
      <c r="M5885" s="53" t="e">
        <f t="array" ref="M5885">SE</f>
        <v>#NAME?</v>
      </c>
      <c r="N5885" s="118" t="e">
        <f>Tabela6[[#This Row],[KM Rodados ]]/Tabela6[[#This Row],[CONSUMO]]</f>
        <v>#NAME?</v>
      </c>
    </row>
    <row r="5886" spans="1:14" x14ac:dyDescent="0.25">
      <c r="A5886" s="117">
        <v>468225</v>
      </c>
      <c r="B5886" s="78">
        <v>45733</v>
      </c>
      <c r="C5886" s="47" t="s">
        <v>11</v>
      </c>
      <c r="D5886" s="49" t="s">
        <v>253</v>
      </c>
      <c r="E5886" s="117">
        <v>432356</v>
      </c>
      <c r="G5886" s="50" t="s">
        <v>89</v>
      </c>
      <c r="H5886" s="51">
        <v>128.16999999999999</v>
      </c>
      <c r="J5886" s="51">
        <v>6.39</v>
      </c>
      <c r="K5886" s="74">
        <f>Tabela6[[#This Row],[CONSUMO]]*Tabela6[[#This Row],[VALOR UNIT]]-Tabela6[[#This Row],[DESCONTO]]</f>
        <v>819.0062999999999</v>
      </c>
      <c r="L5886" s="53">
        <f>Tabela6[[#This Row],[CUSTO TOTAL]]/Tabela6[[#This Row],[CONSUMO]]</f>
        <v>6.39</v>
      </c>
      <c r="M5886" s="53" t="e">
        <f t="array" ref="M5886">SE</f>
        <v>#NAME?</v>
      </c>
      <c r="N5886" s="118" t="e">
        <f>Tabela6[[#This Row],[KM Rodados ]]/Tabela6[[#This Row],[CONSUMO]]</f>
        <v>#NAME?</v>
      </c>
    </row>
    <row r="5887" spans="1:14" x14ac:dyDescent="0.25">
      <c r="A5887" s="117">
        <v>452222</v>
      </c>
      <c r="B5887" s="78">
        <v>45733</v>
      </c>
      <c r="C5887" s="47" t="s">
        <v>564</v>
      </c>
      <c r="D5887" s="49" t="s">
        <v>333</v>
      </c>
      <c r="E5887" s="117">
        <v>68647</v>
      </c>
      <c r="G5887" s="50" t="s">
        <v>89</v>
      </c>
      <c r="H5887" s="51">
        <v>713</v>
      </c>
      <c r="J5887" s="51">
        <v>6.19</v>
      </c>
      <c r="K5887" s="74">
        <f>Tabela6[[#This Row],[CONSUMO]]*Tabela6[[#This Row],[VALOR UNIT]]-Tabela6[[#This Row],[DESCONTO]]</f>
        <v>4413.47</v>
      </c>
      <c r="L5887" s="53">
        <f>Tabela6[[#This Row],[CUSTO TOTAL]]/Tabela6[[#This Row],[CONSUMO]]</f>
        <v>6.19</v>
      </c>
      <c r="M5887" s="53" t="e">
        <f t="array" ref="M5887">SE</f>
        <v>#NAME?</v>
      </c>
      <c r="N5887" s="118" t="e">
        <f>Tabela6[[#This Row],[KM Rodados ]]/Tabela6[[#This Row],[CONSUMO]]</f>
        <v>#NAME?</v>
      </c>
    </row>
    <row r="5888" spans="1:14" x14ac:dyDescent="0.25">
      <c r="A5888" s="117">
        <v>110532</v>
      </c>
      <c r="B5888" s="78">
        <v>45733</v>
      </c>
      <c r="C5888" s="47" t="s">
        <v>203</v>
      </c>
      <c r="D5888" s="49" t="s">
        <v>274</v>
      </c>
      <c r="E5888" s="117">
        <v>208120</v>
      </c>
      <c r="G5888" s="50" t="s">
        <v>244</v>
      </c>
      <c r="H5888" s="51">
        <v>39.69</v>
      </c>
      <c r="J5888" s="51">
        <v>5.99</v>
      </c>
      <c r="K5888" s="74">
        <f>Tabela6[[#This Row],[CONSUMO]]*Tabela6[[#This Row],[VALOR UNIT]]-Tabela6[[#This Row],[DESCONTO]]</f>
        <v>237.7431</v>
      </c>
      <c r="L5888" s="53">
        <f>Tabela6[[#This Row],[CUSTO TOTAL]]/Tabela6[[#This Row],[CONSUMO]]</f>
        <v>5.99</v>
      </c>
      <c r="M5888" s="53" t="e">
        <f t="array" ref="M5888">SE</f>
        <v>#NAME?</v>
      </c>
      <c r="N5888" s="118" t="e">
        <f>Tabela6[[#This Row],[KM Rodados ]]/Tabela6[[#This Row],[CONSUMO]]</f>
        <v>#NAME?</v>
      </c>
    </row>
    <row r="5889" spans="1:14" x14ac:dyDescent="0.25">
      <c r="A5889" s="117" t="s">
        <v>642</v>
      </c>
      <c r="B5889" s="78">
        <v>45733</v>
      </c>
      <c r="C5889" s="47" t="s">
        <v>72</v>
      </c>
      <c r="D5889" s="49" t="s">
        <v>271</v>
      </c>
      <c r="E5889" s="117">
        <v>504038</v>
      </c>
      <c r="G5889" s="50" t="s">
        <v>89</v>
      </c>
      <c r="H5889" s="51">
        <v>24.15</v>
      </c>
      <c r="J5889" s="51">
        <v>6.29</v>
      </c>
      <c r="K5889" s="74">
        <f>Tabela6[[#This Row],[CONSUMO]]*Tabela6[[#This Row],[VALOR UNIT]]-Tabela6[[#This Row],[DESCONTO]]</f>
        <v>151.90349999999998</v>
      </c>
      <c r="L5889" s="53">
        <f>Tabela6[[#This Row],[CUSTO TOTAL]]/Tabela6[[#This Row],[CONSUMO]]</f>
        <v>6.2899999999999991</v>
      </c>
      <c r="M5889" s="53" t="e">
        <f t="array" ref="M5889">SE</f>
        <v>#NAME?</v>
      </c>
      <c r="N5889" s="118" t="e">
        <f>Tabela6[[#This Row],[KM Rodados ]]/Tabela6[[#This Row],[CONSUMO]]</f>
        <v>#NAME?</v>
      </c>
    </row>
    <row r="5890" spans="1:14" x14ac:dyDescent="0.25">
      <c r="A5890" s="117" t="s">
        <v>643</v>
      </c>
      <c r="B5890" s="78">
        <v>45733</v>
      </c>
      <c r="C5890" s="47" t="s">
        <v>23</v>
      </c>
      <c r="D5890" s="49" t="s">
        <v>300</v>
      </c>
      <c r="E5890" s="117">
        <v>327940</v>
      </c>
      <c r="G5890" s="50" t="s">
        <v>89</v>
      </c>
      <c r="H5890" s="51">
        <v>133.571</v>
      </c>
      <c r="J5890" s="51">
        <v>6.29</v>
      </c>
      <c r="K5890" s="74">
        <f>Tabela6[[#This Row],[CONSUMO]]*Tabela6[[#This Row],[VALOR UNIT]]-Tabela6[[#This Row],[DESCONTO]]</f>
        <v>840.16159000000005</v>
      </c>
      <c r="L5890" s="53">
        <f>Tabela6[[#This Row],[CUSTO TOTAL]]/Tabela6[[#This Row],[CONSUMO]]</f>
        <v>6.29</v>
      </c>
      <c r="M5890" s="53" t="e">
        <f t="array" ref="M5890">SE</f>
        <v>#NAME?</v>
      </c>
      <c r="N5890" s="118" t="e">
        <f>Tabela6[[#This Row],[KM Rodados ]]/Tabela6[[#This Row],[CONSUMO]]</f>
        <v>#NAME?</v>
      </c>
    </row>
    <row r="5891" spans="1:14" x14ac:dyDescent="0.25">
      <c r="A5891" s="117" t="s">
        <v>644</v>
      </c>
      <c r="B5891" s="78">
        <v>45733</v>
      </c>
      <c r="C5891" s="47" t="s">
        <v>23</v>
      </c>
      <c r="D5891" s="49" t="s">
        <v>300</v>
      </c>
      <c r="E5891" s="117">
        <v>327940</v>
      </c>
      <c r="G5891" s="50" t="s">
        <v>241</v>
      </c>
      <c r="H5891" s="51">
        <v>18.471</v>
      </c>
      <c r="J5891" s="51">
        <v>3.19</v>
      </c>
      <c r="K5891" s="74">
        <f>Tabela6[[#This Row],[CONSUMO]]*Tabela6[[#This Row],[VALOR UNIT]]-Tabela6[[#This Row],[DESCONTO]]</f>
        <v>58.922489999999996</v>
      </c>
      <c r="L5891" s="53">
        <f>Tabela6[[#This Row],[CUSTO TOTAL]]/Tabela6[[#This Row],[CONSUMO]]</f>
        <v>3.19</v>
      </c>
      <c r="M5891" s="53" t="e">
        <f t="array" ref="M5891">SE</f>
        <v>#NAME?</v>
      </c>
      <c r="N5891" s="118" t="e">
        <f>Tabela6[[#This Row],[KM Rodados ]]/Tabela6[[#This Row],[CONSUMO]]</f>
        <v>#NAME?</v>
      </c>
    </row>
    <row r="5892" spans="1:14" x14ac:dyDescent="0.25">
      <c r="A5892" s="117">
        <v>587655</v>
      </c>
      <c r="B5892" s="78">
        <v>45733</v>
      </c>
      <c r="C5892" s="47" t="s">
        <v>67</v>
      </c>
      <c r="D5892" s="49" t="s">
        <v>269</v>
      </c>
      <c r="E5892" s="117">
        <v>766842</v>
      </c>
      <c r="G5892" s="50" t="s">
        <v>89</v>
      </c>
      <c r="H5892" s="51">
        <v>171.01</v>
      </c>
      <c r="J5892" s="51">
        <v>6.29</v>
      </c>
      <c r="K5892" s="74">
        <f>Tabela6[[#This Row],[CONSUMO]]*Tabela6[[#This Row],[VALOR UNIT]]-Tabela6[[#This Row],[DESCONTO]]</f>
        <v>1075.6529</v>
      </c>
      <c r="L5892" s="53">
        <f>Tabela6[[#This Row],[CUSTO TOTAL]]/Tabela6[[#This Row],[CONSUMO]]</f>
        <v>6.2900000000000009</v>
      </c>
      <c r="M5892" s="53" t="e">
        <f t="array" ref="M5892">SE</f>
        <v>#NAME?</v>
      </c>
      <c r="N5892" s="118" t="e">
        <f>Tabela6[[#This Row],[KM Rodados ]]/Tabela6[[#This Row],[CONSUMO]]</f>
        <v>#NAME?</v>
      </c>
    </row>
    <row r="5893" spans="1:14" x14ac:dyDescent="0.25">
      <c r="A5893" s="117">
        <v>295</v>
      </c>
      <c r="B5893" s="78">
        <v>45733</v>
      </c>
      <c r="C5893" s="47" t="s">
        <v>13</v>
      </c>
      <c r="D5893" s="49" t="s">
        <v>618</v>
      </c>
      <c r="E5893" s="117">
        <v>734129</v>
      </c>
      <c r="G5893" s="50" t="s">
        <v>89</v>
      </c>
      <c r="H5893" s="51">
        <v>107.27</v>
      </c>
      <c r="J5893" s="51">
        <v>6.14</v>
      </c>
      <c r="K5893" s="74">
        <f>Tabela6[[#This Row],[CONSUMO]]*Tabela6[[#This Row],[VALOR UNIT]]-Tabela6[[#This Row],[DESCONTO]]</f>
        <v>658.63779999999997</v>
      </c>
      <c r="L5893" s="53">
        <f>Tabela6[[#This Row],[CUSTO TOTAL]]/Tabela6[[#This Row],[CONSUMO]]</f>
        <v>6.14</v>
      </c>
      <c r="M5893" s="53" t="e">
        <f t="array" ref="M5893">SE</f>
        <v>#NAME?</v>
      </c>
      <c r="N5893" s="118" t="e">
        <f>Tabela6[[#This Row],[KM Rodados ]]/Tabela6[[#This Row],[CONSUMO]]</f>
        <v>#NAME?</v>
      </c>
    </row>
    <row r="5894" spans="1:14" x14ac:dyDescent="0.25">
      <c r="A5894" s="117">
        <v>94637</v>
      </c>
      <c r="B5894" s="78">
        <v>45733</v>
      </c>
      <c r="C5894" s="47" t="s">
        <v>203</v>
      </c>
      <c r="D5894" s="49" t="s">
        <v>318</v>
      </c>
      <c r="E5894" s="117">
        <v>207611</v>
      </c>
      <c r="G5894" s="50" t="s">
        <v>244</v>
      </c>
      <c r="H5894" s="51">
        <v>26.85</v>
      </c>
      <c r="J5894" s="51">
        <v>5.99</v>
      </c>
      <c r="K5894" s="74">
        <f>Tabela6[[#This Row],[CONSUMO]]*Tabela6[[#This Row],[VALOR UNIT]]-Tabela6[[#This Row],[DESCONTO]]</f>
        <v>160.83150000000001</v>
      </c>
      <c r="L5894" s="53">
        <f>Tabela6[[#This Row],[CUSTO TOTAL]]/Tabela6[[#This Row],[CONSUMO]]</f>
        <v>5.99</v>
      </c>
      <c r="M5894" s="53" t="e">
        <f t="array" ref="M5894">SE</f>
        <v>#NAME?</v>
      </c>
      <c r="N5894" s="118" t="e">
        <f>Tabela6[[#This Row],[KM Rodados ]]/Tabela6[[#This Row],[CONSUMO]]</f>
        <v>#NAME?</v>
      </c>
    </row>
    <row r="5895" spans="1:14" x14ac:dyDescent="0.25">
      <c r="A5895" s="117">
        <v>949914</v>
      </c>
      <c r="B5895" s="78">
        <v>45733</v>
      </c>
      <c r="C5895" s="47" t="s">
        <v>43</v>
      </c>
      <c r="D5895" s="49" t="s">
        <v>360</v>
      </c>
      <c r="E5895" s="117">
        <v>237661</v>
      </c>
      <c r="G5895" s="50" t="s">
        <v>89</v>
      </c>
      <c r="H5895" s="51">
        <v>22.13</v>
      </c>
      <c r="J5895" s="51">
        <v>6.69</v>
      </c>
      <c r="K5895" s="74">
        <f>Tabela6[[#This Row],[CONSUMO]]*Tabela6[[#This Row],[VALOR UNIT]]-Tabela6[[#This Row],[DESCONTO]]</f>
        <v>148.0497</v>
      </c>
      <c r="L5895" s="53">
        <f>Tabela6[[#This Row],[CUSTO TOTAL]]/Tabela6[[#This Row],[CONSUMO]]</f>
        <v>6.69</v>
      </c>
      <c r="M5895" s="53" t="e">
        <f t="array" ref="M5895">SE</f>
        <v>#NAME?</v>
      </c>
      <c r="N5895" s="118" t="e">
        <f>Tabela6[[#This Row],[KM Rodados ]]/Tabela6[[#This Row],[CONSUMO]]</f>
        <v>#NAME?</v>
      </c>
    </row>
    <row r="5896" spans="1:14" x14ac:dyDescent="0.25">
      <c r="A5896" s="117">
        <v>99406</v>
      </c>
      <c r="B5896" s="78">
        <v>45733</v>
      </c>
      <c r="C5896" s="47" t="s">
        <v>401</v>
      </c>
      <c r="D5896" s="49" t="s">
        <v>247</v>
      </c>
      <c r="E5896" s="117">
        <v>94209</v>
      </c>
      <c r="G5896" s="50" t="s">
        <v>89</v>
      </c>
      <c r="H5896" s="51">
        <v>62.6</v>
      </c>
      <c r="J5896" s="51">
        <v>6.45</v>
      </c>
      <c r="K5896" s="74">
        <f>Tabela6[[#This Row],[CONSUMO]]*Tabela6[[#This Row],[VALOR UNIT]]-Tabela6[[#This Row],[DESCONTO]]</f>
        <v>403.77000000000004</v>
      </c>
      <c r="L5896" s="53">
        <f>Tabela6[[#This Row],[CUSTO TOTAL]]/Tabela6[[#This Row],[CONSUMO]]</f>
        <v>6.45</v>
      </c>
      <c r="M5896" s="53" t="e">
        <f t="array" ref="M5896">SE</f>
        <v>#NAME?</v>
      </c>
      <c r="N5896" s="118" t="e">
        <f>Tabela6[[#This Row],[KM Rodados ]]/Tabela6[[#This Row],[CONSUMO]]</f>
        <v>#NAME?</v>
      </c>
    </row>
    <row r="5897" spans="1:14" x14ac:dyDescent="0.25">
      <c r="A5897" s="117">
        <v>100672</v>
      </c>
      <c r="B5897" s="78">
        <v>45733</v>
      </c>
      <c r="C5897" s="47" t="s">
        <v>301</v>
      </c>
      <c r="D5897" s="49" t="s">
        <v>613</v>
      </c>
      <c r="E5897" s="117">
        <v>10145</v>
      </c>
      <c r="G5897" s="50" t="s">
        <v>89</v>
      </c>
      <c r="H5897" s="51">
        <v>250</v>
      </c>
      <c r="J5897" s="51">
        <v>6.29</v>
      </c>
      <c r="K5897" s="74">
        <f>Tabela6[[#This Row],[CONSUMO]]*Tabela6[[#This Row],[VALOR UNIT]]-Tabela6[[#This Row],[DESCONTO]]</f>
        <v>1572.5</v>
      </c>
      <c r="L5897" s="53">
        <f>Tabela6[[#This Row],[CUSTO TOTAL]]/Tabela6[[#This Row],[CONSUMO]]</f>
        <v>6.29</v>
      </c>
      <c r="M5897" s="53" t="e">
        <f t="array" ref="M5897">SE</f>
        <v>#NAME?</v>
      </c>
      <c r="N5897" s="118" t="e">
        <f>Tabela6[[#This Row],[KM Rodados ]]/Tabela6[[#This Row],[CONSUMO]]</f>
        <v>#NAME?</v>
      </c>
    </row>
    <row r="5898" spans="1:14" x14ac:dyDescent="0.25">
      <c r="A5898" s="117" t="s">
        <v>645</v>
      </c>
      <c r="B5898" s="78">
        <v>45734</v>
      </c>
      <c r="C5898" s="47" t="s">
        <v>564</v>
      </c>
      <c r="D5898" s="49" t="s">
        <v>332</v>
      </c>
      <c r="E5898" s="117">
        <v>69641</v>
      </c>
      <c r="G5898" s="50" t="s">
        <v>89</v>
      </c>
      <c r="H5898" s="51">
        <v>739.00300000000004</v>
      </c>
      <c r="J5898" s="51">
        <v>5.99</v>
      </c>
      <c r="K5898" s="74">
        <f>Tabela6[[#This Row],[CONSUMO]]*Tabela6[[#This Row],[VALOR UNIT]]-Tabela6[[#This Row],[DESCONTO]]</f>
        <v>4426.6279700000005</v>
      </c>
      <c r="L5898" s="53">
        <f>Tabela6[[#This Row],[CUSTO TOTAL]]/Tabela6[[#This Row],[CONSUMO]]</f>
        <v>5.99</v>
      </c>
      <c r="M5898" s="53" t="e">
        <f t="array" ref="M5898">SE</f>
        <v>#NAME?</v>
      </c>
      <c r="N5898" s="118" t="e">
        <f>Tabela6[[#This Row],[KM Rodados ]]/Tabela6[[#This Row],[CONSUMO]]</f>
        <v>#NAME?</v>
      </c>
    </row>
    <row r="5899" spans="1:14" x14ac:dyDescent="0.25">
      <c r="A5899" s="117">
        <v>91370</v>
      </c>
      <c r="B5899" s="78">
        <v>45734</v>
      </c>
      <c r="C5899" s="47" t="s">
        <v>564</v>
      </c>
      <c r="D5899" s="49" t="s">
        <v>332</v>
      </c>
      <c r="E5899" s="117">
        <v>69641</v>
      </c>
      <c r="G5899" s="50" t="s">
        <v>241</v>
      </c>
      <c r="H5899" s="51">
        <v>58.125</v>
      </c>
      <c r="J5899" s="51">
        <v>3.19</v>
      </c>
      <c r="K5899" s="74">
        <f>Tabela6[[#This Row],[CONSUMO]]*Tabela6[[#This Row],[VALOR UNIT]]-Tabela6[[#This Row],[DESCONTO]]</f>
        <v>185.41874999999999</v>
      </c>
      <c r="L5899" s="53">
        <f>Tabela6[[#This Row],[CUSTO TOTAL]]/Tabela6[[#This Row],[CONSUMO]]</f>
        <v>3.19</v>
      </c>
      <c r="M5899" s="53" t="e">
        <f t="array" ref="M5899">SE</f>
        <v>#NAME?</v>
      </c>
      <c r="N5899" s="118" t="e">
        <f>Tabela6[[#This Row],[KM Rodados ]]/Tabela6[[#This Row],[CONSUMO]]</f>
        <v>#NAME?</v>
      </c>
    </row>
    <row r="5900" spans="1:14" x14ac:dyDescent="0.25">
      <c r="A5900" s="117" t="s">
        <v>646</v>
      </c>
      <c r="B5900" s="78">
        <v>45734</v>
      </c>
      <c r="C5900" s="47" t="s">
        <v>43</v>
      </c>
      <c r="D5900" s="49" t="s">
        <v>268</v>
      </c>
      <c r="E5900" s="117">
        <v>238270</v>
      </c>
      <c r="G5900" s="50" t="s">
        <v>89</v>
      </c>
      <c r="H5900" s="51">
        <v>48.91</v>
      </c>
      <c r="J5900" s="51">
        <v>6.19</v>
      </c>
      <c r="K5900" s="74">
        <f>Tabela6[[#This Row],[CONSUMO]]*Tabela6[[#This Row],[VALOR UNIT]]-Tabela6[[#This Row],[DESCONTO]]</f>
        <v>302.75290000000001</v>
      </c>
      <c r="L5900" s="53">
        <f>Tabela6[[#This Row],[CUSTO TOTAL]]/Tabela6[[#This Row],[CONSUMO]]</f>
        <v>6.19</v>
      </c>
      <c r="M5900" s="53" t="e">
        <f t="array" ref="M5900">SE</f>
        <v>#NAME?</v>
      </c>
      <c r="N5900" s="118" t="e">
        <f>Tabela6[[#This Row],[KM Rodados ]]/Tabela6[[#This Row],[CONSUMO]]</f>
        <v>#NAME?</v>
      </c>
    </row>
    <row r="5901" spans="1:14" x14ac:dyDescent="0.25">
      <c r="A5901" s="117">
        <v>427967</v>
      </c>
      <c r="B5901" s="78">
        <v>45734</v>
      </c>
      <c r="C5901" s="47" t="s">
        <v>40</v>
      </c>
      <c r="D5901" s="49" t="s">
        <v>269</v>
      </c>
      <c r="E5901" s="117">
        <v>249152</v>
      </c>
      <c r="G5901" s="50" t="s">
        <v>244</v>
      </c>
      <c r="H5901" s="51">
        <v>44.238</v>
      </c>
      <c r="J5901" s="51">
        <v>5.99</v>
      </c>
      <c r="K5901" s="74">
        <f>Tabela6[[#This Row],[CONSUMO]]*Tabela6[[#This Row],[VALOR UNIT]]-Tabela6[[#This Row],[DESCONTO]]</f>
        <v>264.98561999999998</v>
      </c>
      <c r="L5901" s="53">
        <f>Tabela6[[#This Row],[CUSTO TOTAL]]/Tabela6[[#This Row],[CONSUMO]]</f>
        <v>5.9899999999999993</v>
      </c>
      <c r="M5901" s="53" t="e">
        <f t="array" ref="M5901">SE</f>
        <v>#NAME?</v>
      </c>
      <c r="N5901" s="118" t="e">
        <f>Tabela6[[#This Row],[KM Rodados ]]/Tabela6[[#This Row],[CONSUMO]]</f>
        <v>#NAME?</v>
      </c>
    </row>
    <row r="5902" spans="1:14" x14ac:dyDescent="0.25">
      <c r="A5902" s="117">
        <v>427991</v>
      </c>
      <c r="B5902" s="78">
        <v>45734</v>
      </c>
      <c r="C5902" s="47" t="s">
        <v>67</v>
      </c>
      <c r="D5902" s="49" t="s">
        <v>269</v>
      </c>
      <c r="E5902" s="117">
        <v>764173</v>
      </c>
      <c r="G5902" s="50" t="s">
        <v>241</v>
      </c>
      <c r="H5902" s="51">
        <v>21.402000000000001</v>
      </c>
      <c r="J5902" s="51">
        <v>3.19</v>
      </c>
      <c r="K5902" s="74">
        <f>Tabela6[[#This Row],[CONSUMO]]*Tabela6[[#This Row],[VALOR UNIT]]-Tabela6[[#This Row],[DESCONTO]]</f>
        <v>68.272379999999998</v>
      </c>
      <c r="L5902" s="53">
        <f>Tabela6[[#This Row],[CUSTO TOTAL]]/Tabela6[[#This Row],[CONSUMO]]</f>
        <v>3.19</v>
      </c>
      <c r="M5902" s="53" t="e">
        <f t="array" ref="M5902">SE</f>
        <v>#NAME?</v>
      </c>
      <c r="N5902" s="118" t="e">
        <f>Tabela6[[#This Row],[KM Rodados ]]/Tabela6[[#This Row],[CONSUMO]]</f>
        <v>#NAME?</v>
      </c>
    </row>
    <row r="5903" spans="1:14" x14ac:dyDescent="0.25">
      <c r="A5903" s="117">
        <v>427991</v>
      </c>
      <c r="B5903" s="78">
        <v>45734</v>
      </c>
      <c r="C5903" s="47" t="s">
        <v>67</v>
      </c>
      <c r="D5903" s="49" t="s">
        <v>269</v>
      </c>
      <c r="E5903" s="117">
        <v>764173</v>
      </c>
      <c r="G5903" s="50" t="s">
        <v>89</v>
      </c>
      <c r="H5903" s="51">
        <v>89.74</v>
      </c>
      <c r="J5903" s="51">
        <v>6.14</v>
      </c>
      <c r="K5903" s="74">
        <f>Tabela6[[#This Row],[CONSUMO]]*Tabela6[[#This Row],[VALOR UNIT]]-Tabela6[[#This Row],[DESCONTO]]</f>
        <v>551.00359999999989</v>
      </c>
      <c r="L5903" s="53">
        <f>Tabela6[[#This Row],[CUSTO TOTAL]]/Tabela6[[#This Row],[CONSUMO]]</f>
        <v>6.1399999999999988</v>
      </c>
      <c r="M5903" s="53" t="e">
        <f t="array" ref="M5903">SE</f>
        <v>#NAME?</v>
      </c>
      <c r="N5903" s="118" t="e">
        <f>Tabela6[[#This Row],[KM Rodados ]]/Tabela6[[#This Row],[CONSUMO]]</f>
        <v>#NAME?</v>
      </c>
    </row>
    <row r="5904" spans="1:14" x14ac:dyDescent="0.25">
      <c r="A5904" s="117">
        <v>469052</v>
      </c>
      <c r="B5904" s="78">
        <v>45734</v>
      </c>
      <c r="C5904" s="47" t="s">
        <v>39</v>
      </c>
      <c r="D5904" s="49" t="s">
        <v>253</v>
      </c>
      <c r="E5904" s="117">
        <v>142752</v>
      </c>
      <c r="G5904" s="50" t="s">
        <v>89</v>
      </c>
      <c r="H5904" s="51">
        <v>73.709999999999994</v>
      </c>
      <c r="J5904" s="51">
        <v>6.39</v>
      </c>
      <c r="K5904" s="74">
        <f>Tabela6[[#This Row],[CONSUMO]]*Tabela6[[#This Row],[VALOR UNIT]]-Tabela6[[#This Row],[DESCONTO]]</f>
        <v>471.00689999999992</v>
      </c>
      <c r="L5904" s="53">
        <f>Tabela6[[#This Row],[CUSTO TOTAL]]/Tabela6[[#This Row],[CONSUMO]]</f>
        <v>6.39</v>
      </c>
      <c r="M5904" s="53" t="e">
        <f t="array" ref="M5904">SE</f>
        <v>#NAME?</v>
      </c>
      <c r="N5904" s="118" t="e">
        <f>Tabela6[[#This Row],[KM Rodados ]]/Tabela6[[#This Row],[CONSUMO]]</f>
        <v>#NAME?</v>
      </c>
    </row>
    <row r="5905" spans="1:14" x14ac:dyDescent="0.25">
      <c r="A5905" s="117">
        <v>469239</v>
      </c>
      <c r="B5905" s="78">
        <v>45734</v>
      </c>
      <c r="C5905" s="47" t="s">
        <v>19</v>
      </c>
      <c r="D5905" s="49" t="s">
        <v>253</v>
      </c>
      <c r="E5905" s="117">
        <v>438571</v>
      </c>
      <c r="G5905" s="50" t="s">
        <v>241</v>
      </c>
      <c r="H5905" s="51">
        <v>22.658999999999999</v>
      </c>
      <c r="J5905" s="51">
        <v>3.49</v>
      </c>
      <c r="K5905" s="74">
        <f>Tabela6[[#This Row],[CONSUMO]]*Tabela6[[#This Row],[VALOR UNIT]]-Tabela6[[#This Row],[DESCONTO]]</f>
        <v>79.079909999999998</v>
      </c>
      <c r="L5905" s="53">
        <f>Tabela6[[#This Row],[CUSTO TOTAL]]/Tabela6[[#This Row],[CONSUMO]]</f>
        <v>3.49</v>
      </c>
      <c r="M5905" s="53" t="e">
        <f t="array" ref="M5905">SE</f>
        <v>#NAME?</v>
      </c>
      <c r="N5905" s="118" t="e">
        <f>Tabela6[[#This Row],[KM Rodados ]]/Tabela6[[#This Row],[CONSUMO]]</f>
        <v>#NAME?</v>
      </c>
    </row>
    <row r="5906" spans="1:14" x14ac:dyDescent="0.25">
      <c r="A5906" s="117">
        <v>338821</v>
      </c>
      <c r="B5906" s="78">
        <v>45734</v>
      </c>
      <c r="C5906" s="47" t="s">
        <v>315</v>
      </c>
      <c r="D5906" s="49" t="s">
        <v>262</v>
      </c>
      <c r="E5906" s="117">
        <v>66282</v>
      </c>
      <c r="G5906" s="50" t="s">
        <v>89</v>
      </c>
      <c r="H5906" s="51">
        <v>40.503999999999998</v>
      </c>
      <c r="J5906" s="51">
        <v>6.1245000000000003</v>
      </c>
      <c r="K5906" s="74">
        <f>Tabela6[[#This Row],[CONSUMO]]*Tabela6[[#This Row],[VALOR UNIT]]-Tabela6[[#This Row],[DESCONTO]]</f>
        <v>248.06674799999999</v>
      </c>
      <c r="L5906" s="53">
        <f>Tabela6[[#This Row],[CUSTO TOTAL]]/Tabela6[[#This Row],[CONSUMO]]</f>
        <v>6.1245000000000003</v>
      </c>
      <c r="M5906" s="53" t="e">
        <f t="array" ref="M5906">SE</f>
        <v>#NAME?</v>
      </c>
      <c r="N5906" s="118" t="e">
        <f>Tabela6[[#This Row],[KM Rodados ]]/Tabela6[[#This Row],[CONSUMO]]</f>
        <v>#NAME?</v>
      </c>
    </row>
    <row r="5907" spans="1:14" x14ac:dyDescent="0.25">
      <c r="A5907" s="117">
        <v>469911</v>
      </c>
      <c r="B5907" s="78">
        <v>45735</v>
      </c>
      <c r="C5907" s="47" t="s">
        <v>12</v>
      </c>
      <c r="D5907" s="49" t="s">
        <v>253</v>
      </c>
      <c r="E5907" s="117">
        <v>357066</v>
      </c>
      <c r="G5907" s="50" t="s">
        <v>89</v>
      </c>
      <c r="H5907" s="51">
        <v>111.62</v>
      </c>
      <c r="J5907" s="51">
        <v>6.39</v>
      </c>
      <c r="K5907" s="74">
        <f>Tabela6[[#This Row],[CONSUMO]]*Tabela6[[#This Row],[VALOR UNIT]]-Tabela6[[#This Row],[DESCONTO]]</f>
        <v>713.2518</v>
      </c>
      <c r="L5907" s="53">
        <f>Tabela6[[#This Row],[CUSTO TOTAL]]/Tabela6[[#This Row],[CONSUMO]]</f>
        <v>6.39</v>
      </c>
      <c r="M5907" s="53" t="e">
        <f t="array" ref="M5907">SE</f>
        <v>#NAME?</v>
      </c>
      <c r="N5907" s="118" t="e">
        <f>Tabela6[[#This Row],[KM Rodados ]]/Tabela6[[#This Row],[CONSUMO]]</f>
        <v>#NAME?</v>
      </c>
    </row>
    <row r="5908" spans="1:14" x14ac:dyDescent="0.25">
      <c r="A5908" s="117" t="s">
        <v>647</v>
      </c>
      <c r="B5908" s="78">
        <v>45735</v>
      </c>
      <c r="C5908" s="47" t="s">
        <v>569</v>
      </c>
      <c r="D5908" s="49" t="s">
        <v>269</v>
      </c>
      <c r="E5908" s="117">
        <v>21993</v>
      </c>
      <c r="G5908" s="50" t="s">
        <v>241</v>
      </c>
      <c r="H5908" s="51">
        <v>22</v>
      </c>
      <c r="J5908" s="51">
        <v>3.19</v>
      </c>
      <c r="K5908" s="74">
        <f>Tabela6[[#This Row],[CONSUMO]]*Tabela6[[#This Row],[VALOR UNIT]]-Tabela6[[#This Row],[DESCONTO]]</f>
        <v>70.179999999999993</v>
      </c>
      <c r="L5908" s="53">
        <f>Tabela6[[#This Row],[CUSTO TOTAL]]/Tabela6[[#This Row],[CONSUMO]]</f>
        <v>3.1899999999999995</v>
      </c>
      <c r="M5908" s="53" t="e">
        <f t="array" ref="M5908">SE</f>
        <v>#NAME?</v>
      </c>
      <c r="N5908" s="118" t="e">
        <f>Tabela6[[#This Row],[KM Rodados ]]/Tabela6[[#This Row],[CONSUMO]]</f>
        <v>#NAME?</v>
      </c>
    </row>
    <row r="5909" spans="1:14" x14ac:dyDescent="0.25">
      <c r="A5909" s="117">
        <v>402181</v>
      </c>
      <c r="B5909" s="78">
        <v>45735</v>
      </c>
      <c r="C5909" s="47" t="s">
        <v>23</v>
      </c>
      <c r="D5909" s="49" t="s">
        <v>300</v>
      </c>
      <c r="E5909" s="117">
        <v>328519</v>
      </c>
      <c r="G5909" s="50" t="s">
        <v>89</v>
      </c>
      <c r="H5909" s="51">
        <v>120</v>
      </c>
      <c r="J5909" s="51">
        <v>6.19</v>
      </c>
      <c r="K5909" s="74">
        <f>Tabela6[[#This Row],[CONSUMO]]*Tabela6[[#This Row],[VALOR UNIT]]-Tabela6[[#This Row],[DESCONTO]]</f>
        <v>742.80000000000007</v>
      </c>
      <c r="L5909" s="53">
        <f>Tabela6[[#This Row],[CUSTO TOTAL]]/Tabela6[[#This Row],[CONSUMO]]</f>
        <v>6.19</v>
      </c>
      <c r="M5909" s="53" t="e">
        <f t="array" ref="M5909">SE</f>
        <v>#NAME?</v>
      </c>
      <c r="N5909" s="118" t="e">
        <f>Tabela6[[#This Row],[KM Rodados ]]/Tabela6[[#This Row],[CONSUMO]]</f>
        <v>#NAME?</v>
      </c>
    </row>
    <row r="5910" spans="1:14" x14ac:dyDescent="0.25">
      <c r="A5910" s="117">
        <v>109378</v>
      </c>
      <c r="B5910" s="78">
        <v>45735</v>
      </c>
      <c r="C5910" s="47" t="s">
        <v>564</v>
      </c>
      <c r="D5910" s="49" t="s">
        <v>613</v>
      </c>
      <c r="E5910" s="117">
        <v>67215</v>
      </c>
      <c r="G5910" s="50" t="s">
        <v>89</v>
      </c>
      <c r="H5910" s="51">
        <v>210.12</v>
      </c>
      <c r="J5910" s="51">
        <v>6.29</v>
      </c>
      <c r="K5910" s="74">
        <f>Tabela6[[#This Row],[CONSUMO]]*Tabela6[[#This Row],[VALOR UNIT]]-Tabela6[[#This Row],[DESCONTO]]</f>
        <v>1321.6548</v>
      </c>
      <c r="L5910" s="53">
        <f>Tabela6[[#This Row],[CUSTO TOTAL]]/Tabela6[[#This Row],[CONSUMO]]</f>
        <v>6.29</v>
      </c>
      <c r="M5910" s="53" t="e">
        <f t="array" ref="M5910">SE</f>
        <v>#NAME?</v>
      </c>
      <c r="N5910" s="118" t="e">
        <f>Tabela6[[#This Row],[KM Rodados ]]/Tabela6[[#This Row],[CONSUMO]]</f>
        <v>#NAME?</v>
      </c>
    </row>
    <row r="5911" spans="1:14" x14ac:dyDescent="0.25">
      <c r="A5911" s="117">
        <v>469914</v>
      </c>
      <c r="B5911" s="78">
        <v>45735</v>
      </c>
      <c r="C5911" s="47" t="s">
        <v>20</v>
      </c>
      <c r="D5911" s="49" t="s">
        <v>253</v>
      </c>
      <c r="E5911" s="117">
        <v>346122</v>
      </c>
      <c r="G5911" s="50" t="s">
        <v>89</v>
      </c>
      <c r="H5911" s="51">
        <v>34.11</v>
      </c>
      <c r="J5911" s="51">
        <v>6.39</v>
      </c>
      <c r="K5911" s="74">
        <f>Tabela6[[#This Row],[CONSUMO]]*Tabela6[[#This Row],[VALOR UNIT]]-Tabela6[[#This Row],[DESCONTO]]</f>
        <v>217.96289999999999</v>
      </c>
      <c r="L5911" s="53">
        <f>Tabela6[[#This Row],[CUSTO TOTAL]]/Tabela6[[#This Row],[CONSUMO]]</f>
        <v>6.39</v>
      </c>
      <c r="M5911" s="53" t="e">
        <f t="array" ref="M5911">SE</f>
        <v>#NAME?</v>
      </c>
      <c r="N5911" s="118" t="e">
        <f>Tabela6[[#This Row],[KM Rodados ]]/Tabela6[[#This Row],[CONSUMO]]</f>
        <v>#NAME?</v>
      </c>
    </row>
    <row r="5912" spans="1:14" x14ac:dyDescent="0.25">
      <c r="A5912" s="117" t="s">
        <v>689</v>
      </c>
      <c r="B5912" s="78">
        <v>45735</v>
      </c>
      <c r="C5912" s="47" t="s">
        <v>11</v>
      </c>
      <c r="D5912" s="49" t="s">
        <v>253</v>
      </c>
      <c r="E5912" s="117"/>
      <c r="G5912" s="50" t="s">
        <v>244</v>
      </c>
      <c r="H5912" s="51">
        <v>35.844999999999999</v>
      </c>
      <c r="J5912" s="51">
        <v>6.99</v>
      </c>
      <c r="K5912" s="74">
        <f>Tabela6[[#This Row],[CONSUMO]]*Tabela6[[#This Row],[VALOR UNIT]]-Tabela6[[#This Row],[DESCONTO]]</f>
        <v>250.55654999999999</v>
      </c>
      <c r="L5912" s="53">
        <f>Tabela6[[#This Row],[CUSTO TOTAL]]/Tabela6[[#This Row],[CONSUMO]]</f>
        <v>6.99</v>
      </c>
      <c r="M5912" s="53" t="e">
        <f t="array" ref="M5912">SE</f>
        <v>#NAME?</v>
      </c>
      <c r="N5912" s="118" t="e">
        <f>Tabela6[[#This Row],[KM Rodados ]]/Tabela6[[#This Row],[CONSUMO]]</f>
        <v>#NAME?</v>
      </c>
    </row>
    <row r="5913" spans="1:14" x14ac:dyDescent="0.25">
      <c r="A5913" s="117">
        <v>470262</v>
      </c>
      <c r="B5913" s="78">
        <v>45735</v>
      </c>
      <c r="C5913" s="47" t="s">
        <v>9</v>
      </c>
      <c r="D5913" s="49" t="s">
        <v>253</v>
      </c>
      <c r="E5913" s="117"/>
      <c r="G5913" s="50" t="s">
        <v>241</v>
      </c>
      <c r="H5913" s="51">
        <v>43.734000000000002</v>
      </c>
      <c r="J5913" s="51">
        <v>3.49</v>
      </c>
      <c r="K5913" s="74">
        <f>Tabela6[[#This Row],[CONSUMO]]*Tabela6[[#This Row],[VALOR UNIT]]-Tabela6[[#This Row],[DESCONTO]]</f>
        <v>152.63166000000001</v>
      </c>
      <c r="L5913" s="53">
        <f>Tabela6[[#This Row],[CUSTO TOTAL]]/Tabela6[[#This Row],[CONSUMO]]</f>
        <v>3.49</v>
      </c>
      <c r="M5913" s="53" t="e">
        <f t="array" ref="M5913">SE</f>
        <v>#NAME?</v>
      </c>
      <c r="N5913" s="118" t="e">
        <f>Tabela6[[#This Row],[KM Rodados ]]/Tabela6[[#This Row],[CONSUMO]]</f>
        <v>#NAME?</v>
      </c>
    </row>
    <row r="5914" spans="1:14" x14ac:dyDescent="0.25">
      <c r="A5914" s="117">
        <v>55861</v>
      </c>
      <c r="B5914" s="78">
        <v>45735</v>
      </c>
      <c r="C5914" s="47" t="s">
        <v>16</v>
      </c>
      <c r="D5914" s="49" t="s">
        <v>255</v>
      </c>
      <c r="E5914" s="117">
        <v>336251</v>
      </c>
      <c r="G5914" s="50" t="s">
        <v>89</v>
      </c>
      <c r="H5914" s="51">
        <v>99</v>
      </c>
      <c r="J5914" s="51">
        <v>6.49</v>
      </c>
      <c r="K5914" s="74">
        <f>Tabela6[[#This Row],[CONSUMO]]*Tabela6[[#This Row],[VALOR UNIT]]-Tabela6[[#This Row],[DESCONTO]]</f>
        <v>642.51</v>
      </c>
      <c r="L5914" s="53">
        <f>Tabela6[[#This Row],[CUSTO TOTAL]]/Tabela6[[#This Row],[CONSUMO]]</f>
        <v>6.49</v>
      </c>
      <c r="M5914" s="53" t="e">
        <f t="array" ref="M5914">SE</f>
        <v>#NAME?</v>
      </c>
      <c r="N5914" s="118" t="e">
        <f>Tabela6[[#This Row],[KM Rodados ]]/Tabela6[[#This Row],[CONSUMO]]</f>
        <v>#NAME?</v>
      </c>
    </row>
    <row r="5915" spans="1:14" x14ac:dyDescent="0.25">
      <c r="A5915" s="117">
        <v>339279</v>
      </c>
      <c r="B5915" s="78">
        <v>45736</v>
      </c>
      <c r="C5915" s="47" t="s">
        <v>74</v>
      </c>
      <c r="D5915" s="49" t="s">
        <v>262</v>
      </c>
      <c r="E5915" s="117">
        <v>186195</v>
      </c>
      <c r="G5915" s="50" t="s">
        <v>241</v>
      </c>
      <c r="H5915" s="51">
        <v>9.6839999999999993</v>
      </c>
      <c r="J5915" s="51">
        <v>3.33</v>
      </c>
      <c r="K5915" s="74">
        <f>Tabela6[[#This Row],[CONSUMO]]*Tabela6[[#This Row],[VALOR UNIT]]-Tabela6[[#This Row],[DESCONTO]]</f>
        <v>32.247720000000001</v>
      </c>
      <c r="L5915" s="53">
        <f>Tabela6[[#This Row],[CUSTO TOTAL]]/Tabela6[[#This Row],[CONSUMO]]</f>
        <v>3.3300000000000005</v>
      </c>
      <c r="M5915" s="53" t="e">
        <f t="array" ref="M5915">SE</f>
        <v>#NAME?</v>
      </c>
      <c r="N5915" s="118" t="e">
        <f>Tabela6[[#This Row],[KM Rodados ]]/Tabela6[[#This Row],[CONSUMO]]</f>
        <v>#NAME?</v>
      </c>
    </row>
    <row r="5916" spans="1:14" x14ac:dyDescent="0.25">
      <c r="A5916" s="117">
        <v>493502</v>
      </c>
      <c r="B5916" s="78">
        <v>45736</v>
      </c>
      <c r="C5916" s="47" t="s">
        <v>203</v>
      </c>
      <c r="D5916" s="49" t="s">
        <v>276</v>
      </c>
      <c r="E5916" s="117">
        <v>209037</v>
      </c>
      <c r="G5916" s="50" t="s">
        <v>244</v>
      </c>
      <c r="H5916" s="51">
        <v>42.57</v>
      </c>
      <c r="J5916" s="51">
        <v>6.19</v>
      </c>
      <c r="K5916" s="74">
        <f>Tabela6[[#This Row],[CONSUMO]]*Tabela6[[#This Row],[VALOR UNIT]]-Tabela6[[#This Row],[DESCONTO]]</f>
        <v>263.50830000000002</v>
      </c>
      <c r="L5916" s="53">
        <f>Tabela6[[#This Row],[CUSTO TOTAL]]/Tabela6[[#This Row],[CONSUMO]]</f>
        <v>6.19</v>
      </c>
      <c r="M5916" s="53" t="e">
        <f t="array" ref="M5916">SE</f>
        <v>#NAME?</v>
      </c>
      <c r="N5916" s="118" t="e">
        <f>Tabela6[[#This Row],[KM Rodados ]]/Tabela6[[#This Row],[CONSUMO]]</f>
        <v>#NAME?</v>
      </c>
    </row>
    <row r="5917" spans="1:14" x14ac:dyDescent="0.25">
      <c r="A5917" s="117">
        <v>116784</v>
      </c>
      <c r="B5917" s="78">
        <v>45736</v>
      </c>
      <c r="C5917" s="47" t="s">
        <v>43</v>
      </c>
      <c r="D5917" s="49" t="s">
        <v>619</v>
      </c>
      <c r="E5917" s="117">
        <v>238660</v>
      </c>
      <c r="G5917" s="50" t="s">
        <v>89</v>
      </c>
      <c r="H5917" s="51">
        <v>23.62</v>
      </c>
      <c r="J5917" s="51">
        <v>6.35</v>
      </c>
      <c r="K5917" s="74">
        <f>Tabela6[[#This Row],[CONSUMO]]*Tabela6[[#This Row],[VALOR UNIT]]-Tabela6[[#This Row],[DESCONTO]]</f>
        <v>149.98699999999999</v>
      </c>
      <c r="L5917" s="53">
        <f>Tabela6[[#This Row],[CUSTO TOTAL]]/Tabela6[[#This Row],[CONSUMO]]</f>
        <v>6.35</v>
      </c>
      <c r="M5917" s="53" t="e">
        <f t="array" ref="M5917">SE</f>
        <v>#NAME?</v>
      </c>
      <c r="N5917" s="118" t="e">
        <f>Tabela6[[#This Row],[KM Rodados ]]/Tabela6[[#This Row],[CONSUMO]]</f>
        <v>#NAME?</v>
      </c>
    </row>
    <row r="5918" spans="1:14" x14ac:dyDescent="0.25">
      <c r="A5918" s="117">
        <v>121527</v>
      </c>
      <c r="B5918" s="78">
        <v>45736</v>
      </c>
      <c r="C5918" s="47" t="s">
        <v>401</v>
      </c>
      <c r="D5918" s="49" t="s">
        <v>357</v>
      </c>
      <c r="E5918" s="117">
        <v>95459</v>
      </c>
      <c r="G5918" s="50" t="s">
        <v>89</v>
      </c>
      <c r="H5918" s="51">
        <v>79.55</v>
      </c>
      <c r="J5918" s="51">
        <v>6.29</v>
      </c>
      <c r="K5918" s="74">
        <f>Tabela6[[#This Row],[CONSUMO]]*Tabela6[[#This Row],[VALOR UNIT]]-Tabela6[[#This Row],[DESCONTO]]</f>
        <v>500.36949999999996</v>
      </c>
      <c r="L5918" s="53">
        <f>Tabela6[[#This Row],[CUSTO TOTAL]]/Tabela6[[#This Row],[CONSUMO]]</f>
        <v>6.29</v>
      </c>
      <c r="M5918" s="53" t="e">
        <f t="array" ref="M5918">SE</f>
        <v>#NAME?</v>
      </c>
      <c r="N5918" s="118" t="e">
        <f>Tabela6[[#This Row],[KM Rodados ]]/Tabela6[[#This Row],[CONSUMO]]</f>
        <v>#NAME?</v>
      </c>
    </row>
    <row r="5919" spans="1:14" x14ac:dyDescent="0.25">
      <c r="A5919" s="117">
        <v>121527</v>
      </c>
      <c r="B5919" s="78">
        <v>45736</v>
      </c>
      <c r="C5919" s="47" t="s">
        <v>401</v>
      </c>
      <c r="D5919" s="49" t="s">
        <v>357</v>
      </c>
      <c r="E5919" s="117">
        <v>95459</v>
      </c>
      <c r="G5919" s="50" t="s">
        <v>241</v>
      </c>
      <c r="H5919" s="51">
        <v>24.53</v>
      </c>
      <c r="J5919" s="51">
        <v>3.05</v>
      </c>
      <c r="K5919" s="74">
        <f>Tabela6[[#This Row],[CONSUMO]]*Tabela6[[#This Row],[VALOR UNIT]]-Tabela6[[#This Row],[DESCONTO]]</f>
        <v>74.816500000000005</v>
      </c>
      <c r="L5919" s="53">
        <f>Tabela6[[#This Row],[CUSTO TOTAL]]/Tabela6[[#This Row],[CONSUMO]]</f>
        <v>3.0500000000000003</v>
      </c>
      <c r="M5919" s="53" t="e">
        <f t="array" ref="M5919">SE</f>
        <v>#NAME?</v>
      </c>
      <c r="N5919" s="118" t="e">
        <f>Tabela6[[#This Row],[KM Rodados ]]/Tabela6[[#This Row],[CONSUMO]]</f>
        <v>#NAME?</v>
      </c>
    </row>
    <row r="5920" spans="1:14" x14ac:dyDescent="0.25">
      <c r="A5920" s="117" t="s">
        <v>648</v>
      </c>
      <c r="B5920" s="78">
        <v>45736</v>
      </c>
      <c r="C5920" s="47" t="s">
        <v>68</v>
      </c>
      <c r="D5920" s="49" t="s">
        <v>347</v>
      </c>
      <c r="E5920" s="117">
        <v>1047.5450000000001</v>
      </c>
      <c r="G5920" s="50" t="s">
        <v>89</v>
      </c>
      <c r="H5920" s="51">
        <v>550</v>
      </c>
      <c r="J5920" s="51">
        <v>6.19</v>
      </c>
      <c r="K5920" s="74">
        <f>Tabela6[[#This Row],[CONSUMO]]*Tabela6[[#This Row],[VALOR UNIT]]-Tabela6[[#This Row],[DESCONTO]]</f>
        <v>3404.5</v>
      </c>
      <c r="L5920" s="53">
        <f>Tabela6[[#This Row],[CUSTO TOTAL]]/Tabela6[[#This Row],[CONSUMO]]</f>
        <v>6.19</v>
      </c>
      <c r="M5920" s="53" t="e">
        <f t="array" ref="M5920">SE</f>
        <v>#NAME?</v>
      </c>
      <c r="N5920" s="118" t="e">
        <f>Tabela6[[#This Row],[KM Rodados ]]/Tabela6[[#This Row],[CONSUMO]]</f>
        <v>#NAME?</v>
      </c>
    </row>
    <row r="5921" spans="1:14" x14ac:dyDescent="0.25">
      <c r="A5921" s="117">
        <v>428698</v>
      </c>
      <c r="B5921" s="78">
        <v>45736</v>
      </c>
      <c r="C5921" s="47" t="s">
        <v>67</v>
      </c>
      <c r="D5921" s="49" t="s">
        <v>269</v>
      </c>
      <c r="E5921" s="117">
        <v>767638</v>
      </c>
      <c r="G5921" s="50" t="s">
        <v>89</v>
      </c>
      <c r="H5921" s="51">
        <v>126.89</v>
      </c>
      <c r="J5921" s="51">
        <v>6.14</v>
      </c>
      <c r="K5921" s="74">
        <f>Tabela6[[#This Row],[CONSUMO]]*Tabela6[[#This Row],[VALOR UNIT]]-Tabela6[[#This Row],[DESCONTO]]</f>
        <v>779.1046</v>
      </c>
      <c r="L5921" s="53">
        <f>Tabela6[[#This Row],[CUSTO TOTAL]]/Tabela6[[#This Row],[CONSUMO]]</f>
        <v>6.14</v>
      </c>
      <c r="M5921" s="53" t="e">
        <f t="array" ref="M5921">SE</f>
        <v>#NAME?</v>
      </c>
      <c r="N5921" s="118" t="e">
        <f>Tabela6[[#This Row],[KM Rodados ]]/Tabela6[[#This Row],[CONSUMO]]</f>
        <v>#NAME?</v>
      </c>
    </row>
    <row r="5922" spans="1:14" x14ac:dyDescent="0.25">
      <c r="A5922" s="117">
        <v>116460</v>
      </c>
      <c r="B5922" s="78">
        <v>45736</v>
      </c>
      <c r="C5922" s="47" t="s">
        <v>10</v>
      </c>
      <c r="D5922" s="49" t="s">
        <v>252</v>
      </c>
      <c r="E5922" s="117">
        <v>822676</v>
      </c>
      <c r="G5922" s="50" t="s">
        <v>89</v>
      </c>
      <c r="H5922" s="51">
        <v>163</v>
      </c>
      <c r="J5922" s="51">
        <v>6.54</v>
      </c>
      <c r="K5922" s="74">
        <f>Tabela6[[#This Row],[CONSUMO]]*Tabela6[[#This Row],[VALOR UNIT]]-Tabela6[[#This Row],[DESCONTO]]</f>
        <v>1066.02</v>
      </c>
      <c r="L5922" s="53">
        <f>Tabela6[[#This Row],[CUSTO TOTAL]]/Tabela6[[#This Row],[CONSUMO]]</f>
        <v>6.54</v>
      </c>
      <c r="M5922" s="53" t="e">
        <f t="array" ref="M5922">SE</f>
        <v>#NAME?</v>
      </c>
      <c r="N5922" s="118" t="e">
        <f>Tabela6[[#This Row],[KM Rodados ]]/Tabela6[[#This Row],[CONSUMO]]</f>
        <v>#NAME?</v>
      </c>
    </row>
    <row r="5923" spans="1:14" x14ac:dyDescent="0.25">
      <c r="A5923" s="117">
        <v>471924</v>
      </c>
      <c r="B5923" s="78">
        <v>45737</v>
      </c>
      <c r="C5923" s="47" t="s">
        <v>315</v>
      </c>
      <c r="D5923" s="49" t="s">
        <v>253</v>
      </c>
      <c r="E5923" s="117">
        <v>19366</v>
      </c>
      <c r="G5923" s="50" t="s">
        <v>89</v>
      </c>
      <c r="H5923" s="51">
        <v>48.41</v>
      </c>
      <c r="J5923" s="51">
        <v>6.39</v>
      </c>
      <c r="K5923" s="74">
        <f>Tabela6[[#This Row],[CONSUMO]]*Tabela6[[#This Row],[VALOR UNIT]]-Tabela6[[#This Row],[DESCONTO]]</f>
        <v>309.33989999999994</v>
      </c>
      <c r="L5923" s="53">
        <f>Tabela6[[#This Row],[CUSTO TOTAL]]/Tabela6[[#This Row],[CONSUMO]]</f>
        <v>6.39</v>
      </c>
      <c r="M5923" s="53" t="e">
        <f t="array" ref="M5923">SE</f>
        <v>#NAME?</v>
      </c>
      <c r="N5923" s="118" t="e">
        <f>Tabela6[[#This Row],[KM Rodados ]]/Tabela6[[#This Row],[CONSUMO]]</f>
        <v>#NAME?</v>
      </c>
    </row>
    <row r="5924" spans="1:14" x14ac:dyDescent="0.25">
      <c r="A5924" s="117">
        <v>123417</v>
      </c>
      <c r="B5924" s="78">
        <v>45737</v>
      </c>
      <c r="C5924" s="47" t="s">
        <v>426</v>
      </c>
      <c r="D5924" s="49" t="s">
        <v>389</v>
      </c>
      <c r="E5924" s="117">
        <v>79115</v>
      </c>
      <c r="G5924" s="50" t="s">
        <v>89</v>
      </c>
      <c r="H5924" s="51">
        <v>14.73</v>
      </c>
      <c r="J5924" s="51">
        <v>6.79</v>
      </c>
      <c r="K5924" s="74">
        <f>Tabela6[[#This Row],[CONSUMO]]*Tabela6[[#This Row],[VALOR UNIT]]-Tabela6[[#This Row],[DESCONTO]]</f>
        <v>100.0167</v>
      </c>
      <c r="L5924" s="53">
        <f>Tabela6[[#This Row],[CUSTO TOTAL]]/Tabela6[[#This Row],[CONSUMO]]</f>
        <v>6.79</v>
      </c>
      <c r="M5924" s="53" t="e">
        <f t="array" ref="M5924">SE</f>
        <v>#NAME?</v>
      </c>
      <c r="N5924" s="118" t="e">
        <f>Tabela6[[#This Row],[KM Rodados ]]/Tabela6[[#This Row],[CONSUMO]]</f>
        <v>#NAME?</v>
      </c>
    </row>
    <row r="5925" spans="1:14" x14ac:dyDescent="0.25">
      <c r="A5925" s="117">
        <v>124212</v>
      </c>
      <c r="B5925" s="78">
        <v>45737</v>
      </c>
      <c r="C5925" s="47" t="s">
        <v>72</v>
      </c>
      <c r="D5925" s="49" t="s">
        <v>620</v>
      </c>
      <c r="E5925" s="117">
        <v>504948</v>
      </c>
      <c r="G5925" s="50" t="s">
        <v>89</v>
      </c>
      <c r="H5925" s="51">
        <v>39.58</v>
      </c>
      <c r="J5925" s="51">
        <v>6.63</v>
      </c>
      <c r="K5925" s="74">
        <f>Tabela6[[#This Row],[CONSUMO]]*Tabela6[[#This Row],[VALOR UNIT]]-Tabela6[[#This Row],[DESCONTO]]</f>
        <v>262.41539999999998</v>
      </c>
      <c r="L5925" s="53">
        <f>Tabela6[[#This Row],[CUSTO TOTAL]]/Tabela6[[#This Row],[CONSUMO]]</f>
        <v>6.63</v>
      </c>
      <c r="M5925" s="53" t="e">
        <f t="array" ref="M5925">SE</f>
        <v>#NAME?</v>
      </c>
      <c r="N5925" s="118" t="e">
        <f>Tabela6[[#This Row],[KM Rodados ]]/Tabela6[[#This Row],[CONSUMO]]</f>
        <v>#NAME?</v>
      </c>
    </row>
    <row r="5926" spans="1:14" x14ac:dyDescent="0.25">
      <c r="A5926" s="117">
        <v>111459</v>
      </c>
      <c r="B5926" s="78">
        <v>45737</v>
      </c>
      <c r="C5926" s="47" t="s">
        <v>203</v>
      </c>
      <c r="D5926" s="49" t="s">
        <v>274</v>
      </c>
      <c r="E5926" s="117">
        <v>209873</v>
      </c>
      <c r="G5926" s="50" t="s">
        <v>244</v>
      </c>
      <c r="H5926" s="51">
        <v>39.271000000000001</v>
      </c>
      <c r="J5926" s="51">
        <v>5.99</v>
      </c>
      <c r="K5926" s="74">
        <f>Tabela6[[#This Row],[CONSUMO]]*Tabela6[[#This Row],[VALOR UNIT]]-Tabela6[[#This Row],[DESCONTO]]</f>
        <v>235.23329000000001</v>
      </c>
      <c r="L5926" s="53">
        <f>Tabela6[[#This Row],[CUSTO TOTAL]]/Tabela6[[#This Row],[CONSUMO]]</f>
        <v>5.99</v>
      </c>
      <c r="M5926" s="53" t="e">
        <f t="array" ref="M5926">SE</f>
        <v>#NAME?</v>
      </c>
      <c r="N5926" s="118" t="e">
        <f>Tabela6[[#This Row],[KM Rodados ]]/Tabela6[[#This Row],[CONSUMO]]</f>
        <v>#NAME?</v>
      </c>
    </row>
    <row r="5927" spans="1:14" x14ac:dyDescent="0.25">
      <c r="A5927" s="117" t="s">
        <v>649</v>
      </c>
      <c r="B5927" s="78">
        <v>45737</v>
      </c>
      <c r="C5927" s="47" t="s">
        <v>23</v>
      </c>
      <c r="D5927" s="49" t="s">
        <v>269</v>
      </c>
      <c r="E5927" s="117">
        <v>329128</v>
      </c>
      <c r="G5927" s="50" t="s">
        <v>89</v>
      </c>
      <c r="H5927" s="51">
        <v>171.01</v>
      </c>
      <c r="J5927" s="51">
        <v>6.19</v>
      </c>
      <c r="K5927" s="74">
        <f>Tabela6[[#This Row],[CONSUMO]]*Tabela6[[#This Row],[VALOR UNIT]]-Tabela6[[#This Row],[DESCONTO]]</f>
        <v>1058.5518999999999</v>
      </c>
      <c r="L5927" s="53">
        <f>Tabela6[[#This Row],[CUSTO TOTAL]]/Tabela6[[#This Row],[CONSUMO]]</f>
        <v>6.1899999999999995</v>
      </c>
      <c r="M5927" s="53" t="e">
        <f t="array" ref="M5927">SE</f>
        <v>#NAME?</v>
      </c>
      <c r="N5927" s="118" t="e">
        <f>Tabela6[[#This Row],[KM Rodados ]]/Tabela6[[#This Row],[CONSUMO]]</f>
        <v>#NAME?</v>
      </c>
    </row>
    <row r="5928" spans="1:14" x14ac:dyDescent="0.25">
      <c r="A5928" s="117">
        <v>36160</v>
      </c>
      <c r="B5928" s="78">
        <v>45737</v>
      </c>
      <c r="C5928" s="47" t="s">
        <v>10</v>
      </c>
      <c r="D5928" s="49" t="s">
        <v>252</v>
      </c>
      <c r="E5928" s="117">
        <v>823321</v>
      </c>
      <c r="G5928" s="50" t="s">
        <v>89</v>
      </c>
      <c r="H5928" s="51">
        <v>153.41999999999999</v>
      </c>
      <c r="J5928" s="51">
        <v>6.37</v>
      </c>
      <c r="K5928" s="74">
        <f>Tabela6[[#This Row],[CONSUMO]]*Tabela6[[#This Row],[VALOR UNIT]]-Tabela6[[#This Row],[DESCONTO]]</f>
        <v>977.28539999999998</v>
      </c>
      <c r="L5928" s="53">
        <f>Tabela6[[#This Row],[CUSTO TOTAL]]/Tabela6[[#This Row],[CONSUMO]]</f>
        <v>6.37</v>
      </c>
      <c r="M5928" s="53" t="e">
        <f t="array" ref="M5928">SE</f>
        <v>#NAME?</v>
      </c>
      <c r="N5928" s="118" t="e">
        <f>Tabela6[[#This Row],[KM Rodados ]]/Tabela6[[#This Row],[CONSUMO]]</f>
        <v>#NAME?</v>
      </c>
    </row>
    <row r="5929" spans="1:14" x14ac:dyDescent="0.25">
      <c r="A5929" s="117">
        <v>131765</v>
      </c>
      <c r="B5929" s="78">
        <v>45738</v>
      </c>
      <c r="C5929" s="47" t="s">
        <v>569</v>
      </c>
      <c r="D5929" s="49" t="s">
        <v>621</v>
      </c>
      <c r="E5929" s="117">
        <v>96407</v>
      </c>
      <c r="G5929" s="50" t="s">
        <v>241</v>
      </c>
      <c r="H5929" s="51">
        <v>23.21</v>
      </c>
      <c r="J5929" s="51">
        <v>2.99</v>
      </c>
      <c r="K5929" s="74">
        <f>Tabela6[[#This Row],[CONSUMO]]*Tabela6[[#This Row],[VALOR UNIT]]-Tabela6[[#This Row],[DESCONTO]]</f>
        <v>69.397900000000007</v>
      </c>
      <c r="L5929" s="53">
        <f>Tabela6[[#This Row],[CUSTO TOTAL]]/Tabela6[[#This Row],[CONSUMO]]</f>
        <v>2.99</v>
      </c>
      <c r="M5929" s="53" t="e">
        <f t="array" ref="M5929">SE</f>
        <v>#NAME?</v>
      </c>
      <c r="N5929" s="118" t="e">
        <f>Tabela6[[#This Row],[KM Rodados ]]/Tabela6[[#This Row],[CONSUMO]]</f>
        <v>#NAME?</v>
      </c>
    </row>
    <row r="5930" spans="1:14" x14ac:dyDescent="0.25">
      <c r="A5930" s="117">
        <v>22167</v>
      </c>
      <c r="B5930" s="78">
        <v>45738</v>
      </c>
      <c r="C5930" s="47" t="s">
        <v>9</v>
      </c>
      <c r="D5930" s="49" t="s">
        <v>252</v>
      </c>
      <c r="E5930" s="117">
        <v>688948</v>
      </c>
      <c r="G5930" s="50" t="s">
        <v>89</v>
      </c>
      <c r="H5930" s="51">
        <v>119.18</v>
      </c>
      <c r="J5930" s="51">
        <v>6.16</v>
      </c>
      <c r="K5930" s="74">
        <f>Tabela6[[#This Row],[CONSUMO]]*Tabela6[[#This Row],[VALOR UNIT]]-Tabela6[[#This Row],[DESCONTO]]</f>
        <v>734.14880000000005</v>
      </c>
      <c r="L5930" s="53">
        <f>Tabela6[[#This Row],[CUSTO TOTAL]]/Tabela6[[#This Row],[CONSUMO]]</f>
        <v>6.16</v>
      </c>
      <c r="M5930" s="53" t="e">
        <f t="array" ref="M5930">SE</f>
        <v>#NAME?</v>
      </c>
      <c r="N5930" s="118" t="e">
        <f>Tabela6[[#This Row],[KM Rodados ]]/Tabela6[[#This Row],[CONSUMO]]</f>
        <v>#NAME?</v>
      </c>
    </row>
    <row r="5931" spans="1:14" x14ac:dyDescent="0.25">
      <c r="A5931" s="117">
        <v>77686</v>
      </c>
      <c r="B5931" s="78">
        <v>45738</v>
      </c>
      <c r="C5931" s="47" t="s">
        <v>10</v>
      </c>
      <c r="D5931" s="49" t="s">
        <v>252</v>
      </c>
      <c r="E5931" s="117"/>
      <c r="G5931" s="50" t="s">
        <v>89</v>
      </c>
      <c r="H5931" s="51">
        <v>131.80000000000001</v>
      </c>
      <c r="J5931" s="51">
        <v>6.54</v>
      </c>
      <c r="K5931" s="74">
        <f>Tabela6[[#This Row],[CONSUMO]]*Tabela6[[#This Row],[VALOR UNIT]]-Tabela6[[#This Row],[DESCONTO]]</f>
        <v>861.97200000000009</v>
      </c>
      <c r="L5931" s="53">
        <f>Tabela6[[#This Row],[CUSTO TOTAL]]/Tabela6[[#This Row],[CONSUMO]]</f>
        <v>6.54</v>
      </c>
      <c r="M5931" s="53" t="e">
        <f t="array" ref="M5931">SE</f>
        <v>#NAME?</v>
      </c>
      <c r="N5931" s="118" t="e">
        <f>Tabela6[[#This Row],[KM Rodados ]]/Tabela6[[#This Row],[CONSUMO]]</f>
        <v>#NAME?</v>
      </c>
    </row>
    <row r="5932" spans="1:14" x14ac:dyDescent="0.25">
      <c r="A5932" s="117">
        <v>365460</v>
      </c>
      <c r="B5932" s="78">
        <v>45739</v>
      </c>
      <c r="C5932" s="47" t="s">
        <v>615</v>
      </c>
      <c r="D5932" s="49" t="s">
        <v>374</v>
      </c>
      <c r="E5932" s="117">
        <v>14312</v>
      </c>
      <c r="G5932" s="50" t="s">
        <v>89</v>
      </c>
      <c r="H5932" s="51">
        <v>454.01</v>
      </c>
      <c r="J5932" s="51">
        <v>6.24</v>
      </c>
      <c r="K5932" s="74">
        <f>Tabela6[[#This Row],[CONSUMO]]*Tabela6[[#This Row],[VALOR UNIT]]-Tabela6[[#This Row],[DESCONTO]]</f>
        <v>2833.0223999999998</v>
      </c>
      <c r="L5932" s="53">
        <f>Tabela6[[#This Row],[CUSTO TOTAL]]/Tabela6[[#This Row],[CONSUMO]]</f>
        <v>6.2399999999999993</v>
      </c>
      <c r="M5932" s="53" t="e">
        <f t="array" ref="M5932">SE</f>
        <v>#NAME?</v>
      </c>
      <c r="N5932" s="118" t="e">
        <f>Tabela6[[#This Row],[KM Rodados ]]/Tabela6[[#This Row],[CONSUMO]]</f>
        <v>#NAME?</v>
      </c>
    </row>
    <row r="5933" spans="1:14" x14ac:dyDescent="0.25">
      <c r="A5933" s="117">
        <v>139220</v>
      </c>
      <c r="B5933" s="78">
        <v>45740</v>
      </c>
      <c r="C5933" s="47" t="s">
        <v>203</v>
      </c>
      <c r="D5933" s="49" t="s">
        <v>622</v>
      </c>
      <c r="E5933" s="117">
        <v>210389</v>
      </c>
      <c r="G5933" s="50" t="s">
        <v>244</v>
      </c>
      <c r="H5933" s="51">
        <v>40.380000000000003</v>
      </c>
      <c r="J5933" s="51">
        <v>6.49</v>
      </c>
      <c r="K5933" s="74">
        <f>Tabela6[[#This Row],[CONSUMO]]*Tabela6[[#This Row],[VALOR UNIT]]-Tabela6[[#This Row],[DESCONTO]]</f>
        <v>262.06620000000004</v>
      </c>
      <c r="L5933" s="53">
        <f>Tabela6[[#This Row],[CUSTO TOTAL]]/Tabela6[[#This Row],[CONSUMO]]</f>
        <v>6.49</v>
      </c>
      <c r="M5933" s="53" t="e">
        <f t="array" ref="M5933">SE</f>
        <v>#NAME?</v>
      </c>
      <c r="N5933" s="118" t="e">
        <f>Tabela6[[#This Row],[KM Rodados ]]/Tabela6[[#This Row],[CONSUMO]]</f>
        <v>#NAME?</v>
      </c>
    </row>
    <row r="5934" spans="1:14" x14ac:dyDescent="0.25">
      <c r="A5934" s="117">
        <v>140082</v>
      </c>
      <c r="B5934" s="78">
        <v>45740</v>
      </c>
      <c r="C5934" s="47" t="s">
        <v>615</v>
      </c>
      <c r="D5934" s="49" t="s">
        <v>613</v>
      </c>
      <c r="E5934" s="117">
        <v>14949</v>
      </c>
      <c r="G5934" s="50" t="s">
        <v>89</v>
      </c>
      <c r="H5934" s="51">
        <v>140.74</v>
      </c>
      <c r="J5934" s="51">
        <v>6.24</v>
      </c>
      <c r="K5934" s="74">
        <f>Tabela6[[#This Row],[CONSUMO]]*Tabela6[[#This Row],[VALOR UNIT]]-Tabela6[[#This Row],[DESCONTO]]</f>
        <v>878.21760000000006</v>
      </c>
      <c r="L5934" s="53">
        <f>Tabela6[[#This Row],[CUSTO TOTAL]]/Tabela6[[#This Row],[CONSUMO]]</f>
        <v>6.24</v>
      </c>
      <c r="M5934" s="53" t="e">
        <f t="array" ref="M5934">SE</f>
        <v>#NAME?</v>
      </c>
      <c r="N5934" s="118" t="e">
        <f>Tabela6[[#This Row],[KM Rodados ]]/Tabela6[[#This Row],[CONSUMO]]</f>
        <v>#NAME?</v>
      </c>
    </row>
    <row r="5935" spans="1:14" x14ac:dyDescent="0.25">
      <c r="A5935" s="117">
        <v>430070</v>
      </c>
      <c r="B5935" s="78">
        <v>45740</v>
      </c>
      <c r="C5935" s="47" t="s">
        <v>67</v>
      </c>
      <c r="D5935" s="49" t="s">
        <v>269</v>
      </c>
      <c r="E5935" s="117">
        <v>768190</v>
      </c>
      <c r="G5935" s="50" t="s">
        <v>89</v>
      </c>
      <c r="H5935" s="51">
        <v>146.191</v>
      </c>
      <c r="J5935" s="51">
        <v>6.14</v>
      </c>
      <c r="K5935" s="74">
        <f>Tabela6[[#This Row],[CONSUMO]]*Tabela6[[#This Row],[VALOR UNIT]]-Tabela6[[#This Row],[DESCONTO]]</f>
        <v>897.61273999999992</v>
      </c>
      <c r="L5935" s="53">
        <f>Tabela6[[#This Row],[CUSTO TOTAL]]/Tabela6[[#This Row],[CONSUMO]]</f>
        <v>6.14</v>
      </c>
      <c r="M5935" s="53" t="e">
        <f t="array" ref="M5935">SE</f>
        <v>#NAME?</v>
      </c>
      <c r="N5935" s="118" t="e">
        <f>Tabela6[[#This Row],[KM Rodados ]]/Tabela6[[#This Row],[CONSUMO]]</f>
        <v>#NAME?</v>
      </c>
    </row>
    <row r="5936" spans="1:14" x14ac:dyDescent="0.25">
      <c r="A5936" s="117">
        <v>57483</v>
      </c>
      <c r="B5936" s="78">
        <v>45740</v>
      </c>
      <c r="C5936" s="47" t="s">
        <v>38</v>
      </c>
      <c r="D5936" s="49" t="s">
        <v>255</v>
      </c>
      <c r="E5936" s="117">
        <v>164489</v>
      </c>
      <c r="G5936" s="50" t="s">
        <v>244</v>
      </c>
      <c r="H5936" s="51">
        <v>53.2</v>
      </c>
      <c r="J5936" s="51">
        <v>6.09</v>
      </c>
      <c r="K5936" s="74">
        <f>Tabela6[[#This Row],[CONSUMO]]*Tabela6[[#This Row],[VALOR UNIT]]-Tabela6[[#This Row],[DESCONTO]]</f>
        <v>323.988</v>
      </c>
      <c r="L5936" s="53">
        <f>Tabela6[[#This Row],[CUSTO TOTAL]]/Tabela6[[#This Row],[CONSUMO]]</f>
        <v>6.09</v>
      </c>
      <c r="M5936" s="53" t="e">
        <f t="array" ref="M5936">SE</f>
        <v>#NAME?</v>
      </c>
      <c r="N5936" s="118" t="e">
        <f>Tabela6[[#This Row],[KM Rodados ]]/Tabela6[[#This Row],[CONSUMO]]</f>
        <v>#NAME?</v>
      </c>
    </row>
    <row r="5937" spans="1:14" x14ac:dyDescent="0.25">
      <c r="A5937" s="117">
        <v>450358</v>
      </c>
      <c r="B5937" s="78">
        <v>45741</v>
      </c>
      <c r="C5937" s="47" t="s">
        <v>13</v>
      </c>
      <c r="D5937" s="49" t="s">
        <v>270</v>
      </c>
      <c r="E5937" s="117">
        <v>735368</v>
      </c>
      <c r="G5937" s="50" t="s">
        <v>89</v>
      </c>
      <c r="H5937" s="51">
        <v>97.72</v>
      </c>
      <c r="J5937" s="51">
        <v>6.14</v>
      </c>
      <c r="K5937" s="74">
        <f>Tabela6[[#This Row],[CONSUMO]]*Tabela6[[#This Row],[VALOR UNIT]]-Tabela6[[#This Row],[DESCONTO]]</f>
        <v>600.00079999999991</v>
      </c>
      <c r="L5937" s="53">
        <f>Tabela6[[#This Row],[CUSTO TOTAL]]/Tabela6[[#This Row],[CONSUMO]]</f>
        <v>6.1399999999999988</v>
      </c>
      <c r="M5937" s="53" t="e">
        <f t="array" ref="M5937">SE</f>
        <v>#NAME?</v>
      </c>
      <c r="N5937" s="118" t="e">
        <f>Tabela6[[#This Row],[KM Rodados ]]/Tabela6[[#This Row],[CONSUMO]]</f>
        <v>#NAME?</v>
      </c>
    </row>
    <row r="5938" spans="1:14" x14ac:dyDescent="0.25">
      <c r="A5938" s="117">
        <v>450359</v>
      </c>
      <c r="B5938" s="78">
        <v>45741</v>
      </c>
      <c r="C5938" s="47" t="s">
        <v>13</v>
      </c>
      <c r="D5938" s="49" t="s">
        <v>270</v>
      </c>
      <c r="E5938" s="117">
        <v>735368</v>
      </c>
      <c r="G5938" s="50" t="s">
        <v>241</v>
      </c>
      <c r="H5938" s="51">
        <v>18.100999999999999</v>
      </c>
      <c r="J5938" s="51">
        <v>3.19</v>
      </c>
      <c r="K5938" s="74">
        <f>Tabela6[[#This Row],[CONSUMO]]*Tabela6[[#This Row],[VALOR UNIT]]-Tabela6[[#This Row],[DESCONTO]]</f>
        <v>57.742189999999994</v>
      </c>
      <c r="L5938" s="53">
        <f>Tabela6[[#This Row],[CUSTO TOTAL]]/Tabela6[[#This Row],[CONSUMO]]</f>
        <v>3.19</v>
      </c>
      <c r="M5938" s="53" t="e">
        <f t="array" ref="M5938">SE</f>
        <v>#NAME?</v>
      </c>
      <c r="N5938" s="118" t="e">
        <f>Tabela6[[#This Row],[KM Rodados ]]/Tabela6[[#This Row],[CONSUMO]]</f>
        <v>#NAME?</v>
      </c>
    </row>
    <row r="5939" spans="1:14" x14ac:dyDescent="0.25">
      <c r="A5939" s="117">
        <v>92020</v>
      </c>
      <c r="B5939" s="78">
        <v>45741</v>
      </c>
      <c r="C5939" s="47" t="s">
        <v>615</v>
      </c>
      <c r="D5939" s="49" t="s">
        <v>332</v>
      </c>
      <c r="E5939" s="117">
        <v>15109</v>
      </c>
      <c r="G5939" s="50" t="s">
        <v>89</v>
      </c>
      <c r="H5939" s="51">
        <v>485.00099999999998</v>
      </c>
      <c r="J5939" s="51">
        <v>5.89</v>
      </c>
      <c r="K5939" s="74">
        <f>Tabela6[[#This Row],[CONSUMO]]*Tabela6[[#This Row],[VALOR UNIT]]-Tabela6[[#This Row],[DESCONTO]]</f>
        <v>2856.6558899999995</v>
      </c>
      <c r="L5939" s="53">
        <f>Tabela6[[#This Row],[CUSTO TOTAL]]/Tabela6[[#This Row],[CONSUMO]]</f>
        <v>5.89</v>
      </c>
      <c r="M5939" s="53" t="e">
        <f t="array" ref="M5939">SE</f>
        <v>#NAME?</v>
      </c>
      <c r="N5939" s="118" t="e">
        <f>Tabela6[[#This Row],[KM Rodados ]]/Tabela6[[#This Row],[CONSUMO]]</f>
        <v>#NAME?</v>
      </c>
    </row>
    <row r="5940" spans="1:14" x14ac:dyDescent="0.25">
      <c r="A5940" s="117" t="s">
        <v>650</v>
      </c>
      <c r="B5940" s="78">
        <v>45741</v>
      </c>
      <c r="C5940" s="47" t="s">
        <v>615</v>
      </c>
      <c r="D5940" s="49" t="s">
        <v>332</v>
      </c>
      <c r="E5940" s="117">
        <v>15109</v>
      </c>
      <c r="G5940" s="50" t="s">
        <v>241</v>
      </c>
      <c r="H5940" s="51">
        <v>58.774000000000001</v>
      </c>
      <c r="J5940" s="51">
        <v>3.19</v>
      </c>
      <c r="K5940" s="74">
        <f>Tabela6[[#This Row],[CONSUMO]]*Tabela6[[#This Row],[VALOR UNIT]]-Tabela6[[#This Row],[DESCONTO]]</f>
        <v>187.48905999999999</v>
      </c>
      <c r="L5940" s="53">
        <f>Tabela6[[#This Row],[CUSTO TOTAL]]/Tabela6[[#This Row],[CONSUMO]]</f>
        <v>3.19</v>
      </c>
      <c r="M5940" s="53" t="e">
        <f t="array" ref="M5940">SE</f>
        <v>#NAME?</v>
      </c>
      <c r="N5940" s="118" t="e">
        <f>Tabela6[[#This Row],[KM Rodados ]]/Tabela6[[#This Row],[CONSUMO]]</f>
        <v>#NAME?</v>
      </c>
    </row>
    <row r="5941" spans="1:14" x14ac:dyDescent="0.25">
      <c r="A5941" s="117">
        <v>474400</v>
      </c>
      <c r="B5941" s="78">
        <v>45741</v>
      </c>
      <c r="C5941" s="47" t="s">
        <v>39</v>
      </c>
      <c r="D5941" s="49" t="s">
        <v>253</v>
      </c>
      <c r="E5941" s="117">
        <v>143213</v>
      </c>
      <c r="G5941" s="50" t="s">
        <v>89</v>
      </c>
      <c r="H5941" s="51">
        <v>87.89</v>
      </c>
      <c r="J5941" s="51">
        <v>6.39</v>
      </c>
      <c r="K5941" s="74">
        <f>Tabela6[[#This Row],[CONSUMO]]*Tabela6[[#This Row],[VALOR UNIT]]-Tabela6[[#This Row],[DESCONTO]]</f>
        <v>561.61709999999994</v>
      </c>
      <c r="L5941" s="53">
        <f>Tabela6[[#This Row],[CUSTO TOTAL]]/Tabela6[[#This Row],[CONSUMO]]</f>
        <v>6.39</v>
      </c>
      <c r="M5941" s="53" t="e">
        <f t="array" ref="M5941">SE</f>
        <v>#NAME?</v>
      </c>
      <c r="N5941" s="118" t="e">
        <f>Tabela6[[#This Row],[KM Rodados ]]/Tabela6[[#This Row],[CONSUMO]]</f>
        <v>#NAME?</v>
      </c>
    </row>
    <row r="5942" spans="1:14" x14ac:dyDescent="0.25">
      <c r="A5942" s="117" t="s">
        <v>651</v>
      </c>
      <c r="B5942" s="78">
        <v>45741</v>
      </c>
      <c r="C5942" s="47" t="s">
        <v>73</v>
      </c>
      <c r="D5942" s="49" t="s">
        <v>279</v>
      </c>
      <c r="E5942" s="117">
        <v>261104</v>
      </c>
      <c r="G5942" s="50" t="s">
        <v>89</v>
      </c>
      <c r="H5942" s="51">
        <v>168.61</v>
      </c>
      <c r="J5942" s="51">
        <v>6.09</v>
      </c>
      <c r="K5942" s="74">
        <f>Tabela6[[#This Row],[CONSUMO]]*Tabela6[[#This Row],[VALOR UNIT]]-Tabela6[[#This Row],[DESCONTO]]</f>
        <v>1026.8349000000001</v>
      </c>
      <c r="L5942" s="53">
        <f>Tabela6[[#This Row],[CUSTO TOTAL]]/Tabela6[[#This Row],[CONSUMO]]</f>
        <v>6.09</v>
      </c>
      <c r="M5942" s="53" t="e">
        <f t="array" ref="M5942">SE</f>
        <v>#NAME?</v>
      </c>
      <c r="N5942" s="118" t="e">
        <f>Tabela6[[#This Row],[KM Rodados ]]/Tabela6[[#This Row],[CONSUMO]]</f>
        <v>#NAME?</v>
      </c>
    </row>
    <row r="5943" spans="1:14" x14ac:dyDescent="0.25">
      <c r="A5943" s="117">
        <v>340807</v>
      </c>
      <c r="B5943" s="78">
        <v>45742</v>
      </c>
      <c r="C5943" s="47" t="s">
        <v>446</v>
      </c>
      <c r="D5943" s="49" t="s">
        <v>262</v>
      </c>
      <c r="E5943" s="117">
        <v>96873</v>
      </c>
      <c r="G5943" s="50" t="s">
        <v>241</v>
      </c>
      <c r="H5943" s="51">
        <v>34.063000000000002</v>
      </c>
      <c r="J5943" s="51">
        <v>3.33</v>
      </c>
      <c r="K5943" s="74">
        <f>Tabela6[[#This Row],[CONSUMO]]*Tabela6[[#This Row],[VALOR UNIT]]-Tabela6[[#This Row],[DESCONTO]]</f>
        <v>113.42979000000001</v>
      </c>
      <c r="L5943" s="53">
        <f>Tabela6[[#This Row],[CUSTO TOTAL]]/Tabela6[[#This Row],[CONSUMO]]</f>
        <v>3.33</v>
      </c>
      <c r="M5943" s="53" t="e">
        <f t="array" ref="M5943">SE</f>
        <v>#NAME?</v>
      </c>
      <c r="N5943" s="118" t="e">
        <f>Tabela6[[#This Row],[KM Rodados ]]/Tabela6[[#This Row],[CONSUMO]]</f>
        <v>#NAME?</v>
      </c>
    </row>
    <row r="5944" spans="1:14" x14ac:dyDescent="0.25">
      <c r="A5944" s="117">
        <v>57892</v>
      </c>
      <c r="B5944" s="78">
        <v>45742</v>
      </c>
      <c r="C5944" s="47" t="s">
        <v>18</v>
      </c>
      <c r="D5944" s="49" t="s">
        <v>255</v>
      </c>
      <c r="E5944" s="117">
        <v>397739</v>
      </c>
      <c r="G5944" s="50" t="s">
        <v>89</v>
      </c>
      <c r="H5944" s="51">
        <v>86.89</v>
      </c>
      <c r="J5944" s="51">
        <v>6.39</v>
      </c>
      <c r="K5944" s="74">
        <f>Tabela6[[#This Row],[CONSUMO]]*Tabela6[[#This Row],[VALOR UNIT]]-Tabela6[[#This Row],[DESCONTO]]</f>
        <v>555.22709999999995</v>
      </c>
      <c r="L5944" s="53">
        <f>Tabela6[[#This Row],[CUSTO TOTAL]]/Tabela6[[#This Row],[CONSUMO]]</f>
        <v>6.39</v>
      </c>
      <c r="M5944" s="53" t="e">
        <f t="array" ref="M5944">SE</f>
        <v>#NAME?</v>
      </c>
      <c r="N5944" s="118" t="e">
        <f>Tabela6[[#This Row],[KM Rodados ]]/Tabela6[[#This Row],[CONSUMO]]</f>
        <v>#NAME?</v>
      </c>
    </row>
    <row r="5945" spans="1:14" x14ac:dyDescent="0.25">
      <c r="A5945" s="117" t="s">
        <v>652</v>
      </c>
      <c r="B5945" s="78">
        <v>45742</v>
      </c>
      <c r="C5945" s="47" t="s">
        <v>13</v>
      </c>
      <c r="D5945" s="49" t="s">
        <v>300</v>
      </c>
      <c r="E5945" s="117">
        <v>736381</v>
      </c>
      <c r="G5945" s="50" t="s">
        <v>89</v>
      </c>
      <c r="H5945" s="51">
        <v>100</v>
      </c>
      <c r="J5945" s="51">
        <v>6.19</v>
      </c>
      <c r="K5945" s="74">
        <f>Tabela6[[#This Row],[CONSUMO]]*Tabela6[[#This Row],[VALOR UNIT]]-Tabela6[[#This Row],[DESCONTO]]</f>
        <v>619</v>
      </c>
      <c r="L5945" s="53">
        <f>Tabela6[[#This Row],[CUSTO TOTAL]]/Tabela6[[#This Row],[CONSUMO]]</f>
        <v>6.19</v>
      </c>
      <c r="M5945" s="53" t="e">
        <f t="array" ref="M5945">SE</f>
        <v>#NAME?</v>
      </c>
      <c r="N5945" s="118" t="e">
        <f>Tabela6[[#This Row],[KM Rodados ]]/Tabela6[[#This Row],[CONSUMO]]</f>
        <v>#NAME?</v>
      </c>
    </row>
    <row r="5946" spans="1:14" x14ac:dyDescent="0.25">
      <c r="A5946" s="117">
        <v>152396</v>
      </c>
      <c r="B5946" s="78">
        <v>45742</v>
      </c>
      <c r="C5946" s="47" t="s">
        <v>615</v>
      </c>
      <c r="D5946" s="49" t="s">
        <v>613</v>
      </c>
      <c r="E5946" s="117">
        <v>15551</v>
      </c>
      <c r="G5946" s="50" t="s">
        <v>89</v>
      </c>
      <c r="H5946" s="51">
        <v>200</v>
      </c>
      <c r="J5946" s="51">
        <v>6.24</v>
      </c>
      <c r="K5946" s="74">
        <f>Tabela6[[#This Row],[CONSUMO]]*Tabela6[[#This Row],[VALOR UNIT]]-Tabela6[[#This Row],[DESCONTO]]</f>
        <v>1248</v>
      </c>
      <c r="L5946" s="53">
        <f>Tabela6[[#This Row],[CUSTO TOTAL]]/Tabela6[[#This Row],[CONSUMO]]</f>
        <v>6.24</v>
      </c>
      <c r="M5946" s="53" t="e">
        <f t="array" ref="M5946">SE</f>
        <v>#NAME?</v>
      </c>
      <c r="N5946" s="118" t="e">
        <f>Tabela6[[#This Row],[KM Rodados ]]/Tabela6[[#This Row],[CONSUMO]]</f>
        <v>#NAME?</v>
      </c>
    </row>
    <row r="5947" spans="1:14" x14ac:dyDescent="0.25">
      <c r="A5947" s="117" t="s">
        <v>653</v>
      </c>
      <c r="B5947" s="78">
        <v>45742</v>
      </c>
      <c r="C5947" s="47" t="s">
        <v>67</v>
      </c>
      <c r="D5947" s="49" t="s">
        <v>269</v>
      </c>
      <c r="E5947" s="117">
        <v>768791</v>
      </c>
      <c r="G5947" s="50" t="s">
        <v>89</v>
      </c>
      <c r="H5947" s="51">
        <v>158</v>
      </c>
      <c r="J5947" s="51">
        <v>6.14</v>
      </c>
      <c r="K5947" s="74">
        <f>Tabela6[[#This Row],[CONSUMO]]*Tabela6[[#This Row],[VALOR UNIT]]-Tabela6[[#This Row],[DESCONTO]]</f>
        <v>970.12</v>
      </c>
      <c r="L5947" s="53">
        <f>Tabela6[[#This Row],[CUSTO TOTAL]]/Tabela6[[#This Row],[CONSUMO]]</f>
        <v>6.14</v>
      </c>
      <c r="M5947" s="53" t="e">
        <f t="array" ref="M5947">SE</f>
        <v>#NAME?</v>
      </c>
      <c r="N5947" s="118" t="e">
        <f>Tabela6[[#This Row],[KM Rodados ]]/Tabela6[[#This Row],[CONSUMO]]</f>
        <v>#NAME?</v>
      </c>
    </row>
    <row r="5948" spans="1:14" x14ac:dyDescent="0.25">
      <c r="A5948" s="117">
        <v>340594</v>
      </c>
      <c r="B5948" s="78">
        <v>45742</v>
      </c>
      <c r="C5948" s="47" t="s">
        <v>567</v>
      </c>
      <c r="D5948" s="49" t="s">
        <v>262</v>
      </c>
      <c r="E5948" s="117">
        <v>37869</v>
      </c>
      <c r="G5948" s="50" t="s">
        <v>241</v>
      </c>
      <c r="H5948" s="51">
        <v>73.992000000000004</v>
      </c>
      <c r="J5948" s="51">
        <v>3.3298999999999999</v>
      </c>
      <c r="K5948" s="74">
        <f>Tabela6[[#This Row],[CONSUMO]]*Tabela6[[#This Row],[VALOR UNIT]]-Tabela6[[#This Row],[DESCONTO]]</f>
        <v>246.38596079999999</v>
      </c>
      <c r="L5948" s="53">
        <f>Tabela6[[#This Row],[CUSTO TOTAL]]/Tabela6[[#This Row],[CONSUMO]]</f>
        <v>3.3298999999999999</v>
      </c>
      <c r="M5948" s="53" t="e">
        <f t="array" ref="M5948">SE</f>
        <v>#NAME?</v>
      </c>
      <c r="N5948" s="118" t="e">
        <f>Tabela6[[#This Row],[KM Rodados ]]/Tabela6[[#This Row],[CONSUMO]]</f>
        <v>#NAME?</v>
      </c>
    </row>
    <row r="5949" spans="1:14" x14ac:dyDescent="0.25">
      <c r="A5949" s="117">
        <v>340835</v>
      </c>
      <c r="B5949" s="78">
        <v>45743</v>
      </c>
      <c r="C5949" s="47" t="s">
        <v>569</v>
      </c>
      <c r="D5949" s="49" t="s">
        <v>262</v>
      </c>
      <c r="E5949" s="117">
        <v>23764</v>
      </c>
      <c r="G5949" s="50" t="s">
        <v>241</v>
      </c>
      <c r="H5949" s="51">
        <v>31.111999999999998</v>
      </c>
      <c r="J5949" s="51">
        <v>3.3298999999999999</v>
      </c>
      <c r="K5949" s="74">
        <f>Tabela6[[#This Row],[CONSUMO]]*Tabela6[[#This Row],[VALOR UNIT]]-Tabela6[[#This Row],[DESCONTO]]</f>
        <v>103.59984879999999</v>
      </c>
      <c r="L5949" s="53">
        <f>Tabela6[[#This Row],[CUSTO TOTAL]]/Tabela6[[#This Row],[CONSUMO]]</f>
        <v>3.3298999999999999</v>
      </c>
      <c r="M5949" s="53" t="e">
        <f t="array" ref="M5949">SE</f>
        <v>#NAME?</v>
      </c>
      <c r="N5949" s="118" t="e">
        <f>Tabela6[[#This Row],[KM Rodados ]]/Tabela6[[#This Row],[CONSUMO]]</f>
        <v>#NAME?</v>
      </c>
    </row>
    <row r="5950" spans="1:14" x14ac:dyDescent="0.25">
      <c r="A5950" s="117" t="s">
        <v>655</v>
      </c>
      <c r="B5950" s="78">
        <v>45743</v>
      </c>
      <c r="C5950" s="47" t="s">
        <v>615</v>
      </c>
      <c r="D5950" s="49" t="s">
        <v>374</v>
      </c>
      <c r="E5950" s="117">
        <v>16207</v>
      </c>
      <c r="G5950" s="50" t="s">
        <v>89</v>
      </c>
      <c r="H5950" s="51">
        <v>333.01</v>
      </c>
      <c r="J5950" s="51">
        <v>6.24</v>
      </c>
      <c r="K5950" s="74">
        <f>Tabela6[[#This Row],[CONSUMO]]*Tabela6[[#This Row],[VALOR UNIT]]-Tabela6[[#This Row],[DESCONTO]]</f>
        <v>2077.9823999999999</v>
      </c>
      <c r="L5950" s="53">
        <f>Tabela6[[#This Row],[CUSTO TOTAL]]/Tabela6[[#This Row],[CONSUMO]]</f>
        <v>6.24</v>
      </c>
      <c r="M5950" s="53" t="e">
        <f t="array" ref="M5950">SE</f>
        <v>#NAME?</v>
      </c>
      <c r="N5950" s="118" t="e">
        <f>Tabela6[[#This Row],[KM Rodados ]]/Tabela6[[#This Row],[CONSUMO]]</f>
        <v>#NAME?</v>
      </c>
    </row>
    <row r="5951" spans="1:14" x14ac:dyDescent="0.25">
      <c r="A5951" s="117">
        <v>366726</v>
      </c>
      <c r="B5951" s="78">
        <v>45743</v>
      </c>
      <c r="C5951" s="47" t="s">
        <v>615</v>
      </c>
      <c r="D5951" s="49" t="s">
        <v>374</v>
      </c>
      <c r="E5951" s="117">
        <v>16207</v>
      </c>
      <c r="G5951" s="50" t="s">
        <v>241</v>
      </c>
      <c r="H5951" s="51">
        <v>26.141999999999999</v>
      </c>
      <c r="J5951" s="51">
        <v>3.19</v>
      </c>
      <c r="K5951" s="74">
        <f>Tabela6[[#This Row],[CONSUMO]]*Tabela6[[#This Row],[VALOR UNIT]]-Tabela6[[#This Row],[DESCONTO]]</f>
        <v>83.392979999999994</v>
      </c>
      <c r="L5951" s="53">
        <f>Tabela6[[#This Row],[CUSTO TOTAL]]/Tabela6[[#This Row],[CONSUMO]]</f>
        <v>3.19</v>
      </c>
      <c r="M5951" s="53" t="e">
        <f t="array" ref="M5951">SE</f>
        <v>#NAME?</v>
      </c>
      <c r="N5951" s="118" t="e">
        <f>Tabela6[[#This Row],[KM Rodados ]]/Tabela6[[#This Row],[CONSUMO]]</f>
        <v>#NAME?</v>
      </c>
    </row>
    <row r="5952" spans="1:14" x14ac:dyDescent="0.25">
      <c r="A5952" s="117" t="s">
        <v>654</v>
      </c>
      <c r="B5952" s="78">
        <v>45743</v>
      </c>
      <c r="C5952" s="47" t="s">
        <v>23</v>
      </c>
      <c r="D5952" s="49" t="s">
        <v>300</v>
      </c>
      <c r="E5952" s="117">
        <v>329863</v>
      </c>
      <c r="G5952" s="50" t="s">
        <v>89</v>
      </c>
      <c r="H5952" s="51">
        <v>181.93100000000001</v>
      </c>
      <c r="J5952" s="51">
        <v>6.19</v>
      </c>
      <c r="K5952" s="74">
        <f>Tabela6[[#This Row],[CONSUMO]]*Tabela6[[#This Row],[VALOR UNIT]]-Tabela6[[#This Row],[DESCONTO]]</f>
        <v>1126.1528900000001</v>
      </c>
      <c r="L5952" s="53">
        <f>Tabela6[[#This Row],[CUSTO TOTAL]]/Tabela6[[#This Row],[CONSUMO]]</f>
        <v>6.19</v>
      </c>
      <c r="M5952" s="53" t="e">
        <f t="array" ref="M5952">SE</f>
        <v>#NAME?</v>
      </c>
      <c r="N5952" s="118" t="e">
        <f>Tabela6[[#This Row],[KM Rodados ]]/Tabela6[[#This Row],[CONSUMO]]</f>
        <v>#NAME?</v>
      </c>
    </row>
    <row r="5953" spans="1:14" x14ac:dyDescent="0.25">
      <c r="A5953" s="117">
        <v>157987</v>
      </c>
      <c r="B5953" s="78">
        <v>45743</v>
      </c>
      <c r="C5953" s="47" t="s">
        <v>401</v>
      </c>
      <c r="D5953" s="49" t="s">
        <v>357</v>
      </c>
      <c r="E5953" s="117">
        <v>97004</v>
      </c>
      <c r="G5953" s="50" t="s">
        <v>89</v>
      </c>
      <c r="H5953" s="51">
        <v>63.61</v>
      </c>
      <c r="J5953" s="51">
        <v>6.29</v>
      </c>
      <c r="K5953" s="74">
        <f>Tabela6[[#This Row],[CONSUMO]]*Tabela6[[#This Row],[VALOR UNIT]]-Tabela6[[#This Row],[DESCONTO]]</f>
        <v>400.1069</v>
      </c>
      <c r="L5953" s="53">
        <f>Tabela6[[#This Row],[CUSTO TOTAL]]/Tabela6[[#This Row],[CONSUMO]]</f>
        <v>6.29</v>
      </c>
      <c r="M5953" s="53" t="e">
        <f t="array" ref="M5953">SE</f>
        <v>#NAME?</v>
      </c>
      <c r="N5953" s="118" t="e">
        <f>Tabela6[[#This Row],[KM Rodados ]]/Tabela6[[#This Row],[CONSUMO]]</f>
        <v>#NAME?</v>
      </c>
    </row>
    <row r="5954" spans="1:14" x14ac:dyDescent="0.25">
      <c r="A5954" s="117">
        <v>157997</v>
      </c>
      <c r="B5954" s="78">
        <v>45743</v>
      </c>
      <c r="C5954" s="47" t="s">
        <v>401</v>
      </c>
      <c r="D5954" s="49" t="s">
        <v>357</v>
      </c>
      <c r="E5954" s="117">
        <v>97004</v>
      </c>
      <c r="G5954" s="50" t="s">
        <v>241</v>
      </c>
      <c r="H5954" s="51">
        <v>16.89</v>
      </c>
      <c r="J5954" s="51">
        <v>3.05</v>
      </c>
      <c r="K5954" s="74">
        <f>Tabela6[[#This Row],[CONSUMO]]*Tabela6[[#This Row],[VALOR UNIT]]-Tabela6[[#This Row],[DESCONTO]]</f>
        <v>51.514499999999998</v>
      </c>
      <c r="L5954" s="53">
        <f>Tabela6[[#This Row],[CUSTO TOTAL]]/Tabela6[[#This Row],[CONSUMO]]</f>
        <v>3.05</v>
      </c>
      <c r="M5954" s="53" t="e">
        <f t="array" ref="M5954">SE</f>
        <v>#NAME?</v>
      </c>
      <c r="N5954" s="118" t="e">
        <f>Tabela6[[#This Row],[KM Rodados ]]/Tabela6[[#This Row],[CONSUMO]]</f>
        <v>#NAME?</v>
      </c>
    </row>
    <row r="5955" spans="1:14" x14ac:dyDescent="0.25">
      <c r="A5955" s="117">
        <v>112946</v>
      </c>
      <c r="B5955" s="78">
        <v>45743</v>
      </c>
      <c r="C5955" s="47" t="s">
        <v>203</v>
      </c>
      <c r="D5955" s="49" t="s">
        <v>274</v>
      </c>
      <c r="E5955" s="117">
        <v>211801</v>
      </c>
      <c r="G5955" s="50" t="s">
        <v>244</v>
      </c>
      <c r="H5955" s="51">
        <v>40</v>
      </c>
      <c r="J5955" s="51">
        <v>5.99</v>
      </c>
      <c r="K5955" s="74">
        <f>Tabela6[[#This Row],[CONSUMO]]*Tabela6[[#This Row],[VALOR UNIT]]-Tabela6[[#This Row],[DESCONTO]]</f>
        <v>239.60000000000002</v>
      </c>
      <c r="L5955" s="53">
        <f>Tabela6[[#This Row],[CUSTO TOTAL]]/Tabela6[[#This Row],[CONSUMO]]</f>
        <v>5.99</v>
      </c>
      <c r="M5955" s="53" t="e">
        <f t="array" ref="M5955">SE</f>
        <v>#NAME?</v>
      </c>
      <c r="N5955" s="118" t="e">
        <f>Tabela6[[#This Row],[KM Rodados ]]/Tabela6[[#This Row],[CONSUMO]]</f>
        <v>#NAME?</v>
      </c>
    </row>
    <row r="5956" spans="1:14" x14ac:dyDescent="0.25">
      <c r="A5956" s="117">
        <v>475234</v>
      </c>
      <c r="B5956" s="78">
        <v>45743</v>
      </c>
      <c r="C5956" s="47" t="s">
        <v>20</v>
      </c>
      <c r="D5956" s="49" t="s">
        <v>253</v>
      </c>
      <c r="E5956" s="117">
        <v>346676</v>
      </c>
      <c r="G5956" s="50" t="s">
        <v>89</v>
      </c>
      <c r="H5956" s="51">
        <v>70.98</v>
      </c>
      <c r="J5956" s="51">
        <v>6.39</v>
      </c>
      <c r="K5956" s="74">
        <f>Tabela6[[#This Row],[CONSUMO]]*Tabela6[[#This Row],[VALOR UNIT]]-Tabela6[[#This Row],[DESCONTO]]</f>
        <v>453.56220000000002</v>
      </c>
      <c r="L5956" s="53">
        <f>Tabela6[[#This Row],[CUSTO TOTAL]]/Tabela6[[#This Row],[CONSUMO]]</f>
        <v>6.39</v>
      </c>
      <c r="M5956" s="53" t="e">
        <f t="array" ref="M5956">SE</f>
        <v>#NAME?</v>
      </c>
      <c r="N5956" s="118" t="e">
        <f>Tabela6[[#This Row],[KM Rodados ]]/Tabela6[[#This Row],[CONSUMO]]</f>
        <v>#NAME?</v>
      </c>
    </row>
    <row r="5957" spans="1:14" x14ac:dyDescent="0.25">
      <c r="A5957" s="117">
        <v>475261</v>
      </c>
      <c r="B5957" s="78">
        <v>45743</v>
      </c>
      <c r="C5957" s="47" t="s">
        <v>9</v>
      </c>
      <c r="D5957" s="49" t="s">
        <v>253</v>
      </c>
      <c r="E5957" s="117">
        <v>69763</v>
      </c>
      <c r="G5957" s="50" t="s">
        <v>89</v>
      </c>
      <c r="H5957" s="51">
        <v>151.05000000000001</v>
      </c>
      <c r="J5957" s="51">
        <v>6.39</v>
      </c>
      <c r="K5957" s="74">
        <f>Tabela6[[#This Row],[CONSUMO]]*Tabela6[[#This Row],[VALOR UNIT]]-Tabela6[[#This Row],[DESCONTO]]</f>
        <v>965.20950000000005</v>
      </c>
      <c r="L5957" s="53">
        <f>Tabela6[[#This Row],[CUSTO TOTAL]]/Tabela6[[#This Row],[CONSUMO]]</f>
        <v>6.39</v>
      </c>
      <c r="M5957" s="53" t="e">
        <f t="array" ref="M5957">SE</f>
        <v>#NAME?</v>
      </c>
      <c r="N5957" s="118" t="e">
        <f>Tabela6[[#This Row],[KM Rodados ]]/Tabela6[[#This Row],[CONSUMO]]</f>
        <v>#NAME?</v>
      </c>
    </row>
    <row r="5958" spans="1:14" x14ac:dyDescent="0.25">
      <c r="A5958" s="117">
        <v>340909</v>
      </c>
      <c r="B5958" s="78">
        <v>45743</v>
      </c>
      <c r="C5958" s="47" t="s">
        <v>426</v>
      </c>
      <c r="D5958" s="49" t="s">
        <v>262</v>
      </c>
      <c r="E5958" s="117">
        <v>80646</v>
      </c>
      <c r="G5958" s="50" t="s">
        <v>241</v>
      </c>
      <c r="H5958" s="51">
        <v>14.116</v>
      </c>
      <c r="J5958" s="51">
        <v>3.33</v>
      </c>
      <c r="K5958" s="74">
        <f>Tabela6[[#This Row],[CONSUMO]]*Tabela6[[#This Row],[VALOR UNIT]]-Tabela6[[#This Row],[DESCONTO]]</f>
        <v>47.006279999999997</v>
      </c>
      <c r="L5958" s="53">
        <f>Tabela6[[#This Row],[CUSTO TOTAL]]/Tabela6[[#This Row],[CONSUMO]]</f>
        <v>3.33</v>
      </c>
      <c r="M5958" s="53" t="e">
        <f t="array" ref="M5958">SE</f>
        <v>#NAME?</v>
      </c>
      <c r="N5958" s="118" t="e">
        <f>Tabela6[[#This Row],[KM Rodados ]]/Tabela6[[#This Row],[CONSUMO]]</f>
        <v>#NAME?</v>
      </c>
    </row>
    <row r="5959" spans="1:14" x14ac:dyDescent="0.25">
      <c r="A5959" s="117">
        <v>406961</v>
      </c>
      <c r="B5959" s="78">
        <v>45744</v>
      </c>
      <c r="C5959" s="47" t="s">
        <v>13</v>
      </c>
      <c r="D5959" s="49" t="s">
        <v>300</v>
      </c>
      <c r="E5959" s="117">
        <v>136980</v>
      </c>
      <c r="G5959" s="50" t="s">
        <v>89</v>
      </c>
      <c r="H5959" s="51">
        <v>124.58</v>
      </c>
      <c r="J5959" s="51">
        <v>6.19</v>
      </c>
      <c r="K5959" s="74">
        <f>Tabela6[[#This Row],[CONSUMO]]*Tabela6[[#This Row],[VALOR UNIT]]-Tabela6[[#This Row],[DESCONTO]]</f>
        <v>771.15020000000004</v>
      </c>
      <c r="L5959" s="53">
        <f>Tabela6[[#This Row],[CUSTO TOTAL]]/Tabela6[[#This Row],[CONSUMO]]</f>
        <v>6.19</v>
      </c>
      <c r="M5959" s="53" t="e">
        <f t="array" ref="M5959">SE</f>
        <v>#NAME?</v>
      </c>
      <c r="N5959" s="118" t="e">
        <f>Tabela6[[#This Row],[KM Rodados ]]/Tabela6[[#This Row],[CONSUMO]]</f>
        <v>#NAME?</v>
      </c>
    </row>
    <row r="5960" spans="1:14" x14ac:dyDescent="0.25">
      <c r="A5960" s="117">
        <v>407200</v>
      </c>
      <c r="B5960" s="78">
        <v>45744</v>
      </c>
      <c r="C5960" s="47" t="s">
        <v>43</v>
      </c>
      <c r="D5960" s="49" t="s">
        <v>300</v>
      </c>
      <c r="E5960" s="117">
        <v>240277</v>
      </c>
      <c r="G5960" s="50" t="s">
        <v>89</v>
      </c>
      <c r="H5960" s="51">
        <v>41.680999999999997</v>
      </c>
      <c r="J5960" s="51">
        <v>6.19</v>
      </c>
      <c r="K5960" s="74">
        <f>Tabela6[[#This Row],[CONSUMO]]*Tabela6[[#This Row],[VALOR UNIT]]-Tabela6[[#This Row],[DESCONTO]]</f>
        <v>258.00538999999998</v>
      </c>
      <c r="L5960" s="53">
        <f>Tabela6[[#This Row],[CUSTO TOTAL]]/Tabela6[[#This Row],[CONSUMO]]</f>
        <v>6.1899999999999995</v>
      </c>
      <c r="M5960" s="53" t="e">
        <f t="array" ref="M5960">SE</f>
        <v>#NAME?</v>
      </c>
      <c r="N5960" s="118" t="e">
        <f>Tabela6[[#This Row],[KM Rodados ]]/Tabela6[[#This Row],[CONSUMO]]</f>
        <v>#NAME?</v>
      </c>
    </row>
    <row r="5961" spans="1:14" x14ac:dyDescent="0.25">
      <c r="A5961" s="117">
        <v>476966</v>
      </c>
      <c r="B5961" s="78">
        <v>45744</v>
      </c>
      <c r="C5961" s="47" t="s">
        <v>12</v>
      </c>
      <c r="D5961" s="49" t="s">
        <v>253</v>
      </c>
      <c r="E5961" s="117">
        <v>357783</v>
      </c>
      <c r="G5961" s="50" t="s">
        <v>89</v>
      </c>
      <c r="H5961" s="51">
        <v>117.13</v>
      </c>
      <c r="J5961" s="51">
        <v>6.39</v>
      </c>
      <c r="K5961" s="74">
        <f>Tabela6[[#This Row],[CONSUMO]]*Tabela6[[#This Row],[VALOR UNIT]]-Tabela6[[#This Row],[DESCONTO]]</f>
        <v>748.46069999999997</v>
      </c>
      <c r="L5961" s="53">
        <f>Tabela6[[#This Row],[CUSTO TOTAL]]/Tabela6[[#This Row],[CONSUMO]]</f>
        <v>6.39</v>
      </c>
      <c r="M5961" s="53" t="e">
        <f t="array" ref="M5961">SE</f>
        <v>#NAME?</v>
      </c>
      <c r="N5961" s="118" t="e">
        <f>Tabela6[[#This Row],[KM Rodados ]]/Tabela6[[#This Row],[CONSUMO]]</f>
        <v>#NAME?</v>
      </c>
    </row>
    <row r="5962" spans="1:14" x14ac:dyDescent="0.25">
      <c r="A5962" s="117">
        <v>58661</v>
      </c>
      <c r="B5962" s="78">
        <v>45744</v>
      </c>
      <c r="C5962" s="47" t="s">
        <v>38</v>
      </c>
      <c r="D5962" s="49" t="s">
        <v>255</v>
      </c>
      <c r="E5962" s="117">
        <v>165425</v>
      </c>
      <c r="G5962" s="50" t="s">
        <v>244</v>
      </c>
      <c r="H5962" s="51">
        <v>51.82</v>
      </c>
      <c r="J5962" s="51">
        <v>6.37</v>
      </c>
      <c r="K5962" s="74">
        <f>Tabela6[[#This Row],[CONSUMO]]*Tabela6[[#This Row],[VALOR UNIT]]-Tabela6[[#This Row],[DESCONTO]]</f>
        <v>330.09340000000003</v>
      </c>
      <c r="L5962" s="53">
        <f>Tabela6[[#This Row],[CUSTO TOTAL]]/Tabela6[[#This Row],[CONSUMO]]</f>
        <v>6.370000000000001</v>
      </c>
      <c r="M5962" s="53" t="e">
        <f t="array" ref="M5962">SE</f>
        <v>#NAME?</v>
      </c>
      <c r="N5962" s="118" t="e">
        <f>Tabela6[[#This Row],[KM Rodados ]]/Tabela6[[#This Row],[CONSUMO]]</f>
        <v>#NAME?</v>
      </c>
    </row>
    <row r="5963" spans="1:14" x14ac:dyDescent="0.25">
      <c r="A5963" s="117" t="s">
        <v>656</v>
      </c>
      <c r="B5963" s="78">
        <v>45746</v>
      </c>
      <c r="C5963" s="47" t="s">
        <v>206</v>
      </c>
      <c r="D5963" s="49" t="s">
        <v>333</v>
      </c>
      <c r="E5963" s="117">
        <v>1077638</v>
      </c>
      <c r="G5963" s="50" t="s">
        <v>89</v>
      </c>
      <c r="H5963" s="51">
        <v>485.43099999999998</v>
      </c>
      <c r="J5963" s="51">
        <v>6.09</v>
      </c>
      <c r="K5963" s="74">
        <f>Tabela6[[#This Row],[CONSUMO]]*Tabela6[[#This Row],[VALOR UNIT]]-Tabela6[[#This Row],[DESCONTO]]</f>
        <v>2956.2747899999999</v>
      </c>
      <c r="L5963" s="53">
        <f>Tabela6[[#This Row],[CUSTO TOTAL]]/Tabela6[[#This Row],[CONSUMO]]</f>
        <v>6.09</v>
      </c>
      <c r="M5963" s="53" t="e">
        <f t="array" ref="M5963">SE</f>
        <v>#NAME?</v>
      </c>
      <c r="N5963" s="118" t="e">
        <f>Tabela6[[#This Row],[KM Rodados ]]/Tabela6[[#This Row],[CONSUMO]]</f>
        <v>#NAME?</v>
      </c>
    </row>
    <row r="5964" spans="1:14" x14ac:dyDescent="0.25">
      <c r="A5964" s="117">
        <v>942662</v>
      </c>
      <c r="B5964" s="78">
        <v>45747</v>
      </c>
      <c r="C5964" s="47" t="s">
        <v>10</v>
      </c>
      <c r="D5964" s="49" t="s">
        <v>271</v>
      </c>
      <c r="E5964" s="117">
        <v>825950</v>
      </c>
      <c r="G5964" s="50" t="s">
        <v>89</v>
      </c>
      <c r="H5964" s="51">
        <v>50</v>
      </c>
      <c r="J5964" s="51">
        <v>6.19</v>
      </c>
      <c r="K5964" s="74">
        <f>Tabela6[[#This Row],[CONSUMO]]*Tabela6[[#This Row],[VALOR UNIT]]-Tabela6[[#This Row],[DESCONTO]]</f>
        <v>309.5</v>
      </c>
      <c r="L5964" s="53">
        <f>Tabela6[[#This Row],[CUSTO TOTAL]]/Tabela6[[#This Row],[CONSUMO]]</f>
        <v>6.19</v>
      </c>
      <c r="M5964" s="53" t="e">
        <f t="array" ref="M5964">SE</f>
        <v>#NAME?</v>
      </c>
      <c r="N5964" s="118" t="e">
        <f>Tabela6[[#This Row],[KM Rodados ]]/Tabela6[[#This Row],[CONSUMO]]</f>
        <v>#NAME?</v>
      </c>
    </row>
    <row r="5965" spans="1:14" x14ac:dyDescent="0.25">
      <c r="A5965" s="117">
        <v>942806</v>
      </c>
      <c r="B5965" s="78">
        <v>45747</v>
      </c>
      <c r="C5965" s="47" t="s">
        <v>40</v>
      </c>
      <c r="D5965" s="49" t="s">
        <v>271</v>
      </c>
      <c r="E5965" s="117">
        <v>250488</v>
      </c>
      <c r="G5965" s="50" t="s">
        <v>244</v>
      </c>
      <c r="H5965" s="51">
        <v>37.371000000000002</v>
      </c>
      <c r="J5965" s="51">
        <v>5.99</v>
      </c>
      <c r="K5965" s="74">
        <f>Tabela6[[#This Row],[CONSUMO]]*Tabela6[[#This Row],[VALOR UNIT]]-Tabela6[[#This Row],[DESCONTO]]</f>
        <v>223.85229000000001</v>
      </c>
      <c r="L5965" s="53">
        <f>Tabela6[[#This Row],[CUSTO TOTAL]]/Tabela6[[#This Row],[CONSUMO]]</f>
        <v>5.99</v>
      </c>
      <c r="M5965" s="53" t="e">
        <f t="array" ref="M5965">SE</f>
        <v>#NAME?</v>
      </c>
      <c r="N5965" s="118" t="e">
        <f>Tabela6[[#This Row],[KM Rodados ]]/Tabela6[[#This Row],[CONSUMO]]</f>
        <v>#NAME?</v>
      </c>
    </row>
    <row r="5966" spans="1:14" x14ac:dyDescent="0.25">
      <c r="A5966" s="117">
        <v>59309</v>
      </c>
      <c r="B5966" s="78">
        <v>45747</v>
      </c>
      <c r="C5966" s="47" t="s">
        <v>18</v>
      </c>
      <c r="D5966" s="49" t="s">
        <v>255</v>
      </c>
      <c r="E5966" s="117">
        <v>398462</v>
      </c>
      <c r="G5966" s="50" t="s">
        <v>89</v>
      </c>
      <c r="H5966" s="51">
        <v>86.74</v>
      </c>
      <c r="J5966" s="51">
        <v>6.39</v>
      </c>
      <c r="K5966" s="74">
        <f>Tabela6[[#This Row],[CONSUMO]]*Tabela6[[#This Row],[VALOR UNIT]]-Tabela6[[#This Row],[DESCONTO]]</f>
        <v>554.26859999999999</v>
      </c>
      <c r="L5966" s="53">
        <f>Tabela6[[#This Row],[CUSTO TOTAL]]/Tabela6[[#This Row],[CONSUMO]]</f>
        <v>6.3900000000000006</v>
      </c>
      <c r="M5966" s="53" t="e">
        <f t="array" ref="M5966">SE</f>
        <v>#NAME?</v>
      </c>
      <c r="N5966" s="118" t="e">
        <f>Tabela6[[#This Row],[KM Rodados ]]/Tabela6[[#This Row],[CONSUMO]]</f>
        <v>#NAME?</v>
      </c>
    </row>
    <row r="5967" spans="1:14" x14ac:dyDescent="0.25">
      <c r="A5967" s="117" t="s">
        <v>657</v>
      </c>
      <c r="B5967" s="78">
        <v>45747</v>
      </c>
      <c r="C5967" s="47" t="s">
        <v>72</v>
      </c>
      <c r="D5967" s="49" t="s">
        <v>300</v>
      </c>
      <c r="E5967" s="117">
        <v>507166</v>
      </c>
      <c r="G5967" s="50" t="s">
        <v>89</v>
      </c>
      <c r="H5967" s="51">
        <v>46.470999999999997</v>
      </c>
      <c r="J5967" s="51">
        <v>6.19</v>
      </c>
      <c r="K5967" s="74">
        <f>Tabela6[[#This Row],[CONSUMO]]*Tabela6[[#This Row],[VALOR UNIT]]-Tabela6[[#This Row],[DESCONTO]]</f>
        <v>287.65548999999999</v>
      </c>
      <c r="L5967" s="53">
        <f>Tabela6[[#This Row],[CUSTO TOTAL]]/Tabela6[[#This Row],[CONSUMO]]</f>
        <v>6.19</v>
      </c>
      <c r="M5967" s="53" t="e">
        <f t="array" ref="M5967">SE</f>
        <v>#NAME?</v>
      </c>
      <c r="N5967" s="118" t="e">
        <f>Tabela6[[#This Row],[KM Rodados ]]/Tabela6[[#This Row],[CONSUMO]]</f>
        <v>#NAME?</v>
      </c>
    </row>
    <row r="5968" spans="1:14" x14ac:dyDescent="0.25">
      <c r="A5968" s="117">
        <v>479219</v>
      </c>
      <c r="B5968" s="78">
        <v>45747</v>
      </c>
      <c r="C5968" s="47" t="s">
        <v>23</v>
      </c>
      <c r="D5968" s="49" t="s">
        <v>253</v>
      </c>
      <c r="E5968" s="117">
        <v>330513</v>
      </c>
      <c r="G5968" s="50" t="s">
        <v>89</v>
      </c>
      <c r="H5968" s="51">
        <v>161.94999999999999</v>
      </c>
      <c r="J5968" s="51">
        <v>6.39</v>
      </c>
      <c r="K5968" s="74">
        <f>Tabela6[[#This Row],[CONSUMO]]*Tabela6[[#This Row],[VALOR UNIT]]-Tabela6[[#This Row],[DESCONTO]]</f>
        <v>1034.8604999999998</v>
      </c>
      <c r="L5968" s="53">
        <f>Tabela6[[#This Row],[CUSTO TOTAL]]/Tabela6[[#This Row],[CONSUMO]]</f>
        <v>6.3899999999999988</v>
      </c>
      <c r="M5968" s="53" t="e">
        <f t="array" ref="M5968">SE</f>
        <v>#NAME?</v>
      </c>
      <c r="N5968" s="118" t="e">
        <f>Tabela6[[#This Row],[KM Rodados ]]/Tabela6[[#This Row],[CONSUMO]]</f>
        <v>#NAME?</v>
      </c>
    </row>
    <row r="5969" spans="1:14" x14ac:dyDescent="0.25">
      <c r="A5969" s="117">
        <v>341855</v>
      </c>
      <c r="B5969" s="78">
        <v>45747</v>
      </c>
      <c r="C5969" s="47" t="s">
        <v>315</v>
      </c>
      <c r="D5969" s="49" t="s">
        <v>262</v>
      </c>
      <c r="E5969" s="117">
        <v>67522</v>
      </c>
      <c r="G5969" s="50" t="s">
        <v>89</v>
      </c>
      <c r="H5969" s="51">
        <v>64.430000000000007</v>
      </c>
      <c r="J5969" s="51">
        <v>6.0890000000000004</v>
      </c>
      <c r="K5969" s="74">
        <f>Tabela6[[#This Row],[CONSUMO]]*Tabela6[[#This Row],[VALOR UNIT]]-Tabela6[[#This Row],[DESCONTO]]</f>
        <v>392.31427000000008</v>
      </c>
      <c r="L5969" s="53">
        <f>Tabela6[[#This Row],[CUSTO TOTAL]]/Tabela6[[#This Row],[CONSUMO]]</f>
        <v>6.0890000000000004</v>
      </c>
      <c r="M5969" s="53" t="e">
        <f t="array" ref="M5969">SE</f>
        <v>#NAME?</v>
      </c>
      <c r="N5969" s="118" t="e">
        <f>Tabela6[[#This Row],[KM Rodados ]]/Tabela6[[#This Row],[CONSUMO]]</f>
        <v>#NAME?</v>
      </c>
    </row>
    <row r="5970" spans="1:14" x14ac:dyDescent="0.25">
      <c r="A5970" s="117">
        <v>591643</v>
      </c>
      <c r="B5970" s="78">
        <v>45748</v>
      </c>
      <c r="C5970" s="47" t="s">
        <v>67</v>
      </c>
      <c r="D5970" s="49" t="s">
        <v>269</v>
      </c>
      <c r="E5970" s="117">
        <v>769370</v>
      </c>
      <c r="G5970" s="50" t="s">
        <v>89</v>
      </c>
      <c r="H5970" s="51">
        <v>153</v>
      </c>
      <c r="J5970" s="51">
        <v>6.19</v>
      </c>
      <c r="K5970" s="74">
        <f>Tabela6[[#This Row],[CONSUMO]]*Tabela6[[#This Row],[VALOR UNIT]]-Tabela6[[#This Row],[DESCONTO]]</f>
        <v>947.07</v>
      </c>
      <c r="L5970" s="53">
        <f>Tabela6[[#This Row],[CUSTO TOTAL]]/Tabela6[[#This Row],[CONSUMO]]</f>
        <v>6.19</v>
      </c>
      <c r="M5970" s="53" t="e">
        <f t="array" ref="M5970">SE</f>
        <v>#NAME?</v>
      </c>
      <c r="N5970" s="118" t="e">
        <f>Tabela6[[#This Row],[KM Rodados ]]/Tabela6[[#This Row],[CONSUMO]]</f>
        <v>#NAME?</v>
      </c>
    </row>
    <row r="5971" spans="1:14" x14ac:dyDescent="0.25">
      <c r="A5971" s="117" t="s">
        <v>658</v>
      </c>
      <c r="B5971" s="78">
        <v>45748</v>
      </c>
      <c r="C5971" s="47" t="s">
        <v>67</v>
      </c>
      <c r="D5971" s="49" t="s">
        <v>269</v>
      </c>
      <c r="E5971" s="117">
        <v>769370</v>
      </c>
      <c r="G5971" s="50" t="s">
        <v>241</v>
      </c>
      <c r="H5971" s="51">
        <v>11.571</v>
      </c>
      <c r="J5971" s="51">
        <v>3.19</v>
      </c>
      <c r="K5971" s="74">
        <f>Tabela6[[#This Row],[CONSUMO]]*Tabela6[[#This Row],[VALOR UNIT]]-Tabela6[[#This Row],[DESCONTO]]</f>
        <v>36.911490000000001</v>
      </c>
      <c r="L5971" s="53">
        <f>Tabela6[[#This Row],[CUSTO TOTAL]]/Tabela6[[#This Row],[CONSUMO]]</f>
        <v>3.19</v>
      </c>
      <c r="M5971" s="53" t="e">
        <f t="array" ref="M5971">SE</f>
        <v>#NAME?</v>
      </c>
      <c r="N5971" s="118" t="e">
        <f>Tabela6[[#This Row],[KM Rodados ]]/Tabela6[[#This Row],[CONSUMO]]</f>
        <v>#NAME?</v>
      </c>
    </row>
    <row r="5972" spans="1:14" x14ac:dyDescent="0.25">
      <c r="A5972" s="117" t="s">
        <v>659</v>
      </c>
      <c r="B5972" s="78">
        <v>45748</v>
      </c>
      <c r="C5972" s="47" t="s">
        <v>615</v>
      </c>
      <c r="D5972" s="49" t="s">
        <v>269</v>
      </c>
      <c r="E5972" s="117">
        <v>17529</v>
      </c>
      <c r="G5972" s="50" t="s">
        <v>89</v>
      </c>
      <c r="H5972" s="51">
        <v>450.03</v>
      </c>
      <c r="J5972" s="51">
        <v>6.14</v>
      </c>
      <c r="K5972" s="74">
        <f>Tabela6[[#This Row],[CONSUMO]]*Tabela6[[#This Row],[VALOR UNIT]]-Tabela6[[#This Row],[DESCONTO]]</f>
        <v>2763.1841999999997</v>
      </c>
      <c r="L5972" s="53">
        <f>Tabela6[[#This Row],[CUSTO TOTAL]]/Tabela6[[#This Row],[CONSUMO]]</f>
        <v>6.14</v>
      </c>
      <c r="M5972" s="53" t="e">
        <f t="array" ref="M5972">SE</f>
        <v>#NAME?</v>
      </c>
      <c r="N5972" s="118" t="e">
        <f>Tabela6[[#This Row],[KM Rodados ]]/Tabela6[[#This Row],[CONSUMO]]</f>
        <v>#NAME?</v>
      </c>
    </row>
    <row r="5973" spans="1:14" x14ac:dyDescent="0.25">
      <c r="A5973" s="117">
        <v>334588</v>
      </c>
      <c r="B5973" s="78">
        <v>45748</v>
      </c>
      <c r="C5973" s="47" t="s">
        <v>40</v>
      </c>
      <c r="D5973" s="49" t="s">
        <v>329</v>
      </c>
      <c r="E5973" s="117">
        <v>250896</v>
      </c>
      <c r="G5973" s="50" t="s">
        <v>244</v>
      </c>
      <c r="H5973" s="51">
        <v>20.221</v>
      </c>
      <c r="J5973" s="51">
        <v>5.99</v>
      </c>
      <c r="K5973" s="74">
        <f>Tabela6[[#This Row],[CONSUMO]]*Tabela6[[#This Row],[VALOR UNIT]]-Tabela6[[#This Row],[DESCONTO]]</f>
        <v>121.12379</v>
      </c>
      <c r="L5973" s="53">
        <f>Tabela6[[#This Row],[CUSTO TOTAL]]/Tabela6[[#This Row],[CONSUMO]]</f>
        <v>5.99</v>
      </c>
      <c r="M5973" s="53" t="e">
        <f t="array" ref="M5973">SE</f>
        <v>#NAME?</v>
      </c>
      <c r="N5973" s="118" t="e">
        <f>Tabela6[[#This Row],[KM Rodados ]]/Tabela6[[#This Row],[CONSUMO]]</f>
        <v>#NAME?</v>
      </c>
    </row>
    <row r="5974" spans="1:14" x14ac:dyDescent="0.25">
      <c r="A5974" s="117" t="s">
        <v>660</v>
      </c>
      <c r="B5974" s="78">
        <v>45748</v>
      </c>
      <c r="C5974" s="47" t="s">
        <v>206</v>
      </c>
      <c r="D5974" s="49" t="s">
        <v>347</v>
      </c>
      <c r="E5974" s="117">
        <v>1078711</v>
      </c>
      <c r="G5974" s="50" t="s">
        <v>89</v>
      </c>
      <c r="H5974" s="51">
        <v>390</v>
      </c>
      <c r="J5974" s="51">
        <v>6.19</v>
      </c>
      <c r="K5974" s="74">
        <f>Tabela6[[#This Row],[CONSUMO]]*Tabela6[[#This Row],[VALOR UNIT]]-Tabela6[[#This Row],[DESCONTO]]</f>
        <v>2414.1000000000004</v>
      </c>
      <c r="L5974" s="53">
        <f>Tabela6[[#This Row],[CUSTO TOTAL]]/Tabela6[[#This Row],[CONSUMO]]</f>
        <v>6.1900000000000013</v>
      </c>
      <c r="M5974" s="53" t="e">
        <f t="array" ref="M5974">SE</f>
        <v>#NAME?</v>
      </c>
      <c r="N5974" s="118" t="e">
        <f>Tabela6[[#This Row],[KM Rodados ]]/Tabela6[[#This Row],[CONSUMO]]</f>
        <v>#NAME?</v>
      </c>
    </row>
    <row r="5975" spans="1:14" x14ac:dyDescent="0.25">
      <c r="A5975" s="117">
        <v>611903</v>
      </c>
      <c r="B5975" s="78">
        <v>45748</v>
      </c>
      <c r="C5975" s="47" t="s">
        <v>206</v>
      </c>
      <c r="D5975" s="49" t="s">
        <v>347</v>
      </c>
      <c r="E5975" s="117">
        <v>1078711</v>
      </c>
      <c r="G5975" s="50" t="s">
        <v>241</v>
      </c>
      <c r="H5975" s="51">
        <v>37.020000000000003</v>
      </c>
      <c r="J5975" s="51">
        <v>3.19</v>
      </c>
      <c r="K5975" s="74">
        <f>Tabela6[[#This Row],[CONSUMO]]*Tabela6[[#This Row],[VALOR UNIT]]-Tabela6[[#This Row],[DESCONTO]]</f>
        <v>118.0938</v>
      </c>
      <c r="L5975" s="53">
        <f>Tabela6[[#This Row],[CUSTO TOTAL]]/Tabela6[[#This Row],[CONSUMO]]</f>
        <v>3.19</v>
      </c>
      <c r="M5975" s="53" t="e">
        <f t="array" ref="M5975">SE</f>
        <v>#NAME?</v>
      </c>
      <c r="N5975" s="118" t="e">
        <f>Tabela6[[#This Row],[KM Rodados ]]/Tabela6[[#This Row],[CONSUMO]]</f>
        <v>#NAME?</v>
      </c>
    </row>
    <row r="5976" spans="1:14" x14ac:dyDescent="0.25">
      <c r="A5976" s="117" t="s">
        <v>661</v>
      </c>
      <c r="B5976" s="78">
        <v>45748</v>
      </c>
      <c r="C5976" s="47" t="s">
        <v>615</v>
      </c>
      <c r="D5976" s="49" t="s">
        <v>374</v>
      </c>
      <c r="E5976" s="117">
        <v>18376</v>
      </c>
      <c r="G5976" s="50" t="s">
        <v>89</v>
      </c>
      <c r="H5976" s="51">
        <v>462.01</v>
      </c>
      <c r="J5976" s="51">
        <v>6.24</v>
      </c>
      <c r="K5976" s="74">
        <f>Tabela6[[#This Row],[CONSUMO]]*Tabela6[[#This Row],[VALOR UNIT]]-Tabela6[[#This Row],[DESCONTO]]</f>
        <v>2882.9423999999999</v>
      </c>
      <c r="L5976" s="53">
        <f>Tabela6[[#This Row],[CUSTO TOTAL]]/Tabela6[[#This Row],[CONSUMO]]</f>
        <v>6.24</v>
      </c>
      <c r="M5976" s="53" t="e">
        <f t="array" ref="M5976">SE</f>
        <v>#NAME?</v>
      </c>
      <c r="N5976" s="118" t="e">
        <f>Tabela6[[#This Row],[KM Rodados ]]/Tabela6[[#This Row],[CONSUMO]]</f>
        <v>#NAME?</v>
      </c>
    </row>
    <row r="5977" spans="1:14" x14ac:dyDescent="0.25">
      <c r="A5977" s="117" t="s">
        <v>662</v>
      </c>
      <c r="B5977" s="78">
        <v>45748</v>
      </c>
      <c r="C5977" s="47" t="s">
        <v>615</v>
      </c>
      <c r="D5977" s="49" t="s">
        <v>374</v>
      </c>
      <c r="E5977" s="117">
        <v>18376</v>
      </c>
      <c r="G5977" s="50" t="s">
        <v>241</v>
      </c>
      <c r="H5977" s="51">
        <v>48.311</v>
      </c>
      <c r="J5977" s="51">
        <v>3.19</v>
      </c>
      <c r="K5977" s="74">
        <f>Tabela6[[#This Row],[CONSUMO]]*Tabela6[[#This Row],[VALOR UNIT]]-Tabela6[[#This Row],[DESCONTO]]</f>
        <v>154.11208999999999</v>
      </c>
      <c r="L5977" s="53">
        <f>Tabela6[[#This Row],[CUSTO TOTAL]]/Tabela6[[#This Row],[CONSUMO]]</f>
        <v>3.19</v>
      </c>
      <c r="M5977" s="53" t="e">
        <f t="array" ref="M5977">SE</f>
        <v>#NAME?</v>
      </c>
      <c r="N5977" s="118" t="e">
        <f>Tabela6[[#This Row],[KM Rodados ]]/Tabela6[[#This Row],[CONSUMO]]</f>
        <v>#NAME?</v>
      </c>
    </row>
    <row r="5978" spans="1:14" x14ac:dyDescent="0.25">
      <c r="A5978" s="117">
        <v>2313</v>
      </c>
      <c r="B5978" s="78">
        <v>45748</v>
      </c>
      <c r="C5978" s="47" t="s">
        <v>315</v>
      </c>
      <c r="D5978" s="49" t="s">
        <v>623</v>
      </c>
      <c r="E5978" s="117">
        <v>68002</v>
      </c>
      <c r="G5978" s="50" t="s">
        <v>89</v>
      </c>
      <c r="H5978" s="51">
        <v>35.72</v>
      </c>
      <c r="J5978" s="51">
        <v>6.29</v>
      </c>
      <c r="K5978" s="74">
        <f>Tabela6[[#This Row],[CONSUMO]]*Tabela6[[#This Row],[VALOR UNIT]]-Tabela6[[#This Row],[DESCONTO]]</f>
        <v>224.6788</v>
      </c>
      <c r="L5978" s="53">
        <f>Tabela6[[#This Row],[CUSTO TOTAL]]/Tabela6[[#This Row],[CONSUMO]]</f>
        <v>6.29</v>
      </c>
      <c r="M5978" s="53" t="e">
        <f t="array" ref="M5978">SE</f>
        <v>#NAME?</v>
      </c>
      <c r="N5978" s="118" t="e">
        <f>Tabela6[[#This Row],[KM Rodados ]]/Tabela6[[#This Row],[CONSUMO]]</f>
        <v>#NAME?</v>
      </c>
    </row>
    <row r="5979" spans="1:14" x14ac:dyDescent="0.25">
      <c r="A5979" s="117">
        <v>6629</v>
      </c>
      <c r="B5979" s="78">
        <v>45748</v>
      </c>
      <c r="C5979" s="47" t="s">
        <v>315</v>
      </c>
      <c r="D5979" s="49" t="s">
        <v>624</v>
      </c>
      <c r="E5979" s="117">
        <v>68558</v>
      </c>
      <c r="G5979" s="50" t="s">
        <v>89</v>
      </c>
      <c r="H5979" s="51">
        <v>48</v>
      </c>
      <c r="J5979" s="51">
        <v>6.19</v>
      </c>
      <c r="K5979" s="74">
        <f>Tabela6[[#This Row],[CONSUMO]]*Tabela6[[#This Row],[VALOR UNIT]]-Tabela6[[#This Row],[DESCONTO]]</f>
        <v>297.12</v>
      </c>
      <c r="L5979" s="53">
        <f>Tabela6[[#This Row],[CUSTO TOTAL]]/Tabela6[[#This Row],[CONSUMO]]</f>
        <v>6.19</v>
      </c>
      <c r="M5979" s="53" t="e">
        <f t="array" ref="M5979">SE</f>
        <v>#NAME?</v>
      </c>
      <c r="N5979" s="118" t="e">
        <f>Tabela6[[#This Row],[KM Rodados ]]/Tabela6[[#This Row],[CONSUMO]]</f>
        <v>#NAME?</v>
      </c>
    </row>
    <row r="5980" spans="1:14" x14ac:dyDescent="0.25">
      <c r="A5980" s="117">
        <v>342029</v>
      </c>
      <c r="B5980" s="78">
        <v>45748</v>
      </c>
      <c r="C5980" s="47" t="s">
        <v>40</v>
      </c>
      <c r="D5980" s="49" t="s">
        <v>262</v>
      </c>
      <c r="E5980" s="117">
        <v>250600</v>
      </c>
      <c r="G5980" s="50" t="s">
        <v>244</v>
      </c>
      <c r="H5980" s="51">
        <v>8.3710000000000004</v>
      </c>
      <c r="J5980" s="51">
        <v>5.9897</v>
      </c>
      <c r="K5980" s="74">
        <f>Tabela6[[#This Row],[CONSUMO]]*Tabela6[[#This Row],[VALOR UNIT]]-Tabela6[[#This Row],[DESCONTO]]</f>
        <v>50.139778700000001</v>
      </c>
      <c r="L5980" s="53">
        <f>Tabela6[[#This Row],[CUSTO TOTAL]]/Tabela6[[#This Row],[CONSUMO]]</f>
        <v>5.9897</v>
      </c>
      <c r="M5980" s="53" t="e">
        <f t="array" ref="M5980">SE</f>
        <v>#NAME?</v>
      </c>
      <c r="N5980" s="118" t="e">
        <f>Tabela6[[#This Row],[KM Rodados ]]/Tabela6[[#This Row],[CONSUMO]]</f>
        <v>#NAME?</v>
      </c>
    </row>
    <row r="5981" spans="1:14" x14ac:dyDescent="0.25">
      <c r="A5981" s="117">
        <v>342465</v>
      </c>
      <c r="B5981" s="78">
        <v>45749</v>
      </c>
      <c r="C5981" s="47" t="s">
        <v>40</v>
      </c>
      <c r="D5981" s="49" t="s">
        <v>262</v>
      </c>
      <c r="E5981" s="117">
        <v>251350</v>
      </c>
      <c r="G5981" s="50" t="s">
        <v>244</v>
      </c>
      <c r="H5981" s="51">
        <v>34.020000000000003</v>
      </c>
      <c r="J5981" s="51">
        <v>5.99</v>
      </c>
      <c r="K5981" s="74">
        <f>Tabela6[[#This Row],[CONSUMO]]*Tabela6[[#This Row],[VALOR UNIT]]-Tabela6[[#This Row],[DESCONTO]]</f>
        <v>203.77980000000002</v>
      </c>
      <c r="L5981" s="53">
        <f>Tabela6[[#This Row],[CUSTO TOTAL]]/Tabela6[[#This Row],[CONSUMO]]</f>
        <v>5.99</v>
      </c>
      <c r="M5981" s="53" t="e">
        <f t="array" ref="M5981">SE</f>
        <v>#NAME?</v>
      </c>
      <c r="N5981" s="118" t="e">
        <f>Tabela6[[#This Row],[KM Rodados ]]/Tabela6[[#This Row],[CONSUMO]]</f>
        <v>#NAME?</v>
      </c>
    </row>
    <row r="5982" spans="1:14" x14ac:dyDescent="0.25">
      <c r="A5982" s="117">
        <v>342251</v>
      </c>
      <c r="B5982" s="78">
        <v>45749</v>
      </c>
      <c r="C5982" s="47" t="s">
        <v>567</v>
      </c>
      <c r="D5982" s="49" t="s">
        <v>262</v>
      </c>
      <c r="E5982" s="117">
        <v>39032</v>
      </c>
      <c r="G5982" s="50" t="s">
        <v>241</v>
      </c>
      <c r="H5982" s="51">
        <v>32.69</v>
      </c>
      <c r="J5982" s="51">
        <v>3.33</v>
      </c>
      <c r="K5982" s="74">
        <f>Tabela6[[#This Row],[CONSUMO]]*Tabela6[[#This Row],[VALOR UNIT]]-Tabela6[[#This Row],[DESCONTO]]</f>
        <v>108.85769999999999</v>
      </c>
      <c r="L5982" s="53">
        <f>Tabela6[[#This Row],[CUSTO TOTAL]]/Tabela6[[#This Row],[CONSUMO]]</f>
        <v>3.33</v>
      </c>
      <c r="M5982" s="53" t="e">
        <f t="array" ref="M5982">SE</f>
        <v>#NAME?</v>
      </c>
      <c r="N5982" s="118" t="e">
        <f>Tabela6[[#This Row],[KM Rodados ]]/Tabela6[[#This Row],[CONSUMO]]</f>
        <v>#NAME?</v>
      </c>
    </row>
    <row r="5983" spans="1:14" x14ac:dyDescent="0.25">
      <c r="A5983" s="117" t="s">
        <v>690</v>
      </c>
      <c r="B5983" s="78">
        <v>45749</v>
      </c>
      <c r="C5983" s="47" t="s">
        <v>20</v>
      </c>
      <c r="D5983" s="49" t="s">
        <v>253</v>
      </c>
      <c r="E5983" s="117">
        <v>347148</v>
      </c>
      <c r="G5983" s="50" t="s">
        <v>89</v>
      </c>
      <c r="H5983" s="51">
        <v>61.4</v>
      </c>
      <c r="J5983" s="51">
        <v>6.39</v>
      </c>
      <c r="K5983" s="74">
        <f>Tabela6[[#This Row],[CONSUMO]]*Tabela6[[#This Row],[VALOR UNIT]]-Tabela6[[#This Row],[DESCONTO]]</f>
        <v>392.34599999999995</v>
      </c>
      <c r="L5983" s="53">
        <f>Tabela6[[#This Row],[CUSTO TOTAL]]/Tabela6[[#This Row],[CONSUMO]]</f>
        <v>6.39</v>
      </c>
      <c r="M5983" s="53" t="e">
        <f t="array" ref="M5983">SE</f>
        <v>#NAME?</v>
      </c>
      <c r="N5983" s="118" t="e">
        <f>Tabela6[[#This Row],[KM Rodados ]]/Tabela6[[#This Row],[CONSUMO]]</f>
        <v>#NAME?</v>
      </c>
    </row>
    <row r="5984" spans="1:14" x14ac:dyDescent="0.25">
      <c r="A5984" s="117">
        <v>481254</v>
      </c>
      <c r="B5984" s="78">
        <v>45749</v>
      </c>
      <c r="C5984" s="47" t="s">
        <v>39</v>
      </c>
      <c r="D5984" s="49" t="s">
        <v>253</v>
      </c>
      <c r="E5984" s="117">
        <v>143711</v>
      </c>
      <c r="G5984" s="50" t="s">
        <v>89</v>
      </c>
      <c r="H5984" s="51">
        <v>104.16</v>
      </c>
      <c r="J5984" s="51">
        <v>6.39</v>
      </c>
      <c r="K5984" s="74">
        <f>Tabela6[[#This Row],[CONSUMO]]*Tabela6[[#This Row],[VALOR UNIT]]-Tabela6[[#This Row],[DESCONTO]]</f>
        <v>665.58239999999989</v>
      </c>
      <c r="L5984" s="53">
        <f>Tabela6[[#This Row],[CUSTO TOTAL]]/Tabela6[[#This Row],[CONSUMO]]</f>
        <v>6.3899999999999988</v>
      </c>
      <c r="M5984" s="53" t="e">
        <f t="array" ref="M5984">SE</f>
        <v>#NAME?</v>
      </c>
      <c r="N5984" s="118" t="e">
        <f>Tabela6[[#This Row],[KM Rodados ]]/Tabela6[[#This Row],[CONSUMO]]</f>
        <v>#NAME?</v>
      </c>
    </row>
    <row r="5985" spans="1:14" x14ac:dyDescent="0.25">
      <c r="A5985" s="117">
        <v>481254</v>
      </c>
      <c r="B5985" s="78">
        <v>45749</v>
      </c>
      <c r="C5985" s="47" t="s">
        <v>39</v>
      </c>
      <c r="D5985" s="49" t="s">
        <v>253</v>
      </c>
      <c r="E5985" s="117">
        <v>143711</v>
      </c>
      <c r="G5985" s="50" t="s">
        <v>241</v>
      </c>
      <c r="H5985" s="51">
        <v>10.007</v>
      </c>
      <c r="J5985" s="51">
        <v>3.49</v>
      </c>
      <c r="K5985" s="74">
        <f>Tabela6[[#This Row],[CONSUMO]]*Tabela6[[#This Row],[VALOR UNIT]]-Tabela6[[#This Row],[DESCONTO]]</f>
        <v>34.924430000000001</v>
      </c>
      <c r="L5985" s="53">
        <f>Tabela6[[#This Row],[CUSTO TOTAL]]/Tabela6[[#This Row],[CONSUMO]]</f>
        <v>3.49</v>
      </c>
      <c r="M5985" s="53" t="e">
        <f t="array" ref="M5985">SE</f>
        <v>#NAME?</v>
      </c>
      <c r="N5985" s="118" t="e">
        <f>Tabela6[[#This Row],[KM Rodados ]]/Tabela6[[#This Row],[CONSUMO]]</f>
        <v>#NAME?</v>
      </c>
    </row>
    <row r="5986" spans="1:14" x14ac:dyDescent="0.25">
      <c r="A5986" s="117">
        <v>9562</v>
      </c>
      <c r="B5986" s="78">
        <v>45749</v>
      </c>
      <c r="C5986" s="47" t="s">
        <v>401</v>
      </c>
      <c r="D5986" s="49" t="s">
        <v>625</v>
      </c>
      <c r="E5986" s="117">
        <v>98373</v>
      </c>
      <c r="G5986" s="50" t="s">
        <v>89</v>
      </c>
      <c r="H5986" s="51">
        <v>61.44</v>
      </c>
      <c r="J5986" s="51">
        <v>6.51</v>
      </c>
      <c r="K5986" s="74">
        <f>Tabela6[[#This Row],[CONSUMO]]*Tabela6[[#This Row],[VALOR UNIT]]-Tabela6[[#This Row],[DESCONTO]]</f>
        <v>399.97439999999995</v>
      </c>
      <c r="L5986" s="53">
        <f>Tabela6[[#This Row],[CUSTO TOTAL]]/Tabela6[[#This Row],[CONSUMO]]</f>
        <v>6.51</v>
      </c>
      <c r="M5986" s="53" t="e">
        <f t="array" ref="M5986">SE</f>
        <v>#NAME?</v>
      </c>
      <c r="N5986" s="118" t="e">
        <f>Tabela6[[#This Row],[KM Rodados ]]/Tabela6[[#This Row],[CONSUMO]]</f>
        <v>#NAME?</v>
      </c>
    </row>
    <row r="5987" spans="1:14" x14ac:dyDescent="0.25">
      <c r="A5987" s="117">
        <v>15329</v>
      </c>
      <c r="B5987" s="78">
        <v>45749</v>
      </c>
      <c r="C5987" s="47" t="s">
        <v>19</v>
      </c>
      <c r="D5987" s="49" t="s">
        <v>416</v>
      </c>
      <c r="E5987" s="117">
        <v>442342</v>
      </c>
      <c r="G5987" s="50" t="s">
        <v>89</v>
      </c>
      <c r="H5987" s="51">
        <v>80.94</v>
      </c>
      <c r="J5987" s="51">
        <v>6.19</v>
      </c>
      <c r="K5987" s="74">
        <f>Tabela6[[#This Row],[CONSUMO]]*Tabela6[[#This Row],[VALOR UNIT]]-Tabela6[[#This Row],[DESCONTO]]</f>
        <v>501.01859999999999</v>
      </c>
      <c r="L5987" s="53">
        <f>Tabela6[[#This Row],[CUSTO TOTAL]]/Tabela6[[#This Row],[CONSUMO]]</f>
        <v>6.19</v>
      </c>
      <c r="M5987" s="53" t="e">
        <f t="array" ref="M5987">SE</f>
        <v>#NAME?</v>
      </c>
      <c r="N5987" s="118" t="e">
        <f>Tabela6[[#This Row],[KM Rodados ]]/Tabela6[[#This Row],[CONSUMO]]</f>
        <v>#NAME?</v>
      </c>
    </row>
    <row r="5988" spans="1:14" x14ac:dyDescent="0.25">
      <c r="A5988" s="117">
        <v>452366</v>
      </c>
      <c r="B5988" s="78">
        <v>45749</v>
      </c>
      <c r="C5988" s="47" t="s">
        <v>564</v>
      </c>
      <c r="D5988" s="49" t="s">
        <v>270</v>
      </c>
      <c r="E5988" s="117">
        <v>72364</v>
      </c>
      <c r="G5988" s="50" t="s">
        <v>241</v>
      </c>
      <c r="H5988" s="51">
        <v>50.01</v>
      </c>
      <c r="J5988" s="51">
        <v>3.19</v>
      </c>
      <c r="K5988" s="74">
        <f>Tabela6[[#This Row],[CONSUMO]]*Tabela6[[#This Row],[VALOR UNIT]]-Tabela6[[#This Row],[DESCONTO]]</f>
        <v>159.53189999999998</v>
      </c>
      <c r="L5988" s="53">
        <f>Tabela6[[#This Row],[CUSTO TOTAL]]/Tabela6[[#This Row],[CONSUMO]]</f>
        <v>3.1899999999999995</v>
      </c>
      <c r="M5988" s="53" t="e">
        <f t="array" ref="M5988">SE</f>
        <v>#NAME?</v>
      </c>
      <c r="N5988" s="118" t="e">
        <f>Tabela6[[#This Row],[KM Rodados ]]/Tabela6[[#This Row],[CONSUMO]]</f>
        <v>#NAME?</v>
      </c>
    </row>
    <row r="5989" spans="1:14" x14ac:dyDescent="0.25">
      <c r="A5989" s="117" t="s">
        <v>663</v>
      </c>
      <c r="B5989" s="78">
        <v>45749</v>
      </c>
      <c r="C5989" s="47" t="s">
        <v>43</v>
      </c>
      <c r="D5989" s="49" t="s">
        <v>268</v>
      </c>
      <c r="E5989" s="117">
        <v>241168</v>
      </c>
      <c r="G5989" s="50" t="s">
        <v>89</v>
      </c>
      <c r="H5989" s="51">
        <v>51.411000000000001</v>
      </c>
      <c r="J5989" s="51">
        <v>6.19</v>
      </c>
      <c r="K5989" s="74">
        <f>Tabela6[[#This Row],[CONSUMO]]*Tabela6[[#This Row],[VALOR UNIT]]-Tabela6[[#This Row],[DESCONTO]]</f>
        <v>318.23409000000004</v>
      </c>
      <c r="L5989" s="53">
        <f>Tabela6[[#This Row],[CUSTO TOTAL]]/Tabela6[[#This Row],[CONSUMO]]</f>
        <v>6.19</v>
      </c>
      <c r="M5989" s="53" t="e">
        <f t="array" ref="M5989">SE</f>
        <v>#NAME?</v>
      </c>
      <c r="N5989" s="118" t="e">
        <f>Tabela6[[#This Row],[KM Rodados ]]/Tabela6[[#This Row],[CONSUMO]]</f>
        <v>#NAME?</v>
      </c>
    </row>
    <row r="5990" spans="1:14" x14ac:dyDescent="0.25">
      <c r="A5990" s="117" t="s">
        <v>664</v>
      </c>
      <c r="B5990" s="78">
        <v>45749</v>
      </c>
      <c r="C5990" s="47" t="s">
        <v>15</v>
      </c>
      <c r="D5990" s="49" t="s">
        <v>269</v>
      </c>
      <c r="E5990" s="117">
        <v>481972</v>
      </c>
      <c r="G5990" s="50" t="s">
        <v>241</v>
      </c>
      <c r="H5990" s="51">
        <v>21.58</v>
      </c>
      <c r="J5990" s="51">
        <v>3.19</v>
      </c>
      <c r="K5990" s="74">
        <f>Tabela6[[#This Row],[CONSUMO]]*Tabela6[[#This Row],[VALOR UNIT]]-Tabela6[[#This Row],[DESCONTO]]</f>
        <v>68.840199999999996</v>
      </c>
      <c r="L5990" s="53">
        <f>Tabela6[[#This Row],[CUSTO TOTAL]]/Tabela6[[#This Row],[CONSUMO]]</f>
        <v>3.19</v>
      </c>
      <c r="M5990" s="53" t="e">
        <f t="array" ref="M5990">SE</f>
        <v>#NAME?</v>
      </c>
      <c r="N5990" s="118" t="e">
        <f>Tabela6[[#This Row],[KM Rodados ]]/Tabela6[[#This Row],[CONSUMO]]</f>
        <v>#NAME?</v>
      </c>
    </row>
    <row r="5991" spans="1:14" x14ac:dyDescent="0.25">
      <c r="A5991" s="117" t="s">
        <v>665</v>
      </c>
      <c r="B5991" s="78">
        <v>45749</v>
      </c>
      <c r="C5991" s="47" t="s">
        <v>23</v>
      </c>
      <c r="D5991" s="49" t="s">
        <v>300</v>
      </c>
      <c r="E5991" s="117">
        <v>331294</v>
      </c>
      <c r="G5991" s="50" t="s">
        <v>89</v>
      </c>
      <c r="H5991" s="51">
        <v>155.76</v>
      </c>
      <c r="J5991" s="51">
        <v>6.19</v>
      </c>
      <c r="K5991" s="74">
        <f>Tabela6[[#This Row],[CONSUMO]]*Tabela6[[#This Row],[VALOR UNIT]]-Tabela6[[#This Row],[DESCONTO]]</f>
        <v>964.15440000000001</v>
      </c>
      <c r="L5991" s="53">
        <f>Tabela6[[#This Row],[CUSTO TOTAL]]/Tabela6[[#This Row],[CONSUMO]]</f>
        <v>6.19</v>
      </c>
      <c r="M5991" s="53" t="e">
        <f t="array" ref="M5991">SE</f>
        <v>#NAME?</v>
      </c>
      <c r="N5991" s="118" t="e">
        <f>Tabela6[[#This Row],[KM Rodados ]]/Tabela6[[#This Row],[CONSUMO]]</f>
        <v>#NAME?</v>
      </c>
    </row>
    <row r="5992" spans="1:14" x14ac:dyDescent="0.25">
      <c r="A5992" s="117">
        <v>410174</v>
      </c>
      <c r="B5992" s="78">
        <v>45749</v>
      </c>
      <c r="C5992" s="47" t="s">
        <v>23</v>
      </c>
      <c r="D5992" s="49" t="s">
        <v>300</v>
      </c>
      <c r="E5992" s="117">
        <v>331294</v>
      </c>
      <c r="G5992" s="50" t="s">
        <v>241</v>
      </c>
      <c r="H5992" s="51">
        <v>24.37</v>
      </c>
      <c r="J5992" s="51">
        <v>3.19</v>
      </c>
      <c r="K5992" s="74">
        <f>Tabela6[[#This Row],[CONSUMO]]*Tabela6[[#This Row],[VALOR UNIT]]-Tabela6[[#This Row],[DESCONTO]]</f>
        <v>77.740300000000005</v>
      </c>
      <c r="L5992" s="53">
        <f>Tabela6[[#This Row],[CUSTO TOTAL]]/Tabela6[[#This Row],[CONSUMO]]</f>
        <v>3.19</v>
      </c>
      <c r="M5992" s="53" t="e">
        <f t="array" ref="M5992">SE</f>
        <v>#NAME?</v>
      </c>
      <c r="N5992" s="118" t="e">
        <f>Tabela6[[#This Row],[KM Rodados ]]/Tabela6[[#This Row],[CONSUMO]]</f>
        <v>#NAME?</v>
      </c>
    </row>
    <row r="5993" spans="1:14" x14ac:dyDescent="0.25">
      <c r="A5993" s="117" t="s">
        <v>666</v>
      </c>
      <c r="B5993" s="78">
        <v>45749</v>
      </c>
      <c r="C5993" s="47" t="s">
        <v>67</v>
      </c>
      <c r="D5993" s="49" t="s">
        <v>269</v>
      </c>
      <c r="E5993" s="117">
        <v>769860</v>
      </c>
      <c r="G5993" s="50" t="s">
        <v>89</v>
      </c>
      <c r="H5993" s="51">
        <v>126.43</v>
      </c>
      <c r="J5993" s="51">
        <v>6.19</v>
      </c>
      <c r="K5993" s="74">
        <f>Tabela6[[#This Row],[CONSUMO]]*Tabela6[[#This Row],[VALOR UNIT]]-Tabela6[[#This Row],[DESCONTO]]</f>
        <v>782.60170000000005</v>
      </c>
      <c r="L5993" s="53">
        <f>Tabela6[[#This Row],[CUSTO TOTAL]]/Tabela6[[#This Row],[CONSUMO]]</f>
        <v>6.19</v>
      </c>
      <c r="M5993" s="53" t="e">
        <f t="array" ref="M5993">SE</f>
        <v>#NAME?</v>
      </c>
      <c r="N5993" s="118" t="e">
        <f>Tabela6[[#This Row],[KM Rodados ]]/Tabela6[[#This Row],[CONSUMO]]</f>
        <v>#NAME?</v>
      </c>
    </row>
    <row r="5994" spans="1:14" x14ac:dyDescent="0.25">
      <c r="A5994" s="117">
        <v>342397</v>
      </c>
      <c r="B5994" s="78">
        <v>45749</v>
      </c>
      <c r="C5994" s="47" t="s">
        <v>354</v>
      </c>
      <c r="D5994" s="49" t="s">
        <v>262</v>
      </c>
      <c r="E5994" s="117">
        <v>98004</v>
      </c>
      <c r="G5994" s="50" t="s">
        <v>241</v>
      </c>
      <c r="H5994" s="51">
        <v>30.015999999999998</v>
      </c>
      <c r="J5994" s="51">
        <v>3.32</v>
      </c>
      <c r="K5994" s="74">
        <f>Tabela6[[#This Row],[CONSUMO]]*Tabela6[[#This Row],[VALOR UNIT]]-Tabela6[[#This Row],[DESCONTO]]</f>
        <v>99.653119999999987</v>
      </c>
      <c r="L5994" s="53">
        <f>Tabela6[[#This Row],[CUSTO TOTAL]]/Tabela6[[#This Row],[CONSUMO]]</f>
        <v>3.32</v>
      </c>
      <c r="M5994" s="53" t="e">
        <f t="array" ref="M5994">SE</f>
        <v>#NAME?</v>
      </c>
      <c r="N5994" s="118" t="e">
        <f>Tabela6[[#This Row],[KM Rodados ]]/Tabela6[[#This Row],[CONSUMO]]</f>
        <v>#NAME?</v>
      </c>
    </row>
    <row r="5995" spans="1:14" x14ac:dyDescent="0.25">
      <c r="A5995" s="117">
        <v>342422</v>
      </c>
      <c r="B5995" s="78">
        <v>45749</v>
      </c>
      <c r="C5995" s="47" t="s">
        <v>569</v>
      </c>
      <c r="D5995" s="49" t="s">
        <v>262</v>
      </c>
      <c r="E5995" s="117">
        <v>25699</v>
      </c>
      <c r="G5995" s="50" t="s">
        <v>241</v>
      </c>
      <c r="H5995" s="51">
        <v>29.786999999999999</v>
      </c>
      <c r="J5995" s="51">
        <v>3.3298999999999999</v>
      </c>
      <c r="K5995" s="74">
        <f>Tabela6[[#This Row],[CONSUMO]]*Tabela6[[#This Row],[VALOR UNIT]]-Tabela6[[#This Row],[DESCONTO]]</f>
        <v>99.187731299999996</v>
      </c>
      <c r="L5995" s="53">
        <f>Tabela6[[#This Row],[CUSTO TOTAL]]/Tabela6[[#This Row],[CONSUMO]]</f>
        <v>3.3298999999999999</v>
      </c>
      <c r="M5995" s="53" t="e">
        <f t="array" ref="M5995">SE</f>
        <v>#NAME?</v>
      </c>
      <c r="N5995" s="118" t="e">
        <f>Tabela6[[#This Row],[KM Rodados ]]/Tabela6[[#This Row],[CONSUMO]]</f>
        <v>#NAME?</v>
      </c>
    </row>
    <row r="5996" spans="1:14" x14ac:dyDescent="0.25">
      <c r="A5996" s="117">
        <v>481998</v>
      </c>
      <c r="B5996" s="78">
        <v>45750</v>
      </c>
      <c r="C5996" s="47" t="s">
        <v>9</v>
      </c>
      <c r="D5996" s="49" t="s">
        <v>253</v>
      </c>
      <c r="E5996" s="117">
        <v>691387</v>
      </c>
      <c r="G5996" s="50" t="s">
        <v>89</v>
      </c>
      <c r="H5996" s="51">
        <v>197.45</v>
      </c>
      <c r="J5996" s="51">
        <v>6.39</v>
      </c>
      <c r="K5996" s="74">
        <f>Tabela6[[#This Row],[CONSUMO]]*Tabela6[[#This Row],[VALOR UNIT]]-Tabela6[[#This Row],[DESCONTO]]</f>
        <v>1261.7054999999998</v>
      </c>
      <c r="L5996" s="53">
        <f>Tabela6[[#This Row],[CUSTO TOTAL]]/Tabela6[[#This Row],[CONSUMO]]</f>
        <v>6.39</v>
      </c>
      <c r="M5996" s="53" t="e">
        <f t="array" ref="M5996">SE</f>
        <v>#NAME?</v>
      </c>
      <c r="N5996" s="118" t="e">
        <f>Tabela6[[#This Row],[KM Rodados ]]/Tabela6[[#This Row],[CONSUMO]]</f>
        <v>#NAME?</v>
      </c>
    </row>
    <row r="5997" spans="1:14" x14ac:dyDescent="0.25">
      <c r="A5997" s="117">
        <v>93283</v>
      </c>
      <c r="B5997" s="78">
        <v>45750</v>
      </c>
      <c r="C5997" s="47" t="s">
        <v>615</v>
      </c>
      <c r="D5997" s="49" t="s">
        <v>332</v>
      </c>
      <c r="E5997" s="117">
        <v>19174</v>
      </c>
      <c r="G5997" s="50" t="s">
        <v>89</v>
      </c>
      <c r="H5997" s="51">
        <v>473.00400000000002</v>
      </c>
      <c r="J5997" s="51">
        <v>5.79</v>
      </c>
      <c r="K5997" s="74">
        <f>Tabela6[[#This Row],[CONSUMO]]*Tabela6[[#This Row],[VALOR UNIT]]-Tabela6[[#This Row],[DESCONTO]]</f>
        <v>2738.6931600000003</v>
      </c>
      <c r="L5997" s="53">
        <f>Tabela6[[#This Row],[CUSTO TOTAL]]/Tabela6[[#This Row],[CONSUMO]]</f>
        <v>5.79</v>
      </c>
      <c r="M5997" s="53" t="e">
        <f t="array" ref="M5997">SE</f>
        <v>#NAME?</v>
      </c>
      <c r="N5997" s="118" t="e">
        <f>Tabela6[[#This Row],[KM Rodados ]]/Tabela6[[#This Row],[CONSUMO]]</f>
        <v>#NAME?</v>
      </c>
    </row>
    <row r="5998" spans="1:14" x14ac:dyDescent="0.25">
      <c r="A5998" s="117">
        <v>16252</v>
      </c>
      <c r="B5998" s="78">
        <v>45750</v>
      </c>
      <c r="C5998" s="47" t="s">
        <v>203</v>
      </c>
      <c r="D5998" s="49" t="s">
        <v>256</v>
      </c>
      <c r="E5998" s="117">
        <v>212618</v>
      </c>
      <c r="G5998" s="50" t="s">
        <v>244</v>
      </c>
      <c r="H5998" s="51">
        <v>45.27</v>
      </c>
      <c r="J5998" s="51">
        <v>5.99</v>
      </c>
      <c r="K5998" s="74">
        <f>Tabela6[[#This Row],[CONSUMO]]*Tabela6[[#This Row],[VALOR UNIT]]-Tabela6[[#This Row],[DESCONTO]]</f>
        <v>271.16730000000001</v>
      </c>
      <c r="L5998" s="53">
        <f>Tabela6[[#This Row],[CUSTO TOTAL]]/Tabela6[[#This Row],[CONSUMO]]</f>
        <v>5.99</v>
      </c>
      <c r="M5998" s="53" t="e">
        <f t="array" ref="M5998">SE</f>
        <v>#NAME?</v>
      </c>
      <c r="N5998" s="118" t="e">
        <f>Tabela6[[#This Row],[KM Rodados ]]/Tabela6[[#This Row],[CONSUMO]]</f>
        <v>#NAME?</v>
      </c>
    </row>
    <row r="5999" spans="1:14" x14ac:dyDescent="0.25">
      <c r="A5999" s="117">
        <v>342573</v>
      </c>
      <c r="B5999" s="78">
        <v>45750</v>
      </c>
      <c r="C5999" s="47" t="s">
        <v>446</v>
      </c>
      <c r="D5999" s="49" t="s">
        <v>262</v>
      </c>
      <c r="E5999" s="117">
        <v>98605</v>
      </c>
      <c r="G5999" s="50" t="s">
        <v>241</v>
      </c>
      <c r="H5999" s="51">
        <v>30.497</v>
      </c>
      <c r="J5999" s="51">
        <v>3.33</v>
      </c>
      <c r="K5999" s="74">
        <f>Tabela6[[#This Row],[CONSUMO]]*Tabela6[[#This Row],[VALOR UNIT]]-Tabela6[[#This Row],[DESCONTO]]</f>
        <v>101.55501</v>
      </c>
      <c r="L5999" s="53">
        <f>Tabela6[[#This Row],[CUSTO TOTAL]]/Tabela6[[#This Row],[CONSUMO]]</f>
        <v>3.33</v>
      </c>
      <c r="M5999" s="53" t="e">
        <f t="array" ref="M5999">SE</f>
        <v>#NAME?</v>
      </c>
      <c r="N5999" s="118" t="e">
        <f>Tabela6[[#This Row],[KM Rodados ]]/Tabela6[[#This Row],[CONSUMO]]</f>
        <v>#NAME?</v>
      </c>
    </row>
    <row r="6000" spans="1:14" x14ac:dyDescent="0.25">
      <c r="A6000" s="117">
        <v>410593</v>
      </c>
      <c r="B6000" s="78">
        <v>45750</v>
      </c>
      <c r="C6000" s="47" t="s">
        <v>315</v>
      </c>
      <c r="D6000" s="49" t="s">
        <v>300</v>
      </c>
      <c r="E6000" s="117">
        <v>69389</v>
      </c>
      <c r="G6000" s="50" t="s">
        <v>89</v>
      </c>
      <c r="H6000" s="51">
        <v>62.03</v>
      </c>
      <c r="J6000" s="51">
        <v>6.09</v>
      </c>
      <c r="K6000" s="74">
        <f>Tabela6[[#This Row],[CONSUMO]]*Tabela6[[#This Row],[VALOR UNIT]]-Tabela6[[#This Row],[DESCONTO]]</f>
        <v>377.7627</v>
      </c>
      <c r="L6000" s="53">
        <f>Tabela6[[#This Row],[CUSTO TOTAL]]/Tabela6[[#This Row],[CONSUMO]]</f>
        <v>6.09</v>
      </c>
      <c r="M6000" s="53" t="e">
        <f t="array" ref="M6000">SE</f>
        <v>#NAME?</v>
      </c>
      <c r="N6000" s="118" t="e">
        <f>Tabela6[[#This Row],[KM Rodados ]]/Tabela6[[#This Row],[CONSUMO]]</f>
        <v>#NAME?</v>
      </c>
    </row>
    <row r="6001" spans="1:14" x14ac:dyDescent="0.25">
      <c r="A6001" s="117">
        <v>410595</v>
      </c>
      <c r="B6001" s="78">
        <v>45750</v>
      </c>
      <c r="C6001" s="47" t="s">
        <v>72</v>
      </c>
      <c r="D6001" s="49" t="s">
        <v>300</v>
      </c>
      <c r="E6001" s="117">
        <v>507857</v>
      </c>
      <c r="G6001" s="50" t="s">
        <v>89</v>
      </c>
      <c r="H6001" s="51">
        <v>44.13</v>
      </c>
      <c r="J6001" s="51">
        <v>6.09</v>
      </c>
      <c r="K6001" s="74">
        <f>Tabela6[[#This Row],[CONSUMO]]*Tabela6[[#This Row],[VALOR UNIT]]-Tabela6[[#This Row],[DESCONTO]]</f>
        <v>268.75170000000003</v>
      </c>
      <c r="L6001" s="53">
        <f>Tabela6[[#This Row],[CUSTO TOTAL]]/Tabela6[[#This Row],[CONSUMO]]</f>
        <v>6.09</v>
      </c>
      <c r="M6001" s="53" t="e">
        <f t="array" ref="M6001">SE</f>
        <v>#NAME?</v>
      </c>
      <c r="N6001" s="118" t="e">
        <f>Tabela6[[#This Row],[KM Rodados ]]/Tabela6[[#This Row],[CONSUMO]]</f>
        <v>#NAME?</v>
      </c>
    </row>
    <row r="6002" spans="1:14" x14ac:dyDescent="0.25">
      <c r="A6002" s="117">
        <v>482622</v>
      </c>
      <c r="B6002" s="78">
        <v>45751</v>
      </c>
      <c r="C6002" s="47" t="s">
        <v>11</v>
      </c>
      <c r="D6002" s="49" t="s">
        <v>253</v>
      </c>
      <c r="E6002" s="117"/>
      <c r="G6002" s="50" t="s">
        <v>244</v>
      </c>
      <c r="H6002" s="51">
        <v>15.409000000000001</v>
      </c>
      <c r="J6002" s="51">
        <v>6.39</v>
      </c>
      <c r="K6002" s="74">
        <f>Tabela6[[#This Row],[CONSUMO]]*Tabela6[[#This Row],[VALOR UNIT]]-Tabela6[[#This Row],[DESCONTO]]</f>
        <v>98.463509999999999</v>
      </c>
      <c r="L6002" s="53">
        <f>Tabela6[[#This Row],[CUSTO TOTAL]]/Tabela6[[#This Row],[CONSUMO]]</f>
        <v>6.39</v>
      </c>
      <c r="M6002" s="53" t="e">
        <f t="array" ref="M6002">SE</f>
        <v>#NAME?</v>
      </c>
      <c r="N6002" s="118" t="e">
        <f>Tabela6[[#This Row],[KM Rodados ]]/Tabela6[[#This Row],[CONSUMO]]</f>
        <v>#NAME?</v>
      </c>
    </row>
    <row r="6003" spans="1:14" x14ac:dyDescent="0.25">
      <c r="A6003" s="117" t="s">
        <v>667</v>
      </c>
      <c r="B6003" s="78">
        <v>45751</v>
      </c>
      <c r="C6003" s="47" t="s">
        <v>73</v>
      </c>
      <c r="D6003" s="49" t="s">
        <v>268</v>
      </c>
      <c r="E6003" s="117">
        <v>263451</v>
      </c>
      <c r="G6003" s="50" t="s">
        <v>241</v>
      </c>
      <c r="H6003" s="51">
        <v>25.292000000000002</v>
      </c>
      <c r="J6003" s="51">
        <v>3.19</v>
      </c>
      <c r="K6003" s="74">
        <f>Tabela6[[#This Row],[CONSUMO]]*Tabela6[[#This Row],[VALOR UNIT]]-Tabela6[[#This Row],[DESCONTO]]</f>
        <v>80.681480000000008</v>
      </c>
      <c r="L6003" s="53">
        <f>Tabela6[[#This Row],[CUSTO TOTAL]]/Tabela6[[#This Row],[CONSUMO]]</f>
        <v>3.19</v>
      </c>
      <c r="M6003" s="53" t="e">
        <f t="array" ref="M6003">SE</f>
        <v>#NAME?</v>
      </c>
      <c r="N6003" s="118" t="e">
        <f>Tabela6[[#This Row],[KM Rodados ]]/Tabela6[[#This Row],[CONSUMO]]</f>
        <v>#NAME?</v>
      </c>
    </row>
    <row r="6004" spans="1:14" x14ac:dyDescent="0.25">
      <c r="A6004" s="117">
        <v>411337</v>
      </c>
      <c r="B6004" s="78">
        <v>45751</v>
      </c>
      <c r="C6004" s="47" t="s">
        <v>23</v>
      </c>
      <c r="D6004" s="49" t="s">
        <v>300</v>
      </c>
      <c r="E6004" s="117">
        <v>331187</v>
      </c>
      <c r="G6004" s="50" t="s">
        <v>89</v>
      </c>
      <c r="H6004" s="51">
        <v>137.37</v>
      </c>
      <c r="J6004" s="51">
        <v>6.09</v>
      </c>
      <c r="K6004" s="74">
        <f>Tabela6[[#This Row],[CONSUMO]]*Tabela6[[#This Row],[VALOR UNIT]]-Tabela6[[#This Row],[DESCONTO]]</f>
        <v>836.58330000000001</v>
      </c>
      <c r="L6004" s="53">
        <f>Tabela6[[#This Row],[CUSTO TOTAL]]/Tabela6[[#This Row],[CONSUMO]]</f>
        <v>6.09</v>
      </c>
      <c r="M6004" s="53" t="e">
        <f t="array" ref="M6004">SE</f>
        <v>#NAME?</v>
      </c>
      <c r="N6004" s="118" t="e">
        <f>Tabela6[[#This Row],[KM Rodados ]]/Tabela6[[#This Row],[CONSUMO]]</f>
        <v>#NAME?</v>
      </c>
    </row>
    <row r="6005" spans="1:14" x14ac:dyDescent="0.25">
      <c r="A6005" s="117">
        <v>23613</v>
      </c>
      <c r="B6005" s="78">
        <v>45751</v>
      </c>
      <c r="C6005" s="47" t="s">
        <v>401</v>
      </c>
      <c r="D6005" s="49" t="s">
        <v>247</v>
      </c>
      <c r="E6005" s="117">
        <v>99392</v>
      </c>
      <c r="G6005" s="50" t="s">
        <v>89</v>
      </c>
      <c r="H6005" s="51">
        <v>62.01</v>
      </c>
      <c r="J6005" s="51">
        <v>6.45</v>
      </c>
      <c r="K6005" s="74">
        <f>Tabela6[[#This Row],[CONSUMO]]*Tabela6[[#This Row],[VALOR UNIT]]-Tabela6[[#This Row],[DESCONTO]]</f>
        <v>399.96449999999999</v>
      </c>
      <c r="L6005" s="53">
        <f>Tabela6[[#This Row],[CUSTO TOTAL]]/Tabela6[[#This Row],[CONSUMO]]</f>
        <v>6.45</v>
      </c>
      <c r="M6005" s="53" t="e">
        <f t="array" ref="M6005">SE</f>
        <v>#NAME?</v>
      </c>
      <c r="N6005" s="118" t="e">
        <f>Tabela6[[#This Row],[KM Rodados ]]/Tabela6[[#This Row],[CONSUMO]]</f>
        <v>#NAME?</v>
      </c>
    </row>
    <row r="6006" spans="1:14" x14ac:dyDescent="0.25">
      <c r="A6006" s="117">
        <v>23616</v>
      </c>
      <c r="B6006" s="78">
        <v>45751</v>
      </c>
      <c r="C6006" s="47" t="s">
        <v>401</v>
      </c>
      <c r="D6006" s="49" t="s">
        <v>247</v>
      </c>
      <c r="E6006" s="117">
        <v>99392</v>
      </c>
      <c r="G6006" s="50" t="s">
        <v>241</v>
      </c>
      <c r="H6006" s="51">
        <v>25</v>
      </c>
      <c r="J6006" s="51">
        <v>3.09</v>
      </c>
      <c r="K6006" s="74">
        <f>Tabela6[[#This Row],[CONSUMO]]*Tabela6[[#This Row],[VALOR UNIT]]-Tabela6[[#This Row],[DESCONTO]]</f>
        <v>77.25</v>
      </c>
      <c r="L6006" s="53">
        <f>Tabela6[[#This Row],[CUSTO TOTAL]]/Tabela6[[#This Row],[CONSUMO]]</f>
        <v>3.09</v>
      </c>
      <c r="M6006" s="53" t="e">
        <f t="array" ref="M6006">SE</f>
        <v>#NAME?</v>
      </c>
      <c r="N6006" s="118" t="e">
        <f>Tabela6[[#This Row],[KM Rodados ]]/Tabela6[[#This Row],[CONSUMO]]</f>
        <v>#NAME?</v>
      </c>
    </row>
    <row r="6007" spans="1:14" x14ac:dyDescent="0.25">
      <c r="A6007" s="117">
        <v>60586</v>
      </c>
      <c r="B6007" s="78">
        <v>45751</v>
      </c>
      <c r="C6007" s="47" t="s">
        <v>38</v>
      </c>
      <c r="D6007" s="49" t="s">
        <v>255</v>
      </c>
      <c r="E6007" s="117">
        <v>165940</v>
      </c>
      <c r="G6007" s="50" t="s">
        <v>244</v>
      </c>
      <c r="H6007" s="51">
        <v>50.7</v>
      </c>
      <c r="J6007" s="51">
        <v>6.09</v>
      </c>
      <c r="K6007" s="74">
        <f>Tabela6[[#This Row],[CONSUMO]]*Tabela6[[#This Row],[VALOR UNIT]]-Tabela6[[#This Row],[DESCONTO]]</f>
        <v>308.76300000000003</v>
      </c>
      <c r="L6007" s="53">
        <f>Tabela6[[#This Row],[CUSTO TOTAL]]/Tabela6[[#This Row],[CONSUMO]]</f>
        <v>6.0900000000000007</v>
      </c>
      <c r="M6007" s="53" t="e">
        <f t="array" ref="M6007">SE</f>
        <v>#NAME?</v>
      </c>
      <c r="N6007" s="118" t="e">
        <f>Tabela6[[#This Row],[KM Rodados ]]/Tabela6[[#This Row],[CONSUMO]]</f>
        <v>#NAME?</v>
      </c>
    </row>
    <row r="6008" spans="1:14" x14ac:dyDescent="0.25">
      <c r="A6008" s="117">
        <v>498380</v>
      </c>
      <c r="B6008" s="78">
        <v>45751</v>
      </c>
      <c r="C6008" s="47" t="s">
        <v>72</v>
      </c>
      <c r="D6008" s="49" t="s">
        <v>276</v>
      </c>
      <c r="E6008" s="117">
        <v>508061</v>
      </c>
      <c r="G6008" s="50" t="s">
        <v>244</v>
      </c>
      <c r="H6008" s="51">
        <v>36.729999999999997</v>
      </c>
      <c r="J6008" s="51">
        <v>6.19</v>
      </c>
      <c r="K6008" s="74">
        <f>Tabela6[[#This Row],[CONSUMO]]*Tabela6[[#This Row],[VALOR UNIT]]-Tabela6[[#This Row],[DESCONTO]]</f>
        <v>227.3587</v>
      </c>
      <c r="L6008" s="53">
        <f>Tabela6[[#This Row],[CUSTO TOTAL]]/Tabela6[[#This Row],[CONSUMO]]</f>
        <v>6.19</v>
      </c>
      <c r="M6008" s="53" t="e">
        <f t="array" ref="M6008">SE</f>
        <v>#NAME?</v>
      </c>
      <c r="N6008" s="118" t="e">
        <f>Tabela6[[#This Row],[KM Rodados ]]/Tabela6[[#This Row],[CONSUMO]]</f>
        <v>#NAME?</v>
      </c>
    </row>
    <row r="6009" spans="1:14" x14ac:dyDescent="0.25">
      <c r="A6009" s="117">
        <v>342646</v>
      </c>
      <c r="B6009" s="78">
        <v>45751</v>
      </c>
      <c r="C6009" s="47" t="s">
        <v>43</v>
      </c>
      <c r="D6009" s="49" t="s">
        <v>262</v>
      </c>
      <c r="E6009" s="117">
        <v>241387</v>
      </c>
      <c r="G6009" s="50" t="s">
        <v>89</v>
      </c>
      <c r="H6009" s="51">
        <v>13.56</v>
      </c>
      <c r="J6009" s="51">
        <v>6.2897999999999996</v>
      </c>
      <c r="K6009" s="74">
        <f>Tabela6[[#This Row],[CONSUMO]]*Tabela6[[#This Row],[VALOR UNIT]]-Tabela6[[#This Row],[DESCONTO]]</f>
        <v>85.289687999999998</v>
      </c>
      <c r="L6009" s="53">
        <f>Tabela6[[#This Row],[CUSTO TOTAL]]/Tabela6[[#This Row],[CONSUMO]]</f>
        <v>6.2897999999999996</v>
      </c>
      <c r="M6009" s="53" t="e">
        <f t="array" ref="M6009">SE</f>
        <v>#NAME?</v>
      </c>
      <c r="N6009" s="118" t="e">
        <f>Tabela6[[#This Row],[KM Rodados ]]/Tabela6[[#This Row],[CONSUMO]]</f>
        <v>#NAME?</v>
      </c>
    </row>
    <row r="6010" spans="1:14" x14ac:dyDescent="0.25">
      <c r="A6010" s="117">
        <v>31230</v>
      </c>
      <c r="B6010" s="78">
        <v>45752</v>
      </c>
      <c r="C6010" s="47" t="s">
        <v>564</v>
      </c>
      <c r="D6010" s="49" t="s">
        <v>275</v>
      </c>
      <c r="E6010" s="117">
        <v>72751</v>
      </c>
      <c r="G6010" s="50" t="s">
        <v>89</v>
      </c>
      <c r="H6010" s="51">
        <v>400</v>
      </c>
      <c r="J6010" s="51">
        <v>6.14</v>
      </c>
      <c r="K6010" s="74">
        <f>Tabela6[[#This Row],[CONSUMO]]*Tabela6[[#This Row],[VALOR UNIT]]-Tabela6[[#This Row],[DESCONTO]]</f>
        <v>2456</v>
      </c>
      <c r="L6010" s="53">
        <f>Tabela6[[#This Row],[CUSTO TOTAL]]/Tabela6[[#This Row],[CONSUMO]]</f>
        <v>6.14</v>
      </c>
      <c r="M6010" s="53" t="e">
        <f t="array" ref="M6010">SE</f>
        <v>#NAME?</v>
      </c>
      <c r="N6010" s="118" t="e">
        <f>Tabela6[[#This Row],[KM Rodados ]]/Tabela6[[#This Row],[CONSUMO]]</f>
        <v>#NAME?</v>
      </c>
    </row>
    <row r="6011" spans="1:14" x14ac:dyDescent="0.25">
      <c r="A6011" s="117">
        <v>369418</v>
      </c>
      <c r="B6011" s="78">
        <v>45752</v>
      </c>
      <c r="C6011" s="47" t="s">
        <v>615</v>
      </c>
      <c r="D6011" s="49" t="s">
        <v>374</v>
      </c>
      <c r="E6011" s="117">
        <v>20273</v>
      </c>
      <c r="G6011" s="50" t="s">
        <v>89</v>
      </c>
      <c r="H6011" s="51">
        <v>414.68</v>
      </c>
      <c r="J6011" s="51">
        <v>6.09</v>
      </c>
      <c r="K6011" s="74">
        <f>Tabela6[[#This Row],[CONSUMO]]*Tabela6[[#This Row],[VALOR UNIT]]-Tabela6[[#This Row],[DESCONTO]]</f>
        <v>2525.4011999999998</v>
      </c>
      <c r="L6011" s="53">
        <f>Tabela6[[#This Row],[CUSTO TOTAL]]/Tabela6[[#This Row],[CONSUMO]]</f>
        <v>6.089999999999999</v>
      </c>
      <c r="M6011" s="53" t="e">
        <f t="array" ref="M6011">SE</f>
        <v>#NAME?</v>
      </c>
      <c r="N6011" s="118" t="e">
        <f>Tabela6[[#This Row],[KM Rodados ]]/Tabela6[[#This Row],[CONSUMO]]</f>
        <v>#NAME?</v>
      </c>
    </row>
    <row r="6012" spans="1:14" x14ac:dyDescent="0.25">
      <c r="A6012" s="117">
        <v>369419</v>
      </c>
      <c r="B6012" s="78">
        <v>45752</v>
      </c>
      <c r="C6012" s="47" t="s">
        <v>615</v>
      </c>
      <c r="D6012" s="49" t="s">
        <v>374</v>
      </c>
      <c r="E6012" s="117">
        <v>25254</v>
      </c>
      <c r="G6012" s="50" t="s">
        <v>241</v>
      </c>
      <c r="H6012" s="51">
        <v>41.69</v>
      </c>
      <c r="J6012" s="51">
        <v>3.19</v>
      </c>
      <c r="K6012" s="74">
        <f>Tabela6[[#This Row],[CONSUMO]]*Tabela6[[#This Row],[VALOR UNIT]]-Tabela6[[#This Row],[DESCONTO]]</f>
        <v>132.99109999999999</v>
      </c>
      <c r="L6012" s="53">
        <f>Tabela6[[#This Row],[CUSTO TOTAL]]/Tabela6[[#This Row],[CONSUMO]]</f>
        <v>3.19</v>
      </c>
      <c r="M6012" s="53" t="e">
        <f t="array" ref="M6012">SE</f>
        <v>#NAME?</v>
      </c>
      <c r="N6012" s="118" t="e">
        <f>Tabela6[[#This Row],[KM Rodados ]]/Tabela6[[#This Row],[CONSUMO]]</f>
        <v>#NAME?</v>
      </c>
    </row>
    <row r="6013" spans="1:14" x14ac:dyDescent="0.25">
      <c r="A6013" s="124">
        <v>342938</v>
      </c>
      <c r="B6013" s="78">
        <v>45752</v>
      </c>
      <c r="C6013" s="47" t="s">
        <v>222</v>
      </c>
      <c r="D6013" s="49" t="s">
        <v>262</v>
      </c>
      <c r="E6013" s="117">
        <v>664669</v>
      </c>
      <c r="G6013" s="50" t="s">
        <v>241</v>
      </c>
      <c r="H6013" s="51">
        <v>40.073</v>
      </c>
      <c r="J6013" s="51">
        <v>3.3298999999999999</v>
      </c>
      <c r="K6013" s="74">
        <f>Tabela6[[#This Row],[CONSUMO]]*Tabela6[[#This Row],[VALOR UNIT]]-Tabela6[[#This Row],[DESCONTO]]</f>
        <v>133.4390827</v>
      </c>
      <c r="L6013" s="53">
        <f>Tabela6[[#This Row],[CUSTO TOTAL]]/Tabela6[[#This Row],[CONSUMO]]</f>
        <v>3.3298999999999999</v>
      </c>
      <c r="M6013" s="53" t="e">
        <f t="array" ref="M6013">SE</f>
        <v>#NAME?</v>
      </c>
      <c r="N6013" s="118" t="e">
        <f>Tabela6[[#This Row],[KM Rodados ]]/Tabela6[[#This Row],[CONSUMO]]</f>
        <v>#NAME?</v>
      </c>
    </row>
    <row r="6014" spans="1:14" x14ac:dyDescent="0.25">
      <c r="A6014" s="117" t="s">
        <v>668</v>
      </c>
      <c r="B6014" s="78">
        <v>45753</v>
      </c>
      <c r="C6014" s="47" t="s">
        <v>564</v>
      </c>
      <c r="D6014" s="49" t="s">
        <v>279</v>
      </c>
      <c r="E6014" s="117">
        <v>73718</v>
      </c>
      <c r="G6014" s="50" t="s">
        <v>89</v>
      </c>
      <c r="H6014" s="51">
        <v>300</v>
      </c>
      <c r="J6014" s="51">
        <v>5.99</v>
      </c>
      <c r="K6014" s="74">
        <f>Tabela6[[#This Row],[CONSUMO]]*Tabela6[[#This Row],[VALOR UNIT]]-Tabela6[[#This Row],[DESCONTO]]</f>
        <v>1797</v>
      </c>
      <c r="L6014" s="53">
        <f>Tabela6[[#This Row],[CUSTO TOTAL]]/Tabela6[[#This Row],[CONSUMO]]</f>
        <v>5.99</v>
      </c>
      <c r="M6014" s="53" t="e">
        <f t="array" ref="M6014">SE</f>
        <v>#NAME?</v>
      </c>
      <c r="N6014" s="118" t="e">
        <f>Tabela6[[#This Row],[KM Rodados ]]/Tabela6[[#This Row],[CONSUMO]]</f>
        <v>#NAME?</v>
      </c>
    </row>
    <row r="6015" spans="1:14" x14ac:dyDescent="0.25">
      <c r="A6015" s="47">
        <v>77686</v>
      </c>
      <c r="B6015" s="78">
        <v>45753</v>
      </c>
      <c r="C6015" s="47" t="s">
        <v>10</v>
      </c>
      <c r="D6015" s="49" t="s">
        <v>252</v>
      </c>
      <c r="E6015" s="117">
        <v>827067</v>
      </c>
      <c r="G6015" s="50" t="s">
        <v>89</v>
      </c>
      <c r="H6015" s="51">
        <v>152</v>
      </c>
      <c r="J6015" s="51">
        <v>6.57</v>
      </c>
      <c r="K6015" s="74">
        <f>Tabela6[[#This Row],[CONSUMO]]*Tabela6[[#This Row],[VALOR UNIT]]-Tabela6[[#This Row],[DESCONTO]]</f>
        <v>998.6400000000001</v>
      </c>
      <c r="L6015" s="53">
        <f>Tabela6[[#This Row],[CUSTO TOTAL]]/Tabela6[[#This Row],[CONSUMO]]</f>
        <v>6.57</v>
      </c>
      <c r="M6015" s="53" t="e">
        <f t="array" ref="M6015">SE</f>
        <v>#NAME?</v>
      </c>
      <c r="N6015" s="118" t="e">
        <f>Tabela6[[#This Row],[KM Rodados ]]/Tabela6[[#This Row],[CONSUMO]]</f>
        <v>#NAME?</v>
      </c>
    </row>
    <row r="6016" spans="1:14" x14ac:dyDescent="0.25">
      <c r="A6016" s="117">
        <v>342397</v>
      </c>
      <c r="B6016" s="78">
        <v>45754</v>
      </c>
      <c r="C6016" s="47" t="s">
        <v>354</v>
      </c>
      <c r="D6016" s="49" t="s">
        <v>262</v>
      </c>
      <c r="E6016" s="117">
        <v>99321</v>
      </c>
      <c r="G6016" s="50" t="s">
        <v>241</v>
      </c>
      <c r="H6016" s="51">
        <v>19.524000000000001</v>
      </c>
      <c r="J6016" s="51">
        <v>3.3296999999999999</v>
      </c>
      <c r="K6016" s="74">
        <f>Tabela6[[#This Row],[CONSUMO]]*Tabela6[[#This Row],[VALOR UNIT]]-Tabela6[[#This Row],[DESCONTO]]</f>
        <v>65.009062799999995</v>
      </c>
      <c r="L6016" s="53">
        <f>Tabela6[[#This Row],[CUSTO TOTAL]]/Tabela6[[#This Row],[CONSUMO]]</f>
        <v>3.3296999999999994</v>
      </c>
      <c r="M6016" s="53" t="e">
        <f t="array" ref="M6016">SE</f>
        <v>#NAME?</v>
      </c>
      <c r="N6016" s="118" t="e">
        <f>Tabela6[[#This Row],[KM Rodados ]]/Tabela6[[#This Row],[CONSUMO]]</f>
        <v>#NAME?</v>
      </c>
    </row>
    <row r="6017" spans="1:14" x14ac:dyDescent="0.25">
      <c r="A6017" s="117">
        <v>343399</v>
      </c>
      <c r="B6017" s="78">
        <v>45754</v>
      </c>
      <c r="C6017" s="47" t="s">
        <v>19</v>
      </c>
      <c r="D6017" s="49" t="s">
        <v>262</v>
      </c>
      <c r="E6017" s="117"/>
      <c r="G6017" s="50" t="s">
        <v>241</v>
      </c>
      <c r="H6017" s="51">
        <v>22.655999999999999</v>
      </c>
      <c r="J6017" s="51">
        <v>3.32</v>
      </c>
      <c r="K6017" s="74">
        <f>Tabela6[[#This Row],[CONSUMO]]*Tabela6[[#This Row],[VALOR UNIT]]-Tabela6[[#This Row],[DESCONTO]]</f>
        <v>75.217919999999992</v>
      </c>
      <c r="L6017" s="53">
        <f>Tabela6[[#This Row],[CUSTO TOTAL]]/Tabela6[[#This Row],[CONSUMO]]</f>
        <v>3.32</v>
      </c>
      <c r="M6017" s="53" t="e">
        <f t="array" ref="M6017">SE</f>
        <v>#NAME?</v>
      </c>
      <c r="N6017" s="118" t="e">
        <f>Tabela6[[#This Row],[KM Rodados ]]/Tabela6[[#This Row],[CONSUMO]]</f>
        <v>#NAME?</v>
      </c>
    </row>
    <row r="6018" spans="1:14" x14ac:dyDescent="0.25">
      <c r="A6018" s="117">
        <v>343387</v>
      </c>
      <c r="B6018" s="78">
        <v>45754</v>
      </c>
      <c r="C6018" s="47" t="s">
        <v>43</v>
      </c>
      <c r="D6018" s="49" t="s">
        <v>262</v>
      </c>
      <c r="E6018" s="117">
        <v>241928</v>
      </c>
      <c r="G6018" s="50" t="s">
        <v>89</v>
      </c>
      <c r="H6018" s="51">
        <v>18.97</v>
      </c>
      <c r="J6018" s="51">
        <v>6.2899000000000003</v>
      </c>
      <c r="K6018" s="74">
        <f>Tabela6[[#This Row],[CONSUMO]]*Tabela6[[#This Row],[VALOR UNIT]]-Tabela6[[#This Row],[DESCONTO]]</f>
        <v>119.31940299999999</v>
      </c>
      <c r="L6018" s="53">
        <f>Tabela6[[#This Row],[CUSTO TOTAL]]/Tabela6[[#This Row],[CONSUMO]]</f>
        <v>6.2899000000000003</v>
      </c>
      <c r="M6018" s="53" t="e">
        <f t="array" ref="M6018">SE</f>
        <v>#NAME?</v>
      </c>
      <c r="N6018" s="118" t="e">
        <f>Tabela6[[#This Row],[KM Rodados ]]/Tabela6[[#This Row],[CONSUMO]]</f>
        <v>#NAME?</v>
      </c>
    </row>
    <row r="6019" spans="1:14" x14ac:dyDescent="0.25">
      <c r="A6019" s="117">
        <v>484702</v>
      </c>
      <c r="B6019" s="78">
        <v>45754</v>
      </c>
      <c r="C6019" s="47" t="s">
        <v>20</v>
      </c>
      <c r="D6019" s="49" t="s">
        <v>253</v>
      </c>
      <c r="E6019" s="117">
        <v>347475</v>
      </c>
      <c r="G6019" s="50" t="s">
        <v>89</v>
      </c>
      <c r="H6019" s="51">
        <v>43.26</v>
      </c>
      <c r="J6019" s="51">
        <v>6.39</v>
      </c>
      <c r="K6019" s="74">
        <f>Tabela6[[#This Row],[CONSUMO]]*Tabela6[[#This Row],[VALOR UNIT]]-Tabela6[[#This Row],[DESCONTO]]</f>
        <v>276.4314</v>
      </c>
      <c r="L6019" s="53">
        <f>Tabela6[[#This Row],[CUSTO TOTAL]]/Tabela6[[#This Row],[CONSUMO]]</f>
        <v>6.3900000000000006</v>
      </c>
      <c r="M6019" s="53" t="e">
        <f t="array" ref="M6019">SE</f>
        <v>#NAME?</v>
      </c>
      <c r="N6019" s="118" t="e">
        <f>Tabela6[[#This Row],[KM Rodados ]]/Tabela6[[#This Row],[CONSUMO]]</f>
        <v>#NAME?</v>
      </c>
    </row>
    <row r="6020" spans="1:14" x14ac:dyDescent="0.25">
      <c r="A6020" s="117">
        <v>46061</v>
      </c>
      <c r="B6020" s="78">
        <v>45754</v>
      </c>
      <c r="C6020" s="47" t="s">
        <v>73</v>
      </c>
      <c r="D6020" s="49" t="s">
        <v>599</v>
      </c>
      <c r="E6020" s="117">
        <v>264751</v>
      </c>
      <c r="G6020" s="50" t="s">
        <v>89</v>
      </c>
      <c r="H6020" s="51">
        <v>70</v>
      </c>
      <c r="J6020" s="51">
        <v>6.44</v>
      </c>
      <c r="K6020" s="74">
        <f>Tabela6[[#This Row],[CONSUMO]]*Tabela6[[#This Row],[VALOR UNIT]]-Tabela6[[#This Row],[DESCONTO]]</f>
        <v>450.8</v>
      </c>
      <c r="L6020" s="53">
        <f>Tabela6[[#This Row],[CUSTO TOTAL]]/Tabela6[[#This Row],[CONSUMO]]</f>
        <v>6.44</v>
      </c>
      <c r="M6020" s="53" t="e">
        <f t="array" ref="M6020">SE</f>
        <v>#NAME?</v>
      </c>
      <c r="N6020" s="118" t="e">
        <f>Tabela6[[#This Row],[KM Rodados ]]/Tabela6[[#This Row],[CONSUMO]]</f>
        <v>#NAME?</v>
      </c>
    </row>
    <row r="6021" spans="1:14" x14ac:dyDescent="0.25">
      <c r="A6021" s="117">
        <v>412735</v>
      </c>
      <c r="B6021" s="78">
        <v>45754</v>
      </c>
      <c r="C6021" s="47" t="s">
        <v>43</v>
      </c>
      <c r="D6021" s="49" t="s">
        <v>300</v>
      </c>
      <c r="E6021" s="117">
        <v>242204</v>
      </c>
      <c r="G6021" s="50" t="s">
        <v>89</v>
      </c>
      <c r="H6021" s="51">
        <v>34.540999999999997</v>
      </c>
      <c r="J6021" s="51">
        <v>6.09</v>
      </c>
      <c r="K6021" s="74">
        <f>Tabela6[[#This Row],[CONSUMO]]*Tabela6[[#This Row],[VALOR UNIT]]-Tabela6[[#This Row],[DESCONTO]]</f>
        <v>210.35468999999998</v>
      </c>
      <c r="L6021" s="53">
        <f>Tabela6[[#This Row],[CUSTO TOTAL]]/Tabela6[[#This Row],[CONSUMO]]</f>
        <v>6.09</v>
      </c>
      <c r="M6021" s="53" t="e">
        <f t="array" ref="M6021">SE</f>
        <v>#NAME?</v>
      </c>
      <c r="N6021" s="118" t="e">
        <f>Tabela6[[#This Row],[KM Rodados ]]/Tabela6[[#This Row],[CONSUMO]]</f>
        <v>#NAME?</v>
      </c>
    </row>
    <row r="6022" spans="1:14" x14ac:dyDescent="0.25">
      <c r="A6022" s="117" t="s">
        <v>669</v>
      </c>
      <c r="B6022" s="78">
        <v>45754</v>
      </c>
      <c r="C6022" s="47" t="s">
        <v>70</v>
      </c>
      <c r="D6022" s="49" t="s">
        <v>268</v>
      </c>
      <c r="E6022" s="117">
        <v>360658</v>
      </c>
      <c r="G6022" s="50" t="s">
        <v>241</v>
      </c>
      <c r="H6022" s="51">
        <v>53.040999999999997</v>
      </c>
      <c r="J6022" s="51">
        <v>3.19</v>
      </c>
      <c r="K6022" s="74">
        <f>Tabela6[[#This Row],[CONSUMO]]*Tabela6[[#This Row],[VALOR UNIT]]-Tabela6[[#This Row],[DESCONTO]]</f>
        <v>169.20078999999998</v>
      </c>
      <c r="L6022" s="53">
        <f>Tabela6[[#This Row],[CUSTO TOTAL]]/Tabela6[[#This Row],[CONSUMO]]</f>
        <v>3.19</v>
      </c>
      <c r="M6022" s="53" t="e">
        <f t="array" ref="M6022">SE</f>
        <v>#NAME?</v>
      </c>
      <c r="N6022" s="118" t="e">
        <f>Tabela6[[#This Row],[KM Rodados ]]/Tabela6[[#This Row],[CONSUMO]]</f>
        <v>#NAME?</v>
      </c>
    </row>
    <row r="6023" spans="1:14" x14ac:dyDescent="0.25">
      <c r="A6023" s="117">
        <v>946336</v>
      </c>
      <c r="B6023" s="78">
        <v>45754</v>
      </c>
      <c r="C6023" s="47" t="s">
        <v>72</v>
      </c>
      <c r="D6023" s="49" t="s">
        <v>271</v>
      </c>
      <c r="E6023" s="117">
        <v>508557</v>
      </c>
      <c r="G6023" s="50" t="s">
        <v>89</v>
      </c>
      <c r="H6023" s="51">
        <v>24.47</v>
      </c>
      <c r="J6023" s="51">
        <v>6.09</v>
      </c>
      <c r="K6023" s="74">
        <f>Tabela6[[#This Row],[CONSUMO]]*Tabela6[[#This Row],[VALOR UNIT]]-Tabela6[[#This Row],[DESCONTO]]</f>
        <v>149.0223</v>
      </c>
      <c r="L6023" s="53">
        <f>Tabela6[[#This Row],[CUSTO TOTAL]]/Tabela6[[#This Row],[CONSUMO]]</f>
        <v>6.0900000000000007</v>
      </c>
      <c r="M6023" s="53" t="e">
        <f t="array" ref="M6023">SE</f>
        <v>#NAME?</v>
      </c>
      <c r="N6023" s="118" t="e">
        <f>Tabela6[[#This Row],[KM Rodados ]]/Tabela6[[#This Row],[CONSUMO]]</f>
        <v>#NAME?</v>
      </c>
    </row>
    <row r="6024" spans="1:14" x14ac:dyDescent="0.25">
      <c r="A6024" s="117" t="s">
        <v>670</v>
      </c>
      <c r="B6024" s="78">
        <v>45754</v>
      </c>
      <c r="C6024" s="47" t="s">
        <v>67</v>
      </c>
      <c r="D6024" s="49" t="s">
        <v>268</v>
      </c>
      <c r="E6024" s="117">
        <v>770555</v>
      </c>
      <c r="G6024" s="50" t="s">
        <v>89</v>
      </c>
      <c r="H6024" s="51">
        <v>184.01</v>
      </c>
      <c r="J6024" s="51">
        <v>6.09</v>
      </c>
      <c r="K6024" s="74">
        <f>Tabela6[[#This Row],[CONSUMO]]*Tabela6[[#This Row],[VALOR UNIT]]-Tabela6[[#This Row],[DESCONTO]]</f>
        <v>1120.6208999999999</v>
      </c>
      <c r="L6024" s="53">
        <f>Tabela6[[#This Row],[CUSTO TOTAL]]/Tabela6[[#This Row],[CONSUMO]]</f>
        <v>6.09</v>
      </c>
      <c r="M6024" s="53" t="e">
        <f t="array" ref="M6024">SE</f>
        <v>#NAME?</v>
      </c>
      <c r="N6024" s="118" t="e">
        <f>Tabela6[[#This Row],[KM Rodados ]]/Tabela6[[#This Row],[CONSUMO]]</f>
        <v>#NAME?</v>
      </c>
    </row>
    <row r="6025" spans="1:14" x14ac:dyDescent="0.25">
      <c r="A6025" s="117">
        <v>41029</v>
      </c>
      <c r="B6025" s="78">
        <v>45754</v>
      </c>
      <c r="C6025" s="47" t="s">
        <v>10</v>
      </c>
      <c r="D6025" s="49" t="s">
        <v>252</v>
      </c>
      <c r="E6025" s="117">
        <v>827632</v>
      </c>
      <c r="G6025" s="50" t="s">
        <v>89</v>
      </c>
      <c r="H6025" s="51">
        <v>161</v>
      </c>
      <c r="J6025" s="51">
        <v>6.27</v>
      </c>
      <c r="K6025" s="74">
        <f>Tabela6[[#This Row],[CONSUMO]]*Tabela6[[#This Row],[VALOR UNIT]]-Tabela6[[#This Row],[DESCONTO]]</f>
        <v>1009.4699999999999</v>
      </c>
      <c r="L6025" s="53">
        <f>Tabela6[[#This Row],[CUSTO TOTAL]]/Tabela6[[#This Row],[CONSUMO]]</f>
        <v>6.27</v>
      </c>
      <c r="M6025" s="53" t="e">
        <f t="array" ref="M6025">SE</f>
        <v>#NAME?</v>
      </c>
      <c r="N6025" s="118" t="e">
        <f>Tabela6[[#This Row],[KM Rodados ]]/Tabela6[[#This Row],[CONSUMO]]</f>
        <v>#NAME?</v>
      </c>
    </row>
    <row r="6026" spans="1:14" x14ac:dyDescent="0.25">
      <c r="A6026" s="117">
        <v>61437</v>
      </c>
      <c r="B6026" s="78">
        <v>45754</v>
      </c>
      <c r="C6026" s="47" t="s">
        <v>18</v>
      </c>
      <c r="D6026" s="49" t="s">
        <v>255</v>
      </c>
      <c r="E6026" s="117">
        <v>399129</v>
      </c>
      <c r="G6026" s="50" t="s">
        <v>89</v>
      </c>
      <c r="H6026" s="51">
        <v>87.77</v>
      </c>
      <c r="J6026" s="51">
        <v>6.39</v>
      </c>
      <c r="K6026" s="74">
        <f>Tabela6[[#This Row],[CONSUMO]]*Tabela6[[#This Row],[VALOR UNIT]]-Tabela6[[#This Row],[DESCONTO]]</f>
        <v>560.85029999999995</v>
      </c>
      <c r="L6026" s="53">
        <f>Tabela6[[#This Row],[CUSTO TOTAL]]/Tabela6[[#This Row],[CONSUMO]]</f>
        <v>6.39</v>
      </c>
      <c r="M6026" s="53" t="e">
        <f t="array" ref="M6026">SE</f>
        <v>#NAME?</v>
      </c>
      <c r="N6026" s="118" t="e">
        <f>Tabela6[[#This Row],[KM Rodados ]]/Tabela6[[#This Row],[CONSUMO]]</f>
        <v>#NAME?</v>
      </c>
    </row>
    <row r="6027" spans="1:14" x14ac:dyDescent="0.25">
      <c r="A6027" s="117">
        <v>61596</v>
      </c>
      <c r="B6027" s="78">
        <v>45754</v>
      </c>
      <c r="C6027" s="47" t="s">
        <v>16</v>
      </c>
      <c r="D6027" s="49" t="s">
        <v>255</v>
      </c>
      <c r="E6027" s="117">
        <v>336669</v>
      </c>
      <c r="G6027" s="50" t="s">
        <v>89</v>
      </c>
      <c r="H6027" s="51">
        <v>106.72</v>
      </c>
      <c r="J6027" s="51">
        <v>6.69</v>
      </c>
      <c r="K6027" s="74">
        <f>Tabela6[[#This Row],[CONSUMO]]*Tabela6[[#This Row],[VALOR UNIT]]-Tabela6[[#This Row],[DESCONTO]]</f>
        <v>713.95680000000004</v>
      </c>
      <c r="L6027" s="53">
        <f>Tabela6[[#This Row],[CUSTO TOTAL]]/Tabela6[[#This Row],[CONSUMO]]</f>
        <v>6.69</v>
      </c>
      <c r="M6027" s="53" t="e">
        <f t="array" ref="M6027">SE</f>
        <v>#NAME?</v>
      </c>
      <c r="N6027" s="118" t="e">
        <f>Tabela6[[#This Row],[KM Rodados ]]/Tabela6[[#This Row],[CONSUMO]]</f>
        <v>#NAME?</v>
      </c>
    </row>
    <row r="6028" spans="1:14" x14ac:dyDescent="0.25">
      <c r="A6028" s="117">
        <v>343667</v>
      </c>
      <c r="B6028" s="78">
        <v>45755</v>
      </c>
      <c r="C6028" s="47" t="s">
        <v>40</v>
      </c>
      <c r="D6028" s="49" t="s">
        <v>262</v>
      </c>
      <c r="E6028" s="117">
        <v>251876</v>
      </c>
      <c r="G6028" s="50" t="s">
        <v>244</v>
      </c>
      <c r="H6028" s="51">
        <v>46.460999999999999</v>
      </c>
      <c r="J6028" s="51">
        <v>5.9898999999999996</v>
      </c>
      <c r="K6028" s="74">
        <f>Tabela6[[#This Row],[CONSUMO]]*Tabela6[[#This Row],[VALOR UNIT]]-Tabela6[[#This Row],[DESCONTO]]</f>
        <v>278.29674389999997</v>
      </c>
      <c r="L6028" s="53">
        <f>Tabela6[[#This Row],[CUSTO TOTAL]]/Tabela6[[#This Row],[CONSUMO]]</f>
        <v>5.9898999999999996</v>
      </c>
      <c r="M6028" s="53" t="e">
        <f t="array" ref="M6028">SE</f>
        <v>#NAME?</v>
      </c>
      <c r="N6028" s="118" t="e">
        <f>Tabela6[[#This Row],[KM Rodados ]]/Tabela6[[#This Row],[CONSUMO]]</f>
        <v>#NAME?</v>
      </c>
    </row>
    <row r="6029" spans="1:14" x14ac:dyDescent="0.25">
      <c r="A6029" s="117">
        <v>343695</v>
      </c>
      <c r="B6029" s="78">
        <v>45755</v>
      </c>
      <c r="C6029" s="47" t="s">
        <v>43</v>
      </c>
      <c r="D6029" s="49" t="s">
        <v>262</v>
      </c>
      <c r="E6029" s="117">
        <v>242411</v>
      </c>
      <c r="G6029" s="50" t="s">
        <v>89</v>
      </c>
      <c r="H6029" s="51">
        <v>27.59</v>
      </c>
      <c r="J6029" s="51">
        <v>6.2899000000000003</v>
      </c>
      <c r="K6029" s="74">
        <f>Tabela6[[#This Row],[CONSUMO]]*Tabela6[[#This Row],[VALOR UNIT]]-Tabela6[[#This Row],[DESCONTO]]</f>
        <v>173.538341</v>
      </c>
      <c r="L6029" s="53">
        <f>Tabela6[[#This Row],[CUSTO TOTAL]]/Tabela6[[#This Row],[CONSUMO]]</f>
        <v>6.2899000000000003</v>
      </c>
      <c r="M6029" s="53" t="e">
        <f t="array" ref="M6029">SE</f>
        <v>#NAME?</v>
      </c>
      <c r="N6029" s="118" t="e">
        <f>Tabela6[[#This Row],[KM Rodados ]]/Tabela6[[#This Row],[CONSUMO]]</f>
        <v>#NAME?</v>
      </c>
    </row>
    <row r="6030" spans="1:14" x14ac:dyDescent="0.25">
      <c r="A6030" s="117">
        <v>67060</v>
      </c>
      <c r="B6030" s="78">
        <v>45755</v>
      </c>
      <c r="C6030" s="47" t="s">
        <v>10</v>
      </c>
      <c r="D6030" s="49" t="s">
        <v>252</v>
      </c>
      <c r="E6030" s="117">
        <v>828162</v>
      </c>
      <c r="G6030" s="50" t="s">
        <v>89</v>
      </c>
      <c r="H6030" s="51">
        <v>130</v>
      </c>
      <c r="J6030" s="51">
        <v>6.57</v>
      </c>
      <c r="K6030" s="74">
        <f>Tabela6[[#This Row],[CONSUMO]]*Tabela6[[#This Row],[VALOR UNIT]]-Tabela6[[#This Row],[DESCONTO]]</f>
        <v>854.1</v>
      </c>
      <c r="L6030" s="53">
        <f>Tabela6[[#This Row],[CUSTO TOTAL]]/Tabela6[[#This Row],[CONSUMO]]</f>
        <v>6.57</v>
      </c>
      <c r="M6030" s="53" t="e">
        <f t="array" ref="M6030">SE</f>
        <v>#NAME?</v>
      </c>
      <c r="N6030" s="118" t="e">
        <f>Tabela6[[#This Row],[KM Rodados ]]/Tabela6[[#This Row],[CONSUMO]]</f>
        <v>#NAME?</v>
      </c>
    </row>
    <row r="6031" spans="1:14" x14ac:dyDescent="0.25">
      <c r="A6031" s="117">
        <v>485607</v>
      </c>
      <c r="B6031" s="78">
        <v>45755</v>
      </c>
      <c r="C6031" s="47" t="s">
        <v>12</v>
      </c>
      <c r="D6031" s="49" t="s">
        <v>253</v>
      </c>
      <c r="E6031" s="117">
        <v>358417</v>
      </c>
      <c r="G6031" s="50" t="s">
        <v>89</v>
      </c>
      <c r="H6031" s="51">
        <v>121.92</v>
      </c>
      <c r="J6031" s="51">
        <v>6.39</v>
      </c>
      <c r="K6031" s="74">
        <f>Tabela6[[#This Row],[CONSUMO]]*Tabela6[[#This Row],[VALOR UNIT]]-Tabela6[[#This Row],[DESCONTO]]</f>
        <v>779.06880000000001</v>
      </c>
      <c r="L6031" s="53">
        <f>Tabela6[[#This Row],[CUSTO TOTAL]]/Tabela6[[#This Row],[CONSUMO]]</f>
        <v>6.39</v>
      </c>
      <c r="M6031" s="53" t="e">
        <f t="array" ref="M6031">SE</f>
        <v>#NAME?</v>
      </c>
      <c r="N6031" s="118" t="e">
        <f>Tabela6[[#This Row],[KM Rodados ]]/Tabela6[[#This Row],[CONSUMO]]</f>
        <v>#NAME?</v>
      </c>
    </row>
    <row r="6032" spans="1:14" x14ac:dyDescent="0.25">
      <c r="A6032" s="117" t="s">
        <v>671</v>
      </c>
      <c r="B6032" s="78">
        <v>45755</v>
      </c>
      <c r="C6032" s="47" t="s">
        <v>72</v>
      </c>
      <c r="D6032" s="49" t="s">
        <v>300</v>
      </c>
      <c r="E6032" s="117">
        <v>508988</v>
      </c>
      <c r="G6032" s="50" t="s">
        <v>89</v>
      </c>
      <c r="H6032" s="51">
        <v>48.871000000000002</v>
      </c>
      <c r="J6032" s="51">
        <v>6.09</v>
      </c>
      <c r="K6032" s="74">
        <f>Tabela6[[#This Row],[CONSUMO]]*Tabela6[[#This Row],[VALOR UNIT]]-Tabela6[[#This Row],[DESCONTO]]</f>
        <v>297.62439000000001</v>
      </c>
      <c r="L6032" s="53">
        <f>Tabela6[[#This Row],[CUSTO TOTAL]]/Tabela6[[#This Row],[CONSUMO]]</f>
        <v>6.09</v>
      </c>
      <c r="M6032" s="53" t="e">
        <f t="array" ref="M6032">SE</f>
        <v>#NAME?</v>
      </c>
      <c r="N6032" s="118" t="e">
        <f>Tabela6[[#This Row],[KM Rodados ]]/Tabela6[[#This Row],[CONSUMO]]</f>
        <v>#NAME?</v>
      </c>
    </row>
    <row r="6033" spans="1:14" x14ac:dyDescent="0.25">
      <c r="A6033" s="117">
        <v>47247</v>
      </c>
      <c r="B6033" s="78">
        <v>45755</v>
      </c>
      <c r="C6033" s="47" t="s">
        <v>203</v>
      </c>
      <c r="D6033" s="49" t="s">
        <v>534</v>
      </c>
      <c r="E6033" s="117">
        <v>213118</v>
      </c>
      <c r="G6033" s="50" t="s">
        <v>244</v>
      </c>
      <c r="H6033" s="51">
        <v>40.29</v>
      </c>
      <c r="J6033" s="51">
        <v>6.19</v>
      </c>
      <c r="K6033" s="74">
        <f>Tabela6[[#This Row],[CONSUMO]]*Tabela6[[#This Row],[VALOR UNIT]]-Tabela6[[#This Row],[DESCONTO]]</f>
        <v>249.39510000000001</v>
      </c>
      <c r="L6033" s="53">
        <f>Tabela6[[#This Row],[CUSTO TOTAL]]/Tabela6[[#This Row],[CONSUMO]]</f>
        <v>6.19</v>
      </c>
      <c r="M6033" s="53" t="e">
        <f t="array" ref="M6033">SE</f>
        <v>#NAME?</v>
      </c>
      <c r="N6033" s="118" t="e">
        <f>Tabela6[[#This Row],[KM Rodados ]]/Tabela6[[#This Row],[CONSUMO]]</f>
        <v>#NAME?</v>
      </c>
    </row>
    <row r="6034" spans="1:14" x14ac:dyDescent="0.25">
      <c r="A6034" s="117">
        <v>52106</v>
      </c>
      <c r="B6034" s="78">
        <v>45755</v>
      </c>
      <c r="C6034" s="47" t="s">
        <v>19</v>
      </c>
      <c r="D6034" s="49" t="s">
        <v>626</v>
      </c>
      <c r="E6034" s="117">
        <v>443785</v>
      </c>
      <c r="G6034" s="50" t="s">
        <v>89</v>
      </c>
      <c r="H6034" s="51">
        <v>80.14</v>
      </c>
      <c r="J6034" s="51">
        <v>6.34</v>
      </c>
      <c r="K6034" s="74">
        <f>Tabela6[[#This Row],[CONSUMO]]*Tabela6[[#This Row],[VALOR UNIT]]-Tabela6[[#This Row],[DESCONTO]]</f>
        <v>508.08760000000001</v>
      </c>
      <c r="L6034" s="53">
        <f>Tabela6[[#This Row],[CUSTO TOTAL]]/Tabela6[[#This Row],[CONSUMO]]</f>
        <v>6.34</v>
      </c>
      <c r="M6034" s="53" t="e">
        <f t="array" ref="M6034">SE</f>
        <v>#NAME?</v>
      </c>
      <c r="N6034" s="118" t="e">
        <f>Tabela6[[#This Row],[KM Rodados ]]/Tabela6[[#This Row],[CONSUMO]]</f>
        <v>#NAME?</v>
      </c>
    </row>
    <row r="6035" spans="1:14" x14ac:dyDescent="0.25">
      <c r="A6035" s="117">
        <v>52737</v>
      </c>
      <c r="B6035" s="78">
        <v>45755</v>
      </c>
      <c r="C6035" s="47" t="s">
        <v>401</v>
      </c>
      <c r="D6035" s="49" t="s">
        <v>627</v>
      </c>
      <c r="E6035" s="117">
        <v>100559</v>
      </c>
      <c r="G6035" s="50" t="s">
        <v>89</v>
      </c>
      <c r="H6035" s="51">
        <v>83.47</v>
      </c>
      <c r="J6035" s="51">
        <v>6.77</v>
      </c>
      <c r="K6035" s="74">
        <f>Tabela6[[#This Row],[CONSUMO]]*Tabela6[[#This Row],[VALOR UNIT]]-Tabela6[[#This Row],[DESCONTO]]</f>
        <v>565.09190000000001</v>
      </c>
      <c r="L6035" s="53">
        <f>Tabela6[[#This Row],[CUSTO TOTAL]]/Tabela6[[#This Row],[CONSUMO]]</f>
        <v>6.7700000000000005</v>
      </c>
      <c r="M6035" s="53" t="e">
        <f t="array" ref="M6035">SE</f>
        <v>#NAME?</v>
      </c>
      <c r="N6035" s="118" t="e">
        <f>Tabela6[[#This Row],[KM Rodados ]]/Tabela6[[#This Row],[CONSUMO]]</f>
        <v>#NAME?</v>
      </c>
    </row>
    <row r="6036" spans="1:14" x14ac:dyDescent="0.25">
      <c r="A6036" s="117">
        <v>343790</v>
      </c>
      <c r="B6036" s="78">
        <v>45756</v>
      </c>
      <c r="C6036" s="47" t="s">
        <v>203</v>
      </c>
      <c r="D6036" s="49" t="s">
        <v>262</v>
      </c>
      <c r="E6036" s="117">
        <v>343790</v>
      </c>
      <c r="G6036" s="50" t="s">
        <v>244</v>
      </c>
      <c r="H6036" s="51">
        <v>30.300999999999998</v>
      </c>
      <c r="J6036" s="51">
        <v>5.9898999999999996</v>
      </c>
      <c r="K6036" s="74">
        <f>Tabela6[[#This Row],[CONSUMO]]*Tabela6[[#This Row],[VALOR UNIT]]-Tabela6[[#This Row],[DESCONTO]]</f>
        <v>181.49995989999996</v>
      </c>
      <c r="L6036" s="53">
        <f>Tabela6[[#This Row],[CUSTO TOTAL]]/Tabela6[[#This Row],[CONSUMO]]</f>
        <v>5.9898999999999996</v>
      </c>
      <c r="M6036" s="53" t="e">
        <f t="array" ref="M6036">SE</f>
        <v>#NAME?</v>
      </c>
      <c r="N6036" s="118" t="e">
        <f>Tabela6[[#This Row],[KM Rodados ]]/Tabela6[[#This Row],[CONSUMO]]</f>
        <v>#NAME?</v>
      </c>
    </row>
    <row r="6037" spans="1:14" x14ac:dyDescent="0.25">
      <c r="A6037" s="117">
        <v>439087</v>
      </c>
      <c r="B6037" s="78">
        <v>45756</v>
      </c>
      <c r="C6037" s="47" t="s">
        <v>222</v>
      </c>
      <c r="D6037" s="49" t="s">
        <v>672</v>
      </c>
      <c r="E6037" s="117">
        <v>665433</v>
      </c>
      <c r="G6037" s="50" t="s">
        <v>89</v>
      </c>
      <c r="H6037" s="51">
        <v>273</v>
      </c>
      <c r="J6037" s="51">
        <v>5.99</v>
      </c>
      <c r="K6037" s="74">
        <f>Tabela6[[#This Row],[CONSUMO]]*Tabela6[[#This Row],[VALOR UNIT]]-Tabela6[[#This Row],[DESCONTO]]</f>
        <v>1635.27</v>
      </c>
      <c r="L6037" s="53">
        <f>Tabela6[[#This Row],[CUSTO TOTAL]]/Tabela6[[#This Row],[CONSUMO]]</f>
        <v>5.99</v>
      </c>
      <c r="M6037" s="53" t="e">
        <f t="array" ref="M6037">SE</f>
        <v>#NAME?</v>
      </c>
      <c r="N6037" s="118" t="e">
        <f>Tabela6[[#This Row],[KM Rodados ]]/Tabela6[[#This Row],[CONSUMO]]</f>
        <v>#NAME?</v>
      </c>
    </row>
    <row r="6038" spans="1:14" x14ac:dyDescent="0.25">
      <c r="A6038" s="117">
        <v>413895</v>
      </c>
      <c r="B6038" s="78">
        <v>45756</v>
      </c>
      <c r="C6038" s="47" t="s">
        <v>43</v>
      </c>
      <c r="D6038" s="49" t="s">
        <v>300</v>
      </c>
      <c r="E6038" s="117">
        <v>242707</v>
      </c>
      <c r="G6038" s="50" t="s">
        <v>89</v>
      </c>
      <c r="H6038" s="51">
        <v>40.159999999999997</v>
      </c>
      <c r="J6038" s="51">
        <v>6.09</v>
      </c>
      <c r="K6038" s="74">
        <f>Tabela6[[#This Row],[CONSUMO]]*Tabela6[[#This Row],[VALOR UNIT]]-Tabela6[[#This Row],[DESCONTO]]</f>
        <v>244.57439999999997</v>
      </c>
      <c r="L6038" s="53">
        <f>Tabela6[[#This Row],[CUSTO TOTAL]]/Tabela6[[#This Row],[CONSUMO]]</f>
        <v>6.09</v>
      </c>
      <c r="M6038" s="53" t="e">
        <f t="array" ref="M6038">SE</f>
        <v>#NAME?</v>
      </c>
      <c r="N6038" s="118" t="e">
        <f>Tabela6[[#This Row],[KM Rodados ]]/Tabela6[[#This Row],[CONSUMO]]</f>
        <v>#NAME?</v>
      </c>
    </row>
    <row r="6039" spans="1:14" x14ac:dyDescent="0.25">
      <c r="A6039" s="117">
        <v>1149</v>
      </c>
      <c r="B6039" s="78">
        <v>45756</v>
      </c>
      <c r="C6039" s="47" t="s">
        <v>13</v>
      </c>
      <c r="E6039" s="117">
        <v>739061</v>
      </c>
      <c r="G6039" s="50" t="s">
        <v>241</v>
      </c>
      <c r="H6039" s="51">
        <v>21.78</v>
      </c>
      <c r="J6039" s="51">
        <v>2.99</v>
      </c>
      <c r="K6039" s="74">
        <f>Tabela6[[#This Row],[CONSUMO]]*Tabela6[[#This Row],[VALOR UNIT]]-Tabela6[[#This Row],[DESCONTO]]</f>
        <v>65.122200000000007</v>
      </c>
      <c r="L6039" s="53">
        <f>Tabela6[[#This Row],[CUSTO TOTAL]]/Tabela6[[#This Row],[CONSUMO]]</f>
        <v>2.99</v>
      </c>
      <c r="M6039" s="53" t="e">
        <f t="array" ref="M6039">SE</f>
        <v>#NAME?</v>
      </c>
      <c r="N6039" s="118" t="e">
        <f>Tabela6[[#This Row],[KM Rodados ]]/Tabela6[[#This Row],[CONSUMO]]</f>
        <v>#NAME?</v>
      </c>
    </row>
    <row r="6040" spans="1:14" x14ac:dyDescent="0.25">
      <c r="A6040" s="117">
        <v>2778</v>
      </c>
      <c r="B6040" s="78">
        <v>45756</v>
      </c>
      <c r="C6040" s="47" t="s">
        <v>13</v>
      </c>
      <c r="E6040" s="117">
        <v>739333</v>
      </c>
      <c r="G6040" s="50" t="s">
        <v>89</v>
      </c>
      <c r="H6040" s="51">
        <v>115.48</v>
      </c>
      <c r="J6040" s="51">
        <v>6.18</v>
      </c>
      <c r="K6040" s="74">
        <f>Tabela6[[#This Row],[CONSUMO]]*Tabela6[[#This Row],[VALOR UNIT]]-Tabela6[[#This Row],[DESCONTO]]</f>
        <v>713.66639999999995</v>
      </c>
      <c r="L6040" s="53">
        <f>Tabela6[[#This Row],[CUSTO TOTAL]]/Tabela6[[#This Row],[CONSUMO]]</f>
        <v>6.18</v>
      </c>
      <c r="M6040" s="53" t="e">
        <f t="array" ref="M6040">SE</f>
        <v>#NAME?</v>
      </c>
      <c r="N6040" s="118" t="e">
        <f>Tabela6[[#This Row],[KM Rodados ]]/Tabela6[[#This Row],[CONSUMO]]</f>
        <v>#NAME?</v>
      </c>
    </row>
    <row r="6041" spans="1:14" x14ac:dyDescent="0.25">
      <c r="A6041" s="117">
        <v>486226</v>
      </c>
      <c r="B6041" s="78">
        <v>45756</v>
      </c>
      <c r="C6041" s="47" t="s">
        <v>20</v>
      </c>
      <c r="D6041" s="49" t="s">
        <v>253</v>
      </c>
      <c r="E6041" s="117">
        <v>347798</v>
      </c>
      <c r="G6041" s="50" t="s">
        <v>89</v>
      </c>
      <c r="H6041" s="51">
        <v>38.47</v>
      </c>
      <c r="J6041" s="51">
        <v>6.39</v>
      </c>
      <c r="K6041" s="74">
        <f>Tabela6[[#This Row],[CONSUMO]]*Tabela6[[#This Row],[VALOR UNIT]]-Tabela6[[#This Row],[DESCONTO]]</f>
        <v>245.82329999999999</v>
      </c>
      <c r="L6041" s="53">
        <f>Tabela6[[#This Row],[CUSTO TOTAL]]/Tabela6[[#This Row],[CONSUMO]]</f>
        <v>6.39</v>
      </c>
      <c r="M6041" s="53" t="e">
        <f t="array" ref="M6041">SE</f>
        <v>#NAME?</v>
      </c>
      <c r="N6041" s="118" t="e">
        <f>Tabela6[[#This Row],[KM Rodados ]]/Tabela6[[#This Row],[CONSUMO]]</f>
        <v>#NAME?</v>
      </c>
    </row>
    <row r="6042" spans="1:14" x14ac:dyDescent="0.25">
      <c r="A6042" s="117">
        <v>486664</v>
      </c>
      <c r="B6042" s="78">
        <v>45756</v>
      </c>
      <c r="C6042" s="47" t="s">
        <v>39</v>
      </c>
      <c r="D6042" s="49" t="s">
        <v>253</v>
      </c>
      <c r="E6042" s="117">
        <v>144182</v>
      </c>
      <c r="G6042" s="50" t="s">
        <v>89</v>
      </c>
      <c r="H6042" s="51">
        <v>82.47</v>
      </c>
      <c r="J6042" s="51">
        <v>6.39</v>
      </c>
      <c r="K6042" s="74">
        <f>Tabela6[[#This Row],[CONSUMO]]*Tabela6[[#This Row],[VALOR UNIT]]-Tabela6[[#This Row],[DESCONTO]]</f>
        <v>526.98329999999999</v>
      </c>
      <c r="L6042" s="53">
        <f>Tabela6[[#This Row],[CUSTO TOTAL]]/Tabela6[[#This Row],[CONSUMO]]</f>
        <v>6.39</v>
      </c>
      <c r="M6042" s="53" t="e">
        <f t="array" ref="M6042">SE</f>
        <v>#NAME?</v>
      </c>
      <c r="N6042" s="118" t="e">
        <f>Tabela6[[#This Row],[KM Rodados ]]/Tabela6[[#This Row],[CONSUMO]]</f>
        <v>#NAME?</v>
      </c>
    </row>
    <row r="6043" spans="1:14" x14ac:dyDescent="0.25">
      <c r="A6043" s="117">
        <v>343887</v>
      </c>
      <c r="B6043" s="78">
        <v>45756</v>
      </c>
      <c r="C6043" s="47" t="s">
        <v>215</v>
      </c>
      <c r="D6043" s="49" t="s">
        <v>262</v>
      </c>
      <c r="E6043" s="117">
        <v>252594</v>
      </c>
      <c r="G6043" s="50" t="s">
        <v>244</v>
      </c>
      <c r="H6043" s="51">
        <v>38.609000000000002</v>
      </c>
      <c r="J6043" s="51">
        <v>5.99</v>
      </c>
      <c r="K6043" s="74">
        <f>Tabela6[[#This Row],[CONSUMO]]*Tabela6[[#This Row],[VALOR UNIT]]-Tabela6[[#This Row],[DESCONTO]]</f>
        <v>231.26791000000003</v>
      </c>
      <c r="L6043" s="53">
        <f>Tabela6[[#This Row],[CUSTO TOTAL]]/Tabela6[[#This Row],[CONSUMO]]</f>
        <v>5.99</v>
      </c>
      <c r="M6043" s="53" t="e">
        <f t="array" ref="M6043">SE</f>
        <v>#NAME?</v>
      </c>
      <c r="N6043" s="118" t="e">
        <f>Tabela6[[#This Row],[KM Rodados ]]/Tabela6[[#This Row],[CONSUMO]]</f>
        <v>#NAME?</v>
      </c>
    </row>
    <row r="6044" spans="1:14" x14ac:dyDescent="0.25">
      <c r="A6044" s="117">
        <v>487424</v>
      </c>
      <c r="B6044" s="78">
        <v>45757</v>
      </c>
      <c r="C6044" s="47" t="s">
        <v>19</v>
      </c>
      <c r="D6044" s="49" t="s">
        <v>253</v>
      </c>
      <c r="E6044" s="117">
        <v>444264</v>
      </c>
      <c r="G6044" s="50" t="s">
        <v>241</v>
      </c>
      <c r="H6044" s="51">
        <v>35</v>
      </c>
      <c r="J6044" s="51">
        <v>3.49</v>
      </c>
      <c r="K6044" s="74">
        <f>Tabela6[[#This Row],[CONSUMO]]*Tabela6[[#This Row],[VALOR UNIT]]-Tabela6[[#This Row],[DESCONTO]]</f>
        <v>122.15</v>
      </c>
      <c r="L6044" s="53">
        <f>Tabela6[[#This Row],[CUSTO TOTAL]]/Tabela6[[#This Row],[CONSUMO]]</f>
        <v>3.49</v>
      </c>
      <c r="M6044" s="53" t="e">
        <f t="array" ref="M6044">SE</f>
        <v>#NAME?</v>
      </c>
      <c r="N6044" s="118" t="e">
        <f>Tabela6[[#This Row],[KM Rodados ]]/Tabela6[[#This Row],[CONSUMO]]</f>
        <v>#NAME?</v>
      </c>
    </row>
    <row r="6045" spans="1:14" x14ac:dyDescent="0.25">
      <c r="A6045" s="117">
        <v>414246</v>
      </c>
      <c r="B6045" s="78">
        <v>45757</v>
      </c>
      <c r="C6045" s="47" t="s">
        <v>67</v>
      </c>
      <c r="D6045" s="49" t="s">
        <v>300</v>
      </c>
      <c r="E6045" s="117">
        <v>771070</v>
      </c>
      <c r="G6045" s="50" t="s">
        <v>89</v>
      </c>
      <c r="H6045" s="51">
        <v>137</v>
      </c>
      <c r="J6045" s="51">
        <v>6.09</v>
      </c>
      <c r="K6045" s="74">
        <f>Tabela6[[#This Row],[CONSUMO]]*Tabela6[[#This Row],[VALOR UNIT]]-Tabela6[[#This Row],[DESCONTO]]</f>
        <v>834.32999999999993</v>
      </c>
      <c r="L6045" s="53">
        <f>Tabela6[[#This Row],[CUSTO TOTAL]]/Tabela6[[#This Row],[CONSUMO]]</f>
        <v>6.09</v>
      </c>
      <c r="M6045" s="53" t="e">
        <f t="array" ref="M6045">SE</f>
        <v>#NAME?</v>
      </c>
      <c r="N6045" s="118" t="e">
        <f>Tabela6[[#This Row],[KM Rodados ]]/Tabela6[[#This Row],[CONSUMO]]</f>
        <v>#NAME?</v>
      </c>
    </row>
    <row r="6046" spans="1:14" x14ac:dyDescent="0.25">
      <c r="A6046" s="117" t="s">
        <v>673</v>
      </c>
      <c r="B6046" s="78">
        <v>45757</v>
      </c>
      <c r="C6046" s="47" t="s">
        <v>23</v>
      </c>
      <c r="D6046" s="49" t="s">
        <v>269</v>
      </c>
      <c r="E6046" s="117">
        <v>332607</v>
      </c>
      <c r="G6046" s="50" t="s">
        <v>89</v>
      </c>
      <c r="H6046" s="51">
        <v>175</v>
      </c>
      <c r="J6046" s="51">
        <v>6.09</v>
      </c>
      <c r="K6046" s="74">
        <f>Tabela6[[#This Row],[CONSUMO]]*Tabela6[[#This Row],[VALOR UNIT]]-Tabela6[[#This Row],[DESCONTO]]</f>
        <v>1065.75</v>
      </c>
      <c r="L6046" s="53">
        <f>Tabela6[[#This Row],[CUSTO TOTAL]]/Tabela6[[#This Row],[CONSUMO]]</f>
        <v>6.09</v>
      </c>
      <c r="M6046" s="53" t="e">
        <f t="array" ref="M6046">SE</f>
        <v>#NAME?</v>
      </c>
      <c r="N6046" s="118" t="e">
        <f>Tabela6[[#This Row],[KM Rodados ]]/Tabela6[[#This Row],[CONSUMO]]</f>
        <v>#NAME?</v>
      </c>
    </row>
    <row r="6047" spans="1:14" x14ac:dyDescent="0.25">
      <c r="A6047" s="117" t="s">
        <v>674</v>
      </c>
      <c r="B6047" s="78">
        <v>45757</v>
      </c>
      <c r="C6047" s="47" t="s">
        <v>203</v>
      </c>
      <c r="D6047" s="49" t="s">
        <v>274</v>
      </c>
      <c r="E6047" s="117">
        <v>214323</v>
      </c>
      <c r="G6047" s="50" t="s">
        <v>244</v>
      </c>
      <c r="H6047" s="51">
        <v>36.011000000000003</v>
      </c>
      <c r="J6047" s="51">
        <v>5.99</v>
      </c>
      <c r="K6047" s="74">
        <f>Tabela6[[#This Row],[CONSUMO]]*Tabela6[[#This Row],[VALOR UNIT]]-Tabela6[[#This Row],[DESCONTO]]</f>
        <v>215.70589000000001</v>
      </c>
      <c r="L6047" s="53">
        <f>Tabela6[[#This Row],[CUSTO TOTAL]]/Tabela6[[#This Row],[CONSUMO]]</f>
        <v>5.99</v>
      </c>
      <c r="M6047" s="53" t="e">
        <f t="array" ref="M6047">SE</f>
        <v>#NAME?</v>
      </c>
      <c r="N6047" s="118" t="e">
        <f>Tabela6[[#This Row],[KM Rodados ]]/Tabela6[[#This Row],[CONSUMO]]</f>
        <v>#NAME?</v>
      </c>
    </row>
    <row r="6048" spans="1:14" x14ac:dyDescent="0.25">
      <c r="A6048" s="117" t="s">
        <v>675</v>
      </c>
      <c r="B6048" s="78">
        <v>45757</v>
      </c>
      <c r="C6048" s="47" t="s">
        <v>73</v>
      </c>
      <c r="D6048" s="49" t="s">
        <v>270</v>
      </c>
      <c r="E6048" s="117">
        <v>265671</v>
      </c>
      <c r="G6048" s="50" t="s">
        <v>241</v>
      </c>
      <c r="H6048" s="51">
        <v>25.611999999999998</v>
      </c>
      <c r="J6048" s="51">
        <v>3.19</v>
      </c>
      <c r="K6048" s="74">
        <f>Tabela6[[#This Row],[CONSUMO]]*Tabela6[[#This Row],[VALOR UNIT]]-Tabela6[[#This Row],[DESCONTO]]</f>
        <v>81.702279999999988</v>
      </c>
      <c r="L6048" s="53">
        <f>Tabela6[[#This Row],[CUSTO TOTAL]]/Tabela6[[#This Row],[CONSUMO]]</f>
        <v>3.1899999999999995</v>
      </c>
      <c r="M6048" s="53" t="e">
        <f t="array" ref="M6048">SE</f>
        <v>#NAME?</v>
      </c>
      <c r="N6048" s="118" t="e">
        <f>Tabela6[[#This Row],[KM Rodados ]]/Tabela6[[#This Row],[CONSUMO]]</f>
        <v>#NAME?</v>
      </c>
    </row>
    <row r="6049" spans="1:14" x14ac:dyDescent="0.25">
      <c r="A6049" s="117">
        <v>62381</v>
      </c>
      <c r="B6049" s="78">
        <v>45757</v>
      </c>
      <c r="C6049" s="47" t="s">
        <v>18</v>
      </c>
      <c r="D6049" s="49" t="s">
        <v>255</v>
      </c>
      <c r="E6049" s="117">
        <v>399692</v>
      </c>
      <c r="G6049" s="50" t="s">
        <v>89</v>
      </c>
      <c r="H6049" s="51">
        <v>74.92</v>
      </c>
      <c r="J6049" s="51">
        <v>6.39</v>
      </c>
      <c r="K6049" s="74">
        <f>Tabela6[[#This Row],[CONSUMO]]*Tabela6[[#This Row],[VALOR UNIT]]-Tabela6[[#This Row],[DESCONTO]]</f>
        <v>478.73879999999997</v>
      </c>
      <c r="L6049" s="53">
        <f>Tabela6[[#This Row],[CUSTO TOTAL]]/Tabela6[[#This Row],[CONSUMO]]</f>
        <v>6.39</v>
      </c>
      <c r="M6049" s="53" t="e">
        <f t="array" ref="M6049">SE</f>
        <v>#NAME?</v>
      </c>
      <c r="N6049" s="118" t="e">
        <f>Tabela6[[#This Row],[KM Rodados ]]/Tabela6[[#This Row],[CONSUMO]]</f>
        <v>#NAME?</v>
      </c>
    </row>
    <row r="6050" spans="1:14" x14ac:dyDescent="0.25">
      <c r="A6050" s="117">
        <v>500517</v>
      </c>
      <c r="B6050" s="78">
        <v>45757</v>
      </c>
      <c r="C6050" s="47" t="s">
        <v>681</v>
      </c>
      <c r="D6050" s="49" t="s">
        <v>276</v>
      </c>
      <c r="E6050" s="117">
        <v>10698</v>
      </c>
      <c r="G6050" s="50" t="s">
        <v>241</v>
      </c>
      <c r="H6050" s="51">
        <v>33.042000000000002</v>
      </c>
      <c r="J6050" s="51">
        <v>3.6898</v>
      </c>
      <c r="K6050" s="74">
        <f>Tabela6[[#This Row],[CONSUMO]]*Tabela6[[#This Row],[VALOR UNIT]]-Tabela6[[#This Row],[DESCONTO]]</f>
        <v>121.9183716</v>
      </c>
      <c r="L6050" s="53">
        <f>Tabela6[[#This Row],[CUSTO TOTAL]]/Tabela6[[#This Row],[CONSUMO]]</f>
        <v>3.6898</v>
      </c>
      <c r="M6050" s="53" t="e">
        <f t="array" ref="M6050">SE</f>
        <v>#NAME?</v>
      </c>
      <c r="N6050" s="118" t="e">
        <f>Tabela6[[#This Row],[KM Rodados ]]/Tabela6[[#This Row],[CONSUMO]]</f>
        <v>#NAME?</v>
      </c>
    </row>
    <row r="6051" spans="1:14" x14ac:dyDescent="0.25">
      <c r="A6051" s="117">
        <v>344081</v>
      </c>
      <c r="B6051" s="78">
        <v>45757</v>
      </c>
      <c r="C6051" s="47" t="s">
        <v>74</v>
      </c>
      <c r="D6051" s="49" t="s">
        <v>262</v>
      </c>
      <c r="E6051" s="117">
        <v>186312</v>
      </c>
      <c r="G6051" s="50" t="s">
        <v>89</v>
      </c>
      <c r="H6051" s="51">
        <v>61.52</v>
      </c>
      <c r="J6051" s="51">
        <v>6</v>
      </c>
      <c r="K6051" s="74">
        <f>Tabela6[[#This Row],[CONSUMO]]*Tabela6[[#This Row],[VALOR UNIT]]-Tabela6[[#This Row],[DESCONTO]]</f>
        <v>369.12</v>
      </c>
      <c r="L6051" s="53">
        <f>Tabela6[[#This Row],[CUSTO TOTAL]]/Tabela6[[#This Row],[CONSUMO]]</f>
        <v>6</v>
      </c>
      <c r="M6051" s="53" t="e">
        <f t="array" ref="M6051">SE</f>
        <v>#NAME?</v>
      </c>
      <c r="N6051" s="118" t="e">
        <f>Tabela6[[#This Row],[KM Rodados ]]/Tabela6[[#This Row],[CONSUMO]]</f>
        <v>#NAME?</v>
      </c>
    </row>
    <row r="6052" spans="1:14" x14ac:dyDescent="0.25">
      <c r="A6052" s="117">
        <v>343997</v>
      </c>
      <c r="B6052" s="78">
        <v>45757</v>
      </c>
      <c r="C6052" s="47" t="s">
        <v>426</v>
      </c>
      <c r="D6052" s="49" t="s">
        <v>262</v>
      </c>
      <c r="E6052" s="117">
        <v>83250</v>
      </c>
      <c r="G6052" s="50" t="s">
        <v>241</v>
      </c>
      <c r="H6052" s="51">
        <v>9.2739999999999991</v>
      </c>
      <c r="J6052" s="51">
        <v>3.3296999999999999</v>
      </c>
      <c r="K6052" s="74">
        <f>Tabela6[[#This Row],[CONSUMO]]*Tabela6[[#This Row],[VALOR UNIT]]-Tabela6[[#This Row],[DESCONTO]]</f>
        <v>30.879637799999998</v>
      </c>
      <c r="L6052" s="53">
        <f>Tabela6[[#This Row],[CUSTO TOTAL]]/Tabela6[[#This Row],[CONSUMO]]</f>
        <v>3.3296999999999999</v>
      </c>
      <c r="M6052" s="53" t="e">
        <f t="array" ref="M6052">SE</f>
        <v>#NAME?</v>
      </c>
      <c r="N6052" s="118" t="e">
        <f>Tabela6[[#This Row],[KM Rodados ]]/Tabela6[[#This Row],[CONSUMO]]</f>
        <v>#NAME?</v>
      </c>
    </row>
    <row r="6053" spans="1:14" x14ac:dyDescent="0.25">
      <c r="A6053" s="117">
        <v>344138</v>
      </c>
      <c r="B6053" s="78">
        <v>45758</v>
      </c>
      <c r="C6053" s="47" t="s">
        <v>315</v>
      </c>
      <c r="D6053" s="49" t="s">
        <v>262</v>
      </c>
      <c r="E6053" s="117">
        <v>186319</v>
      </c>
      <c r="G6053" s="50" t="s">
        <v>241</v>
      </c>
      <c r="H6053" s="51">
        <v>13.237</v>
      </c>
      <c r="J6053" s="51">
        <v>3.33</v>
      </c>
      <c r="K6053" s="74">
        <f>Tabela6[[#This Row],[CONSUMO]]*Tabela6[[#This Row],[VALOR UNIT]]-Tabela6[[#This Row],[DESCONTO]]</f>
        <v>44.079210000000003</v>
      </c>
      <c r="L6053" s="53">
        <f>Tabela6[[#This Row],[CUSTO TOTAL]]/Tabela6[[#This Row],[CONSUMO]]</f>
        <v>3.33</v>
      </c>
      <c r="M6053" s="53" t="e">
        <f t="array" ref="M6053">SE</f>
        <v>#NAME?</v>
      </c>
      <c r="N6053" s="118" t="e">
        <f>Tabela6[[#This Row],[KM Rodados ]]/Tabela6[[#This Row],[CONSUMO]]</f>
        <v>#NAME?</v>
      </c>
    </row>
    <row r="6054" spans="1:14" x14ac:dyDescent="0.25">
      <c r="A6054" s="117">
        <v>488053</v>
      </c>
      <c r="B6054" s="78">
        <v>45758</v>
      </c>
      <c r="C6054" s="47" t="s">
        <v>11</v>
      </c>
      <c r="D6054" s="49" t="s">
        <v>253</v>
      </c>
      <c r="E6054" s="117">
        <v>434079</v>
      </c>
      <c r="G6054" s="50" t="s">
        <v>89</v>
      </c>
      <c r="H6054" s="51">
        <v>117.27</v>
      </c>
      <c r="J6054" s="51">
        <v>6.29</v>
      </c>
      <c r="K6054" s="74">
        <f>Tabela6[[#This Row],[CONSUMO]]*Tabela6[[#This Row],[VALOR UNIT]]-Tabela6[[#This Row],[DESCONTO]]</f>
        <v>737.62829999999997</v>
      </c>
      <c r="L6054" s="53">
        <f>Tabela6[[#This Row],[CUSTO TOTAL]]/Tabela6[[#This Row],[CONSUMO]]</f>
        <v>6.29</v>
      </c>
      <c r="M6054" s="53" t="e">
        <f t="array" ref="M6054">SE</f>
        <v>#NAME?</v>
      </c>
      <c r="N6054" s="118" t="e">
        <f>Tabela6[[#This Row],[KM Rodados ]]/Tabela6[[#This Row],[CONSUMO]]</f>
        <v>#NAME?</v>
      </c>
    </row>
    <row r="6055" spans="1:14" x14ac:dyDescent="0.25">
      <c r="A6055" s="117" t="s">
        <v>676</v>
      </c>
      <c r="B6055" s="78">
        <v>45758</v>
      </c>
      <c r="C6055" s="47" t="s">
        <v>72</v>
      </c>
      <c r="D6055" s="49" t="s">
        <v>300</v>
      </c>
      <c r="E6055" s="117">
        <v>503633</v>
      </c>
      <c r="G6055" s="50" t="s">
        <v>89</v>
      </c>
      <c r="H6055" s="51">
        <v>44.280999999999999</v>
      </c>
      <c r="J6055" s="51">
        <v>6.09</v>
      </c>
      <c r="K6055" s="74">
        <f>Tabela6[[#This Row],[CONSUMO]]*Tabela6[[#This Row],[VALOR UNIT]]-Tabela6[[#This Row],[DESCONTO]]</f>
        <v>269.67129</v>
      </c>
      <c r="L6055" s="53">
        <f>Tabela6[[#This Row],[CUSTO TOTAL]]/Tabela6[[#This Row],[CONSUMO]]</f>
        <v>6.09</v>
      </c>
      <c r="M6055" s="53" t="e">
        <f t="array" ref="M6055">SE</f>
        <v>#NAME?</v>
      </c>
      <c r="N6055" s="118" t="e">
        <f>Tabela6[[#This Row],[KM Rodados ]]/Tabela6[[#This Row],[CONSUMO]]</f>
        <v>#NAME?</v>
      </c>
    </row>
    <row r="6056" spans="1:14" x14ac:dyDescent="0.25">
      <c r="A6056" s="117" t="s">
        <v>677</v>
      </c>
      <c r="B6056" s="78">
        <v>45758</v>
      </c>
      <c r="C6056" s="47" t="s">
        <v>564</v>
      </c>
      <c r="D6056" s="49" t="s">
        <v>361</v>
      </c>
      <c r="E6056" s="117">
        <v>14989</v>
      </c>
      <c r="G6056" s="50" t="s">
        <v>89</v>
      </c>
      <c r="H6056" s="51">
        <v>701</v>
      </c>
      <c r="J6056" s="51">
        <v>6.04</v>
      </c>
      <c r="K6056" s="74">
        <f>Tabela6[[#This Row],[CONSUMO]]*Tabela6[[#This Row],[VALOR UNIT]]-Tabela6[[#This Row],[DESCONTO]]</f>
        <v>4234.04</v>
      </c>
      <c r="L6056" s="53">
        <f>Tabela6[[#This Row],[CUSTO TOTAL]]/Tabela6[[#This Row],[CONSUMO]]</f>
        <v>6.04</v>
      </c>
      <c r="M6056" s="53" t="e">
        <f t="array" ref="M6056">SE</f>
        <v>#NAME?</v>
      </c>
      <c r="N6056" s="118" t="e">
        <f>Tabela6[[#This Row],[KM Rodados ]]/Tabela6[[#This Row],[CONSUMO]]</f>
        <v>#NAME?</v>
      </c>
    </row>
    <row r="6057" spans="1:14" x14ac:dyDescent="0.25">
      <c r="A6057" s="117">
        <v>514219</v>
      </c>
      <c r="B6057" s="78">
        <v>45758</v>
      </c>
      <c r="C6057" s="47" t="s">
        <v>564</v>
      </c>
      <c r="D6057" s="49" t="s">
        <v>361</v>
      </c>
      <c r="E6057" s="117">
        <v>14989</v>
      </c>
      <c r="G6057" s="50" t="s">
        <v>241</v>
      </c>
      <c r="H6057" s="51">
        <v>99.9</v>
      </c>
      <c r="J6057" s="51">
        <v>2</v>
      </c>
      <c r="K6057" s="74">
        <f>Tabela6[[#This Row],[CONSUMO]]*Tabela6[[#This Row],[VALOR UNIT]]-Tabela6[[#This Row],[DESCONTO]]</f>
        <v>199.8</v>
      </c>
      <c r="L6057" s="53">
        <f>Tabela6[[#This Row],[CUSTO TOTAL]]/Tabela6[[#This Row],[CONSUMO]]</f>
        <v>2</v>
      </c>
      <c r="M6057" s="53" t="e">
        <f t="array" ref="M6057">SE</f>
        <v>#NAME?</v>
      </c>
      <c r="N6057" s="118" t="e">
        <f>Tabela6[[#This Row],[KM Rodados ]]/Tabela6[[#This Row],[CONSUMO]]</f>
        <v>#NAME?</v>
      </c>
    </row>
    <row r="6058" spans="1:14" x14ac:dyDescent="0.25">
      <c r="A6058" s="117">
        <v>21128</v>
      </c>
      <c r="B6058" s="78">
        <v>45758</v>
      </c>
      <c r="C6058" s="47" t="s">
        <v>222</v>
      </c>
      <c r="D6058" s="49" t="s">
        <v>324</v>
      </c>
      <c r="E6058" s="117">
        <v>666521</v>
      </c>
      <c r="G6058" s="50" t="s">
        <v>89</v>
      </c>
      <c r="H6058" s="51">
        <v>357</v>
      </c>
      <c r="J6058" s="51">
        <v>5.94</v>
      </c>
      <c r="K6058" s="74">
        <f>Tabela6[[#This Row],[CONSUMO]]*Tabela6[[#This Row],[VALOR UNIT]]-Tabela6[[#This Row],[DESCONTO]]</f>
        <v>2120.58</v>
      </c>
      <c r="L6058" s="53">
        <f>Tabela6[[#This Row],[CUSTO TOTAL]]/Tabela6[[#This Row],[CONSUMO]]</f>
        <v>5.9399999999999995</v>
      </c>
      <c r="M6058" s="53" t="e">
        <f t="array" ref="M6058">SE</f>
        <v>#NAME?</v>
      </c>
      <c r="N6058" s="118" t="e">
        <f>Tabela6[[#This Row],[KM Rodados ]]/Tabela6[[#This Row],[CONSUMO]]</f>
        <v>#NAME?</v>
      </c>
    </row>
    <row r="6059" spans="1:14" x14ac:dyDescent="0.25">
      <c r="A6059" s="117">
        <v>21129</v>
      </c>
      <c r="B6059" s="78">
        <v>45758</v>
      </c>
      <c r="C6059" s="47" t="s">
        <v>222</v>
      </c>
      <c r="D6059" s="49" t="s">
        <v>324</v>
      </c>
      <c r="E6059" s="117">
        <v>666521</v>
      </c>
      <c r="G6059" s="50" t="s">
        <v>241</v>
      </c>
      <c r="H6059" s="51">
        <v>34.040999999999997</v>
      </c>
      <c r="J6059" s="51">
        <v>3.19</v>
      </c>
      <c r="K6059" s="74">
        <f>Tabela6[[#This Row],[CONSUMO]]*Tabela6[[#This Row],[VALOR UNIT]]-Tabela6[[#This Row],[DESCONTO]]</f>
        <v>108.59078999999998</v>
      </c>
      <c r="L6059" s="53">
        <f>Tabela6[[#This Row],[CUSTO TOTAL]]/Tabela6[[#This Row],[CONSUMO]]</f>
        <v>3.19</v>
      </c>
      <c r="M6059" s="53" t="e">
        <f t="array" ref="M6059">SE</f>
        <v>#NAME?</v>
      </c>
      <c r="N6059" s="118" t="e">
        <f>Tabela6[[#This Row],[KM Rodados ]]/Tabela6[[#This Row],[CONSUMO]]</f>
        <v>#NAME?</v>
      </c>
    </row>
    <row r="6060" spans="1:14" x14ac:dyDescent="0.25">
      <c r="A6060" s="117" t="s">
        <v>678</v>
      </c>
      <c r="B6060" s="78">
        <v>45758</v>
      </c>
      <c r="C6060" s="47" t="s">
        <v>67</v>
      </c>
      <c r="D6060" s="49" t="s">
        <v>269</v>
      </c>
      <c r="E6060" s="117">
        <v>771615</v>
      </c>
      <c r="G6060" s="50" t="s">
        <v>89</v>
      </c>
      <c r="H6060" s="51">
        <v>149.42099999999999</v>
      </c>
      <c r="J6060" s="51">
        <v>5.99</v>
      </c>
      <c r="K6060" s="74">
        <f>Tabela6[[#This Row],[CONSUMO]]*Tabela6[[#This Row],[VALOR UNIT]]-Tabela6[[#This Row],[DESCONTO]]</f>
        <v>895.03179</v>
      </c>
      <c r="L6060" s="53">
        <f>Tabela6[[#This Row],[CUSTO TOTAL]]/Tabela6[[#This Row],[CONSUMO]]</f>
        <v>5.99</v>
      </c>
      <c r="M6060" s="53" t="e">
        <f t="array" ref="M6060">SE</f>
        <v>#NAME?</v>
      </c>
      <c r="N6060" s="118" t="e">
        <f>Tabela6[[#This Row],[KM Rodados ]]/Tabela6[[#This Row],[CONSUMO]]</f>
        <v>#NAME?</v>
      </c>
    </row>
    <row r="6061" spans="1:14" x14ac:dyDescent="0.25">
      <c r="A6061" s="117">
        <v>488368</v>
      </c>
      <c r="B6061" s="78">
        <v>45758</v>
      </c>
      <c r="C6061" s="47" t="s">
        <v>71</v>
      </c>
      <c r="D6061" s="49" t="s">
        <v>253</v>
      </c>
      <c r="E6061" s="117">
        <v>210144</v>
      </c>
      <c r="G6061" s="50" t="s">
        <v>89</v>
      </c>
      <c r="H6061" s="51">
        <v>633.29</v>
      </c>
      <c r="J6061" s="51">
        <v>6.29</v>
      </c>
      <c r="K6061" s="74">
        <f>Tabela6[[#This Row],[CONSUMO]]*Tabela6[[#This Row],[VALOR UNIT]]-Tabela6[[#This Row],[DESCONTO]]</f>
        <v>3983.3941</v>
      </c>
      <c r="L6061" s="53">
        <f>Tabela6[[#This Row],[CUSTO TOTAL]]/Tabela6[[#This Row],[CONSUMO]]</f>
        <v>6.29</v>
      </c>
      <c r="M6061" s="53" t="e">
        <f t="array" ref="M6061">SE</f>
        <v>#NAME?</v>
      </c>
      <c r="N6061" s="118" t="e">
        <f>Tabela6[[#This Row],[KM Rodados ]]/Tabela6[[#This Row],[CONSUMO]]</f>
        <v>#NAME?</v>
      </c>
    </row>
    <row r="6062" spans="1:14" x14ac:dyDescent="0.25">
      <c r="A6062" s="124" t="s">
        <v>679</v>
      </c>
      <c r="B6062" s="78">
        <v>45759</v>
      </c>
      <c r="C6062" s="47" t="s">
        <v>564</v>
      </c>
      <c r="D6062" s="49" t="s">
        <v>333</v>
      </c>
      <c r="E6062" s="117"/>
      <c r="G6062" s="50" t="s">
        <v>89</v>
      </c>
      <c r="H6062" s="51">
        <v>554</v>
      </c>
      <c r="J6062" s="51">
        <v>5.99</v>
      </c>
      <c r="K6062" s="74">
        <f>Tabela6[[#This Row],[CONSUMO]]*Tabela6[[#This Row],[VALOR UNIT]]-Tabela6[[#This Row],[DESCONTO]]</f>
        <v>3318.46</v>
      </c>
      <c r="L6062" s="53">
        <f>Tabela6[[#This Row],[CUSTO TOTAL]]/Tabela6[[#This Row],[CONSUMO]]</f>
        <v>5.99</v>
      </c>
      <c r="M6062" s="53" t="e">
        <f t="array" ref="M6062">SE</f>
        <v>#NAME?</v>
      </c>
      <c r="N6062" s="118" t="e">
        <f>Tabela6[[#This Row],[KM Rodados ]]/Tabela6[[#This Row],[CONSUMO]]</f>
        <v>#NAME?</v>
      </c>
    </row>
    <row r="6063" spans="1:14" x14ac:dyDescent="0.25">
      <c r="A6063" s="117">
        <v>1613</v>
      </c>
      <c r="B6063" s="78">
        <v>45759</v>
      </c>
      <c r="C6063" s="47" t="s">
        <v>13</v>
      </c>
      <c r="D6063" s="49" t="s">
        <v>279</v>
      </c>
      <c r="E6063" s="117">
        <v>740410</v>
      </c>
      <c r="G6063" s="50" t="s">
        <v>89</v>
      </c>
      <c r="H6063" s="51">
        <v>125.91</v>
      </c>
      <c r="J6063" s="51">
        <v>5.99</v>
      </c>
      <c r="K6063" s="74">
        <f>Tabela6[[#This Row],[CONSUMO]]*Tabela6[[#This Row],[VALOR UNIT]]-Tabela6[[#This Row],[DESCONTO]]</f>
        <v>754.20090000000005</v>
      </c>
      <c r="L6063" s="53">
        <f>Tabela6[[#This Row],[CUSTO TOTAL]]/Tabela6[[#This Row],[CONSUMO]]</f>
        <v>5.99</v>
      </c>
      <c r="M6063" s="53" t="e">
        <f t="array" ref="M6063">SE</f>
        <v>#NAME?</v>
      </c>
      <c r="N6063" s="118" t="e">
        <f>Tabela6[[#This Row],[KM Rodados ]]/Tabela6[[#This Row],[CONSUMO]]</f>
        <v>#NAME?</v>
      </c>
    </row>
    <row r="6064" spans="1:14" x14ac:dyDescent="0.25">
      <c r="A6064" s="117">
        <v>35735</v>
      </c>
      <c r="B6064" s="78">
        <v>45760</v>
      </c>
      <c r="C6064" s="47" t="s">
        <v>73</v>
      </c>
      <c r="D6064" s="49" t="s">
        <v>252</v>
      </c>
      <c r="E6064" s="117">
        <v>266746</v>
      </c>
      <c r="G6064" s="50" t="s">
        <v>89</v>
      </c>
      <c r="H6064" s="51">
        <v>245.1</v>
      </c>
      <c r="J6064" s="51">
        <v>6.23</v>
      </c>
      <c r="K6064" s="74">
        <f>Tabela6[[#This Row],[CONSUMO]]*Tabela6[[#This Row],[VALOR UNIT]]-Tabela6[[#This Row],[DESCONTO]]</f>
        <v>1526.973</v>
      </c>
      <c r="L6064" s="53">
        <f>Tabela6[[#This Row],[CUSTO TOTAL]]/Tabela6[[#This Row],[CONSUMO]]</f>
        <v>6.2299999999999995</v>
      </c>
      <c r="M6064" s="53" t="e">
        <f t="array" ref="M6064">SE</f>
        <v>#NAME?</v>
      </c>
      <c r="N6064" s="118" t="e">
        <f>Tabela6[[#This Row],[KM Rodados ]]/Tabela6[[#This Row],[CONSUMO]]</f>
        <v>#NAME?</v>
      </c>
    </row>
    <row r="6065" spans="1:14" x14ac:dyDescent="0.25">
      <c r="A6065" s="117">
        <v>35735</v>
      </c>
      <c r="B6065" s="78">
        <v>45760</v>
      </c>
      <c r="C6065" s="47" t="s">
        <v>73</v>
      </c>
      <c r="D6065" s="49" t="s">
        <v>252</v>
      </c>
      <c r="E6065" s="117">
        <v>266746</v>
      </c>
      <c r="G6065" s="50" t="s">
        <v>241</v>
      </c>
      <c r="H6065" s="51">
        <v>16.411000000000001</v>
      </c>
      <c r="J6065" s="51">
        <v>2.9</v>
      </c>
      <c r="K6065" s="74">
        <f>Tabela6[[#This Row],[CONSUMO]]*Tabela6[[#This Row],[VALOR UNIT]]-Tabela6[[#This Row],[DESCONTO]]</f>
        <v>47.591900000000003</v>
      </c>
      <c r="L6065" s="53">
        <f>Tabela6[[#This Row],[CUSTO TOTAL]]/Tabela6[[#This Row],[CONSUMO]]</f>
        <v>2.9</v>
      </c>
      <c r="M6065" s="53" t="e">
        <f t="array" ref="M6065">SE</f>
        <v>#NAME?</v>
      </c>
      <c r="N6065" s="118" t="e">
        <f>Tabela6[[#This Row],[KM Rodados ]]/Tabela6[[#This Row],[CONSUMO]]</f>
        <v>#NAME?</v>
      </c>
    </row>
    <row r="6066" spans="1:14" x14ac:dyDescent="0.25">
      <c r="A6066" s="117">
        <v>94901</v>
      </c>
      <c r="B6066" s="78">
        <v>45761</v>
      </c>
      <c r="C6066" s="47" t="s">
        <v>564</v>
      </c>
      <c r="D6066" s="49" t="s">
        <v>332</v>
      </c>
      <c r="E6066" s="117">
        <v>76981</v>
      </c>
      <c r="G6066" s="50" t="s">
        <v>89</v>
      </c>
      <c r="H6066" s="51">
        <v>654.33799999999997</v>
      </c>
      <c r="J6066" s="51">
        <v>5.69</v>
      </c>
      <c r="K6066" s="74">
        <f>Tabela6[[#This Row],[CONSUMO]]*Tabela6[[#This Row],[VALOR UNIT]]-Tabela6[[#This Row],[DESCONTO]]</f>
        <v>3723.1832199999999</v>
      </c>
      <c r="L6066" s="53">
        <f>Tabela6[[#This Row],[CUSTO TOTAL]]/Tabela6[[#This Row],[CONSUMO]]</f>
        <v>5.69</v>
      </c>
      <c r="M6066" s="53" t="e">
        <f t="array" ref="M6066">SE</f>
        <v>#NAME?</v>
      </c>
      <c r="N6066" s="118" t="e">
        <f>Tabela6[[#This Row],[KM Rodados ]]/Tabela6[[#This Row],[CONSUMO]]</f>
        <v>#NAME?</v>
      </c>
    </row>
    <row r="6067" spans="1:14" x14ac:dyDescent="0.25">
      <c r="A6067" s="117" t="s">
        <v>680</v>
      </c>
      <c r="B6067" s="78">
        <v>45761</v>
      </c>
      <c r="C6067" s="47" t="s">
        <v>22</v>
      </c>
      <c r="D6067" s="49" t="s">
        <v>300</v>
      </c>
      <c r="E6067" s="117">
        <v>404049</v>
      </c>
      <c r="G6067" s="50" t="s">
        <v>89</v>
      </c>
      <c r="H6067" s="51">
        <v>174.37</v>
      </c>
      <c r="J6067" s="51">
        <v>6.09</v>
      </c>
      <c r="K6067" s="74">
        <f>Tabela6[[#This Row],[CONSUMO]]*Tabela6[[#This Row],[VALOR UNIT]]-Tabela6[[#This Row],[DESCONTO]]</f>
        <v>1061.9132999999999</v>
      </c>
      <c r="L6067" s="53">
        <f>Tabela6[[#This Row],[CUSTO TOTAL]]/Tabela6[[#This Row],[CONSUMO]]</f>
        <v>6.09</v>
      </c>
      <c r="M6067" s="53" t="e">
        <f t="array" ref="M6067">SE</f>
        <v>#NAME?</v>
      </c>
      <c r="N6067" s="118" t="e">
        <f>Tabela6[[#This Row],[KM Rodados ]]/Tabela6[[#This Row],[CONSUMO]]</f>
        <v>#NAME?</v>
      </c>
    </row>
    <row r="6068" spans="1:14" x14ac:dyDescent="0.25">
      <c r="A6068" s="117">
        <v>81383</v>
      </c>
      <c r="B6068" s="78">
        <v>45761</v>
      </c>
      <c r="C6068" s="47" t="s">
        <v>564</v>
      </c>
      <c r="D6068" s="49" t="s">
        <v>613</v>
      </c>
      <c r="E6068" s="117">
        <v>76827</v>
      </c>
      <c r="G6068" s="50" t="s">
        <v>89</v>
      </c>
      <c r="H6068" s="51">
        <v>300</v>
      </c>
      <c r="J6068" s="51">
        <v>6.05</v>
      </c>
      <c r="K6068" s="74">
        <f>Tabela6[[#This Row],[CONSUMO]]*Tabela6[[#This Row],[VALOR UNIT]]-Tabela6[[#This Row],[DESCONTO]]</f>
        <v>1815</v>
      </c>
      <c r="L6068" s="53">
        <f>Tabela6[[#This Row],[CUSTO TOTAL]]/Tabela6[[#This Row],[CONSUMO]]</f>
        <v>6.05</v>
      </c>
      <c r="M6068" s="53" t="e">
        <f t="array" ref="M6068">SE</f>
        <v>#NAME?</v>
      </c>
      <c r="N6068" s="118" t="e">
        <f>Tabela6[[#This Row],[KM Rodados ]]/Tabela6[[#This Row],[CONSUMO]]</f>
        <v>#NAME?</v>
      </c>
    </row>
    <row r="6069" spans="1:14" x14ac:dyDescent="0.25">
      <c r="A6069" s="117">
        <v>84745</v>
      </c>
      <c r="B6069" s="78">
        <v>45761</v>
      </c>
      <c r="C6069" s="47" t="s">
        <v>43</v>
      </c>
      <c r="D6069" s="49" t="s">
        <v>628</v>
      </c>
      <c r="E6069" s="117">
        <v>243713</v>
      </c>
      <c r="G6069" s="50" t="s">
        <v>89</v>
      </c>
      <c r="H6069" s="51">
        <v>46.53</v>
      </c>
      <c r="J6069" s="51">
        <v>7.09</v>
      </c>
      <c r="K6069" s="74">
        <f>Tabela6[[#This Row],[CONSUMO]]*Tabela6[[#This Row],[VALOR UNIT]]-Tabela6[[#This Row],[DESCONTO]]</f>
        <v>329.89769999999999</v>
      </c>
      <c r="L6069" s="53">
        <f>Tabela6[[#This Row],[CUSTO TOTAL]]/Tabela6[[#This Row],[CONSUMO]]</f>
        <v>7.09</v>
      </c>
      <c r="M6069" s="53" t="e">
        <f t="array" ref="M6069">SE</f>
        <v>#NAME?</v>
      </c>
      <c r="N6069" s="118" t="e">
        <f>Tabela6[[#This Row],[KM Rodados ]]/Tabela6[[#This Row],[CONSUMO]]</f>
        <v>#NAME?</v>
      </c>
    </row>
    <row r="6070" spans="1:14" x14ac:dyDescent="0.25">
      <c r="A6070" s="117">
        <v>490141</v>
      </c>
      <c r="B6070" s="78">
        <v>45761</v>
      </c>
      <c r="C6070" s="47" t="s">
        <v>20</v>
      </c>
      <c r="D6070" s="49" t="s">
        <v>253</v>
      </c>
      <c r="E6070" s="117">
        <v>348867</v>
      </c>
      <c r="G6070" s="50" t="s">
        <v>89</v>
      </c>
      <c r="H6070" s="51">
        <v>64.11</v>
      </c>
      <c r="J6070" s="51">
        <v>6.29</v>
      </c>
      <c r="K6070" s="74">
        <f>Tabela6[[#This Row],[CONSUMO]]*Tabela6[[#This Row],[VALOR UNIT]]-Tabela6[[#This Row],[DESCONTO]]</f>
        <v>403.25189999999998</v>
      </c>
      <c r="L6070" s="53">
        <f>Tabela6[[#This Row],[CUSTO TOTAL]]/Tabela6[[#This Row],[CONSUMO]]</f>
        <v>6.29</v>
      </c>
      <c r="M6070" s="53" t="e">
        <f t="array" ref="M6070">SE</f>
        <v>#NAME?</v>
      </c>
      <c r="N6070" s="118" t="e">
        <f>Tabela6[[#This Row],[KM Rodados ]]/Tabela6[[#This Row],[CONSUMO]]</f>
        <v>#NAME?</v>
      </c>
    </row>
    <row r="6071" spans="1:14" x14ac:dyDescent="0.25">
      <c r="A6071" s="117">
        <v>63538</v>
      </c>
      <c r="B6071" s="78">
        <v>45761</v>
      </c>
      <c r="C6071" s="47" t="s">
        <v>38</v>
      </c>
      <c r="D6071" s="49" t="s">
        <v>255</v>
      </c>
      <c r="E6071" s="117">
        <v>166425</v>
      </c>
      <c r="G6071" s="50" t="s">
        <v>244</v>
      </c>
      <c r="H6071" s="51">
        <v>48.12</v>
      </c>
      <c r="J6071" s="51">
        <v>6.09</v>
      </c>
      <c r="K6071" s="74">
        <f>Tabela6[[#This Row],[CONSUMO]]*Tabela6[[#This Row],[VALOR UNIT]]-Tabela6[[#This Row],[DESCONTO]]</f>
        <v>293.05079999999998</v>
      </c>
      <c r="L6071" s="53">
        <f>Tabela6[[#This Row],[CUSTO TOTAL]]/Tabela6[[#This Row],[CONSUMO]]</f>
        <v>6.09</v>
      </c>
      <c r="M6071" s="53" t="e">
        <f t="array" ref="M6071">SE</f>
        <v>#NAME?</v>
      </c>
      <c r="N6071" s="118" t="e">
        <f>Tabela6[[#This Row],[KM Rodados ]]/Tabela6[[#This Row],[CONSUMO]]</f>
        <v>#NAME?</v>
      </c>
    </row>
    <row r="6072" spans="1:14" x14ac:dyDescent="0.25">
      <c r="A6072" s="117">
        <v>501765</v>
      </c>
      <c r="B6072" s="78">
        <v>45761</v>
      </c>
      <c r="C6072" s="47" t="s">
        <v>15</v>
      </c>
      <c r="D6072" s="49" t="s">
        <v>276</v>
      </c>
      <c r="E6072" s="117">
        <v>486119</v>
      </c>
      <c r="G6072" s="50" t="s">
        <v>241</v>
      </c>
      <c r="H6072" s="51">
        <v>11.443</v>
      </c>
      <c r="J6072" s="51">
        <v>3.6894999999999998</v>
      </c>
      <c r="K6072" s="74">
        <f>Tabela6[[#This Row],[CONSUMO]]*Tabela6[[#This Row],[VALOR UNIT]]-Tabela6[[#This Row],[DESCONTO]]</f>
        <v>42.218948499999996</v>
      </c>
      <c r="L6072" s="53">
        <f>Tabela6[[#This Row],[CUSTO TOTAL]]/Tabela6[[#This Row],[CONSUMO]]</f>
        <v>3.6894999999999998</v>
      </c>
      <c r="M6072" s="53" t="e">
        <f t="array" ref="M6072">SE</f>
        <v>#NAME?</v>
      </c>
      <c r="N6072" s="118" t="e">
        <f>Tabela6[[#This Row],[KM Rodados ]]/Tabela6[[#This Row],[CONSUMO]]</f>
        <v>#NAME?</v>
      </c>
    </row>
    <row r="6073" spans="1:14" x14ac:dyDescent="0.25">
      <c r="A6073" s="117">
        <v>344852</v>
      </c>
      <c r="B6073" s="78">
        <v>45761</v>
      </c>
      <c r="C6073" s="47" t="s">
        <v>567</v>
      </c>
      <c r="D6073" s="49" t="s">
        <v>262</v>
      </c>
      <c r="E6073" s="117">
        <v>41513</v>
      </c>
      <c r="G6073" s="50" t="s">
        <v>241</v>
      </c>
      <c r="H6073" s="51">
        <v>55.25</v>
      </c>
      <c r="J6073" s="51">
        <v>3.3298999999999999</v>
      </c>
      <c r="K6073" s="74">
        <f>Tabela6[[#This Row],[CONSUMO]]*Tabela6[[#This Row],[VALOR UNIT]]-Tabela6[[#This Row],[DESCONTO]]</f>
        <v>183.97697499999998</v>
      </c>
      <c r="L6073" s="53">
        <f>Tabela6[[#This Row],[CUSTO TOTAL]]/Tabela6[[#This Row],[CONSUMO]]</f>
        <v>3.3298999999999999</v>
      </c>
      <c r="M6073" s="53" t="e">
        <f t="array" ref="M6073">SE</f>
        <v>#NAME?</v>
      </c>
      <c r="N6073" s="118" t="e">
        <f>Tabela6[[#This Row],[KM Rodados ]]/Tabela6[[#This Row],[CONSUMO]]</f>
        <v>#NAME?</v>
      </c>
    </row>
    <row r="6074" spans="1:14" x14ac:dyDescent="0.25">
      <c r="A6074" s="117">
        <v>345019</v>
      </c>
      <c r="B6074" s="78">
        <v>45762</v>
      </c>
      <c r="C6074" s="47" t="s">
        <v>19</v>
      </c>
      <c r="D6074" s="49" t="s">
        <v>262</v>
      </c>
      <c r="E6074" s="117">
        <v>445053</v>
      </c>
      <c r="G6074" s="50" t="s">
        <v>241</v>
      </c>
      <c r="H6074" s="51">
        <v>8.19</v>
      </c>
      <c r="J6074" s="51">
        <v>3.3296000000000001</v>
      </c>
      <c r="K6074" s="74">
        <f>Tabela6[[#This Row],[CONSUMO]]*Tabela6[[#This Row],[VALOR UNIT]]-Tabela6[[#This Row],[DESCONTO]]</f>
        <v>27.269424000000001</v>
      </c>
      <c r="L6074" s="53">
        <f>Tabela6[[#This Row],[CUSTO TOTAL]]/Tabela6[[#This Row],[CONSUMO]]</f>
        <v>3.3296000000000001</v>
      </c>
      <c r="M6074" s="53" t="e">
        <f t="array" ref="M6074">SE</f>
        <v>#NAME?</v>
      </c>
      <c r="N6074" s="118" t="e">
        <f>Tabela6[[#This Row],[KM Rodados ]]/Tabela6[[#This Row],[CONSUMO]]</f>
        <v>#NAME?</v>
      </c>
    </row>
    <row r="6075" spans="1:14" x14ac:dyDescent="0.25">
      <c r="A6075" s="117">
        <v>117556</v>
      </c>
      <c r="B6075" s="78">
        <v>45762</v>
      </c>
      <c r="C6075" s="47" t="s">
        <v>73</v>
      </c>
      <c r="D6075" s="49" t="s">
        <v>274</v>
      </c>
      <c r="E6075" s="117">
        <v>267743</v>
      </c>
      <c r="G6075" s="50" t="s">
        <v>89</v>
      </c>
      <c r="H6075" s="51">
        <v>220</v>
      </c>
      <c r="J6075" s="51">
        <v>5.99</v>
      </c>
      <c r="K6075" s="74">
        <f>Tabela6[[#This Row],[CONSUMO]]*Tabela6[[#This Row],[VALOR UNIT]]-Tabela6[[#This Row],[DESCONTO]]</f>
        <v>1317.8</v>
      </c>
      <c r="L6075" s="53">
        <f>Tabela6[[#This Row],[CUSTO TOTAL]]/Tabela6[[#This Row],[CONSUMO]]</f>
        <v>5.99</v>
      </c>
      <c r="M6075" s="53" t="e">
        <f t="array" ref="M6075">SE</f>
        <v>#NAME?</v>
      </c>
      <c r="N6075" s="118" t="e">
        <f>Tabela6[[#This Row],[KM Rodados ]]/Tabela6[[#This Row],[CONSUMO]]</f>
        <v>#NAME?</v>
      </c>
    </row>
    <row r="6076" spans="1:14" x14ac:dyDescent="0.25">
      <c r="A6076" s="117">
        <v>21322</v>
      </c>
      <c r="B6076" s="78">
        <v>45762</v>
      </c>
      <c r="C6076" s="47" t="s">
        <v>222</v>
      </c>
      <c r="D6076" s="49" t="s">
        <v>324</v>
      </c>
      <c r="E6076" s="117">
        <v>667702</v>
      </c>
      <c r="G6076" s="50" t="s">
        <v>89</v>
      </c>
      <c r="H6076" s="51">
        <v>353.52100000000002</v>
      </c>
      <c r="J6076" s="51">
        <v>5.94</v>
      </c>
      <c r="K6076" s="74">
        <f>Tabela6[[#This Row],[CONSUMO]]*Tabela6[[#This Row],[VALOR UNIT]]-Tabela6[[#This Row],[DESCONTO]]</f>
        <v>2099.9147400000002</v>
      </c>
      <c r="L6076" s="53">
        <f>Tabela6[[#This Row],[CUSTO TOTAL]]/Tabela6[[#This Row],[CONSUMO]]</f>
        <v>5.94</v>
      </c>
      <c r="M6076" s="53" t="e">
        <f t="array" ref="M6076">SE</f>
        <v>#NAME?</v>
      </c>
      <c r="N6076" s="118" t="e">
        <f>Tabela6[[#This Row],[KM Rodados ]]/Tabela6[[#This Row],[CONSUMO]]</f>
        <v>#NAME?</v>
      </c>
    </row>
    <row r="6077" spans="1:14" x14ac:dyDescent="0.25">
      <c r="A6077" s="117">
        <v>21323</v>
      </c>
      <c r="B6077" s="78">
        <v>45762</v>
      </c>
      <c r="C6077" s="47" t="s">
        <v>222</v>
      </c>
      <c r="D6077" s="49" t="s">
        <v>324</v>
      </c>
      <c r="E6077" s="117">
        <v>667702</v>
      </c>
      <c r="G6077" s="50" t="s">
        <v>241</v>
      </c>
      <c r="H6077" s="51">
        <v>18.64</v>
      </c>
      <c r="J6077" s="51">
        <v>3.19</v>
      </c>
      <c r="K6077" s="74">
        <f>Tabela6[[#This Row],[CONSUMO]]*Tabela6[[#This Row],[VALOR UNIT]]-Tabela6[[#This Row],[DESCONTO]]</f>
        <v>59.461600000000004</v>
      </c>
      <c r="L6077" s="53">
        <f>Tabela6[[#This Row],[CUSTO TOTAL]]/Tabela6[[#This Row],[CONSUMO]]</f>
        <v>3.19</v>
      </c>
      <c r="M6077" s="53" t="e">
        <f t="array" ref="M6077">SE</f>
        <v>#NAME?</v>
      </c>
      <c r="N6077" s="118" t="e">
        <f>Tabela6[[#This Row],[KM Rodados ]]/Tabela6[[#This Row],[CONSUMO]]</f>
        <v>#NAME?</v>
      </c>
    </row>
    <row r="6078" spans="1:14" x14ac:dyDescent="0.25">
      <c r="A6078" s="117">
        <v>2640</v>
      </c>
      <c r="B6078" s="78">
        <v>45762</v>
      </c>
      <c r="C6078" s="47" t="s">
        <v>681</v>
      </c>
      <c r="D6078" s="49" t="s">
        <v>279</v>
      </c>
      <c r="E6078" s="117">
        <v>12411</v>
      </c>
      <c r="G6078" s="50" t="s">
        <v>241</v>
      </c>
      <c r="H6078" s="51">
        <v>22.032</v>
      </c>
      <c r="J6078" s="51">
        <v>3.19</v>
      </c>
      <c r="K6078" s="74">
        <f>Tabela6[[#This Row],[CONSUMO]]*Tabela6[[#This Row],[VALOR UNIT]]-Tabela6[[#This Row],[DESCONTO]]</f>
        <v>70.282079999999993</v>
      </c>
      <c r="L6078" s="53">
        <f>Tabela6[[#This Row],[CUSTO TOTAL]]/Tabela6[[#This Row],[CONSUMO]]</f>
        <v>3.1899999999999995</v>
      </c>
      <c r="M6078" s="53" t="e">
        <f t="array" ref="M6078">SE</f>
        <v>#NAME?</v>
      </c>
      <c r="N6078" s="118" t="e">
        <f>Tabela6[[#This Row],[KM Rodados ]]/Tabela6[[#This Row],[CONSUMO]]</f>
        <v>#NAME?</v>
      </c>
    </row>
    <row r="6079" spans="1:14" x14ac:dyDescent="0.25">
      <c r="A6079" s="117" t="s">
        <v>683</v>
      </c>
      <c r="B6079" s="78">
        <v>45762</v>
      </c>
      <c r="C6079" s="47" t="s">
        <v>10</v>
      </c>
      <c r="D6079" s="49" t="s">
        <v>279</v>
      </c>
      <c r="E6079" s="117">
        <v>830523</v>
      </c>
      <c r="G6079" s="50" t="s">
        <v>89</v>
      </c>
      <c r="H6079" s="51">
        <v>165</v>
      </c>
      <c r="J6079" s="51">
        <v>5.99</v>
      </c>
      <c r="K6079" s="74">
        <f>Tabela6[[#This Row],[CONSUMO]]*Tabela6[[#This Row],[VALOR UNIT]]-Tabela6[[#This Row],[DESCONTO]]</f>
        <v>988.35</v>
      </c>
      <c r="L6079" s="53">
        <f>Tabela6[[#This Row],[CUSTO TOTAL]]/Tabela6[[#This Row],[CONSUMO]]</f>
        <v>5.99</v>
      </c>
      <c r="M6079" s="53" t="e">
        <f t="array" ref="M6079">SE</f>
        <v>#NAME?</v>
      </c>
      <c r="N6079" s="118" t="e">
        <f>Tabela6[[#This Row],[KM Rodados ]]/Tabela6[[#This Row],[CONSUMO]]</f>
        <v>#NAME?</v>
      </c>
    </row>
    <row r="6080" spans="1:14" x14ac:dyDescent="0.25">
      <c r="A6080" s="117">
        <v>21371</v>
      </c>
      <c r="B6080" s="78">
        <v>45762</v>
      </c>
      <c r="C6080" s="47" t="s">
        <v>19</v>
      </c>
      <c r="D6080" s="49" t="s">
        <v>324</v>
      </c>
      <c r="E6080" s="117">
        <v>445336</v>
      </c>
      <c r="G6080" s="50" t="s">
        <v>241</v>
      </c>
      <c r="H6080" s="51">
        <v>15</v>
      </c>
      <c r="J6080" s="51">
        <v>3.19</v>
      </c>
      <c r="K6080" s="74">
        <f>Tabela6[[#This Row],[CONSUMO]]*Tabela6[[#This Row],[VALOR UNIT]]-Tabela6[[#This Row],[DESCONTO]]</f>
        <v>47.85</v>
      </c>
      <c r="L6080" s="53">
        <f>Tabela6[[#This Row],[CUSTO TOTAL]]/Tabela6[[#This Row],[CONSUMO]]</f>
        <v>3.19</v>
      </c>
      <c r="M6080" s="53" t="e">
        <f t="array" ref="M6080">SE</f>
        <v>#NAME?</v>
      </c>
      <c r="N6080" s="118" t="e">
        <f>Tabela6[[#This Row],[KM Rodados ]]/Tabela6[[#This Row],[CONSUMO]]</f>
        <v>#NAME?</v>
      </c>
    </row>
    <row r="6081" spans="1:14" x14ac:dyDescent="0.25">
      <c r="A6081" s="117">
        <v>89430</v>
      </c>
      <c r="B6081" s="78">
        <v>45762</v>
      </c>
      <c r="C6081" s="47" t="s">
        <v>72</v>
      </c>
      <c r="D6081" s="49" t="s">
        <v>629</v>
      </c>
      <c r="E6081" s="117">
        <v>509944</v>
      </c>
      <c r="G6081" s="50" t="s">
        <v>89</v>
      </c>
      <c r="H6081" s="51">
        <v>44.39</v>
      </c>
      <c r="J6081" s="51">
        <v>5.99</v>
      </c>
      <c r="K6081" s="74">
        <f>Tabela6[[#This Row],[CONSUMO]]*Tabela6[[#This Row],[VALOR UNIT]]-Tabela6[[#This Row],[DESCONTO]]</f>
        <v>265.89609999999999</v>
      </c>
      <c r="L6081" s="53">
        <f>Tabela6[[#This Row],[CUSTO TOTAL]]/Tabela6[[#This Row],[CONSUMO]]</f>
        <v>5.9899999999999993</v>
      </c>
      <c r="M6081" s="53" t="e">
        <f t="array" ref="M6081">SE</f>
        <v>#NAME?</v>
      </c>
      <c r="N6081" s="118" t="e">
        <f>Tabela6[[#This Row],[KM Rodados ]]/Tabela6[[#This Row],[CONSUMO]]</f>
        <v>#NAME?</v>
      </c>
    </row>
    <row r="6082" spans="1:14" x14ac:dyDescent="0.25">
      <c r="A6082" s="117">
        <v>93811</v>
      </c>
      <c r="B6082" s="78">
        <v>45762</v>
      </c>
      <c r="C6082" s="47" t="s">
        <v>401</v>
      </c>
      <c r="D6082" s="49" t="s">
        <v>357</v>
      </c>
      <c r="E6082" s="117">
        <v>101889</v>
      </c>
      <c r="G6082" s="50" t="s">
        <v>89</v>
      </c>
      <c r="H6082" s="51">
        <v>80.930000000000007</v>
      </c>
      <c r="J6082" s="51">
        <v>6.18</v>
      </c>
      <c r="K6082" s="74">
        <f>Tabela6[[#This Row],[CONSUMO]]*Tabela6[[#This Row],[VALOR UNIT]]-Tabela6[[#This Row],[DESCONTO]]</f>
        <v>500.1474</v>
      </c>
      <c r="L6082" s="53">
        <f>Tabela6[[#This Row],[CUSTO TOTAL]]/Tabela6[[#This Row],[CONSUMO]]</f>
        <v>6.18</v>
      </c>
      <c r="M6082" s="53" t="e">
        <f t="array" ref="M6082">SE</f>
        <v>#NAME?</v>
      </c>
      <c r="N6082" s="118" t="e">
        <f>Tabela6[[#This Row],[KM Rodados ]]/Tabela6[[#This Row],[CONSUMO]]</f>
        <v>#NAME?</v>
      </c>
    </row>
    <row r="6083" spans="1:14" x14ac:dyDescent="0.25">
      <c r="A6083" s="117">
        <v>93825</v>
      </c>
      <c r="B6083" s="78">
        <v>45762</v>
      </c>
      <c r="C6083" s="47" t="s">
        <v>401</v>
      </c>
      <c r="D6083" s="49" t="s">
        <v>357</v>
      </c>
      <c r="E6083" s="117">
        <v>101889</v>
      </c>
      <c r="G6083" s="50" t="s">
        <v>241</v>
      </c>
      <c r="H6083" s="51">
        <v>25.87</v>
      </c>
      <c r="J6083" s="51">
        <v>3.05</v>
      </c>
      <c r="K6083" s="74">
        <f>Tabela6[[#This Row],[CONSUMO]]*Tabela6[[#This Row],[VALOR UNIT]]-Tabela6[[#This Row],[DESCONTO]]</f>
        <v>78.903499999999994</v>
      </c>
      <c r="L6083" s="53">
        <f>Tabela6[[#This Row],[CUSTO TOTAL]]/Tabela6[[#This Row],[CONSUMO]]</f>
        <v>3.05</v>
      </c>
      <c r="M6083" s="53" t="e">
        <f t="array" ref="M6083">SE</f>
        <v>#NAME?</v>
      </c>
      <c r="N6083" s="118" t="e">
        <f>Tabela6[[#This Row],[KM Rodados ]]/Tabela6[[#This Row],[CONSUMO]]</f>
        <v>#NAME?</v>
      </c>
    </row>
    <row r="6084" spans="1:14" x14ac:dyDescent="0.25">
      <c r="A6084" s="117">
        <v>528828</v>
      </c>
      <c r="B6084" s="78">
        <v>45762</v>
      </c>
      <c r="C6084" s="47" t="s">
        <v>67</v>
      </c>
      <c r="D6084" s="49" t="s">
        <v>269</v>
      </c>
      <c r="E6084" s="117">
        <v>772107</v>
      </c>
      <c r="G6084" s="50" t="s">
        <v>89</v>
      </c>
      <c r="H6084" s="51">
        <v>130.46</v>
      </c>
      <c r="J6084" s="51">
        <v>6.09</v>
      </c>
      <c r="K6084" s="74">
        <f>Tabela6[[#This Row],[CONSUMO]]*Tabela6[[#This Row],[VALOR UNIT]]-Tabela6[[#This Row],[DESCONTO]]</f>
        <v>794.50139999999999</v>
      </c>
      <c r="L6084" s="53">
        <f>Tabela6[[#This Row],[CUSTO TOTAL]]/Tabela6[[#This Row],[CONSUMO]]</f>
        <v>6.09</v>
      </c>
      <c r="M6084" s="53" t="e">
        <f t="array" ref="M6084">SE</f>
        <v>#NAME?</v>
      </c>
      <c r="N6084" s="118" t="e">
        <f>Tabela6[[#This Row],[KM Rodados ]]/Tabela6[[#This Row],[CONSUMO]]</f>
        <v>#NAME?</v>
      </c>
    </row>
    <row r="6085" spans="1:14" x14ac:dyDescent="0.25">
      <c r="A6085" s="117">
        <v>345032</v>
      </c>
      <c r="B6085" s="78">
        <v>45762</v>
      </c>
      <c r="C6085" s="47" t="s">
        <v>446</v>
      </c>
      <c r="D6085" s="49" t="s">
        <v>262</v>
      </c>
      <c r="E6085" s="117">
        <v>100290</v>
      </c>
      <c r="G6085" s="50" t="s">
        <v>241</v>
      </c>
      <c r="H6085" s="51">
        <v>29.95</v>
      </c>
      <c r="J6085" s="51">
        <v>3.32</v>
      </c>
      <c r="K6085" s="74">
        <f>Tabela6[[#This Row],[CONSUMO]]*Tabela6[[#This Row],[VALOR UNIT]]-Tabela6[[#This Row],[DESCONTO]]</f>
        <v>99.433999999999997</v>
      </c>
      <c r="L6085" s="53">
        <f>Tabela6[[#This Row],[CUSTO TOTAL]]/Tabela6[[#This Row],[CONSUMO]]</f>
        <v>3.32</v>
      </c>
      <c r="M6085" s="53" t="e">
        <f t="array" ref="M6085">SE</f>
        <v>#NAME?</v>
      </c>
      <c r="N6085" s="118" t="e">
        <f>Tabela6[[#This Row],[KM Rodados ]]/Tabela6[[#This Row],[CONSUMO]]</f>
        <v>#NAME?</v>
      </c>
    </row>
    <row r="6086" spans="1:14" x14ac:dyDescent="0.25">
      <c r="A6086" s="117">
        <v>345110</v>
      </c>
      <c r="B6086" s="78">
        <v>45762</v>
      </c>
      <c r="C6086" s="47" t="s">
        <v>569</v>
      </c>
      <c r="D6086" s="49" t="s">
        <v>262</v>
      </c>
      <c r="E6086" s="117">
        <v>27373</v>
      </c>
      <c r="G6086" s="50" t="s">
        <v>241</v>
      </c>
      <c r="H6086" s="51">
        <v>26.535</v>
      </c>
      <c r="J6086" s="51">
        <v>3.3298999999999999</v>
      </c>
      <c r="K6086" s="74">
        <f>Tabela6[[#This Row],[CONSUMO]]*Tabela6[[#This Row],[VALOR UNIT]]-Tabela6[[#This Row],[DESCONTO]]</f>
        <v>88.3588965</v>
      </c>
      <c r="L6086" s="53">
        <f>Tabela6[[#This Row],[CUSTO TOTAL]]/Tabela6[[#This Row],[CONSUMO]]</f>
        <v>3.3298999999999999</v>
      </c>
      <c r="M6086" s="53" t="e">
        <f t="array" ref="M6086">SE</f>
        <v>#NAME?</v>
      </c>
      <c r="N6086" s="118" t="e">
        <f>Tabela6[[#This Row],[KM Rodados ]]/Tabela6[[#This Row],[CONSUMO]]</f>
        <v>#NAME?</v>
      </c>
    </row>
    <row r="6087" spans="1:14" x14ac:dyDescent="0.25">
      <c r="A6087" s="117">
        <v>64210</v>
      </c>
      <c r="B6087" s="78">
        <v>45763</v>
      </c>
      <c r="C6087" s="47" t="s">
        <v>18</v>
      </c>
      <c r="D6087" s="49" t="s">
        <v>255</v>
      </c>
      <c r="E6087" s="117">
        <v>400414</v>
      </c>
      <c r="G6087" s="50" t="s">
        <v>89</v>
      </c>
      <c r="H6087" s="51">
        <v>93.31</v>
      </c>
      <c r="J6087" s="51">
        <v>6.39</v>
      </c>
      <c r="K6087" s="74">
        <f>Tabela6[[#This Row],[CONSUMO]]*Tabela6[[#This Row],[VALOR UNIT]]-Tabela6[[#This Row],[DESCONTO]]</f>
        <v>596.2509</v>
      </c>
      <c r="L6087" s="53">
        <f>Tabela6[[#This Row],[CUSTO TOTAL]]/Tabela6[[#This Row],[CONSUMO]]</f>
        <v>6.39</v>
      </c>
      <c r="M6087" s="53" t="e">
        <f t="array" ref="M6087">SE</f>
        <v>#NAME?</v>
      </c>
      <c r="N6087" s="118" t="e">
        <f>Tabela6[[#This Row],[KM Rodados ]]/Tabela6[[#This Row],[CONSUMO]]</f>
        <v>#NAME?</v>
      </c>
    </row>
    <row r="6088" spans="1:14" x14ac:dyDescent="0.25">
      <c r="A6088" s="117">
        <v>345225</v>
      </c>
      <c r="B6088" s="78">
        <v>45763</v>
      </c>
      <c r="C6088" s="47" t="s">
        <v>203</v>
      </c>
      <c r="D6088" s="49" t="s">
        <v>262</v>
      </c>
      <c r="E6088" s="117">
        <v>214966</v>
      </c>
      <c r="G6088" s="50" t="s">
        <v>244</v>
      </c>
      <c r="H6088" s="51">
        <v>32.880000000000003</v>
      </c>
      <c r="J6088" s="51">
        <v>5.9898999999999996</v>
      </c>
      <c r="K6088" s="74">
        <f>Tabela6[[#This Row],[CONSUMO]]*Tabela6[[#This Row],[VALOR UNIT]]-Tabela6[[#This Row],[DESCONTO]]</f>
        <v>196.947912</v>
      </c>
      <c r="L6088" s="53">
        <f>Tabela6[[#This Row],[CUSTO TOTAL]]/Tabela6[[#This Row],[CONSUMO]]</f>
        <v>5.9898999999999996</v>
      </c>
      <c r="M6088" s="53" t="e">
        <f t="array" ref="M6088">SE</f>
        <v>#NAME?</v>
      </c>
      <c r="N6088" s="118" t="e">
        <f>Tabela6[[#This Row],[KM Rodados ]]/Tabela6[[#This Row],[CONSUMO]]</f>
        <v>#NAME?</v>
      </c>
    </row>
    <row r="6089" spans="1:14" x14ac:dyDescent="0.25">
      <c r="A6089" s="117">
        <v>345235</v>
      </c>
      <c r="B6089" s="78">
        <v>45763</v>
      </c>
      <c r="C6089" s="47" t="s">
        <v>354</v>
      </c>
      <c r="D6089" s="49" t="s">
        <v>262</v>
      </c>
      <c r="E6089" s="117">
        <v>100691</v>
      </c>
      <c r="G6089" s="50" t="s">
        <v>89</v>
      </c>
      <c r="H6089" s="51">
        <v>24.004999999999999</v>
      </c>
      <c r="J6089" s="51">
        <v>3.3300999999999998</v>
      </c>
      <c r="K6089" s="74">
        <f>Tabela6[[#This Row],[CONSUMO]]*Tabela6[[#This Row],[VALOR UNIT]]-Tabela6[[#This Row],[DESCONTO]]</f>
        <v>79.939050499999993</v>
      </c>
      <c r="L6089" s="53">
        <f>Tabela6[[#This Row],[CUSTO TOTAL]]/Tabela6[[#This Row],[CONSUMO]]</f>
        <v>3.3300999999999998</v>
      </c>
      <c r="M6089" s="53" t="e">
        <f t="array" ref="M6089">SE</f>
        <v>#NAME?</v>
      </c>
      <c r="N6089" s="118" t="e">
        <f>Tabela6[[#This Row],[KM Rodados ]]/Tabela6[[#This Row],[CONSUMO]]</f>
        <v>#NAME?</v>
      </c>
    </row>
    <row r="6090" spans="1:14" x14ac:dyDescent="0.25">
      <c r="A6090" s="117">
        <v>345174</v>
      </c>
      <c r="B6090" s="78">
        <v>45763</v>
      </c>
      <c r="C6090" s="47" t="s">
        <v>43</v>
      </c>
      <c r="D6090" s="49" t="s">
        <v>262</v>
      </c>
      <c r="E6090" s="117">
        <v>243988</v>
      </c>
      <c r="G6090" s="50" t="s">
        <v>89</v>
      </c>
      <c r="H6090" s="51">
        <v>24.48</v>
      </c>
      <c r="J6090" s="51">
        <v>6.29</v>
      </c>
      <c r="K6090" s="74">
        <f>Tabela6[[#This Row],[CONSUMO]]*Tabela6[[#This Row],[VALOR UNIT]]-Tabela6[[#This Row],[DESCONTO]]</f>
        <v>153.97919999999999</v>
      </c>
      <c r="L6090" s="53">
        <f>Tabela6[[#This Row],[CUSTO TOTAL]]/Tabela6[[#This Row],[CONSUMO]]</f>
        <v>6.2899999999999991</v>
      </c>
      <c r="M6090" s="53" t="e">
        <f t="array" ref="M6090">SE</f>
        <v>#NAME?</v>
      </c>
      <c r="N6090" s="118" t="e">
        <f>Tabela6[[#This Row],[KM Rodados ]]/Tabela6[[#This Row],[CONSUMO]]</f>
        <v>#NAME?</v>
      </c>
    </row>
    <row r="6091" spans="1:14" x14ac:dyDescent="0.25">
      <c r="A6091" s="117">
        <v>417831</v>
      </c>
      <c r="B6091" s="78">
        <v>45763</v>
      </c>
      <c r="C6091" s="47" t="s">
        <v>43</v>
      </c>
      <c r="D6091" s="49" t="s">
        <v>300</v>
      </c>
      <c r="E6091" s="117">
        <v>244230</v>
      </c>
      <c r="G6091" s="50" t="s">
        <v>89</v>
      </c>
      <c r="H6091" s="51">
        <v>30.280999999999999</v>
      </c>
      <c r="J6091" s="51">
        <v>6.09</v>
      </c>
      <c r="K6091" s="74">
        <f>Tabela6[[#This Row],[CONSUMO]]*Tabela6[[#This Row],[VALOR UNIT]]-Tabela6[[#This Row],[DESCONTO]]</f>
        <v>184.41128999999998</v>
      </c>
      <c r="L6091" s="53">
        <f>Tabela6[[#This Row],[CUSTO TOTAL]]/Tabela6[[#This Row],[CONSUMO]]</f>
        <v>6.09</v>
      </c>
      <c r="M6091" s="53" t="e">
        <f t="array" ref="M6091">SE</f>
        <v>#NAME?</v>
      </c>
      <c r="N6091" s="118" t="e">
        <f>Tabela6[[#This Row],[KM Rodados ]]/Tabela6[[#This Row],[CONSUMO]]</f>
        <v>#NAME?</v>
      </c>
    </row>
    <row r="6092" spans="1:14" x14ac:dyDescent="0.25">
      <c r="A6092" s="117">
        <v>345418</v>
      </c>
      <c r="B6092" s="78">
        <v>45764</v>
      </c>
      <c r="C6092" s="47" t="s">
        <v>315</v>
      </c>
      <c r="D6092" s="49" t="s">
        <v>262</v>
      </c>
      <c r="E6092" s="117">
        <v>70185</v>
      </c>
      <c r="G6092" s="50" t="s">
        <v>89</v>
      </c>
      <c r="H6092" s="51">
        <v>62.811999999999998</v>
      </c>
      <c r="J6092" s="51">
        <v>5.9561000000000002</v>
      </c>
      <c r="K6092" s="74">
        <f>Tabela6[[#This Row],[CONSUMO]]*Tabela6[[#This Row],[VALOR UNIT]]-Tabela6[[#This Row],[DESCONTO]]</f>
        <v>374.11455319999999</v>
      </c>
      <c r="L6092" s="53">
        <f>Tabela6[[#This Row],[CUSTO TOTAL]]/Tabela6[[#This Row],[CONSUMO]]</f>
        <v>5.9561000000000002</v>
      </c>
      <c r="M6092" s="53" t="e">
        <f t="array" ref="M6092">SE</f>
        <v>#NAME?</v>
      </c>
      <c r="N6092" s="118" t="e">
        <f>Tabela6[[#This Row],[KM Rodados ]]/Tabela6[[#This Row],[CONSUMO]]</f>
        <v>#NAME?</v>
      </c>
    </row>
    <row r="6093" spans="1:14" x14ac:dyDescent="0.25">
      <c r="A6093" s="117">
        <v>345436</v>
      </c>
      <c r="B6093" s="78">
        <v>45764</v>
      </c>
      <c r="C6093" s="47" t="s">
        <v>40</v>
      </c>
      <c r="D6093" s="49" t="s">
        <v>262</v>
      </c>
      <c r="E6093" s="117">
        <v>252573</v>
      </c>
      <c r="G6093" s="50" t="s">
        <v>244</v>
      </c>
      <c r="H6093" s="51">
        <v>37.92</v>
      </c>
      <c r="J6093" s="51">
        <v>5.9898999999999996</v>
      </c>
      <c r="K6093" s="74">
        <f>Tabela6[[#This Row],[CONSUMO]]*Tabela6[[#This Row],[VALOR UNIT]]-Tabela6[[#This Row],[DESCONTO]]</f>
        <v>227.13700799999998</v>
      </c>
      <c r="L6093" s="53">
        <f>Tabela6[[#This Row],[CUSTO TOTAL]]/Tabela6[[#This Row],[CONSUMO]]</f>
        <v>5.9898999999999996</v>
      </c>
      <c r="M6093" s="53" t="e">
        <f t="array" ref="M6093">SE</f>
        <v>#NAME?</v>
      </c>
      <c r="N6093" s="118" t="e">
        <f>Tabela6[[#This Row],[KM Rodados ]]/Tabela6[[#This Row],[CONSUMO]]</f>
        <v>#NAME?</v>
      </c>
    </row>
    <row r="6094" spans="1:14" x14ac:dyDescent="0.25">
      <c r="A6094" s="117" t="s">
        <v>684</v>
      </c>
      <c r="B6094" s="78">
        <v>45764</v>
      </c>
      <c r="C6094" s="47" t="s">
        <v>74</v>
      </c>
      <c r="D6094" s="49" t="s">
        <v>300</v>
      </c>
      <c r="E6094" s="117">
        <v>87466</v>
      </c>
      <c r="G6094" s="50" t="s">
        <v>89</v>
      </c>
      <c r="H6094" s="51">
        <v>74.331000000000003</v>
      </c>
      <c r="J6094" s="51">
        <v>6.09</v>
      </c>
      <c r="K6094" s="74">
        <f>Tabela6[[#This Row],[CONSUMO]]*Tabela6[[#This Row],[VALOR UNIT]]-Tabela6[[#This Row],[DESCONTO]]</f>
        <v>452.67579000000001</v>
      </c>
      <c r="L6094" s="53">
        <f>Tabela6[[#This Row],[CUSTO TOTAL]]/Tabela6[[#This Row],[CONSUMO]]</f>
        <v>6.09</v>
      </c>
      <c r="M6094" s="53" t="e">
        <f t="array" ref="M6094">SE</f>
        <v>#NAME?</v>
      </c>
      <c r="N6094" s="118" t="e">
        <f>Tabela6[[#This Row],[KM Rodados ]]/Tabela6[[#This Row],[CONSUMO]]</f>
        <v>#NAME?</v>
      </c>
    </row>
    <row r="6095" spans="1:14" x14ac:dyDescent="0.25">
      <c r="A6095" s="117">
        <v>492586</v>
      </c>
      <c r="B6095" s="78">
        <v>45764</v>
      </c>
      <c r="C6095" s="47" t="s">
        <v>15</v>
      </c>
      <c r="D6095" s="49" t="s">
        <v>253</v>
      </c>
      <c r="E6095" s="117"/>
      <c r="G6095" s="50" t="s">
        <v>89</v>
      </c>
      <c r="H6095" s="51">
        <v>123.29</v>
      </c>
      <c r="J6095" s="51">
        <v>6.29</v>
      </c>
      <c r="K6095" s="74">
        <f>Tabela6[[#This Row],[CONSUMO]]*Tabela6[[#This Row],[VALOR UNIT]]-Tabela6[[#This Row],[DESCONTO]]</f>
        <v>775.4941</v>
      </c>
      <c r="L6095" s="53">
        <f>Tabela6[[#This Row],[CUSTO TOTAL]]/Tabela6[[#This Row],[CONSUMO]]</f>
        <v>6.29</v>
      </c>
      <c r="M6095" s="53" t="e">
        <f t="array" ref="M6095">SE</f>
        <v>#NAME?</v>
      </c>
      <c r="N6095" s="118" t="e">
        <f>Tabela6[[#This Row],[KM Rodados ]]/Tabela6[[#This Row],[CONSUMO]]</f>
        <v>#NAME?</v>
      </c>
    </row>
    <row r="6096" spans="1:14" x14ac:dyDescent="0.25">
      <c r="A6096" s="117" t="s">
        <v>691</v>
      </c>
      <c r="B6096" s="78">
        <v>45764</v>
      </c>
      <c r="C6096" s="47" t="s">
        <v>12</v>
      </c>
      <c r="D6096" s="49" t="s">
        <v>253</v>
      </c>
      <c r="E6096" s="117">
        <v>358966</v>
      </c>
      <c r="G6096" s="50" t="s">
        <v>89</v>
      </c>
      <c r="H6096" s="51">
        <v>100.03</v>
      </c>
      <c r="J6096" s="51">
        <v>6.29</v>
      </c>
      <c r="K6096" s="74">
        <f>Tabela6[[#This Row],[CONSUMO]]*Tabela6[[#This Row],[VALOR UNIT]]-Tabela6[[#This Row],[DESCONTO]]</f>
        <v>629.18870000000004</v>
      </c>
      <c r="L6096" s="53">
        <f>Tabela6[[#This Row],[CUSTO TOTAL]]/Tabela6[[#This Row],[CONSUMO]]</f>
        <v>6.29</v>
      </c>
      <c r="M6096" s="53" t="e">
        <f t="array" ref="M6096">SE</f>
        <v>#NAME?</v>
      </c>
      <c r="N6096" s="118" t="e">
        <f>Tabela6[[#This Row],[KM Rodados ]]/Tabela6[[#This Row],[CONSUMO]]</f>
        <v>#NAME?</v>
      </c>
    </row>
    <row r="6097" spans="1:14" x14ac:dyDescent="0.25">
      <c r="A6097" s="117">
        <v>492981</v>
      </c>
      <c r="B6097" s="78">
        <v>45764</v>
      </c>
      <c r="C6097" s="47" t="s">
        <v>39</v>
      </c>
      <c r="D6097" s="49" t="s">
        <v>253</v>
      </c>
      <c r="E6097" s="117">
        <v>144560</v>
      </c>
      <c r="G6097" s="50" t="s">
        <v>89</v>
      </c>
      <c r="H6097" s="51">
        <v>71.02</v>
      </c>
      <c r="J6097" s="51">
        <v>6.29</v>
      </c>
      <c r="K6097" s="74">
        <f>Tabela6[[#This Row],[CONSUMO]]*Tabela6[[#This Row],[VALOR UNIT]]-Tabela6[[#This Row],[DESCONTO]]</f>
        <v>446.7158</v>
      </c>
      <c r="L6097" s="53">
        <f>Tabela6[[#This Row],[CUSTO TOTAL]]/Tabela6[[#This Row],[CONSUMO]]</f>
        <v>6.29</v>
      </c>
      <c r="M6097" s="53" t="e">
        <f t="array" ref="M6097">SE</f>
        <v>#NAME?</v>
      </c>
      <c r="N6097" s="118" t="e">
        <f>Tabela6[[#This Row],[KM Rodados ]]/Tabela6[[#This Row],[CONSUMO]]</f>
        <v>#NAME?</v>
      </c>
    </row>
    <row r="6098" spans="1:14" x14ac:dyDescent="0.25">
      <c r="A6098" s="117">
        <v>345543</v>
      </c>
      <c r="B6098" s="78">
        <v>45764</v>
      </c>
      <c r="C6098" s="47" t="s">
        <v>203</v>
      </c>
      <c r="D6098" s="49" t="s">
        <v>262</v>
      </c>
      <c r="E6098" s="117">
        <v>215158</v>
      </c>
      <c r="G6098" s="50" t="s">
        <v>244</v>
      </c>
      <c r="H6098" s="51">
        <v>35.75</v>
      </c>
      <c r="J6098" s="51">
        <v>5.9898999999999996</v>
      </c>
      <c r="K6098" s="74">
        <f>Tabela6[[#This Row],[CONSUMO]]*Tabela6[[#This Row],[VALOR UNIT]]-Tabela6[[#This Row],[DESCONTO]]</f>
        <v>214.13892499999997</v>
      </c>
      <c r="L6098" s="53">
        <f>Tabela6[[#This Row],[CUSTO TOTAL]]/Tabela6[[#This Row],[CONSUMO]]</f>
        <v>5.9898999999999996</v>
      </c>
      <c r="M6098" s="53" t="e">
        <f t="array" ref="M6098">SE</f>
        <v>#NAME?</v>
      </c>
      <c r="N6098" s="118" t="e">
        <f>Tabela6[[#This Row],[KM Rodados ]]/Tabela6[[#This Row],[CONSUMO]]</f>
        <v>#NAME?</v>
      </c>
    </row>
    <row r="6099" spans="1:14" x14ac:dyDescent="0.25">
      <c r="A6099" s="117">
        <v>64490</v>
      </c>
      <c r="B6099" s="78">
        <v>45764</v>
      </c>
      <c r="C6099" s="47" t="s">
        <v>23</v>
      </c>
      <c r="D6099" s="49" t="s">
        <v>255</v>
      </c>
      <c r="E6099" s="117">
        <v>334145</v>
      </c>
      <c r="G6099" s="50" t="s">
        <v>89</v>
      </c>
      <c r="H6099" s="51">
        <v>169.23</v>
      </c>
      <c r="J6099" s="51">
        <v>6.39</v>
      </c>
      <c r="K6099" s="74">
        <f>Tabela6[[#This Row],[CONSUMO]]*Tabela6[[#This Row],[VALOR UNIT]]-Tabela6[[#This Row],[DESCONTO]]</f>
        <v>1081.3797</v>
      </c>
      <c r="L6099" s="53">
        <f>Tabela6[[#This Row],[CUSTO TOTAL]]/Tabela6[[#This Row],[CONSUMO]]</f>
        <v>6.3900000000000006</v>
      </c>
      <c r="M6099" s="53" t="e">
        <f t="array" ref="M6099">SE</f>
        <v>#NAME?</v>
      </c>
      <c r="N6099" s="118" t="e">
        <f>Tabela6[[#This Row],[KM Rodados ]]/Tabela6[[#This Row],[CONSUMO]]</f>
        <v>#NAME?</v>
      </c>
    </row>
    <row r="6100" spans="1:14" x14ac:dyDescent="0.25">
      <c r="A6100" s="117">
        <v>64946</v>
      </c>
      <c r="B6100" s="78">
        <v>45766</v>
      </c>
      <c r="C6100" s="47" t="s">
        <v>38</v>
      </c>
      <c r="D6100" s="49" t="s">
        <v>255</v>
      </c>
      <c r="E6100" s="117">
        <v>166847</v>
      </c>
      <c r="G6100" s="50" t="s">
        <v>244</v>
      </c>
      <c r="H6100" s="51">
        <v>47.32</v>
      </c>
      <c r="J6100" s="51">
        <v>6.37</v>
      </c>
      <c r="K6100" s="74">
        <f>Tabela6[[#This Row],[CONSUMO]]*Tabela6[[#This Row],[VALOR UNIT]]-Tabela6[[#This Row],[DESCONTO]]</f>
        <v>301.42840000000001</v>
      </c>
      <c r="L6100" s="53">
        <f>Tabela6[[#This Row],[CUSTO TOTAL]]/Tabela6[[#This Row],[CONSUMO]]</f>
        <v>6.37</v>
      </c>
      <c r="M6100" s="53" t="e">
        <f t="array" ref="M6100">SE</f>
        <v>#NAME?</v>
      </c>
      <c r="N6100" s="118" t="e">
        <f>Tabela6[[#This Row],[KM Rodados ]]/Tabela6[[#This Row],[CONSUMO]]</f>
        <v>#NAME?</v>
      </c>
    </row>
    <row r="6101" spans="1:14" x14ac:dyDescent="0.25">
      <c r="A6101" s="117">
        <v>346183</v>
      </c>
      <c r="B6101" s="78">
        <v>45767</v>
      </c>
      <c r="C6101" s="47" t="s">
        <v>426</v>
      </c>
      <c r="D6101" s="49" t="s">
        <v>262</v>
      </c>
      <c r="E6101" s="117">
        <v>89650</v>
      </c>
      <c r="G6101" s="50" t="s">
        <v>89</v>
      </c>
      <c r="H6101" s="51">
        <v>103.979</v>
      </c>
      <c r="J6101" s="51">
        <v>6.29</v>
      </c>
      <c r="K6101" s="74">
        <f>Tabela6[[#This Row],[CONSUMO]]*Tabela6[[#This Row],[VALOR UNIT]]-Tabela6[[#This Row],[DESCONTO]]</f>
        <v>654.02791000000002</v>
      </c>
      <c r="L6101" s="53">
        <f>Tabela6[[#This Row],[CUSTO TOTAL]]/Tabela6[[#This Row],[CONSUMO]]</f>
        <v>6.29</v>
      </c>
      <c r="M6101" s="53" t="e">
        <f t="array" ref="M6101">SE</f>
        <v>#NAME?</v>
      </c>
      <c r="N6101" s="118" t="e">
        <f>Tabela6[[#This Row],[KM Rodados ]]/Tabela6[[#This Row],[CONSUMO]]</f>
        <v>#NAME?</v>
      </c>
    </row>
    <row r="6102" spans="1:14" x14ac:dyDescent="0.25">
      <c r="A6102" s="117">
        <v>516968</v>
      </c>
      <c r="B6102" s="78">
        <v>45767</v>
      </c>
      <c r="C6102" s="47" t="s">
        <v>206</v>
      </c>
      <c r="D6102" s="49" t="s">
        <v>361</v>
      </c>
      <c r="E6102" s="117">
        <v>1081009</v>
      </c>
      <c r="G6102" s="50" t="s">
        <v>89</v>
      </c>
      <c r="H6102" s="51">
        <v>270.79000000000002</v>
      </c>
      <c r="J6102" s="51">
        <v>5.99</v>
      </c>
      <c r="K6102" s="74">
        <f>Tabela6[[#This Row],[CONSUMO]]*Tabela6[[#This Row],[VALOR UNIT]]-Tabela6[[#This Row],[DESCONTO]]</f>
        <v>1622.0321000000001</v>
      </c>
      <c r="L6102" s="53">
        <f>Tabela6[[#This Row],[CUSTO TOTAL]]/Tabela6[[#This Row],[CONSUMO]]</f>
        <v>5.99</v>
      </c>
      <c r="M6102" s="53" t="e">
        <f t="array" ref="M6102">SE</f>
        <v>#NAME?</v>
      </c>
      <c r="N6102" s="118" t="e">
        <f>Tabela6[[#This Row],[KM Rodados ]]/Tabela6[[#This Row],[CONSUMO]]</f>
        <v>#NAME?</v>
      </c>
    </row>
    <row r="6103" spans="1:14" x14ac:dyDescent="0.25">
      <c r="A6103" s="117">
        <v>516969</v>
      </c>
      <c r="B6103" s="78">
        <v>45767</v>
      </c>
      <c r="C6103" s="47" t="s">
        <v>206</v>
      </c>
      <c r="D6103" s="49" t="s">
        <v>361</v>
      </c>
      <c r="E6103" s="117">
        <v>1081009</v>
      </c>
      <c r="G6103" s="50" t="s">
        <v>241</v>
      </c>
      <c r="H6103" s="51">
        <v>15.141999999999999</v>
      </c>
      <c r="J6103" s="51">
        <v>3.19</v>
      </c>
      <c r="K6103" s="74">
        <f>Tabela6[[#This Row],[CONSUMO]]*Tabela6[[#This Row],[VALOR UNIT]]-Tabela6[[#This Row],[DESCONTO]]</f>
        <v>48.302979999999998</v>
      </c>
      <c r="L6103" s="53">
        <f>Tabela6[[#This Row],[CUSTO TOTAL]]/Tabela6[[#This Row],[CONSUMO]]</f>
        <v>3.19</v>
      </c>
      <c r="M6103" s="53" t="e">
        <f t="array" ref="M6103">SE</f>
        <v>#NAME?</v>
      </c>
      <c r="N6103" s="118" t="e">
        <f>Tabela6[[#This Row],[KM Rodados ]]/Tabela6[[#This Row],[CONSUMO]]</f>
        <v>#NAME?</v>
      </c>
    </row>
    <row r="6104" spans="1:14" x14ac:dyDescent="0.25">
      <c r="A6104" s="117">
        <v>577416</v>
      </c>
      <c r="B6104" s="78">
        <v>45768</v>
      </c>
      <c r="C6104" s="47" t="s">
        <v>206</v>
      </c>
      <c r="D6104" s="49" t="s">
        <v>333</v>
      </c>
      <c r="E6104" s="117">
        <v>1081714</v>
      </c>
      <c r="G6104" s="50" t="s">
        <v>89</v>
      </c>
      <c r="H6104" s="51">
        <v>273.01100000000002</v>
      </c>
      <c r="J6104" s="51">
        <v>5.99</v>
      </c>
      <c r="K6104" s="74">
        <f>Tabela6[[#This Row],[CONSUMO]]*Tabela6[[#This Row],[VALOR UNIT]]-Tabela6[[#This Row],[DESCONTO]]</f>
        <v>1635.3358900000003</v>
      </c>
      <c r="L6104" s="53">
        <f>Tabela6[[#This Row],[CUSTO TOTAL]]/Tabela6[[#This Row],[CONSUMO]]</f>
        <v>5.99</v>
      </c>
      <c r="M6104" s="53" t="e">
        <f t="array" ref="M6104">SE</f>
        <v>#NAME?</v>
      </c>
      <c r="N6104" s="118" t="e">
        <f>Tabela6[[#This Row],[KM Rodados ]]/Tabela6[[#This Row],[CONSUMO]]</f>
        <v>#NAME?</v>
      </c>
    </row>
    <row r="6105" spans="1:14" x14ac:dyDescent="0.25">
      <c r="A6105" s="117">
        <v>125519</v>
      </c>
      <c r="B6105" s="78">
        <v>45769</v>
      </c>
      <c r="C6105" s="47" t="s">
        <v>43</v>
      </c>
      <c r="D6105" s="49" t="s">
        <v>698</v>
      </c>
      <c r="E6105" s="117">
        <v>244846</v>
      </c>
      <c r="G6105" s="50" t="s">
        <v>89</v>
      </c>
      <c r="H6105" s="51">
        <v>51.28</v>
      </c>
      <c r="J6105" s="51">
        <v>5.89</v>
      </c>
      <c r="K6105" s="74">
        <f>Tabela6[[#This Row],[CONSUMO]]*Tabela6[[#This Row],[VALOR UNIT]]-Tabela6[[#This Row],[DESCONTO]]</f>
        <v>302.03919999999999</v>
      </c>
      <c r="L6105" s="53">
        <f>Tabela6[[#This Row],[CUSTO TOTAL]]/Tabela6[[#This Row],[CONSUMO]]</f>
        <v>5.89</v>
      </c>
      <c r="M6105" s="53" t="e">
        <f t="array" ref="M6105">SE</f>
        <v>#NAME?</v>
      </c>
      <c r="N6105" s="118" t="e">
        <f>Tabela6[[#This Row],[KM Rodados ]]/Tabela6[[#This Row],[CONSUMO]]</f>
        <v>#NAME?</v>
      </c>
    </row>
    <row r="6106" spans="1:14" x14ac:dyDescent="0.25">
      <c r="A6106" s="117">
        <v>346491</v>
      </c>
      <c r="B6106" s="78">
        <v>45769</v>
      </c>
      <c r="C6106" s="47" t="s">
        <v>222</v>
      </c>
      <c r="D6106" s="49" t="s">
        <v>262</v>
      </c>
      <c r="E6106" s="117">
        <v>669164</v>
      </c>
      <c r="G6106" s="50" t="s">
        <v>241</v>
      </c>
      <c r="H6106" s="51">
        <v>28.137</v>
      </c>
      <c r="J6106" s="51">
        <v>3.33</v>
      </c>
      <c r="K6106" s="74">
        <f>Tabela6[[#This Row],[CONSUMO]]*Tabela6[[#This Row],[VALOR UNIT]]-Tabela6[[#This Row],[DESCONTO]]</f>
        <v>93.696210000000008</v>
      </c>
      <c r="L6106" s="53">
        <f>Tabela6[[#This Row],[CUSTO TOTAL]]/Tabela6[[#This Row],[CONSUMO]]</f>
        <v>3.33</v>
      </c>
      <c r="M6106" s="53" t="e">
        <f t="array" ref="M6106">SE</f>
        <v>#NAME?</v>
      </c>
      <c r="N6106" s="118" t="e">
        <f>Tabela6[[#This Row],[KM Rodados ]]/Tabela6[[#This Row],[CONSUMO]]</f>
        <v>#NAME?</v>
      </c>
    </row>
    <row r="6107" spans="1:14" x14ac:dyDescent="0.25">
      <c r="A6107" s="117">
        <v>504629</v>
      </c>
      <c r="B6107" s="78">
        <v>45769</v>
      </c>
      <c r="C6107" s="47" t="s">
        <v>203</v>
      </c>
      <c r="D6107" s="49" t="s">
        <v>276</v>
      </c>
      <c r="E6107" s="117">
        <v>215569</v>
      </c>
      <c r="G6107" s="50" t="s">
        <v>244</v>
      </c>
      <c r="H6107" s="51">
        <v>32.119999999999997</v>
      </c>
      <c r="J6107" s="51">
        <v>6.1898999999999997</v>
      </c>
      <c r="K6107" s="74">
        <f>Tabela6[[#This Row],[CONSUMO]]*Tabela6[[#This Row],[VALOR UNIT]]-Tabela6[[#This Row],[DESCONTO]]</f>
        <v>198.81958799999998</v>
      </c>
      <c r="L6107" s="53">
        <f>Tabela6[[#This Row],[CUSTO TOTAL]]/Tabela6[[#This Row],[CONSUMO]]</f>
        <v>6.1898999999999997</v>
      </c>
      <c r="M6107" s="53" t="e">
        <f t="array" ref="M6107">SE</f>
        <v>#NAME?</v>
      </c>
      <c r="N6107" s="118" t="e">
        <f>Tabela6[[#This Row],[KM Rodados ]]/Tabela6[[#This Row],[CONSUMO]]</f>
        <v>#NAME?</v>
      </c>
    </row>
    <row r="6108" spans="1:14" x14ac:dyDescent="0.25">
      <c r="A6108" s="117">
        <v>346403</v>
      </c>
      <c r="B6108" s="78">
        <v>45769</v>
      </c>
      <c r="C6108" s="47" t="s">
        <v>15</v>
      </c>
      <c r="D6108" s="49" t="s">
        <v>262</v>
      </c>
      <c r="E6108" s="117">
        <v>487102</v>
      </c>
      <c r="G6108" s="50" t="s">
        <v>89</v>
      </c>
      <c r="H6108" s="51">
        <v>45.401000000000003</v>
      </c>
      <c r="J6108" s="51">
        <v>6.2899000000000003</v>
      </c>
      <c r="K6108" s="74">
        <f>Tabela6[[#This Row],[CONSUMO]]*Tabela6[[#This Row],[VALOR UNIT]]-Tabela6[[#This Row],[DESCONTO]]</f>
        <v>285.56774990000002</v>
      </c>
      <c r="L6108" s="53">
        <f>Tabela6[[#This Row],[CUSTO TOTAL]]/Tabela6[[#This Row],[CONSUMO]]</f>
        <v>6.2899000000000003</v>
      </c>
      <c r="M6108" s="53" t="e">
        <f t="array" ref="M6108">SE</f>
        <v>#NAME?</v>
      </c>
      <c r="N6108" s="118" t="e">
        <f>Tabela6[[#This Row],[KM Rodados ]]/Tabela6[[#This Row],[CONSUMO]]</f>
        <v>#NAME?</v>
      </c>
    </row>
    <row r="6109" spans="1:14" x14ac:dyDescent="0.25">
      <c r="A6109" s="117">
        <v>125578</v>
      </c>
      <c r="B6109" s="78">
        <v>45769</v>
      </c>
      <c r="C6109" s="47" t="s">
        <v>73</v>
      </c>
      <c r="D6109" s="49" t="s">
        <v>699</v>
      </c>
      <c r="E6109" s="117">
        <v>268592</v>
      </c>
      <c r="G6109" s="50" t="s">
        <v>241</v>
      </c>
      <c r="H6109" s="51">
        <v>25.16</v>
      </c>
      <c r="J6109" s="51">
        <v>3.89</v>
      </c>
      <c r="K6109" s="74">
        <f>Tabela6[[#This Row],[CONSUMO]]*Tabela6[[#This Row],[VALOR UNIT]]-Tabela6[[#This Row],[DESCONTO]]</f>
        <v>97.872399999999999</v>
      </c>
      <c r="L6109" s="53">
        <f>Tabela6[[#This Row],[CUSTO TOTAL]]/Tabela6[[#This Row],[CONSUMO]]</f>
        <v>3.89</v>
      </c>
      <c r="M6109" s="53" t="e">
        <f t="array" ref="M6109">SE</f>
        <v>#NAME?</v>
      </c>
      <c r="N6109" s="118" t="e">
        <f>Tabela6[[#This Row],[KM Rodados ]]/Tabela6[[#This Row],[CONSUMO]]</f>
        <v>#NAME?</v>
      </c>
    </row>
    <row r="6110" spans="1:14" x14ac:dyDescent="0.25">
      <c r="A6110" s="117">
        <v>346610</v>
      </c>
      <c r="B6110" s="78">
        <v>45770</v>
      </c>
      <c r="C6110" s="47" t="s">
        <v>426</v>
      </c>
      <c r="D6110" s="49" t="s">
        <v>262</v>
      </c>
      <c r="E6110" s="117">
        <v>85504</v>
      </c>
      <c r="G6110" s="50" t="s">
        <v>89</v>
      </c>
      <c r="H6110" s="51">
        <v>58.96</v>
      </c>
      <c r="J6110" s="51">
        <v>6.29</v>
      </c>
      <c r="K6110" s="74">
        <f>Tabela6[[#This Row],[CONSUMO]]*Tabela6[[#This Row],[VALOR UNIT]]-Tabela6[[#This Row],[DESCONTO]]</f>
        <v>370.85840000000002</v>
      </c>
      <c r="L6110" s="53">
        <f>Tabela6[[#This Row],[CUSTO TOTAL]]/Tabela6[[#This Row],[CONSUMO]]</f>
        <v>6.29</v>
      </c>
      <c r="M6110" s="53" t="e">
        <f t="array" ref="M6110">SE</f>
        <v>#NAME?</v>
      </c>
      <c r="N6110" s="118" t="e">
        <f>Tabela6[[#This Row],[KM Rodados ]]/Tabela6[[#This Row],[CONSUMO]]</f>
        <v>#NAME?</v>
      </c>
    </row>
    <row r="6111" spans="1:14" x14ac:dyDescent="0.25">
      <c r="A6111" s="117">
        <v>598443</v>
      </c>
      <c r="B6111" s="78">
        <v>45770</v>
      </c>
      <c r="C6111" s="47" t="s">
        <v>67</v>
      </c>
      <c r="D6111" s="49" t="s">
        <v>269</v>
      </c>
      <c r="E6111" s="117">
        <v>772705</v>
      </c>
      <c r="G6111" s="50" t="s">
        <v>89</v>
      </c>
      <c r="H6111" s="51">
        <v>161.49100000000001</v>
      </c>
      <c r="J6111" s="51">
        <v>5.99</v>
      </c>
      <c r="K6111" s="74">
        <f>Tabela6[[#This Row],[CONSUMO]]*Tabela6[[#This Row],[VALOR UNIT]]-Tabela6[[#This Row],[DESCONTO]]</f>
        <v>967.33109000000013</v>
      </c>
      <c r="L6111" s="53">
        <f>Tabela6[[#This Row],[CUSTO TOTAL]]/Tabela6[[#This Row],[CONSUMO]]</f>
        <v>5.99</v>
      </c>
      <c r="M6111" s="53" t="e">
        <f t="array" ref="M6111">SE</f>
        <v>#NAME?</v>
      </c>
      <c r="N6111" s="118" t="e">
        <f>Tabela6[[#This Row],[KM Rodados ]]/Tabela6[[#This Row],[CONSUMO]]</f>
        <v>#NAME?</v>
      </c>
    </row>
    <row r="6112" spans="1:14" x14ac:dyDescent="0.25">
      <c r="A6112" s="117">
        <v>346706</v>
      </c>
      <c r="B6112" s="78">
        <v>45770</v>
      </c>
      <c r="C6112" s="47" t="s">
        <v>215</v>
      </c>
      <c r="D6112" s="49" t="s">
        <v>262</v>
      </c>
      <c r="E6112" s="117">
        <v>253056</v>
      </c>
      <c r="G6112" s="50" t="s">
        <v>244</v>
      </c>
      <c r="H6112" s="51">
        <v>40.93</v>
      </c>
      <c r="J6112" s="51">
        <v>5.9898999999999996</v>
      </c>
      <c r="K6112" s="74">
        <f>Tabela6[[#This Row],[CONSUMO]]*Tabela6[[#This Row],[VALOR UNIT]]-Tabela6[[#This Row],[DESCONTO]]</f>
        <v>245.16660699999997</v>
      </c>
      <c r="L6112" s="53">
        <f>Tabela6[[#This Row],[CUSTO TOTAL]]/Tabela6[[#This Row],[CONSUMO]]</f>
        <v>5.9898999999999996</v>
      </c>
      <c r="M6112" s="53" t="e">
        <f t="array" ref="M6112">SE</f>
        <v>#NAME?</v>
      </c>
      <c r="N6112" s="118" t="e">
        <f>Tabela6[[#This Row],[KM Rodados ]]/Tabela6[[#This Row],[CONSUMO]]</f>
        <v>#NAME?</v>
      </c>
    </row>
    <row r="6113" spans="1:14" x14ac:dyDescent="0.25">
      <c r="A6113" s="117">
        <v>346654</v>
      </c>
      <c r="B6113" s="78">
        <v>45770</v>
      </c>
      <c r="C6113" s="47" t="s">
        <v>203</v>
      </c>
      <c r="D6113" s="49" t="s">
        <v>262</v>
      </c>
      <c r="E6113" s="117">
        <v>215979</v>
      </c>
      <c r="G6113" s="50" t="s">
        <v>244</v>
      </c>
      <c r="H6113" s="51">
        <v>34.950000000000003</v>
      </c>
      <c r="J6113" s="51">
        <v>5.9898999999999996</v>
      </c>
      <c r="K6113" s="74">
        <f>Tabela6[[#This Row],[CONSUMO]]*Tabela6[[#This Row],[VALOR UNIT]]-Tabela6[[#This Row],[DESCONTO]]</f>
        <v>209.347005</v>
      </c>
      <c r="L6113" s="53">
        <f>Tabela6[[#This Row],[CUSTO TOTAL]]/Tabela6[[#This Row],[CONSUMO]]</f>
        <v>5.9898999999999996</v>
      </c>
      <c r="M6113" s="53" t="e">
        <f t="array" ref="M6113">SE</f>
        <v>#NAME?</v>
      </c>
      <c r="N6113" s="118" t="e">
        <f>Tabela6[[#This Row],[KM Rodados ]]/Tabela6[[#This Row],[CONSUMO]]</f>
        <v>#NAME?</v>
      </c>
    </row>
    <row r="6114" spans="1:14" x14ac:dyDescent="0.25">
      <c r="A6114" s="117">
        <v>346611</v>
      </c>
      <c r="B6114" s="78">
        <v>45770</v>
      </c>
      <c r="C6114" s="47" t="s">
        <v>74</v>
      </c>
      <c r="D6114" s="49" t="s">
        <v>262</v>
      </c>
      <c r="E6114" s="117">
        <v>188046</v>
      </c>
      <c r="G6114" s="50" t="s">
        <v>89</v>
      </c>
      <c r="H6114" s="51">
        <v>79.528999999999996</v>
      </c>
      <c r="J6114" s="51">
        <v>6.29</v>
      </c>
      <c r="K6114" s="74">
        <f>Tabela6[[#This Row],[CONSUMO]]*Tabela6[[#This Row],[VALOR UNIT]]-Tabela6[[#This Row],[DESCONTO]]</f>
        <v>500.23740999999995</v>
      </c>
      <c r="L6114" s="53">
        <f>Tabela6[[#This Row],[CUSTO TOTAL]]/Tabela6[[#This Row],[CONSUMO]]</f>
        <v>6.29</v>
      </c>
      <c r="M6114" s="53" t="e">
        <f t="array" ref="M6114">SE</f>
        <v>#NAME?</v>
      </c>
      <c r="N6114" s="118" t="e">
        <f>Tabela6[[#This Row],[KM Rodados ]]/Tabela6[[#This Row],[CONSUMO]]</f>
        <v>#NAME?</v>
      </c>
    </row>
    <row r="6115" spans="1:14" x14ac:dyDescent="0.25">
      <c r="A6115" s="117">
        <v>65790</v>
      </c>
      <c r="B6115" s="78">
        <v>45770</v>
      </c>
      <c r="C6115" s="47" t="s">
        <v>18</v>
      </c>
      <c r="D6115" s="49" t="s">
        <v>255</v>
      </c>
      <c r="E6115" s="117">
        <v>400826</v>
      </c>
      <c r="G6115" s="50" t="s">
        <v>89</v>
      </c>
      <c r="H6115" s="51">
        <v>56.95</v>
      </c>
      <c r="J6115" s="51">
        <v>6.29</v>
      </c>
      <c r="K6115" s="74">
        <f>Tabela6[[#This Row],[CONSUMO]]*Tabela6[[#This Row],[VALOR UNIT]]-Tabela6[[#This Row],[DESCONTO]]</f>
        <v>358.21550000000002</v>
      </c>
      <c r="L6115" s="53">
        <f>Tabela6[[#This Row],[CUSTO TOTAL]]/Tabela6[[#This Row],[CONSUMO]]</f>
        <v>6.29</v>
      </c>
      <c r="M6115" s="53" t="e">
        <f t="array" ref="M6115">SE</f>
        <v>#NAME?</v>
      </c>
      <c r="N6115" s="118" t="e">
        <f>Tabela6[[#This Row],[KM Rodados ]]/Tabela6[[#This Row],[CONSUMO]]</f>
        <v>#NAME?</v>
      </c>
    </row>
    <row r="6116" spans="1:14" x14ac:dyDescent="0.25">
      <c r="A6116" s="117">
        <v>346673</v>
      </c>
      <c r="B6116" s="78">
        <v>45770</v>
      </c>
      <c r="C6116" s="47" t="s">
        <v>446</v>
      </c>
      <c r="D6116" s="49" t="s">
        <v>262</v>
      </c>
      <c r="E6116" s="117">
        <v>101642</v>
      </c>
      <c r="G6116" s="50" t="s">
        <v>241</v>
      </c>
      <c r="H6116" s="51">
        <v>26.306000000000001</v>
      </c>
      <c r="J6116" s="51">
        <v>3.33</v>
      </c>
      <c r="K6116" s="74">
        <f>Tabela6[[#This Row],[CONSUMO]]*Tabela6[[#This Row],[VALOR UNIT]]-Tabela6[[#This Row],[DESCONTO]]</f>
        <v>87.598980000000012</v>
      </c>
      <c r="L6116" s="53">
        <f>Tabela6[[#This Row],[CUSTO TOTAL]]/Tabela6[[#This Row],[CONSUMO]]</f>
        <v>3.3300000000000005</v>
      </c>
      <c r="M6116" s="53" t="e">
        <f t="array" ref="M6116">SE</f>
        <v>#NAME?</v>
      </c>
      <c r="N6116" s="118" t="e">
        <f>Tabela6[[#This Row],[KM Rodados ]]/Tabela6[[#This Row],[CONSUMO]]</f>
        <v>#NAME?</v>
      </c>
    </row>
    <row r="6117" spans="1:14" x14ac:dyDescent="0.25">
      <c r="A6117" s="117" t="s">
        <v>725</v>
      </c>
      <c r="B6117" s="78">
        <v>45771</v>
      </c>
      <c r="C6117" s="47" t="s">
        <v>67</v>
      </c>
      <c r="D6117" s="49" t="s">
        <v>273</v>
      </c>
      <c r="E6117" s="117">
        <v>173205</v>
      </c>
      <c r="G6117" s="50" t="s">
        <v>89</v>
      </c>
      <c r="H6117" s="51">
        <v>141.21100000000001</v>
      </c>
      <c r="J6117" s="51">
        <v>5.99</v>
      </c>
      <c r="K6117" s="74">
        <f>Tabela6[[#This Row],[CONSUMO]]*Tabela6[[#This Row],[VALOR UNIT]]-Tabela6[[#This Row],[DESCONTO]]</f>
        <v>845.85389000000009</v>
      </c>
      <c r="L6117" s="53">
        <f>Tabela6[[#This Row],[CUSTO TOTAL]]/Tabela6[[#This Row],[CONSUMO]]</f>
        <v>5.99</v>
      </c>
      <c r="M6117" s="53" t="e">
        <f t="array" ref="M6117">SE</f>
        <v>#NAME?</v>
      </c>
      <c r="N6117" s="118" t="e">
        <f>Tabela6[[#This Row],[KM Rodados ]]/Tabela6[[#This Row],[CONSUMO]]</f>
        <v>#NAME?</v>
      </c>
    </row>
    <row r="6118" spans="1:14" x14ac:dyDescent="0.25">
      <c r="A6118" s="117">
        <v>497255</v>
      </c>
      <c r="B6118" s="78">
        <v>45771</v>
      </c>
      <c r="C6118" s="47" t="s">
        <v>23</v>
      </c>
      <c r="D6118" s="49" t="s">
        <v>253</v>
      </c>
      <c r="E6118" s="117">
        <v>334872</v>
      </c>
      <c r="G6118" s="50" t="s">
        <v>89</v>
      </c>
      <c r="H6118" s="51">
        <v>172.69</v>
      </c>
      <c r="J6118" s="51">
        <v>6.29</v>
      </c>
      <c r="K6118" s="74">
        <f>Tabela6[[#This Row],[CONSUMO]]*Tabela6[[#This Row],[VALOR UNIT]]-Tabela6[[#This Row],[DESCONTO]]</f>
        <v>1086.2201</v>
      </c>
      <c r="L6118" s="53">
        <f>Tabela6[[#This Row],[CUSTO TOTAL]]/Tabela6[[#This Row],[CONSUMO]]</f>
        <v>6.29</v>
      </c>
      <c r="M6118" s="53" t="e">
        <f t="array" ref="M6118">SE</f>
        <v>#NAME?</v>
      </c>
      <c r="N6118" s="118" t="e">
        <f>Tabela6[[#This Row],[KM Rodados ]]/Tabela6[[#This Row],[CONSUMO]]</f>
        <v>#NAME?</v>
      </c>
    </row>
    <row r="6119" spans="1:14" x14ac:dyDescent="0.25">
      <c r="A6119" s="117">
        <v>497255</v>
      </c>
      <c r="B6119" s="78">
        <v>45771</v>
      </c>
      <c r="C6119" s="47" t="s">
        <v>23</v>
      </c>
      <c r="D6119" s="49" t="s">
        <v>253</v>
      </c>
      <c r="E6119" s="117">
        <v>334872</v>
      </c>
      <c r="G6119" s="50" t="s">
        <v>241</v>
      </c>
      <c r="H6119" s="51">
        <v>27</v>
      </c>
      <c r="J6119" s="51">
        <v>3.49</v>
      </c>
      <c r="K6119" s="74">
        <f>Tabela6[[#This Row],[CONSUMO]]*Tabela6[[#This Row],[VALOR UNIT]]-Tabela6[[#This Row],[DESCONTO]]</f>
        <v>94.23</v>
      </c>
      <c r="L6119" s="53">
        <f>Tabela6[[#This Row],[CUSTO TOTAL]]/Tabela6[[#This Row],[CONSUMO]]</f>
        <v>3.49</v>
      </c>
      <c r="M6119" s="53" t="e">
        <f t="array" ref="M6119">SE</f>
        <v>#NAME?</v>
      </c>
      <c r="N6119" s="118" t="e">
        <f>Tabela6[[#This Row],[KM Rodados ]]/Tabela6[[#This Row],[CONSUMO]]</f>
        <v>#NAME?</v>
      </c>
    </row>
    <row r="6120" spans="1:14" x14ac:dyDescent="0.25">
      <c r="A6120" s="117" t="s">
        <v>692</v>
      </c>
      <c r="B6120" s="78">
        <v>45771</v>
      </c>
      <c r="C6120" s="47" t="s">
        <v>315</v>
      </c>
      <c r="D6120" s="49" t="s">
        <v>253</v>
      </c>
      <c r="E6120" s="117">
        <v>70891</v>
      </c>
      <c r="G6120" s="50" t="s">
        <v>89</v>
      </c>
      <c r="H6120" s="51">
        <v>53.5</v>
      </c>
      <c r="J6120" s="51">
        <v>6.29</v>
      </c>
      <c r="K6120" s="74">
        <f>Tabela6[[#This Row],[CONSUMO]]*Tabela6[[#This Row],[VALOR UNIT]]-Tabela6[[#This Row],[DESCONTO]]</f>
        <v>336.51499999999999</v>
      </c>
      <c r="L6120" s="53">
        <f>Tabela6[[#This Row],[CUSTO TOTAL]]/Tabela6[[#This Row],[CONSUMO]]</f>
        <v>6.29</v>
      </c>
      <c r="M6120" s="53" t="e">
        <f t="array" ref="M6120">SE</f>
        <v>#NAME?</v>
      </c>
      <c r="N6120" s="118" t="e">
        <f>Tabela6[[#This Row],[KM Rodados ]]/Tabela6[[#This Row],[CONSUMO]]</f>
        <v>#NAME?</v>
      </c>
    </row>
    <row r="6121" spans="1:14" x14ac:dyDescent="0.25">
      <c r="A6121" s="117">
        <v>346858</v>
      </c>
      <c r="B6121" s="78">
        <v>45771</v>
      </c>
      <c r="C6121" s="47" t="s">
        <v>354</v>
      </c>
      <c r="D6121" s="49" t="s">
        <v>262</v>
      </c>
      <c r="E6121" s="117">
        <v>101999</v>
      </c>
      <c r="G6121" s="50" t="s">
        <v>241</v>
      </c>
      <c r="H6121" s="51">
        <v>20.861000000000001</v>
      </c>
      <c r="J6121" s="51">
        <v>3.33</v>
      </c>
      <c r="K6121" s="74">
        <f>Tabela6[[#This Row],[CONSUMO]]*Tabela6[[#This Row],[VALOR UNIT]]-Tabela6[[#This Row],[DESCONTO]]</f>
        <v>69.467129999999997</v>
      </c>
      <c r="L6121" s="53">
        <f>Tabela6[[#This Row],[CUSTO TOTAL]]/Tabela6[[#This Row],[CONSUMO]]</f>
        <v>3.3299999999999996</v>
      </c>
      <c r="M6121" s="53" t="e">
        <f t="array" ref="M6121">SE</f>
        <v>#NAME?</v>
      </c>
      <c r="N6121" s="118" t="e">
        <f>Tabela6[[#This Row],[KM Rodados ]]/Tabela6[[#This Row],[CONSUMO]]</f>
        <v>#NAME?</v>
      </c>
    </row>
    <row r="6122" spans="1:14" x14ac:dyDescent="0.25">
      <c r="A6122" s="117">
        <v>505246</v>
      </c>
      <c r="B6122" s="78">
        <v>45771</v>
      </c>
      <c r="C6122" s="47" t="s">
        <v>203</v>
      </c>
      <c r="D6122" s="49" t="s">
        <v>276</v>
      </c>
      <c r="E6122" s="117">
        <v>216410</v>
      </c>
      <c r="G6122" s="50" t="s">
        <v>244</v>
      </c>
      <c r="H6122" s="51">
        <v>36.729999999999997</v>
      </c>
      <c r="J6122" s="51">
        <v>6.19</v>
      </c>
      <c r="K6122" s="74">
        <f>Tabela6[[#This Row],[CONSUMO]]*Tabela6[[#This Row],[VALOR UNIT]]-Tabela6[[#This Row],[DESCONTO]]</f>
        <v>227.3587</v>
      </c>
      <c r="L6122" s="53">
        <f>Tabela6[[#This Row],[CUSTO TOTAL]]/Tabela6[[#This Row],[CONSUMO]]</f>
        <v>6.19</v>
      </c>
      <c r="M6122" s="53" t="e">
        <f t="array" ref="M6122">SE</f>
        <v>#NAME?</v>
      </c>
      <c r="N6122" s="118" t="e">
        <f>Tabela6[[#This Row],[KM Rodados ]]/Tabela6[[#This Row],[CONSUMO]]</f>
        <v>#NAME?</v>
      </c>
    </row>
    <row r="6123" spans="1:14" x14ac:dyDescent="0.25">
      <c r="A6123" s="117">
        <v>497382</v>
      </c>
      <c r="B6123" s="78">
        <v>45771</v>
      </c>
      <c r="C6123" s="47" t="s">
        <v>11</v>
      </c>
      <c r="D6123" s="49" t="s">
        <v>253</v>
      </c>
      <c r="E6123" s="117">
        <v>434663</v>
      </c>
      <c r="G6123" s="50" t="s">
        <v>89</v>
      </c>
      <c r="H6123" s="51">
        <v>107.57</v>
      </c>
      <c r="J6123" s="51">
        <v>6.29</v>
      </c>
      <c r="K6123" s="74">
        <f>Tabela6[[#This Row],[CONSUMO]]*Tabela6[[#This Row],[VALOR UNIT]]-Tabela6[[#This Row],[DESCONTO]]</f>
        <v>676.61529999999993</v>
      </c>
      <c r="L6123" s="53">
        <f>Tabela6[[#This Row],[CUSTO TOTAL]]/Tabela6[[#This Row],[CONSUMO]]</f>
        <v>6.29</v>
      </c>
      <c r="M6123" s="53" t="e">
        <f t="array" ref="M6123">SE</f>
        <v>#NAME?</v>
      </c>
      <c r="N6123" s="118" t="e">
        <f>Tabela6[[#This Row],[KM Rodados ]]/Tabela6[[#This Row],[CONSUMO]]</f>
        <v>#NAME?</v>
      </c>
    </row>
    <row r="6124" spans="1:14" x14ac:dyDescent="0.25">
      <c r="A6124" s="117">
        <v>505419</v>
      </c>
      <c r="B6124" s="78">
        <v>45771</v>
      </c>
      <c r="C6124" s="47" t="s">
        <v>681</v>
      </c>
      <c r="D6124" s="49" t="s">
        <v>276</v>
      </c>
      <c r="E6124" s="117">
        <v>14362</v>
      </c>
      <c r="G6124" s="50" t="s">
        <v>241</v>
      </c>
      <c r="H6124" s="51">
        <v>31.276</v>
      </c>
      <c r="J6124" s="51">
        <v>3.69</v>
      </c>
      <c r="K6124" s="74">
        <f>Tabela6[[#This Row],[CONSUMO]]*Tabela6[[#This Row],[VALOR UNIT]]-Tabela6[[#This Row],[DESCONTO]]</f>
        <v>115.40844</v>
      </c>
      <c r="L6124" s="53">
        <f>Tabela6[[#This Row],[CUSTO TOTAL]]/Tabela6[[#This Row],[CONSUMO]]</f>
        <v>3.69</v>
      </c>
      <c r="M6124" s="53" t="e">
        <f t="array" ref="M6124">SE</f>
        <v>#NAME?</v>
      </c>
      <c r="N6124" s="118" t="e">
        <f>Tabela6[[#This Row],[KM Rodados ]]/Tabela6[[#This Row],[CONSUMO]]</f>
        <v>#NAME?</v>
      </c>
    </row>
    <row r="6125" spans="1:14" x14ac:dyDescent="0.25">
      <c r="A6125" s="117">
        <v>346817</v>
      </c>
      <c r="B6125" s="78">
        <v>45771</v>
      </c>
      <c r="C6125" s="47" t="s">
        <v>72</v>
      </c>
      <c r="D6125" s="49" t="s">
        <v>262</v>
      </c>
      <c r="E6125" s="117">
        <v>510688</v>
      </c>
      <c r="G6125" s="50" t="s">
        <v>89</v>
      </c>
      <c r="H6125" s="51">
        <v>21.911000000000001</v>
      </c>
      <c r="J6125" s="51">
        <v>6.2899000000000003</v>
      </c>
      <c r="K6125" s="74">
        <f>Tabela6[[#This Row],[CONSUMO]]*Tabela6[[#This Row],[VALOR UNIT]]-Tabela6[[#This Row],[DESCONTO]]</f>
        <v>137.81799890000002</v>
      </c>
      <c r="L6125" s="53">
        <f>Tabela6[[#This Row],[CUSTO TOTAL]]/Tabela6[[#This Row],[CONSUMO]]</f>
        <v>6.2899000000000003</v>
      </c>
      <c r="M6125" s="53" t="e">
        <f t="array" ref="M6125">SE</f>
        <v>#NAME?</v>
      </c>
      <c r="N6125" s="118" t="e">
        <f>Tabela6[[#This Row],[KM Rodados ]]/Tabela6[[#This Row],[CONSUMO]]</f>
        <v>#NAME?</v>
      </c>
    </row>
    <row r="6126" spans="1:14" x14ac:dyDescent="0.25">
      <c r="A6126" s="117">
        <v>347083</v>
      </c>
      <c r="B6126" s="78">
        <v>45772</v>
      </c>
      <c r="C6126" s="47" t="s">
        <v>74</v>
      </c>
      <c r="D6126" s="49" t="s">
        <v>262</v>
      </c>
      <c r="E6126" s="117">
        <v>188937</v>
      </c>
      <c r="G6126" s="50" t="s">
        <v>241</v>
      </c>
      <c r="H6126" s="51">
        <v>12.02</v>
      </c>
      <c r="J6126" s="51">
        <v>3.33</v>
      </c>
      <c r="K6126" s="74">
        <f>Tabela6[[#This Row],[CONSUMO]]*Tabela6[[#This Row],[VALOR UNIT]]-Tabela6[[#This Row],[DESCONTO]]</f>
        <v>40.026600000000002</v>
      </c>
      <c r="L6126" s="53">
        <f>Tabela6[[#This Row],[CUSTO TOTAL]]/Tabela6[[#This Row],[CONSUMO]]</f>
        <v>3.33</v>
      </c>
      <c r="M6126" s="53" t="e">
        <f t="array" ref="M6126">SE</f>
        <v>#NAME?</v>
      </c>
      <c r="N6126" s="118" t="e">
        <f>Tabela6[[#This Row],[KM Rodados ]]/Tabela6[[#This Row],[CONSUMO]]</f>
        <v>#NAME?</v>
      </c>
    </row>
    <row r="6127" spans="1:14" x14ac:dyDescent="0.25">
      <c r="A6127" s="117">
        <v>66456</v>
      </c>
      <c r="B6127" s="78">
        <v>45772</v>
      </c>
      <c r="C6127" s="47" t="s">
        <v>38</v>
      </c>
      <c r="D6127" s="49" t="s">
        <v>255</v>
      </c>
      <c r="E6127" s="117">
        <v>167344</v>
      </c>
      <c r="G6127" s="50" t="s">
        <v>244</v>
      </c>
      <c r="H6127" s="51">
        <v>46.46</v>
      </c>
      <c r="J6127" s="51">
        <v>6.09</v>
      </c>
      <c r="K6127" s="74">
        <f>Tabela6[[#This Row],[CONSUMO]]*Tabela6[[#This Row],[VALOR UNIT]]-Tabela6[[#This Row],[DESCONTO]]</f>
        <v>282.94139999999999</v>
      </c>
      <c r="L6127" s="53">
        <f>Tabela6[[#This Row],[CUSTO TOTAL]]/Tabela6[[#This Row],[CONSUMO]]</f>
        <v>6.09</v>
      </c>
      <c r="M6127" s="53" t="e">
        <f t="array" ref="M6127">SE</f>
        <v>#NAME?</v>
      </c>
      <c r="N6127" s="118" t="e">
        <f>Tabela6[[#This Row],[KM Rodados ]]/Tabela6[[#This Row],[CONSUMO]]</f>
        <v>#NAME?</v>
      </c>
    </row>
    <row r="6128" spans="1:14" x14ac:dyDescent="0.25">
      <c r="A6128" s="117">
        <v>66597</v>
      </c>
      <c r="B6128" s="78">
        <v>45772</v>
      </c>
      <c r="C6128" s="47" t="s">
        <v>16</v>
      </c>
      <c r="D6128" s="49" t="s">
        <v>255</v>
      </c>
      <c r="E6128" s="117">
        <v>337295</v>
      </c>
      <c r="G6128" s="50" t="s">
        <v>89</v>
      </c>
      <c r="H6128" s="51">
        <v>113.7</v>
      </c>
      <c r="J6128" s="51">
        <v>6.59</v>
      </c>
      <c r="K6128" s="74">
        <f>Tabela6[[#This Row],[CONSUMO]]*Tabela6[[#This Row],[VALOR UNIT]]-Tabela6[[#This Row],[DESCONTO]]</f>
        <v>749.28300000000002</v>
      </c>
      <c r="L6128" s="53">
        <f>Tabela6[[#This Row],[CUSTO TOTAL]]/Tabela6[[#This Row],[CONSUMO]]</f>
        <v>6.59</v>
      </c>
      <c r="M6128" s="53" t="e">
        <f t="array" ref="M6128">SE</f>
        <v>#NAME?</v>
      </c>
      <c r="N6128" s="118" t="e">
        <f>Tabela6[[#This Row],[KM Rodados ]]/Tabela6[[#This Row],[CONSUMO]]</f>
        <v>#NAME?</v>
      </c>
    </row>
    <row r="6129" spans="1:14" x14ac:dyDescent="0.25">
      <c r="A6129" s="117">
        <v>346998</v>
      </c>
      <c r="B6129" s="78">
        <v>45772</v>
      </c>
      <c r="C6129" s="47" t="s">
        <v>203</v>
      </c>
      <c r="D6129" s="49" t="s">
        <v>262</v>
      </c>
      <c r="E6129" s="117">
        <v>216959</v>
      </c>
      <c r="G6129" s="50" t="s">
        <v>89</v>
      </c>
      <c r="H6129" s="51">
        <v>44.430999999999997</v>
      </c>
      <c r="J6129" s="51">
        <v>5.9898999999999996</v>
      </c>
      <c r="K6129" s="74">
        <f>Tabela6[[#This Row],[CONSUMO]]*Tabela6[[#This Row],[VALOR UNIT]]-Tabela6[[#This Row],[DESCONTO]]</f>
        <v>266.13724689999998</v>
      </c>
      <c r="L6129" s="53">
        <f>Tabela6[[#This Row],[CUSTO TOTAL]]/Tabela6[[#This Row],[CONSUMO]]</f>
        <v>5.9898999999999996</v>
      </c>
      <c r="M6129" s="53" t="e">
        <f t="array" ref="M6129">SE</f>
        <v>#NAME?</v>
      </c>
      <c r="N6129" s="118" t="e">
        <f>Tabela6[[#This Row],[KM Rodados ]]/Tabela6[[#This Row],[CONSUMO]]</f>
        <v>#NAME?</v>
      </c>
    </row>
    <row r="6130" spans="1:14" x14ac:dyDescent="0.25">
      <c r="A6130" s="117">
        <v>505622</v>
      </c>
      <c r="B6130" s="78">
        <v>45772</v>
      </c>
      <c r="C6130" s="47" t="s">
        <v>569</v>
      </c>
      <c r="D6130" s="49" t="s">
        <v>276</v>
      </c>
      <c r="E6130" s="117">
        <v>29345</v>
      </c>
      <c r="G6130" s="50" t="s">
        <v>241</v>
      </c>
      <c r="H6130" s="51">
        <v>30.716999999999999</v>
      </c>
      <c r="J6130" s="51">
        <v>3.69</v>
      </c>
      <c r="K6130" s="74">
        <f>Tabela6[[#This Row],[CONSUMO]]*Tabela6[[#This Row],[VALOR UNIT]]-Tabela6[[#This Row],[DESCONTO]]</f>
        <v>113.34572999999999</v>
      </c>
      <c r="L6130" s="53">
        <f>Tabela6[[#This Row],[CUSTO TOTAL]]/Tabela6[[#This Row],[CONSUMO]]</f>
        <v>3.69</v>
      </c>
      <c r="M6130" s="53" t="e">
        <f t="array" ref="M6130">SE</f>
        <v>#NAME?</v>
      </c>
      <c r="N6130" s="118" t="e">
        <f>Tabela6[[#This Row],[KM Rodados ]]/Tabela6[[#This Row],[CONSUMO]]</f>
        <v>#NAME?</v>
      </c>
    </row>
    <row r="6131" spans="1:14" x14ac:dyDescent="0.25">
      <c r="A6131" s="117">
        <v>144529</v>
      </c>
      <c r="B6131" s="78">
        <v>45772</v>
      </c>
      <c r="C6131" s="47" t="s">
        <v>72</v>
      </c>
      <c r="D6131" s="49" t="s">
        <v>620</v>
      </c>
      <c r="E6131" s="117">
        <v>511387</v>
      </c>
      <c r="G6131" s="50" t="s">
        <v>89</v>
      </c>
      <c r="H6131" s="51">
        <v>25.03</v>
      </c>
      <c r="J6131" s="51">
        <v>6.79</v>
      </c>
      <c r="K6131" s="74">
        <f>Tabela6[[#This Row],[CONSUMO]]*Tabela6[[#This Row],[VALOR UNIT]]-Tabela6[[#This Row],[DESCONTO]]</f>
        <v>169.9537</v>
      </c>
      <c r="L6131" s="53">
        <f>Tabela6[[#This Row],[CUSTO TOTAL]]/Tabela6[[#This Row],[CONSUMO]]</f>
        <v>6.79</v>
      </c>
      <c r="M6131" s="53" t="e">
        <f t="array" ref="M6131">SE</f>
        <v>#NAME?</v>
      </c>
      <c r="N6131" s="118" t="e">
        <f>Tabela6[[#This Row],[KM Rodados ]]/Tabela6[[#This Row],[CONSUMO]]</f>
        <v>#NAME?</v>
      </c>
    </row>
    <row r="6132" spans="1:14" x14ac:dyDescent="0.25">
      <c r="A6132" s="117">
        <v>837320</v>
      </c>
      <c r="B6132" s="78">
        <v>45772</v>
      </c>
      <c r="C6132" s="47" t="s">
        <v>206</v>
      </c>
      <c r="D6132" s="49" t="s">
        <v>378</v>
      </c>
      <c r="E6132" s="117">
        <v>1083273</v>
      </c>
      <c r="G6132" s="50" t="s">
        <v>89</v>
      </c>
      <c r="H6132" s="51">
        <v>470</v>
      </c>
      <c r="J6132" s="51">
        <v>5.99</v>
      </c>
      <c r="K6132" s="74">
        <f>Tabela6[[#This Row],[CONSUMO]]*Tabela6[[#This Row],[VALOR UNIT]]-Tabela6[[#This Row],[DESCONTO]]</f>
        <v>2815.3</v>
      </c>
      <c r="L6132" s="53">
        <f>Tabela6[[#This Row],[CUSTO TOTAL]]/Tabela6[[#This Row],[CONSUMO]]</f>
        <v>5.99</v>
      </c>
      <c r="M6132" s="53" t="e">
        <f t="array" ref="M6132">SE</f>
        <v>#NAME?</v>
      </c>
      <c r="N6132" s="118" t="e">
        <f>Tabela6[[#This Row],[KM Rodados ]]/Tabela6[[#This Row],[CONSUMO]]</f>
        <v>#NAME?</v>
      </c>
    </row>
    <row r="6133" spans="1:14" x14ac:dyDescent="0.25">
      <c r="A6133" s="117">
        <v>837321</v>
      </c>
      <c r="B6133" s="78">
        <v>45772</v>
      </c>
      <c r="C6133" s="47" t="s">
        <v>206</v>
      </c>
      <c r="D6133" s="49" t="s">
        <v>378</v>
      </c>
      <c r="E6133" s="117">
        <v>1083273</v>
      </c>
      <c r="G6133" s="50" t="s">
        <v>241</v>
      </c>
      <c r="H6133" s="51">
        <v>21.032</v>
      </c>
      <c r="J6133" s="51">
        <v>3.19</v>
      </c>
      <c r="K6133" s="74">
        <f>Tabela6[[#This Row],[CONSUMO]]*Tabela6[[#This Row],[VALOR UNIT]]-Tabela6[[#This Row],[DESCONTO]]</f>
        <v>67.092079999999996</v>
      </c>
      <c r="L6133" s="53">
        <f>Tabela6[[#This Row],[CUSTO TOTAL]]/Tabela6[[#This Row],[CONSUMO]]</f>
        <v>3.19</v>
      </c>
      <c r="M6133" s="53" t="e">
        <f t="array" ref="M6133">SE</f>
        <v>#NAME?</v>
      </c>
      <c r="N6133" s="118" t="e">
        <f>Tabela6[[#This Row],[KM Rodados ]]/Tabela6[[#This Row],[CONSUMO]]</f>
        <v>#NAME?</v>
      </c>
    </row>
    <row r="6134" spans="1:14" x14ac:dyDescent="0.25">
      <c r="A6134" s="117">
        <v>518581</v>
      </c>
      <c r="B6134" s="78">
        <v>45773</v>
      </c>
      <c r="C6134" s="47" t="s">
        <v>564</v>
      </c>
      <c r="D6134" s="49" t="s">
        <v>361</v>
      </c>
      <c r="E6134" s="117">
        <v>79612</v>
      </c>
      <c r="G6134" s="50" t="s">
        <v>241</v>
      </c>
      <c r="H6134" s="51">
        <v>99.9</v>
      </c>
      <c r="J6134" s="51">
        <v>4</v>
      </c>
      <c r="K6134" s="74">
        <f>Tabela6[[#This Row],[CONSUMO]]*Tabela6[[#This Row],[VALOR UNIT]]-Tabela6[[#This Row],[DESCONTO]]</f>
        <v>399.6</v>
      </c>
      <c r="L6134" s="53">
        <f>Tabela6[[#This Row],[CUSTO TOTAL]]/Tabela6[[#This Row],[CONSUMO]]</f>
        <v>4</v>
      </c>
      <c r="M6134" s="53" t="e">
        <f t="array" ref="M6134">SE</f>
        <v>#NAME?</v>
      </c>
      <c r="N6134" s="118" t="e">
        <f>Tabela6[[#This Row],[KM Rodados ]]/Tabela6[[#This Row],[CONSUMO]]</f>
        <v>#NAME?</v>
      </c>
    </row>
    <row r="6135" spans="1:14" x14ac:dyDescent="0.25">
      <c r="A6135" s="117" t="s">
        <v>726</v>
      </c>
      <c r="B6135" s="78">
        <v>45774</v>
      </c>
      <c r="C6135" s="47" t="s">
        <v>564</v>
      </c>
      <c r="D6135" s="49" t="s">
        <v>347</v>
      </c>
      <c r="E6135" s="117">
        <v>79644</v>
      </c>
      <c r="G6135" s="50" t="s">
        <v>89</v>
      </c>
      <c r="H6135" s="51">
        <v>610</v>
      </c>
      <c r="J6135" s="51">
        <v>5.99</v>
      </c>
      <c r="K6135" s="74">
        <f>Tabela6[[#This Row],[CONSUMO]]*Tabela6[[#This Row],[VALOR UNIT]]-Tabela6[[#This Row],[DESCONTO]]</f>
        <v>3653.9</v>
      </c>
      <c r="L6135" s="53">
        <f>Tabela6[[#This Row],[CUSTO TOTAL]]/Tabela6[[#This Row],[CONSUMO]]</f>
        <v>5.99</v>
      </c>
      <c r="M6135" s="53" t="e">
        <f t="array" ref="M6135">SE</f>
        <v>#NAME?</v>
      </c>
      <c r="N6135" s="118" t="e">
        <f>Tabela6[[#This Row],[KM Rodados ]]/Tabela6[[#This Row],[CONSUMO]]</f>
        <v>#NAME?</v>
      </c>
    </row>
    <row r="6136" spans="1:14" x14ac:dyDescent="0.25">
      <c r="A6136" s="117">
        <v>552201</v>
      </c>
      <c r="B6136" s="78">
        <v>45774</v>
      </c>
      <c r="C6136" s="47" t="s">
        <v>564</v>
      </c>
      <c r="D6136" s="49" t="s">
        <v>343</v>
      </c>
      <c r="E6136" s="117">
        <v>798942</v>
      </c>
      <c r="G6136" s="50" t="s">
        <v>89</v>
      </c>
      <c r="H6136" s="51">
        <v>522.00699999999995</v>
      </c>
      <c r="J6136" s="51">
        <v>5.69</v>
      </c>
      <c r="K6136" s="74">
        <f>Tabela6[[#This Row],[CONSUMO]]*Tabela6[[#This Row],[VALOR UNIT]]-Tabela6[[#This Row],[DESCONTO]]</f>
        <v>2970.21983</v>
      </c>
      <c r="L6136" s="53">
        <f>Tabela6[[#This Row],[CUSTO TOTAL]]/Tabela6[[#This Row],[CONSUMO]]</f>
        <v>5.69</v>
      </c>
      <c r="M6136" s="53" t="e">
        <f t="array" ref="M6136">SE</f>
        <v>#NAME?</v>
      </c>
      <c r="N6136" s="118" t="e">
        <f>Tabela6[[#This Row],[KM Rodados ]]/Tabela6[[#This Row],[CONSUMO]]</f>
        <v>#NAME?</v>
      </c>
    </row>
    <row r="6137" spans="1:14" x14ac:dyDescent="0.25">
      <c r="A6137" s="117">
        <v>346635</v>
      </c>
      <c r="B6137" s="78">
        <v>45774</v>
      </c>
      <c r="C6137" s="47" t="s">
        <v>40</v>
      </c>
      <c r="D6137" s="49" t="s">
        <v>262</v>
      </c>
      <c r="E6137" s="117">
        <v>253048</v>
      </c>
      <c r="G6137" s="50" t="s">
        <v>244</v>
      </c>
      <c r="H6137" s="51">
        <v>33.869999999999997</v>
      </c>
      <c r="J6137" s="51">
        <v>5.9898999999999996</v>
      </c>
      <c r="K6137" s="74">
        <f>Tabela6[[#This Row],[CONSUMO]]*Tabela6[[#This Row],[VALOR UNIT]]-Tabela6[[#This Row],[DESCONTO]]</f>
        <v>202.87791299999998</v>
      </c>
      <c r="L6137" s="53">
        <f>Tabela6[[#This Row],[CUSTO TOTAL]]/Tabela6[[#This Row],[CONSUMO]]</f>
        <v>5.9898999999999996</v>
      </c>
      <c r="M6137" s="53" t="e">
        <f t="array" ref="M6137">SE</f>
        <v>#NAME?</v>
      </c>
      <c r="N6137" s="118" t="e">
        <f>Tabela6[[#This Row],[KM Rodados ]]/Tabela6[[#This Row],[CONSUMO]]</f>
        <v>#NAME?</v>
      </c>
    </row>
    <row r="6138" spans="1:14" x14ac:dyDescent="0.25">
      <c r="A6138" s="117">
        <v>156316</v>
      </c>
      <c r="B6138" s="78">
        <v>45774</v>
      </c>
      <c r="C6138" s="47" t="s">
        <v>564</v>
      </c>
      <c r="D6138" s="49" t="s">
        <v>613</v>
      </c>
      <c r="E6138" s="117">
        <v>80702</v>
      </c>
      <c r="G6138" s="50" t="s">
        <v>89</v>
      </c>
      <c r="H6138" s="51">
        <v>250</v>
      </c>
      <c r="J6138" s="51">
        <v>5.69</v>
      </c>
      <c r="K6138" s="74">
        <f>Tabela6[[#This Row],[CONSUMO]]*Tabela6[[#This Row],[VALOR UNIT]]-Tabela6[[#This Row],[DESCONTO]]</f>
        <v>1422.5</v>
      </c>
      <c r="L6138" s="53">
        <f>Tabela6[[#This Row],[CUSTO TOTAL]]/Tabela6[[#This Row],[CONSUMO]]</f>
        <v>5.69</v>
      </c>
      <c r="M6138" s="53" t="e">
        <f t="array" ref="M6138">SE</f>
        <v>#NAME?</v>
      </c>
      <c r="N6138" s="118" t="e">
        <f>Tabela6[[#This Row],[KM Rodados ]]/Tabela6[[#This Row],[CONSUMO]]</f>
        <v>#NAME?</v>
      </c>
    </row>
    <row r="6139" spans="1:14" x14ac:dyDescent="0.25">
      <c r="A6139" s="117">
        <v>347749</v>
      </c>
      <c r="B6139" s="78">
        <v>45775</v>
      </c>
      <c r="C6139" s="47" t="s">
        <v>203</v>
      </c>
      <c r="D6139" s="49" t="s">
        <v>262</v>
      </c>
      <c r="E6139" s="117">
        <v>217325</v>
      </c>
      <c r="G6139" s="50" t="s">
        <v>244</v>
      </c>
      <c r="H6139" s="51">
        <v>29.321000000000002</v>
      </c>
      <c r="J6139" s="51">
        <v>5.9898999999999996</v>
      </c>
      <c r="K6139" s="74">
        <f>Tabela6[[#This Row],[CONSUMO]]*Tabela6[[#This Row],[VALOR UNIT]]-Tabela6[[#This Row],[DESCONTO]]</f>
        <v>175.62985789999999</v>
      </c>
      <c r="L6139" s="53">
        <f>Tabela6[[#This Row],[CUSTO TOTAL]]/Tabela6[[#This Row],[CONSUMO]]</f>
        <v>5.9898999999999996</v>
      </c>
      <c r="M6139" s="53" t="e">
        <f t="array" ref="M6139">SE</f>
        <v>#NAME?</v>
      </c>
      <c r="N6139" s="118" t="e">
        <f>Tabela6[[#This Row],[KM Rodados ]]/Tabela6[[#This Row],[CONSUMO]]</f>
        <v>#NAME?</v>
      </c>
    </row>
    <row r="6140" spans="1:14" x14ac:dyDescent="0.25">
      <c r="A6140" s="117">
        <v>500154</v>
      </c>
      <c r="B6140" s="78">
        <v>45775</v>
      </c>
      <c r="C6140" s="47" t="s">
        <v>12</v>
      </c>
      <c r="D6140" s="49" t="s">
        <v>253</v>
      </c>
      <c r="E6140" s="117">
        <v>359319</v>
      </c>
      <c r="G6140" s="50" t="s">
        <v>89</v>
      </c>
      <c r="H6140" s="51">
        <v>69.290000000000006</v>
      </c>
      <c r="J6140" s="51">
        <v>6.29</v>
      </c>
      <c r="K6140" s="74">
        <f>Tabela6[[#This Row],[CONSUMO]]*Tabela6[[#This Row],[VALOR UNIT]]-Tabela6[[#This Row],[DESCONTO]]</f>
        <v>435.83410000000003</v>
      </c>
      <c r="L6140" s="53">
        <f>Tabela6[[#This Row],[CUSTO TOTAL]]/Tabela6[[#This Row],[CONSUMO]]</f>
        <v>6.29</v>
      </c>
      <c r="M6140" s="53" t="e">
        <f t="array" ref="M6140">SE</f>
        <v>#NAME?</v>
      </c>
      <c r="N6140" s="118" t="e">
        <f>Tabela6[[#This Row],[KM Rodados ]]/Tabela6[[#This Row],[CONSUMO]]</f>
        <v>#NAME?</v>
      </c>
    </row>
    <row r="6141" spans="1:14" x14ac:dyDescent="0.25">
      <c r="A6141" s="117">
        <v>347710</v>
      </c>
      <c r="B6141" s="78">
        <v>45775</v>
      </c>
      <c r="C6141" s="47" t="s">
        <v>40</v>
      </c>
      <c r="D6141" s="49" t="s">
        <v>262</v>
      </c>
      <c r="E6141" s="117">
        <v>253352</v>
      </c>
      <c r="G6141" s="50" t="s">
        <v>244</v>
      </c>
      <c r="H6141" s="51">
        <v>27.21</v>
      </c>
      <c r="J6141" s="51">
        <v>5.99</v>
      </c>
      <c r="K6141" s="74">
        <f>Tabela6[[#This Row],[CONSUMO]]*Tabela6[[#This Row],[VALOR UNIT]]-Tabela6[[#This Row],[DESCONTO]]</f>
        <v>162.98790000000002</v>
      </c>
      <c r="L6141" s="53">
        <f>Tabela6[[#This Row],[CUSTO TOTAL]]/Tabela6[[#This Row],[CONSUMO]]</f>
        <v>5.9900000000000011</v>
      </c>
      <c r="M6141" s="53" t="e">
        <f t="array" ref="M6141">SE</f>
        <v>#NAME?</v>
      </c>
      <c r="N6141" s="118" t="e">
        <f>Tabela6[[#This Row],[KM Rodados ]]/Tabela6[[#This Row],[CONSUMO]]</f>
        <v>#NAME?</v>
      </c>
    </row>
    <row r="6142" spans="1:14" x14ac:dyDescent="0.25">
      <c r="A6142" s="117">
        <v>67247</v>
      </c>
      <c r="B6142" s="78">
        <v>45775</v>
      </c>
      <c r="C6142" s="47" t="s">
        <v>18</v>
      </c>
      <c r="D6142" s="49" t="s">
        <v>255</v>
      </c>
      <c r="E6142" s="117">
        <v>401284</v>
      </c>
      <c r="G6142" s="50" t="s">
        <v>89</v>
      </c>
      <c r="H6142" s="51">
        <v>59.87</v>
      </c>
      <c r="J6142" s="51">
        <v>6.29</v>
      </c>
      <c r="K6142" s="74">
        <f>Tabela6[[#This Row],[CONSUMO]]*Tabela6[[#This Row],[VALOR UNIT]]-Tabela6[[#This Row],[DESCONTO]]</f>
        <v>376.58229999999998</v>
      </c>
      <c r="L6142" s="53">
        <f>Tabela6[[#This Row],[CUSTO TOTAL]]/Tabela6[[#This Row],[CONSUMO]]</f>
        <v>6.29</v>
      </c>
      <c r="M6142" s="53" t="e">
        <f t="array" ref="M6142">SE</f>
        <v>#NAME?</v>
      </c>
      <c r="N6142" s="118" t="e">
        <f>Tabela6[[#This Row],[KM Rodados ]]/Tabela6[[#This Row],[CONSUMO]]</f>
        <v>#NAME?</v>
      </c>
    </row>
    <row r="6143" spans="1:14" x14ac:dyDescent="0.25">
      <c r="A6143" s="117">
        <v>1366</v>
      </c>
      <c r="B6143" s="78">
        <v>45775</v>
      </c>
      <c r="C6143" s="47" t="s">
        <v>15</v>
      </c>
      <c r="D6143" s="49" t="s">
        <v>300</v>
      </c>
      <c r="E6143" s="117">
        <v>488756</v>
      </c>
      <c r="G6143" s="50" t="s">
        <v>89</v>
      </c>
      <c r="H6143" s="51">
        <v>102.78</v>
      </c>
      <c r="J6143" s="51">
        <v>5.99</v>
      </c>
      <c r="K6143" s="74">
        <f>Tabela6[[#This Row],[CONSUMO]]*Tabela6[[#This Row],[VALOR UNIT]]-Tabela6[[#This Row],[DESCONTO]]</f>
        <v>615.65219999999999</v>
      </c>
      <c r="L6143" s="53">
        <f>Tabela6[[#This Row],[CUSTO TOTAL]]/Tabela6[[#This Row],[CONSUMO]]</f>
        <v>5.99</v>
      </c>
      <c r="M6143" s="53" t="e">
        <f t="array" ref="M6143">SE</f>
        <v>#NAME?</v>
      </c>
      <c r="N6143" s="118" t="e">
        <f>Tabela6[[#This Row],[KM Rodados ]]/Tabela6[[#This Row],[CONSUMO]]</f>
        <v>#NAME?</v>
      </c>
    </row>
    <row r="6144" spans="1:14" x14ac:dyDescent="0.25">
      <c r="A6144" s="117">
        <v>957007</v>
      </c>
      <c r="B6144" s="78">
        <v>45775</v>
      </c>
      <c r="C6144" s="47" t="s">
        <v>67</v>
      </c>
      <c r="D6144" s="49" t="s">
        <v>271</v>
      </c>
      <c r="E6144" s="117">
        <v>773711</v>
      </c>
      <c r="G6144" s="50" t="s">
        <v>241</v>
      </c>
      <c r="H6144" s="51">
        <v>17.100999999999999</v>
      </c>
      <c r="J6144" s="51">
        <v>3.19</v>
      </c>
      <c r="K6144" s="74">
        <f>Tabela6[[#This Row],[CONSUMO]]*Tabela6[[#This Row],[VALOR UNIT]]-Tabela6[[#This Row],[DESCONTO]]</f>
        <v>54.552189999999996</v>
      </c>
      <c r="L6144" s="53">
        <f>Tabela6[[#This Row],[CUSTO TOTAL]]/Tabela6[[#This Row],[CONSUMO]]</f>
        <v>3.19</v>
      </c>
      <c r="M6144" s="53" t="e">
        <f t="array" ref="M6144">SE</f>
        <v>#NAME?</v>
      </c>
      <c r="N6144" s="118" t="e">
        <f>Tabela6[[#This Row],[KM Rodados ]]/Tabela6[[#This Row],[CONSUMO]]</f>
        <v>#NAME?</v>
      </c>
    </row>
    <row r="6145" spans="1:14" x14ac:dyDescent="0.25">
      <c r="A6145" s="117" t="s">
        <v>727</v>
      </c>
      <c r="B6145" s="78">
        <v>45775</v>
      </c>
      <c r="C6145" s="47" t="s">
        <v>67</v>
      </c>
      <c r="D6145" s="49" t="s">
        <v>271</v>
      </c>
      <c r="E6145" s="117">
        <v>773711</v>
      </c>
      <c r="G6145" s="50" t="s">
        <v>89</v>
      </c>
      <c r="H6145" s="51">
        <v>138.58000000000001</v>
      </c>
      <c r="J6145" s="51">
        <v>5.99</v>
      </c>
      <c r="K6145" s="74">
        <f>Tabela6[[#This Row],[CONSUMO]]*Tabela6[[#This Row],[VALOR UNIT]]-Tabela6[[#This Row],[DESCONTO]]</f>
        <v>830.09420000000011</v>
      </c>
      <c r="L6145" s="53">
        <f>Tabela6[[#This Row],[CUSTO TOTAL]]/Tabela6[[#This Row],[CONSUMO]]</f>
        <v>5.99</v>
      </c>
      <c r="M6145" s="53" t="e">
        <f t="array" ref="M6145">SE</f>
        <v>#NAME?</v>
      </c>
      <c r="N6145" s="118" t="e">
        <f>Tabela6[[#This Row],[KM Rodados ]]/Tabela6[[#This Row],[CONSUMO]]</f>
        <v>#NAME?</v>
      </c>
    </row>
    <row r="6146" spans="1:14" x14ac:dyDescent="0.25">
      <c r="A6146" s="117">
        <v>664257</v>
      </c>
      <c r="B6146" s="78">
        <v>45776</v>
      </c>
      <c r="C6146" s="47" t="s">
        <v>206</v>
      </c>
      <c r="D6146" s="49" t="s">
        <v>487</v>
      </c>
      <c r="E6146" s="117"/>
      <c r="G6146" s="50" t="s">
        <v>89</v>
      </c>
      <c r="H6146" s="51">
        <v>490.46</v>
      </c>
      <c r="J6146" s="51">
        <v>5.79</v>
      </c>
      <c r="K6146" s="74">
        <f>Tabela6[[#This Row],[CONSUMO]]*Tabela6[[#This Row],[VALOR UNIT]]-Tabela6[[#This Row],[DESCONTO]]</f>
        <v>2839.7633999999998</v>
      </c>
      <c r="L6146" s="53">
        <f>Tabela6[[#This Row],[CUSTO TOTAL]]/Tabela6[[#This Row],[CONSUMO]]</f>
        <v>5.79</v>
      </c>
      <c r="M6146" s="53" t="e">
        <f t="array" ref="M6146">SE</f>
        <v>#NAME?</v>
      </c>
      <c r="N6146" s="118" t="e">
        <f>Tabela6[[#This Row],[KM Rodados ]]/Tabela6[[#This Row],[CONSUMO]]</f>
        <v>#NAME?</v>
      </c>
    </row>
    <row r="6147" spans="1:14" x14ac:dyDescent="0.25">
      <c r="A6147" s="117">
        <v>500959</v>
      </c>
      <c r="B6147" s="78">
        <v>45776</v>
      </c>
      <c r="C6147" s="47" t="s">
        <v>315</v>
      </c>
      <c r="D6147" s="49" t="s">
        <v>253</v>
      </c>
      <c r="E6147" s="117">
        <v>71504</v>
      </c>
      <c r="G6147" s="50" t="s">
        <v>89</v>
      </c>
      <c r="H6147" s="51">
        <v>50</v>
      </c>
      <c r="J6147" s="51">
        <v>6.29</v>
      </c>
      <c r="K6147" s="74">
        <f>Tabela6[[#This Row],[CONSUMO]]*Tabela6[[#This Row],[VALOR UNIT]]-Tabela6[[#This Row],[DESCONTO]]</f>
        <v>314.5</v>
      </c>
      <c r="L6147" s="53">
        <f>Tabela6[[#This Row],[CUSTO TOTAL]]/Tabela6[[#This Row],[CONSUMO]]</f>
        <v>6.29</v>
      </c>
      <c r="M6147" s="53" t="e">
        <f t="array" ref="M6147">SE</f>
        <v>#NAME?</v>
      </c>
      <c r="N6147" s="118" t="e">
        <f>Tabela6[[#This Row],[KM Rodados ]]/Tabela6[[#This Row],[CONSUMO]]</f>
        <v>#NAME?</v>
      </c>
    </row>
    <row r="6148" spans="1:14" x14ac:dyDescent="0.25">
      <c r="A6148" s="117">
        <v>500636</v>
      </c>
      <c r="B6148" s="78">
        <v>45776</v>
      </c>
      <c r="C6148" s="47" t="s">
        <v>72</v>
      </c>
      <c r="D6148" s="49" t="s">
        <v>253</v>
      </c>
      <c r="E6148" s="117">
        <v>511477</v>
      </c>
      <c r="G6148" s="50" t="s">
        <v>89</v>
      </c>
      <c r="H6148" s="51">
        <v>32.68</v>
      </c>
      <c r="J6148" s="51">
        <v>6.29</v>
      </c>
      <c r="K6148" s="74">
        <f>Tabela6[[#This Row],[CONSUMO]]*Tabela6[[#This Row],[VALOR UNIT]]-Tabela6[[#This Row],[DESCONTO]]</f>
        <v>205.55719999999999</v>
      </c>
      <c r="L6148" s="53">
        <f>Tabela6[[#This Row],[CUSTO TOTAL]]/Tabela6[[#This Row],[CONSUMO]]</f>
        <v>6.29</v>
      </c>
      <c r="M6148" s="53" t="e">
        <f t="array" ref="M6148">SE</f>
        <v>#NAME?</v>
      </c>
      <c r="N6148" s="118" t="e">
        <f>Tabela6[[#This Row],[KM Rodados ]]/Tabela6[[#This Row],[CONSUMO]]</f>
        <v>#NAME?</v>
      </c>
    </row>
    <row r="6149" spans="1:14" x14ac:dyDescent="0.25">
      <c r="A6149" s="117">
        <v>501083</v>
      </c>
      <c r="B6149" s="78">
        <v>45776</v>
      </c>
      <c r="C6149" s="47" t="s">
        <v>19</v>
      </c>
      <c r="D6149" s="49" t="s">
        <v>253</v>
      </c>
      <c r="E6149" s="117">
        <v>447468</v>
      </c>
      <c r="G6149" s="50" t="s">
        <v>241</v>
      </c>
      <c r="H6149" s="51">
        <v>20</v>
      </c>
      <c r="J6149" s="51">
        <v>3.49</v>
      </c>
      <c r="K6149" s="74">
        <f>Tabela6[[#This Row],[CONSUMO]]*Tabela6[[#This Row],[VALOR UNIT]]-Tabela6[[#This Row],[DESCONTO]]</f>
        <v>69.800000000000011</v>
      </c>
      <c r="L6149" s="53">
        <f>Tabela6[[#This Row],[CUSTO TOTAL]]/Tabela6[[#This Row],[CONSUMO]]</f>
        <v>3.4900000000000007</v>
      </c>
      <c r="M6149" s="53" t="e">
        <f t="array" ref="M6149">SE</f>
        <v>#NAME?</v>
      </c>
      <c r="N6149" s="118" t="e">
        <f>Tabela6[[#This Row],[KM Rodados ]]/Tabela6[[#This Row],[CONSUMO]]</f>
        <v>#NAME?</v>
      </c>
    </row>
    <row r="6150" spans="1:14" x14ac:dyDescent="0.25">
      <c r="A6150" s="117">
        <v>506998</v>
      </c>
      <c r="B6150" s="78">
        <v>45776</v>
      </c>
      <c r="C6150" s="47" t="s">
        <v>203</v>
      </c>
      <c r="D6150" s="49" t="s">
        <v>276</v>
      </c>
      <c r="E6150" s="117">
        <v>217857</v>
      </c>
      <c r="G6150" s="50" t="s">
        <v>244</v>
      </c>
      <c r="H6150" s="51">
        <v>41.22</v>
      </c>
      <c r="J6150" s="51">
        <v>6.19</v>
      </c>
      <c r="K6150" s="74">
        <f>Tabela6[[#This Row],[CONSUMO]]*Tabela6[[#This Row],[VALOR UNIT]]-Tabela6[[#This Row],[DESCONTO]]</f>
        <v>255.15180000000001</v>
      </c>
      <c r="L6150" s="53">
        <f>Tabela6[[#This Row],[CUSTO TOTAL]]/Tabela6[[#This Row],[CONSUMO]]</f>
        <v>6.19</v>
      </c>
      <c r="M6150" s="53" t="e">
        <f t="array" ref="M6150">SE</f>
        <v>#NAME?</v>
      </c>
      <c r="N6150" s="118" t="e">
        <f>Tabela6[[#This Row],[KM Rodados ]]/Tabela6[[#This Row],[CONSUMO]]</f>
        <v>#NAME?</v>
      </c>
    </row>
    <row r="6151" spans="1:14" x14ac:dyDescent="0.25">
      <c r="A6151" s="117">
        <v>507092</v>
      </c>
      <c r="B6151" s="78">
        <v>45776</v>
      </c>
      <c r="C6151" s="47" t="s">
        <v>203</v>
      </c>
      <c r="D6151" s="49" t="s">
        <v>276</v>
      </c>
      <c r="E6151" s="117">
        <v>218145</v>
      </c>
      <c r="G6151" s="50" t="s">
        <v>244</v>
      </c>
      <c r="H6151" s="51">
        <v>22.95</v>
      </c>
      <c r="J6151" s="51">
        <v>6.19</v>
      </c>
      <c r="K6151" s="74">
        <f>Tabela6[[#This Row],[CONSUMO]]*Tabela6[[#This Row],[VALOR UNIT]]-Tabela6[[#This Row],[DESCONTO]]</f>
        <v>142.06049999999999</v>
      </c>
      <c r="L6151" s="53">
        <f>Tabela6[[#This Row],[CUSTO TOTAL]]/Tabela6[[#This Row],[CONSUMO]]</f>
        <v>6.1899999999999995</v>
      </c>
      <c r="M6151" s="53" t="e">
        <f t="array" ref="M6151">SE</f>
        <v>#NAME?</v>
      </c>
      <c r="N6151" s="118" t="e">
        <f>Tabela6[[#This Row],[KM Rodados ]]/Tabela6[[#This Row],[CONSUMO]]</f>
        <v>#NAME?</v>
      </c>
    </row>
    <row r="6152" spans="1:14" x14ac:dyDescent="0.25">
      <c r="A6152" s="117">
        <v>507108</v>
      </c>
      <c r="B6152" s="78">
        <v>45776</v>
      </c>
      <c r="C6152" s="47" t="s">
        <v>40</v>
      </c>
      <c r="D6152" s="49" t="s">
        <v>276</v>
      </c>
      <c r="E6152" s="117">
        <v>254371</v>
      </c>
      <c r="G6152" s="50" t="s">
        <v>244</v>
      </c>
      <c r="H6152" s="51">
        <v>44.27</v>
      </c>
      <c r="J6152" s="51">
        <v>6.19</v>
      </c>
      <c r="K6152" s="74">
        <f>Tabela6[[#This Row],[CONSUMO]]*Tabela6[[#This Row],[VALOR UNIT]]-Tabela6[[#This Row],[DESCONTO]]</f>
        <v>274.03130000000004</v>
      </c>
      <c r="L6152" s="53">
        <f>Tabela6[[#This Row],[CUSTO TOTAL]]/Tabela6[[#This Row],[CONSUMO]]</f>
        <v>6.19</v>
      </c>
      <c r="M6152" s="53" t="e">
        <f t="array" ref="M6152">SE</f>
        <v>#NAME?</v>
      </c>
      <c r="N6152" s="118" t="e">
        <f>Tabela6[[#This Row],[KM Rodados ]]/Tabela6[[#This Row],[CONSUMO]]</f>
        <v>#NAME?</v>
      </c>
    </row>
    <row r="6153" spans="1:14" x14ac:dyDescent="0.25">
      <c r="A6153" s="117">
        <v>1187</v>
      </c>
      <c r="B6153" s="78">
        <v>45776</v>
      </c>
      <c r="C6153" s="47" t="s">
        <v>41</v>
      </c>
      <c r="E6153" s="117">
        <v>763457</v>
      </c>
      <c r="G6153" s="50" t="s">
        <v>89</v>
      </c>
      <c r="H6153" s="51">
        <v>197.89</v>
      </c>
      <c r="J6153" s="51">
        <v>6.09</v>
      </c>
      <c r="K6153" s="74">
        <f>Tabela6[[#This Row],[CONSUMO]]*Tabela6[[#This Row],[VALOR UNIT]]-Tabela6[[#This Row],[DESCONTO]]</f>
        <v>1205.1500999999998</v>
      </c>
      <c r="L6153" s="53">
        <f>Tabela6[[#This Row],[CUSTO TOTAL]]/Tabela6[[#This Row],[CONSUMO]]</f>
        <v>6.09</v>
      </c>
      <c r="M6153" s="53" t="e">
        <f t="array" ref="M6153">SE</f>
        <v>#NAME?</v>
      </c>
      <c r="N6153" s="118" t="e">
        <f>Tabela6[[#This Row],[KM Rodados ]]/Tabela6[[#This Row],[CONSUMO]]</f>
        <v>#NAME?</v>
      </c>
    </row>
    <row r="6154" spans="1:14" x14ac:dyDescent="0.25">
      <c r="A6154" s="117">
        <v>2113</v>
      </c>
      <c r="B6154" s="78">
        <v>45777</v>
      </c>
      <c r="C6154" s="47" t="s">
        <v>615</v>
      </c>
      <c r="D6154" s="49" t="s">
        <v>300</v>
      </c>
      <c r="E6154" s="117">
        <v>220555</v>
      </c>
      <c r="G6154" s="50" t="s">
        <v>241</v>
      </c>
      <c r="H6154" s="51">
        <v>73.451999999999998</v>
      </c>
      <c r="J6154" s="51">
        <v>3.19</v>
      </c>
      <c r="K6154" s="74">
        <f>Tabela6[[#This Row],[CONSUMO]]*Tabela6[[#This Row],[VALOR UNIT]]-Tabela6[[#This Row],[DESCONTO]]</f>
        <v>234.31188</v>
      </c>
      <c r="L6154" s="53">
        <f>Tabela6[[#This Row],[CUSTO TOTAL]]/Tabela6[[#This Row],[CONSUMO]]</f>
        <v>3.19</v>
      </c>
      <c r="M6154" s="53" t="e">
        <f t="array" ref="M6154">SE</f>
        <v>#NAME?</v>
      </c>
      <c r="N6154" s="118" t="e">
        <f>Tabela6[[#This Row],[KM Rodados ]]/Tabela6[[#This Row],[CONSUMO]]</f>
        <v>#NAME?</v>
      </c>
    </row>
    <row r="6155" spans="1:14" x14ac:dyDescent="0.25">
      <c r="A6155" s="117">
        <v>501880</v>
      </c>
      <c r="B6155" s="78">
        <v>45777</v>
      </c>
      <c r="C6155" s="47" t="s">
        <v>9</v>
      </c>
      <c r="D6155" s="49" t="s">
        <v>253</v>
      </c>
      <c r="E6155" s="117">
        <v>693421</v>
      </c>
      <c r="G6155" s="50" t="s">
        <v>89</v>
      </c>
      <c r="H6155" s="51">
        <v>168.98</v>
      </c>
      <c r="J6155" s="51">
        <v>6.29</v>
      </c>
      <c r="K6155" s="74">
        <f>Tabela6[[#This Row],[CONSUMO]]*Tabela6[[#This Row],[VALOR UNIT]]-Tabela6[[#This Row],[DESCONTO]]</f>
        <v>1062.8842</v>
      </c>
      <c r="L6155" s="53">
        <f>Tabela6[[#This Row],[CUSTO TOTAL]]/Tabela6[[#This Row],[CONSUMO]]</f>
        <v>6.29</v>
      </c>
      <c r="M6155" s="53" t="e">
        <f t="array" ref="M6155">SE</f>
        <v>#NAME?</v>
      </c>
      <c r="N6155" s="118" t="e">
        <f>Tabela6[[#This Row],[KM Rodados ]]/Tabela6[[#This Row],[CONSUMO]]</f>
        <v>#NAME?</v>
      </c>
    </row>
    <row r="6156" spans="1:14" x14ac:dyDescent="0.25">
      <c r="A6156" s="117">
        <v>3116</v>
      </c>
      <c r="B6156" s="78">
        <v>45778</v>
      </c>
      <c r="C6156" s="47" t="s">
        <v>74</v>
      </c>
      <c r="D6156" s="49" t="s">
        <v>300</v>
      </c>
      <c r="E6156" s="117">
        <v>190697</v>
      </c>
      <c r="G6156" s="50" t="s">
        <v>89</v>
      </c>
      <c r="H6156" s="51">
        <v>107.94</v>
      </c>
      <c r="J6156" s="51">
        <v>5.99</v>
      </c>
      <c r="K6156" s="74">
        <f>Tabela6[[#This Row],[CONSUMO]]*Tabela6[[#This Row],[VALOR UNIT]]-Tabela6[[#This Row],[DESCONTO]]</f>
        <v>646.56060000000002</v>
      </c>
      <c r="L6156" s="53">
        <f>Tabela6[[#This Row],[CUSTO TOTAL]]/Tabela6[[#This Row],[CONSUMO]]</f>
        <v>5.99</v>
      </c>
      <c r="M6156" s="53" t="e">
        <f t="array" ref="M6156">SE</f>
        <v>#NAME?</v>
      </c>
      <c r="N6156" s="118" t="e">
        <f>Tabela6[[#This Row],[KM Rodados ]]/Tabela6[[#This Row],[CONSUMO]]</f>
        <v>#NAME?</v>
      </c>
    </row>
    <row r="6157" spans="1:14" x14ac:dyDescent="0.25">
      <c r="A6157" s="117">
        <v>502395</v>
      </c>
      <c r="B6157" s="78">
        <v>45778</v>
      </c>
      <c r="C6157" s="47" t="s">
        <v>72</v>
      </c>
      <c r="D6157" s="49" t="s">
        <v>253</v>
      </c>
      <c r="E6157" s="117">
        <v>511776</v>
      </c>
      <c r="G6157" s="50" t="s">
        <v>89</v>
      </c>
      <c r="H6157" s="51">
        <v>39.1</v>
      </c>
      <c r="J6157" s="51">
        <v>6.29</v>
      </c>
      <c r="K6157" s="74">
        <f>Tabela6[[#This Row],[CONSUMO]]*Tabela6[[#This Row],[VALOR UNIT]]-Tabela6[[#This Row],[DESCONTO]]</f>
        <v>245.93900000000002</v>
      </c>
      <c r="L6157" s="53">
        <f>Tabela6[[#This Row],[CUSTO TOTAL]]/Tabela6[[#This Row],[CONSUMO]]</f>
        <v>6.29</v>
      </c>
      <c r="M6157" s="53" t="e">
        <f t="array" ref="M6157">SE</f>
        <v>#NAME?</v>
      </c>
      <c r="N6157" s="118" t="e">
        <f>Tabela6[[#This Row],[KM Rodados ]]/Tabela6[[#This Row],[CONSUMO]]</f>
        <v>#NAME?</v>
      </c>
    </row>
    <row r="6158" spans="1:14" x14ac:dyDescent="0.25">
      <c r="A6158" s="117">
        <v>2449</v>
      </c>
      <c r="B6158" s="78">
        <v>45778</v>
      </c>
      <c r="C6158" s="47" t="s">
        <v>222</v>
      </c>
      <c r="D6158" s="49" t="s">
        <v>672</v>
      </c>
      <c r="E6158" s="117">
        <v>670958</v>
      </c>
      <c r="G6158" s="50" t="s">
        <v>241</v>
      </c>
      <c r="H6158" s="51">
        <v>32.39</v>
      </c>
      <c r="J6158" s="51">
        <v>3.19</v>
      </c>
      <c r="K6158" s="74">
        <f>Tabela6[[#This Row],[CONSUMO]]*Tabela6[[#This Row],[VALOR UNIT]]-Tabela6[[#This Row],[DESCONTO]]</f>
        <v>103.3241</v>
      </c>
      <c r="L6158" s="53">
        <f>Tabela6[[#This Row],[CUSTO TOTAL]]/Tabela6[[#This Row],[CONSUMO]]</f>
        <v>3.19</v>
      </c>
      <c r="M6158" s="53" t="e">
        <f t="array" ref="M6158">SE</f>
        <v>#NAME?</v>
      </c>
      <c r="N6158" s="118" t="e">
        <f>Tabela6[[#This Row],[KM Rodados ]]/Tabela6[[#This Row],[CONSUMO]]</f>
        <v>#NAME?</v>
      </c>
    </row>
    <row r="6159" spans="1:14" x14ac:dyDescent="0.25">
      <c r="A6159" s="117">
        <v>2449</v>
      </c>
      <c r="B6159" s="78">
        <v>45778</v>
      </c>
      <c r="C6159" s="47" t="s">
        <v>222</v>
      </c>
      <c r="D6159" s="49" t="s">
        <v>672</v>
      </c>
      <c r="E6159" s="117">
        <v>670958</v>
      </c>
      <c r="G6159" s="50" t="s">
        <v>89</v>
      </c>
      <c r="H6159" s="51">
        <v>407.13099999999997</v>
      </c>
      <c r="J6159" s="51">
        <v>5.89</v>
      </c>
      <c r="K6159" s="74">
        <f>Tabela6[[#This Row],[CONSUMO]]*Tabela6[[#This Row],[VALOR UNIT]]-Tabela6[[#This Row],[DESCONTO]]</f>
        <v>2398.0015899999999</v>
      </c>
      <c r="L6159" s="53">
        <f>Tabela6[[#This Row],[CUSTO TOTAL]]/Tabela6[[#This Row],[CONSUMO]]</f>
        <v>5.89</v>
      </c>
      <c r="M6159" s="53" t="e">
        <f t="array" ref="M6159">SE</f>
        <v>#NAME?</v>
      </c>
      <c r="N6159" s="118" t="e">
        <f>Tabela6[[#This Row],[KM Rodados ]]/Tabela6[[#This Row],[CONSUMO]]</f>
        <v>#NAME?</v>
      </c>
    </row>
    <row r="6160" spans="1:14" x14ac:dyDescent="0.25">
      <c r="A6160" s="117">
        <v>508223</v>
      </c>
      <c r="B6160" s="78">
        <v>45779</v>
      </c>
      <c r="C6160" s="47" t="s">
        <v>215</v>
      </c>
      <c r="D6160" s="49" t="s">
        <v>276</v>
      </c>
      <c r="E6160" s="117">
        <v>253617</v>
      </c>
      <c r="G6160" s="50" t="s">
        <v>244</v>
      </c>
      <c r="H6160" s="51">
        <v>35.709000000000003</v>
      </c>
      <c r="J6160" s="51">
        <v>6.19</v>
      </c>
      <c r="K6160" s="74">
        <f>Tabela6[[#This Row],[CONSUMO]]*Tabela6[[#This Row],[VALOR UNIT]]-Tabela6[[#This Row],[DESCONTO]]</f>
        <v>221.03871000000004</v>
      </c>
      <c r="L6160" s="53">
        <f>Tabela6[[#This Row],[CUSTO TOTAL]]/Tabela6[[#This Row],[CONSUMO]]</f>
        <v>6.19</v>
      </c>
      <c r="M6160" s="53" t="e">
        <f t="array" ref="M6160">SE</f>
        <v>#NAME?</v>
      </c>
      <c r="N6160" s="118" t="e">
        <f>Tabela6[[#This Row],[KM Rodados ]]/Tabela6[[#This Row],[CONSUMO]]</f>
        <v>#NAME?</v>
      </c>
    </row>
    <row r="6161" spans="1:14" x14ac:dyDescent="0.25">
      <c r="A6161" s="117">
        <v>503423</v>
      </c>
      <c r="B6161" s="78">
        <v>45779</v>
      </c>
      <c r="C6161" s="47" t="s">
        <v>39</v>
      </c>
      <c r="D6161" s="49" t="s">
        <v>253</v>
      </c>
      <c r="E6161" s="117">
        <v>145076</v>
      </c>
      <c r="G6161" s="50" t="s">
        <v>89</v>
      </c>
      <c r="H6161" s="51">
        <v>100.21</v>
      </c>
      <c r="J6161" s="51">
        <v>6.29</v>
      </c>
      <c r="K6161" s="74">
        <f>Tabela6[[#This Row],[CONSUMO]]*Tabela6[[#This Row],[VALOR UNIT]]-Tabela6[[#This Row],[DESCONTO]]</f>
        <v>630.32089999999994</v>
      </c>
      <c r="L6161" s="53">
        <f>Tabela6[[#This Row],[CUSTO TOTAL]]/Tabela6[[#This Row],[CONSUMO]]</f>
        <v>6.29</v>
      </c>
      <c r="M6161" s="53" t="e">
        <f t="array" ref="M6161">SE</f>
        <v>#NAME?</v>
      </c>
      <c r="N6161" s="118" t="e">
        <f>Tabela6[[#This Row],[KM Rodados ]]/Tabela6[[#This Row],[CONSUMO]]</f>
        <v>#NAME?</v>
      </c>
    </row>
    <row r="6162" spans="1:14" x14ac:dyDescent="0.25">
      <c r="A6162" s="117">
        <v>508086</v>
      </c>
      <c r="B6162" s="78">
        <v>45779</v>
      </c>
      <c r="C6162" s="47" t="s">
        <v>73</v>
      </c>
      <c r="D6162" s="49" t="s">
        <v>276</v>
      </c>
      <c r="E6162" s="117">
        <v>271167</v>
      </c>
      <c r="G6162" s="50" t="s">
        <v>241</v>
      </c>
      <c r="H6162" s="51">
        <v>26.5</v>
      </c>
      <c r="J6162" s="51">
        <v>3.69</v>
      </c>
      <c r="K6162" s="74">
        <f>Tabela6[[#This Row],[CONSUMO]]*Tabela6[[#This Row],[VALOR UNIT]]-Tabela6[[#This Row],[DESCONTO]]</f>
        <v>97.784999999999997</v>
      </c>
      <c r="L6162" s="53">
        <f>Tabela6[[#This Row],[CUSTO TOTAL]]/Tabela6[[#This Row],[CONSUMO]]</f>
        <v>3.69</v>
      </c>
      <c r="M6162" s="53" t="e">
        <f t="array" ref="M6162">SE</f>
        <v>#NAME?</v>
      </c>
      <c r="N6162" s="118" t="e">
        <f>Tabela6[[#This Row],[KM Rodados ]]/Tabela6[[#This Row],[CONSUMO]]</f>
        <v>#NAME?</v>
      </c>
    </row>
    <row r="6163" spans="1:14" x14ac:dyDescent="0.25">
      <c r="A6163" s="117">
        <v>68451</v>
      </c>
      <c r="B6163" s="78">
        <v>45779</v>
      </c>
      <c r="C6163" s="47" t="s">
        <v>38</v>
      </c>
      <c r="D6163" s="49" t="s">
        <v>255</v>
      </c>
      <c r="E6163" s="117">
        <v>167817</v>
      </c>
      <c r="G6163" s="50" t="s">
        <v>244</v>
      </c>
      <c r="H6163" s="51">
        <v>53.8</v>
      </c>
      <c r="J6163" s="51">
        <v>6.37</v>
      </c>
      <c r="K6163" s="74">
        <f>Tabela6[[#This Row],[CONSUMO]]*Tabela6[[#This Row],[VALOR UNIT]]-Tabela6[[#This Row],[DESCONTO]]</f>
        <v>342.70599999999996</v>
      </c>
      <c r="L6163" s="53">
        <f>Tabela6[[#This Row],[CUSTO TOTAL]]/Tabela6[[#This Row],[CONSUMO]]</f>
        <v>6.3699999999999992</v>
      </c>
      <c r="M6163" s="53" t="e">
        <f t="array" ref="M6163">SE</f>
        <v>#NAME?</v>
      </c>
      <c r="N6163" s="118" t="e">
        <f>Tabela6[[#This Row],[KM Rodados ]]/Tabela6[[#This Row],[CONSUMO]]</f>
        <v>#NAME?</v>
      </c>
    </row>
    <row r="6164" spans="1:14" x14ac:dyDescent="0.25">
      <c r="A6164" s="117">
        <v>12057</v>
      </c>
      <c r="B6164" s="78">
        <v>45779</v>
      </c>
      <c r="C6164" s="47" t="s">
        <v>354</v>
      </c>
      <c r="D6164" s="49" t="s">
        <v>324</v>
      </c>
      <c r="E6164" s="117">
        <v>103221</v>
      </c>
      <c r="G6164" s="50" t="s">
        <v>241</v>
      </c>
      <c r="H6164" s="51">
        <v>20</v>
      </c>
      <c r="J6164" s="51">
        <v>3.19</v>
      </c>
      <c r="K6164" s="74">
        <f>Tabela6[[#This Row],[CONSUMO]]*Tabela6[[#This Row],[VALOR UNIT]]-Tabela6[[#This Row],[DESCONTO]]</f>
        <v>63.8</v>
      </c>
      <c r="L6164" s="53">
        <f>Tabela6[[#This Row],[CUSTO TOTAL]]/Tabela6[[#This Row],[CONSUMO]]</f>
        <v>3.19</v>
      </c>
      <c r="M6164" s="53" t="e">
        <f t="array" ref="M6164">SE</f>
        <v>#NAME?</v>
      </c>
      <c r="N6164" s="118" t="e">
        <f>Tabela6[[#This Row],[KM Rodados ]]/Tabela6[[#This Row],[CONSUMO]]</f>
        <v>#NAME?</v>
      </c>
    </row>
    <row r="6165" spans="1:14" x14ac:dyDescent="0.25">
      <c r="A6165" s="117">
        <v>958585</v>
      </c>
      <c r="B6165" s="78">
        <v>45779</v>
      </c>
      <c r="C6165" s="47" t="s">
        <v>67</v>
      </c>
      <c r="D6165" s="49" t="s">
        <v>271</v>
      </c>
      <c r="E6165" s="117">
        <v>774200</v>
      </c>
      <c r="G6165" s="50" t="s">
        <v>89</v>
      </c>
      <c r="H6165" s="51">
        <v>130</v>
      </c>
      <c r="J6165" s="51">
        <v>5.99</v>
      </c>
      <c r="K6165" s="74">
        <f>Tabela6[[#This Row],[CONSUMO]]*Tabela6[[#This Row],[VALOR UNIT]]-Tabela6[[#This Row],[DESCONTO]]</f>
        <v>778.7</v>
      </c>
      <c r="L6165" s="53">
        <f>Tabela6[[#This Row],[CUSTO TOTAL]]/Tabela6[[#This Row],[CONSUMO]]</f>
        <v>5.99</v>
      </c>
      <c r="M6165" s="53" t="e">
        <f t="array" ref="M6165">SE</f>
        <v>#NAME?</v>
      </c>
      <c r="N6165" s="118" t="e">
        <f>Tabela6[[#This Row],[KM Rodados ]]/Tabela6[[#This Row],[CONSUMO]]</f>
        <v>#NAME?</v>
      </c>
    </row>
    <row r="6166" spans="1:14" x14ac:dyDescent="0.25">
      <c r="A6166" s="117" t="s">
        <v>703</v>
      </c>
      <c r="B6166" s="78">
        <v>45779</v>
      </c>
      <c r="C6166" s="47" t="s">
        <v>18</v>
      </c>
      <c r="D6166" s="49" t="s">
        <v>271</v>
      </c>
      <c r="E6166" s="117">
        <v>402006</v>
      </c>
      <c r="G6166" s="50" t="s">
        <v>89</v>
      </c>
      <c r="H6166" s="51">
        <v>92.191000000000003</v>
      </c>
      <c r="J6166" s="51">
        <v>6.29</v>
      </c>
      <c r="K6166" s="74">
        <f>Tabela6[[#This Row],[CONSUMO]]*Tabela6[[#This Row],[VALOR UNIT]]-Tabela6[[#This Row],[DESCONTO]]</f>
        <v>579.88139000000001</v>
      </c>
      <c r="L6166" s="53">
        <f>Tabela6[[#This Row],[CUSTO TOTAL]]/Tabela6[[#This Row],[CONSUMO]]</f>
        <v>6.29</v>
      </c>
      <c r="M6166" s="53" t="e">
        <f t="array" ref="M6166">SE</f>
        <v>#NAME?</v>
      </c>
      <c r="N6166" s="118" t="e">
        <f>Tabela6[[#This Row],[KM Rodados ]]/Tabela6[[#This Row],[CONSUMO]]</f>
        <v>#NAME?</v>
      </c>
    </row>
    <row r="6167" spans="1:14" x14ac:dyDescent="0.25">
      <c r="A6167" s="117">
        <v>12057</v>
      </c>
      <c r="B6167" s="78">
        <v>45779</v>
      </c>
      <c r="C6167" s="47" t="s">
        <v>354</v>
      </c>
      <c r="D6167" s="49" t="s">
        <v>324</v>
      </c>
      <c r="E6167" s="117">
        <v>103221</v>
      </c>
      <c r="G6167" s="50" t="s">
        <v>241</v>
      </c>
      <c r="H6167" s="51">
        <v>20</v>
      </c>
      <c r="J6167" s="51">
        <v>3.19</v>
      </c>
      <c r="K6167" s="74">
        <f>Tabela6[[#This Row],[CONSUMO]]*Tabela6[[#This Row],[VALOR UNIT]]-Tabela6[[#This Row],[DESCONTO]]</f>
        <v>63.8</v>
      </c>
      <c r="L6167" s="53">
        <f>Tabela6[[#This Row],[CUSTO TOTAL]]/Tabela6[[#This Row],[CONSUMO]]</f>
        <v>3.19</v>
      </c>
      <c r="M6167" s="53" t="e">
        <f t="array" ref="M6167">SE</f>
        <v>#NAME?</v>
      </c>
      <c r="N6167" s="118" t="e">
        <f>Tabela6[[#This Row],[KM Rodados ]]/Tabela6[[#This Row],[CONSUMO]]</f>
        <v>#NAME?</v>
      </c>
    </row>
    <row r="6168" spans="1:14" x14ac:dyDescent="0.25">
      <c r="A6168" s="117">
        <v>22255</v>
      </c>
      <c r="B6168" s="78">
        <v>45779</v>
      </c>
      <c r="C6168" s="47" t="s">
        <v>681</v>
      </c>
      <c r="D6168" s="49" t="s">
        <v>324</v>
      </c>
      <c r="E6168" s="117">
        <v>16136</v>
      </c>
      <c r="G6168" s="50" t="s">
        <v>241</v>
      </c>
      <c r="H6168" s="51">
        <v>26.041</v>
      </c>
      <c r="J6168" s="51">
        <v>3.19</v>
      </c>
      <c r="K6168" s="74">
        <f>Tabela6[[#This Row],[CONSUMO]]*Tabela6[[#This Row],[VALOR UNIT]]-Tabela6[[#This Row],[DESCONTO]]</f>
        <v>83.070790000000002</v>
      </c>
      <c r="L6168" s="53">
        <f>Tabela6[[#This Row],[CUSTO TOTAL]]/Tabela6[[#This Row],[CONSUMO]]</f>
        <v>3.19</v>
      </c>
      <c r="M6168" s="53" t="e">
        <f t="array" ref="M6168">SE</f>
        <v>#NAME?</v>
      </c>
      <c r="N6168" s="118" t="e">
        <f>Tabela6[[#This Row],[KM Rodados ]]/Tabela6[[#This Row],[CONSUMO]]</f>
        <v>#NAME?</v>
      </c>
    </row>
    <row r="6169" spans="1:14" x14ac:dyDescent="0.25">
      <c r="A6169" s="117">
        <v>25418</v>
      </c>
      <c r="B6169" s="78">
        <v>45780</v>
      </c>
      <c r="C6169" s="47" t="s">
        <v>206</v>
      </c>
      <c r="D6169" s="49" t="s">
        <v>252</v>
      </c>
      <c r="E6169" s="117">
        <v>1084345</v>
      </c>
      <c r="G6169" s="50" t="s">
        <v>89</v>
      </c>
      <c r="H6169" s="51">
        <v>137</v>
      </c>
      <c r="J6169" s="51">
        <v>5.95</v>
      </c>
      <c r="K6169" s="74">
        <f>Tabela6[[#This Row],[CONSUMO]]*Tabela6[[#This Row],[VALOR UNIT]]-Tabela6[[#This Row],[DESCONTO]]</f>
        <v>815.15</v>
      </c>
      <c r="L6169" s="53">
        <f>Tabela6[[#This Row],[CUSTO TOTAL]]/Tabela6[[#This Row],[CONSUMO]]</f>
        <v>5.95</v>
      </c>
      <c r="M6169" s="53" t="e">
        <f t="array" ref="M6169">SE</f>
        <v>#NAME?</v>
      </c>
      <c r="N6169" s="118" t="e">
        <f>Tabela6[[#This Row],[KM Rodados ]]/Tabela6[[#This Row],[CONSUMO]]</f>
        <v>#NAME?</v>
      </c>
    </row>
    <row r="6170" spans="1:14" x14ac:dyDescent="0.25">
      <c r="A6170" s="117">
        <v>41968</v>
      </c>
      <c r="B6170" s="78">
        <v>45782</v>
      </c>
      <c r="C6170" s="47" t="s">
        <v>206</v>
      </c>
      <c r="D6170" s="49" t="s">
        <v>252</v>
      </c>
      <c r="E6170" s="117">
        <v>1085202</v>
      </c>
      <c r="G6170" s="50" t="s">
        <v>89</v>
      </c>
      <c r="H6170" s="51">
        <v>310</v>
      </c>
      <c r="J6170" s="51">
        <v>6.13</v>
      </c>
      <c r="K6170" s="74">
        <f>Tabela6[[#This Row],[CONSUMO]]*Tabela6[[#This Row],[VALOR UNIT]]-Tabela6[[#This Row],[DESCONTO]]</f>
        <v>1900.3</v>
      </c>
      <c r="L6170" s="53">
        <f>Tabela6[[#This Row],[CUSTO TOTAL]]/Tabela6[[#This Row],[CONSUMO]]</f>
        <v>6.13</v>
      </c>
      <c r="M6170" s="53" t="e">
        <f t="array" ref="M6170">SE</f>
        <v>#NAME?</v>
      </c>
      <c r="N6170" s="118" t="e">
        <f>Tabela6[[#This Row],[KM Rodados ]]/Tabela6[[#This Row],[CONSUMO]]</f>
        <v>#NAME?</v>
      </c>
    </row>
    <row r="6171" spans="1:14" x14ac:dyDescent="0.25">
      <c r="A6171" s="117" t="s">
        <v>704</v>
      </c>
      <c r="B6171" s="78">
        <v>45782</v>
      </c>
      <c r="C6171" s="47" t="s">
        <v>358</v>
      </c>
      <c r="D6171" s="49" t="s">
        <v>329</v>
      </c>
      <c r="E6171" s="117">
        <v>915890</v>
      </c>
      <c r="G6171" s="50" t="s">
        <v>89</v>
      </c>
      <c r="H6171" s="51">
        <v>430.01100000000002</v>
      </c>
      <c r="J6171" s="51">
        <v>5.95</v>
      </c>
      <c r="K6171" s="74">
        <f>Tabela6[[#This Row],[CONSUMO]]*Tabela6[[#This Row],[VALOR UNIT]]-Tabela6[[#This Row],[DESCONTO]]</f>
        <v>2558.5654500000001</v>
      </c>
      <c r="L6171" s="53">
        <f>Tabela6[[#This Row],[CUSTO TOTAL]]/Tabela6[[#This Row],[CONSUMO]]</f>
        <v>5.95</v>
      </c>
      <c r="M6171" s="53" t="e">
        <f t="array" ref="M6171">SE</f>
        <v>#NAME?</v>
      </c>
      <c r="N6171" s="118" t="e">
        <f>Tabela6[[#This Row],[KM Rodados ]]/Tabela6[[#This Row],[CONSUMO]]</f>
        <v>#NAME?</v>
      </c>
    </row>
    <row r="6172" spans="1:14" x14ac:dyDescent="0.25">
      <c r="A6172" s="117" t="s">
        <v>705</v>
      </c>
      <c r="B6172" s="78">
        <v>45782</v>
      </c>
      <c r="C6172" s="47" t="s">
        <v>9</v>
      </c>
      <c r="D6172" s="49" t="s">
        <v>269</v>
      </c>
      <c r="E6172" s="117">
        <v>694115</v>
      </c>
      <c r="G6172" s="50" t="s">
        <v>89</v>
      </c>
      <c r="H6172" s="51">
        <v>190.92</v>
      </c>
      <c r="J6172" s="51">
        <v>5.99</v>
      </c>
      <c r="K6172" s="74">
        <f>Tabela6[[#This Row],[CONSUMO]]*Tabela6[[#This Row],[VALOR UNIT]]-Tabela6[[#This Row],[DESCONTO]]</f>
        <v>1143.6107999999999</v>
      </c>
      <c r="L6172" s="53">
        <f>Tabela6[[#This Row],[CUSTO TOTAL]]/Tabela6[[#This Row],[CONSUMO]]</f>
        <v>5.99</v>
      </c>
      <c r="M6172" s="53" t="e">
        <f t="array" ref="M6172">SE</f>
        <v>#NAME?</v>
      </c>
      <c r="N6172" s="118" t="e">
        <f>Tabela6[[#This Row],[KM Rodados ]]/Tabela6[[#This Row],[CONSUMO]]</f>
        <v>#NAME?</v>
      </c>
    </row>
    <row r="6173" spans="1:14" x14ac:dyDescent="0.25">
      <c r="A6173" s="117">
        <v>509576</v>
      </c>
      <c r="B6173" s="78">
        <v>45783</v>
      </c>
      <c r="C6173" s="47" t="s">
        <v>43</v>
      </c>
      <c r="D6173" s="49" t="s">
        <v>276</v>
      </c>
      <c r="E6173" s="117">
        <v>246915</v>
      </c>
      <c r="G6173" s="50" t="s">
        <v>89</v>
      </c>
      <c r="H6173" s="51">
        <v>40.880000000000003</v>
      </c>
      <c r="J6173" s="51">
        <v>6.19</v>
      </c>
      <c r="K6173" s="74">
        <f>Tabela6[[#This Row],[CONSUMO]]*Tabela6[[#This Row],[VALOR UNIT]]-Tabela6[[#This Row],[DESCONTO]]</f>
        <v>253.04720000000003</v>
      </c>
      <c r="L6173" s="53">
        <f>Tabela6[[#This Row],[CUSTO TOTAL]]/Tabela6[[#This Row],[CONSUMO]]</f>
        <v>6.19</v>
      </c>
      <c r="M6173" s="53" t="e">
        <f t="array" ref="M6173">SE</f>
        <v>#NAME?</v>
      </c>
      <c r="N6173" s="118" t="e">
        <f>Tabela6[[#This Row],[KM Rodados ]]/Tabela6[[#This Row],[CONSUMO]]</f>
        <v>#NAME?</v>
      </c>
    </row>
    <row r="6174" spans="1:14" x14ac:dyDescent="0.25">
      <c r="A6174" s="117">
        <v>960589</v>
      </c>
      <c r="B6174" s="78">
        <v>45783</v>
      </c>
      <c r="C6174" s="47" t="s">
        <v>67</v>
      </c>
      <c r="D6174" s="49" t="s">
        <v>271</v>
      </c>
      <c r="E6174" s="117">
        <v>774700</v>
      </c>
      <c r="G6174" s="50" t="s">
        <v>89</v>
      </c>
      <c r="H6174" s="51">
        <v>136.48099999999999</v>
      </c>
      <c r="J6174" s="51">
        <v>5.99</v>
      </c>
      <c r="K6174" s="74">
        <f>Tabela6[[#This Row],[CONSUMO]]*Tabela6[[#This Row],[VALOR UNIT]]-Tabela6[[#This Row],[DESCONTO]]</f>
        <v>817.52119000000005</v>
      </c>
      <c r="L6174" s="53">
        <f>Tabela6[[#This Row],[CUSTO TOTAL]]/Tabela6[[#This Row],[CONSUMO]]</f>
        <v>5.99</v>
      </c>
      <c r="M6174" s="53" t="e">
        <f t="array" ref="M6174">SE</f>
        <v>#NAME?</v>
      </c>
      <c r="N6174" s="118" t="e">
        <f>Tabela6[[#This Row],[KM Rodados ]]/Tabela6[[#This Row],[CONSUMO]]</f>
        <v>#NAME?</v>
      </c>
    </row>
    <row r="6175" spans="1:14" x14ac:dyDescent="0.25">
      <c r="A6175" s="117">
        <v>30882</v>
      </c>
      <c r="B6175" s="78">
        <v>45783</v>
      </c>
      <c r="C6175" s="47" t="s">
        <v>43</v>
      </c>
      <c r="D6175" s="49" t="s">
        <v>233</v>
      </c>
      <c r="E6175" s="117">
        <v>246619</v>
      </c>
      <c r="G6175" s="50" t="s">
        <v>89</v>
      </c>
      <c r="H6175" s="51">
        <v>35.03</v>
      </c>
      <c r="J6175" s="51">
        <v>6.29</v>
      </c>
      <c r="K6175" s="74">
        <f>Tabela6[[#This Row],[CONSUMO]]*Tabela6[[#This Row],[VALOR UNIT]]-Tabela6[[#This Row],[DESCONTO]]</f>
        <v>220.33870000000002</v>
      </c>
      <c r="L6175" s="53">
        <f>Tabela6[[#This Row],[CUSTO TOTAL]]/Tabela6[[#This Row],[CONSUMO]]</f>
        <v>6.29</v>
      </c>
      <c r="M6175" s="53" t="e">
        <f t="array" ref="M6175">SE</f>
        <v>#NAME?</v>
      </c>
      <c r="N6175" s="118" t="e">
        <f>Tabela6[[#This Row],[KM Rodados ]]/Tabela6[[#This Row],[CONSUMO]]</f>
        <v>#NAME?</v>
      </c>
    </row>
    <row r="6176" spans="1:14" x14ac:dyDescent="0.25">
      <c r="A6176" s="117">
        <v>31674</v>
      </c>
      <c r="B6176" s="78">
        <v>45783</v>
      </c>
      <c r="C6176" s="47" t="s">
        <v>401</v>
      </c>
      <c r="D6176" s="49" t="s">
        <v>272</v>
      </c>
      <c r="E6176" s="117">
        <v>106069</v>
      </c>
      <c r="G6176" s="50" t="s">
        <v>89</v>
      </c>
      <c r="H6176" s="51">
        <v>84.89</v>
      </c>
      <c r="J6176" s="51">
        <v>5.89</v>
      </c>
      <c r="K6176" s="74">
        <f>Tabela6[[#This Row],[CONSUMO]]*Tabela6[[#This Row],[VALOR UNIT]]-Tabela6[[#This Row],[DESCONTO]]</f>
        <v>500.00209999999998</v>
      </c>
      <c r="L6176" s="53">
        <f>Tabela6[[#This Row],[CUSTO TOTAL]]/Tabela6[[#This Row],[CONSUMO]]</f>
        <v>5.89</v>
      </c>
      <c r="M6176" s="53" t="e">
        <f t="array" ref="M6176">SE</f>
        <v>#NAME?</v>
      </c>
      <c r="N6176" s="118" t="e">
        <f>Tabela6[[#This Row],[KM Rodados ]]/Tabela6[[#This Row],[CONSUMO]]</f>
        <v>#NAME?</v>
      </c>
    </row>
    <row r="6177" spans="1:14" x14ac:dyDescent="0.25">
      <c r="A6177" s="117">
        <v>31693</v>
      </c>
      <c r="B6177" s="78">
        <v>45783</v>
      </c>
      <c r="C6177" s="47" t="s">
        <v>401</v>
      </c>
      <c r="D6177" s="49" t="s">
        <v>272</v>
      </c>
      <c r="E6177" s="117">
        <v>106069</v>
      </c>
      <c r="G6177" s="50" t="s">
        <v>241</v>
      </c>
      <c r="H6177" s="51">
        <v>20.56</v>
      </c>
      <c r="J6177" s="51">
        <v>3.19</v>
      </c>
      <c r="K6177" s="74">
        <f>Tabela6[[#This Row],[CONSUMO]]*Tabela6[[#This Row],[VALOR UNIT]]-Tabela6[[#This Row],[DESCONTO]]</f>
        <v>65.586399999999998</v>
      </c>
      <c r="L6177" s="53">
        <f>Tabela6[[#This Row],[CUSTO TOTAL]]/Tabela6[[#This Row],[CONSUMO]]</f>
        <v>3.19</v>
      </c>
      <c r="M6177" s="53" t="e">
        <f t="array" ref="M6177">SE</f>
        <v>#NAME?</v>
      </c>
      <c r="N6177" s="118" t="e">
        <f>Tabela6[[#This Row],[KM Rodados ]]/Tabela6[[#This Row],[CONSUMO]]</f>
        <v>#NAME?</v>
      </c>
    </row>
    <row r="6178" spans="1:14" x14ac:dyDescent="0.25">
      <c r="A6178" s="117">
        <v>34090</v>
      </c>
      <c r="B6178" s="78">
        <v>45783</v>
      </c>
      <c r="C6178" s="47" t="s">
        <v>19</v>
      </c>
      <c r="D6178" s="49" t="s">
        <v>247</v>
      </c>
      <c r="E6178" s="117">
        <v>448717</v>
      </c>
      <c r="G6178" s="50" t="s">
        <v>89</v>
      </c>
      <c r="H6178" s="51">
        <v>32.31</v>
      </c>
      <c r="J6178" s="51">
        <v>6.19</v>
      </c>
      <c r="K6178" s="74">
        <f>Tabela6[[#This Row],[CONSUMO]]*Tabela6[[#This Row],[VALOR UNIT]]-Tabela6[[#This Row],[DESCONTO]]</f>
        <v>199.99890000000002</v>
      </c>
      <c r="L6178" s="53">
        <f>Tabela6[[#This Row],[CUSTO TOTAL]]/Tabela6[[#This Row],[CONSUMO]]</f>
        <v>6.19</v>
      </c>
      <c r="M6178" s="53" t="e">
        <f t="array" ref="M6178">SE</f>
        <v>#NAME?</v>
      </c>
      <c r="N6178" s="118" t="e">
        <f>Tabela6[[#This Row],[KM Rodados ]]/Tabela6[[#This Row],[CONSUMO]]</f>
        <v>#NAME?</v>
      </c>
    </row>
    <row r="6179" spans="1:14" x14ac:dyDescent="0.25">
      <c r="A6179" s="117">
        <v>5562</v>
      </c>
      <c r="B6179" s="78">
        <v>45783</v>
      </c>
      <c r="C6179" s="47" t="s">
        <v>426</v>
      </c>
      <c r="D6179" s="49" t="s">
        <v>300</v>
      </c>
      <c r="E6179" s="117">
        <v>87801</v>
      </c>
      <c r="G6179" s="50" t="s">
        <v>89</v>
      </c>
      <c r="H6179" s="51">
        <v>98.64</v>
      </c>
      <c r="J6179" s="51">
        <v>5.99</v>
      </c>
      <c r="K6179" s="74">
        <f>Tabela6[[#This Row],[CONSUMO]]*Tabela6[[#This Row],[VALOR UNIT]]-Tabela6[[#This Row],[DESCONTO]]</f>
        <v>590.85360000000003</v>
      </c>
      <c r="L6179" s="53">
        <f>Tabela6[[#This Row],[CUSTO TOTAL]]/Tabela6[[#This Row],[CONSUMO]]</f>
        <v>5.99</v>
      </c>
      <c r="M6179" s="53" t="e">
        <f t="array" ref="M6179">SE</f>
        <v>#NAME?</v>
      </c>
      <c r="N6179" s="118" t="e">
        <f>Tabela6[[#This Row],[KM Rodados ]]/Tabela6[[#This Row],[CONSUMO]]</f>
        <v>#NAME?</v>
      </c>
    </row>
    <row r="6180" spans="1:14" x14ac:dyDescent="0.25">
      <c r="A6180" s="117">
        <v>36663</v>
      </c>
      <c r="B6180" s="78">
        <v>45784</v>
      </c>
      <c r="C6180" s="47" t="s">
        <v>315</v>
      </c>
      <c r="D6180" s="49" t="s">
        <v>263</v>
      </c>
      <c r="E6180" s="117">
        <v>72128</v>
      </c>
      <c r="G6180" s="50" t="s">
        <v>89</v>
      </c>
      <c r="H6180" s="51">
        <v>53.14</v>
      </c>
      <c r="J6180" s="51">
        <v>6.14</v>
      </c>
      <c r="K6180" s="74">
        <f>Tabela6[[#This Row],[CONSUMO]]*Tabela6[[#This Row],[VALOR UNIT]]-Tabela6[[#This Row],[DESCONTO]]</f>
        <v>326.27959999999996</v>
      </c>
      <c r="L6180" s="53">
        <f>Tabela6[[#This Row],[CUSTO TOTAL]]/Tabela6[[#This Row],[CONSUMO]]</f>
        <v>6.1399999999999988</v>
      </c>
      <c r="M6180" s="53" t="e">
        <f t="array" ref="M6180">SE</f>
        <v>#NAME?</v>
      </c>
      <c r="N6180" s="118" t="e">
        <f>Tabela6[[#This Row],[KM Rodados ]]/Tabela6[[#This Row],[CONSUMO]]</f>
        <v>#NAME?</v>
      </c>
    </row>
    <row r="6181" spans="1:14" x14ac:dyDescent="0.25">
      <c r="A6181" s="117">
        <v>507310</v>
      </c>
      <c r="B6181" s="78">
        <v>45784</v>
      </c>
      <c r="C6181" s="47" t="s">
        <v>71</v>
      </c>
      <c r="D6181" s="49" t="s">
        <v>253</v>
      </c>
      <c r="E6181" s="117">
        <v>83079</v>
      </c>
      <c r="G6181" s="50" t="s">
        <v>241</v>
      </c>
      <c r="H6181" s="51">
        <v>70.016999999999996</v>
      </c>
      <c r="J6181" s="51">
        <v>3.49</v>
      </c>
      <c r="K6181" s="74">
        <f>Tabela6[[#This Row],[CONSUMO]]*Tabela6[[#This Row],[VALOR UNIT]]-Tabela6[[#This Row],[DESCONTO]]</f>
        <v>244.35933</v>
      </c>
      <c r="L6181" s="53">
        <f>Tabela6[[#This Row],[CUSTO TOTAL]]/Tabela6[[#This Row],[CONSUMO]]</f>
        <v>3.49</v>
      </c>
      <c r="M6181" s="53" t="e">
        <f t="array" ref="M6181">SE</f>
        <v>#NAME?</v>
      </c>
      <c r="N6181" s="118" t="e">
        <f>Tabela6[[#This Row],[KM Rodados ]]/Tabela6[[#This Row],[CONSUMO]]</f>
        <v>#NAME?</v>
      </c>
    </row>
    <row r="6182" spans="1:14" x14ac:dyDescent="0.25">
      <c r="A6182" s="117">
        <v>38096</v>
      </c>
      <c r="B6182" s="78">
        <v>45784</v>
      </c>
      <c r="C6182" s="47" t="s">
        <v>72</v>
      </c>
      <c r="D6182" s="49" t="s">
        <v>700</v>
      </c>
      <c r="E6182" s="117">
        <v>512900</v>
      </c>
      <c r="G6182" s="50" t="s">
        <v>89</v>
      </c>
      <c r="H6182" s="51">
        <v>36.89</v>
      </c>
      <c r="J6182" s="51">
        <v>6.39</v>
      </c>
      <c r="K6182" s="74">
        <f>Tabela6[[#This Row],[CONSUMO]]*Tabela6[[#This Row],[VALOR UNIT]]-Tabela6[[#This Row],[DESCONTO]]</f>
        <v>235.72709999999998</v>
      </c>
      <c r="L6182" s="53">
        <f>Tabela6[[#This Row],[CUSTO TOTAL]]/Tabela6[[#This Row],[CONSUMO]]</f>
        <v>6.39</v>
      </c>
      <c r="M6182" s="53" t="e">
        <f t="array" ref="M6182">SE</f>
        <v>#NAME?</v>
      </c>
      <c r="N6182" s="118" t="e">
        <f>Tabela6[[#This Row],[KM Rodados ]]/Tabela6[[#This Row],[CONSUMO]]</f>
        <v>#NAME?</v>
      </c>
    </row>
    <row r="6183" spans="1:14" x14ac:dyDescent="0.25">
      <c r="A6183" s="117">
        <v>22462</v>
      </c>
      <c r="B6183" s="78">
        <v>45784</v>
      </c>
      <c r="C6183" s="47" t="s">
        <v>358</v>
      </c>
      <c r="D6183" s="49" t="s">
        <v>324</v>
      </c>
      <c r="E6183" s="117">
        <v>916820</v>
      </c>
      <c r="G6183" s="50" t="s">
        <v>89</v>
      </c>
      <c r="H6183" s="51">
        <v>377.71</v>
      </c>
      <c r="J6183" s="51">
        <v>5.85</v>
      </c>
      <c r="K6183" s="74">
        <f>Tabela6[[#This Row],[CONSUMO]]*Tabela6[[#This Row],[VALOR UNIT]]-Tabela6[[#This Row],[DESCONTO]]</f>
        <v>2209.6034999999997</v>
      </c>
      <c r="L6183" s="53">
        <f>Tabela6[[#This Row],[CUSTO TOTAL]]/Tabela6[[#This Row],[CONSUMO]]</f>
        <v>5.85</v>
      </c>
      <c r="M6183" s="53" t="e">
        <f t="array" ref="M6183">SE</f>
        <v>#NAME?</v>
      </c>
      <c r="N6183" s="118" t="e">
        <f>Tabela6[[#This Row],[KM Rodados ]]/Tabela6[[#This Row],[CONSUMO]]</f>
        <v>#NAME?</v>
      </c>
    </row>
    <row r="6184" spans="1:14" x14ac:dyDescent="0.25">
      <c r="A6184" s="117" t="s">
        <v>706</v>
      </c>
      <c r="B6184" s="78">
        <v>45784</v>
      </c>
      <c r="C6184" s="47" t="s">
        <v>203</v>
      </c>
      <c r="D6184" s="49" t="s">
        <v>269</v>
      </c>
      <c r="E6184" s="117">
        <v>218708</v>
      </c>
      <c r="G6184" s="50" t="s">
        <v>244</v>
      </c>
      <c r="H6184" s="51">
        <v>46.478000000000002</v>
      </c>
      <c r="J6184" s="51">
        <v>5.99</v>
      </c>
      <c r="K6184" s="74">
        <f>Tabela6[[#This Row],[CONSUMO]]*Tabela6[[#This Row],[VALOR UNIT]]-Tabela6[[#This Row],[DESCONTO]]</f>
        <v>278.40322000000003</v>
      </c>
      <c r="L6184" s="53">
        <f>Tabela6[[#This Row],[CUSTO TOTAL]]/Tabela6[[#This Row],[CONSUMO]]</f>
        <v>5.99</v>
      </c>
      <c r="M6184" s="53" t="e">
        <f t="array" ref="M6184">SE</f>
        <v>#NAME?</v>
      </c>
      <c r="N6184" s="118" t="e">
        <f>Tabela6[[#This Row],[KM Rodados ]]/Tabela6[[#This Row],[CONSUMO]]</f>
        <v>#NAME?</v>
      </c>
    </row>
    <row r="6185" spans="1:14" x14ac:dyDescent="0.25">
      <c r="A6185" s="117">
        <v>507743</v>
      </c>
      <c r="B6185" s="78">
        <v>45785</v>
      </c>
      <c r="C6185" s="47" t="s">
        <v>20</v>
      </c>
      <c r="D6185" s="49" t="s">
        <v>253</v>
      </c>
      <c r="E6185" s="117">
        <v>350308</v>
      </c>
      <c r="G6185" s="50" t="s">
        <v>89</v>
      </c>
      <c r="H6185" s="51">
        <v>67.209999999999994</v>
      </c>
      <c r="J6185" s="51">
        <v>6.29</v>
      </c>
      <c r="K6185" s="74">
        <f>Tabela6[[#This Row],[CONSUMO]]*Tabela6[[#This Row],[VALOR UNIT]]-Tabela6[[#This Row],[DESCONTO]]</f>
        <v>422.75089999999994</v>
      </c>
      <c r="L6185" s="53">
        <f>Tabela6[[#This Row],[CUSTO TOTAL]]/Tabela6[[#This Row],[CONSUMO]]</f>
        <v>6.29</v>
      </c>
      <c r="M6185" s="53" t="e">
        <f t="array" ref="M6185">SE</f>
        <v>#NAME?</v>
      </c>
      <c r="N6185" s="118" t="e">
        <f>Tabela6[[#This Row],[KM Rodados ]]/Tabela6[[#This Row],[CONSUMO]]</f>
        <v>#NAME?</v>
      </c>
    </row>
    <row r="6186" spans="1:14" x14ac:dyDescent="0.25">
      <c r="A6186" s="117">
        <v>508053</v>
      </c>
      <c r="B6186" s="78">
        <v>45785</v>
      </c>
      <c r="C6186" s="47" t="s">
        <v>11</v>
      </c>
      <c r="D6186" s="49" t="s">
        <v>253</v>
      </c>
      <c r="E6186" s="117">
        <v>453610</v>
      </c>
      <c r="G6186" s="50" t="s">
        <v>89</v>
      </c>
      <c r="H6186" s="51">
        <v>121.37</v>
      </c>
      <c r="J6186" s="51">
        <v>6.29</v>
      </c>
      <c r="K6186" s="74">
        <f>Tabela6[[#This Row],[CONSUMO]]*Tabela6[[#This Row],[VALOR UNIT]]-Tabela6[[#This Row],[DESCONTO]]</f>
        <v>763.41730000000007</v>
      </c>
      <c r="L6186" s="53">
        <f>Tabela6[[#This Row],[CUSTO TOTAL]]/Tabela6[[#This Row],[CONSUMO]]</f>
        <v>6.29</v>
      </c>
      <c r="M6186" s="53" t="e">
        <f t="array" ref="M6186">SE</f>
        <v>#NAME?</v>
      </c>
      <c r="N6186" s="118" t="e">
        <f>Tabela6[[#This Row],[KM Rodados ]]/Tabela6[[#This Row],[CONSUMO]]</f>
        <v>#NAME?</v>
      </c>
    </row>
    <row r="6187" spans="1:14" x14ac:dyDescent="0.25">
      <c r="A6187" s="117">
        <v>510040</v>
      </c>
      <c r="B6187" s="78">
        <v>45785</v>
      </c>
      <c r="C6187" s="47" t="s">
        <v>74</v>
      </c>
      <c r="D6187" s="49" t="s">
        <v>276</v>
      </c>
      <c r="E6187" s="117">
        <v>191988</v>
      </c>
      <c r="G6187" s="50" t="s">
        <v>241</v>
      </c>
      <c r="H6187" s="51">
        <v>16.698</v>
      </c>
      <c r="J6187" s="51">
        <v>3.69</v>
      </c>
      <c r="K6187" s="74">
        <f>Tabela6[[#This Row],[CONSUMO]]*Tabela6[[#This Row],[VALOR UNIT]]-Tabela6[[#This Row],[DESCONTO]]</f>
        <v>61.61562</v>
      </c>
      <c r="L6187" s="53">
        <f>Tabela6[[#This Row],[CUSTO TOTAL]]/Tabela6[[#This Row],[CONSUMO]]</f>
        <v>3.69</v>
      </c>
      <c r="M6187" s="53" t="e">
        <f t="array" ref="M6187">SE</f>
        <v>#NAME?</v>
      </c>
      <c r="N6187" s="118" t="e">
        <f>Tabela6[[#This Row],[KM Rodados ]]/Tabela6[[#This Row],[CONSUMO]]</f>
        <v>#NAME?</v>
      </c>
    </row>
    <row r="6188" spans="1:14" x14ac:dyDescent="0.25">
      <c r="A6188" s="117">
        <v>961497</v>
      </c>
      <c r="B6188" s="78">
        <v>45785</v>
      </c>
      <c r="C6188" s="47" t="s">
        <v>67</v>
      </c>
      <c r="D6188" s="49" t="s">
        <v>271</v>
      </c>
      <c r="E6188" s="117">
        <v>775161</v>
      </c>
      <c r="G6188" s="50" t="s">
        <v>89</v>
      </c>
      <c r="H6188" s="51">
        <v>121.011</v>
      </c>
      <c r="J6188" s="51">
        <v>5.89</v>
      </c>
      <c r="K6188" s="74">
        <f>Tabela6[[#This Row],[CONSUMO]]*Tabela6[[#This Row],[VALOR UNIT]]-Tabela6[[#This Row],[DESCONTO]]</f>
        <v>712.75478999999996</v>
      </c>
      <c r="L6188" s="53">
        <f>Tabela6[[#This Row],[CUSTO TOTAL]]/Tabela6[[#This Row],[CONSUMO]]</f>
        <v>5.89</v>
      </c>
      <c r="M6188" s="53" t="e">
        <f t="array" ref="M6188">SE</f>
        <v>#NAME?</v>
      </c>
      <c r="N6188" s="118" t="e">
        <f>Tabela6[[#This Row],[KM Rodados ]]/Tabela6[[#This Row],[CONSUMO]]</f>
        <v>#NAME?</v>
      </c>
    </row>
    <row r="6189" spans="1:14" x14ac:dyDescent="0.25">
      <c r="A6189" s="117">
        <v>961756</v>
      </c>
      <c r="B6189" s="78">
        <v>45785</v>
      </c>
      <c r="C6189" s="47" t="s">
        <v>615</v>
      </c>
      <c r="D6189" s="49" t="s">
        <v>271</v>
      </c>
      <c r="E6189" s="117">
        <v>24738</v>
      </c>
      <c r="G6189" s="50" t="s">
        <v>89</v>
      </c>
      <c r="H6189" s="51">
        <v>602.64099999999996</v>
      </c>
      <c r="J6189" s="51">
        <v>5.89</v>
      </c>
      <c r="K6189" s="74">
        <f>Tabela6[[#This Row],[CONSUMO]]*Tabela6[[#This Row],[VALOR UNIT]]-Tabela6[[#This Row],[DESCONTO]]</f>
        <v>3549.5554899999997</v>
      </c>
      <c r="L6189" s="53">
        <f>Tabela6[[#This Row],[CUSTO TOTAL]]/Tabela6[[#This Row],[CONSUMO]]</f>
        <v>5.89</v>
      </c>
      <c r="M6189" s="53" t="e">
        <f t="array" ref="M6189">SE</f>
        <v>#NAME?</v>
      </c>
      <c r="N6189" s="118" t="e">
        <f>Tabela6[[#This Row],[KM Rodados ]]/Tabela6[[#This Row],[CONSUMO]]</f>
        <v>#NAME?</v>
      </c>
    </row>
    <row r="6190" spans="1:14" x14ac:dyDescent="0.25">
      <c r="A6190" s="117">
        <v>6698</v>
      </c>
      <c r="B6190" s="78">
        <v>45785</v>
      </c>
      <c r="C6190" s="47" t="s">
        <v>13</v>
      </c>
      <c r="D6190" s="49" t="s">
        <v>300</v>
      </c>
      <c r="E6190" s="117">
        <v>742687</v>
      </c>
      <c r="G6190" s="50" t="s">
        <v>89</v>
      </c>
      <c r="H6190" s="51">
        <v>96.61</v>
      </c>
      <c r="J6190" s="51">
        <v>5.89</v>
      </c>
      <c r="K6190" s="74">
        <f>Tabela6[[#This Row],[CONSUMO]]*Tabela6[[#This Row],[VALOR UNIT]]-Tabela6[[#This Row],[DESCONTO]]</f>
        <v>569.03289999999993</v>
      </c>
      <c r="L6190" s="53">
        <f>Tabela6[[#This Row],[CUSTO TOTAL]]/Tabela6[[#This Row],[CONSUMO]]</f>
        <v>5.89</v>
      </c>
      <c r="M6190" s="53" t="e">
        <f t="array" ref="M6190">SE</f>
        <v>#NAME?</v>
      </c>
      <c r="N6190" s="118" t="e">
        <f>Tabela6[[#This Row],[KM Rodados ]]/Tabela6[[#This Row],[CONSUMO]]</f>
        <v>#NAME?</v>
      </c>
    </row>
    <row r="6191" spans="1:14" x14ac:dyDescent="0.25">
      <c r="A6191" s="117">
        <v>6743</v>
      </c>
      <c r="B6191" s="78">
        <v>45785</v>
      </c>
      <c r="C6191" s="47" t="s">
        <v>426</v>
      </c>
      <c r="D6191" s="49" t="s">
        <v>300</v>
      </c>
      <c r="E6191" s="117">
        <v>88494</v>
      </c>
      <c r="G6191" s="50" t="s">
        <v>89</v>
      </c>
      <c r="H6191" s="51">
        <v>93.27</v>
      </c>
      <c r="J6191" s="51">
        <v>5.89</v>
      </c>
      <c r="K6191" s="74">
        <f>Tabela6[[#This Row],[CONSUMO]]*Tabela6[[#This Row],[VALOR UNIT]]-Tabela6[[#This Row],[DESCONTO]]</f>
        <v>549.36029999999994</v>
      </c>
      <c r="L6191" s="53">
        <f>Tabela6[[#This Row],[CUSTO TOTAL]]/Tabela6[[#This Row],[CONSUMO]]</f>
        <v>5.89</v>
      </c>
      <c r="M6191" s="53" t="e">
        <f t="array" ref="M6191">SE</f>
        <v>#NAME?</v>
      </c>
      <c r="N6191" s="118" t="e">
        <f>Tabela6[[#This Row],[KM Rodados ]]/Tabela6[[#This Row],[CONSUMO]]</f>
        <v>#NAME?</v>
      </c>
    </row>
    <row r="6192" spans="1:14" x14ac:dyDescent="0.25">
      <c r="A6192" s="117">
        <v>6745</v>
      </c>
      <c r="B6192" s="78">
        <v>45785</v>
      </c>
      <c r="C6192" s="47" t="s">
        <v>426</v>
      </c>
      <c r="D6192" s="49" t="s">
        <v>300</v>
      </c>
      <c r="E6192" s="117">
        <v>88494</v>
      </c>
      <c r="G6192" s="50" t="s">
        <v>241</v>
      </c>
      <c r="H6192" s="51">
        <v>17.722000000000001</v>
      </c>
      <c r="J6192" s="51">
        <v>3.19</v>
      </c>
      <c r="K6192" s="74">
        <f>Tabela6[[#This Row],[CONSUMO]]*Tabela6[[#This Row],[VALOR UNIT]]-Tabela6[[#This Row],[DESCONTO]]</f>
        <v>56.533180000000002</v>
      </c>
      <c r="L6192" s="53">
        <f>Tabela6[[#This Row],[CUSTO TOTAL]]/Tabela6[[#This Row],[CONSUMO]]</f>
        <v>3.19</v>
      </c>
      <c r="M6192" s="53" t="e">
        <f t="array" ref="M6192">SE</f>
        <v>#NAME?</v>
      </c>
      <c r="N6192" s="118" t="e">
        <f>Tabela6[[#This Row],[KM Rodados ]]/Tabela6[[#This Row],[CONSUMO]]</f>
        <v>#NAME?</v>
      </c>
    </row>
    <row r="6193" spans="1:14" x14ac:dyDescent="0.25">
      <c r="A6193" s="117">
        <v>510605</v>
      </c>
      <c r="B6193" s="78">
        <v>45786</v>
      </c>
      <c r="C6193" s="47" t="s">
        <v>426</v>
      </c>
      <c r="D6193" s="49" t="s">
        <v>276</v>
      </c>
      <c r="E6193" s="117">
        <v>88978</v>
      </c>
      <c r="G6193" s="50" t="s">
        <v>241</v>
      </c>
      <c r="H6193" s="51">
        <v>3.5209999999999999</v>
      </c>
      <c r="J6193" s="51">
        <v>3.69</v>
      </c>
      <c r="K6193" s="74">
        <f>Tabela6[[#This Row],[CONSUMO]]*Tabela6[[#This Row],[VALOR UNIT]]-Tabela6[[#This Row],[DESCONTO]]</f>
        <v>12.99249</v>
      </c>
      <c r="L6193" s="53">
        <f>Tabela6[[#This Row],[CUSTO TOTAL]]/Tabela6[[#This Row],[CONSUMO]]</f>
        <v>3.69</v>
      </c>
      <c r="M6193" s="53" t="e">
        <f t="array" ref="M6193">SE</f>
        <v>#NAME?</v>
      </c>
      <c r="N6193" s="118" t="e">
        <f>Tabela6[[#This Row],[KM Rodados ]]/Tabela6[[#This Row],[CONSUMO]]</f>
        <v>#NAME?</v>
      </c>
    </row>
    <row r="6194" spans="1:14" x14ac:dyDescent="0.25">
      <c r="A6194" s="117">
        <v>508664</v>
      </c>
      <c r="B6194" s="78">
        <v>45786</v>
      </c>
      <c r="C6194" s="47" t="s">
        <v>12</v>
      </c>
      <c r="D6194" s="49" t="s">
        <v>253</v>
      </c>
      <c r="E6194" s="117">
        <v>359997</v>
      </c>
      <c r="G6194" s="50" t="s">
        <v>89</v>
      </c>
      <c r="H6194" s="51">
        <v>115</v>
      </c>
      <c r="J6194" s="51">
        <v>6.29</v>
      </c>
      <c r="K6194" s="74">
        <f>Tabela6[[#This Row],[CONSUMO]]*Tabela6[[#This Row],[VALOR UNIT]]-Tabela6[[#This Row],[DESCONTO]]</f>
        <v>723.35</v>
      </c>
      <c r="L6194" s="53">
        <f>Tabela6[[#This Row],[CUSTO TOTAL]]/Tabela6[[#This Row],[CONSUMO]]</f>
        <v>6.29</v>
      </c>
      <c r="M6194" s="53" t="e">
        <f t="array" ref="M6194">SE</f>
        <v>#NAME?</v>
      </c>
      <c r="N6194" s="118" t="e">
        <f>Tabela6[[#This Row],[KM Rodados ]]/Tabela6[[#This Row],[CONSUMO]]</f>
        <v>#NAME?</v>
      </c>
    </row>
    <row r="6195" spans="1:14" x14ac:dyDescent="0.25">
      <c r="A6195" s="117">
        <v>70416</v>
      </c>
      <c r="B6195" s="78">
        <v>45786</v>
      </c>
      <c r="C6195" s="47" t="s">
        <v>38</v>
      </c>
      <c r="D6195" s="49" t="s">
        <v>255</v>
      </c>
      <c r="E6195" s="117">
        <v>168352</v>
      </c>
      <c r="G6195" s="50" t="s">
        <v>244</v>
      </c>
      <c r="H6195" s="51">
        <v>51.2</v>
      </c>
      <c r="J6195" s="51">
        <v>6.37</v>
      </c>
      <c r="K6195" s="74">
        <f>Tabela6[[#This Row],[CONSUMO]]*Tabela6[[#This Row],[VALOR UNIT]]-Tabela6[[#This Row],[DESCONTO]]</f>
        <v>326.14400000000001</v>
      </c>
      <c r="L6195" s="53">
        <f>Tabela6[[#This Row],[CUSTO TOTAL]]/Tabela6[[#This Row],[CONSUMO]]</f>
        <v>6.37</v>
      </c>
      <c r="M6195" s="53" t="e">
        <f t="array" ref="M6195">SE</f>
        <v>#NAME?</v>
      </c>
      <c r="N6195" s="118" t="e">
        <f>Tabela6[[#This Row],[KM Rodados ]]/Tabela6[[#This Row],[CONSUMO]]</f>
        <v>#NAME?</v>
      </c>
    </row>
    <row r="6196" spans="1:14" x14ac:dyDescent="0.25">
      <c r="A6196" s="117">
        <v>215</v>
      </c>
      <c r="B6196" s="78">
        <v>45786</v>
      </c>
      <c r="C6196" s="47" t="s">
        <v>74</v>
      </c>
      <c r="E6196" s="117">
        <v>192203</v>
      </c>
      <c r="G6196" s="50" t="s">
        <v>89</v>
      </c>
      <c r="H6196" s="51">
        <v>79.48</v>
      </c>
      <c r="J6196" s="51">
        <v>5.69</v>
      </c>
      <c r="K6196" s="74">
        <f>Tabela6[[#This Row],[CONSUMO]]*Tabela6[[#This Row],[VALOR UNIT]]-Tabela6[[#This Row],[DESCONTO]]</f>
        <v>452.24120000000005</v>
      </c>
      <c r="L6196" s="53">
        <f>Tabela6[[#This Row],[CUSTO TOTAL]]/Tabela6[[#This Row],[CONSUMO]]</f>
        <v>5.69</v>
      </c>
      <c r="M6196" s="53" t="e">
        <f t="array" ref="M6196">SE</f>
        <v>#NAME?</v>
      </c>
      <c r="N6196" s="118" t="e">
        <f>Tabela6[[#This Row],[KM Rodados ]]/Tabela6[[#This Row],[CONSUMO]]</f>
        <v>#NAME?</v>
      </c>
    </row>
    <row r="6197" spans="1:14" x14ac:dyDescent="0.25">
      <c r="A6197" s="117">
        <v>961972</v>
      </c>
      <c r="B6197" s="78">
        <v>45786</v>
      </c>
      <c r="C6197" s="47" t="s">
        <v>9</v>
      </c>
      <c r="D6197" s="49" t="s">
        <v>271</v>
      </c>
      <c r="E6197" s="117">
        <v>694758</v>
      </c>
      <c r="G6197" s="50" t="s">
        <v>89</v>
      </c>
      <c r="H6197" s="51">
        <v>180.62</v>
      </c>
      <c r="J6197" s="51">
        <v>5.89</v>
      </c>
      <c r="K6197" s="74">
        <f>Tabela6[[#This Row],[CONSUMO]]*Tabela6[[#This Row],[VALOR UNIT]]-Tabela6[[#This Row],[DESCONTO]]</f>
        <v>1063.8517999999999</v>
      </c>
      <c r="L6197" s="53">
        <f>Tabela6[[#This Row],[CUSTO TOTAL]]/Tabela6[[#This Row],[CONSUMO]]</f>
        <v>5.89</v>
      </c>
      <c r="M6197" s="53" t="e">
        <f t="array" ref="M6197">SE</f>
        <v>#NAME?</v>
      </c>
      <c r="N6197" s="118" t="e">
        <f>Tabela6[[#This Row],[KM Rodados ]]/Tabela6[[#This Row],[CONSUMO]]</f>
        <v>#NAME?</v>
      </c>
    </row>
    <row r="6198" spans="1:14" x14ac:dyDescent="0.25">
      <c r="A6198" s="117">
        <v>543063</v>
      </c>
      <c r="B6198" s="78">
        <v>45786</v>
      </c>
      <c r="C6198" s="47" t="s">
        <v>18</v>
      </c>
      <c r="D6198" s="49" t="s">
        <v>271</v>
      </c>
      <c r="E6198" s="117">
        <v>402727</v>
      </c>
      <c r="G6198" s="50" t="s">
        <v>89</v>
      </c>
      <c r="H6198" s="51">
        <v>94.301000000000002</v>
      </c>
      <c r="J6198" s="51">
        <v>6.29</v>
      </c>
      <c r="K6198" s="74">
        <f>Tabela6[[#This Row],[CONSUMO]]*Tabela6[[#This Row],[VALOR UNIT]]-Tabela6[[#This Row],[DESCONTO]]</f>
        <v>593.15328999999997</v>
      </c>
      <c r="L6198" s="53">
        <f>Tabela6[[#This Row],[CUSTO TOTAL]]/Tabela6[[#This Row],[CONSUMO]]</f>
        <v>6.2899999999999991</v>
      </c>
      <c r="M6198" s="53" t="e">
        <f t="array" ref="M6198">SE</f>
        <v>#NAME?</v>
      </c>
      <c r="N6198" s="118" t="e">
        <f>Tabela6[[#This Row],[KM Rodados ]]/Tabela6[[#This Row],[CONSUMO]]</f>
        <v>#NAME?</v>
      </c>
    </row>
    <row r="6199" spans="1:14" x14ac:dyDescent="0.25">
      <c r="A6199" s="117">
        <v>7315</v>
      </c>
      <c r="B6199" s="78">
        <v>45786</v>
      </c>
      <c r="C6199" s="47" t="s">
        <v>43</v>
      </c>
      <c r="D6199" s="49" t="s">
        <v>300</v>
      </c>
      <c r="E6199" s="117">
        <v>257348</v>
      </c>
      <c r="G6199" s="50" t="s">
        <v>89</v>
      </c>
      <c r="H6199" s="51">
        <v>37.040999999999997</v>
      </c>
      <c r="J6199" s="51">
        <v>5.89</v>
      </c>
      <c r="K6199" s="74">
        <f>Tabela6[[#This Row],[CONSUMO]]*Tabela6[[#This Row],[VALOR UNIT]]-Tabela6[[#This Row],[DESCONTO]]</f>
        <v>218.17148999999998</v>
      </c>
      <c r="L6199" s="53">
        <f>Tabela6[[#This Row],[CUSTO TOTAL]]/Tabela6[[#This Row],[CONSUMO]]</f>
        <v>5.89</v>
      </c>
      <c r="M6199" s="53" t="e">
        <f t="array" ref="M6199">SE</f>
        <v>#NAME?</v>
      </c>
      <c r="N6199" s="118" t="e">
        <f>Tabela6[[#This Row],[KM Rodados ]]/Tabela6[[#This Row],[CONSUMO]]</f>
        <v>#NAME?</v>
      </c>
    </row>
    <row r="6200" spans="1:14" x14ac:dyDescent="0.25">
      <c r="A6200" s="117">
        <v>379821</v>
      </c>
      <c r="B6200" s="78">
        <v>45787</v>
      </c>
      <c r="C6200" s="47" t="s">
        <v>615</v>
      </c>
      <c r="D6200" s="49" t="s">
        <v>374</v>
      </c>
      <c r="E6200" s="117">
        <v>26008</v>
      </c>
      <c r="G6200" s="50" t="s">
        <v>89</v>
      </c>
      <c r="H6200" s="51">
        <v>600</v>
      </c>
      <c r="J6200" s="51">
        <v>5.89</v>
      </c>
      <c r="K6200" s="74">
        <f>Tabela6[[#This Row],[CONSUMO]]*Tabela6[[#This Row],[VALOR UNIT]]-Tabela6[[#This Row],[DESCONTO]]</f>
        <v>3534</v>
      </c>
      <c r="L6200" s="53">
        <f>Tabela6[[#This Row],[CUSTO TOTAL]]/Tabela6[[#This Row],[CONSUMO]]</f>
        <v>5.89</v>
      </c>
      <c r="M6200" s="53" t="e">
        <f t="array" ref="M6200">SE</f>
        <v>#NAME?</v>
      </c>
      <c r="N6200" s="118" t="e">
        <f>Tabela6[[#This Row],[KM Rodados ]]/Tabela6[[#This Row],[CONSUMO]]</f>
        <v>#NAME?</v>
      </c>
    </row>
    <row r="6201" spans="1:14" x14ac:dyDescent="0.25">
      <c r="A6201" s="117">
        <v>379822</v>
      </c>
      <c r="B6201" s="78">
        <v>45787</v>
      </c>
      <c r="C6201" s="47" t="s">
        <v>615</v>
      </c>
      <c r="D6201" s="49" t="s">
        <v>374</v>
      </c>
      <c r="E6201" s="117">
        <v>26008</v>
      </c>
      <c r="G6201" s="50" t="s">
        <v>241</v>
      </c>
      <c r="H6201" s="51">
        <v>62.822000000000003</v>
      </c>
      <c r="J6201" s="51">
        <v>3.19</v>
      </c>
      <c r="K6201" s="74">
        <f>Tabela6[[#This Row],[CONSUMO]]*Tabela6[[#This Row],[VALOR UNIT]]-Tabela6[[#This Row],[DESCONTO]]</f>
        <v>200.40218000000002</v>
      </c>
      <c r="L6201" s="53">
        <f>Tabela6[[#This Row],[CUSTO TOTAL]]/Tabela6[[#This Row],[CONSUMO]]</f>
        <v>3.19</v>
      </c>
      <c r="M6201" s="53" t="e">
        <f t="array" ref="M6201">SE</f>
        <v>#NAME?</v>
      </c>
      <c r="N6201" s="118" t="e">
        <f>Tabela6[[#This Row],[KM Rodados ]]/Tabela6[[#This Row],[CONSUMO]]</f>
        <v>#NAME?</v>
      </c>
    </row>
    <row r="6202" spans="1:14" x14ac:dyDescent="0.25">
      <c r="A6202" s="117">
        <v>64551</v>
      </c>
      <c r="B6202" s="78">
        <v>45788</v>
      </c>
      <c r="C6202" s="47" t="s">
        <v>615</v>
      </c>
      <c r="D6202" s="49" t="s">
        <v>613</v>
      </c>
      <c r="E6202" s="117">
        <v>26648</v>
      </c>
      <c r="G6202" s="50" t="s">
        <v>89</v>
      </c>
      <c r="H6202" s="51">
        <v>357.78</v>
      </c>
      <c r="J6202" s="51">
        <v>5.89</v>
      </c>
      <c r="K6202" s="74">
        <f>Tabela6[[#This Row],[CONSUMO]]*Tabela6[[#This Row],[VALOR UNIT]]-Tabela6[[#This Row],[DESCONTO]]</f>
        <v>2107.3241999999996</v>
      </c>
      <c r="L6202" s="53">
        <f>Tabela6[[#This Row],[CUSTO TOTAL]]/Tabela6[[#This Row],[CONSUMO]]</f>
        <v>5.8899999999999988</v>
      </c>
      <c r="M6202" s="53" t="e">
        <f t="array" ref="M6202">SE</f>
        <v>#NAME?</v>
      </c>
      <c r="N6202" s="118" t="e">
        <f>Tabela6[[#This Row],[KM Rodados ]]/Tabela6[[#This Row],[CONSUMO]]</f>
        <v>#NAME?</v>
      </c>
    </row>
    <row r="6203" spans="1:14" x14ac:dyDescent="0.25">
      <c r="A6203" s="117">
        <v>510461</v>
      </c>
      <c r="B6203" s="78">
        <v>45789</v>
      </c>
      <c r="C6203" s="47" t="s">
        <v>72</v>
      </c>
      <c r="D6203" s="49" t="s">
        <v>253</v>
      </c>
      <c r="E6203" s="117">
        <v>513379</v>
      </c>
      <c r="G6203" s="50" t="s">
        <v>89</v>
      </c>
      <c r="H6203" s="51">
        <v>19.940000000000001</v>
      </c>
      <c r="J6203" s="51">
        <v>6.19</v>
      </c>
      <c r="K6203" s="74">
        <f>Tabela6[[#This Row],[CONSUMO]]*Tabela6[[#This Row],[VALOR UNIT]]-Tabela6[[#This Row],[DESCONTO]]</f>
        <v>123.42860000000002</v>
      </c>
      <c r="L6203" s="53">
        <f>Tabela6[[#This Row],[CUSTO TOTAL]]/Tabela6[[#This Row],[CONSUMO]]</f>
        <v>6.19</v>
      </c>
      <c r="M6203" s="53" t="e">
        <f t="array" ref="M6203">SE</f>
        <v>#NAME?</v>
      </c>
      <c r="N6203" s="118" t="e">
        <f>Tabela6[[#This Row],[KM Rodados ]]/Tabela6[[#This Row],[CONSUMO]]</f>
        <v>#NAME?</v>
      </c>
    </row>
    <row r="6204" spans="1:14" x14ac:dyDescent="0.25">
      <c r="A6204" s="117">
        <v>510879</v>
      </c>
      <c r="B6204" s="78">
        <v>45789</v>
      </c>
      <c r="C6204" s="47" t="s">
        <v>19</v>
      </c>
      <c r="D6204" s="49" t="s">
        <v>253</v>
      </c>
      <c r="E6204" s="117">
        <v>449576</v>
      </c>
      <c r="G6204" s="50" t="s">
        <v>241</v>
      </c>
      <c r="H6204" s="51">
        <v>20</v>
      </c>
      <c r="J6204" s="51">
        <v>3.49</v>
      </c>
      <c r="K6204" s="74">
        <f>Tabela6[[#This Row],[CONSUMO]]*Tabela6[[#This Row],[VALOR UNIT]]-Tabela6[[#This Row],[DESCONTO]]</f>
        <v>69.800000000000011</v>
      </c>
      <c r="L6204" s="53">
        <f>Tabela6[[#This Row],[CUSTO TOTAL]]/Tabela6[[#This Row],[CONSUMO]]</f>
        <v>3.4900000000000007</v>
      </c>
      <c r="M6204" s="53" t="e">
        <f t="array" ref="M6204">SE</f>
        <v>#NAME?</v>
      </c>
      <c r="N6204" s="118" t="e">
        <f>Tabela6[[#This Row],[KM Rodados ]]/Tabela6[[#This Row],[CONSUMO]]</f>
        <v>#NAME?</v>
      </c>
    </row>
    <row r="6205" spans="1:14" x14ac:dyDescent="0.25">
      <c r="A6205" s="117">
        <v>963364</v>
      </c>
      <c r="B6205" s="78">
        <v>45789</v>
      </c>
      <c r="C6205" s="47" t="s">
        <v>67</v>
      </c>
      <c r="D6205" s="49" t="s">
        <v>271</v>
      </c>
      <c r="E6205" s="117">
        <v>775630</v>
      </c>
      <c r="G6205" s="50" t="s">
        <v>89</v>
      </c>
      <c r="H6205" s="51">
        <v>120</v>
      </c>
      <c r="J6205" s="51">
        <v>5.89</v>
      </c>
      <c r="K6205" s="74">
        <f>Tabela6[[#This Row],[CONSUMO]]*Tabela6[[#This Row],[VALOR UNIT]]-Tabela6[[#This Row],[DESCONTO]]</f>
        <v>706.8</v>
      </c>
      <c r="L6205" s="53">
        <f>Tabela6[[#This Row],[CUSTO TOTAL]]/Tabela6[[#This Row],[CONSUMO]]</f>
        <v>5.89</v>
      </c>
      <c r="M6205" s="53" t="e">
        <f t="array" ref="M6205">SE</f>
        <v>#NAME?</v>
      </c>
      <c r="N6205" s="118" t="e">
        <f>Tabela6[[#This Row],[KM Rodados ]]/Tabela6[[#This Row],[CONSUMO]]</f>
        <v>#NAME?</v>
      </c>
    </row>
    <row r="6206" spans="1:14" x14ac:dyDescent="0.25">
      <c r="A6206" s="117">
        <v>963366</v>
      </c>
      <c r="B6206" s="78">
        <v>45789</v>
      </c>
      <c r="C6206" s="47" t="s">
        <v>67</v>
      </c>
      <c r="D6206" s="49" t="s">
        <v>271</v>
      </c>
      <c r="E6206" s="117">
        <v>775630</v>
      </c>
      <c r="G6206" s="50" t="s">
        <v>241</v>
      </c>
      <c r="H6206" s="51">
        <v>19.79</v>
      </c>
      <c r="J6206" s="51">
        <v>3.19</v>
      </c>
      <c r="K6206" s="74">
        <f>Tabela6[[#This Row],[CONSUMO]]*Tabela6[[#This Row],[VALOR UNIT]]-Tabela6[[#This Row],[DESCONTO]]</f>
        <v>63.130099999999999</v>
      </c>
      <c r="L6206" s="53">
        <f>Tabela6[[#This Row],[CUSTO TOTAL]]/Tabela6[[#This Row],[CONSUMO]]</f>
        <v>3.19</v>
      </c>
      <c r="M6206" s="53" t="e">
        <f t="array" ref="M6206">SE</f>
        <v>#NAME?</v>
      </c>
      <c r="N6206" s="118" t="e">
        <f>Tabela6[[#This Row],[KM Rodados ]]/Tabela6[[#This Row],[CONSUMO]]</f>
        <v>#NAME?</v>
      </c>
    </row>
    <row r="6207" spans="1:14" x14ac:dyDescent="0.25">
      <c r="A6207" s="117" t="s">
        <v>707</v>
      </c>
      <c r="B6207" s="78">
        <v>45789</v>
      </c>
      <c r="C6207" s="47" t="s">
        <v>615</v>
      </c>
      <c r="D6207" s="49" t="s">
        <v>332</v>
      </c>
      <c r="E6207" s="117">
        <v>26809</v>
      </c>
      <c r="G6207" s="50" t="s">
        <v>89</v>
      </c>
      <c r="H6207" s="51">
        <v>469.16899999999998</v>
      </c>
      <c r="J6207" s="51">
        <v>5.59</v>
      </c>
      <c r="K6207" s="74">
        <f>Tabela6[[#This Row],[CONSUMO]]*Tabela6[[#This Row],[VALOR UNIT]]-Tabela6[[#This Row],[DESCONTO]]</f>
        <v>2622.6547099999998</v>
      </c>
      <c r="L6207" s="53">
        <f>Tabela6[[#This Row],[CUSTO TOTAL]]/Tabela6[[#This Row],[CONSUMO]]</f>
        <v>5.59</v>
      </c>
      <c r="M6207" s="53" t="e">
        <f t="array" ref="M6207">SE</f>
        <v>#NAME?</v>
      </c>
      <c r="N6207" s="118" t="e">
        <f>Tabela6[[#This Row],[KM Rodados ]]/Tabela6[[#This Row],[CONSUMO]]</f>
        <v>#NAME?</v>
      </c>
    </row>
    <row r="6208" spans="1:14" x14ac:dyDescent="0.25">
      <c r="A6208" s="117" t="s">
        <v>708</v>
      </c>
      <c r="B6208" s="78">
        <v>45789</v>
      </c>
      <c r="C6208" s="47" t="s">
        <v>13</v>
      </c>
      <c r="D6208" s="49" t="s">
        <v>300</v>
      </c>
      <c r="E6208" s="117">
        <v>743215</v>
      </c>
      <c r="G6208" s="50" t="s">
        <v>89</v>
      </c>
      <c r="H6208" s="51">
        <v>135</v>
      </c>
      <c r="J6208" s="51">
        <v>5.89</v>
      </c>
      <c r="K6208" s="74">
        <f>Tabela6[[#This Row],[CONSUMO]]*Tabela6[[#This Row],[VALOR UNIT]]-Tabela6[[#This Row],[DESCONTO]]</f>
        <v>795.15</v>
      </c>
      <c r="L6208" s="53">
        <f>Tabela6[[#This Row],[CUSTO TOTAL]]/Tabela6[[#This Row],[CONSUMO]]</f>
        <v>5.89</v>
      </c>
      <c r="M6208" s="53" t="e">
        <f t="array" ref="M6208">SE</f>
        <v>#NAME?</v>
      </c>
      <c r="N6208" s="118" t="e">
        <f>Tabela6[[#This Row],[KM Rodados ]]/Tabela6[[#This Row],[CONSUMO]]</f>
        <v>#NAME?</v>
      </c>
    </row>
    <row r="6209" spans="1:14" x14ac:dyDescent="0.25">
      <c r="A6209" s="117" t="s">
        <v>710</v>
      </c>
      <c r="B6209" s="78">
        <v>45789</v>
      </c>
      <c r="C6209" s="47" t="s">
        <v>73</v>
      </c>
      <c r="D6209" s="49" t="s">
        <v>279</v>
      </c>
      <c r="E6209" s="117">
        <v>272973</v>
      </c>
      <c r="G6209" s="50" t="s">
        <v>89</v>
      </c>
      <c r="H6209" s="51">
        <v>247</v>
      </c>
      <c r="J6209" s="51">
        <v>5.75</v>
      </c>
      <c r="K6209" s="74">
        <f>Tabela6[[#This Row],[CONSUMO]]*Tabela6[[#This Row],[VALOR UNIT]]-Tabela6[[#This Row],[DESCONTO]]</f>
        <v>1420.25</v>
      </c>
      <c r="L6209" s="53">
        <f>Tabela6[[#This Row],[CUSTO TOTAL]]/Tabela6[[#This Row],[CONSUMO]]</f>
        <v>5.75</v>
      </c>
      <c r="M6209" s="53" t="e">
        <f t="array" ref="M6209">SE</f>
        <v>#NAME?</v>
      </c>
      <c r="N6209" s="118" t="e">
        <f>Tabela6[[#This Row],[KM Rodados ]]/Tabela6[[#This Row],[CONSUMO]]</f>
        <v>#NAME?</v>
      </c>
    </row>
    <row r="6210" spans="1:14" x14ac:dyDescent="0.25">
      <c r="A6210" s="117" t="s">
        <v>709</v>
      </c>
      <c r="B6210" s="78">
        <v>45789</v>
      </c>
      <c r="C6210" s="47" t="s">
        <v>358</v>
      </c>
      <c r="D6210" s="49" t="s">
        <v>324</v>
      </c>
      <c r="E6210" s="117">
        <v>917868</v>
      </c>
      <c r="G6210" s="50" t="s">
        <v>89</v>
      </c>
      <c r="H6210" s="51">
        <v>388.52</v>
      </c>
      <c r="J6210" s="51">
        <v>5.75</v>
      </c>
      <c r="K6210" s="74">
        <f>Tabela6[[#This Row],[CONSUMO]]*Tabela6[[#This Row],[VALOR UNIT]]-Tabela6[[#This Row],[DESCONTO]]</f>
        <v>2233.9899999999998</v>
      </c>
      <c r="L6210" s="53">
        <f>Tabela6[[#This Row],[CUSTO TOTAL]]/Tabela6[[#This Row],[CONSUMO]]</f>
        <v>5.75</v>
      </c>
      <c r="M6210" s="53" t="e">
        <f t="array" ref="M6210">SE</f>
        <v>#NAME?</v>
      </c>
      <c r="N6210" s="118" t="e">
        <f>Tabela6[[#This Row],[KM Rodados ]]/Tabela6[[#This Row],[CONSUMO]]</f>
        <v>#NAME?</v>
      </c>
    </row>
    <row r="6211" spans="1:14" x14ac:dyDescent="0.25">
      <c r="A6211" s="117" t="s">
        <v>711</v>
      </c>
      <c r="B6211" s="78">
        <v>45790</v>
      </c>
      <c r="C6211" s="47" t="s">
        <v>9</v>
      </c>
      <c r="D6211" s="49" t="s">
        <v>269</v>
      </c>
      <c r="E6211" s="117">
        <v>695315</v>
      </c>
      <c r="G6211" s="50" t="s">
        <v>89</v>
      </c>
      <c r="H6211" s="51">
        <v>140.751</v>
      </c>
      <c r="J6211" s="51">
        <v>5.89</v>
      </c>
      <c r="K6211" s="74">
        <f>Tabela6[[#This Row],[CONSUMO]]*Tabela6[[#This Row],[VALOR UNIT]]-Tabela6[[#This Row],[DESCONTO]]</f>
        <v>829.02338999999995</v>
      </c>
      <c r="L6211" s="53">
        <f>Tabela6[[#This Row],[CUSTO TOTAL]]/Tabela6[[#This Row],[CONSUMO]]</f>
        <v>5.89</v>
      </c>
      <c r="M6211" s="53" t="e">
        <f t="array" ref="M6211">SE</f>
        <v>#NAME?</v>
      </c>
      <c r="N6211" s="118" t="e">
        <f>Tabela6[[#This Row],[KM Rodados ]]/Tabela6[[#This Row],[CONSUMO]]</f>
        <v>#NAME?</v>
      </c>
    </row>
    <row r="6212" spans="1:14" x14ac:dyDescent="0.25">
      <c r="A6212" s="117">
        <v>350938</v>
      </c>
      <c r="B6212" s="78">
        <v>45790</v>
      </c>
      <c r="C6212" s="47" t="s">
        <v>446</v>
      </c>
      <c r="D6212" s="49" t="s">
        <v>262</v>
      </c>
      <c r="E6212" s="117">
        <v>105942</v>
      </c>
      <c r="G6212" s="50" t="s">
        <v>241</v>
      </c>
      <c r="H6212" s="51">
        <v>26.808</v>
      </c>
      <c r="J6212" s="51">
        <v>3.33</v>
      </c>
      <c r="K6212" s="74">
        <f>Tabela6[[#This Row],[CONSUMO]]*Tabela6[[#This Row],[VALOR UNIT]]-Tabela6[[#This Row],[DESCONTO]]</f>
        <v>89.27064</v>
      </c>
      <c r="L6212" s="53">
        <f>Tabela6[[#This Row],[CUSTO TOTAL]]/Tabela6[[#This Row],[CONSUMO]]</f>
        <v>3.33</v>
      </c>
      <c r="M6212" s="53" t="e">
        <f t="array" ref="M6212">SE</f>
        <v>#NAME?</v>
      </c>
      <c r="N6212" s="118" t="e">
        <f>Tabela6[[#This Row],[KM Rodados ]]/Tabela6[[#This Row],[CONSUMO]]</f>
        <v>#NAME?</v>
      </c>
    </row>
    <row r="6213" spans="1:14" x14ac:dyDescent="0.25">
      <c r="A6213" s="117">
        <v>72253</v>
      </c>
      <c r="B6213" s="78">
        <v>45790</v>
      </c>
      <c r="C6213" s="47" t="s">
        <v>222</v>
      </c>
      <c r="D6213" s="49" t="s">
        <v>263</v>
      </c>
      <c r="E6213" s="117">
        <v>672978</v>
      </c>
      <c r="G6213" s="50" t="s">
        <v>89</v>
      </c>
      <c r="H6213" s="51">
        <v>146.88</v>
      </c>
      <c r="J6213" s="51">
        <v>6.04</v>
      </c>
      <c r="K6213" s="74">
        <f>Tabela6[[#This Row],[CONSUMO]]*Tabela6[[#This Row],[VALOR UNIT]]-Tabela6[[#This Row],[DESCONTO]]</f>
        <v>887.15519999999992</v>
      </c>
      <c r="L6213" s="53">
        <f>Tabela6[[#This Row],[CUSTO TOTAL]]/Tabela6[[#This Row],[CONSUMO]]</f>
        <v>6.04</v>
      </c>
      <c r="M6213" s="53" t="e">
        <f t="array" ref="M6213">SE</f>
        <v>#NAME?</v>
      </c>
      <c r="N6213" s="118" t="e">
        <f>Tabela6[[#This Row],[KM Rodados ]]/Tabela6[[#This Row],[CONSUMO]]</f>
        <v>#NAME?</v>
      </c>
    </row>
    <row r="6214" spans="1:14" x14ac:dyDescent="0.25">
      <c r="A6214" s="117">
        <v>72259</v>
      </c>
      <c r="B6214" s="78">
        <v>45790</v>
      </c>
      <c r="C6214" s="47" t="s">
        <v>222</v>
      </c>
      <c r="D6214" s="49" t="s">
        <v>263</v>
      </c>
      <c r="E6214" s="117">
        <v>672978</v>
      </c>
      <c r="G6214" s="50" t="s">
        <v>241</v>
      </c>
      <c r="H6214" s="51">
        <v>33.29</v>
      </c>
      <c r="J6214" s="51">
        <v>2.99</v>
      </c>
      <c r="K6214" s="74">
        <f>Tabela6[[#This Row],[CONSUMO]]*Tabela6[[#This Row],[VALOR UNIT]]-Tabela6[[#This Row],[DESCONTO]]</f>
        <v>99.537100000000009</v>
      </c>
      <c r="L6214" s="53">
        <f>Tabela6[[#This Row],[CUSTO TOTAL]]/Tabela6[[#This Row],[CONSUMO]]</f>
        <v>2.99</v>
      </c>
      <c r="M6214" s="53" t="e">
        <f t="array" ref="M6214">SE</f>
        <v>#NAME?</v>
      </c>
      <c r="N6214" s="118" t="e">
        <f>Tabela6[[#This Row],[KM Rodados ]]/Tabela6[[#This Row],[CONSUMO]]</f>
        <v>#NAME?</v>
      </c>
    </row>
    <row r="6215" spans="1:14" x14ac:dyDescent="0.25">
      <c r="A6215" s="117">
        <v>78541</v>
      </c>
      <c r="B6215" s="78">
        <v>45790</v>
      </c>
      <c r="C6215" s="47" t="s">
        <v>19</v>
      </c>
      <c r="D6215" s="49" t="s">
        <v>623</v>
      </c>
      <c r="E6215" s="117">
        <v>450271</v>
      </c>
      <c r="G6215" s="50" t="s">
        <v>89</v>
      </c>
      <c r="H6215" s="51">
        <v>96.14</v>
      </c>
      <c r="J6215" s="51">
        <v>6.03</v>
      </c>
      <c r="K6215" s="74">
        <f>Tabela6[[#This Row],[CONSUMO]]*Tabela6[[#This Row],[VALOR UNIT]]-Tabela6[[#This Row],[DESCONTO]]</f>
        <v>579.7242</v>
      </c>
      <c r="L6215" s="53">
        <f>Tabela6[[#This Row],[CUSTO TOTAL]]/Tabela6[[#This Row],[CONSUMO]]</f>
        <v>6.03</v>
      </c>
      <c r="M6215" s="53" t="e">
        <f t="array" ref="M6215">SE</f>
        <v>#NAME?</v>
      </c>
      <c r="N6215" s="118" t="e">
        <f>Tabela6[[#This Row],[KM Rodados ]]/Tabela6[[#This Row],[CONSUMO]]</f>
        <v>#NAME?</v>
      </c>
    </row>
    <row r="6216" spans="1:14" x14ac:dyDescent="0.25">
      <c r="A6216" s="117" t="s">
        <v>712</v>
      </c>
      <c r="B6216" s="78">
        <v>45791</v>
      </c>
      <c r="C6216" s="47" t="s">
        <v>43</v>
      </c>
      <c r="D6216" s="49" t="s">
        <v>269</v>
      </c>
      <c r="E6216" s="117">
        <v>247592</v>
      </c>
      <c r="G6216" s="50" t="s">
        <v>89</v>
      </c>
      <c r="H6216" s="51">
        <v>34.481000000000002</v>
      </c>
      <c r="J6216" s="51">
        <v>5.79</v>
      </c>
      <c r="K6216" s="74">
        <f>Tabela6[[#This Row],[CONSUMO]]*Tabela6[[#This Row],[VALOR UNIT]]-Tabela6[[#This Row],[DESCONTO]]</f>
        <v>199.64499000000001</v>
      </c>
      <c r="L6216" s="53">
        <f>Tabela6[[#This Row],[CUSTO TOTAL]]/Tabela6[[#This Row],[CONSUMO]]</f>
        <v>5.79</v>
      </c>
      <c r="M6216" s="53" t="e">
        <f t="array" ref="M6216">SE</f>
        <v>#NAME?</v>
      </c>
      <c r="N6216" s="118" t="e">
        <f>Tabela6[[#This Row],[KM Rodados ]]/Tabela6[[#This Row],[CONSUMO]]</f>
        <v>#NAME?</v>
      </c>
    </row>
    <row r="6217" spans="1:14" x14ac:dyDescent="0.25">
      <c r="A6217" s="117">
        <v>351125</v>
      </c>
      <c r="B6217" s="78">
        <v>45791</v>
      </c>
      <c r="C6217" s="47" t="s">
        <v>354</v>
      </c>
      <c r="D6217" s="49" t="s">
        <v>262</v>
      </c>
      <c r="E6217" s="117">
        <v>105168</v>
      </c>
      <c r="G6217" s="50" t="s">
        <v>241</v>
      </c>
      <c r="H6217" s="51">
        <v>16.219000000000001</v>
      </c>
      <c r="J6217" s="51">
        <v>3.33</v>
      </c>
      <c r="K6217" s="74">
        <f>Tabela6[[#This Row],[CONSUMO]]*Tabela6[[#This Row],[VALOR UNIT]]-Tabela6[[#This Row],[DESCONTO]]</f>
        <v>54.009270000000008</v>
      </c>
      <c r="L6217" s="53">
        <f>Tabela6[[#This Row],[CUSTO TOTAL]]/Tabela6[[#This Row],[CONSUMO]]</f>
        <v>3.33</v>
      </c>
      <c r="M6217" s="53" t="e">
        <f t="array" ref="M6217">SE</f>
        <v>#NAME?</v>
      </c>
      <c r="N6217" s="118" t="e">
        <f>Tabela6[[#This Row],[KM Rodados ]]/Tabela6[[#This Row],[CONSUMO]]</f>
        <v>#NAME?</v>
      </c>
    </row>
    <row r="6218" spans="1:14" x14ac:dyDescent="0.25">
      <c r="A6218" s="117">
        <v>512326</v>
      </c>
      <c r="B6218" s="78">
        <v>45791</v>
      </c>
      <c r="C6218" s="47" t="s">
        <v>39</v>
      </c>
      <c r="D6218" s="49" t="s">
        <v>253</v>
      </c>
      <c r="E6218" s="117">
        <v>145581</v>
      </c>
      <c r="G6218" s="50" t="s">
        <v>89</v>
      </c>
      <c r="H6218" s="51">
        <v>110.77</v>
      </c>
      <c r="J6218" s="51">
        <v>6.19</v>
      </c>
      <c r="K6218" s="74">
        <f>Tabela6[[#This Row],[CONSUMO]]*Tabela6[[#This Row],[VALOR UNIT]]-Tabela6[[#This Row],[DESCONTO]]</f>
        <v>685.66629999999998</v>
      </c>
      <c r="L6218" s="53">
        <f>Tabela6[[#This Row],[CUSTO TOTAL]]/Tabela6[[#This Row],[CONSUMO]]</f>
        <v>6.19</v>
      </c>
      <c r="M6218" s="53" t="e">
        <f t="array" ref="M6218">SE</f>
        <v>#NAME?</v>
      </c>
      <c r="N6218" s="118" t="e">
        <f>Tabela6[[#This Row],[KM Rodados ]]/Tabela6[[#This Row],[CONSUMO]]</f>
        <v>#NAME?</v>
      </c>
    </row>
    <row r="6219" spans="1:14" x14ac:dyDescent="0.25">
      <c r="A6219" s="117">
        <v>512774</v>
      </c>
      <c r="B6219" s="78">
        <v>45791</v>
      </c>
      <c r="C6219" s="47" t="s">
        <v>23</v>
      </c>
      <c r="D6219" s="49" t="s">
        <v>253</v>
      </c>
      <c r="E6219" s="117">
        <v>335594</v>
      </c>
      <c r="G6219" s="50" t="s">
        <v>89</v>
      </c>
      <c r="H6219" s="51">
        <v>172.19</v>
      </c>
      <c r="J6219" s="51">
        <v>6.19</v>
      </c>
      <c r="K6219" s="74">
        <f>Tabela6[[#This Row],[CONSUMO]]*Tabela6[[#This Row],[VALOR UNIT]]-Tabela6[[#This Row],[DESCONTO]]</f>
        <v>1065.8561</v>
      </c>
      <c r="L6219" s="53">
        <f>Tabela6[[#This Row],[CUSTO TOTAL]]/Tabela6[[#This Row],[CONSUMO]]</f>
        <v>6.1899999999999995</v>
      </c>
      <c r="M6219" s="53" t="e">
        <f t="array" ref="M6219">SE</f>
        <v>#NAME?</v>
      </c>
      <c r="N6219" s="118" t="e">
        <f>Tabela6[[#This Row],[KM Rodados ]]/Tabela6[[#This Row],[CONSUMO]]</f>
        <v>#NAME?</v>
      </c>
    </row>
    <row r="6220" spans="1:14" x14ac:dyDescent="0.25">
      <c r="A6220" s="117">
        <v>71763</v>
      </c>
      <c r="B6220" s="78">
        <v>45791</v>
      </c>
      <c r="C6220" s="47" t="s">
        <v>18</v>
      </c>
      <c r="D6220" s="49" t="s">
        <v>255</v>
      </c>
      <c r="E6220" s="117">
        <v>403342</v>
      </c>
      <c r="G6220" s="50" t="s">
        <v>89</v>
      </c>
      <c r="H6220" s="51">
        <v>78.61</v>
      </c>
      <c r="J6220" s="51">
        <v>6.29</v>
      </c>
      <c r="K6220" s="74">
        <f>Tabela6[[#This Row],[CONSUMO]]*Tabela6[[#This Row],[VALOR UNIT]]-Tabela6[[#This Row],[DESCONTO]]</f>
        <v>494.45690000000002</v>
      </c>
      <c r="L6220" s="53">
        <f>Tabela6[[#This Row],[CUSTO TOTAL]]/Tabela6[[#This Row],[CONSUMO]]</f>
        <v>6.29</v>
      </c>
      <c r="M6220" s="53" t="e">
        <f t="array" ref="M6220">SE</f>
        <v>#NAME?</v>
      </c>
      <c r="N6220" s="118" t="e">
        <f>Tabela6[[#This Row],[KM Rodados ]]/Tabela6[[#This Row],[CONSUMO]]</f>
        <v>#NAME?</v>
      </c>
    </row>
    <row r="6221" spans="1:14" x14ac:dyDescent="0.25">
      <c r="A6221" s="117">
        <v>71874</v>
      </c>
      <c r="B6221" s="78">
        <v>45791</v>
      </c>
      <c r="C6221" s="47" t="s">
        <v>16</v>
      </c>
      <c r="D6221" s="49" t="s">
        <v>255</v>
      </c>
      <c r="E6221" s="117">
        <v>337941</v>
      </c>
      <c r="G6221" s="50" t="s">
        <v>89</v>
      </c>
      <c r="H6221" s="51">
        <v>122.99</v>
      </c>
      <c r="J6221" s="51">
        <v>6.29</v>
      </c>
      <c r="K6221" s="74">
        <f>Tabela6[[#This Row],[CONSUMO]]*Tabela6[[#This Row],[VALOR UNIT]]-Tabela6[[#This Row],[DESCONTO]]</f>
        <v>773.60709999999995</v>
      </c>
      <c r="L6221" s="53">
        <f>Tabela6[[#This Row],[CUSTO TOTAL]]/Tabela6[[#This Row],[CONSUMO]]</f>
        <v>6.29</v>
      </c>
      <c r="M6221" s="53" t="e">
        <f t="array" ref="M6221">SE</f>
        <v>#NAME?</v>
      </c>
      <c r="N6221" s="118" t="e">
        <f>Tabela6[[#This Row],[KM Rodados ]]/Tabela6[[#This Row],[CONSUMO]]</f>
        <v>#NAME?</v>
      </c>
    </row>
    <row r="6222" spans="1:14" x14ac:dyDescent="0.25">
      <c r="A6222" s="117">
        <v>964316</v>
      </c>
      <c r="B6222" s="78">
        <v>45791</v>
      </c>
      <c r="C6222" s="47" t="s">
        <v>67</v>
      </c>
      <c r="D6222" s="49" t="s">
        <v>271</v>
      </c>
      <c r="E6222" s="117">
        <v>776100</v>
      </c>
      <c r="G6222" s="50" t="s">
        <v>89</v>
      </c>
      <c r="H6222" s="51">
        <v>130</v>
      </c>
      <c r="J6222" s="51">
        <v>5.79</v>
      </c>
      <c r="K6222" s="74">
        <f>Tabela6[[#This Row],[CONSUMO]]*Tabela6[[#This Row],[VALOR UNIT]]-Tabela6[[#This Row],[DESCONTO]]</f>
        <v>752.7</v>
      </c>
      <c r="L6222" s="53">
        <f>Tabela6[[#This Row],[CUSTO TOTAL]]/Tabela6[[#This Row],[CONSUMO]]</f>
        <v>5.79</v>
      </c>
      <c r="M6222" s="53" t="e">
        <f t="array" ref="M6222">SE</f>
        <v>#NAME?</v>
      </c>
      <c r="N6222" s="118" t="e">
        <f>Tabela6[[#This Row],[KM Rodados ]]/Tabela6[[#This Row],[CONSUMO]]</f>
        <v>#NAME?</v>
      </c>
    </row>
    <row r="6223" spans="1:14" x14ac:dyDescent="0.25">
      <c r="A6223" s="117">
        <v>9718</v>
      </c>
      <c r="B6223" s="78">
        <v>45791</v>
      </c>
      <c r="C6223" s="47" t="s">
        <v>681</v>
      </c>
      <c r="D6223" s="49" t="s">
        <v>300</v>
      </c>
      <c r="E6223" s="117">
        <v>19486</v>
      </c>
      <c r="G6223" s="50" t="s">
        <v>241</v>
      </c>
      <c r="H6223" s="51">
        <v>26.07</v>
      </c>
      <c r="J6223" s="51">
        <v>3.19</v>
      </c>
      <c r="K6223" s="74">
        <f>Tabela6[[#This Row],[CONSUMO]]*Tabela6[[#This Row],[VALOR UNIT]]-Tabela6[[#This Row],[DESCONTO]]</f>
        <v>83.163299999999992</v>
      </c>
      <c r="L6223" s="53">
        <f>Tabela6[[#This Row],[CUSTO TOTAL]]/Tabela6[[#This Row],[CONSUMO]]</f>
        <v>3.1899999999999995</v>
      </c>
      <c r="M6223" s="53" t="e">
        <f t="array" ref="M6223">SE</f>
        <v>#NAME?</v>
      </c>
      <c r="N6223" s="118" t="e">
        <f>Tabela6[[#This Row],[KM Rodados ]]/Tabela6[[#This Row],[CONSUMO]]</f>
        <v>#NAME?</v>
      </c>
    </row>
    <row r="6224" spans="1:14" x14ac:dyDescent="0.25">
      <c r="A6224" s="117">
        <v>22820</v>
      </c>
      <c r="B6224" s="78">
        <v>45791</v>
      </c>
      <c r="C6224" s="47" t="s">
        <v>43</v>
      </c>
      <c r="D6224" s="49" t="s">
        <v>324</v>
      </c>
      <c r="E6224" s="117">
        <v>247839</v>
      </c>
      <c r="G6224" s="50" t="s">
        <v>89</v>
      </c>
      <c r="H6224" s="51">
        <v>34.241</v>
      </c>
      <c r="J6224" s="51">
        <v>5.69</v>
      </c>
      <c r="K6224" s="74">
        <f>Tabela6[[#This Row],[CONSUMO]]*Tabela6[[#This Row],[VALOR UNIT]]-Tabela6[[#This Row],[DESCONTO]]</f>
        <v>194.83129000000002</v>
      </c>
      <c r="L6224" s="53">
        <f>Tabela6[[#This Row],[CUSTO TOTAL]]/Tabela6[[#This Row],[CONSUMO]]</f>
        <v>5.69</v>
      </c>
      <c r="M6224" s="53" t="e">
        <f t="array" ref="M6224">SE</f>
        <v>#NAME?</v>
      </c>
      <c r="N6224" s="118" t="e">
        <f>Tabela6[[#This Row],[KM Rodados ]]/Tabela6[[#This Row],[CONSUMO]]</f>
        <v>#NAME?</v>
      </c>
    </row>
    <row r="6225" spans="1:14" x14ac:dyDescent="0.25">
      <c r="A6225" s="117">
        <v>380777</v>
      </c>
      <c r="B6225" s="78">
        <v>45791</v>
      </c>
      <c r="C6225" s="47" t="s">
        <v>615</v>
      </c>
      <c r="D6225" s="49" t="s">
        <v>374</v>
      </c>
      <c r="E6225" s="117">
        <v>27923</v>
      </c>
      <c r="G6225" s="50" t="s">
        <v>89</v>
      </c>
      <c r="H6225" s="51">
        <v>380.01100000000002</v>
      </c>
      <c r="J6225" s="51">
        <v>5.89</v>
      </c>
      <c r="K6225" s="74">
        <f>Tabela6[[#This Row],[CONSUMO]]*Tabela6[[#This Row],[VALOR UNIT]]-Tabela6[[#This Row],[DESCONTO]]</f>
        <v>2238.2647900000002</v>
      </c>
      <c r="L6225" s="53">
        <f>Tabela6[[#This Row],[CUSTO TOTAL]]/Tabela6[[#This Row],[CONSUMO]]</f>
        <v>5.89</v>
      </c>
      <c r="M6225" s="53" t="e">
        <f t="array" ref="M6225">SE</f>
        <v>#NAME?</v>
      </c>
      <c r="N6225" s="118" t="e">
        <f>Tabela6[[#This Row],[KM Rodados ]]/Tabela6[[#This Row],[CONSUMO]]</f>
        <v>#NAME?</v>
      </c>
    </row>
    <row r="6226" spans="1:14" x14ac:dyDescent="0.25">
      <c r="A6226" s="117" t="s">
        <v>713</v>
      </c>
      <c r="B6226" s="78">
        <v>45791</v>
      </c>
      <c r="C6226" s="47" t="s">
        <v>615</v>
      </c>
      <c r="D6226" s="49" t="s">
        <v>374</v>
      </c>
      <c r="E6226" s="117">
        <v>27923</v>
      </c>
      <c r="G6226" s="50" t="s">
        <v>241</v>
      </c>
      <c r="H6226" s="51">
        <v>39.159999999999997</v>
      </c>
      <c r="J6226" s="51">
        <v>3.19</v>
      </c>
      <c r="K6226" s="74">
        <f>Tabela6[[#This Row],[CONSUMO]]*Tabela6[[#This Row],[VALOR UNIT]]-Tabela6[[#This Row],[DESCONTO]]</f>
        <v>124.92039999999999</v>
      </c>
      <c r="L6226" s="53">
        <f>Tabela6[[#This Row],[CUSTO TOTAL]]/Tabela6[[#This Row],[CONSUMO]]</f>
        <v>3.19</v>
      </c>
      <c r="M6226" s="53" t="e">
        <f t="array" ref="M6226">SE</f>
        <v>#NAME?</v>
      </c>
      <c r="N6226" s="118" t="e">
        <f>Tabela6[[#This Row],[KM Rodados ]]/Tabela6[[#This Row],[CONSUMO]]</f>
        <v>#NAME?</v>
      </c>
    </row>
    <row r="6227" spans="1:14" x14ac:dyDescent="0.25">
      <c r="A6227" s="117">
        <v>5610</v>
      </c>
      <c r="B6227" s="78">
        <v>45791</v>
      </c>
      <c r="C6227" s="47" t="s">
        <v>43</v>
      </c>
      <c r="D6227" s="49" t="s">
        <v>324</v>
      </c>
      <c r="E6227" s="117">
        <v>248128</v>
      </c>
      <c r="G6227" s="50" t="s">
        <v>89</v>
      </c>
      <c r="H6227" s="51">
        <v>36.6</v>
      </c>
      <c r="J6227" s="51">
        <v>5.69</v>
      </c>
      <c r="K6227" s="74">
        <f>Tabela6[[#This Row],[CONSUMO]]*Tabela6[[#This Row],[VALOR UNIT]]-Tabela6[[#This Row],[DESCONTO]]</f>
        <v>208.25400000000002</v>
      </c>
      <c r="L6227" s="53">
        <f>Tabela6[[#This Row],[CUSTO TOTAL]]/Tabela6[[#This Row],[CONSUMO]]</f>
        <v>5.69</v>
      </c>
      <c r="M6227" s="53" t="e">
        <f t="array" ref="M6227">SE</f>
        <v>#NAME?</v>
      </c>
      <c r="N6227" s="118" t="e">
        <f>Tabela6[[#This Row],[KM Rodados ]]/Tabela6[[#This Row],[CONSUMO]]</f>
        <v>#NAME?</v>
      </c>
    </row>
    <row r="6228" spans="1:14" x14ac:dyDescent="0.25">
      <c r="A6228" s="117">
        <v>10216</v>
      </c>
      <c r="B6228" s="78">
        <v>45791</v>
      </c>
      <c r="C6228" s="47" t="s">
        <v>13</v>
      </c>
      <c r="D6228" s="49" t="s">
        <v>300</v>
      </c>
      <c r="E6228" s="117">
        <v>743746</v>
      </c>
      <c r="G6228" s="50" t="s">
        <v>89</v>
      </c>
      <c r="H6228" s="51">
        <v>129.09</v>
      </c>
      <c r="J6228" s="51">
        <v>5.79</v>
      </c>
      <c r="K6228" s="74">
        <f>Tabela6[[#This Row],[CONSUMO]]*Tabela6[[#This Row],[VALOR UNIT]]-Tabela6[[#This Row],[DESCONTO]]</f>
        <v>747.43110000000001</v>
      </c>
      <c r="L6228" s="53">
        <f>Tabela6[[#This Row],[CUSTO TOTAL]]/Tabela6[[#This Row],[CONSUMO]]</f>
        <v>5.79</v>
      </c>
      <c r="M6228" s="53" t="e">
        <f t="array" ref="M6228">SE</f>
        <v>#NAME?</v>
      </c>
      <c r="N6228" s="118" t="e">
        <f>Tabela6[[#This Row],[KM Rodados ]]/Tabela6[[#This Row],[CONSUMO]]</f>
        <v>#NAME?</v>
      </c>
    </row>
    <row r="6229" spans="1:14" x14ac:dyDescent="0.25">
      <c r="A6229" s="117">
        <v>351323</v>
      </c>
      <c r="B6229" s="78">
        <v>45792</v>
      </c>
      <c r="C6229" s="47" t="s">
        <v>19</v>
      </c>
      <c r="D6229" s="49" t="s">
        <v>262</v>
      </c>
      <c r="E6229" s="117">
        <v>451372</v>
      </c>
      <c r="G6229" s="50" t="s">
        <v>241</v>
      </c>
      <c r="H6229" s="51">
        <v>20.026</v>
      </c>
      <c r="J6229" s="51">
        <v>3.33</v>
      </c>
      <c r="K6229" s="74">
        <f>Tabela6[[#This Row],[CONSUMO]]*Tabela6[[#This Row],[VALOR UNIT]]-Tabela6[[#This Row],[DESCONTO]]</f>
        <v>66.686580000000006</v>
      </c>
      <c r="L6229" s="53">
        <f>Tabela6[[#This Row],[CUSTO TOTAL]]/Tabela6[[#This Row],[CONSUMO]]</f>
        <v>3.3300000000000005</v>
      </c>
      <c r="M6229" s="53" t="e">
        <f t="array" ref="M6229">SE</f>
        <v>#NAME?</v>
      </c>
      <c r="N6229" s="118" t="e">
        <f>Tabela6[[#This Row],[KM Rodados ]]/Tabela6[[#This Row],[CONSUMO]]</f>
        <v>#NAME?</v>
      </c>
    </row>
    <row r="6230" spans="1:14" x14ac:dyDescent="0.25">
      <c r="A6230" s="117">
        <v>513227</v>
      </c>
      <c r="B6230" s="78">
        <v>45792</v>
      </c>
      <c r="C6230" s="47" t="s">
        <v>41</v>
      </c>
      <c r="D6230" s="49" t="s">
        <v>253</v>
      </c>
      <c r="E6230" s="117">
        <v>765477</v>
      </c>
      <c r="G6230" s="50" t="s">
        <v>89</v>
      </c>
      <c r="H6230" s="51">
        <v>141.37</v>
      </c>
      <c r="J6230" s="51">
        <v>6.19</v>
      </c>
      <c r="K6230" s="74">
        <f>Tabela6[[#This Row],[CONSUMO]]*Tabela6[[#This Row],[VALOR UNIT]]-Tabela6[[#This Row],[DESCONTO]]</f>
        <v>875.08030000000008</v>
      </c>
      <c r="L6230" s="53">
        <f>Tabela6[[#This Row],[CUSTO TOTAL]]/Tabela6[[#This Row],[CONSUMO]]</f>
        <v>6.19</v>
      </c>
      <c r="M6230" s="53" t="e">
        <f t="array" ref="M6230">SE</f>
        <v>#NAME?</v>
      </c>
      <c r="N6230" s="118" t="e">
        <f>Tabela6[[#This Row],[KM Rodados ]]/Tabela6[[#This Row],[CONSUMO]]</f>
        <v>#NAME?</v>
      </c>
    </row>
    <row r="6231" spans="1:14" x14ac:dyDescent="0.25">
      <c r="A6231" s="117">
        <v>513457</v>
      </c>
      <c r="B6231" s="78">
        <v>45792</v>
      </c>
      <c r="C6231" s="47" t="s">
        <v>9</v>
      </c>
      <c r="D6231" s="49" t="s">
        <v>253</v>
      </c>
      <c r="E6231" s="117">
        <v>695949</v>
      </c>
      <c r="G6231" s="50" t="s">
        <v>89</v>
      </c>
      <c r="H6231" s="51">
        <v>172.22</v>
      </c>
      <c r="J6231" s="51">
        <v>6.19</v>
      </c>
      <c r="K6231" s="74">
        <f>Tabela6[[#This Row],[CONSUMO]]*Tabela6[[#This Row],[VALOR UNIT]]-Tabela6[[#This Row],[DESCONTO]]</f>
        <v>1066.0418</v>
      </c>
      <c r="L6231" s="53">
        <f>Tabela6[[#This Row],[CUSTO TOTAL]]/Tabela6[[#This Row],[CONSUMO]]</f>
        <v>6.1899999999999995</v>
      </c>
      <c r="M6231" s="53" t="e">
        <f t="array" ref="M6231">SE</f>
        <v>#NAME?</v>
      </c>
      <c r="N6231" s="118" t="e">
        <f>Tabela6[[#This Row],[KM Rodados ]]/Tabela6[[#This Row],[CONSUMO]]</f>
        <v>#NAME?</v>
      </c>
    </row>
    <row r="6232" spans="1:14" x14ac:dyDescent="0.25">
      <c r="A6232" s="117">
        <v>351399</v>
      </c>
      <c r="B6232" s="78">
        <v>45792</v>
      </c>
      <c r="C6232" s="47" t="s">
        <v>569</v>
      </c>
      <c r="D6232" s="49" t="s">
        <v>262</v>
      </c>
      <c r="E6232" s="117">
        <v>32474</v>
      </c>
      <c r="G6232" s="50" t="s">
        <v>241</v>
      </c>
      <c r="H6232" s="51">
        <v>24.699000000000002</v>
      </c>
      <c r="J6232" s="51">
        <v>3.33</v>
      </c>
      <c r="K6232" s="74">
        <f>Tabela6[[#This Row],[CONSUMO]]*Tabela6[[#This Row],[VALOR UNIT]]-Tabela6[[#This Row],[DESCONTO]]</f>
        <v>82.247670000000014</v>
      </c>
      <c r="L6232" s="53">
        <f>Tabela6[[#This Row],[CUSTO TOTAL]]/Tabela6[[#This Row],[CONSUMO]]</f>
        <v>3.3300000000000005</v>
      </c>
      <c r="M6232" s="53" t="e">
        <f t="array" ref="M6232">SE</f>
        <v>#NAME?</v>
      </c>
      <c r="N6232" s="118" t="e">
        <f>Tabela6[[#This Row],[KM Rodados ]]/Tabela6[[#This Row],[CONSUMO]]</f>
        <v>#NAME?</v>
      </c>
    </row>
    <row r="6233" spans="1:14" x14ac:dyDescent="0.25">
      <c r="A6233" s="117">
        <v>72221</v>
      </c>
      <c r="B6233" s="78">
        <v>45792</v>
      </c>
      <c r="C6233" s="47" t="s">
        <v>67</v>
      </c>
      <c r="D6233" s="49" t="s">
        <v>255</v>
      </c>
      <c r="E6233" s="117">
        <v>776522</v>
      </c>
      <c r="G6233" s="50" t="s">
        <v>89</v>
      </c>
      <c r="H6233" s="51">
        <v>98.98</v>
      </c>
      <c r="J6233" s="51">
        <v>6.59</v>
      </c>
      <c r="K6233" s="74">
        <f>Tabela6[[#This Row],[CONSUMO]]*Tabela6[[#This Row],[VALOR UNIT]]-Tabela6[[#This Row],[DESCONTO]]</f>
        <v>652.27819999999997</v>
      </c>
      <c r="L6233" s="53">
        <f>Tabela6[[#This Row],[CUSTO TOTAL]]/Tabela6[[#This Row],[CONSUMO]]</f>
        <v>6.59</v>
      </c>
      <c r="M6233" s="53" t="e">
        <f t="array" ref="M6233">SE</f>
        <v>#NAME?</v>
      </c>
      <c r="N6233" s="118" t="e">
        <f>Tabela6[[#This Row],[KM Rodados ]]/Tabela6[[#This Row],[CONSUMO]]</f>
        <v>#NAME?</v>
      </c>
    </row>
    <row r="6234" spans="1:14" x14ac:dyDescent="0.25">
      <c r="A6234" s="117">
        <v>85903</v>
      </c>
      <c r="B6234" s="78">
        <v>45792</v>
      </c>
      <c r="C6234" s="47" t="s">
        <v>401</v>
      </c>
      <c r="D6234" s="49" t="s">
        <v>357</v>
      </c>
      <c r="E6234" s="117">
        <v>108048</v>
      </c>
      <c r="G6234" s="50" t="s">
        <v>89</v>
      </c>
      <c r="H6234" s="51">
        <v>50.35</v>
      </c>
      <c r="J6234" s="51">
        <v>5.96</v>
      </c>
      <c r="K6234" s="74">
        <f>Tabela6[[#This Row],[CONSUMO]]*Tabela6[[#This Row],[VALOR UNIT]]-Tabela6[[#This Row],[DESCONTO]]</f>
        <v>300.08600000000001</v>
      </c>
      <c r="L6234" s="53">
        <f>Tabela6[[#This Row],[CUSTO TOTAL]]/Tabela6[[#This Row],[CONSUMO]]</f>
        <v>5.96</v>
      </c>
      <c r="M6234" s="53" t="e">
        <f t="array" ref="M6234">SE</f>
        <v>#NAME?</v>
      </c>
      <c r="N6234" s="118" t="e">
        <f>Tabela6[[#This Row],[KM Rodados ]]/Tabela6[[#This Row],[CONSUMO]]</f>
        <v>#NAME?</v>
      </c>
    </row>
    <row r="6235" spans="1:14" x14ac:dyDescent="0.25">
      <c r="A6235" s="117">
        <v>85913</v>
      </c>
      <c r="B6235" s="78">
        <v>45792</v>
      </c>
      <c r="C6235" s="47" t="s">
        <v>401</v>
      </c>
      <c r="D6235" s="49" t="s">
        <v>357</v>
      </c>
      <c r="E6235" s="117">
        <v>108048</v>
      </c>
      <c r="G6235" s="50" t="s">
        <v>241</v>
      </c>
      <c r="H6235" s="51">
        <v>20.48</v>
      </c>
      <c r="J6235" s="51">
        <v>3.05</v>
      </c>
      <c r="K6235" s="74">
        <f>Tabela6[[#This Row],[CONSUMO]]*Tabela6[[#This Row],[VALOR UNIT]]-Tabela6[[#This Row],[DESCONTO]]</f>
        <v>62.463999999999999</v>
      </c>
      <c r="L6235" s="53">
        <f>Tabela6[[#This Row],[CUSTO TOTAL]]/Tabela6[[#This Row],[CONSUMO]]</f>
        <v>3.05</v>
      </c>
      <c r="M6235" s="53" t="e">
        <f t="array" ref="M6235">SE</f>
        <v>#NAME?</v>
      </c>
      <c r="N6235" s="118" t="e">
        <f>Tabela6[[#This Row],[KM Rodados ]]/Tabela6[[#This Row],[CONSUMO]]</f>
        <v>#NAME?</v>
      </c>
    </row>
    <row r="6236" spans="1:14" x14ac:dyDescent="0.25">
      <c r="A6236" s="117">
        <v>89793</v>
      </c>
      <c r="B6236" s="78">
        <v>45792</v>
      </c>
      <c r="C6236" s="47" t="s">
        <v>72</v>
      </c>
      <c r="D6236" s="49" t="s">
        <v>270</v>
      </c>
      <c r="E6236" s="117">
        <v>514144</v>
      </c>
      <c r="G6236" s="50" t="s">
        <v>89</v>
      </c>
      <c r="H6236" s="51">
        <v>55.24</v>
      </c>
      <c r="J6236" s="51">
        <v>5.79</v>
      </c>
      <c r="K6236" s="74">
        <f>Tabela6[[#This Row],[CONSUMO]]*Tabela6[[#This Row],[VALOR UNIT]]-Tabela6[[#This Row],[DESCONTO]]</f>
        <v>319.83960000000002</v>
      </c>
      <c r="L6236" s="53">
        <f>Tabela6[[#This Row],[CUSTO TOTAL]]/Tabela6[[#This Row],[CONSUMO]]</f>
        <v>5.79</v>
      </c>
      <c r="M6236" s="53" t="e">
        <f t="array" ref="M6236">SE</f>
        <v>#NAME?</v>
      </c>
      <c r="N6236" s="118" t="e">
        <f>Tabela6[[#This Row],[KM Rodados ]]/Tabela6[[#This Row],[CONSUMO]]</f>
        <v>#NAME?</v>
      </c>
    </row>
    <row r="6237" spans="1:14" x14ac:dyDescent="0.25">
      <c r="A6237" s="117" t="s">
        <v>714</v>
      </c>
      <c r="B6237" s="78">
        <v>45793</v>
      </c>
      <c r="C6237" s="47" t="s">
        <v>74</v>
      </c>
      <c r="D6237" s="49" t="s">
        <v>279</v>
      </c>
      <c r="E6237" s="117">
        <v>194211</v>
      </c>
      <c r="G6237" s="50" t="s">
        <v>89</v>
      </c>
      <c r="H6237" s="51">
        <v>103.911</v>
      </c>
      <c r="J6237" s="51">
        <v>5.69</v>
      </c>
      <c r="K6237" s="74">
        <f>Tabela6[[#This Row],[CONSUMO]]*Tabela6[[#This Row],[VALOR UNIT]]-Tabela6[[#This Row],[DESCONTO]]</f>
        <v>591.25359000000003</v>
      </c>
      <c r="L6237" s="53">
        <f>Tabela6[[#This Row],[CUSTO TOTAL]]/Tabela6[[#This Row],[CONSUMO]]</f>
        <v>5.69</v>
      </c>
      <c r="M6237" s="53" t="e">
        <f t="array" ref="M6237">SE</f>
        <v>#NAME?</v>
      </c>
      <c r="N6237" s="118" t="e">
        <f>Tabela6[[#This Row],[KM Rodados ]]/Tabela6[[#This Row],[CONSUMO]]</f>
        <v>#NAME?</v>
      </c>
    </row>
    <row r="6238" spans="1:14" x14ac:dyDescent="0.25">
      <c r="A6238" s="117">
        <v>14243</v>
      </c>
      <c r="B6238" s="78">
        <v>45793</v>
      </c>
      <c r="C6238" s="47" t="s">
        <v>74</v>
      </c>
      <c r="D6238" s="49" t="s">
        <v>279</v>
      </c>
      <c r="E6238" s="117">
        <v>194211</v>
      </c>
      <c r="G6238" s="50" t="s">
        <v>241</v>
      </c>
      <c r="H6238" s="51">
        <v>10.571</v>
      </c>
      <c r="J6238" s="51">
        <v>3.19</v>
      </c>
      <c r="K6238" s="74">
        <f>Tabela6[[#This Row],[CONSUMO]]*Tabela6[[#This Row],[VALOR UNIT]]-Tabela6[[#This Row],[DESCONTO]]</f>
        <v>33.721489999999996</v>
      </c>
      <c r="L6238" s="53">
        <f>Tabela6[[#This Row],[CUSTO TOTAL]]/Tabela6[[#This Row],[CONSUMO]]</f>
        <v>3.1899999999999995</v>
      </c>
      <c r="M6238" s="53" t="e">
        <f t="array" ref="M6238">SE</f>
        <v>#NAME?</v>
      </c>
      <c r="N6238" s="118" t="e">
        <f>Tabela6[[#This Row],[KM Rodados ]]/Tabela6[[#This Row],[CONSUMO]]</f>
        <v>#NAME?</v>
      </c>
    </row>
    <row r="6239" spans="1:14" x14ac:dyDescent="0.25">
      <c r="A6239" s="117">
        <v>514237</v>
      </c>
      <c r="B6239" s="78">
        <v>45793</v>
      </c>
      <c r="C6239" s="47" t="s">
        <v>13</v>
      </c>
      <c r="D6239" s="49" t="s">
        <v>253</v>
      </c>
      <c r="E6239" s="117">
        <v>744230</v>
      </c>
      <c r="G6239" s="50" t="s">
        <v>89</v>
      </c>
      <c r="H6239" s="51">
        <v>104.34</v>
      </c>
      <c r="J6239" s="51">
        <v>6.19</v>
      </c>
      <c r="K6239" s="74">
        <f>Tabela6[[#This Row],[CONSUMO]]*Tabela6[[#This Row],[VALOR UNIT]]-Tabela6[[#This Row],[DESCONTO]]</f>
        <v>645.86460000000011</v>
      </c>
      <c r="L6239" s="53">
        <f>Tabela6[[#This Row],[CUSTO TOTAL]]/Tabela6[[#This Row],[CONSUMO]]</f>
        <v>6.1900000000000013</v>
      </c>
      <c r="M6239" s="53" t="e">
        <f t="array" ref="M6239">SE</f>
        <v>#NAME?</v>
      </c>
      <c r="N6239" s="118" t="e">
        <f>Tabela6[[#This Row],[KM Rodados ]]/Tabela6[[#This Row],[CONSUMO]]</f>
        <v>#NAME?</v>
      </c>
    </row>
    <row r="6240" spans="1:14" x14ac:dyDescent="0.25">
      <c r="A6240" s="117">
        <v>514418</v>
      </c>
      <c r="B6240" s="78">
        <v>45793</v>
      </c>
      <c r="C6240" s="47" t="s">
        <v>12</v>
      </c>
      <c r="D6240" s="49" t="s">
        <v>253</v>
      </c>
      <c r="E6240" s="117">
        <v>360775</v>
      </c>
      <c r="G6240" s="50" t="s">
        <v>89</v>
      </c>
      <c r="H6240" s="51">
        <v>130.1</v>
      </c>
      <c r="J6240" s="51">
        <v>6.19</v>
      </c>
      <c r="K6240" s="74">
        <f>Tabela6[[#This Row],[CONSUMO]]*Tabela6[[#This Row],[VALOR UNIT]]-Tabela6[[#This Row],[DESCONTO]]</f>
        <v>805.31899999999996</v>
      </c>
      <c r="L6240" s="53">
        <f>Tabela6[[#This Row],[CUSTO TOTAL]]/Tabela6[[#This Row],[CONSUMO]]</f>
        <v>6.19</v>
      </c>
      <c r="M6240" s="53" t="e">
        <f t="array" ref="M6240">SE</f>
        <v>#NAME?</v>
      </c>
      <c r="N6240" s="118" t="e">
        <f>Tabela6[[#This Row],[KM Rodados ]]/Tabela6[[#This Row],[CONSUMO]]</f>
        <v>#NAME?</v>
      </c>
    </row>
    <row r="6241" spans="1:14" x14ac:dyDescent="0.25">
      <c r="A6241" s="117">
        <v>514457</v>
      </c>
      <c r="B6241" s="78">
        <v>45793</v>
      </c>
      <c r="C6241" s="47" t="s">
        <v>20</v>
      </c>
      <c r="D6241" s="49" t="s">
        <v>253</v>
      </c>
      <c r="E6241" s="117">
        <v>350989</v>
      </c>
      <c r="G6241" s="50" t="s">
        <v>89</v>
      </c>
      <c r="H6241" s="51">
        <v>84.53</v>
      </c>
      <c r="J6241" s="51">
        <v>6.19</v>
      </c>
      <c r="K6241" s="74">
        <f>Tabela6[[#This Row],[CONSUMO]]*Tabela6[[#This Row],[VALOR UNIT]]-Tabela6[[#This Row],[DESCONTO]]</f>
        <v>523.24070000000006</v>
      </c>
      <c r="L6241" s="53">
        <f>Tabela6[[#This Row],[CUSTO TOTAL]]/Tabela6[[#This Row],[CONSUMO]]</f>
        <v>6.19</v>
      </c>
      <c r="M6241" s="53" t="e">
        <f t="array" ref="M6241">SE</f>
        <v>#NAME?</v>
      </c>
      <c r="N6241" s="118" t="e">
        <f>Tabela6[[#This Row],[KM Rodados ]]/Tabela6[[#This Row],[CONSUMO]]</f>
        <v>#NAME?</v>
      </c>
    </row>
    <row r="6242" spans="1:14" x14ac:dyDescent="0.25">
      <c r="A6242" s="117">
        <v>512690</v>
      </c>
      <c r="B6242" s="78">
        <v>45793</v>
      </c>
      <c r="C6242" s="47" t="s">
        <v>72</v>
      </c>
      <c r="D6242" s="49" t="s">
        <v>276</v>
      </c>
      <c r="E6242" s="117">
        <v>514305</v>
      </c>
      <c r="G6242" s="50" t="s">
        <v>89</v>
      </c>
      <c r="H6242" s="51">
        <v>23.43</v>
      </c>
      <c r="J6242" s="51">
        <v>6.19</v>
      </c>
      <c r="K6242" s="74">
        <f>Tabela6[[#This Row],[CONSUMO]]*Tabela6[[#This Row],[VALOR UNIT]]-Tabela6[[#This Row],[DESCONTO]]</f>
        <v>145.0317</v>
      </c>
      <c r="L6242" s="53">
        <f>Tabela6[[#This Row],[CUSTO TOTAL]]/Tabela6[[#This Row],[CONSUMO]]</f>
        <v>6.19</v>
      </c>
      <c r="M6242" s="53" t="e">
        <f t="array" ref="M6242">SE</f>
        <v>#NAME?</v>
      </c>
      <c r="N6242" s="118" t="e">
        <f>Tabela6[[#This Row],[KM Rodados ]]/Tabela6[[#This Row],[CONSUMO]]</f>
        <v>#NAME?</v>
      </c>
    </row>
    <row r="6243" spans="1:14" x14ac:dyDescent="0.25">
      <c r="A6243" s="117">
        <v>776522</v>
      </c>
      <c r="B6243" s="78">
        <v>45796</v>
      </c>
      <c r="C6243" s="47" t="s">
        <v>38</v>
      </c>
      <c r="D6243" s="49" t="s">
        <v>255</v>
      </c>
      <c r="E6243" s="117">
        <v>169428</v>
      </c>
      <c r="G6243" s="50" t="s">
        <v>244</v>
      </c>
      <c r="H6243" s="51">
        <v>51.67</v>
      </c>
      <c r="J6243" s="51">
        <v>6.37</v>
      </c>
      <c r="K6243" s="74">
        <f>Tabela6[[#This Row],[CONSUMO]]*Tabela6[[#This Row],[VALOR UNIT]]-Tabela6[[#This Row],[DESCONTO]]</f>
        <v>329.1379</v>
      </c>
      <c r="L6243" s="53">
        <f>Tabela6[[#This Row],[CUSTO TOTAL]]/Tabela6[[#This Row],[CONSUMO]]</f>
        <v>6.37</v>
      </c>
      <c r="M6243" s="53" t="e">
        <f t="array" ref="M6243">SE</f>
        <v>#NAME?</v>
      </c>
      <c r="N6243" s="118" t="e">
        <f>Tabela6[[#This Row],[KM Rodados ]]/Tabela6[[#This Row],[CONSUMO]]</f>
        <v>#NAME?</v>
      </c>
    </row>
    <row r="6244" spans="1:14" x14ac:dyDescent="0.25">
      <c r="A6244" s="117">
        <v>516382</v>
      </c>
      <c r="B6244" s="78">
        <v>45796</v>
      </c>
      <c r="C6244" s="47" t="s">
        <v>11</v>
      </c>
      <c r="D6244" s="49" t="s">
        <v>253</v>
      </c>
      <c r="E6244" s="117">
        <v>435973</v>
      </c>
      <c r="G6244" s="50" t="s">
        <v>89</v>
      </c>
      <c r="H6244" s="51">
        <v>123</v>
      </c>
      <c r="J6244" s="51">
        <v>6.19</v>
      </c>
      <c r="K6244" s="74">
        <f>Tabela6[[#This Row],[CONSUMO]]*Tabela6[[#This Row],[VALOR UNIT]]-Tabela6[[#This Row],[DESCONTO]]</f>
        <v>761.37</v>
      </c>
      <c r="L6244" s="53">
        <f>Tabela6[[#This Row],[CUSTO TOTAL]]/Tabela6[[#This Row],[CONSUMO]]</f>
        <v>6.19</v>
      </c>
      <c r="M6244" s="53" t="e">
        <f t="array" ref="M6244">SE</f>
        <v>#NAME?</v>
      </c>
      <c r="N6244" s="118" t="e">
        <f>Tabela6[[#This Row],[KM Rodados ]]/Tabela6[[#This Row],[CONSUMO]]</f>
        <v>#NAME?</v>
      </c>
    </row>
    <row r="6245" spans="1:14" x14ac:dyDescent="0.25">
      <c r="A6245" s="117">
        <v>352289</v>
      </c>
      <c r="B6245" s="78">
        <v>45796</v>
      </c>
      <c r="C6245" s="47" t="s">
        <v>567</v>
      </c>
      <c r="D6245" s="49" t="s">
        <v>262</v>
      </c>
      <c r="E6245" s="117">
        <v>47236</v>
      </c>
      <c r="G6245" s="50" t="s">
        <v>241</v>
      </c>
      <c r="H6245" s="51">
        <v>47.015999999999998</v>
      </c>
      <c r="J6245" s="51">
        <v>3.33</v>
      </c>
      <c r="K6245" s="74">
        <f>Tabela6[[#This Row],[CONSUMO]]*Tabela6[[#This Row],[VALOR UNIT]]-Tabela6[[#This Row],[DESCONTO]]</f>
        <v>156.56327999999999</v>
      </c>
      <c r="L6245" s="53">
        <f>Tabela6[[#This Row],[CUSTO TOTAL]]/Tabela6[[#This Row],[CONSUMO]]</f>
        <v>3.33</v>
      </c>
      <c r="M6245" s="53" t="e">
        <f t="array" ref="M6245">SE</f>
        <v>#NAME?</v>
      </c>
      <c r="N6245" s="118" t="e">
        <f>Tabela6[[#This Row],[KM Rodados ]]/Tabela6[[#This Row],[CONSUMO]]</f>
        <v>#NAME?</v>
      </c>
    </row>
    <row r="6246" spans="1:14" x14ac:dyDescent="0.25">
      <c r="A6246" s="117">
        <v>537628</v>
      </c>
      <c r="B6246" s="78">
        <v>45796</v>
      </c>
      <c r="C6246" s="47" t="s">
        <v>9</v>
      </c>
      <c r="D6246" s="49" t="s">
        <v>273</v>
      </c>
      <c r="E6246" s="117">
        <v>696642</v>
      </c>
      <c r="G6246" s="50" t="s">
        <v>89</v>
      </c>
      <c r="H6246" s="51">
        <v>186</v>
      </c>
      <c r="J6246" s="51">
        <v>5.79</v>
      </c>
      <c r="K6246" s="74">
        <f>Tabela6[[#This Row],[CONSUMO]]*Tabela6[[#This Row],[VALOR UNIT]]-Tabela6[[#This Row],[DESCONTO]]</f>
        <v>1076.94</v>
      </c>
      <c r="L6246" s="53">
        <f>Tabela6[[#This Row],[CUSTO TOTAL]]/Tabela6[[#This Row],[CONSUMO]]</f>
        <v>5.79</v>
      </c>
      <c r="M6246" s="53" t="e">
        <f t="array" ref="M6246">SE</f>
        <v>#NAME?</v>
      </c>
      <c r="N6246" s="118" t="e">
        <f>Tabela6[[#This Row],[KM Rodados ]]/Tabela6[[#This Row],[CONSUMO]]</f>
        <v>#NAME?</v>
      </c>
    </row>
    <row r="6247" spans="1:14" x14ac:dyDescent="0.25">
      <c r="A6247" s="117">
        <v>352451</v>
      </c>
      <c r="B6247" s="78">
        <v>45797</v>
      </c>
      <c r="C6247" s="47" t="s">
        <v>215</v>
      </c>
      <c r="D6247" s="49" t="s">
        <v>262</v>
      </c>
      <c r="E6247" s="117">
        <v>254166</v>
      </c>
      <c r="G6247" s="50" t="s">
        <v>244</v>
      </c>
      <c r="H6247" s="51">
        <v>39.86</v>
      </c>
      <c r="J6247" s="51">
        <v>5.99</v>
      </c>
      <c r="K6247" s="74">
        <f>Tabela6[[#This Row],[CONSUMO]]*Tabela6[[#This Row],[VALOR UNIT]]-Tabela6[[#This Row],[DESCONTO]]</f>
        <v>238.76140000000001</v>
      </c>
      <c r="L6247" s="53">
        <f>Tabela6[[#This Row],[CUSTO TOTAL]]/Tabela6[[#This Row],[CONSUMO]]</f>
        <v>5.99</v>
      </c>
      <c r="M6247" s="53" t="e">
        <f t="array" ref="M6247">SE</f>
        <v>#NAME?</v>
      </c>
      <c r="N6247" s="118" t="e">
        <f>Tabela6[[#This Row],[KM Rodados ]]/Tabela6[[#This Row],[CONSUMO]]</f>
        <v>#NAME?</v>
      </c>
    </row>
    <row r="6248" spans="1:14" x14ac:dyDescent="0.25">
      <c r="A6248" s="117">
        <v>352475</v>
      </c>
      <c r="B6248" s="78">
        <v>45797</v>
      </c>
      <c r="C6248" s="47" t="s">
        <v>203</v>
      </c>
      <c r="D6248" s="49" t="s">
        <v>262</v>
      </c>
      <c r="E6248" s="117">
        <v>219322</v>
      </c>
      <c r="G6248" s="50" t="s">
        <v>244</v>
      </c>
      <c r="H6248" s="51">
        <v>47.88</v>
      </c>
      <c r="J6248" s="51">
        <v>5.99</v>
      </c>
      <c r="K6248" s="74">
        <f>Tabela6[[#This Row],[CONSUMO]]*Tabela6[[#This Row],[VALOR UNIT]]-Tabela6[[#This Row],[DESCONTO]]</f>
        <v>286.80120000000005</v>
      </c>
      <c r="L6248" s="53">
        <f>Tabela6[[#This Row],[CUSTO TOTAL]]/Tabela6[[#This Row],[CONSUMO]]</f>
        <v>5.9900000000000011</v>
      </c>
      <c r="M6248" s="53" t="e">
        <f t="array" ref="M6248">SE</f>
        <v>#NAME?</v>
      </c>
      <c r="N6248" s="118" t="e">
        <f>Tabela6[[#This Row],[KM Rodados ]]/Tabela6[[#This Row],[CONSUMO]]</f>
        <v>#NAME?</v>
      </c>
    </row>
    <row r="6249" spans="1:14" x14ac:dyDescent="0.25">
      <c r="A6249" s="117">
        <v>114427</v>
      </c>
      <c r="B6249" s="78">
        <v>45797</v>
      </c>
      <c r="C6249" s="47" t="s">
        <v>43</v>
      </c>
      <c r="D6249" s="49" t="s">
        <v>360</v>
      </c>
      <c r="E6249" s="117">
        <v>248783</v>
      </c>
      <c r="G6249" s="50" t="s">
        <v>89</v>
      </c>
      <c r="H6249" s="51">
        <v>24.48</v>
      </c>
      <c r="J6249" s="51">
        <v>6.19</v>
      </c>
      <c r="K6249" s="74">
        <f>Tabela6[[#This Row],[CONSUMO]]*Tabela6[[#This Row],[VALOR UNIT]]-Tabela6[[#This Row],[DESCONTO]]</f>
        <v>151.53120000000001</v>
      </c>
      <c r="L6249" s="53">
        <f>Tabela6[[#This Row],[CUSTO TOTAL]]/Tabela6[[#This Row],[CONSUMO]]</f>
        <v>6.19</v>
      </c>
      <c r="M6249" s="53" t="e">
        <f t="array" ref="M6249">SE</f>
        <v>#NAME?</v>
      </c>
      <c r="N6249" s="118" t="e">
        <f>Tabela6[[#This Row],[KM Rodados ]]/Tabela6[[#This Row],[CONSUMO]]</f>
        <v>#NAME?</v>
      </c>
    </row>
    <row r="6250" spans="1:14" x14ac:dyDescent="0.25">
      <c r="A6250" s="117">
        <v>117090</v>
      </c>
      <c r="B6250" s="78">
        <v>45797</v>
      </c>
      <c r="C6250" s="47" t="s">
        <v>315</v>
      </c>
      <c r="D6250" s="49" t="s">
        <v>248</v>
      </c>
      <c r="E6250" s="117">
        <v>74292</v>
      </c>
      <c r="G6250" s="50" t="s">
        <v>241</v>
      </c>
      <c r="H6250" s="51">
        <v>11.5</v>
      </c>
      <c r="J6250" s="51">
        <v>3.5</v>
      </c>
      <c r="K6250" s="74">
        <f>Tabela6[[#This Row],[CONSUMO]]*Tabela6[[#This Row],[VALOR UNIT]]-Tabela6[[#This Row],[DESCONTO]]</f>
        <v>40.25</v>
      </c>
      <c r="L6250" s="53">
        <f>Tabela6[[#This Row],[CUSTO TOTAL]]/Tabela6[[#This Row],[CONSUMO]]</f>
        <v>3.5</v>
      </c>
      <c r="M6250" s="53" t="e">
        <f t="array" ref="M6250">SE</f>
        <v>#NAME?</v>
      </c>
      <c r="N6250" s="118" t="e">
        <f>Tabela6[[#This Row],[KM Rodados ]]/Tabela6[[#This Row],[CONSUMO]]</f>
        <v>#NAME?</v>
      </c>
    </row>
    <row r="6251" spans="1:14" x14ac:dyDescent="0.25">
      <c r="A6251" s="117">
        <v>119310</v>
      </c>
      <c r="B6251" s="78">
        <v>45797</v>
      </c>
      <c r="C6251" s="47" t="s">
        <v>354</v>
      </c>
      <c r="D6251" s="49" t="s">
        <v>270</v>
      </c>
      <c r="E6251" s="117">
        <v>106766</v>
      </c>
      <c r="G6251" s="50" t="s">
        <v>241</v>
      </c>
      <c r="H6251" s="51">
        <v>26.43</v>
      </c>
      <c r="J6251" s="51">
        <v>2.99</v>
      </c>
      <c r="K6251" s="74">
        <f>Tabela6[[#This Row],[CONSUMO]]*Tabela6[[#This Row],[VALOR UNIT]]-Tabela6[[#This Row],[DESCONTO]]</f>
        <v>79.025700000000001</v>
      </c>
      <c r="L6251" s="53">
        <f>Tabela6[[#This Row],[CUSTO TOTAL]]/Tabela6[[#This Row],[CONSUMO]]</f>
        <v>2.99</v>
      </c>
      <c r="M6251" s="53" t="e">
        <f t="array" ref="M6251">SE</f>
        <v>#NAME?</v>
      </c>
      <c r="N6251" s="118" t="e">
        <f>Tabela6[[#This Row],[KM Rodados ]]/Tabela6[[#This Row],[CONSUMO]]</f>
        <v>#NAME?</v>
      </c>
    </row>
    <row r="6252" spans="1:14" x14ac:dyDescent="0.25">
      <c r="A6252" s="117" t="s">
        <v>715</v>
      </c>
      <c r="B6252" s="78">
        <v>45797</v>
      </c>
      <c r="C6252" s="47" t="s">
        <v>67</v>
      </c>
      <c r="D6252" s="49" t="s">
        <v>271</v>
      </c>
      <c r="E6252" s="117">
        <v>777030</v>
      </c>
      <c r="G6252" s="50" t="s">
        <v>89</v>
      </c>
      <c r="H6252" s="51">
        <v>150.02099999999999</v>
      </c>
      <c r="J6252" s="51">
        <v>5.79</v>
      </c>
      <c r="K6252" s="74">
        <f>Tabela6[[#This Row],[CONSUMO]]*Tabela6[[#This Row],[VALOR UNIT]]-Tabela6[[#This Row],[DESCONTO]]</f>
        <v>868.62158999999997</v>
      </c>
      <c r="L6252" s="53">
        <f>Tabela6[[#This Row],[CUSTO TOTAL]]/Tabela6[[#This Row],[CONSUMO]]</f>
        <v>5.79</v>
      </c>
      <c r="M6252" s="53" t="e">
        <f t="array" ref="M6252">SE</f>
        <v>#NAME?</v>
      </c>
      <c r="N6252" s="118" t="e">
        <f>Tabela6[[#This Row],[KM Rodados ]]/Tabela6[[#This Row],[CONSUMO]]</f>
        <v>#NAME?</v>
      </c>
    </row>
    <row r="6253" spans="1:14" x14ac:dyDescent="0.25">
      <c r="A6253" s="117" t="s">
        <v>716</v>
      </c>
      <c r="B6253" s="78">
        <v>45798</v>
      </c>
      <c r="C6253" s="47" t="s">
        <v>43</v>
      </c>
      <c r="D6253" s="49" t="s">
        <v>270</v>
      </c>
      <c r="E6253" s="117">
        <v>249032</v>
      </c>
      <c r="G6253" s="50" t="s">
        <v>89</v>
      </c>
      <c r="H6253" s="51">
        <v>32</v>
      </c>
      <c r="J6253" s="51">
        <v>5.79</v>
      </c>
      <c r="K6253" s="74">
        <f>Tabela6[[#This Row],[CONSUMO]]*Tabela6[[#This Row],[VALOR UNIT]]-Tabela6[[#This Row],[DESCONTO]]</f>
        <v>185.28</v>
      </c>
      <c r="L6253" s="53">
        <f>Tabela6[[#This Row],[CUSTO TOTAL]]/Tabela6[[#This Row],[CONSUMO]]</f>
        <v>5.79</v>
      </c>
      <c r="M6253" s="53" t="e">
        <f t="array" ref="M6253">SE</f>
        <v>#NAME?</v>
      </c>
      <c r="N6253" s="118" t="e">
        <f>Tabela6[[#This Row],[KM Rodados ]]/Tabela6[[#This Row],[CONSUMO]]</f>
        <v>#NAME?</v>
      </c>
    </row>
    <row r="6254" spans="1:14" x14ac:dyDescent="0.25">
      <c r="A6254" s="117">
        <v>120413</v>
      </c>
      <c r="B6254" s="78">
        <v>45798</v>
      </c>
      <c r="C6254" s="47" t="s">
        <v>401</v>
      </c>
      <c r="D6254" s="49" t="s">
        <v>357</v>
      </c>
      <c r="E6254" s="117">
        <v>108946</v>
      </c>
      <c r="G6254" s="50" t="s">
        <v>89</v>
      </c>
      <c r="H6254" s="51">
        <v>67.58</v>
      </c>
      <c r="J6254" s="51">
        <v>5.92</v>
      </c>
      <c r="K6254" s="74">
        <f>Tabela6[[#This Row],[CONSUMO]]*Tabela6[[#This Row],[VALOR UNIT]]-Tabela6[[#This Row],[DESCONTO]]</f>
        <v>400.0736</v>
      </c>
      <c r="L6254" s="53">
        <f>Tabela6[[#This Row],[CUSTO TOTAL]]/Tabela6[[#This Row],[CONSUMO]]</f>
        <v>5.92</v>
      </c>
      <c r="M6254" s="53" t="e">
        <f t="array" ref="M6254">SE</f>
        <v>#NAME?</v>
      </c>
      <c r="N6254" s="118" t="e">
        <f>Tabela6[[#This Row],[KM Rodados ]]/Tabela6[[#This Row],[CONSUMO]]</f>
        <v>#NAME?</v>
      </c>
    </row>
    <row r="6255" spans="1:14" x14ac:dyDescent="0.25">
      <c r="A6255" s="117">
        <v>518199</v>
      </c>
      <c r="B6255" s="78">
        <v>45798</v>
      </c>
      <c r="C6255" s="47" t="s">
        <v>71</v>
      </c>
      <c r="D6255" s="49" t="s">
        <v>253</v>
      </c>
      <c r="E6255" s="117">
        <v>213257</v>
      </c>
      <c r="G6255" s="50" t="s">
        <v>89</v>
      </c>
      <c r="H6255" s="51">
        <v>640.26</v>
      </c>
      <c r="J6255" s="51">
        <v>6.19</v>
      </c>
      <c r="K6255" s="74">
        <f>Tabela6[[#This Row],[CONSUMO]]*Tabela6[[#This Row],[VALOR UNIT]]-Tabela6[[#This Row],[DESCONTO]]</f>
        <v>3963.2094000000002</v>
      </c>
      <c r="L6255" s="53">
        <f>Tabela6[[#This Row],[CUSTO TOTAL]]/Tabela6[[#This Row],[CONSUMO]]</f>
        <v>6.19</v>
      </c>
      <c r="M6255" s="53" t="e">
        <f t="array" ref="M6255">SE</f>
        <v>#NAME?</v>
      </c>
      <c r="N6255" s="118" t="e">
        <f>Tabela6[[#This Row],[KM Rodados ]]/Tabela6[[#This Row],[CONSUMO]]</f>
        <v>#NAME?</v>
      </c>
    </row>
    <row r="6256" spans="1:14" x14ac:dyDescent="0.25">
      <c r="A6256" s="117">
        <v>74035</v>
      </c>
      <c r="B6256" s="78">
        <v>45798</v>
      </c>
      <c r="C6256" s="47" t="s">
        <v>38</v>
      </c>
      <c r="D6256" s="49" t="s">
        <v>255</v>
      </c>
      <c r="E6256" s="117">
        <v>169690</v>
      </c>
      <c r="G6256" s="50" t="s">
        <v>244</v>
      </c>
      <c r="H6256" s="51">
        <v>27.42</v>
      </c>
      <c r="J6256" s="51">
        <v>6.09</v>
      </c>
      <c r="K6256" s="74">
        <f>Tabela6[[#This Row],[CONSUMO]]*Tabela6[[#This Row],[VALOR UNIT]]-Tabela6[[#This Row],[DESCONTO]]</f>
        <v>166.98779999999999</v>
      </c>
      <c r="L6256" s="53">
        <f>Tabela6[[#This Row],[CUSTO TOTAL]]/Tabela6[[#This Row],[CONSUMO]]</f>
        <v>6.089999999999999</v>
      </c>
      <c r="M6256" s="53" t="e">
        <f t="array" ref="M6256">SE</f>
        <v>#NAME?</v>
      </c>
      <c r="N6256" s="118" t="e">
        <f>Tabela6[[#This Row],[KM Rodados ]]/Tabela6[[#This Row],[CONSUMO]]</f>
        <v>#NAME?</v>
      </c>
    </row>
    <row r="6257" spans="1:14" x14ac:dyDescent="0.25">
      <c r="A6257" s="117">
        <v>120839</v>
      </c>
      <c r="B6257" s="78">
        <v>45798</v>
      </c>
      <c r="C6257" s="47" t="s">
        <v>43</v>
      </c>
      <c r="D6257" s="49" t="s">
        <v>360</v>
      </c>
      <c r="E6257" s="117">
        <v>120839</v>
      </c>
      <c r="G6257" s="50" t="s">
        <v>89</v>
      </c>
      <c r="H6257" s="51">
        <v>33.93</v>
      </c>
      <c r="J6257" s="51">
        <v>6.19</v>
      </c>
      <c r="K6257" s="74">
        <f>Tabela6[[#This Row],[CONSUMO]]*Tabela6[[#This Row],[VALOR UNIT]]-Tabela6[[#This Row],[DESCONTO]]</f>
        <v>210.02670000000001</v>
      </c>
      <c r="L6257" s="53">
        <f>Tabela6[[#This Row],[CUSTO TOTAL]]/Tabela6[[#This Row],[CONSUMO]]</f>
        <v>6.19</v>
      </c>
      <c r="M6257" s="53" t="e">
        <f t="array" ref="M6257">SE</f>
        <v>#NAME?</v>
      </c>
      <c r="N6257" s="118" t="e">
        <f>Tabela6[[#This Row],[KM Rodados ]]/Tabela6[[#This Row],[CONSUMO]]</f>
        <v>#NAME?</v>
      </c>
    </row>
    <row r="6258" spans="1:14" x14ac:dyDescent="0.25">
      <c r="A6258" s="117">
        <v>123765</v>
      </c>
      <c r="B6258" s="78">
        <v>45798</v>
      </c>
      <c r="C6258" s="47" t="s">
        <v>43</v>
      </c>
      <c r="D6258" s="49" t="s">
        <v>589</v>
      </c>
      <c r="E6258" s="117">
        <v>249419</v>
      </c>
      <c r="G6258" s="50" t="s">
        <v>89</v>
      </c>
      <c r="H6258" s="51">
        <v>20.76</v>
      </c>
      <c r="J6258" s="51">
        <v>6.69</v>
      </c>
      <c r="K6258" s="74">
        <f>Tabela6[[#This Row],[CONSUMO]]*Tabela6[[#This Row],[VALOR UNIT]]-Tabela6[[#This Row],[DESCONTO]]</f>
        <v>138.88440000000003</v>
      </c>
      <c r="L6258" s="53">
        <f>Tabela6[[#This Row],[CUSTO TOTAL]]/Tabela6[[#This Row],[CONSUMO]]</f>
        <v>6.6900000000000013</v>
      </c>
      <c r="M6258" s="53" t="e">
        <f t="array" ref="M6258">SE</f>
        <v>#NAME?</v>
      </c>
      <c r="N6258" s="118" t="e">
        <f>Tabela6[[#This Row],[KM Rodados ]]/Tabela6[[#This Row],[CONSUMO]]</f>
        <v>#NAME?</v>
      </c>
    </row>
    <row r="6259" spans="1:14" x14ac:dyDescent="0.25">
      <c r="A6259" s="117">
        <v>123944</v>
      </c>
      <c r="B6259" s="78">
        <v>45798</v>
      </c>
      <c r="C6259" s="47" t="s">
        <v>564</v>
      </c>
      <c r="D6259" s="49" t="s">
        <v>701</v>
      </c>
      <c r="E6259" s="117">
        <v>85700</v>
      </c>
      <c r="G6259" s="50" t="s">
        <v>241</v>
      </c>
      <c r="H6259" s="51">
        <v>77.760000000000005</v>
      </c>
      <c r="J6259" s="51">
        <v>2.59</v>
      </c>
      <c r="K6259" s="74">
        <f>Tabela6[[#This Row],[CONSUMO]]*Tabela6[[#This Row],[VALOR UNIT]]-Tabela6[[#This Row],[DESCONTO]]</f>
        <v>201.39840000000001</v>
      </c>
      <c r="L6259" s="53">
        <f>Tabela6[[#This Row],[CUSTO TOTAL]]/Tabela6[[#This Row],[CONSUMO]]</f>
        <v>2.59</v>
      </c>
      <c r="M6259" s="53" t="e">
        <f t="array" ref="M6259">SE</f>
        <v>#NAME?</v>
      </c>
      <c r="N6259" s="118" t="e">
        <f>Tabela6[[#This Row],[KM Rodados ]]/Tabela6[[#This Row],[CONSUMO]]</f>
        <v>#NAME?</v>
      </c>
    </row>
    <row r="6260" spans="1:14" x14ac:dyDescent="0.25">
      <c r="A6260" s="117">
        <v>2588</v>
      </c>
      <c r="B6260" s="78">
        <v>45798</v>
      </c>
      <c r="C6260" s="47" t="s">
        <v>13</v>
      </c>
      <c r="E6260" s="117">
        <v>745010</v>
      </c>
      <c r="G6260" s="50" t="s">
        <v>89</v>
      </c>
      <c r="H6260" s="51">
        <v>115.69</v>
      </c>
      <c r="J6260" s="51">
        <v>5.92</v>
      </c>
      <c r="K6260" s="74">
        <f>Tabela6[[#This Row],[CONSUMO]]*Tabela6[[#This Row],[VALOR UNIT]]-Tabela6[[#This Row],[DESCONTO]]</f>
        <v>684.88479999999993</v>
      </c>
      <c r="L6260" s="53">
        <f>Tabela6[[#This Row],[CUSTO TOTAL]]/Tabela6[[#This Row],[CONSUMO]]</f>
        <v>5.92</v>
      </c>
      <c r="M6260" s="53" t="e">
        <f t="array" ref="M6260">SE</f>
        <v>#NAME?</v>
      </c>
      <c r="N6260" s="118" t="e">
        <f>Tabela6[[#This Row],[KM Rodados ]]/Tabela6[[#This Row],[CONSUMO]]</f>
        <v>#NAME?</v>
      </c>
    </row>
    <row r="6261" spans="1:14" x14ac:dyDescent="0.25">
      <c r="A6261" s="117">
        <v>547007</v>
      </c>
      <c r="B6261" s="78">
        <v>45798</v>
      </c>
      <c r="C6261" s="47" t="s">
        <v>18</v>
      </c>
      <c r="D6261" s="49" t="s">
        <v>271</v>
      </c>
      <c r="E6261" s="117">
        <v>404041</v>
      </c>
      <c r="G6261" s="50" t="s">
        <v>89</v>
      </c>
      <c r="H6261" s="51">
        <v>86.260999999999996</v>
      </c>
      <c r="J6261" s="51">
        <v>6.19</v>
      </c>
      <c r="K6261" s="74">
        <f>Tabela6[[#This Row],[CONSUMO]]*Tabela6[[#This Row],[VALOR UNIT]]-Tabela6[[#This Row],[DESCONTO]]</f>
        <v>533.95559000000003</v>
      </c>
      <c r="L6261" s="53">
        <f>Tabela6[[#This Row],[CUSTO TOTAL]]/Tabela6[[#This Row],[CONSUMO]]</f>
        <v>6.19</v>
      </c>
      <c r="M6261" s="53" t="e">
        <f t="array" ref="M6261">SE</f>
        <v>#NAME?</v>
      </c>
      <c r="N6261" s="118" t="e">
        <f>Tabela6[[#This Row],[KM Rodados ]]/Tabela6[[#This Row],[CONSUMO]]</f>
        <v>#NAME?</v>
      </c>
    </row>
    <row r="6262" spans="1:14" x14ac:dyDescent="0.25">
      <c r="A6262" s="117">
        <v>128781</v>
      </c>
      <c r="B6262" s="78">
        <v>45799</v>
      </c>
      <c r="C6262" s="47" t="s">
        <v>72</v>
      </c>
      <c r="D6262" s="49" t="s">
        <v>372</v>
      </c>
      <c r="E6262" s="117">
        <v>515433</v>
      </c>
      <c r="G6262" s="50" t="s">
        <v>89</v>
      </c>
      <c r="H6262" s="51">
        <v>43.36</v>
      </c>
      <c r="J6262" s="51">
        <v>6.69</v>
      </c>
      <c r="K6262" s="74">
        <f>Tabela6[[#This Row],[CONSUMO]]*Tabela6[[#This Row],[VALOR UNIT]]-Tabela6[[#This Row],[DESCONTO]]</f>
        <v>290.07839999999999</v>
      </c>
      <c r="L6262" s="53">
        <f>Tabela6[[#This Row],[CUSTO TOTAL]]/Tabela6[[#This Row],[CONSUMO]]</f>
        <v>6.6899999999999995</v>
      </c>
      <c r="M6262" s="53" t="e">
        <f t="array" ref="M6262">SE</f>
        <v>#NAME?</v>
      </c>
      <c r="N6262" s="118" t="e">
        <f>Tabela6[[#This Row],[KM Rodados ]]/Tabela6[[#This Row],[CONSUMO]]</f>
        <v>#NAME?</v>
      </c>
    </row>
    <row r="6263" spans="1:14" x14ac:dyDescent="0.25">
      <c r="A6263" s="117">
        <v>518779</v>
      </c>
      <c r="B6263" s="78">
        <v>45799</v>
      </c>
      <c r="C6263" s="47" t="s">
        <v>20</v>
      </c>
      <c r="D6263" s="49" t="s">
        <v>253</v>
      </c>
      <c r="E6263" s="117" t="s">
        <v>693</v>
      </c>
      <c r="G6263" s="50" t="s">
        <v>89</v>
      </c>
      <c r="H6263" s="51">
        <v>95.81</v>
      </c>
      <c r="J6263" s="51">
        <v>6.19</v>
      </c>
      <c r="K6263" s="74">
        <f>Tabela6[[#This Row],[CONSUMO]]*Tabela6[[#This Row],[VALOR UNIT]]-Tabela6[[#This Row],[DESCONTO]]</f>
        <v>593.0639000000001</v>
      </c>
      <c r="L6263" s="53">
        <f>Tabela6[[#This Row],[CUSTO TOTAL]]/Tabela6[[#This Row],[CONSUMO]]</f>
        <v>6.1900000000000013</v>
      </c>
      <c r="M6263" s="53" t="e">
        <f t="array" ref="M6263">SE</f>
        <v>#NAME?</v>
      </c>
      <c r="N6263" s="118" t="e">
        <f>Tabela6[[#This Row],[KM Rodados ]]/Tabela6[[#This Row],[CONSUMO]]</f>
        <v>#NAME?</v>
      </c>
    </row>
    <row r="6264" spans="1:14" x14ac:dyDescent="0.25">
      <c r="A6264" s="117">
        <v>352920</v>
      </c>
      <c r="B6264" s="78">
        <v>45799</v>
      </c>
      <c r="C6264" s="47" t="s">
        <v>74</v>
      </c>
      <c r="D6264" s="49" t="s">
        <v>262</v>
      </c>
      <c r="E6264" s="117">
        <v>194826</v>
      </c>
      <c r="G6264" s="50" t="s">
        <v>89</v>
      </c>
      <c r="H6264" s="51">
        <v>77.31</v>
      </c>
      <c r="J6264" s="51">
        <v>6.09</v>
      </c>
      <c r="K6264" s="74">
        <f>Tabela6[[#This Row],[CONSUMO]]*Tabela6[[#This Row],[VALOR UNIT]]-Tabela6[[#This Row],[DESCONTO]]</f>
        <v>470.81790000000001</v>
      </c>
      <c r="L6264" s="53">
        <f>Tabela6[[#This Row],[CUSTO TOTAL]]/Tabela6[[#This Row],[CONSUMO]]</f>
        <v>6.09</v>
      </c>
      <c r="M6264" s="53" t="e">
        <f t="array" ref="M6264">SE</f>
        <v>#NAME?</v>
      </c>
      <c r="N6264" s="118" t="e">
        <f>Tabela6[[#This Row],[KM Rodados ]]/Tabela6[[#This Row],[CONSUMO]]</f>
        <v>#NAME?</v>
      </c>
    </row>
    <row r="6265" spans="1:14" x14ac:dyDescent="0.25">
      <c r="A6265" s="117">
        <v>518781</v>
      </c>
      <c r="B6265" s="78">
        <v>45799</v>
      </c>
      <c r="C6265" s="47" t="s">
        <v>20</v>
      </c>
      <c r="D6265" s="49" t="s">
        <v>253</v>
      </c>
      <c r="E6265" s="117">
        <v>351567</v>
      </c>
      <c r="G6265" s="50" t="s">
        <v>89</v>
      </c>
      <c r="H6265" s="51">
        <v>76.48</v>
      </c>
      <c r="J6265" s="51">
        <v>6.19</v>
      </c>
      <c r="K6265" s="74">
        <f>Tabela6[[#This Row],[CONSUMO]]*Tabela6[[#This Row],[VALOR UNIT]]-Tabela6[[#This Row],[DESCONTO]]</f>
        <v>473.41120000000006</v>
      </c>
      <c r="L6265" s="53">
        <f>Tabela6[[#This Row],[CUSTO TOTAL]]/Tabela6[[#This Row],[CONSUMO]]</f>
        <v>6.19</v>
      </c>
      <c r="M6265" s="53" t="e">
        <f t="array" ref="M6265">SE</f>
        <v>#NAME?</v>
      </c>
      <c r="N6265" s="118" t="e">
        <f>Tabela6[[#This Row],[KM Rodados ]]/Tabela6[[#This Row],[CONSUMO]]</f>
        <v>#NAME?</v>
      </c>
    </row>
    <row r="6266" spans="1:14" x14ac:dyDescent="0.25">
      <c r="A6266" s="117">
        <v>353012</v>
      </c>
      <c r="B6266" s="78">
        <v>45799</v>
      </c>
      <c r="C6266" s="47" t="s">
        <v>446</v>
      </c>
      <c r="D6266" s="49" t="s">
        <v>262</v>
      </c>
      <c r="E6266" s="117">
        <v>107806</v>
      </c>
      <c r="G6266" s="50" t="s">
        <v>89</v>
      </c>
      <c r="H6266" s="51">
        <v>31.02</v>
      </c>
      <c r="J6266" s="51">
        <v>3.33</v>
      </c>
      <c r="K6266" s="74">
        <f>Tabela6[[#This Row],[CONSUMO]]*Tabela6[[#This Row],[VALOR UNIT]]-Tabela6[[#This Row],[DESCONTO]]</f>
        <v>103.2966</v>
      </c>
      <c r="L6266" s="53">
        <f>Tabela6[[#This Row],[CUSTO TOTAL]]/Tabela6[[#This Row],[CONSUMO]]</f>
        <v>3.33</v>
      </c>
      <c r="M6266" s="53" t="e">
        <f t="array" ref="M6266">SE</f>
        <v>#NAME?</v>
      </c>
      <c r="N6266" s="118" t="e">
        <f>Tabela6[[#This Row],[KM Rodados ]]/Tabela6[[#This Row],[CONSUMO]]</f>
        <v>#NAME?</v>
      </c>
    </row>
    <row r="6267" spans="1:14" x14ac:dyDescent="0.25">
      <c r="A6267" s="117">
        <v>514607</v>
      </c>
      <c r="B6267" s="78">
        <v>45799</v>
      </c>
      <c r="C6267" s="47" t="s">
        <v>40</v>
      </c>
      <c r="D6267" s="49" t="s">
        <v>276</v>
      </c>
      <c r="E6267" s="117">
        <v>256615</v>
      </c>
      <c r="G6267" s="50" t="s">
        <v>244</v>
      </c>
      <c r="H6267" s="51">
        <v>44.41</v>
      </c>
      <c r="J6267" s="51">
        <v>6.19</v>
      </c>
      <c r="K6267" s="74">
        <f>Tabela6[[#This Row],[CONSUMO]]*Tabela6[[#This Row],[VALOR UNIT]]-Tabela6[[#This Row],[DESCONTO]]</f>
        <v>274.89789999999999</v>
      </c>
      <c r="L6267" s="53">
        <f>Tabela6[[#This Row],[CUSTO TOTAL]]/Tabela6[[#This Row],[CONSUMO]]</f>
        <v>6.19</v>
      </c>
      <c r="M6267" s="53" t="e">
        <f t="array" ref="M6267">SE</f>
        <v>#NAME?</v>
      </c>
      <c r="N6267" s="118" t="e">
        <f>Tabela6[[#This Row],[KM Rodados ]]/Tabela6[[#This Row],[CONSUMO]]</f>
        <v>#NAME?</v>
      </c>
    </row>
    <row r="6268" spans="1:14" x14ac:dyDescent="0.25">
      <c r="A6268" s="117">
        <v>465744</v>
      </c>
      <c r="B6268" s="78">
        <v>45799</v>
      </c>
      <c r="C6268" s="47" t="s">
        <v>681</v>
      </c>
      <c r="D6268" s="49" t="s">
        <v>270</v>
      </c>
      <c r="E6268" s="117">
        <v>20992</v>
      </c>
      <c r="G6268" s="50" t="s">
        <v>89</v>
      </c>
      <c r="H6268" s="51">
        <v>103.628</v>
      </c>
      <c r="J6268" s="51">
        <v>5.79</v>
      </c>
      <c r="K6268" s="74">
        <f>Tabela6[[#This Row],[CONSUMO]]*Tabela6[[#This Row],[VALOR UNIT]]-Tabela6[[#This Row],[DESCONTO]]</f>
        <v>600.00612000000001</v>
      </c>
      <c r="L6268" s="53">
        <f>Tabela6[[#This Row],[CUSTO TOTAL]]/Tabela6[[#This Row],[CONSUMO]]</f>
        <v>5.79</v>
      </c>
      <c r="M6268" s="53" t="e">
        <f t="array" ref="M6268">SE</f>
        <v>#NAME?</v>
      </c>
      <c r="N6268" s="118" t="e">
        <f>Tabela6[[#This Row],[KM Rodados ]]/Tabela6[[#This Row],[CONSUMO]]</f>
        <v>#NAME?</v>
      </c>
    </row>
    <row r="6269" spans="1:14" x14ac:dyDescent="0.25">
      <c r="A6269" s="117">
        <v>14444</v>
      </c>
      <c r="B6269" s="78">
        <v>45799</v>
      </c>
      <c r="C6269" s="47" t="s">
        <v>73</v>
      </c>
      <c r="D6269" s="49" t="s">
        <v>300</v>
      </c>
      <c r="E6269" s="117">
        <v>273508</v>
      </c>
      <c r="G6269" s="50" t="s">
        <v>241</v>
      </c>
      <c r="H6269" s="51">
        <v>28.151</v>
      </c>
      <c r="J6269" s="51">
        <v>2.99</v>
      </c>
      <c r="K6269" s="74">
        <f>Tabela6[[#This Row],[CONSUMO]]*Tabela6[[#This Row],[VALOR UNIT]]-Tabela6[[#This Row],[DESCONTO]]</f>
        <v>84.171490000000006</v>
      </c>
      <c r="L6269" s="53">
        <f>Tabela6[[#This Row],[CUSTO TOTAL]]/Tabela6[[#This Row],[CONSUMO]]</f>
        <v>2.99</v>
      </c>
      <c r="M6269" s="53" t="e">
        <f t="array" ref="M6269">SE</f>
        <v>#NAME?</v>
      </c>
      <c r="N6269" s="118" t="e">
        <f>Tabela6[[#This Row],[KM Rodados ]]/Tabela6[[#This Row],[CONSUMO]]</f>
        <v>#NAME?</v>
      </c>
    </row>
    <row r="6270" spans="1:14" x14ac:dyDescent="0.25">
      <c r="A6270" s="117" t="s">
        <v>717</v>
      </c>
      <c r="B6270" s="78">
        <v>45799</v>
      </c>
      <c r="C6270" s="47" t="s">
        <v>43</v>
      </c>
      <c r="D6270" s="49" t="s">
        <v>270</v>
      </c>
      <c r="E6270" s="117">
        <v>249706</v>
      </c>
      <c r="G6270" s="50" t="s">
        <v>89</v>
      </c>
      <c r="H6270" s="51">
        <v>36.42</v>
      </c>
      <c r="J6270" s="51">
        <v>5.79</v>
      </c>
      <c r="K6270" s="74">
        <f>Tabela6[[#This Row],[CONSUMO]]*Tabela6[[#This Row],[VALOR UNIT]]-Tabela6[[#This Row],[DESCONTO]]</f>
        <v>210.87180000000001</v>
      </c>
      <c r="L6270" s="53">
        <f>Tabela6[[#This Row],[CUSTO TOTAL]]/Tabela6[[#This Row],[CONSUMO]]</f>
        <v>5.79</v>
      </c>
      <c r="M6270" s="53" t="e">
        <f t="array" ref="M6270">SE</f>
        <v>#NAME?</v>
      </c>
      <c r="N6270" s="118" t="e">
        <f>Tabela6[[#This Row],[KM Rodados ]]/Tabela6[[#This Row],[CONSUMO]]</f>
        <v>#NAME?</v>
      </c>
    </row>
    <row r="6271" spans="1:14" x14ac:dyDescent="0.25">
      <c r="A6271" s="117">
        <v>14574</v>
      </c>
      <c r="B6271" s="78">
        <v>45799</v>
      </c>
      <c r="C6271" s="47" t="s">
        <v>72</v>
      </c>
      <c r="D6271" s="49" t="s">
        <v>300</v>
      </c>
      <c r="E6271" s="117">
        <v>515779</v>
      </c>
      <c r="G6271" s="50" t="s">
        <v>89</v>
      </c>
      <c r="H6271" s="51">
        <v>44.960999999999999</v>
      </c>
      <c r="J6271" s="51">
        <v>5.79</v>
      </c>
      <c r="K6271" s="74">
        <f>Tabela6[[#This Row],[CONSUMO]]*Tabela6[[#This Row],[VALOR UNIT]]-Tabela6[[#This Row],[DESCONTO]]</f>
        <v>260.32418999999999</v>
      </c>
      <c r="L6271" s="53">
        <f>Tabela6[[#This Row],[CUSTO TOTAL]]/Tabela6[[#This Row],[CONSUMO]]</f>
        <v>5.79</v>
      </c>
      <c r="M6271" s="53" t="e">
        <f t="array" ref="M6271">SE</f>
        <v>#NAME?</v>
      </c>
      <c r="N6271" s="118" t="e">
        <f>Tabela6[[#This Row],[KM Rodados ]]/Tabela6[[#This Row],[CONSUMO]]</f>
        <v>#NAME?</v>
      </c>
    </row>
    <row r="6272" spans="1:14" x14ac:dyDescent="0.25">
      <c r="A6272" s="117" t="s">
        <v>719</v>
      </c>
      <c r="B6272" s="78">
        <v>45800</v>
      </c>
      <c r="C6272" s="47" t="s">
        <v>70</v>
      </c>
      <c r="D6272" s="49" t="s">
        <v>344</v>
      </c>
      <c r="E6272" s="117">
        <v>11111</v>
      </c>
      <c r="G6272" s="50" t="s">
        <v>89</v>
      </c>
      <c r="H6272" s="51">
        <v>355.28</v>
      </c>
      <c r="J6272" s="51">
        <v>5.79</v>
      </c>
      <c r="K6272" s="74">
        <f>Tabela6[[#This Row],[CONSUMO]]*Tabela6[[#This Row],[VALOR UNIT]]-Tabela6[[#This Row],[DESCONTO]]</f>
        <v>2057.0711999999999</v>
      </c>
      <c r="L6272" s="53">
        <f>Tabela6[[#This Row],[CUSTO TOTAL]]/Tabela6[[#This Row],[CONSUMO]]</f>
        <v>5.79</v>
      </c>
      <c r="M6272" s="53" t="e">
        <f t="array" ref="M6272">SE</f>
        <v>#NAME?</v>
      </c>
      <c r="N6272" s="118" t="e">
        <f>Tabela6[[#This Row],[KM Rodados ]]/Tabela6[[#This Row],[CONSUMO]]</f>
        <v>#NAME?</v>
      </c>
    </row>
    <row r="6273" spans="1:14" x14ac:dyDescent="0.25">
      <c r="A6273" s="117" t="s">
        <v>718</v>
      </c>
      <c r="B6273" s="78">
        <v>45800</v>
      </c>
      <c r="C6273" s="47" t="s">
        <v>9</v>
      </c>
      <c r="D6273" s="49" t="s">
        <v>269</v>
      </c>
      <c r="E6273" s="117">
        <v>697254</v>
      </c>
      <c r="G6273" s="50" t="s">
        <v>89</v>
      </c>
      <c r="H6273" s="51">
        <v>159.47</v>
      </c>
      <c r="J6273" s="51">
        <v>5.79</v>
      </c>
      <c r="K6273" s="74">
        <f>Tabela6[[#This Row],[CONSUMO]]*Tabela6[[#This Row],[VALOR UNIT]]-Tabela6[[#This Row],[DESCONTO]]</f>
        <v>923.33130000000006</v>
      </c>
      <c r="L6273" s="53">
        <f>Tabela6[[#This Row],[CUSTO TOTAL]]/Tabela6[[#This Row],[CONSUMO]]</f>
        <v>5.79</v>
      </c>
      <c r="M6273" s="53" t="e">
        <f t="array" ref="M6273">SE</f>
        <v>#NAME?</v>
      </c>
      <c r="N6273" s="118" t="e">
        <f>Tabela6[[#This Row],[KM Rodados ]]/Tabela6[[#This Row],[CONSUMO]]</f>
        <v>#NAME?</v>
      </c>
    </row>
    <row r="6274" spans="1:14" x14ac:dyDescent="0.25">
      <c r="A6274" s="117">
        <v>135311</v>
      </c>
      <c r="B6274" s="78">
        <v>45800</v>
      </c>
      <c r="C6274" s="47" t="s">
        <v>43</v>
      </c>
      <c r="D6274" s="49" t="s">
        <v>233</v>
      </c>
      <c r="E6274" s="117">
        <v>250031</v>
      </c>
      <c r="G6274" s="50" t="s">
        <v>89</v>
      </c>
      <c r="H6274" s="51">
        <v>41.32</v>
      </c>
      <c r="J6274" s="51">
        <v>6.19</v>
      </c>
      <c r="K6274" s="74">
        <f>Tabela6[[#This Row],[CONSUMO]]*Tabela6[[#This Row],[VALOR UNIT]]-Tabela6[[#This Row],[DESCONTO]]</f>
        <v>255.77080000000001</v>
      </c>
      <c r="L6274" s="53">
        <f>Tabela6[[#This Row],[CUSTO TOTAL]]/Tabela6[[#This Row],[CONSUMO]]</f>
        <v>6.19</v>
      </c>
      <c r="M6274" s="53" t="e">
        <f t="array" ref="M6274">SE</f>
        <v>#NAME?</v>
      </c>
      <c r="N6274" s="118" t="e">
        <f>Tabela6[[#This Row],[KM Rodados ]]/Tabela6[[#This Row],[CONSUMO]]</f>
        <v>#NAME?</v>
      </c>
    </row>
    <row r="6275" spans="1:14" x14ac:dyDescent="0.25">
      <c r="A6275" s="117">
        <v>519357</v>
      </c>
      <c r="B6275" s="78">
        <v>45800</v>
      </c>
      <c r="C6275" s="47" t="s">
        <v>39</v>
      </c>
      <c r="D6275" s="49" t="s">
        <v>253</v>
      </c>
      <c r="E6275" s="117">
        <v>146154</v>
      </c>
      <c r="G6275" s="50" t="s">
        <v>89</v>
      </c>
      <c r="H6275" s="51">
        <v>106.37</v>
      </c>
      <c r="J6275" s="51">
        <v>6.19</v>
      </c>
      <c r="K6275" s="74">
        <f>Tabela6[[#This Row],[CONSUMO]]*Tabela6[[#This Row],[VALOR UNIT]]-Tabela6[[#This Row],[DESCONTO]]</f>
        <v>658.4303000000001</v>
      </c>
      <c r="L6275" s="53">
        <f>Tabela6[[#This Row],[CUSTO TOTAL]]/Tabela6[[#This Row],[CONSUMO]]</f>
        <v>6.19</v>
      </c>
      <c r="M6275" s="53" t="e">
        <f t="array" ref="M6275">SE</f>
        <v>#NAME?</v>
      </c>
      <c r="N6275" s="118" t="e">
        <f>Tabela6[[#This Row],[KM Rodados ]]/Tabela6[[#This Row],[CONSUMO]]</f>
        <v>#NAME?</v>
      </c>
    </row>
    <row r="6276" spans="1:14" x14ac:dyDescent="0.25">
      <c r="A6276" s="117">
        <v>353204</v>
      </c>
      <c r="B6276" s="78">
        <v>45800</v>
      </c>
      <c r="C6276" s="47" t="s">
        <v>694</v>
      </c>
      <c r="D6276" s="49" t="s">
        <v>262</v>
      </c>
      <c r="E6276" s="117">
        <v>85670</v>
      </c>
      <c r="G6276" s="50" t="s">
        <v>244</v>
      </c>
      <c r="H6276" s="51">
        <v>8.5589999999999993</v>
      </c>
      <c r="J6276" s="51">
        <v>5.99</v>
      </c>
      <c r="K6276" s="74">
        <f>Tabela6[[#This Row],[CONSUMO]]*Tabela6[[#This Row],[VALOR UNIT]]-Tabela6[[#This Row],[DESCONTO]]</f>
        <v>51.268409999999996</v>
      </c>
      <c r="L6276" s="53">
        <f>Tabela6[[#This Row],[CUSTO TOTAL]]/Tabela6[[#This Row],[CONSUMO]]</f>
        <v>5.99</v>
      </c>
      <c r="M6276" s="53" t="e">
        <f t="array" ref="M6276">SE</f>
        <v>#NAME?</v>
      </c>
      <c r="N6276" s="118" t="e">
        <f>Tabela6[[#This Row],[KM Rodados ]]/Tabela6[[#This Row],[CONSUMO]]</f>
        <v>#NAME?</v>
      </c>
    </row>
    <row r="6277" spans="1:14" x14ac:dyDescent="0.25">
      <c r="A6277" s="117">
        <v>353109</v>
      </c>
      <c r="B6277" s="78">
        <v>45800</v>
      </c>
      <c r="C6277" s="47" t="s">
        <v>203</v>
      </c>
      <c r="D6277" s="49" t="s">
        <v>262</v>
      </c>
      <c r="E6277" s="117">
        <v>219847</v>
      </c>
      <c r="G6277" s="50" t="s">
        <v>244</v>
      </c>
      <c r="H6277" s="51">
        <v>42.02</v>
      </c>
      <c r="J6277" s="51">
        <v>5.99</v>
      </c>
      <c r="K6277" s="74">
        <f>Tabela6[[#This Row],[CONSUMO]]*Tabela6[[#This Row],[VALOR UNIT]]-Tabela6[[#This Row],[DESCONTO]]</f>
        <v>251.69980000000004</v>
      </c>
      <c r="L6277" s="53">
        <f>Tabela6[[#This Row],[CUSTO TOTAL]]/Tabela6[[#This Row],[CONSUMO]]</f>
        <v>5.99</v>
      </c>
      <c r="M6277" s="53" t="e">
        <f t="array" ref="M6277">SE</f>
        <v>#NAME?</v>
      </c>
      <c r="N6277" s="118" t="e">
        <f>Tabela6[[#This Row],[KM Rodados ]]/Tabela6[[#This Row],[CONSUMO]]</f>
        <v>#NAME?</v>
      </c>
    </row>
    <row r="6278" spans="1:14" x14ac:dyDescent="0.25">
      <c r="A6278" s="117">
        <v>129819</v>
      </c>
      <c r="B6278" s="78">
        <v>45800</v>
      </c>
      <c r="C6278" s="47" t="s">
        <v>70</v>
      </c>
      <c r="D6278" s="49" t="s">
        <v>344</v>
      </c>
      <c r="E6278" s="117">
        <v>11111</v>
      </c>
      <c r="G6278" s="50" t="s">
        <v>241</v>
      </c>
      <c r="H6278" s="51">
        <v>70.230999999999995</v>
      </c>
      <c r="J6278" s="51">
        <v>2.99</v>
      </c>
      <c r="K6278" s="74">
        <f>Tabela6[[#This Row],[CONSUMO]]*Tabela6[[#This Row],[VALOR UNIT]]-Tabela6[[#This Row],[DESCONTO]]</f>
        <v>209.99069</v>
      </c>
      <c r="L6278" s="53">
        <f>Tabela6[[#This Row],[CUSTO TOTAL]]/Tabela6[[#This Row],[CONSUMO]]</f>
        <v>2.99</v>
      </c>
      <c r="M6278" s="53" t="e">
        <f t="array" ref="M6278">SE</f>
        <v>#NAME?</v>
      </c>
      <c r="N6278" s="118" t="e">
        <f>Tabela6[[#This Row],[KM Rodados ]]/Tabela6[[#This Row],[CONSUMO]]</f>
        <v>#NAME?</v>
      </c>
    </row>
    <row r="6279" spans="1:14" x14ac:dyDescent="0.25">
      <c r="A6279" s="117">
        <v>353246</v>
      </c>
      <c r="B6279" s="78">
        <v>45801</v>
      </c>
      <c r="C6279" s="47" t="s">
        <v>74</v>
      </c>
      <c r="D6279" s="49" t="s">
        <v>262</v>
      </c>
      <c r="E6279" s="117">
        <v>195880</v>
      </c>
      <c r="G6279" s="50" t="s">
        <v>89</v>
      </c>
      <c r="H6279" s="51">
        <v>64.180000000000007</v>
      </c>
      <c r="J6279" s="51">
        <v>5.89</v>
      </c>
      <c r="K6279" s="74">
        <f>Tabela6[[#This Row],[CONSUMO]]*Tabela6[[#This Row],[VALOR UNIT]]-Tabela6[[#This Row],[DESCONTO]]</f>
        <v>378.02020000000005</v>
      </c>
      <c r="L6279" s="53">
        <f>Tabela6[[#This Row],[CUSTO TOTAL]]/Tabela6[[#This Row],[CONSUMO]]</f>
        <v>5.89</v>
      </c>
      <c r="M6279" s="53" t="e">
        <f t="array" ref="M6279">SE</f>
        <v>#NAME?</v>
      </c>
      <c r="N6279" s="118" t="e">
        <f>Tabela6[[#This Row],[KM Rodados ]]/Tabela6[[#This Row],[CONSUMO]]</f>
        <v>#NAME?</v>
      </c>
    </row>
    <row r="6280" spans="1:14" x14ac:dyDescent="0.25">
      <c r="A6280" s="117">
        <v>143282</v>
      </c>
      <c r="B6280" s="78">
        <v>45801</v>
      </c>
      <c r="C6280" s="47" t="s">
        <v>354</v>
      </c>
      <c r="D6280" s="49" t="s">
        <v>334</v>
      </c>
      <c r="E6280" s="117">
        <v>107818</v>
      </c>
      <c r="G6280" s="50" t="s">
        <v>241</v>
      </c>
      <c r="H6280" s="51">
        <v>16</v>
      </c>
      <c r="J6280" s="51">
        <v>3.99</v>
      </c>
      <c r="K6280" s="74">
        <f>Tabela6[[#This Row],[CONSUMO]]*Tabela6[[#This Row],[VALOR UNIT]]-Tabela6[[#This Row],[DESCONTO]]</f>
        <v>63.84</v>
      </c>
      <c r="L6280" s="53">
        <f>Tabela6[[#This Row],[CUSTO TOTAL]]/Tabela6[[#This Row],[CONSUMO]]</f>
        <v>3.99</v>
      </c>
      <c r="M6280" s="53" t="e">
        <f t="array" ref="M6280">SE</f>
        <v>#NAME?</v>
      </c>
      <c r="N6280" s="118" t="e">
        <f>Tabela6[[#This Row],[KM Rodados ]]/Tabela6[[#This Row],[CONSUMO]]</f>
        <v>#NAME?</v>
      </c>
    </row>
    <row r="6281" spans="1:14" x14ac:dyDescent="0.25">
      <c r="A6281" s="117" t="s">
        <v>720</v>
      </c>
      <c r="B6281" s="78">
        <v>45802</v>
      </c>
      <c r="C6281" s="47" t="s">
        <v>567</v>
      </c>
      <c r="D6281" s="49" t="s">
        <v>347</v>
      </c>
      <c r="E6281" s="117">
        <v>48950</v>
      </c>
      <c r="G6281" s="50" t="s">
        <v>89</v>
      </c>
      <c r="H6281" s="51">
        <v>560.01099999999997</v>
      </c>
      <c r="J6281" s="51">
        <v>5.89</v>
      </c>
      <c r="K6281" s="74">
        <f>Tabela6[[#This Row],[CONSUMO]]*Tabela6[[#This Row],[VALOR UNIT]]-Tabela6[[#This Row],[DESCONTO]]</f>
        <v>3298.4647899999995</v>
      </c>
      <c r="L6281" s="53">
        <f>Tabela6[[#This Row],[CUSTO TOTAL]]/Tabela6[[#This Row],[CONSUMO]]</f>
        <v>5.89</v>
      </c>
      <c r="M6281" s="53" t="e">
        <f t="array" ref="M6281">SE</f>
        <v>#NAME?</v>
      </c>
      <c r="N6281" s="118" t="e">
        <f>Tabela6[[#This Row],[KM Rodados ]]/Tabela6[[#This Row],[CONSUMO]]</f>
        <v>#NAME?</v>
      </c>
    </row>
    <row r="6282" spans="1:14" x14ac:dyDescent="0.25">
      <c r="A6282" s="117" t="s">
        <v>721</v>
      </c>
      <c r="B6282" s="78">
        <v>45802</v>
      </c>
      <c r="C6282" s="47" t="s">
        <v>567</v>
      </c>
      <c r="D6282" s="49" t="s">
        <v>347</v>
      </c>
      <c r="E6282" s="117">
        <v>48950</v>
      </c>
      <c r="G6282" s="50" t="s">
        <v>241</v>
      </c>
      <c r="H6282" s="51">
        <v>46.121000000000002</v>
      </c>
      <c r="J6282" s="51">
        <v>2.99</v>
      </c>
      <c r="K6282" s="74">
        <f>Tabela6[[#This Row],[CONSUMO]]*Tabela6[[#This Row],[VALOR UNIT]]-Tabela6[[#This Row],[DESCONTO]]</f>
        <v>137.90179000000001</v>
      </c>
      <c r="L6282" s="53">
        <f>Tabela6[[#This Row],[CUSTO TOTAL]]/Tabela6[[#This Row],[CONSUMO]]</f>
        <v>2.9899999999999998</v>
      </c>
      <c r="M6282" s="53" t="e">
        <f t="array" ref="M6282">SE</f>
        <v>#NAME?</v>
      </c>
      <c r="N6282" s="118" t="e">
        <f>Tabela6[[#This Row],[KM Rodados ]]/Tabela6[[#This Row],[CONSUMO]]</f>
        <v>#NAME?</v>
      </c>
    </row>
    <row r="6283" spans="1:14" x14ac:dyDescent="0.25">
      <c r="A6283" s="117">
        <v>374335</v>
      </c>
      <c r="B6283" s="78">
        <v>45803</v>
      </c>
      <c r="C6283" s="47" t="s">
        <v>23</v>
      </c>
      <c r="D6283" s="49" t="s">
        <v>273</v>
      </c>
      <c r="E6283" s="117">
        <v>336525</v>
      </c>
      <c r="G6283" s="50" t="s">
        <v>89</v>
      </c>
      <c r="H6283" s="51">
        <v>145</v>
      </c>
      <c r="J6283" s="51">
        <v>5.72</v>
      </c>
      <c r="K6283" s="74">
        <f>Tabela6[[#This Row],[CONSUMO]]*Tabela6[[#This Row],[VALOR UNIT]]-Tabela6[[#This Row],[DESCONTO]]</f>
        <v>829.4</v>
      </c>
      <c r="L6283" s="53">
        <f>Tabela6[[#This Row],[CUSTO TOTAL]]/Tabela6[[#This Row],[CONSUMO]]</f>
        <v>5.72</v>
      </c>
      <c r="M6283" s="53" t="e">
        <f t="array" ref="M6283">SE</f>
        <v>#NAME?</v>
      </c>
      <c r="N6283" s="118" t="e">
        <f>Tabela6[[#This Row],[KM Rodados ]]/Tabela6[[#This Row],[CONSUMO]]</f>
        <v>#NAME?</v>
      </c>
    </row>
    <row r="6284" spans="1:14" x14ac:dyDescent="0.25">
      <c r="A6284" s="117">
        <v>521515</v>
      </c>
      <c r="B6284" s="78">
        <v>45803</v>
      </c>
      <c r="C6284" s="47" t="s">
        <v>41</v>
      </c>
      <c r="D6284" s="49" t="s">
        <v>253</v>
      </c>
      <c r="E6284" s="117">
        <v>766552</v>
      </c>
      <c r="G6284" s="50" t="s">
        <v>89</v>
      </c>
      <c r="H6284" s="51">
        <v>133.63999999999999</v>
      </c>
      <c r="J6284" s="51">
        <v>6.19</v>
      </c>
      <c r="K6284" s="74">
        <f>Tabela6[[#This Row],[CONSUMO]]*Tabela6[[#This Row],[VALOR UNIT]]-Tabela6[[#This Row],[DESCONTO]]</f>
        <v>827.23159999999996</v>
      </c>
      <c r="L6284" s="53">
        <f>Tabela6[[#This Row],[CUSTO TOTAL]]/Tabela6[[#This Row],[CONSUMO]]</f>
        <v>6.19</v>
      </c>
      <c r="M6284" s="53" t="e">
        <f t="array" ref="M6284">SE</f>
        <v>#NAME?</v>
      </c>
      <c r="N6284" s="118" t="e">
        <f>Tabela6[[#This Row],[KM Rodados ]]/Tabela6[[#This Row],[CONSUMO]]</f>
        <v>#NAME?</v>
      </c>
    </row>
    <row r="6285" spans="1:14" x14ac:dyDescent="0.25">
      <c r="A6285" s="117">
        <v>353827</v>
      </c>
      <c r="B6285" s="78">
        <v>45803</v>
      </c>
      <c r="C6285" s="47" t="s">
        <v>203</v>
      </c>
      <c r="D6285" s="49" t="s">
        <v>262</v>
      </c>
      <c r="E6285" s="117">
        <v>220345</v>
      </c>
      <c r="G6285" s="50" t="s">
        <v>244</v>
      </c>
      <c r="H6285" s="51">
        <v>41.74</v>
      </c>
      <c r="J6285" s="51">
        <v>5.99</v>
      </c>
      <c r="K6285" s="74">
        <f>Tabela6[[#This Row],[CONSUMO]]*Tabela6[[#This Row],[VALOR UNIT]]-Tabela6[[#This Row],[DESCONTO]]</f>
        <v>250.02260000000001</v>
      </c>
      <c r="L6285" s="53">
        <f>Tabela6[[#This Row],[CUSTO TOTAL]]/Tabela6[[#This Row],[CONSUMO]]</f>
        <v>5.99</v>
      </c>
      <c r="M6285" s="53" t="e">
        <f t="array" ref="M6285">SE</f>
        <v>#NAME?</v>
      </c>
      <c r="N6285" s="118" t="e">
        <f>Tabela6[[#This Row],[KM Rodados ]]/Tabela6[[#This Row],[CONSUMO]]</f>
        <v>#NAME?</v>
      </c>
    </row>
    <row r="6286" spans="1:14" x14ac:dyDescent="0.25">
      <c r="A6286" s="117">
        <v>74975</v>
      </c>
      <c r="B6286" s="78">
        <v>45803</v>
      </c>
      <c r="C6286" s="47" t="s">
        <v>18</v>
      </c>
      <c r="D6286" s="49" t="s">
        <v>255</v>
      </c>
      <c r="E6286" s="117">
        <v>404591</v>
      </c>
      <c r="G6286" s="50" t="s">
        <v>89</v>
      </c>
      <c r="H6286" s="51">
        <v>73.62</v>
      </c>
      <c r="J6286" s="51">
        <v>6.29</v>
      </c>
      <c r="K6286" s="74">
        <f>Tabela6[[#This Row],[CONSUMO]]*Tabela6[[#This Row],[VALOR UNIT]]-Tabela6[[#This Row],[DESCONTO]]</f>
        <v>463.06980000000004</v>
      </c>
      <c r="L6286" s="53">
        <f>Tabela6[[#This Row],[CUSTO TOTAL]]/Tabela6[[#This Row],[CONSUMO]]</f>
        <v>6.29</v>
      </c>
      <c r="M6286" s="53" t="e">
        <f t="array" ref="M6286">SE</f>
        <v>#NAME?</v>
      </c>
      <c r="N6286" s="118" t="e">
        <f>Tabela6[[#This Row],[KM Rodados ]]/Tabela6[[#This Row],[CONSUMO]]</f>
        <v>#NAME?</v>
      </c>
    </row>
    <row r="6287" spans="1:14" x14ac:dyDescent="0.25">
      <c r="A6287" s="117">
        <v>147742</v>
      </c>
      <c r="B6287" s="78">
        <v>45803</v>
      </c>
      <c r="C6287" s="47" t="s">
        <v>72</v>
      </c>
      <c r="D6287" s="49" t="s">
        <v>360</v>
      </c>
      <c r="E6287" s="117">
        <v>519067</v>
      </c>
      <c r="G6287" s="50" t="s">
        <v>89</v>
      </c>
      <c r="H6287" s="51">
        <v>34.03</v>
      </c>
      <c r="J6287" s="51">
        <v>4.41</v>
      </c>
      <c r="K6287" s="74">
        <f>Tabela6[[#This Row],[CONSUMO]]*Tabela6[[#This Row],[VALOR UNIT]]-Tabela6[[#This Row],[DESCONTO]]</f>
        <v>150.07230000000001</v>
      </c>
      <c r="L6287" s="53">
        <f>Tabela6[[#This Row],[CUSTO TOTAL]]/Tabela6[[#This Row],[CONSUMO]]</f>
        <v>4.41</v>
      </c>
      <c r="M6287" s="53" t="e">
        <f t="array" ref="M6287">SE</f>
        <v>#NAME?</v>
      </c>
      <c r="N6287" s="118" t="e">
        <f>Tabela6[[#This Row],[KM Rodados ]]/Tabela6[[#This Row],[CONSUMO]]</f>
        <v>#NAME?</v>
      </c>
    </row>
    <row r="6288" spans="1:14" x14ac:dyDescent="0.25">
      <c r="A6288" s="117">
        <v>147751</v>
      </c>
      <c r="B6288" s="78">
        <v>45803</v>
      </c>
      <c r="C6288" s="47" t="s">
        <v>72</v>
      </c>
      <c r="D6288" s="49" t="s">
        <v>360</v>
      </c>
      <c r="E6288" s="117">
        <v>519067</v>
      </c>
      <c r="G6288" s="50" t="s">
        <v>89</v>
      </c>
      <c r="H6288" s="51">
        <v>14</v>
      </c>
      <c r="J6288" s="51">
        <v>5.79</v>
      </c>
      <c r="K6288" s="74">
        <f>Tabela6[[#This Row],[CONSUMO]]*Tabela6[[#This Row],[VALOR UNIT]]-Tabela6[[#This Row],[DESCONTO]]</f>
        <v>81.06</v>
      </c>
      <c r="L6288" s="53">
        <f>Tabela6[[#This Row],[CUSTO TOTAL]]/Tabela6[[#This Row],[CONSUMO]]</f>
        <v>5.79</v>
      </c>
      <c r="M6288" s="53" t="e">
        <f t="array" ref="M6288">SE</f>
        <v>#NAME?</v>
      </c>
      <c r="N6288" s="118" t="e">
        <f>Tabela6[[#This Row],[KM Rodados ]]/Tabela6[[#This Row],[CONSUMO]]</f>
        <v>#NAME?</v>
      </c>
    </row>
    <row r="6289" spans="1:14" x14ac:dyDescent="0.25">
      <c r="A6289" s="117">
        <v>151773</v>
      </c>
      <c r="B6289" s="78">
        <v>45803</v>
      </c>
      <c r="C6289" s="47" t="s">
        <v>564</v>
      </c>
      <c r="D6289" s="49" t="s">
        <v>234</v>
      </c>
      <c r="E6289" s="117">
        <v>86720</v>
      </c>
      <c r="G6289" s="50" t="s">
        <v>89</v>
      </c>
      <c r="H6289" s="51">
        <v>300</v>
      </c>
      <c r="J6289" s="51">
        <v>6.39</v>
      </c>
      <c r="K6289" s="74">
        <f>Tabela6[[#This Row],[CONSUMO]]*Tabela6[[#This Row],[VALOR UNIT]]-Tabela6[[#This Row],[DESCONTO]]</f>
        <v>1917</v>
      </c>
      <c r="L6289" s="53">
        <f>Tabela6[[#This Row],[CUSTO TOTAL]]/Tabela6[[#This Row],[CONSUMO]]</f>
        <v>6.39</v>
      </c>
      <c r="M6289" s="53" t="e">
        <f t="array" ref="M6289">SE</f>
        <v>#NAME?</v>
      </c>
      <c r="N6289" s="118" t="e">
        <f>Tabela6[[#This Row],[KM Rodados ]]/Tabela6[[#This Row],[CONSUMO]]</f>
        <v>#NAME?</v>
      </c>
    </row>
    <row r="6290" spans="1:14" x14ac:dyDescent="0.25">
      <c r="A6290" s="117">
        <v>153377</v>
      </c>
      <c r="B6290" s="78">
        <v>45803</v>
      </c>
      <c r="C6290" s="47" t="s">
        <v>72</v>
      </c>
      <c r="D6290" s="49" t="s">
        <v>610</v>
      </c>
      <c r="E6290" s="117">
        <v>516448</v>
      </c>
      <c r="G6290" s="50" t="s">
        <v>89</v>
      </c>
      <c r="H6290" s="51">
        <v>45.17</v>
      </c>
      <c r="J6290" s="51">
        <v>5.89</v>
      </c>
      <c r="K6290" s="74">
        <f>Tabela6[[#This Row],[CONSUMO]]*Tabela6[[#This Row],[VALOR UNIT]]-Tabela6[[#This Row],[DESCONTO]]</f>
        <v>266.05129999999997</v>
      </c>
      <c r="L6290" s="53">
        <f>Tabela6[[#This Row],[CUSTO TOTAL]]/Tabela6[[#This Row],[CONSUMO]]</f>
        <v>5.8899999999999988</v>
      </c>
      <c r="M6290" s="53" t="e">
        <f t="array" ref="M6290">SE</f>
        <v>#NAME?</v>
      </c>
      <c r="N6290" s="118" t="e">
        <f>Tabela6[[#This Row],[KM Rodados ]]/Tabela6[[#This Row],[CONSUMO]]</f>
        <v>#NAME?</v>
      </c>
    </row>
    <row r="6291" spans="1:14" x14ac:dyDescent="0.25">
      <c r="A6291" s="117">
        <v>16467</v>
      </c>
      <c r="B6291" s="78">
        <v>45803</v>
      </c>
      <c r="C6291" s="47" t="s">
        <v>73</v>
      </c>
      <c r="D6291" s="49" t="s">
        <v>300</v>
      </c>
      <c r="E6291" s="117">
        <v>273841</v>
      </c>
      <c r="G6291" s="50" t="s">
        <v>89</v>
      </c>
      <c r="H6291" s="51">
        <v>100</v>
      </c>
      <c r="J6291" s="51">
        <v>5.79</v>
      </c>
      <c r="K6291" s="74">
        <f>Tabela6[[#This Row],[CONSUMO]]*Tabela6[[#This Row],[VALOR UNIT]]-Tabela6[[#This Row],[DESCONTO]]</f>
        <v>579</v>
      </c>
      <c r="L6291" s="53">
        <f>Tabela6[[#This Row],[CUSTO TOTAL]]/Tabela6[[#This Row],[CONSUMO]]</f>
        <v>5.79</v>
      </c>
      <c r="M6291" s="53" t="e">
        <f t="array" ref="M6291">SE</f>
        <v>#NAME?</v>
      </c>
      <c r="N6291" s="118" t="e">
        <f>Tabela6[[#This Row],[KM Rodados ]]/Tabela6[[#This Row],[CONSUMO]]</f>
        <v>#NAME?</v>
      </c>
    </row>
    <row r="6292" spans="1:14" x14ac:dyDescent="0.25">
      <c r="A6292" s="117">
        <v>522265</v>
      </c>
      <c r="B6292" s="78">
        <v>45804</v>
      </c>
      <c r="C6292" s="47" t="s">
        <v>12</v>
      </c>
      <c r="D6292" s="49" t="s">
        <v>253</v>
      </c>
      <c r="E6292" s="117">
        <v>361496</v>
      </c>
      <c r="G6292" s="50" t="s">
        <v>89</v>
      </c>
      <c r="H6292" s="51">
        <v>110.35</v>
      </c>
      <c r="J6292" s="51">
        <v>6.19</v>
      </c>
      <c r="K6292" s="74">
        <f>Tabela6[[#This Row],[CONSUMO]]*Tabela6[[#This Row],[VALOR UNIT]]-Tabela6[[#This Row],[DESCONTO]]</f>
        <v>683.06650000000002</v>
      </c>
      <c r="L6292" s="53">
        <f>Tabela6[[#This Row],[CUSTO TOTAL]]/Tabela6[[#This Row],[CONSUMO]]</f>
        <v>6.19</v>
      </c>
      <c r="M6292" s="53" t="e">
        <f t="array" ref="M6292">SE</f>
        <v>#NAME?</v>
      </c>
      <c r="N6292" s="118" t="e">
        <f>Tabela6[[#This Row],[KM Rodados ]]/Tabela6[[#This Row],[CONSUMO]]</f>
        <v>#NAME?</v>
      </c>
    </row>
    <row r="6293" spans="1:14" x14ac:dyDescent="0.25">
      <c r="A6293" s="117">
        <v>522522</v>
      </c>
      <c r="B6293" s="78">
        <v>45804</v>
      </c>
      <c r="C6293" s="47" t="s">
        <v>9</v>
      </c>
      <c r="D6293" s="49" t="s">
        <v>253</v>
      </c>
      <c r="E6293" s="117">
        <v>698000</v>
      </c>
      <c r="G6293" s="50" t="s">
        <v>89</v>
      </c>
      <c r="H6293" s="51">
        <v>199.32</v>
      </c>
      <c r="J6293" s="51">
        <v>6.19</v>
      </c>
      <c r="K6293" s="74">
        <f>Tabela6[[#This Row],[CONSUMO]]*Tabela6[[#This Row],[VALOR UNIT]]-Tabela6[[#This Row],[DESCONTO]]</f>
        <v>1233.7908</v>
      </c>
      <c r="L6293" s="53">
        <f>Tabela6[[#This Row],[CUSTO TOTAL]]/Tabela6[[#This Row],[CONSUMO]]</f>
        <v>6.19</v>
      </c>
      <c r="M6293" s="53" t="e">
        <f t="array" ref="M6293">SE</f>
        <v>#NAME?</v>
      </c>
      <c r="N6293" s="118" t="e">
        <f>Tabela6[[#This Row],[KM Rodados ]]/Tabela6[[#This Row],[CONSUMO]]</f>
        <v>#NAME?</v>
      </c>
    </row>
    <row r="6294" spans="1:14" x14ac:dyDescent="0.25">
      <c r="A6294" s="117">
        <v>353866</v>
      </c>
      <c r="B6294" s="78">
        <v>45804</v>
      </c>
      <c r="C6294" s="47" t="s">
        <v>203</v>
      </c>
      <c r="D6294" s="49" t="s">
        <v>262</v>
      </c>
      <c r="E6294" s="117">
        <v>257145</v>
      </c>
      <c r="G6294" s="50" t="s">
        <v>244</v>
      </c>
      <c r="H6294" s="51">
        <v>38.729999999999997</v>
      </c>
      <c r="J6294" s="51">
        <v>5.99</v>
      </c>
      <c r="K6294" s="74">
        <f>Tabela6[[#This Row],[CONSUMO]]*Tabela6[[#This Row],[VALOR UNIT]]-Tabela6[[#This Row],[DESCONTO]]</f>
        <v>231.99269999999999</v>
      </c>
      <c r="L6294" s="53">
        <f>Tabela6[[#This Row],[CUSTO TOTAL]]/Tabela6[[#This Row],[CONSUMO]]</f>
        <v>5.99</v>
      </c>
      <c r="M6294" s="53" t="e">
        <f t="array" ref="M6294">SE</f>
        <v>#NAME?</v>
      </c>
      <c r="N6294" s="118" t="e">
        <f>Tabela6[[#This Row],[KM Rodados ]]/Tabela6[[#This Row],[CONSUMO]]</f>
        <v>#NAME?</v>
      </c>
    </row>
    <row r="6295" spans="1:14" x14ac:dyDescent="0.25">
      <c r="A6295" s="117">
        <v>353904</v>
      </c>
      <c r="B6295" s="78">
        <v>45804</v>
      </c>
      <c r="C6295" s="47" t="s">
        <v>74</v>
      </c>
      <c r="D6295" s="49" t="s">
        <v>262</v>
      </c>
      <c r="E6295" s="117">
        <v>196565</v>
      </c>
      <c r="G6295" s="50" t="s">
        <v>241</v>
      </c>
      <c r="H6295" s="51">
        <v>10.212</v>
      </c>
      <c r="J6295" s="51">
        <v>3.33</v>
      </c>
      <c r="K6295" s="74">
        <f>Tabela6[[#This Row],[CONSUMO]]*Tabela6[[#This Row],[VALOR UNIT]]-Tabela6[[#This Row],[DESCONTO]]</f>
        <v>34.005960000000002</v>
      </c>
      <c r="L6295" s="53">
        <f>Tabela6[[#This Row],[CUSTO TOTAL]]/Tabela6[[#This Row],[CONSUMO]]</f>
        <v>3.33</v>
      </c>
      <c r="M6295" s="53" t="e">
        <f t="array" ref="M6295">SE</f>
        <v>#NAME?</v>
      </c>
      <c r="N6295" s="118" t="e">
        <f>Tabela6[[#This Row],[KM Rodados ]]/Tabela6[[#This Row],[CONSUMO]]</f>
        <v>#NAME?</v>
      </c>
    </row>
    <row r="6296" spans="1:14" x14ac:dyDescent="0.25">
      <c r="A6296" s="117">
        <v>75371</v>
      </c>
      <c r="B6296" s="78">
        <v>45804</v>
      </c>
      <c r="C6296" s="47" t="s">
        <v>38</v>
      </c>
      <c r="D6296" s="49" t="s">
        <v>255</v>
      </c>
      <c r="E6296" s="117">
        <v>170161</v>
      </c>
      <c r="G6296" s="50" t="s">
        <v>244</v>
      </c>
      <c r="H6296" s="51">
        <v>49.15</v>
      </c>
      <c r="J6296" s="51">
        <v>6.37</v>
      </c>
      <c r="K6296" s="74">
        <f>Tabela6[[#This Row],[CONSUMO]]*Tabela6[[#This Row],[VALOR UNIT]]-Tabela6[[#This Row],[DESCONTO]]</f>
        <v>313.08550000000002</v>
      </c>
      <c r="L6296" s="53">
        <f>Tabela6[[#This Row],[CUSTO TOTAL]]/Tabela6[[#This Row],[CONSUMO]]</f>
        <v>6.370000000000001</v>
      </c>
      <c r="M6296" s="53" t="e">
        <f t="array" ref="M6296">SE</f>
        <v>#NAME?</v>
      </c>
      <c r="N6296" s="118" t="e">
        <f>Tabela6[[#This Row],[KM Rodados ]]/Tabela6[[#This Row],[CONSUMO]]</f>
        <v>#NAME?</v>
      </c>
    </row>
    <row r="6297" spans="1:14" x14ac:dyDescent="0.25">
      <c r="A6297" s="117">
        <v>156892</v>
      </c>
      <c r="B6297" s="78">
        <v>45804</v>
      </c>
      <c r="C6297" s="47" t="s">
        <v>43</v>
      </c>
      <c r="D6297" s="49" t="s">
        <v>233</v>
      </c>
      <c r="E6297" s="117">
        <v>250461</v>
      </c>
      <c r="G6297" s="50" t="s">
        <v>89</v>
      </c>
      <c r="H6297" s="51">
        <v>20.68</v>
      </c>
      <c r="J6297" s="51">
        <v>6.19</v>
      </c>
      <c r="K6297" s="74">
        <f>Tabela6[[#This Row],[CONSUMO]]*Tabela6[[#This Row],[VALOR UNIT]]-Tabela6[[#This Row],[DESCONTO]]</f>
        <v>128.00919999999999</v>
      </c>
      <c r="L6297" s="53">
        <f>Tabela6[[#This Row],[CUSTO TOTAL]]/Tabela6[[#This Row],[CONSUMO]]</f>
        <v>6.1899999999999995</v>
      </c>
      <c r="M6297" s="53" t="e">
        <f t="array" ref="M6297">SE</f>
        <v>#NAME?</v>
      </c>
      <c r="N6297" s="118" t="e">
        <f>Tabela6[[#This Row],[KM Rodados ]]/Tabela6[[#This Row],[CONSUMO]]</f>
        <v>#NAME?</v>
      </c>
    </row>
    <row r="6298" spans="1:14" x14ac:dyDescent="0.25">
      <c r="A6298" s="117">
        <v>2029</v>
      </c>
      <c r="B6298" s="78">
        <v>45804</v>
      </c>
      <c r="C6298" s="47" t="s">
        <v>15</v>
      </c>
      <c r="E6298" s="117">
        <v>493250</v>
      </c>
      <c r="G6298" s="50" t="s">
        <v>89</v>
      </c>
      <c r="H6298" s="51">
        <v>100</v>
      </c>
      <c r="J6298" s="51">
        <v>6.99</v>
      </c>
      <c r="K6298" s="74">
        <f>Tabela6[[#This Row],[CONSUMO]]*Tabela6[[#This Row],[VALOR UNIT]]-Tabela6[[#This Row],[DESCONTO]]</f>
        <v>699</v>
      </c>
      <c r="L6298" s="53">
        <f>Tabela6[[#This Row],[CUSTO TOTAL]]/Tabela6[[#This Row],[CONSUMO]]</f>
        <v>6.99</v>
      </c>
      <c r="M6298" s="53" t="e">
        <f t="array" ref="M6298">SE</f>
        <v>#NAME?</v>
      </c>
      <c r="N6298" s="118" t="e">
        <f>Tabela6[[#This Row],[KM Rodados ]]/Tabela6[[#This Row],[CONSUMO]]</f>
        <v>#NAME?</v>
      </c>
    </row>
    <row r="6299" spans="1:14" x14ac:dyDescent="0.25">
      <c r="A6299" s="117">
        <v>397366</v>
      </c>
      <c r="B6299" s="78">
        <v>45804</v>
      </c>
      <c r="C6299" s="47" t="s">
        <v>567</v>
      </c>
      <c r="D6299" s="49" t="s">
        <v>332</v>
      </c>
      <c r="E6299" s="117">
        <v>49160</v>
      </c>
      <c r="G6299" s="50" t="s">
        <v>89</v>
      </c>
      <c r="H6299" s="51">
        <v>485.00200000000001</v>
      </c>
      <c r="J6299" s="51">
        <v>5.59</v>
      </c>
      <c r="K6299" s="74">
        <f>Tabela6[[#This Row],[CONSUMO]]*Tabela6[[#This Row],[VALOR UNIT]]-Tabela6[[#This Row],[DESCONTO]]</f>
        <v>2711.1611800000001</v>
      </c>
      <c r="L6299" s="53">
        <f>Tabela6[[#This Row],[CUSTO TOTAL]]/Tabela6[[#This Row],[CONSUMO]]</f>
        <v>5.59</v>
      </c>
      <c r="M6299" s="53" t="e">
        <f t="array" ref="M6299">SE</f>
        <v>#NAME?</v>
      </c>
      <c r="N6299" s="118" t="e">
        <f>Tabela6[[#This Row],[KM Rodados ]]/Tabela6[[#This Row],[CONSUMO]]</f>
        <v>#NAME?</v>
      </c>
    </row>
    <row r="6300" spans="1:14" x14ac:dyDescent="0.25">
      <c r="A6300" s="117">
        <v>971025</v>
      </c>
      <c r="B6300" s="78">
        <v>45805</v>
      </c>
      <c r="C6300" s="47" t="s">
        <v>23</v>
      </c>
      <c r="D6300" s="49" t="s">
        <v>271</v>
      </c>
      <c r="E6300" s="117">
        <v>337032</v>
      </c>
      <c r="G6300" s="50" t="s">
        <v>89</v>
      </c>
      <c r="H6300" s="51">
        <v>117.20099999999999</v>
      </c>
      <c r="J6300" s="51">
        <v>5.79</v>
      </c>
      <c r="K6300" s="74">
        <f>Tabela6[[#This Row],[CONSUMO]]*Tabela6[[#This Row],[VALOR UNIT]]-Tabela6[[#This Row],[DESCONTO]]</f>
        <v>678.59379000000001</v>
      </c>
      <c r="L6300" s="53">
        <f>Tabela6[[#This Row],[CUSTO TOTAL]]/Tabela6[[#This Row],[CONSUMO]]</f>
        <v>5.79</v>
      </c>
      <c r="M6300" s="53" t="e">
        <f t="array" ref="M6300">SE</f>
        <v>#NAME?</v>
      </c>
      <c r="N6300" s="118" t="e">
        <f>Tabela6[[#This Row],[KM Rodados ]]/Tabela6[[#This Row],[CONSUMO]]</f>
        <v>#NAME?</v>
      </c>
    </row>
    <row r="6301" spans="1:14" x14ac:dyDescent="0.25">
      <c r="A6301" s="117">
        <v>523011</v>
      </c>
      <c r="B6301" s="78">
        <v>45805</v>
      </c>
      <c r="C6301" s="47" t="s">
        <v>20</v>
      </c>
      <c r="D6301" s="49" t="s">
        <v>253</v>
      </c>
      <c r="E6301" s="117">
        <v>352212</v>
      </c>
      <c r="G6301" s="50" t="s">
        <v>89</v>
      </c>
      <c r="H6301" s="51">
        <v>74.44</v>
      </c>
      <c r="J6301" s="51">
        <v>6.19</v>
      </c>
      <c r="K6301" s="74">
        <f>Tabela6[[#This Row],[CONSUMO]]*Tabela6[[#This Row],[VALOR UNIT]]-Tabela6[[#This Row],[DESCONTO]]</f>
        <v>460.78360000000004</v>
      </c>
      <c r="L6301" s="53">
        <f>Tabela6[[#This Row],[CUSTO TOTAL]]/Tabela6[[#This Row],[CONSUMO]]</f>
        <v>6.19</v>
      </c>
      <c r="M6301" s="53" t="e">
        <f t="array" ref="M6301">SE</f>
        <v>#NAME?</v>
      </c>
      <c r="N6301" s="118" t="e">
        <f>Tabela6[[#This Row],[KM Rodados ]]/Tabela6[[#This Row],[CONSUMO]]</f>
        <v>#NAME?</v>
      </c>
    </row>
    <row r="6302" spans="1:14" x14ac:dyDescent="0.25">
      <c r="A6302" s="117">
        <v>354027</v>
      </c>
      <c r="B6302" s="78">
        <v>45805</v>
      </c>
      <c r="C6302" s="47" t="s">
        <v>681</v>
      </c>
      <c r="D6302" s="49" t="s">
        <v>262</v>
      </c>
      <c r="E6302" s="117">
        <v>22744</v>
      </c>
      <c r="G6302" s="50" t="s">
        <v>241</v>
      </c>
      <c r="H6302" s="51">
        <v>28.004000000000001</v>
      </c>
      <c r="J6302" s="51">
        <v>3.33</v>
      </c>
      <c r="K6302" s="74">
        <f>Tabela6[[#This Row],[CONSUMO]]*Tabela6[[#This Row],[VALOR UNIT]]-Tabela6[[#This Row],[DESCONTO]]</f>
        <v>93.253320000000002</v>
      </c>
      <c r="L6302" s="53">
        <f>Tabela6[[#This Row],[CUSTO TOTAL]]/Tabela6[[#This Row],[CONSUMO]]</f>
        <v>3.33</v>
      </c>
      <c r="M6302" s="53" t="e">
        <f t="array" ref="M6302">SE</f>
        <v>#NAME?</v>
      </c>
      <c r="N6302" s="118" t="e">
        <f>Tabela6[[#This Row],[KM Rodados ]]/Tabela6[[#This Row],[CONSUMO]]</f>
        <v>#NAME?</v>
      </c>
    </row>
    <row r="6303" spans="1:14" x14ac:dyDescent="0.25">
      <c r="A6303" s="117">
        <v>163871</v>
      </c>
      <c r="B6303" s="78">
        <v>45805</v>
      </c>
      <c r="C6303" s="47" t="s">
        <v>43</v>
      </c>
      <c r="D6303" s="49" t="s">
        <v>233</v>
      </c>
      <c r="E6303" s="117">
        <v>250938</v>
      </c>
      <c r="G6303" s="50" t="s">
        <v>89</v>
      </c>
      <c r="H6303" s="51">
        <v>33.93</v>
      </c>
      <c r="J6303" s="51">
        <v>6.19</v>
      </c>
      <c r="K6303" s="74">
        <f>Tabela6[[#This Row],[CONSUMO]]*Tabela6[[#This Row],[VALOR UNIT]]-Tabela6[[#This Row],[DESCONTO]]</f>
        <v>210.02670000000001</v>
      </c>
      <c r="L6303" s="53">
        <f>Tabela6[[#This Row],[CUSTO TOTAL]]/Tabela6[[#This Row],[CONSUMO]]</f>
        <v>6.19</v>
      </c>
      <c r="M6303" s="53" t="e">
        <f t="array" ref="M6303">SE</f>
        <v>#NAME?</v>
      </c>
      <c r="N6303" s="118" t="e">
        <f>Tabela6[[#This Row],[KM Rodados ]]/Tabela6[[#This Row],[CONSUMO]]</f>
        <v>#NAME?</v>
      </c>
    </row>
    <row r="6304" spans="1:14" x14ac:dyDescent="0.25">
      <c r="A6304" s="117">
        <v>165178</v>
      </c>
      <c r="B6304" s="78">
        <v>45805</v>
      </c>
      <c r="C6304" s="47" t="s">
        <v>401</v>
      </c>
      <c r="D6304" s="49" t="s">
        <v>247</v>
      </c>
      <c r="E6304" s="117">
        <v>110260</v>
      </c>
      <c r="G6304" s="50" t="s">
        <v>89</v>
      </c>
      <c r="H6304" s="51">
        <v>84.89</v>
      </c>
      <c r="J6304" s="51">
        <v>5.89</v>
      </c>
      <c r="K6304" s="74">
        <f>Tabela6[[#This Row],[CONSUMO]]*Tabela6[[#This Row],[VALOR UNIT]]-Tabela6[[#This Row],[DESCONTO]]</f>
        <v>500.00209999999998</v>
      </c>
      <c r="L6304" s="53">
        <f>Tabela6[[#This Row],[CUSTO TOTAL]]/Tabela6[[#This Row],[CONSUMO]]</f>
        <v>5.89</v>
      </c>
      <c r="M6304" s="53" t="e">
        <f t="array" ref="M6304">SE</f>
        <v>#NAME?</v>
      </c>
      <c r="N6304" s="118" t="e">
        <f>Tabela6[[#This Row],[KM Rodados ]]/Tabela6[[#This Row],[CONSUMO]]</f>
        <v>#NAME?</v>
      </c>
    </row>
    <row r="6305" spans="1:14" x14ac:dyDescent="0.25">
      <c r="A6305" s="117">
        <v>165181</v>
      </c>
      <c r="B6305" s="78">
        <v>45805</v>
      </c>
      <c r="C6305" s="47" t="s">
        <v>401</v>
      </c>
      <c r="D6305" s="49" t="s">
        <v>247</v>
      </c>
      <c r="E6305" s="117">
        <v>110260</v>
      </c>
      <c r="G6305" s="50" t="s">
        <v>241</v>
      </c>
      <c r="H6305" s="51">
        <v>27</v>
      </c>
      <c r="J6305" s="51">
        <v>2.99</v>
      </c>
      <c r="K6305" s="74">
        <f>Tabela6[[#This Row],[CONSUMO]]*Tabela6[[#This Row],[VALOR UNIT]]-Tabela6[[#This Row],[DESCONTO]]</f>
        <v>80.73</v>
      </c>
      <c r="L6305" s="53">
        <f>Tabela6[[#This Row],[CUSTO TOTAL]]/Tabela6[[#This Row],[CONSUMO]]</f>
        <v>2.99</v>
      </c>
      <c r="M6305" s="53" t="e">
        <f t="array" ref="M6305">SE</f>
        <v>#NAME?</v>
      </c>
      <c r="N6305" s="118" t="e">
        <f>Tabela6[[#This Row],[KM Rodados ]]/Tabela6[[#This Row],[CONSUMO]]</f>
        <v>#NAME?</v>
      </c>
    </row>
    <row r="6306" spans="1:14" x14ac:dyDescent="0.25">
      <c r="A6306" s="117">
        <v>166403</v>
      </c>
      <c r="B6306" s="78">
        <v>45805</v>
      </c>
      <c r="C6306" s="47" t="s">
        <v>569</v>
      </c>
      <c r="D6306" s="49" t="s">
        <v>702</v>
      </c>
      <c r="E6306" s="117">
        <v>34280</v>
      </c>
      <c r="G6306" s="50" t="s">
        <v>241</v>
      </c>
      <c r="H6306" s="51">
        <v>31.71</v>
      </c>
      <c r="J6306" s="51">
        <v>2.59</v>
      </c>
      <c r="K6306" s="74">
        <f>Tabela6[[#This Row],[CONSUMO]]*Tabela6[[#This Row],[VALOR UNIT]]-Tabela6[[#This Row],[DESCONTO]]</f>
        <v>82.128900000000002</v>
      </c>
      <c r="L6306" s="53">
        <f>Tabela6[[#This Row],[CUSTO TOTAL]]/Tabela6[[#This Row],[CONSUMO]]</f>
        <v>2.59</v>
      </c>
      <c r="M6306" s="53" t="e">
        <f t="array" ref="M6306">SE</f>
        <v>#NAME?</v>
      </c>
      <c r="N6306" s="118" t="e">
        <f>Tabela6[[#This Row],[KM Rodados ]]/Tabela6[[#This Row],[CONSUMO]]</f>
        <v>#NAME?</v>
      </c>
    </row>
    <row r="6307" spans="1:14" x14ac:dyDescent="0.25">
      <c r="A6307" s="117" t="s">
        <v>722</v>
      </c>
      <c r="B6307" s="78">
        <v>45805</v>
      </c>
      <c r="C6307" s="47" t="s">
        <v>15</v>
      </c>
      <c r="D6307" s="49" t="s">
        <v>273</v>
      </c>
      <c r="E6307" s="117">
        <v>493844</v>
      </c>
      <c r="G6307" s="50" t="s">
        <v>89</v>
      </c>
      <c r="H6307" s="51">
        <v>135</v>
      </c>
      <c r="J6307" s="51">
        <v>5.72</v>
      </c>
      <c r="K6307" s="74">
        <f>Tabela6[[#This Row],[CONSUMO]]*Tabela6[[#This Row],[VALOR UNIT]]-Tabela6[[#This Row],[DESCONTO]]</f>
        <v>772.19999999999993</v>
      </c>
      <c r="L6307" s="53">
        <f>Tabela6[[#This Row],[CUSTO TOTAL]]/Tabela6[[#This Row],[CONSUMO]]</f>
        <v>5.72</v>
      </c>
      <c r="M6307" s="53" t="e">
        <f t="array" ref="M6307">SE</f>
        <v>#NAME?</v>
      </c>
      <c r="N6307" s="118" t="e">
        <f>Tabela6[[#This Row],[KM Rodados ]]/Tabela6[[#This Row],[CONSUMO]]</f>
        <v>#NAME?</v>
      </c>
    </row>
    <row r="6308" spans="1:14" x14ac:dyDescent="0.25">
      <c r="A6308" s="117">
        <v>374771</v>
      </c>
      <c r="B6308" s="78">
        <v>45805</v>
      </c>
      <c r="C6308" s="47" t="s">
        <v>15</v>
      </c>
      <c r="D6308" s="49" t="s">
        <v>273</v>
      </c>
      <c r="E6308" s="117">
        <v>493844</v>
      </c>
      <c r="G6308" s="50" t="s">
        <v>241</v>
      </c>
      <c r="H6308" s="51">
        <v>25.131</v>
      </c>
      <c r="J6308" s="51">
        <v>2.99</v>
      </c>
      <c r="K6308" s="74">
        <f>Tabela6[[#This Row],[CONSUMO]]*Tabela6[[#This Row],[VALOR UNIT]]-Tabela6[[#This Row],[DESCONTO]]</f>
        <v>75.141690000000011</v>
      </c>
      <c r="L6308" s="53">
        <f>Tabela6[[#This Row],[CUSTO TOTAL]]/Tabela6[[#This Row],[CONSUMO]]</f>
        <v>2.99</v>
      </c>
      <c r="M6308" s="53" t="e">
        <f t="array" ref="M6308">SE</f>
        <v>#NAME?</v>
      </c>
      <c r="N6308" s="118" t="e">
        <f>Tabela6[[#This Row],[KM Rodados ]]/Tabela6[[#This Row],[CONSUMO]]</f>
        <v>#NAME?</v>
      </c>
    </row>
    <row r="6309" spans="1:14" x14ac:dyDescent="0.25">
      <c r="A6309" s="117">
        <v>517003</v>
      </c>
      <c r="B6309" s="78">
        <v>45806</v>
      </c>
      <c r="C6309" s="47" t="s">
        <v>19</v>
      </c>
      <c r="D6309" s="49" t="s">
        <v>276</v>
      </c>
      <c r="E6309" s="117">
        <v>453666</v>
      </c>
      <c r="G6309" s="50" t="s">
        <v>89</v>
      </c>
      <c r="H6309" s="51">
        <v>188.68</v>
      </c>
      <c r="J6309" s="51">
        <v>6.09</v>
      </c>
      <c r="K6309" s="74">
        <f>Tabela6[[#This Row],[CONSUMO]]*Tabela6[[#This Row],[VALOR UNIT]]-Tabela6[[#This Row],[DESCONTO]]</f>
        <v>1149.0612000000001</v>
      </c>
      <c r="L6309" s="53">
        <f>Tabela6[[#This Row],[CUSTO TOTAL]]/Tabela6[[#This Row],[CONSUMO]]</f>
        <v>6.0900000000000007</v>
      </c>
      <c r="M6309" s="53" t="e">
        <f t="array" ref="M6309">SE</f>
        <v>#NAME?</v>
      </c>
      <c r="N6309" s="118" t="e">
        <f>Tabela6[[#This Row],[KM Rodados ]]/Tabela6[[#This Row],[CONSUMO]]</f>
        <v>#NAME?</v>
      </c>
    </row>
    <row r="6310" spans="1:14" x14ac:dyDescent="0.25">
      <c r="A6310" s="117">
        <v>517003</v>
      </c>
      <c r="B6310" s="78">
        <v>45806</v>
      </c>
      <c r="C6310" s="47" t="s">
        <v>19</v>
      </c>
      <c r="D6310" s="49" t="s">
        <v>276</v>
      </c>
      <c r="E6310" s="117">
        <v>453666</v>
      </c>
      <c r="G6310" s="50" t="s">
        <v>241</v>
      </c>
      <c r="H6310" s="51">
        <v>24.927</v>
      </c>
      <c r="J6310" s="51">
        <v>3.69</v>
      </c>
      <c r="K6310" s="74">
        <f>Tabela6[[#This Row],[CONSUMO]]*Tabela6[[#This Row],[VALOR UNIT]]-Tabela6[[#This Row],[DESCONTO]]</f>
        <v>91.980629999999991</v>
      </c>
      <c r="L6310" s="53">
        <f>Tabela6[[#This Row],[CUSTO TOTAL]]/Tabela6[[#This Row],[CONSUMO]]</f>
        <v>3.6899999999999995</v>
      </c>
      <c r="M6310" s="53" t="e">
        <f t="array" ref="M6310">SE</f>
        <v>#NAME?</v>
      </c>
      <c r="N6310" s="118" t="e">
        <f>Tabela6[[#This Row],[KM Rodados ]]/Tabela6[[#This Row],[CONSUMO]]</f>
        <v>#NAME?</v>
      </c>
    </row>
    <row r="6311" spans="1:14" x14ac:dyDescent="0.25">
      <c r="A6311" s="117">
        <v>76024</v>
      </c>
      <c r="B6311" s="78">
        <v>45806</v>
      </c>
      <c r="C6311" s="47" t="s">
        <v>16</v>
      </c>
      <c r="D6311" s="49" t="s">
        <v>255</v>
      </c>
      <c r="E6311" s="117">
        <v>338340</v>
      </c>
      <c r="G6311" s="50" t="s">
        <v>89</v>
      </c>
      <c r="H6311" s="51">
        <v>105.88</v>
      </c>
      <c r="J6311" s="51">
        <v>6.19</v>
      </c>
      <c r="K6311" s="74">
        <f>Tabela6[[#This Row],[CONSUMO]]*Tabela6[[#This Row],[VALOR UNIT]]-Tabela6[[#This Row],[DESCONTO]]</f>
        <v>655.3972</v>
      </c>
      <c r="L6311" s="53">
        <f>Tabela6[[#This Row],[CUSTO TOTAL]]/Tabela6[[#This Row],[CONSUMO]]</f>
        <v>6.19</v>
      </c>
      <c r="M6311" s="53" t="e">
        <f t="array" ref="M6311">SE</f>
        <v>#NAME?</v>
      </c>
      <c r="N6311" s="118" t="e">
        <f>Tabela6[[#This Row],[KM Rodados ]]/Tabela6[[#This Row],[CONSUMO]]</f>
        <v>#NAME?</v>
      </c>
    </row>
    <row r="6312" spans="1:14" x14ac:dyDescent="0.25">
      <c r="A6312" s="117">
        <v>169027</v>
      </c>
      <c r="B6312" s="78">
        <v>45806</v>
      </c>
      <c r="C6312" s="47" t="s">
        <v>315</v>
      </c>
      <c r="D6312" s="49" t="s">
        <v>275</v>
      </c>
      <c r="E6312" s="117">
        <v>169027</v>
      </c>
      <c r="G6312" s="50" t="s">
        <v>89</v>
      </c>
      <c r="H6312" s="51">
        <v>56.03</v>
      </c>
      <c r="J6312" s="51">
        <v>5.89</v>
      </c>
      <c r="K6312" s="74">
        <f>Tabela6[[#This Row],[CONSUMO]]*Tabela6[[#This Row],[VALOR UNIT]]-Tabela6[[#This Row],[DESCONTO]]</f>
        <v>330.01670000000001</v>
      </c>
      <c r="L6312" s="53">
        <f>Tabela6[[#This Row],[CUSTO TOTAL]]/Tabela6[[#This Row],[CONSUMO]]</f>
        <v>5.8900000000000006</v>
      </c>
      <c r="M6312" s="53" t="e">
        <f t="array" ref="M6312">SE</f>
        <v>#NAME?</v>
      </c>
      <c r="N6312" s="118" t="e">
        <f>Tabela6[[#This Row],[KM Rodados ]]/Tabela6[[#This Row],[CONSUMO]]</f>
        <v>#NAME?</v>
      </c>
    </row>
    <row r="6313" spans="1:14" x14ac:dyDescent="0.25">
      <c r="A6313" s="117">
        <v>170015</v>
      </c>
      <c r="B6313" s="78">
        <v>45806</v>
      </c>
      <c r="C6313" s="47" t="s">
        <v>203</v>
      </c>
      <c r="D6313" s="49" t="s">
        <v>256</v>
      </c>
      <c r="E6313" s="117">
        <v>220775</v>
      </c>
      <c r="G6313" s="50" t="s">
        <v>244</v>
      </c>
      <c r="H6313" s="51">
        <v>34.799999999999997</v>
      </c>
      <c r="J6313" s="51">
        <v>5.99</v>
      </c>
      <c r="K6313" s="74">
        <f>Tabela6[[#This Row],[CONSUMO]]*Tabela6[[#This Row],[VALOR UNIT]]-Tabela6[[#This Row],[DESCONTO]]</f>
        <v>208.452</v>
      </c>
      <c r="L6313" s="53">
        <f>Tabela6[[#This Row],[CUSTO TOTAL]]/Tabela6[[#This Row],[CONSUMO]]</f>
        <v>5.99</v>
      </c>
      <c r="M6313" s="53" t="e">
        <f t="array" ref="M6313">SE</f>
        <v>#NAME?</v>
      </c>
      <c r="N6313" s="118" t="e">
        <f>Tabela6[[#This Row],[KM Rodados ]]/Tabela6[[#This Row],[CONSUMO]]</f>
        <v>#NAME?</v>
      </c>
    </row>
    <row r="6314" spans="1:14" x14ac:dyDescent="0.25">
      <c r="A6314" s="117">
        <v>174671</v>
      </c>
      <c r="B6314" s="78">
        <v>45806</v>
      </c>
      <c r="C6314" s="47" t="s">
        <v>72</v>
      </c>
      <c r="D6314" s="49" t="s">
        <v>360</v>
      </c>
      <c r="E6314" s="117">
        <v>517019</v>
      </c>
      <c r="G6314" s="50" t="s">
        <v>89</v>
      </c>
      <c r="H6314" s="51">
        <v>40.4</v>
      </c>
      <c r="J6314" s="51">
        <v>6.19</v>
      </c>
      <c r="K6314" s="74">
        <f>Tabela6[[#This Row],[CONSUMO]]*Tabela6[[#This Row],[VALOR UNIT]]-Tabela6[[#This Row],[DESCONTO]]</f>
        <v>250.07599999999999</v>
      </c>
      <c r="L6314" s="53">
        <f>Tabela6[[#This Row],[CUSTO TOTAL]]/Tabela6[[#This Row],[CONSUMO]]</f>
        <v>6.19</v>
      </c>
      <c r="M6314" s="53" t="e">
        <f t="array" ref="M6314">SE</f>
        <v>#NAME?</v>
      </c>
      <c r="N6314" s="118" t="e">
        <f>Tabela6[[#This Row],[KM Rodados ]]/Tabela6[[#This Row],[CONSUMO]]</f>
        <v>#NAME?</v>
      </c>
    </row>
    <row r="6315" spans="1:14" x14ac:dyDescent="0.25">
      <c r="A6315" s="117" t="s">
        <v>723</v>
      </c>
      <c r="B6315" s="78">
        <v>45806</v>
      </c>
      <c r="C6315" s="47" t="s">
        <v>426</v>
      </c>
      <c r="D6315" s="49" t="s">
        <v>300</v>
      </c>
      <c r="E6315" s="117">
        <v>93910</v>
      </c>
      <c r="G6315" s="50" t="s">
        <v>89</v>
      </c>
      <c r="H6315" s="51">
        <v>101.831</v>
      </c>
      <c r="J6315" s="51">
        <v>5.79</v>
      </c>
      <c r="K6315" s="74">
        <f>Tabela6[[#This Row],[CONSUMO]]*Tabela6[[#This Row],[VALOR UNIT]]-Tabela6[[#This Row],[DESCONTO]]</f>
        <v>589.60149000000001</v>
      </c>
      <c r="L6315" s="53">
        <f>Tabela6[[#This Row],[CUSTO TOTAL]]/Tabela6[[#This Row],[CONSUMO]]</f>
        <v>5.79</v>
      </c>
      <c r="M6315" s="53" t="e">
        <f t="array" ref="M6315">SE</f>
        <v>#NAME?</v>
      </c>
      <c r="N6315" s="118" t="e">
        <f>Tabela6[[#This Row],[KM Rodados ]]/Tabela6[[#This Row],[CONSUMO]]</f>
        <v>#NAME?</v>
      </c>
    </row>
    <row r="6316" spans="1:14" x14ac:dyDescent="0.25">
      <c r="A6316" s="117">
        <v>18249</v>
      </c>
      <c r="B6316" s="78">
        <v>45806</v>
      </c>
      <c r="C6316" s="47" t="s">
        <v>426</v>
      </c>
      <c r="D6316" s="49" t="s">
        <v>300</v>
      </c>
      <c r="E6316" s="117">
        <v>93910</v>
      </c>
      <c r="G6316" s="50" t="s">
        <v>241</v>
      </c>
      <c r="H6316" s="51">
        <v>16.231000000000002</v>
      </c>
      <c r="J6316" s="51">
        <v>2.99</v>
      </c>
      <c r="K6316" s="74">
        <f>Tabela6[[#This Row],[CONSUMO]]*Tabela6[[#This Row],[VALOR UNIT]]-Tabela6[[#This Row],[DESCONTO]]</f>
        <v>48.530690000000007</v>
      </c>
      <c r="L6316" s="53">
        <f>Tabela6[[#This Row],[CUSTO TOTAL]]/Tabela6[[#This Row],[CONSUMO]]</f>
        <v>2.99</v>
      </c>
      <c r="M6316" s="53" t="e">
        <f t="array" ref="M6316">SE</f>
        <v>#NAME?</v>
      </c>
      <c r="N6316" s="118" t="e">
        <f>Tabela6[[#This Row],[KM Rodados ]]/Tabela6[[#This Row],[CONSUMO]]</f>
        <v>#NAME?</v>
      </c>
    </row>
    <row r="6317" spans="1:14" x14ac:dyDescent="0.25">
      <c r="A6317" s="117">
        <v>971994</v>
      </c>
      <c r="B6317" s="78">
        <v>45806</v>
      </c>
      <c r="C6317" s="47" t="s">
        <v>23</v>
      </c>
      <c r="D6317" s="49" t="s">
        <v>271</v>
      </c>
      <c r="E6317" s="117">
        <v>337550</v>
      </c>
      <c r="G6317" s="50" t="s">
        <v>89</v>
      </c>
      <c r="H6317" s="51">
        <v>112.721</v>
      </c>
      <c r="J6317" s="51">
        <v>5.79</v>
      </c>
      <c r="K6317" s="74">
        <f>Tabela6[[#This Row],[CONSUMO]]*Tabela6[[#This Row],[VALOR UNIT]]-Tabela6[[#This Row],[DESCONTO]]</f>
        <v>652.65458999999998</v>
      </c>
      <c r="L6317" s="53">
        <f>Tabela6[[#This Row],[CUSTO TOTAL]]/Tabela6[[#This Row],[CONSUMO]]</f>
        <v>5.79</v>
      </c>
      <c r="M6317" s="53" t="e">
        <f t="array" ref="M6317">SE</f>
        <v>#NAME?</v>
      </c>
      <c r="N6317" s="118" t="e">
        <f>Tabela6[[#This Row],[KM Rodados ]]/Tabela6[[#This Row],[CONSUMO]]</f>
        <v>#NAME?</v>
      </c>
    </row>
    <row r="6318" spans="1:14" x14ac:dyDescent="0.25">
      <c r="A6318" s="117" t="s">
        <v>724</v>
      </c>
      <c r="B6318" s="78">
        <v>45806</v>
      </c>
      <c r="C6318" s="47" t="s">
        <v>9</v>
      </c>
      <c r="D6318" s="49" t="s">
        <v>269</v>
      </c>
      <c r="E6318" s="117">
        <v>698632</v>
      </c>
      <c r="G6318" s="50" t="s">
        <v>89</v>
      </c>
      <c r="H6318" s="51">
        <v>180</v>
      </c>
      <c r="J6318" s="51">
        <v>5.79</v>
      </c>
      <c r="K6318" s="74">
        <f>Tabela6[[#This Row],[CONSUMO]]*Tabela6[[#This Row],[VALOR UNIT]]-Tabela6[[#This Row],[DESCONTO]]</f>
        <v>1042.2</v>
      </c>
      <c r="L6318" s="53">
        <f>Tabela6[[#This Row],[CUSTO TOTAL]]/Tabela6[[#This Row],[CONSUMO]]</f>
        <v>5.79</v>
      </c>
      <c r="M6318" s="53" t="e">
        <f t="array" ref="M6318">SE</f>
        <v>#NAME?</v>
      </c>
      <c r="N6318" s="118" t="e">
        <f>Tabela6[[#This Row],[KM Rodados ]]/Tabela6[[#This Row],[CONSUMO]]</f>
        <v>#NAME?</v>
      </c>
    </row>
    <row r="6319" spans="1:14" x14ac:dyDescent="0.25">
      <c r="A6319" s="117">
        <v>179216</v>
      </c>
      <c r="B6319" s="78">
        <v>45807</v>
      </c>
      <c r="C6319" s="47" t="s">
        <v>43</v>
      </c>
      <c r="D6319" s="49" t="s">
        <v>233</v>
      </c>
      <c r="E6319" s="117">
        <v>251467</v>
      </c>
      <c r="G6319" s="50" t="s">
        <v>89</v>
      </c>
      <c r="H6319" s="51">
        <v>39.15</v>
      </c>
      <c r="J6319" s="51">
        <v>6.19</v>
      </c>
      <c r="K6319" s="74">
        <f>Tabela6[[#This Row],[CONSUMO]]*Tabela6[[#This Row],[VALOR UNIT]]-Tabela6[[#This Row],[DESCONTO]]</f>
        <v>242.33850000000001</v>
      </c>
      <c r="L6319" s="53">
        <f>Tabela6[[#This Row],[CUSTO TOTAL]]/Tabela6[[#This Row],[CONSUMO]]</f>
        <v>6.19</v>
      </c>
      <c r="M6319" s="53" t="e">
        <f t="array" ref="M6319">SE</f>
        <v>#NAME?</v>
      </c>
      <c r="N6319" s="118" t="e">
        <f>Tabela6[[#This Row],[KM Rodados ]]/Tabela6[[#This Row],[CONSUMO]]</f>
        <v>#NAME?</v>
      </c>
    </row>
    <row r="6320" spans="1:14" x14ac:dyDescent="0.25">
      <c r="A6320" s="117">
        <v>423</v>
      </c>
      <c r="B6320" s="78">
        <v>45807</v>
      </c>
      <c r="C6320" s="47" t="s">
        <v>13</v>
      </c>
      <c r="E6320" s="117">
        <v>746659</v>
      </c>
      <c r="G6320" s="50" t="s">
        <v>89</v>
      </c>
      <c r="H6320" s="51">
        <v>112.22</v>
      </c>
      <c r="J6320" s="51">
        <v>5.75</v>
      </c>
      <c r="K6320" s="74">
        <f>Tabela6[[#This Row],[CONSUMO]]*Tabela6[[#This Row],[VALOR UNIT]]-Tabela6[[#This Row],[DESCONTO]]</f>
        <v>645.26499999999999</v>
      </c>
      <c r="L6320" s="53">
        <f>Tabela6[[#This Row],[CUSTO TOTAL]]/Tabela6[[#This Row],[CONSUMO]]</f>
        <v>5.75</v>
      </c>
      <c r="M6320" s="53" t="e">
        <f t="array" ref="M6320">SE</f>
        <v>#NAME?</v>
      </c>
      <c r="N6320" s="118" t="e">
        <f>Tabela6[[#This Row],[KM Rodados ]]/Tabela6[[#This Row],[CONSUMO]]</f>
        <v>#NAME?</v>
      </c>
    </row>
    <row r="6321" spans="1:14" x14ac:dyDescent="0.25">
      <c r="A6321" s="117">
        <v>354480</v>
      </c>
      <c r="B6321" s="78">
        <v>45807</v>
      </c>
      <c r="C6321" s="47" t="s">
        <v>222</v>
      </c>
      <c r="D6321" s="49" t="s">
        <v>262</v>
      </c>
      <c r="E6321" s="117">
        <v>675539</v>
      </c>
      <c r="G6321" s="50" t="s">
        <v>241</v>
      </c>
      <c r="H6321" s="51">
        <v>40.872</v>
      </c>
      <c r="J6321" s="51">
        <v>3.33</v>
      </c>
      <c r="K6321" s="74">
        <f>Tabela6[[#This Row],[CONSUMO]]*Tabela6[[#This Row],[VALOR UNIT]]-Tabela6[[#This Row],[DESCONTO]]</f>
        <v>136.10375999999999</v>
      </c>
      <c r="L6321" s="53">
        <f>Tabela6[[#This Row],[CUSTO TOTAL]]/Tabela6[[#This Row],[CONSUMO]]</f>
        <v>3.33</v>
      </c>
      <c r="M6321" s="53" t="e">
        <f t="array" ref="M6321">SE</f>
        <v>#NAME?</v>
      </c>
      <c r="N6321" s="118" t="e">
        <f>Tabela6[[#This Row],[KM Rodados ]]/Tabela6[[#This Row],[CONSUMO]]</f>
        <v>#NAME?</v>
      </c>
    </row>
    <row r="6322" spans="1:14" x14ac:dyDescent="0.25">
      <c r="A6322" s="117">
        <v>354428</v>
      </c>
      <c r="B6322" s="78">
        <v>45807</v>
      </c>
      <c r="C6322" s="47" t="s">
        <v>74</v>
      </c>
      <c r="D6322" s="49" t="s">
        <v>262</v>
      </c>
      <c r="E6322" s="117">
        <v>197104</v>
      </c>
      <c r="G6322" s="50" t="s">
        <v>89</v>
      </c>
      <c r="H6322" s="51">
        <v>83.9</v>
      </c>
      <c r="J6322" s="51">
        <v>5.89</v>
      </c>
      <c r="K6322" s="74">
        <f>Tabela6[[#This Row],[CONSUMO]]*Tabela6[[#This Row],[VALOR UNIT]]-Tabela6[[#This Row],[DESCONTO]]</f>
        <v>494.17099999999999</v>
      </c>
      <c r="L6322" s="53">
        <f>Tabela6[[#This Row],[CUSTO TOTAL]]/Tabela6[[#This Row],[CONSUMO]]</f>
        <v>5.89</v>
      </c>
      <c r="M6322" s="53" t="e">
        <f t="array" ref="M6322">SE</f>
        <v>#NAME?</v>
      </c>
      <c r="N6322" s="118" t="e">
        <f>Tabela6[[#This Row],[KM Rodados ]]/Tabela6[[#This Row],[CONSUMO]]</f>
        <v>#NAME?</v>
      </c>
    </row>
    <row r="6323" spans="1:14" x14ac:dyDescent="0.25">
      <c r="A6323" s="117">
        <v>524753</v>
      </c>
      <c r="B6323" s="78">
        <v>45807</v>
      </c>
      <c r="C6323" s="47" t="s">
        <v>11</v>
      </c>
      <c r="D6323" s="49" t="s">
        <v>253</v>
      </c>
      <c r="E6323" s="117">
        <v>436615</v>
      </c>
      <c r="G6323" s="50" t="s">
        <v>89</v>
      </c>
      <c r="H6323" s="51">
        <v>117.69</v>
      </c>
      <c r="J6323" s="51">
        <v>6.19</v>
      </c>
      <c r="K6323" s="74">
        <f>Tabela6[[#This Row],[CONSUMO]]*Tabela6[[#This Row],[VALOR UNIT]]-Tabela6[[#This Row],[DESCONTO]]</f>
        <v>728.50110000000006</v>
      </c>
      <c r="L6323" s="53">
        <f>Tabela6[[#This Row],[CUSTO TOTAL]]/Tabela6[[#This Row],[CONSUMO]]</f>
        <v>6.19</v>
      </c>
      <c r="M6323" s="53" t="e">
        <f t="array" ref="M6323">SE</f>
        <v>#NAME?</v>
      </c>
      <c r="N6323" s="118" t="e">
        <f>Tabela6[[#This Row],[KM Rodados ]]/Tabela6[[#This Row],[CONSUMO]]</f>
        <v>#NAME?</v>
      </c>
    </row>
    <row r="6324" spans="1:14" x14ac:dyDescent="0.25">
      <c r="A6324" s="117">
        <v>525019</v>
      </c>
      <c r="B6324" s="78">
        <v>45807</v>
      </c>
      <c r="C6324" s="47" t="s">
        <v>39</v>
      </c>
      <c r="D6324" s="49" t="s">
        <v>253</v>
      </c>
      <c r="E6324" s="117">
        <v>146587</v>
      </c>
      <c r="G6324" s="50" t="s">
        <v>89</v>
      </c>
      <c r="H6324" s="51">
        <v>94.23</v>
      </c>
      <c r="J6324" s="51">
        <v>6.19</v>
      </c>
      <c r="K6324" s="74">
        <f>Tabela6[[#This Row],[CONSUMO]]*Tabela6[[#This Row],[VALOR UNIT]]-Tabela6[[#This Row],[DESCONTO]]</f>
        <v>583.28370000000007</v>
      </c>
      <c r="L6324" s="53">
        <f>Tabela6[[#This Row],[CUSTO TOTAL]]/Tabela6[[#This Row],[CONSUMO]]</f>
        <v>6.19</v>
      </c>
      <c r="M6324" s="53" t="e">
        <f t="array" ref="M6324">SE</f>
        <v>#NAME?</v>
      </c>
      <c r="N6324" s="118" t="e">
        <f>Tabela6[[#This Row],[KM Rodados ]]/Tabela6[[#This Row],[CONSUMO]]</f>
        <v>#NAME?</v>
      </c>
    </row>
    <row r="6325" spans="1:14" x14ac:dyDescent="0.25">
      <c r="A6325" s="117">
        <v>76137</v>
      </c>
      <c r="B6325" s="78">
        <v>45807</v>
      </c>
      <c r="C6325" s="47" t="s">
        <v>18</v>
      </c>
      <c r="D6325" s="49" t="s">
        <v>255</v>
      </c>
      <c r="E6325" s="117">
        <v>405251</v>
      </c>
      <c r="G6325" s="50" t="s">
        <v>89</v>
      </c>
      <c r="H6325" s="51">
        <v>88.88</v>
      </c>
      <c r="J6325" s="51">
        <v>6.19</v>
      </c>
      <c r="K6325" s="74">
        <f>Tabela6[[#This Row],[CONSUMO]]*Tabela6[[#This Row],[VALOR UNIT]]-Tabela6[[#This Row],[DESCONTO]]</f>
        <v>550.16719999999998</v>
      </c>
      <c r="L6325" s="53">
        <f>Tabela6[[#This Row],[CUSTO TOTAL]]/Tabela6[[#This Row],[CONSUMO]]</f>
        <v>6.19</v>
      </c>
      <c r="M6325" s="53" t="e">
        <f t="array" ref="M6325">SE</f>
        <v>#NAME?</v>
      </c>
      <c r="N6325" s="118" t="e">
        <f>Tabela6[[#This Row],[KM Rodados ]]/Tabela6[[#This Row],[CONSUMO]]</f>
        <v>#NAME?</v>
      </c>
    </row>
    <row r="6326" spans="1:14" x14ac:dyDescent="0.25">
      <c r="A6326" s="117">
        <v>76217</v>
      </c>
      <c r="B6326" s="78">
        <v>45807</v>
      </c>
      <c r="C6326" s="47" t="s">
        <v>38</v>
      </c>
      <c r="D6326" s="49" t="s">
        <v>255</v>
      </c>
      <c r="E6326" s="117">
        <v>170780</v>
      </c>
      <c r="G6326" s="50" t="s">
        <v>244</v>
      </c>
      <c r="H6326" s="51">
        <v>53.04</v>
      </c>
      <c r="J6326" s="51">
        <v>6.37</v>
      </c>
      <c r="K6326" s="74">
        <f>Tabela6[[#This Row],[CONSUMO]]*Tabela6[[#This Row],[VALOR UNIT]]-Tabela6[[#This Row],[DESCONTO]]</f>
        <v>337.8648</v>
      </c>
      <c r="L6326" s="53">
        <f>Tabela6[[#This Row],[CUSTO TOTAL]]/Tabela6[[#This Row],[CONSUMO]]</f>
        <v>6.37</v>
      </c>
      <c r="M6326" s="53" t="e">
        <f t="array" ref="M6326">SE</f>
        <v>#NAME?</v>
      </c>
      <c r="N6326" s="118" t="e">
        <f>Tabela6[[#This Row],[KM Rodados ]]/Tabela6[[#This Row],[CONSUMO]]</f>
        <v>#NAME?</v>
      </c>
    </row>
    <row r="6327" spans="1:14" x14ac:dyDescent="0.25">
      <c r="A6327" s="117">
        <v>183804</v>
      </c>
      <c r="B6327" s="78">
        <v>45807</v>
      </c>
      <c r="C6327" s="47" t="s">
        <v>72</v>
      </c>
      <c r="D6327" s="49" t="s">
        <v>300</v>
      </c>
      <c r="E6327" s="117">
        <v>517625</v>
      </c>
      <c r="G6327" s="50" t="s">
        <v>89</v>
      </c>
      <c r="H6327" s="51">
        <v>43.8</v>
      </c>
      <c r="J6327" s="51">
        <v>5.79</v>
      </c>
      <c r="K6327" s="74">
        <f>Tabela6[[#This Row],[CONSUMO]]*Tabela6[[#This Row],[VALOR UNIT]]-Tabela6[[#This Row],[DESCONTO]]</f>
        <v>253.60199999999998</v>
      </c>
      <c r="L6327" s="53">
        <f>Tabela6[[#This Row],[CUSTO TOTAL]]/Tabela6[[#This Row],[CONSUMO]]</f>
        <v>5.79</v>
      </c>
      <c r="M6327" s="53" t="e">
        <f t="array" ref="M6327">SE</f>
        <v>#NAME?</v>
      </c>
      <c r="N6327" s="118" t="e">
        <f>Tabela6[[#This Row],[KM Rodados ]]/Tabela6[[#This Row],[CONSUMO]]</f>
        <v>#NAME?</v>
      </c>
    </row>
    <row r="6328" spans="1:14" x14ac:dyDescent="0.25">
      <c r="A6328" s="117">
        <v>1744</v>
      </c>
      <c r="B6328" s="78">
        <v>45807</v>
      </c>
      <c r="C6328" s="47" t="s">
        <v>13</v>
      </c>
      <c r="D6328" s="49" t="s">
        <v>519</v>
      </c>
      <c r="E6328" s="117">
        <v>746659</v>
      </c>
      <c r="G6328" s="50" t="s">
        <v>89</v>
      </c>
      <c r="H6328" s="51">
        <v>112.22</v>
      </c>
      <c r="J6328" s="51">
        <v>5.75</v>
      </c>
      <c r="K6328" s="74">
        <f>Tabela6[[#This Row],[CONSUMO]]*Tabela6[[#This Row],[VALOR UNIT]]-Tabela6[[#This Row],[DESCONTO]]</f>
        <v>645.26499999999999</v>
      </c>
      <c r="L6328" s="53">
        <f>Tabela6[[#This Row],[CUSTO TOTAL]]/Tabela6[[#This Row],[CONSUMO]]</f>
        <v>5.75</v>
      </c>
      <c r="M6328" s="53" t="e">
        <f t="array" ref="M6328">SE</f>
        <v>#NAME?</v>
      </c>
      <c r="N6328" s="118" t="e">
        <f>Tabela6[[#This Row],[KM Rodados ]]/Tabela6[[#This Row],[CONSUMO]]</f>
        <v>#NAME?</v>
      </c>
    </row>
    <row r="6329" spans="1:14" x14ac:dyDescent="0.25">
      <c r="A6329" s="117">
        <v>760842</v>
      </c>
      <c r="B6329" s="78">
        <v>45807</v>
      </c>
      <c r="C6329" s="47" t="s">
        <v>206</v>
      </c>
      <c r="D6329" s="49" t="s">
        <v>259</v>
      </c>
      <c r="E6329" s="117">
        <v>1088886</v>
      </c>
      <c r="G6329" s="50" t="s">
        <v>241</v>
      </c>
      <c r="H6329" s="51">
        <v>34.6</v>
      </c>
      <c r="J6329" s="51">
        <v>2.99</v>
      </c>
      <c r="K6329" s="74">
        <f>Tabela6[[#This Row],[CONSUMO]]*Tabela6[[#This Row],[VALOR UNIT]]-Tabela6[[#This Row],[DESCONTO]]</f>
        <v>103.45400000000001</v>
      </c>
      <c r="L6329" s="53">
        <f>Tabela6[[#This Row],[CUSTO TOTAL]]/Tabela6[[#This Row],[CONSUMO]]</f>
        <v>2.99</v>
      </c>
      <c r="M6329" s="53" t="e">
        <f t="array" ref="M6329">SE</f>
        <v>#NAME?</v>
      </c>
      <c r="N6329" s="118" t="e">
        <f>Tabela6[[#This Row],[KM Rodados ]]/Tabela6[[#This Row],[CONSUMO]]</f>
        <v>#NAME?</v>
      </c>
    </row>
    <row r="6330" spans="1:14" x14ac:dyDescent="0.25">
      <c r="A6330" s="117">
        <v>760842</v>
      </c>
      <c r="B6330" s="78">
        <v>45807</v>
      </c>
      <c r="C6330" s="47" t="s">
        <v>206</v>
      </c>
      <c r="D6330" s="49" t="s">
        <v>259</v>
      </c>
      <c r="E6330" s="117">
        <v>1088886</v>
      </c>
      <c r="G6330" s="50" t="s">
        <v>89</v>
      </c>
      <c r="H6330" s="51">
        <v>264.95100000000002</v>
      </c>
      <c r="J6330" s="51">
        <v>5.67</v>
      </c>
      <c r="K6330" s="74">
        <f>Tabela6[[#This Row],[CONSUMO]]*Tabela6[[#This Row],[VALOR UNIT]]-Tabela6[[#This Row],[DESCONTO]]</f>
        <v>1502.2721700000002</v>
      </c>
      <c r="L6330" s="53">
        <f>Tabela6[[#This Row],[CUSTO TOTAL]]/Tabela6[[#This Row],[CONSUMO]]</f>
        <v>5.67</v>
      </c>
      <c r="M6330" s="53" t="e">
        <f t="array" ref="M6330">SE</f>
        <v>#NAME?</v>
      </c>
      <c r="N6330" s="118" t="e">
        <f>Tabela6[[#This Row],[KM Rodados ]]/Tabela6[[#This Row],[CONSUMO]]</f>
        <v>#NAME?</v>
      </c>
    </row>
    <row r="6331" spans="1:14" x14ac:dyDescent="0.25">
      <c r="A6331" s="117">
        <v>247322</v>
      </c>
      <c r="B6331" s="78">
        <v>45807</v>
      </c>
      <c r="C6331" s="47" t="s">
        <v>358</v>
      </c>
      <c r="D6331" s="49" t="s">
        <v>451</v>
      </c>
      <c r="E6331" s="117">
        <v>920820</v>
      </c>
      <c r="G6331" s="50" t="s">
        <v>89</v>
      </c>
      <c r="H6331" s="51">
        <v>320</v>
      </c>
      <c r="J6331" s="51">
        <v>5.67</v>
      </c>
      <c r="K6331" s="74">
        <f>Tabela6[[#This Row],[CONSUMO]]*Tabela6[[#This Row],[VALOR UNIT]]-Tabela6[[#This Row],[DESCONTO]]</f>
        <v>1814.4</v>
      </c>
      <c r="L6331" s="53">
        <f>Tabela6[[#This Row],[CUSTO TOTAL]]/Tabela6[[#This Row],[CONSUMO]]</f>
        <v>5.67</v>
      </c>
      <c r="M6331" s="53" t="e">
        <f t="array" ref="M6331">SE</f>
        <v>#NAME?</v>
      </c>
      <c r="N6331" s="118" t="e">
        <f>Tabela6[[#This Row],[KM Rodados ]]/Tabela6[[#This Row],[CONSUMO]]</f>
        <v>#NAME?</v>
      </c>
    </row>
    <row r="6332" spans="1:14" x14ac:dyDescent="0.25">
      <c r="A6332" s="117">
        <v>468002</v>
      </c>
      <c r="B6332" s="78">
        <v>45807</v>
      </c>
      <c r="C6332" s="47" t="s">
        <v>43</v>
      </c>
      <c r="D6332" s="49" t="s">
        <v>270</v>
      </c>
      <c r="E6332" s="117">
        <v>251760</v>
      </c>
      <c r="G6332" s="50" t="s">
        <v>89</v>
      </c>
      <c r="H6332" s="51">
        <v>38.021000000000001</v>
      </c>
      <c r="J6332" s="51">
        <v>5.79</v>
      </c>
      <c r="K6332" s="74">
        <f>Tabela6[[#This Row],[CONSUMO]]*Tabela6[[#This Row],[VALOR UNIT]]-Tabela6[[#This Row],[DESCONTO]]</f>
        <v>220.14159000000001</v>
      </c>
      <c r="L6332" s="53">
        <f>Tabela6[[#This Row],[CUSTO TOTAL]]/Tabela6[[#This Row],[CONSUMO]]</f>
        <v>5.79</v>
      </c>
      <c r="M6332" s="53" t="e">
        <f t="array" ref="M6332">SE</f>
        <v>#NAME?</v>
      </c>
      <c r="N6332" s="118" t="e">
        <f>Tabela6[[#This Row],[KM Rodados ]]/Tabela6[[#This Row],[CONSUMO]]</f>
        <v>#NAME?</v>
      </c>
    </row>
    <row r="6333" spans="1:14" x14ac:dyDescent="0.25">
      <c r="A6333" s="117">
        <v>223610</v>
      </c>
      <c r="B6333" s="78">
        <v>45809</v>
      </c>
      <c r="C6333" s="47" t="s">
        <v>567</v>
      </c>
      <c r="D6333" s="49" t="s">
        <v>404</v>
      </c>
      <c r="E6333" s="117">
        <v>82420</v>
      </c>
      <c r="G6333" s="50" t="s">
        <v>89</v>
      </c>
      <c r="H6333" s="51">
        <v>710</v>
      </c>
      <c r="J6333" s="51">
        <v>5.69</v>
      </c>
      <c r="K6333" s="74">
        <f>Tabela6[[#This Row],[CONSUMO]]*Tabela6[[#This Row],[VALOR UNIT]]-Tabela6[[#This Row],[DESCONTO]]</f>
        <v>4039.9</v>
      </c>
      <c r="L6333" s="53">
        <f>Tabela6[[#This Row],[CUSTO TOTAL]]/Tabela6[[#This Row],[CONSUMO]]</f>
        <v>5.69</v>
      </c>
      <c r="M6333" s="53" t="e">
        <f t="array" ref="M6333">SE</f>
        <v>#NAME?</v>
      </c>
      <c r="N6333" s="118" t="e">
        <f>Tabela6[[#This Row],[KM Rodados ]]/Tabela6[[#This Row],[CONSUMO]]</f>
        <v>#NAME?</v>
      </c>
    </row>
    <row r="6334" spans="1:14" x14ac:dyDescent="0.25">
      <c r="A6334" s="117" t="s">
        <v>728</v>
      </c>
      <c r="B6334" s="78">
        <v>45810</v>
      </c>
      <c r="C6334" s="47" t="s">
        <v>15</v>
      </c>
      <c r="D6334" s="49" t="s">
        <v>270</v>
      </c>
      <c r="E6334" s="117">
        <v>494746</v>
      </c>
      <c r="G6334" s="50" t="s">
        <v>89</v>
      </c>
      <c r="H6334" s="51">
        <v>107</v>
      </c>
      <c r="J6334" s="51">
        <v>5.79</v>
      </c>
      <c r="K6334" s="74">
        <f>Tabela6[[#This Row],[CONSUMO]]*Tabela6[[#This Row],[VALOR UNIT]]-Tabela6[[#This Row],[DESCONTO]]</f>
        <v>619.53</v>
      </c>
      <c r="L6334" s="53">
        <f>Tabela6[[#This Row],[CUSTO TOTAL]]/Tabela6[[#This Row],[CONSUMO]]</f>
        <v>5.79</v>
      </c>
      <c r="M6334" s="53" t="e">
        <f t="array" ref="M6334">SE</f>
        <v>#NAME?</v>
      </c>
      <c r="N6334" s="118" t="e">
        <f>Tabela6[[#This Row],[KM Rodados ]]/Tabela6[[#This Row],[CONSUMO]]</f>
        <v>#NAME?</v>
      </c>
    </row>
    <row r="6335" spans="1:14" x14ac:dyDescent="0.25">
      <c r="A6335" s="117">
        <v>20492</v>
      </c>
      <c r="B6335" s="78">
        <v>45810</v>
      </c>
      <c r="C6335" s="47" t="s">
        <v>9</v>
      </c>
      <c r="D6335" s="49" t="s">
        <v>300</v>
      </c>
      <c r="E6335" s="117">
        <v>699157</v>
      </c>
      <c r="G6335" s="50" t="s">
        <v>89</v>
      </c>
      <c r="H6335" s="51">
        <v>156.52000000000001</v>
      </c>
      <c r="J6335" s="51">
        <v>5.79</v>
      </c>
      <c r="K6335" s="74">
        <f>Tabela6[[#This Row],[CONSUMO]]*Tabela6[[#This Row],[VALOR UNIT]]-Tabela6[[#This Row],[DESCONTO]]</f>
        <v>906.25080000000003</v>
      </c>
      <c r="L6335" s="53">
        <f>Tabela6[[#This Row],[CUSTO TOTAL]]/Tabela6[[#This Row],[CONSUMO]]</f>
        <v>5.79</v>
      </c>
      <c r="M6335" s="53" t="e">
        <f t="array" ref="M6335">SE</f>
        <v>#NAME?</v>
      </c>
      <c r="N6335" s="118" t="e">
        <f>Tabela6[[#This Row],[KM Rodados ]]/Tabela6[[#This Row],[CONSUMO]]</f>
        <v>#NAME?</v>
      </c>
    </row>
    <row r="6336" spans="1:14" x14ac:dyDescent="0.25">
      <c r="A6336" s="117">
        <v>6324</v>
      </c>
      <c r="B6336" s="78">
        <v>45810</v>
      </c>
      <c r="C6336" s="47" t="s">
        <v>564</v>
      </c>
      <c r="D6336" s="49" t="s">
        <v>613</v>
      </c>
      <c r="E6336" s="117">
        <v>87742</v>
      </c>
      <c r="G6336" s="50" t="s">
        <v>89</v>
      </c>
      <c r="H6336" s="51">
        <v>310.41000000000003</v>
      </c>
      <c r="J6336" s="51">
        <v>5.49</v>
      </c>
      <c r="K6336" s="74">
        <f>Tabela6[[#This Row],[CONSUMO]]*Tabela6[[#This Row],[VALOR UNIT]]-Tabela6[[#This Row],[DESCONTO]]</f>
        <v>1704.1509000000001</v>
      </c>
      <c r="L6336" s="53">
        <f>Tabela6[[#This Row],[CUSTO TOTAL]]/Tabela6[[#This Row],[CONSUMO]]</f>
        <v>5.49</v>
      </c>
      <c r="M6336" s="53" t="e">
        <f t="array" ref="M6336">SE</f>
        <v>#NAME?</v>
      </c>
      <c r="N6336" s="118" t="e">
        <f>Tabela6[[#This Row],[KM Rodados ]]/Tabela6[[#This Row],[CONSUMO]]</f>
        <v>#NAME?</v>
      </c>
    </row>
    <row r="6337" spans="1:14" x14ac:dyDescent="0.25">
      <c r="A6337" s="117">
        <v>76978</v>
      </c>
      <c r="B6337" s="78">
        <v>45810</v>
      </c>
      <c r="C6337" s="47" t="s">
        <v>23</v>
      </c>
      <c r="D6337" s="49" t="s">
        <v>255</v>
      </c>
      <c r="E6337" s="117">
        <v>337957</v>
      </c>
      <c r="G6337" s="50" t="s">
        <v>89</v>
      </c>
      <c r="H6337" s="51">
        <v>88.27</v>
      </c>
      <c r="J6337" s="51">
        <v>6.49</v>
      </c>
      <c r="K6337" s="74">
        <f>Tabela6[[#This Row],[CONSUMO]]*Tabela6[[#This Row],[VALOR UNIT]]-Tabela6[[#This Row],[DESCONTO]]</f>
        <v>572.8723</v>
      </c>
      <c r="L6337" s="53">
        <f>Tabela6[[#This Row],[CUSTO TOTAL]]/Tabela6[[#This Row],[CONSUMO]]</f>
        <v>6.49</v>
      </c>
      <c r="M6337" s="53" t="e">
        <f t="array" ref="M6337">SE</f>
        <v>#NAME?</v>
      </c>
      <c r="N6337" s="118" t="e">
        <f>Tabela6[[#This Row],[KM Rodados ]]/Tabela6[[#This Row],[CONSUMO]]</f>
        <v>#NAME?</v>
      </c>
    </row>
    <row r="6338" spans="1:14" x14ac:dyDescent="0.25">
      <c r="A6338" s="117">
        <v>526903</v>
      </c>
      <c r="B6338" s="78">
        <v>45810</v>
      </c>
      <c r="C6338" s="47" t="s">
        <v>20</v>
      </c>
      <c r="D6338" s="49" t="s">
        <v>253</v>
      </c>
      <c r="E6338" s="117">
        <v>352798</v>
      </c>
      <c r="G6338" s="50" t="s">
        <v>89</v>
      </c>
      <c r="H6338" s="51">
        <v>76.52</v>
      </c>
      <c r="J6338" s="51">
        <v>6.19</v>
      </c>
      <c r="K6338" s="74">
        <f>Tabela6[[#This Row],[CONSUMO]]*Tabela6[[#This Row],[VALOR UNIT]]-Tabela6[[#This Row],[DESCONTO]]</f>
        <v>473.65879999999999</v>
      </c>
      <c r="L6338" s="53">
        <f>Tabela6[[#This Row],[CUSTO TOTAL]]/Tabela6[[#This Row],[CONSUMO]]</f>
        <v>6.19</v>
      </c>
      <c r="M6338" s="53" t="e">
        <f t="array" ref="M6338">SE</f>
        <v>#NAME?</v>
      </c>
      <c r="N6338" s="118" t="e">
        <f>Tabela6[[#This Row],[KM Rodados ]]/Tabela6[[#This Row],[CONSUMO]]</f>
        <v>#NAME?</v>
      </c>
    </row>
    <row r="6339" spans="1:14" x14ac:dyDescent="0.25">
      <c r="A6339" s="117">
        <v>518677</v>
      </c>
      <c r="B6339" s="78">
        <v>45810</v>
      </c>
      <c r="C6339" s="47" t="s">
        <v>681</v>
      </c>
      <c r="D6339" s="49" t="s">
        <v>276</v>
      </c>
      <c r="E6339" s="117">
        <v>24524</v>
      </c>
      <c r="G6339" s="50" t="s">
        <v>241</v>
      </c>
      <c r="H6339" s="51">
        <v>28.984999999999999</v>
      </c>
      <c r="J6339" s="51">
        <v>3.69</v>
      </c>
      <c r="K6339" s="74">
        <f>Tabela6[[#This Row],[CONSUMO]]*Tabela6[[#This Row],[VALOR UNIT]]-Tabela6[[#This Row],[DESCONTO]]</f>
        <v>106.95465</v>
      </c>
      <c r="L6339" s="53">
        <f>Tabela6[[#This Row],[CUSTO TOTAL]]/Tabela6[[#This Row],[CONSUMO]]</f>
        <v>3.69</v>
      </c>
      <c r="M6339" s="53" t="e">
        <f t="array" ref="M6339">SE</f>
        <v>#NAME?</v>
      </c>
      <c r="N6339" s="118" t="e">
        <f>Tabela6[[#This Row],[KM Rodados ]]/Tabela6[[#This Row],[CONSUMO]]</f>
        <v>#NAME?</v>
      </c>
    </row>
    <row r="6340" spans="1:14" x14ac:dyDescent="0.25">
      <c r="A6340" s="117">
        <v>518220</v>
      </c>
      <c r="B6340" s="78">
        <v>45810</v>
      </c>
      <c r="C6340" s="47" t="s">
        <v>41</v>
      </c>
      <c r="D6340" s="49" t="s">
        <v>276</v>
      </c>
      <c r="E6340" s="117">
        <v>767863</v>
      </c>
      <c r="G6340" s="50" t="s">
        <v>89</v>
      </c>
      <c r="H6340" s="51">
        <v>185.62100000000001</v>
      </c>
      <c r="J6340" s="51">
        <v>6.09</v>
      </c>
      <c r="K6340" s="74">
        <f>Tabela6[[#This Row],[CONSUMO]]*Tabela6[[#This Row],[VALOR UNIT]]-Tabela6[[#This Row],[DESCONTO]]</f>
        <v>1130.4318900000001</v>
      </c>
      <c r="L6340" s="53">
        <f>Tabela6[[#This Row],[CUSTO TOTAL]]/Tabela6[[#This Row],[CONSUMO]]</f>
        <v>6.09</v>
      </c>
      <c r="M6340" s="53" t="e">
        <f t="array" ref="M6340">SE</f>
        <v>#NAME?</v>
      </c>
      <c r="N6340" s="118" t="e">
        <f>Tabela6[[#This Row],[KM Rodados ]]/Tabela6[[#This Row],[CONSUMO]]</f>
        <v>#NAME?</v>
      </c>
    </row>
    <row r="6341" spans="1:14" x14ac:dyDescent="0.25">
      <c r="A6341" s="117">
        <v>42978</v>
      </c>
      <c r="B6341" s="78">
        <v>45810</v>
      </c>
      <c r="C6341" s="47" t="s">
        <v>446</v>
      </c>
      <c r="D6341" s="49" t="s">
        <v>252</v>
      </c>
      <c r="E6341" s="117"/>
      <c r="G6341" s="50" t="s">
        <v>241</v>
      </c>
      <c r="H6341" s="51">
        <v>21.111999999999998</v>
      </c>
      <c r="J6341" s="51">
        <v>3.89</v>
      </c>
      <c r="K6341" s="74">
        <f>Tabela6[[#This Row],[CONSUMO]]*Tabela6[[#This Row],[VALOR UNIT]]-Tabela6[[#This Row],[DESCONTO]]</f>
        <v>82.125680000000003</v>
      </c>
      <c r="L6341" s="53">
        <f>Tabela6[[#This Row],[CUSTO TOTAL]]/Tabela6[[#This Row],[CONSUMO]]</f>
        <v>3.8900000000000006</v>
      </c>
      <c r="M6341" s="53" t="e">
        <f t="array" ref="M6341">SE</f>
        <v>#NAME?</v>
      </c>
      <c r="N6341" s="118" t="e">
        <f>Tabela6[[#This Row],[KM Rodados ]]/Tabela6[[#This Row],[CONSUMO]]</f>
        <v>#NAME?</v>
      </c>
    </row>
    <row r="6342" spans="1:14" x14ac:dyDescent="0.25">
      <c r="A6342" s="117">
        <v>101402</v>
      </c>
      <c r="B6342" s="78">
        <v>45811</v>
      </c>
      <c r="C6342" s="47" t="s">
        <v>564</v>
      </c>
      <c r="D6342" s="49" t="s">
        <v>332</v>
      </c>
      <c r="E6342" s="117">
        <v>88249</v>
      </c>
      <c r="G6342" s="50" t="s">
        <v>89</v>
      </c>
      <c r="H6342" s="51">
        <v>615.077</v>
      </c>
      <c r="J6342" s="51">
        <v>5.59</v>
      </c>
      <c r="K6342" s="74">
        <f>Tabela6[[#This Row],[CONSUMO]]*Tabela6[[#This Row],[VALOR UNIT]]-Tabela6[[#This Row],[DESCONTO]]</f>
        <v>3438.2804299999998</v>
      </c>
      <c r="L6342" s="53">
        <f>Tabela6[[#This Row],[CUSTO TOTAL]]/Tabela6[[#This Row],[CONSUMO]]</f>
        <v>5.59</v>
      </c>
      <c r="M6342" s="53" t="e">
        <f t="array" ref="M6342">SE</f>
        <v>#NAME?</v>
      </c>
      <c r="N6342" s="118" t="e">
        <f>Tabela6[[#This Row],[KM Rodados ]]/Tabela6[[#This Row],[CONSUMO]]</f>
        <v>#NAME?</v>
      </c>
    </row>
    <row r="6343" spans="1:14" x14ac:dyDescent="0.25">
      <c r="A6343" s="117" t="s">
        <v>729</v>
      </c>
      <c r="B6343" s="78">
        <v>45811</v>
      </c>
      <c r="C6343" s="47" t="s">
        <v>564</v>
      </c>
      <c r="D6343" s="49" t="s">
        <v>332</v>
      </c>
      <c r="E6343" s="117">
        <v>88249</v>
      </c>
      <c r="G6343" s="50" t="s">
        <v>241</v>
      </c>
      <c r="H6343" s="51">
        <v>72.528999999999996</v>
      </c>
      <c r="J6343" s="51">
        <v>2.99</v>
      </c>
      <c r="K6343" s="74">
        <f>Tabela6[[#This Row],[CONSUMO]]*Tabela6[[#This Row],[VALOR UNIT]]-Tabela6[[#This Row],[DESCONTO]]</f>
        <v>216.86171000000002</v>
      </c>
      <c r="L6343" s="53">
        <f>Tabela6[[#This Row],[CUSTO TOTAL]]/Tabela6[[#This Row],[CONSUMO]]</f>
        <v>2.99</v>
      </c>
      <c r="M6343" s="53" t="e">
        <f t="array" ref="M6343">SE</f>
        <v>#NAME?</v>
      </c>
      <c r="N6343" s="118" t="e">
        <f>Tabela6[[#This Row],[KM Rodados ]]/Tabela6[[#This Row],[CONSUMO]]</f>
        <v>#NAME?</v>
      </c>
    </row>
    <row r="6344" spans="1:14" x14ac:dyDescent="0.25">
      <c r="A6344" s="117">
        <v>518731</v>
      </c>
      <c r="B6344" s="78">
        <v>45811</v>
      </c>
      <c r="C6344" s="47" t="s">
        <v>40</v>
      </c>
      <c r="D6344" s="49" t="s">
        <v>276</v>
      </c>
      <c r="E6344" s="117">
        <v>258080</v>
      </c>
      <c r="G6344" s="50" t="s">
        <v>244</v>
      </c>
      <c r="H6344" s="51">
        <v>41.2</v>
      </c>
      <c r="J6344" s="51">
        <v>6.19</v>
      </c>
      <c r="K6344" s="74">
        <f>Tabela6[[#This Row],[CONSUMO]]*Tabela6[[#This Row],[VALOR UNIT]]-Tabela6[[#This Row],[DESCONTO]]</f>
        <v>255.02800000000002</v>
      </c>
      <c r="L6344" s="53">
        <f>Tabela6[[#This Row],[CUSTO TOTAL]]/Tabela6[[#This Row],[CONSUMO]]</f>
        <v>6.19</v>
      </c>
      <c r="M6344" s="53" t="e">
        <f t="array" ref="M6344">SE</f>
        <v>#NAME?</v>
      </c>
      <c r="N6344" s="118" t="e">
        <f>Tabela6[[#This Row],[KM Rodados ]]/Tabela6[[#This Row],[CONSUMO]]</f>
        <v>#NAME?</v>
      </c>
    </row>
    <row r="6345" spans="1:14" x14ac:dyDescent="0.25">
      <c r="A6345" s="117" t="s">
        <v>730</v>
      </c>
      <c r="B6345" s="78">
        <v>45811</v>
      </c>
      <c r="C6345" s="47" t="s">
        <v>43</v>
      </c>
      <c r="D6345" s="49" t="s">
        <v>270</v>
      </c>
      <c r="E6345" s="117">
        <v>252251</v>
      </c>
      <c r="G6345" s="50" t="s">
        <v>89</v>
      </c>
      <c r="H6345" s="51">
        <v>34.549999999999997</v>
      </c>
      <c r="J6345" s="51">
        <v>5.79</v>
      </c>
      <c r="K6345" s="74">
        <f>Tabela6[[#This Row],[CONSUMO]]*Tabela6[[#This Row],[VALOR UNIT]]-Tabela6[[#This Row],[DESCONTO]]</f>
        <v>200.04449999999997</v>
      </c>
      <c r="L6345" s="53">
        <f>Tabela6[[#This Row],[CUSTO TOTAL]]/Tabela6[[#This Row],[CONSUMO]]</f>
        <v>5.79</v>
      </c>
      <c r="M6345" s="53" t="e">
        <f t="array" ref="M6345">SE</f>
        <v>#NAME?</v>
      </c>
      <c r="N6345" s="118" t="e">
        <f>Tabela6[[#This Row],[KM Rodados ]]/Tabela6[[#This Row],[CONSUMO]]</f>
        <v>#NAME?</v>
      </c>
    </row>
    <row r="6346" spans="1:14" x14ac:dyDescent="0.25">
      <c r="A6346" s="117">
        <v>518917</v>
      </c>
      <c r="B6346" s="78">
        <v>45812</v>
      </c>
      <c r="C6346" s="47" t="s">
        <v>41</v>
      </c>
      <c r="D6346" s="49" t="s">
        <v>276</v>
      </c>
      <c r="E6346" s="117">
        <v>768336</v>
      </c>
      <c r="G6346" s="50" t="s">
        <v>89</v>
      </c>
      <c r="H6346" s="51">
        <v>100.401</v>
      </c>
      <c r="J6346" s="51">
        <v>6.09</v>
      </c>
      <c r="K6346" s="74">
        <f>Tabela6[[#This Row],[CONSUMO]]*Tabela6[[#This Row],[VALOR UNIT]]-Tabela6[[#This Row],[DESCONTO]]</f>
        <v>611.44209000000001</v>
      </c>
      <c r="L6346" s="53">
        <f>Tabela6[[#This Row],[CUSTO TOTAL]]/Tabela6[[#This Row],[CONSUMO]]</f>
        <v>6.09</v>
      </c>
      <c r="M6346" s="53" t="e">
        <f t="array" ref="M6346">SE</f>
        <v>#NAME?</v>
      </c>
      <c r="N6346" s="118" t="e">
        <f>Tabela6[[#This Row],[KM Rodados ]]/Tabela6[[#This Row],[CONSUMO]]</f>
        <v>#NAME?</v>
      </c>
    </row>
    <row r="6347" spans="1:14" x14ac:dyDescent="0.25">
      <c r="A6347" s="117" t="s">
        <v>731</v>
      </c>
      <c r="B6347" s="78">
        <v>45812</v>
      </c>
      <c r="C6347" s="47" t="s">
        <v>73</v>
      </c>
      <c r="D6347" s="49" t="s">
        <v>300</v>
      </c>
      <c r="E6347" s="117">
        <v>275191</v>
      </c>
      <c r="G6347" s="50" t="s">
        <v>241</v>
      </c>
      <c r="H6347" s="51">
        <v>26.6</v>
      </c>
      <c r="J6347" s="51">
        <v>2.99</v>
      </c>
      <c r="K6347" s="74">
        <f>Tabela6[[#This Row],[CONSUMO]]*Tabela6[[#This Row],[VALOR UNIT]]-Tabela6[[#This Row],[DESCONTO]]</f>
        <v>79.534000000000006</v>
      </c>
      <c r="L6347" s="53">
        <f>Tabela6[[#This Row],[CUSTO TOTAL]]/Tabela6[[#This Row],[CONSUMO]]</f>
        <v>2.99</v>
      </c>
      <c r="M6347" s="53" t="e">
        <f t="array" ref="M6347">SE</f>
        <v>#NAME?</v>
      </c>
      <c r="N6347" s="118" t="e">
        <f>Tabela6[[#This Row],[KM Rodados ]]/Tabela6[[#This Row],[CONSUMO]]</f>
        <v>#NAME?</v>
      </c>
    </row>
    <row r="6348" spans="1:14" x14ac:dyDescent="0.25">
      <c r="A6348" s="117">
        <v>21293</v>
      </c>
      <c r="B6348" s="78">
        <v>45812</v>
      </c>
      <c r="C6348" s="47" t="s">
        <v>72</v>
      </c>
      <c r="D6348" s="49" t="s">
        <v>300</v>
      </c>
      <c r="E6348" s="117">
        <v>518387</v>
      </c>
      <c r="G6348" s="50" t="s">
        <v>89</v>
      </c>
      <c r="H6348" s="51">
        <v>41.920999999999999</v>
      </c>
      <c r="J6348" s="51">
        <v>5.79</v>
      </c>
      <c r="K6348" s="74">
        <f>Tabela6[[#This Row],[CONSUMO]]*Tabela6[[#This Row],[VALOR UNIT]]-Tabela6[[#This Row],[DESCONTO]]</f>
        <v>242.72259</v>
      </c>
      <c r="L6348" s="53">
        <f>Tabela6[[#This Row],[CUSTO TOTAL]]/Tabela6[[#This Row],[CONSUMO]]</f>
        <v>5.79</v>
      </c>
      <c r="M6348" s="53" t="e">
        <f t="array" ref="M6348">SE</f>
        <v>#NAME?</v>
      </c>
      <c r="N6348" s="118" t="e">
        <f>Tabela6[[#This Row],[KM Rodados ]]/Tabela6[[#This Row],[CONSUMO]]</f>
        <v>#NAME?</v>
      </c>
    </row>
    <row r="6349" spans="1:14" x14ac:dyDescent="0.25">
      <c r="A6349" s="117">
        <v>24434</v>
      </c>
      <c r="B6349" s="78">
        <v>45812</v>
      </c>
      <c r="C6349" s="47" t="s">
        <v>64</v>
      </c>
      <c r="D6349" s="49" t="s">
        <v>268</v>
      </c>
      <c r="E6349" s="117">
        <v>157111</v>
      </c>
      <c r="G6349" s="50" t="s">
        <v>89</v>
      </c>
      <c r="H6349" s="51">
        <v>217.011</v>
      </c>
      <c r="J6349" s="51">
        <v>5.79</v>
      </c>
      <c r="K6349" s="74">
        <f>Tabela6[[#This Row],[CONSUMO]]*Tabela6[[#This Row],[VALOR UNIT]]-Tabela6[[#This Row],[DESCONTO]]</f>
        <v>1256.49369</v>
      </c>
      <c r="L6349" s="53">
        <f>Tabela6[[#This Row],[CUSTO TOTAL]]/Tabela6[[#This Row],[CONSUMO]]</f>
        <v>5.79</v>
      </c>
      <c r="M6349" s="53" t="e">
        <f t="array" ref="M6349">SE</f>
        <v>#NAME?</v>
      </c>
      <c r="N6349" s="118" t="e">
        <f>Tabela6[[#This Row],[KM Rodados ]]/Tabela6[[#This Row],[CONSUMO]]</f>
        <v>#NAME?</v>
      </c>
    </row>
    <row r="6350" spans="1:14" x14ac:dyDescent="0.25">
      <c r="A6350" s="117">
        <v>975018</v>
      </c>
      <c r="B6350" s="78">
        <v>45813</v>
      </c>
      <c r="C6350" s="47" t="s">
        <v>23</v>
      </c>
      <c r="D6350" s="49" t="s">
        <v>271</v>
      </c>
      <c r="E6350" s="117">
        <v>338532</v>
      </c>
      <c r="G6350" s="50" t="s">
        <v>241</v>
      </c>
      <c r="H6350" s="51">
        <v>25.95</v>
      </c>
      <c r="J6350" s="51">
        <v>2.99</v>
      </c>
      <c r="K6350" s="74">
        <f>Tabela6[[#This Row],[CONSUMO]]*Tabela6[[#This Row],[VALOR UNIT]]-Tabela6[[#This Row],[DESCONTO]]</f>
        <v>77.590500000000006</v>
      </c>
      <c r="L6350" s="53">
        <f>Tabela6[[#This Row],[CUSTO TOTAL]]/Tabela6[[#This Row],[CONSUMO]]</f>
        <v>2.99</v>
      </c>
      <c r="M6350" s="53" t="e">
        <f t="array" ref="M6350">SE</f>
        <v>#NAME?</v>
      </c>
      <c r="N6350" s="118" t="e">
        <f>Tabela6[[#This Row],[KM Rodados ]]/Tabela6[[#This Row],[CONSUMO]]</f>
        <v>#NAME?</v>
      </c>
    </row>
    <row r="6351" spans="1:14" x14ac:dyDescent="0.25">
      <c r="A6351" s="117">
        <v>77843</v>
      </c>
      <c r="B6351" s="78">
        <v>45813</v>
      </c>
      <c r="C6351" s="47" t="s">
        <v>38</v>
      </c>
      <c r="D6351" s="49" t="s">
        <v>255</v>
      </c>
      <c r="E6351" s="117"/>
      <c r="G6351" s="50" t="s">
        <v>244</v>
      </c>
      <c r="H6351" s="51">
        <v>45.45</v>
      </c>
      <c r="J6351" s="51">
        <v>6.37</v>
      </c>
      <c r="K6351" s="74">
        <f>Tabela6[[#This Row],[CONSUMO]]*Tabela6[[#This Row],[VALOR UNIT]]-Tabela6[[#This Row],[DESCONTO]]</f>
        <v>289.51650000000001</v>
      </c>
      <c r="L6351" s="53">
        <f>Tabela6[[#This Row],[CUSTO TOTAL]]/Tabela6[[#This Row],[CONSUMO]]</f>
        <v>6.37</v>
      </c>
      <c r="M6351" s="53" t="e">
        <f t="array" ref="M6351">SE</f>
        <v>#NAME?</v>
      </c>
      <c r="N6351" s="118" t="e">
        <f>Tabela6[[#This Row],[KM Rodados ]]/Tabela6[[#This Row],[CONSUMO]]</f>
        <v>#NAME?</v>
      </c>
    </row>
    <row r="6352" spans="1:14" x14ac:dyDescent="0.25">
      <c r="A6352" s="117">
        <v>975019</v>
      </c>
      <c r="B6352" s="78">
        <v>45813</v>
      </c>
      <c r="C6352" s="47" t="s">
        <v>23</v>
      </c>
      <c r="D6352" s="49" t="s">
        <v>271</v>
      </c>
      <c r="E6352" s="117">
        <v>338532</v>
      </c>
      <c r="G6352" s="50" t="s">
        <v>89</v>
      </c>
      <c r="H6352" s="51">
        <v>130</v>
      </c>
      <c r="J6352" s="51">
        <v>5.79</v>
      </c>
      <c r="K6352" s="74">
        <f>Tabela6[[#This Row],[CONSUMO]]*Tabela6[[#This Row],[VALOR UNIT]]-Tabela6[[#This Row],[DESCONTO]]</f>
        <v>752.7</v>
      </c>
      <c r="L6352" s="53">
        <f>Tabela6[[#This Row],[CUSTO TOTAL]]/Tabela6[[#This Row],[CONSUMO]]</f>
        <v>5.79</v>
      </c>
      <c r="M6352" s="53" t="e">
        <f t="array" ref="M6352">SE</f>
        <v>#NAME?</v>
      </c>
      <c r="N6352" s="118" t="e">
        <f>Tabela6[[#This Row],[KM Rodados ]]/Tabela6[[#This Row],[CONSUMO]]</f>
        <v>#NAME?</v>
      </c>
    </row>
    <row r="6353" spans="1:14" x14ac:dyDescent="0.25">
      <c r="A6353" s="117">
        <v>552299</v>
      </c>
      <c r="B6353" s="78">
        <v>45813</v>
      </c>
      <c r="C6353" s="47" t="s">
        <v>18</v>
      </c>
      <c r="D6353" s="49" t="s">
        <v>271</v>
      </c>
      <c r="E6353" s="117">
        <v>405811</v>
      </c>
      <c r="G6353" s="50" t="s">
        <v>89</v>
      </c>
      <c r="H6353" s="51">
        <v>78.92</v>
      </c>
      <c r="J6353" s="51">
        <v>6.19</v>
      </c>
      <c r="K6353" s="74">
        <f>Tabela6[[#This Row],[CONSUMO]]*Tabela6[[#This Row],[VALOR UNIT]]-Tabela6[[#This Row],[DESCONTO]]</f>
        <v>488.51480000000004</v>
      </c>
      <c r="L6353" s="53">
        <f>Tabela6[[#This Row],[CUSTO TOTAL]]/Tabela6[[#This Row],[CONSUMO]]</f>
        <v>6.19</v>
      </c>
      <c r="M6353" s="53" t="e">
        <f t="array" ref="M6353">SE</f>
        <v>#NAME?</v>
      </c>
      <c r="N6353" s="118" t="e">
        <f>Tabela6[[#This Row],[KM Rodados ]]/Tabela6[[#This Row],[CONSUMO]]</f>
        <v>#NAME?</v>
      </c>
    </row>
    <row r="6354" spans="1:14" x14ac:dyDescent="0.25">
      <c r="A6354" s="117">
        <v>469748</v>
      </c>
      <c r="B6354" s="78">
        <v>45813</v>
      </c>
      <c r="C6354" s="47" t="s">
        <v>43</v>
      </c>
      <c r="D6354" s="49" t="s">
        <v>270</v>
      </c>
      <c r="E6354" s="117">
        <v>253146</v>
      </c>
      <c r="G6354" s="50" t="s">
        <v>89</v>
      </c>
      <c r="H6354" s="51">
        <v>35.89</v>
      </c>
      <c r="J6354" s="51">
        <v>5.79</v>
      </c>
      <c r="K6354" s="74">
        <f>Tabela6[[#This Row],[CONSUMO]]*Tabela6[[#This Row],[VALOR UNIT]]-Tabela6[[#This Row],[DESCONTO]]</f>
        <v>207.8031</v>
      </c>
      <c r="L6354" s="53">
        <f>Tabela6[[#This Row],[CUSTO TOTAL]]/Tabela6[[#This Row],[CONSUMO]]</f>
        <v>5.79</v>
      </c>
      <c r="M6354" s="53" t="e">
        <f t="array" ref="M6354">SE</f>
        <v>#NAME?</v>
      </c>
      <c r="N6354" s="118" t="e">
        <f>Tabela6[[#This Row],[KM Rodados ]]/Tabela6[[#This Row],[CONSUMO]]</f>
        <v>#NAME?</v>
      </c>
    </row>
    <row r="6355" spans="1:14" x14ac:dyDescent="0.25">
      <c r="A6355" s="117">
        <v>610742</v>
      </c>
      <c r="B6355" s="78">
        <v>45814</v>
      </c>
      <c r="C6355" s="47" t="s">
        <v>9</v>
      </c>
      <c r="D6355" s="49" t="s">
        <v>269</v>
      </c>
      <c r="E6355" s="117">
        <v>699817</v>
      </c>
      <c r="G6355" s="50" t="s">
        <v>89</v>
      </c>
      <c r="H6355" s="51">
        <v>188.61</v>
      </c>
      <c r="J6355" s="51">
        <v>5.79</v>
      </c>
      <c r="K6355" s="74">
        <f>Tabela6[[#This Row],[CONSUMO]]*Tabela6[[#This Row],[VALOR UNIT]]-Tabela6[[#This Row],[DESCONTO]]</f>
        <v>1092.0519000000002</v>
      </c>
      <c r="L6355" s="53">
        <f>Tabela6[[#This Row],[CUSTO TOTAL]]/Tabela6[[#This Row],[CONSUMO]]</f>
        <v>5.79</v>
      </c>
      <c r="M6355" s="53" t="e">
        <f t="array" ref="M6355">SE</f>
        <v>#NAME?</v>
      </c>
      <c r="N6355" s="118" t="e">
        <f>Tabela6[[#This Row],[KM Rodados ]]/Tabela6[[#This Row],[CONSUMO]]</f>
        <v>#NAME?</v>
      </c>
    </row>
    <row r="6356" spans="1:14" x14ac:dyDescent="0.25">
      <c r="A6356" s="117">
        <v>530255</v>
      </c>
      <c r="B6356" s="78">
        <v>45814</v>
      </c>
      <c r="C6356" s="47" t="s">
        <v>12</v>
      </c>
      <c r="D6356" s="49" t="s">
        <v>253</v>
      </c>
      <c r="E6356" s="117">
        <v>362683</v>
      </c>
      <c r="G6356" s="50" t="s">
        <v>89</v>
      </c>
      <c r="H6356" s="51">
        <v>105.44</v>
      </c>
      <c r="J6356" s="51">
        <v>6.19</v>
      </c>
      <c r="K6356" s="74">
        <f>Tabela6[[#This Row],[CONSUMO]]*Tabela6[[#This Row],[VALOR UNIT]]-Tabela6[[#This Row],[DESCONTO]]</f>
        <v>652.67360000000008</v>
      </c>
      <c r="L6356" s="53">
        <f>Tabela6[[#This Row],[CUSTO TOTAL]]/Tabela6[[#This Row],[CONSUMO]]</f>
        <v>6.1900000000000013</v>
      </c>
      <c r="M6356" s="53" t="e">
        <f t="array" ref="M6356">SE</f>
        <v>#NAME?</v>
      </c>
      <c r="N6356" s="118" t="e">
        <f>Tabela6[[#This Row],[KM Rodados ]]/Tabela6[[#This Row],[CONSUMO]]</f>
        <v>#NAME?</v>
      </c>
    </row>
    <row r="6357" spans="1:14" x14ac:dyDescent="0.25">
      <c r="A6357" s="117">
        <v>22281</v>
      </c>
      <c r="B6357" s="78">
        <v>45814</v>
      </c>
      <c r="C6357" s="47" t="s">
        <v>567</v>
      </c>
      <c r="D6357" s="49" t="s">
        <v>300</v>
      </c>
      <c r="E6357" s="117">
        <v>51899</v>
      </c>
      <c r="G6357" s="50" t="s">
        <v>241</v>
      </c>
      <c r="H6357" s="51">
        <v>69.900000000000006</v>
      </c>
      <c r="J6357" s="51">
        <v>2.99</v>
      </c>
      <c r="K6357" s="74">
        <f>Tabela6[[#This Row],[CONSUMO]]*Tabela6[[#This Row],[VALOR UNIT]]-Tabela6[[#This Row],[DESCONTO]]</f>
        <v>209.00100000000003</v>
      </c>
      <c r="L6357" s="53">
        <f>Tabela6[[#This Row],[CUSTO TOTAL]]/Tabela6[[#This Row],[CONSUMO]]</f>
        <v>2.99</v>
      </c>
      <c r="M6357" s="53" t="e">
        <f t="array" ref="M6357">SE</f>
        <v>#NAME?</v>
      </c>
      <c r="N6357" s="118" t="e">
        <f>Tabela6[[#This Row],[KM Rodados ]]/Tabela6[[#This Row],[CONSUMO]]</f>
        <v>#NAME?</v>
      </c>
    </row>
    <row r="6358" spans="1:14" x14ac:dyDescent="0.25">
      <c r="A6358" s="117">
        <v>532636</v>
      </c>
      <c r="B6358" s="78">
        <v>45817</v>
      </c>
      <c r="C6358" s="47" t="s">
        <v>11</v>
      </c>
      <c r="D6358" s="49" t="s">
        <v>253</v>
      </c>
      <c r="E6358" s="117">
        <v>497293</v>
      </c>
      <c r="G6358" s="50" t="s">
        <v>89</v>
      </c>
      <c r="H6358" s="51">
        <v>126.12</v>
      </c>
      <c r="J6358" s="51">
        <v>6.19</v>
      </c>
      <c r="K6358" s="74">
        <f>Tabela6[[#This Row],[CONSUMO]]*Tabela6[[#This Row],[VALOR UNIT]]-Tabela6[[#This Row],[DESCONTO]]</f>
        <v>780.68280000000004</v>
      </c>
      <c r="L6358" s="53">
        <f>Tabela6[[#This Row],[CUSTO TOTAL]]/Tabela6[[#This Row],[CONSUMO]]</f>
        <v>6.19</v>
      </c>
      <c r="M6358" s="53" t="e">
        <f t="array" ref="M6358">SE</f>
        <v>#NAME?</v>
      </c>
      <c r="N6358" s="118" t="e">
        <f>Tabela6[[#This Row],[KM Rodados ]]/Tabela6[[#This Row],[CONSUMO]]</f>
        <v>#NAME?</v>
      </c>
    </row>
    <row r="6359" spans="1:14" x14ac:dyDescent="0.25">
      <c r="A6359" s="117">
        <v>355988</v>
      </c>
      <c r="B6359" s="78">
        <v>45817</v>
      </c>
      <c r="C6359" s="47" t="s">
        <v>72</v>
      </c>
      <c r="D6359" s="49" t="s">
        <v>276</v>
      </c>
      <c r="E6359" s="117">
        <v>529246</v>
      </c>
      <c r="G6359" s="50" t="s">
        <v>89</v>
      </c>
      <c r="H6359" s="51">
        <v>26.048999999999999</v>
      </c>
      <c r="J6359" s="51">
        <v>5.89</v>
      </c>
      <c r="K6359" s="74">
        <f>Tabela6[[#This Row],[CONSUMO]]*Tabela6[[#This Row],[VALOR UNIT]]-Tabela6[[#This Row],[DESCONTO]]</f>
        <v>153.42860999999999</v>
      </c>
      <c r="L6359" s="53">
        <f>Tabela6[[#This Row],[CUSTO TOTAL]]/Tabela6[[#This Row],[CONSUMO]]</f>
        <v>5.89</v>
      </c>
      <c r="M6359" s="53" t="e">
        <f t="array" ref="M6359">SE</f>
        <v>#NAME?</v>
      </c>
      <c r="N6359" s="118" t="e">
        <f>Tabela6[[#This Row],[KM Rodados ]]/Tabela6[[#This Row],[CONSUMO]]</f>
        <v>#NAME?</v>
      </c>
    </row>
    <row r="6360" spans="1:14" x14ac:dyDescent="0.25">
      <c r="A6360" s="117">
        <v>356000</v>
      </c>
      <c r="B6360" s="78">
        <v>45817</v>
      </c>
      <c r="C6360" s="47" t="s">
        <v>203</v>
      </c>
      <c r="D6360" s="49" t="s">
        <v>276</v>
      </c>
      <c r="E6360" s="117">
        <v>223320</v>
      </c>
      <c r="G6360" s="50" t="s">
        <v>244</v>
      </c>
      <c r="H6360" s="51">
        <v>37.86</v>
      </c>
      <c r="J6360" s="51">
        <v>5.99</v>
      </c>
      <c r="K6360" s="74">
        <f>Tabela6[[#This Row],[CONSUMO]]*Tabela6[[#This Row],[VALOR UNIT]]-Tabela6[[#This Row],[DESCONTO]]</f>
        <v>226.78139999999999</v>
      </c>
      <c r="L6360" s="53">
        <f>Tabela6[[#This Row],[CUSTO TOTAL]]/Tabela6[[#This Row],[CONSUMO]]</f>
        <v>5.99</v>
      </c>
      <c r="M6360" s="53" t="e">
        <f t="array" ref="M6360">SE</f>
        <v>#NAME?</v>
      </c>
      <c r="N6360" s="118" t="e">
        <f>Tabela6[[#This Row],[KM Rodados ]]/Tabela6[[#This Row],[CONSUMO]]</f>
        <v>#NAME?</v>
      </c>
    </row>
    <row r="6361" spans="1:14" x14ac:dyDescent="0.25">
      <c r="A6361" s="117">
        <v>356116</v>
      </c>
      <c r="B6361" s="78">
        <v>45817</v>
      </c>
      <c r="C6361" s="47" t="s">
        <v>315</v>
      </c>
      <c r="D6361" s="49" t="s">
        <v>276</v>
      </c>
      <c r="E6361" s="117">
        <v>76703</v>
      </c>
      <c r="G6361" s="50" t="s">
        <v>89</v>
      </c>
      <c r="H6361" s="51">
        <v>41.779000000000003</v>
      </c>
      <c r="J6361" s="51">
        <v>5.89</v>
      </c>
      <c r="K6361" s="74">
        <f>Tabela6[[#This Row],[CONSUMO]]*Tabela6[[#This Row],[VALOR UNIT]]-Tabela6[[#This Row],[DESCONTO]]</f>
        <v>246.07831000000002</v>
      </c>
      <c r="L6361" s="53">
        <f>Tabela6[[#This Row],[CUSTO TOTAL]]/Tabela6[[#This Row],[CONSUMO]]</f>
        <v>5.89</v>
      </c>
      <c r="M6361" s="53" t="e">
        <f t="array" ref="M6361">SE</f>
        <v>#NAME?</v>
      </c>
      <c r="N6361" s="118" t="e">
        <f>Tabela6[[#This Row],[KM Rodados ]]/Tabela6[[#This Row],[CONSUMO]]</f>
        <v>#NAME?</v>
      </c>
    </row>
    <row r="6362" spans="1:14" x14ac:dyDescent="0.25">
      <c r="A6362" s="117">
        <v>356010</v>
      </c>
      <c r="B6362" s="78">
        <v>45817</v>
      </c>
      <c r="C6362" s="47" t="s">
        <v>401</v>
      </c>
      <c r="D6362" s="49" t="s">
        <v>276</v>
      </c>
      <c r="E6362" s="117">
        <v>112584</v>
      </c>
      <c r="G6362" s="50" t="s">
        <v>241</v>
      </c>
      <c r="H6362" s="51">
        <v>26.158000000000001</v>
      </c>
      <c r="J6362" s="51">
        <v>3.33</v>
      </c>
      <c r="K6362" s="74">
        <f>Tabela6[[#This Row],[CONSUMO]]*Tabela6[[#This Row],[VALOR UNIT]]-Tabela6[[#This Row],[DESCONTO]]</f>
        <v>87.106140000000011</v>
      </c>
      <c r="L6362" s="53">
        <f>Tabela6[[#This Row],[CUSTO TOTAL]]/Tabela6[[#This Row],[CONSUMO]]</f>
        <v>3.33</v>
      </c>
      <c r="M6362" s="53" t="e">
        <f t="array" ref="M6362">SE</f>
        <v>#NAME?</v>
      </c>
      <c r="N6362" s="118" t="e">
        <f>Tabela6[[#This Row],[KM Rodados ]]/Tabela6[[#This Row],[CONSUMO]]</f>
        <v>#NAME?</v>
      </c>
    </row>
    <row r="6363" spans="1:14" x14ac:dyDescent="0.25">
      <c r="A6363" s="117">
        <v>976876</v>
      </c>
      <c r="B6363" s="78">
        <v>45817</v>
      </c>
      <c r="C6363" s="47" t="s">
        <v>23</v>
      </c>
      <c r="D6363" s="49" t="s">
        <v>271</v>
      </c>
      <c r="E6363" s="117">
        <v>339018</v>
      </c>
      <c r="G6363" s="50" t="s">
        <v>89</v>
      </c>
      <c r="H6363" s="51">
        <v>109.821</v>
      </c>
      <c r="J6363" s="51">
        <v>5.79</v>
      </c>
      <c r="K6363" s="74">
        <f>Tabela6[[#This Row],[CONSUMO]]*Tabela6[[#This Row],[VALOR UNIT]]-Tabela6[[#This Row],[DESCONTO]]</f>
        <v>635.86359000000004</v>
      </c>
      <c r="L6363" s="53">
        <f>Tabela6[[#This Row],[CUSTO TOTAL]]/Tabela6[[#This Row],[CONSUMO]]</f>
        <v>5.7900000000000009</v>
      </c>
      <c r="M6363" s="53" t="e">
        <f t="array" ref="M6363">SE</f>
        <v>#NAME?</v>
      </c>
      <c r="N6363" s="118" t="e">
        <f>Tabela6[[#This Row],[KM Rodados ]]/Tabela6[[#This Row],[CONSUMO]]</f>
        <v>#NAME?</v>
      </c>
    </row>
    <row r="6364" spans="1:14" x14ac:dyDescent="0.25">
      <c r="A6364" s="117">
        <v>456687</v>
      </c>
      <c r="B6364" s="78">
        <v>45817</v>
      </c>
      <c r="C6364" s="47" t="s">
        <v>43</v>
      </c>
      <c r="D6364" s="49" t="s">
        <v>269</v>
      </c>
      <c r="E6364" s="117">
        <v>253605</v>
      </c>
      <c r="G6364" s="50" t="s">
        <v>89</v>
      </c>
      <c r="H6364" s="51">
        <v>27.401</v>
      </c>
      <c r="J6364" s="51">
        <v>5.72</v>
      </c>
      <c r="K6364" s="74">
        <f>Tabela6[[#This Row],[CONSUMO]]*Tabela6[[#This Row],[VALOR UNIT]]-Tabela6[[#This Row],[DESCONTO]]</f>
        <v>156.73372000000001</v>
      </c>
      <c r="L6364" s="53">
        <f>Tabela6[[#This Row],[CUSTO TOTAL]]/Tabela6[[#This Row],[CONSUMO]]</f>
        <v>5.7200000000000006</v>
      </c>
      <c r="M6364" s="53" t="e">
        <f t="array" ref="M6364">SE</f>
        <v>#NAME?</v>
      </c>
      <c r="N6364" s="118" t="e">
        <f>Tabela6[[#This Row],[KM Rodados ]]/Tabela6[[#This Row],[CONSUMO]]</f>
        <v>#NAME?</v>
      </c>
    </row>
    <row r="6365" spans="1:14" x14ac:dyDescent="0.25">
      <c r="A6365" s="117">
        <v>388584</v>
      </c>
      <c r="B6365" s="78">
        <v>45817</v>
      </c>
      <c r="C6365" s="47" t="s">
        <v>615</v>
      </c>
      <c r="D6365" s="49" t="s">
        <v>374</v>
      </c>
      <c r="E6365" s="117">
        <v>30653</v>
      </c>
      <c r="G6365" s="50" t="s">
        <v>89</v>
      </c>
      <c r="H6365" s="51">
        <v>620</v>
      </c>
      <c r="J6365" s="51">
        <v>5.79</v>
      </c>
      <c r="K6365" s="74">
        <f>Tabela6[[#This Row],[CONSUMO]]*Tabela6[[#This Row],[VALOR UNIT]]-Tabela6[[#This Row],[DESCONTO]]</f>
        <v>3589.8</v>
      </c>
      <c r="L6365" s="53">
        <f>Tabela6[[#This Row],[CUSTO TOTAL]]/Tabela6[[#This Row],[CONSUMO]]</f>
        <v>5.79</v>
      </c>
      <c r="M6365" s="53" t="e">
        <f t="array" ref="M6365">SE</f>
        <v>#NAME?</v>
      </c>
      <c r="N6365" s="118" t="e">
        <f>Tabela6[[#This Row],[KM Rodados ]]/Tabela6[[#This Row],[CONSUMO]]</f>
        <v>#NAME?</v>
      </c>
    </row>
    <row r="6366" spans="1:14" x14ac:dyDescent="0.25">
      <c r="A6366" s="117" t="s">
        <v>732</v>
      </c>
      <c r="B6366" s="78">
        <v>45817</v>
      </c>
      <c r="C6366" s="47" t="s">
        <v>615</v>
      </c>
      <c r="D6366" s="49" t="s">
        <v>374</v>
      </c>
      <c r="E6366" s="117">
        <v>30653</v>
      </c>
      <c r="G6366" s="50" t="s">
        <v>241</v>
      </c>
      <c r="H6366" s="51">
        <v>23.72</v>
      </c>
      <c r="J6366" s="51">
        <v>2.99</v>
      </c>
      <c r="K6366" s="74">
        <f>Tabela6[[#This Row],[CONSUMO]]*Tabela6[[#This Row],[VALOR UNIT]]-Tabela6[[#This Row],[DESCONTO]]</f>
        <v>70.922799999999995</v>
      </c>
      <c r="L6366" s="53">
        <f>Tabela6[[#This Row],[CUSTO TOTAL]]/Tabela6[[#This Row],[CONSUMO]]</f>
        <v>2.9899999999999998</v>
      </c>
      <c r="M6366" s="53" t="e">
        <f t="array" ref="M6366">SE</f>
        <v>#NAME?</v>
      </c>
      <c r="N6366" s="118" t="e">
        <f>Tabela6[[#This Row],[KM Rodados ]]/Tabela6[[#This Row],[CONSUMO]]</f>
        <v>#NAME?</v>
      </c>
    </row>
    <row r="6367" spans="1:14" x14ac:dyDescent="0.25">
      <c r="A6367" s="117" t="s">
        <v>733</v>
      </c>
      <c r="B6367" s="78">
        <v>45818</v>
      </c>
      <c r="C6367" s="47" t="s">
        <v>681</v>
      </c>
      <c r="D6367" s="49" t="s">
        <v>270</v>
      </c>
      <c r="E6367" s="117">
        <v>25042</v>
      </c>
      <c r="G6367" s="50" t="s">
        <v>89</v>
      </c>
      <c r="H6367" s="51">
        <v>172.71199999999999</v>
      </c>
      <c r="J6367" s="51">
        <v>5.79</v>
      </c>
      <c r="K6367" s="74">
        <f>Tabela6[[#This Row],[CONSUMO]]*Tabela6[[#This Row],[VALOR UNIT]]-Tabela6[[#This Row],[DESCONTO]]</f>
        <v>1000.00248</v>
      </c>
      <c r="L6367" s="53">
        <f>Tabela6[[#This Row],[CUSTO TOTAL]]/Tabela6[[#This Row],[CONSUMO]]</f>
        <v>5.79</v>
      </c>
      <c r="M6367" s="53" t="e">
        <f t="array" ref="M6367">SE</f>
        <v>#NAME?</v>
      </c>
      <c r="N6367" s="118" t="e">
        <f>Tabela6[[#This Row],[KM Rodados ]]/Tabela6[[#This Row],[CONSUMO]]</f>
        <v>#NAME?</v>
      </c>
    </row>
    <row r="6368" spans="1:14" x14ac:dyDescent="0.25">
      <c r="A6368" s="117">
        <v>79318</v>
      </c>
      <c r="B6368" s="78">
        <v>45818</v>
      </c>
      <c r="C6368" s="47" t="s">
        <v>18</v>
      </c>
      <c r="D6368" s="49" t="s">
        <v>255</v>
      </c>
      <c r="E6368" s="117">
        <v>406503</v>
      </c>
      <c r="G6368" s="50" t="s">
        <v>89</v>
      </c>
      <c r="H6368" s="51">
        <v>94.39</v>
      </c>
      <c r="J6368" s="51">
        <v>6.19</v>
      </c>
      <c r="K6368" s="74">
        <f>Tabela6[[#This Row],[CONSUMO]]*Tabela6[[#This Row],[VALOR UNIT]]-Tabela6[[#This Row],[DESCONTO]]</f>
        <v>584.27410000000009</v>
      </c>
      <c r="L6368" s="53">
        <f>Tabela6[[#This Row],[CUSTO TOTAL]]/Tabela6[[#This Row],[CONSUMO]]</f>
        <v>6.1900000000000013</v>
      </c>
      <c r="M6368" s="53" t="e">
        <f t="array" ref="M6368">SE</f>
        <v>#NAME?</v>
      </c>
      <c r="N6368" s="118" t="e">
        <f>Tabela6[[#This Row],[KM Rodados ]]/Tabela6[[#This Row],[CONSUMO]]</f>
        <v>#NAME?</v>
      </c>
    </row>
    <row r="6369" spans="1:14" x14ac:dyDescent="0.25">
      <c r="A6369" s="117">
        <v>533150</v>
      </c>
      <c r="B6369" s="78">
        <v>45818</v>
      </c>
      <c r="C6369" s="47" t="s">
        <v>39</v>
      </c>
      <c r="D6369" s="49" t="s">
        <v>253</v>
      </c>
      <c r="E6369" s="117">
        <v>147027</v>
      </c>
      <c r="G6369" s="50" t="s">
        <v>89</v>
      </c>
      <c r="H6369" s="51">
        <v>82.39</v>
      </c>
      <c r="J6369" s="51">
        <v>6.19</v>
      </c>
      <c r="K6369" s="74">
        <f>Tabela6[[#This Row],[CONSUMO]]*Tabela6[[#This Row],[VALOR UNIT]]-Tabela6[[#This Row],[DESCONTO]]</f>
        <v>509.99410000000006</v>
      </c>
      <c r="L6369" s="53">
        <f>Tabela6[[#This Row],[CUSTO TOTAL]]/Tabela6[[#This Row],[CONSUMO]]</f>
        <v>6.19</v>
      </c>
      <c r="M6369" s="53" t="e">
        <f t="array" ref="M6369">SE</f>
        <v>#NAME?</v>
      </c>
      <c r="N6369" s="118" t="e">
        <f>Tabela6[[#This Row],[KM Rodados ]]/Tabela6[[#This Row],[CONSUMO]]</f>
        <v>#NAME?</v>
      </c>
    </row>
    <row r="6370" spans="1:14" x14ac:dyDescent="0.25">
      <c r="A6370" s="117">
        <v>533388</v>
      </c>
      <c r="B6370" s="78">
        <v>45818</v>
      </c>
      <c r="C6370" s="47" t="s">
        <v>9</v>
      </c>
      <c r="D6370" s="49" t="s">
        <v>253</v>
      </c>
      <c r="E6370" s="117">
        <v>700483</v>
      </c>
      <c r="G6370" s="50" t="s">
        <v>89</v>
      </c>
      <c r="H6370" s="51">
        <v>181.01</v>
      </c>
      <c r="J6370" s="51">
        <v>6.19</v>
      </c>
      <c r="K6370" s="74">
        <f>Tabela6[[#This Row],[CONSUMO]]*Tabela6[[#This Row],[VALOR UNIT]]-Tabela6[[#This Row],[DESCONTO]]</f>
        <v>1120.4519</v>
      </c>
      <c r="L6370" s="53">
        <f>Tabela6[[#This Row],[CUSTO TOTAL]]/Tabela6[[#This Row],[CONSUMO]]</f>
        <v>6.19</v>
      </c>
      <c r="M6370" s="53" t="e">
        <f t="array" ref="M6370">SE</f>
        <v>#NAME?</v>
      </c>
      <c r="N6370" s="118" t="e">
        <f>Tabela6[[#This Row],[KM Rodados ]]/Tabela6[[#This Row],[CONSUMO]]</f>
        <v>#NAME?</v>
      </c>
    </row>
    <row r="6371" spans="1:14" x14ac:dyDescent="0.25">
      <c r="A6371" s="117">
        <v>79401</v>
      </c>
      <c r="B6371" s="78">
        <v>45818</v>
      </c>
      <c r="C6371" s="47" t="s">
        <v>23</v>
      </c>
      <c r="D6371" s="49" t="s">
        <v>255</v>
      </c>
      <c r="E6371" s="117">
        <v>339440</v>
      </c>
      <c r="G6371" s="50" t="s">
        <v>89</v>
      </c>
      <c r="H6371" s="51">
        <v>93.69</v>
      </c>
      <c r="J6371" s="51">
        <v>6.19</v>
      </c>
      <c r="K6371" s="74">
        <f>Tabela6[[#This Row],[CONSUMO]]*Tabela6[[#This Row],[VALOR UNIT]]-Tabela6[[#This Row],[DESCONTO]]</f>
        <v>579.94110000000001</v>
      </c>
      <c r="L6371" s="53">
        <f>Tabela6[[#This Row],[CUSTO TOTAL]]/Tabela6[[#This Row],[CONSUMO]]</f>
        <v>6.19</v>
      </c>
      <c r="M6371" s="53" t="e">
        <f t="array" ref="M6371">SE</f>
        <v>#NAME?</v>
      </c>
      <c r="N6371" s="118" t="e">
        <f>Tabela6[[#This Row],[KM Rodados ]]/Tabela6[[#This Row],[CONSUMO]]</f>
        <v>#NAME?</v>
      </c>
    </row>
    <row r="6372" spans="1:14" x14ac:dyDescent="0.25">
      <c r="A6372" s="117">
        <v>102327</v>
      </c>
      <c r="B6372" s="78">
        <v>45818</v>
      </c>
      <c r="C6372" s="47" t="s">
        <v>615</v>
      </c>
      <c r="D6372" s="49" t="s">
        <v>332</v>
      </c>
      <c r="E6372" s="117">
        <v>31455</v>
      </c>
      <c r="G6372" s="50" t="s">
        <v>89</v>
      </c>
      <c r="H6372" s="51">
        <v>472.37400000000002</v>
      </c>
      <c r="J6372" s="51">
        <v>5.69</v>
      </c>
      <c r="K6372" s="74">
        <f>Tabela6[[#This Row],[CONSUMO]]*Tabela6[[#This Row],[VALOR UNIT]]-Tabela6[[#This Row],[DESCONTO]]</f>
        <v>2687.8080600000003</v>
      </c>
      <c r="L6372" s="53">
        <f>Tabela6[[#This Row],[CUSTO TOTAL]]/Tabela6[[#This Row],[CONSUMO]]</f>
        <v>5.69</v>
      </c>
      <c r="M6372" s="53" t="e">
        <f t="array" ref="M6372">SE</f>
        <v>#NAME?</v>
      </c>
      <c r="N6372" s="118" t="e">
        <f>Tabela6[[#This Row],[KM Rodados ]]/Tabela6[[#This Row],[CONSUMO]]</f>
        <v>#NAME?</v>
      </c>
    </row>
    <row r="6373" spans="1:14" x14ac:dyDescent="0.25">
      <c r="A6373" s="117">
        <v>356298</v>
      </c>
      <c r="B6373" s="78">
        <v>45819</v>
      </c>
      <c r="C6373" s="47" t="s">
        <v>43</v>
      </c>
      <c r="D6373" s="49" t="s">
        <v>276</v>
      </c>
      <c r="E6373" s="117">
        <v>254174</v>
      </c>
      <c r="G6373" s="50" t="s">
        <v>89</v>
      </c>
      <c r="H6373" s="51">
        <v>42.680999999999997</v>
      </c>
      <c r="J6373" s="51">
        <v>5.89</v>
      </c>
      <c r="K6373" s="74">
        <f>Tabela6[[#This Row],[CONSUMO]]*Tabela6[[#This Row],[VALOR UNIT]]-Tabela6[[#This Row],[DESCONTO]]</f>
        <v>251.39108999999996</v>
      </c>
      <c r="L6373" s="53">
        <f>Tabela6[[#This Row],[CUSTO TOTAL]]/Tabela6[[#This Row],[CONSUMO]]</f>
        <v>5.89</v>
      </c>
      <c r="M6373" s="53" t="e">
        <f t="array" ref="M6373">SE</f>
        <v>#NAME?</v>
      </c>
      <c r="N6373" s="118" t="e">
        <f>Tabela6[[#This Row],[KM Rodados ]]/Tabela6[[#This Row],[CONSUMO]]</f>
        <v>#NAME?</v>
      </c>
    </row>
    <row r="6374" spans="1:14" x14ac:dyDescent="0.25">
      <c r="A6374" s="117">
        <v>533926</v>
      </c>
      <c r="B6374" s="78">
        <v>45819</v>
      </c>
      <c r="C6374" s="47" t="s">
        <v>13</v>
      </c>
      <c r="D6374" s="49" t="s">
        <v>253</v>
      </c>
      <c r="E6374" s="117">
        <v>748783</v>
      </c>
      <c r="G6374" s="50" t="s">
        <v>89</v>
      </c>
      <c r="H6374" s="51">
        <v>49.56</v>
      </c>
      <c r="J6374" s="51">
        <v>6.19</v>
      </c>
      <c r="K6374" s="74">
        <f>Tabela6[[#This Row],[CONSUMO]]*Tabela6[[#This Row],[VALOR UNIT]]-Tabela6[[#This Row],[DESCONTO]]</f>
        <v>306.77640000000002</v>
      </c>
      <c r="L6374" s="53">
        <f>Tabela6[[#This Row],[CUSTO TOTAL]]/Tabela6[[#This Row],[CONSUMO]]</f>
        <v>6.19</v>
      </c>
      <c r="M6374" s="53" t="e">
        <f t="array" ref="M6374">SE</f>
        <v>#NAME?</v>
      </c>
      <c r="N6374" s="118" t="e">
        <f>Tabela6[[#This Row],[KM Rodados ]]/Tabela6[[#This Row],[CONSUMO]]</f>
        <v>#NAME?</v>
      </c>
    </row>
    <row r="6375" spans="1:14" x14ac:dyDescent="0.25">
      <c r="A6375" s="117">
        <v>79485</v>
      </c>
      <c r="B6375" s="78">
        <v>45819</v>
      </c>
      <c r="C6375" s="47" t="s">
        <v>38</v>
      </c>
      <c r="D6375" s="49" t="s">
        <v>255</v>
      </c>
      <c r="E6375" s="117">
        <v>171696</v>
      </c>
      <c r="G6375" s="50" t="s">
        <v>244</v>
      </c>
      <c r="H6375" s="51">
        <v>53.52</v>
      </c>
      <c r="J6375" s="51">
        <v>6.09</v>
      </c>
      <c r="K6375" s="74">
        <f>Tabela6[[#This Row],[CONSUMO]]*Tabela6[[#This Row],[VALOR UNIT]]-Tabela6[[#This Row],[DESCONTO]]</f>
        <v>325.93680000000001</v>
      </c>
      <c r="L6375" s="53">
        <f>Tabela6[[#This Row],[CUSTO TOTAL]]/Tabela6[[#This Row],[CONSUMO]]</f>
        <v>6.09</v>
      </c>
      <c r="M6375" s="53" t="e">
        <f t="array" ref="M6375">SE</f>
        <v>#NAME?</v>
      </c>
      <c r="N6375" s="118" t="e">
        <f>Tabela6[[#This Row],[KM Rodados ]]/Tabela6[[#This Row],[CONSUMO]]</f>
        <v>#NAME?</v>
      </c>
    </row>
    <row r="6376" spans="1:14" x14ac:dyDescent="0.25">
      <c r="A6376" s="117">
        <v>543605</v>
      </c>
      <c r="B6376" s="78">
        <v>45819</v>
      </c>
      <c r="C6376" s="47" t="s">
        <v>68</v>
      </c>
      <c r="D6376" s="49" t="s">
        <v>269</v>
      </c>
      <c r="E6376" s="117">
        <v>1053482</v>
      </c>
      <c r="G6376" s="50" t="s">
        <v>89</v>
      </c>
      <c r="H6376" s="51">
        <v>370.06099999999998</v>
      </c>
      <c r="J6376" s="51">
        <v>5.79</v>
      </c>
      <c r="K6376" s="74">
        <f>Tabela6[[#This Row],[CONSUMO]]*Tabela6[[#This Row],[VALOR UNIT]]-Tabela6[[#This Row],[DESCONTO]]</f>
        <v>2142.65319</v>
      </c>
      <c r="L6376" s="53">
        <f>Tabela6[[#This Row],[CUSTO TOTAL]]/Tabela6[[#This Row],[CONSUMO]]</f>
        <v>5.79</v>
      </c>
      <c r="M6376" s="53" t="e">
        <f t="array" ref="M6376">SE</f>
        <v>#NAME?</v>
      </c>
      <c r="N6376" s="118" t="e">
        <f>Tabela6[[#This Row],[KM Rodados ]]/Tabela6[[#This Row],[CONSUMO]]</f>
        <v>#NAME?</v>
      </c>
    </row>
    <row r="6377" spans="1:14" x14ac:dyDescent="0.25">
      <c r="A6377" s="117">
        <v>471174</v>
      </c>
      <c r="B6377" s="78">
        <v>45819</v>
      </c>
      <c r="C6377" s="47" t="s">
        <v>43</v>
      </c>
      <c r="D6377" s="49" t="s">
        <v>270</v>
      </c>
      <c r="E6377" s="117">
        <v>254457</v>
      </c>
      <c r="G6377" s="50" t="s">
        <v>89</v>
      </c>
      <c r="H6377" s="51">
        <v>34.290999999999997</v>
      </c>
      <c r="J6377" s="51">
        <v>5.79</v>
      </c>
      <c r="K6377" s="74">
        <f>Tabela6[[#This Row],[CONSUMO]]*Tabela6[[#This Row],[VALOR UNIT]]-Tabela6[[#This Row],[DESCONTO]]</f>
        <v>198.54488999999998</v>
      </c>
      <c r="L6377" s="53">
        <f>Tabela6[[#This Row],[CUSTO TOTAL]]/Tabela6[[#This Row],[CONSUMO]]</f>
        <v>5.79</v>
      </c>
      <c r="M6377" s="53" t="e">
        <f t="array" ref="M6377">SE</f>
        <v>#NAME?</v>
      </c>
      <c r="N6377" s="118" t="e">
        <f>Tabela6[[#This Row],[KM Rodados ]]/Tabela6[[#This Row],[CONSUMO]]</f>
        <v>#NAME?</v>
      </c>
    </row>
    <row r="6378" spans="1:14" x14ac:dyDescent="0.25">
      <c r="A6378" s="117">
        <v>471176</v>
      </c>
      <c r="B6378" s="78">
        <v>45819</v>
      </c>
      <c r="C6378" s="47" t="s">
        <v>72</v>
      </c>
      <c r="D6378" s="49" t="s">
        <v>270</v>
      </c>
      <c r="E6378" s="117">
        <v>520554</v>
      </c>
      <c r="G6378" s="50" t="s">
        <v>89</v>
      </c>
      <c r="H6378" s="51">
        <v>33.341000000000001</v>
      </c>
      <c r="J6378" s="51">
        <v>5.79</v>
      </c>
      <c r="K6378" s="74">
        <f>Tabela6[[#This Row],[CONSUMO]]*Tabela6[[#This Row],[VALOR UNIT]]-Tabela6[[#This Row],[DESCONTO]]</f>
        <v>193.04439000000002</v>
      </c>
      <c r="L6378" s="53">
        <f>Tabela6[[#This Row],[CUSTO TOTAL]]/Tabela6[[#This Row],[CONSUMO]]</f>
        <v>5.79</v>
      </c>
      <c r="M6378" s="53" t="e">
        <f t="array" ref="M6378">SE</f>
        <v>#NAME?</v>
      </c>
      <c r="N6378" s="118" t="e">
        <f>Tabela6[[#This Row],[KM Rodados ]]/Tabela6[[#This Row],[CONSUMO]]</f>
        <v>#NAME?</v>
      </c>
    </row>
    <row r="6379" spans="1:14" x14ac:dyDescent="0.25">
      <c r="A6379" s="117">
        <v>25426</v>
      </c>
      <c r="B6379" s="78">
        <v>45819</v>
      </c>
      <c r="C6379" s="47" t="s">
        <v>72</v>
      </c>
      <c r="D6379" s="49" t="s">
        <v>300</v>
      </c>
      <c r="E6379" s="117">
        <v>520992</v>
      </c>
      <c r="G6379" s="50" t="s">
        <v>89</v>
      </c>
      <c r="H6379" s="51">
        <v>37.481000000000002</v>
      </c>
      <c r="J6379" s="51">
        <v>5.79</v>
      </c>
      <c r="K6379" s="74">
        <f>Tabela6[[#This Row],[CONSUMO]]*Tabela6[[#This Row],[VALOR UNIT]]-Tabela6[[#This Row],[DESCONTO]]</f>
        <v>217.01499000000001</v>
      </c>
      <c r="L6379" s="53">
        <f>Tabela6[[#This Row],[CUSTO TOTAL]]/Tabela6[[#This Row],[CONSUMO]]</f>
        <v>5.79</v>
      </c>
      <c r="M6379" s="53" t="e">
        <f t="array" ref="M6379">SE</f>
        <v>#NAME?</v>
      </c>
      <c r="N6379" s="118" t="e">
        <f>Tabela6[[#This Row],[KM Rodados ]]/Tabela6[[#This Row],[CONSUMO]]</f>
        <v>#NAME?</v>
      </c>
    </row>
    <row r="6380" spans="1:14" x14ac:dyDescent="0.25">
      <c r="A6380" s="117" t="s">
        <v>734</v>
      </c>
      <c r="B6380" s="78">
        <v>45820</v>
      </c>
      <c r="C6380" s="47" t="s">
        <v>615</v>
      </c>
      <c r="D6380" s="49" t="s">
        <v>374</v>
      </c>
      <c r="E6380" s="117">
        <v>32559</v>
      </c>
      <c r="G6380" s="50" t="s">
        <v>89</v>
      </c>
      <c r="H6380" s="51">
        <v>350.01100000000002</v>
      </c>
      <c r="J6380" s="51">
        <v>5.79</v>
      </c>
      <c r="K6380" s="74">
        <f>Tabela6[[#This Row],[CONSUMO]]*Tabela6[[#This Row],[VALOR UNIT]]-Tabela6[[#This Row],[DESCONTO]]</f>
        <v>2026.5636900000002</v>
      </c>
      <c r="L6380" s="53">
        <f>Tabela6[[#This Row],[CUSTO TOTAL]]/Tabela6[[#This Row],[CONSUMO]]</f>
        <v>5.79</v>
      </c>
      <c r="M6380" s="53" t="e">
        <f t="array" ref="M6380">SE</f>
        <v>#NAME?</v>
      </c>
      <c r="N6380" s="118" t="e">
        <f>Tabela6[[#This Row],[KM Rodados ]]/Tabela6[[#This Row],[CONSUMO]]</f>
        <v>#NAME?</v>
      </c>
    </row>
    <row r="6381" spans="1:14" x14ac:dyDescent="0.25">
      <c r="A6381" s="117">
        <v>356488</v>
      </c>
      <c r="B6381" s="78">
        <v>45820</v>
      </c>
      <c r="C6381" s="47" t="s">
        <v>354</v>
      </c>
      <c r="D6381" s="49" t="s">
        <v>276</v>
      </c>
      <c r="E6381" s="117">
        <v>110793</v>
      </c>
      <c r="G6381" s="50" t="s">
        <v>241</v>
      </c>
      <c r="H6381" s="51">
        <v>27.48</v>
      </c>
      <c r="J6381" s="51">
        <v>3.33</v>
      </c>
      <c r="K6381" s="74">
        <f>Tabela6[[#This Row],[CONSUMO]]*Tabela6[[#This Row],[VALOR UNIT]]-Tabela6[[#This Row],[DESCONTO]]</f>
        <v>91.508400000000009</v>
      </c>
      <c r="L6381" s="53">
        <f>Tabela6[[#This Row],[CUSTO TOTAL]]/Tabela6[[#This Row],[CONSUMO]]</f>
        <v>3.33</v>
      </c>
      <c r="M6381" s="53" t="e">
        <f t="array" ref="M6381">SE</f>
        <v>#NAME?</v>
      </c>
      <c r="N6381" s="118" t="e">
        <f>Tabela6[[#This Row],[KM Rodados ]]/Tabela6[[#This Row],[CONSUMO]]</f>
        <v>#NAME?</v>
      </c>
    </row>
    <row r="6382" spans="1:14" x14ac:dyDescent="0.25">
      <c r="A6382" s="117">
        <v>521582</v>
      </c>
      <c r="B6382" s="78">
        <v>45820</v>
      </c>
      <c r="C6382" s="47" t="s">
        <v>74</v>
      </c>
      <c r="D6382" s="49" t="s">
        <v>276</v>
      </c>
      <c r="E6382" s="117">
        <v>199189</v>
      </c>
      <c r="G6382" s="50" t="s">
        <v>241</v>
      </c>
      <c r="H6382" s="51">
        <v>15.706</v>
      </c>
      <c r="J6382" s="51">
        <v>3.69</v>
      </c>
      <c r="K6382" s="74">
        <f>Tabela6[[#This Row],[CONSUMO]]*Tabela6[[#This Row],[VALOR UNIT]]-Tabela6[[#This Row],[DESCONTO]]</f>
        <v>57.95514</v>
      </c>
      <c r="L6382" s="53">
        <f>Tabela6[[#This Row],[CUSTO TOTAL]]/Tabela6[[#This Row],[CONSUMO]]</f>
        <v>3.69</v>
      </c>
      <c r="M6382" s="53" t="e">
        <f t="array" ref="M6382">SE</f>
        <v>#NAME?</v>
      </c>
      <c r="N6382" s="118" t="e">
        <f>Tabela6[[#This Row],[KM Rodados ]]/Tabela6[[#This Row],[CONSUMO]]</f>
        <v>#NAME?</v>
      </c>
    </row>
    <row r="6383" spans="1:14" x14ac:dyDescent="0.25">
      <c r="A6383" s="117">
        <v>79755</v>
      </c>
      <c r="B6383" s="78">
        <v>45820</v>
      </c>
      <c r="C6383" s="47" t="s">
        <v>23</v>
      </c>
      <c r="D6383" s="49" t="s">
        <v>255</v>
      </c>
      <c r="E6383" s="117">
        <v>339918</v>
      </c>
      <c r="G6383" s="50" t="s">
        <v>89</v>
      </c>
      <c r="H6383" s="51">
        <v>107.34</v>
      </c>
      <c r="J6383" s="51">
        <v>6.19</v>
      </c>
      <c r="K6383" s="74">
        <f>Tabela6[[#This Row],[CONSUMO]]*Tabela6[[#This Row],[VALOR UNIT]]-Tabela6[[#This Row],[DESCONTO]]</f>
        <v>664.43460000000005</v>
      </c>
      <c r="L6383" s="53">
        <f>Tabela6[[#This Row],[CUSTO TOTAL]]/Tabela6[[#This Row],[CONSUMO]]</f>
        <v>6.19</v>
      </c>
      <c r="M6383" s="53" t="e">
        <f t="array" ref="M6383">SE</f>
        <v>#NAME?</v>
      </c>
      <c r="N6383" s="118" t="e">
        <f>Tabela6[[#This Row],[KM Rodados ]]/Tabela6[[#This Row],[CONSUMO]]</f>
        <v>#NAME?</v>
      </c>
    </row>
    <row r="6384" spans="1:14" x14ac:dyDescent="0.25">
      <c r="A6384" s="117" t="s">
        <v>735</v>
      </c>
      <c r="B6384" s="78">
        <v>45820</v>
      </c>
      <c r="C6384" s="47" t="s">
        <v>615</v>
      </c>
      <c r="D6384" s="49" t="s">
        <v>374</v>
      </c>
      <c r="E6384" s="117">
        <v>32559</v>
      </c>
      <c r="G6384" s="50" t="s">
        <v>241</v>
      </c>
      <c r="H6384" s="51">
        <v>49.091000000000001</v>
      </c>
      <c r="J6384" s="51">
        <v>2.99</v>
      </c>
      <c r="K6384" s="74">
        <f>Tabela6[[#This Row],[CONSUMO]]*Tabela6[[#This Row],[VALOR UNIT]]-Tabela6[[#This Row],[DESCONTO]]</f>
        <v>146.78209000000001</v>
      </c>
      <c r="L6384" s="53">
        <f>Tabela6[[#This Row],[CUSTO TOTAL]]/Tabela6[[#This Row],[CONSUMO]]</f>
        <v>2.99</v>
      </c>
      <c r="M6384" s="53" t="e">
        <f t="array" ref="M6384">SE</f>
        <v>#NAME?</v>
      </c>
      <c r="N6384" s="118" t="e">
        <f>Tabela6[[#This Row],[KM Rodados ]]/Tabela6[[#This Row],[CONSUMO]]</f>
        <v>#NAME?</v>
      </c>
    </row>
    <row r="6385" spans="1:14" x14ac:dyDescent="0.25">
      <c r="A6385" s="117">
        <v>377552</v>
      </c>
      <c r="B6385" s="78">
        <v>45820</v>
      </c>
      <c r="C6385" s="47" t="s">
        <v>72</v>
      </c>
      <c r="D6385" s="49" t="s">
        <v>273</v>
      </c>
      <c r="E6385" s="117">
        <v>521228</v>
      </c>
      <c r="G6385" s="50" t="s">
        <v>89</v>
      </c>
      <c r="H6385" s="51">
        <v>31.78</v>
      </c>
      <c r="J6385" s="51">
        <v>5.72</v>
      </c>
      <c r="K6385" s="74">
        <f>Tabela6[[#This Row],[CONSUMO]]*Tabela6[[#This Row],[VALOR UNIT]]-Tabela6[[#This Row],[DESCONTO]]</f>
        <v>181.7816</v>
      </c>
      <c r="L6385" s="53">
        <f>Tabela6[[#This Row],[CUSTO TOTAL]]/Tabela6[[#This Row],[CONSUMO]]</f>
        <v>5.72</v>
      </c>
      <c r="M6385" s="53" t="e">
        <f t="array" ref="M6385">SE</f>
        <v>#NAME?</v>
      </c>
      <c r="N6385" s="118" t="e">
        <f>Tabela6[[#This Row],[KM Rodados ]]/Tabela6[[#This Row],[CONSUMO]]</f>
        <v>#NAME?</v>
      </c>
    </row>
    <row r="6386" spans="1:14" x14ac:dyDescent="0.25">
      <c r="A6386" s="117">
        <v>544100</v>
      </c>
      <c r="B6386" s="78">
        <v>45820</v>
      </c>
      <c r="C6386" s="47" t="s">
        <v>9</v>
      </c>
      <c r="D6386" s="49" t="s">
        <v>269</v>
      </c>
      <c r="E6386" s="117">
        <v>701115</v>
      </c>
      <c r="G6386" s="50" t="s">
        <v>89</v>
      </c>
      <c r="H6386" s="51">
        <v>180.011</v>
      </c>
      <c r="J6386" s="51">
        <v>5.79</v>
      </c>
      <c r="K6386" s="74">
        <f>Tabela6[[#This Row],[CONSUMO]]*Tabela6[[#This Row],[VALOR UNIT]]-Tabela6[[#This Row],[DESCONTO]]</f>
        <v>1042.26369</v>
      </c>
      <c r="L6386" s="53">
        <f>Tabela6[[#This Row],[CUSTO TOTAL]]/Tabela6[[#This Row],[CONSUMO]]</f>
        <v>5.79</v>
      </c>
      <c r="M6386" s="53" t="e">
        <f t="array" ref="M6386">SE</f>
        <v>#NAME?</v>
      </c>
      <c r="N6386" s="118" t="e">
        <f>Tabela6[[#This Row],[KM Rodados ]]/Tabela6[[#This Row],[CONSUMO]]</f>
        <v>#NAME?</v>
      </c>
    </row>
    <row r="6387" spans="1:14" x14ac:dyDescent="0.25">
      <c r="A6387" s="117">
        <v>521900</v>
      </c>
      <c r="B6387" s="78">
        <v>45821</v>
      </c>
      <c r="C6387" s="47" t="s">
        <v>564</v>
      </c>
      <c r="D6387" s="49" t="s">
        <v>276</v>
      </c>
      <c r="E6387" s="117">
        <v>90990</v>
      </c>
      <c r="G6387" s="50" t="s">
        <v>241</v>
      </c>
      <c r="H6387" s="51">
        <v>32.222000000000001</v>
      </c>
      <c r="J6387" s="51">
        <v>3.69</v>
      </c>
      <c r="K6387" s="74">
        <f>Tabela6[[#This Row],[CONSUMO]]*Tabela6[[#This Row],[VALOR UNIT]]-Tabela6[[#This Row],[DESCONTO]]</f>
        <v>118.89918</v>
      </c>
      <c r="L6387" s="53">
        <f>Tabela6[[#This Row],[CUSTO TOTAL]]/Tabela6[[#This Row],[CONSUMO]]</f>
        <v>3.69</v>
      </c>
      <c r="M6387" s="53" t="e">
        <f t="array" ref="M6387">SE</f>
        <v>#NAME?</v>
      </c>
      <c r="N6387" s="118" t="e">
        <f>Tabela6[[#This Row],[KM Rodados ]]/Tabela6[[#This Row],[CONSUMO]]</f>
        <v>#NAME?</v>
      </c>
    </row>
    <row r="6388" spans="1:14" x14ac:dyDescent="0.25">
      <c r="A6388" s="117">
        <v>356593</v>
      </c>
      <c r="B6388" s="78">
        <v>45821</v>
      </c>
      <c r="C6388" s="47" t="s">
        <v>203</v>
      </c>
      <c r="D6388" s="49" t="s">
        <v>276</v>
      </c>
      <c r="E6388" s="117">
        <v>223567</v>
      </c>
      <c r="G6388" s="50" t="s">
        <v>244</v>
      </c>
      <c r="H6388" s="51">
        <v>22.350999999999999</v>
      </c>
      <c r="J6388" s="51">
        <v>5.99</v>
      </c>
      <c r="K6388" s="74">
        <f>Tabela6[[#This Row],[CONSUMO]]*Tabela6[[#This Row],[VALOR UNIT]]-Tabela6[[#This Row],[DESCONTO]]</f>
        <v>133.88248999999999</v>
      </c>
      <c r="L6388" s="53">
        <f>Tabela6[[#This Row],[CUSTO TOTAL]]/Tabela6[[#This Row],[CONSUMO]]</f>
        <v>5.99</v>
      </c>
      <c r="M6388" s="53" t="e">
        <f t="array" ref="M6388">SE</f>
        <v>#NAME?</v>
      </c>
      <c r="N6388" s="118" t="e">
        <f>Tabela6[[#This Row],[KM Rodados ]]/Tabela6[[#This Row],[CONSUMO]]</f>
        <v>#NAME?</v>
      </c>
    </row>
    <row r="6389" spans="1:14" x14ac:dyDescent="0.25">
      <c r="A6389" s="117">
        <v>535672</v>
      </c>
      <c r="B6389" s="78">
        <v>45821</v>
      </c>
      <c r="C6389" s="47" t="s">
        <v>12</v>
      </c>
      <c r="D6389" s="49" t="s">
        <v>253</v>
      </c>
      <c r="E6389" s="117">
        <v>362805</v>
      </c>
      <c r="G6389" s="50" t="s">
        <v>89</v>
      </c>
      <c r="H6389" s="51">
        <v>117.91</v>
      </c>
      <c r="J6389" s="51">
        <v>6.19</v>
      </c>
      <c r="K6389" s="74">
        <f>Tabela6[[#This Row],[CONSUMO]]*Tabela6[[#This Row],[VALOR UNIT]]-Tabela6[[#This Row],[DESCONTO]]</f>
        <v>729.86290000000008</v>
      </c>
      <c r="L6389" s="53">
        <f>Tabela6[[#This Row],[CUSTO TOTAL]]/Tabela6[[#This Row],[CONSUMO]]</f>
        <v>6.1900000000000013</v>
      </c>
      <c r="M6389" s="53" t="e">
        <f t="array" ref="M6389">SE</f>
        <v>#NAME?</v>
      </c>
      <c r="N6389" s="118" t="e">
        <f>Tabela6[[#This Row],[KM Rodados ]]/Tabela6[[#This Row],[CONSUMO]]</f>
        <v>#NAME?</v>
      </c>
    </row>
    <row r="6390" spans="1:14" x14ac:dyDescent="0.25">
      <c r="A6390" s="117">
        <v>536073</v>
      </c>
      <c r="B6390" s="78">
        <v>45821</v>
      </c>
      <c r="C6390" s="47" t="s">
        <v>20</v>
      </c>
      <c r="D6390" s="49" t="s">
        <v>253</v>
      </c>
      <c r="E6390" s="117">
        <v>353267</v>
      </c>
      <c r="G6390" s="50" t="s">
        <v>89</v>
      </c>
      <c r="H6390" s="51">
        <v>66.180000000000007</v>
      </c>
      <c r="J6390" s="51">
        <v>6.19</v>
      </c>
      <c r="K6390" s="74">
        <f>Tabela6[[#This Row],[CONSUMO]]*Tabela6[[#This Row],[VALOR UNIT]]-Tabela6[[#This Row],[DESCONTO]]</f>
        <v>409.65420000000006</v>
      </c>
      <c r="L6390" s="53">
        <f>Tabela6[[#This Row],[CUSTO TOTAL]]/Tabela6[[#This Row],[CONSUMO]]</f>
        <v>6.19</v>
      </c>
      <c r="M6390" s="53" t="e">
        <f t="array" ref="M6390">SE</f>
        <v>#NAME?</v>
      </c>
      <c r="N6390" s="118" t="e">
        <f>Tabela6[[#This Row],[KM Rodados ]]/Tabela6[[#This Row],[CONSUMO]]</f>
        <v>#NAME?</v>
      </c>
    </row>
    <row r="6391" spans="1:14" x14ac:dyDescent="0.25">
      <c r="A6391" s="117">
        <v>554988</v>
      </c>
      <c r="B6391" s="78">
        <v>45821</v>
      </c>
      <c r="C6391" s="47" t="s">
        <v>43</v>
      </c>
      <c r="D6391" s="49" t="s">
        <v>271</v>
      </c>
      <c r="E6391" s="117">
        <v>254968</v>
      </c>
      <c r="G6391" s="50" t="s">
        <v>89</v>
      </c>
      <c r="H6391" s="51">
        <v>42.13</v>
      </c>
      <c r="J6391" s="51">
        <v>6.09</v>
      </c>
      <c r="K6391" s="74">
        <f>Tabela6[[#This Row],[CONSUMO]]*Tabela6[[#This Row],[VALOR UNIT]]-Tabela6[[#This Row],[DESCONTO]]</f>
        <v>256.57170000000002</v>
      </c>
      <c r="L6391" s="53">
        <f>Tabela6[[#This Row],[CUSTO TOTAL]]/Tabela6[[#This Row],[CONSUMO]]</f>
        <v>6.09</v>
      </c>
      <c r="M6391" s="53" t="e">
        <f t="array" ref="M6391">SE</f>
        <v>#NAME?</v>
      </c>
      <c r="N6391" s="118" t="e">
        <f>Tabela6[[#This Row],[KM Rodados ]]/Tabela6[[#This Row],[CONSUMO]]</f>
        <v>#NAME?</v>
      </c>
    </row>
    <row r="6392" spans="1:14" x14ac:dyDescent="0.25">
      <c r="A6392" s="117">
        <v>82230</v>
      </c>
      <c r="B6392" s="78">
        <v>45822</v>
      </c>
      <c r="C6392" s="47" t="s">
        <v>10</v>
      </c>
      <c r="D6392" s="49" t="s">
        <v>252</v>
      </c>
      <c r="E6392" s="117"/>
      <c r="G6392" s="50" t="s">
        <v>89</v>
      </c>
      <c r="H6392" s="51">
        <v>154.30099999999999</v>
      </c>
      <c r="J6392" s="51">
        <v>5.69</v>
      </c>
      <c r="K6392" s="74">
        <f>Tabela6[[#This Row],[CONSUMO]]*Tabela6[[#This Row],[VALOR UNIT]]-Tabela6[[#This Row],[DESCONTO]]</f>
        <v>877.97268999999994</v>
      </c>
      <c r="L6392" s="53">
        <f>Tabela6[[#This Row],[CUSTO TOTAL]]/Tabela6[[#This Row],[CONSUMO]]</f>
        <v>5.69</v>
      </c>
      <c r="M6392" s="53" t="e">
        <f t="array" ref="M6392">SE</f>
        <v>#NAME?</v>
      </c>
      <c r="N6392" s="118" t="e">
        <f>Tabela6[[#This Row],[KM Rodados ]]/Tabela6[[#This Row],[CONSUMO]]</f>
        <v>#NAME?</v>
      </c>
    </row>
    <row r="6393" spans="1:14" x14ac:dyDescent="0.25">
      <c r="A6393" s="117">
        <v>629881</v>
      </c>
      <c r="B6393" s="78">
        <v>45822</v>
      </c>
      <c r="C6393" s="47" t="s">
        <v>564</v>
      </c>
      <c r="D6393" s="49" t="s">
        <v>347</v>
      </c>
      <c r="E6393" s="117">
        <v>92087</v>
      </c>
      <c r="G6393" s="50" t="s">
        <v>89</v>
      </c>
      <c r="H6393" s="51">
        <v>587.01099999999997</v>
      </c>
      <c r="J6393" s="51">
        <v>5.79</v>
      </c>
      <c r="K6393" s="74">
        <f>Tabela6[[#This Row],[CONSUMO]]*Tabela6[[#This Row],[VALOR UNIT]]-Tabela6[[#This Row],[DESCONTO]]</f>
        <v>3398.79369</v>
      </c>
      <c r="L6393" s="53">
        <f>Tabela6[[#This Row],[CUSTO TOTAL]]/Tabela6[[#This Row],[CONSUMO]]</f>
        <v>5.79</v>
      </c>
      <c r="M6393" s="53" t="e">
        <f t="array" ref="M6393">SE</f>
        <v>#NAME?</v>
      </c>
      <c r="N6393" s="118" t="e">
        <f>Tabela6[[#This Row],[KM Rodados ]]/Tabela6[[#This Row],[CONSUMO]]</f>
        <v>#NAME?</v>
      </c>
    </row>
    <row r="6394" spans="1:14" x14ac:dyDescent="0.25">
      <c r="A6394" s="117" t="s">
        <v>736</v>
      </c>
      <c r="B6394" s="78">
        <v>45822</v>
      </c>
      <c r="C6394" s="47" t="s">
        <v>564</v>
      </c>
      <c r="D6394" s="49" t="s">
        <v>347</v>
      </c>
      <c r="E6394" s="117">
        <v>92087</v>
      </c>
      <c r="G6394" s="50" t="s">
        <v>241</v>
      </c>
      <c r="H6394" s="51">
        <v>39</v>
      </c>
      <c r="J6394" s="51">
        <v>2.99</v>
      </c>
      <c r="K6394" s="74">
        <f>Tabela6[[#This Row],[CONSUMO]]*Tabela6[[#This Row],[VALOR UNIT]]-Tabela6[[#This Row],[DESCONTO]]</f>
        <v>116.61000000000001</v>
      </c>
      <c r="L6394" s="53">
        <f>Tabela6[[#This Row],[CUSTO TOTAL]]/Tabela6[[#This Row],[CONSUMO]]</f>
        <v>2.99</v>
      </c>
      <c r="M6394" s="53" t="e">
        <f t="array" ref="M6394">SE</f>
        <v>#NAME?</v>
      </c>
      <c r="N6394" s="118" t="e">
        <f>Tabela6[[#This Row],[KM Rodados ]]/Tabela6[[#This Row],[CONSUMO]]</f>
        <v>#NAME?</v>
      </c>
    </row>
    <row r="6395" spans="1:14" x14ac:dyDescent="0.25">
      <c r="A6395" s="117">
        <v>43458</v>
      </c>
      <c r="B6395" s="78">
        <v>45824</v>
      </c>
      <c r="C6395" s="47" t="s">
        <v>10</v>
      </c>
      <c r="D6395" s="49" t="s">
        <v>252</v>
      </c>
      <c r="E6395" s="117">
        <v>840803</v>
      </c>
      <c r="G6395" s="50" t="s">
        <v>89</v>
      </c>
      <c r="H6395" s="51">
        <v>160.21100000000001</v>
      </c>
      <c r="J6395" s="51">
        <v>6.18</v>
      </c>
      <c r="K6395" s="74">
        <f>Tabela6[[#This Row],[CONSUMO]]*Tabela6[[#This Row],[VALOR UNIT]]-Tabela6[[#This Row],[DESCONTO]]</f>
        <v>990.10397999999998</v>
      </c>
      <c r="L6395" s="53">
        <f>Tabela6[[#This Row],[CUSTO TOTAL]]/Tabela6[[#This Row],[CONSUMO]]</f>
        <v>6.18</v>
      </c>
      <c r="M6395" s="53" t="e">
        <f t="array" ref="M6395">SE</f>
        <v>#NAME?</v>
      </c>
      <c r="N6395" s="118" t="e">
        <f>Tabela6[[#This Row],[KM Rodados ]]/Tabela6[[#This Row],[CONSUMO]]</f>
        <v>#NAME?</v>
      </c>
    </row>
    <row r="6396" spans="1:14" x14ac:dyDescent="0.25">
      <c r="A6396" s="117" t="s">
        <v>737</v>
      </c>
      <c r="B6396" s="78">
        <v>45824</v>
      </c>
      <c r="C6396" s="47" t="s">
        <v>73</v>
      </c>
      <c r="D6396" s="49" t="s">
        <v>300</v>
      </c>
      <c r="E6396" s="117">
        <v>276395</v>
      </c>
      <c r="G6396" s="50" t="s">
        <v>241</v>
      </c>
      <c r="H6396" s="51">
        <v>17.91</v>
      </c>
      <c r="J6396" s="51">
        <v>2.99</v>
      </c>
      <c r="K6396" s="74">
        <f>Tabela6[[#This Row],[CONSUMO]]*Tabela6[[#This Row],[VALOR UNIT]]-Tabela6[[#This Row],[DESCONTO]]</f>
        <v>53.550900000000006</v>
      </c>
      <c r="L6396" s="53">
        <f>Tabela6[[#This Row],[CUSTO TOTAL]]/Tabela6[[#This Row],[CONSUMO]]</f>
        <v>2.99</v>
      </c>
      <c r="M6396" s="53" t="e">
        <f t="array" ref="M6396">SE</f>
        <v>#NAME?</v>
      </c>
      <c r="N6396" s="118" t="e">
        <f>Tabela6[[#This Row],[KM Rodados ]]/Tabela6[[#This Row],[CONSUMO]]</f>
        <v>#NAME?</v>
      </c>
    </row>
    <row r="6397" spans="1:14" x14ac:dyDescent="0.25">
      <c r="A6397" s="117">
        <v>28196</v>
      </c>
      <c r="B6397" s="78">
        <v>45824</v>
      </c>
      <c r="C6397" s="47" t="s">
        <v>569</v>
      </c>
      <c r="D6397" s="49" t="s">
        <v>300</v>
      </c>
      <c r="E6397" s="117">
        <v>35236</v>
      </c>
      <c r="G6397" s="50" t="s">
        <v>89</v>
      </c>
      <c r="H6397" s="51">
        <v>562.51</v>
      </c>
      <c r="J6397" s="51">
        <v>5.79</v>
      </c>
      <c r="K6397" s="74">
        <f>Tabela6[[#This Row],[CONSUMO]]*Tabela6[[#This Row],[VALOR UNIT]]-Tabela6[[#This Row],[DESCONTO]]</f>
        <v>3256.9328999999998</v>
      </c>
      <c r="L6397" s="53">
        <f>Tabela6[[#This Row],[CUSTO TOTAL]]/Tabela6[[#This Row],[CONSUMO]]</f>
        <v>5.79</v>
      </c>
      <c r="M6397" s="53" t="e">
        <f t="array" ref="M6397">SE</f>
        <v>#NAME?</v>
      </c>
      <c r="N6397" s="118" t="e">
        <f>Tabela6[[#This Row],[KM Rodados ]]/Tabela6[[#This Row],[CONSUMO]]</f>
        <v>#NAME?</v>
      </c>
    </row>
    <row r="6398" spans="1:14" x14ac:dyDescent="0.25">
      <c r="A6398" s="117" t="s">
        <v>738</v>
      </c>
      <c r="B6398" s="78">
        <v>45824</v>
      </c>
      <c r="C6398" s="47" t="s">
        <v>72</v>
      </c>
      <c r="D6398" s="49" t="s">
        <v>300</v>
      </c>
      <c r="E6398" s="117">
        <v>522088</v>
      </c>
      <c r="G6398" s="50" t="s">
        <v>89</v>
      </c>
      <c r="H6398" s="51">
        <v>45.31</v>
      </c>
      <c r="J6398" s="51">
        <v>5.79</v>
      </c>
      <c r="K6398" s="74">
        <f>Tabela6[[#This Row],[CONSUMO]]*Tabela6[[#This Row],[VALOR UNIT]]-Tabela6[[#This Row],[DESCONTO]]</f>
        <v>262.3449</v>
      </c>
      <c r="L6398" s="53">
        <f>Tabela6[[#This Row],[CUSTO TOTAL]]/Tabela6[[#This Row],[CONSUMO]]</f>
        <v>5.79</v>
      </c>
      <c r="M6398" s="53" t="e">
        <f t="array" ref="M6398">SE</f>
        <v>#NAME?</v>
      </c>
      <c r="N6398" s="118" t="e">
        <f>Tabela6[[#This Row],[KM Rodados ]]/Tabela6[[#This Row],[CONSUMO]]</f>
        <v>#NAME?</v>
      </c>
    </row>
    <row r="6399" spans="1:14" x14ac:dyDescent="0.25">
      <c r="A6399" s="117">
        <v>70119</v>
      </c>
      <c r="B6399" s="78">
        <v>45825</v>
      </c>
      <c r="C6399" s="47" t="s">
        <v>10</v>
      </c>
      <c r="D6399" s="49" t="s">
        <v>252</v>
      </c>
      <c r="E6399" s="117">
        <v>841109</v>
      </c>
      <c r="G6399" s="50" t="s">
        <v>89</v>
      </c>
      <c r="H6399" s="51">
        <v>128.65100000000001</v>
      </c>
      <c r="J6399" s="51">
        <v>5.69</v>
      </c>
      <c r="K6399" s="74">
        <f>Tabela6[[#This Row],[CONSUMO]]*Tabela6[[#This Row],[VALOR UNIT]]-Tabela6[[#This Row],[DESCONTO]]</f>
        <v>732.02419000000009</v>
      </c>
      <c r="L6399" s="53">
        <f>Tabela6[[#This Row],[CUSTO TOTAL]]/Tabela6[[#This Row],[CONSUMO]]</f>
        <v>5.69</v>
      </c>
      <c r="M6399" s="53" t="e">
        <f t="array" ref="M6399">SE</f>
        <v>#NAME?</v>
      </c>
      <c r="N6399" s="118" t="e">
        <f>Tabela6[[#This Row],[KM Rodados ]]/Tabela6[[#This Row],[CONSUMO]]</f>
        <v>#NAME?</v>
      </c>
    </row>
    <row r="6400" spans="1:14" x14ac:dyDescent="0.25">
      <c r="A6400" s="117">
        <v>630462</v>
      </c>
      <c r="B6400" s="78">
        <v>45825</v>
      </c>
      <c r="C6400" s="47" t="s">
        <v>564</v>
      </c>
      <c r="D6400" s="49" t="s">
        <v>347</v>
      </c>
      <c r="E6400" s="117">
        <v>93625</v>
      </c>
      <c r="G6400" s="50" t="s">
        <v>89</v>
      </c>
      <c r="H6400" s="51">
        <v>622</v>
      </c>
      <c r="J6400" s="51">
        <v>5.79</v>
      </c>
      <c r="K6400" s="74">
        <f>Tabela6[[#This Row],[CONSUMO]]*Tabela6[[#This Row],[VALOR UNIT]]-Tabela6[[#This Row],[DESCONTO]]</f>
        <v>3601.38</v>
      </c>
      <c r="L6400" s="53">
        <f>Tabela6[[#This Row],[CUSTO TOTAL]]/Tabela6[[#This Row],[CONSUMO]]</f>
        <v>5.79</v>
      </c>
      <c r="M6400" s="53" t="e">
        <f t="array" ref="M6400">SE</f>
        <v>#NAME?</v>
      </c>
      <c r="N6400" s="118" t="e">
        <f>Tabela6[[#This Row],[KM Rodados ]]/Tabela6[[#This Row],[CONSUMO]]</f>
        <v>#NAME?</v>
      </c>
    </row>
    <row r="6401" spans="1:14" x14ac:dyDescent="0.25">
      <c r="A6401" s="117">
        <v>630463</v>
      </c>
      <c r="B6401" s="78">
        <v>45825</v>
      </c>
      <c r="C6401" s="47" t="s">
        <v>564</v>
      </c>
      <c r="D6401" s="49" t="s">
        <v>347</v>
      </c>
      <c r="E6401" s="117">
        <v>93625</v>
      </c>
      <c r="G6401" s="50" t="s">
        <v>241</v>
      </c>
      <c r="H6401" s="51">
        <v>35.322000000000003</v>
      </c>
      <c r="J6401" s="51">
        <v>2.99</v>
      </c>
      <c r="K6401" s="74">
        <f>Tabela6[[#This Row],[CONSUMO]]*Tabela6[[#This Row],[VALOR UNIT]]-Tabela6[[#This Row],[DESCONTO]]</f>
        <v>105.61278000000001</v>
      </c>
      <c r="L6401" s="53">
        <f>Tabela6[[#This Row],[CUSTO TOTAL]]/Tabela6[[#This Row],[CONSUMO]]</f>
        <v>2.99</v>
      </c>
      <c r="M6401" s="53" t="e">
        <f t="array" ref="M6401">SE</f>
        <v>#NAME?</v>
      </c>
      <c r="N6401" s="118" t="e">
        <f>Tabela6[[#This Row],[KM Rodados ]]/Tabela6[[#This Row],[CONSUMO]]</f>
        <v>#NAME?</v>
      </c>
    </row>
    <row r="6402" spans="1:14" x14ac:dyDescent="0.25">
      <c r="A6402" s="117">
        <v>459401</v>
      </c>
      <c r="B6402" s="78">
        <v>45825</v>
      </c>
      <c r="C6402" s="47" t="s">
        <v>43</v>
      </c>
      <c r="D6402" s="49" t="s">
        <v>269</v>
      </c>
      <c r="E6402" s="117">
        <v>255523</v>
      </c>
      <c r="G6402" s="50" t="s">
        <v>89</v>
      </c>
      <c r="H6402" s="51">
        <v>33.130000000000003</v>
      </c>
      <c r="J6402" s="51">
        <v>5.72</v>
      </c>
      <c r="K6402" s="74">
        <f>Tabela6[[#This Row],[CONSUMO]]*Tabela6[[#This Row],[VALOR UNIT]]-Tabela6[[#This Row],[DESCONTO]]</f>
        <v>189.50360000000001</v>
      </c>
      <c r="L6402" s="53">
        <f>Tabela6[[#This Row],[CUSTO TOTAL]]/Tabela6[[#This Row],[CONSUMO]]</f>
        <v>5.72</v>
      </c>
      <c r="M6402" s="53" t="e">
        <f t="array" ref="M6402">SE</f>
        <v>#NAME?</v>
      </c>
      <c r="N6402" s="118" t="e">
        <f>Tabela6[[#This Row],[KM Rodados ]]/Tabela6[[#This Row],[CONSUMO]]</f>
        <v>#NAME?</v>
      </c>
    </row>
    <row r="6403" spans="1:14" x14ac:dyDescent="0.25">
      <c r="A6403" s="117">
        <v>24767</v>
      </c>
      <c r="B6403" s="78">
        <v>45826</v>
      </c>
      <c r="C6403" s="47" t="s">
        <v>222</v>
      </c>
      <c r="D6403" s="49" t="s">
        <v>324</v>
      </c>
      <c r="E6403" s="117">
        <v>680105</v>
      </c>
      <c r="G6403" s="50" t="s">
        <v>89</v>
      </c>
      <c r="H6403" s="51">
        <v>190.71100000000001</v>
      </c>
      <c r="J6403" s="51">
        <v>5.59</v>
      </c>
      <c r="K6403" s="74">
        <f>Tabela6[[#This Row],[CONSUMO]]*Tabela6[[#This Row],[VALOR UNIT]]-Tabela6[[#This Row],[DESCONTO]]</f>
        <v>1066.07449</v>
      </c>
      <c r="L6403" s="53">
        <f>Tabela6[[#This Row],[CUSTO TOTAL]]/Tabela6[[#This Row],[CONSUMO]]</f>
        <v>5.59</v>
      </c>
      <c r="M6403" s="53" t="e">
        <f t="array" ref="M6403">SE</f>
        <v>#NAME?</v>
      </c>
      <c r="N6403" s="118" t="e">
        <f>Tabela6[[#This Row],[KM Rodados ]]/Tabela6[[#This Row],[CONSUMO]]</f>
        <v>#NAME?</v>
      </c>
    </row>
    <row r="6404" spans="1:14" x14ac:dyDescent="0.25">
      <c r="A6404" s="117">
        <v>24768</v>
      </c>
      <c r="B6404" s="78">
        <v>45826</v>
      </c>
      <c r="C6404" s="47" t="s">
        <v>222</v>
      </c>
      <c r="D6404" s="49" t="s">
        <v>324</v>
      </c>
      <c r="E6404" s="117">
        <v>680105</v>
      </c>
      <c r="G6404" s="50" t="s">
        <v>241</v>
      </c>
      <c r="H6404" s="51">
        <v>24.89</v>
      </c>
      <c r="J6404" s="51">
        <v>2.99</v>
      </c>
      <c r="K6404" s="74">
        <f>Tabela6[[#This Row],[CONSUMO]]*Tabela6[[#This Row],[VALOR UNIT]]-Tabela6[[#This Row],[DESCONTO]]</f>
        <v>74.42110000000001</v>
      </c>
      <c r="L6404" s="53">
        <f>Tabela6[[#This Row],[CUSTO TOTAL]]/Tabela6[[#This Row],[CONSUMO]]</f>
        <v>2.99</v>
      </c>
      <c r="M6404" s="53" t="e">
        <f t="array" ref="M6404">SE</f>
        <v>#NAME?</v>
      </c>
      <c r="N6404" s="118" t="e">
        <f>Tabela6[[#This Row],[KM Rodados ]]/Tabela6[[#This Row],[CONSUMO]]</f>
        <v>#NAME?</v>
      </c>
    </row>
    <row r="6405" spans="1:14" x14ac:dyDescent="0.25">
      <c r="A6405" s="117">
        <v>32610</v>
      </c>
      <c r="B6405" s="78">
        <v>45826</v>
      </c>
      <c r="C6405" s="47" t="s">
        <v>72</v>
      </c>
      <c r="D6405" s="49" t="s">
        <v>268</v>
      </c>
      <c r="E6405" s="117">
        <v>522953</v>
      </c>
      <c r="G6405" s="50" t="s">
        <v>89</v>
      </c>
      <c r="H6405" s="51">
        <v>47.66</v>
      </c>
      <c r="J6405" s="51">
        <v>5.79</v>
      </c>
      <c r="K6405" s="74">
        <f>Tabela6[[#This Row],[CONSUMO]]*Tabela6[[#This Row],[VALOR UNIT]]-Tabela6[[#This Row],[DESCONTO]]</f>
        <v>275.95139999999998</v>
      </c>
      <c r="L6405" s="53">
        <f>Tabela6[[#This Row],[CUSTO TOTAL]]/Tabela6[[#This Row],[CONSUMO]]</f>
        <v>5.79</v>
      </c>
      <c r="M6405" s="53" t="e">
        <f t="array" ref="M6405">SE</f>
        <v>#NAME?</v>
      </c>
      <c r="N6405" s="118" t="e">
        <f>Tabela6[[#This Row],[KM Rodados ]]/Tabela6[[#This Row],[CONSUMO]]</f>
        <v>#NAME?</v>
      </c>
    </row>
    <row r="6406" spans="1:14" x14ac:dyDescent="0.25">
      <c r="A6406" s="117">
        <v>30027</v>
      </c>
      <c r="B6406" s="78">
        <v>45827</v>
      </c>
      <c r="C6406" s="47" t="s">
        <v>681</v>
      </c>
      <c r="D6406" s="49" t="s">
        <v>300</v>
      </c>
      <c r="E6406" s="117">
        <v>27115</v>
      </c>
      <c r="G6406" s="50" t="s">
        <v>89</v>
      </c>
      <c r="H6406" s="51">
        <v>172.71199999999999</v>
      </c>
      <c r="J6406" s="51">
        <v>5.79</v>
      </c>
      <c r="K6406" s="74">
        <f>Tabela6[[#This Row],[CONSUMO]]*Tabela6[[#This Row],[VALOR UNIT]]-Tabela6[[#This Row],[DESCONTO]]</f>
        <v>1000.00248</v>
      </c>
      <c r="L6406" s="53">
        <f>Tabela6[[#This Row],[CUSTO TOTAL]]/Tabela6[[#This Row],[CONSUMO]]</f>
        <v>5.79</v>
      </c>
      <c r="M6406" s="53" t="e">
        <f t="array" ref="M6406">SE</f>
        <v>#NAME?</v>
      </c>
      <c r="N6406" s="118" t="e">
        <f>Tabela6[[#This Row],[KM Rodados ]]/Tabela6[[#This Row],[CONSUMO]]</f>
        <v>#NAME?</v>
      </c>
    </row>
    <row r="6407" spans="1:14" x14ac:dyDescent="0.25">
      <c r="A6407" s="117">
        <v>982002</v>
      </c>
      <c r="B6407" s="78">
        <v>45828</v>
      </c>
      <c r="C6407" s="47" t="s">
        <v>23</v>
      </c>
      <c r="D6407" s="49" t="s">
        <v>271</v>
      </c>
      <c r="E6407" s="117">
        <v>340916</v>
      </c>
      <c r="G6407" s="50" t="s">
        <v>89</v>
      </c>
      <c r="H6407" s="51">
        <v>132.03</v>
      </c>
      <c r="J6407" s="51">
        <v>5.79</v>
      </c>
      <c r="K6407" s="74">
        <f>Tabela6[[#This Row],[CONSUMO]]*Tabela6[[#This Row],[VALOR UNIT]]-Tabela6[[#This Row],[DESCONTO]]</f>
        <v>764.45370000000003</v>
      </c>
      <c r="L6407" s="53">
        <f>Tabela6[[#This Row],[CUSTO TOTAL]]/Tabela6[[#This Row],[CONSUMO]]</f>
        <v>5.79</v>
      </c>
      <c r="M6407" s="53" t="e">
        <f t="array" ref="M6407">SE</f>
        <v>#NAME?</v>
      </c>
      <c r="N6407" s="118" t="e">
        <f>Tabela6[[#This Row],[KM Rodados ]]/Tabela6[[#This Row],[CONSUMO]]</f>
        <v>#NAME?</v>
      </c>
    </row>
    <row r="6408" spans="1:14" x14ac:dyDescent="0.25">
      <c r="A6408" s="117">
        <v>982003</v>
      </c>
      <c r="B6408" s="78">
        <v>45828</v>
      </c>
      <c r="C6408" s="47" t="s">
        <v>23</v>
      </c>
      <c r="D6408" s="49" t="s">
        <v>271</v>
      </c>
      <c r="E6408" s="117">
        <v>340916</v>
      </c>
      <c r="G6408" s="50" t="s">
        <v>241</v>
      </c>
      <c r="H6408" s="51">
        <v>19.690000000000001</v>
      </c>
      <c r="J6408" s="51">
        <v>2.99</v>
      </c>
      <c r="K6408" s="74">
        <f>Tabela6[[#This Row],[CONSUMO]]*Tabela6[[#This Row],[VALOR UNIT]]-Tabela6[[#This Row],[DESCONTO]]</f>
        <v>58.873100000000008</v>
      </c>
      <c r="L6408" s="53">
        <f>Tabela6[[#This Row],[CUSTO TOTAL]]/Tabela6[[#This Row],[CONSUMO]]</f>
        <v>2.99</v>
      </c>
      <c r="M6408" s="53" t="e">
        <f t="array" ref="M6408">SE</f>
        <v>#NAME?</v>
      </c>
      <c r="N6408" s="118" t="e">
        <f>Tabela6[[#This Row],[KM Rodados ]]/Tabela6[[#This Row],[CONSUMO]]</f>
        <v>#NAME?</v>
      </c>
    </row>
    <row r="6409" spans="1:14" x14ac:dyDescent="0.25">
      <c r="A6409" s="117">
        <v>30247</v>
      </c>
      <c r="B6409" s="78">
        <v>45828</v>
      </c>
      <c r="C6409" s="47" t="s">
        <v>615</v>
      </c>
      <c r="D6409" s="49" t="s">
        <v>300</v>
      </c>
      <c r="E6409" s="117">
        <v>34546</v>
      </c>
      <c r="G6409" s="50" t="s">
        <v>241</v>
      </c>
      <c r="H6409" s="51">
        <v>36.491999999999997</v>
      </c>
      <c r="J6409" s="51">
        <v>2.99</v>
      </c>
      <c r="K6409" s="74">
        <f>Tabela6[[#This Row],[CONSUMO]]*Tabela6[[#This Row],[VALOR UNIT]]-Tabela6[[#This Row],[DESCONTO]]</f>
        <v>109.11108</v>
      </c>
      <c r="L6409" s="53">
        <f>Tabela6[[#This Row],[CUSTO TOTAL]]/Tabela6[[#This Row],[CONSUMO]]</f>
        <v>2.99</v>
      </c>
      <c r="M6409" s="53" t="e">
        <f t="array" ref="M6409">SE</f>
        <v>#NAME?</v>
      </c>
      <c r="N6409" s="118" t="e">
        <f>Tabela6[[#This Row],[KM Rodados ]]/Tabela6[[#This Row],[CONSUMO]]</f>
        <v>#NAME?</v>
      </c>
    </row>
    <row r="6410" spans="1:14" x14ac:dyDescent="0.25">
      <c r="A6410" s="117" t="s">
        <v>739</v>
      </c>
      <c r="B6410" s="78">
        <v>45828</v>
      </c>
      <c r="C6410" s="47" t="s">
        <v>222</v>
      </c>
      <c r="D6410" s="49" t="s">
        <v>362</v>
      </c>
      <c r="E6410" s="117">
        <v>680997</v>
      </c>
      <c r="G6410" s="50" t="s">
        <v>89</v>
      </c>
      <c r="H6410" s="51">
        <v>393.01100000000002</v>
      </c>
      <c r="J6410" s="51">
        <v>5.79</v>
      </c>
      <c r="K6410" s="74">
        <f>Tabela6[[#This Row],[CONSUMO]]*Tabela6[[#This Row],[VALOR UNIT]]-Tabela6[[#This Row],[DESCONTO]]</f>
        <v>2275.5336900000002</v>
      </c>
      <c r="L6410" s="53">
        <f>Tabela6[[#This Row],[CUSTO TOTAL]]/Tabela6[[#This Row],[CONSUMO]]</f>
        <v>5.79</v>
      </c>
      <c r="M6410" s="53" t="e">
        <f t="array" ref="M6410">SE</f>
        <v>#NAME?</v>
      </c>
      <c r="N6410" s="118" t="e">
        <f>Tabela6[[#This Row],[KM Rodados ]]/Tabela6[[#This Row],[CONSUMO]]</f>
        <v>#NAME?</v>
      </c>
    </row>
    <row r="6411" spans="1:14" x14ac:dyDescent="0.25">
      <c r="A6411" s="117" t="s">
        <v>740</v>
      </c>
      <c r="B6411" s="78">
        <v>45828</v>
      </c>
      <c r="C6411" s="47" t="s">
        <v>222</v>
      </c>
      <c r="D6411" s="49" t="s">
        <v>362</v>
      </c>
      <c r="E6411" s="117">
        <v>680997</v>
      </c>
      <c r="G6411" s="50" t="s">
        <v>241</v>
      </c>
      <c r="H6411" s="51">
        <v>28.58</v>
      </c>
      <c r="J6411" s="51">
        <v>2.99</v>
      </c>
      <c r="K6411" s="74">
        <f>Tabela6[[#This Row],[CONSUMO]]*Tabela6[[#This Row],[VALOR UNIT]]-Tabela6[[#This Row],[DESCONTO]]</f>
        <v>85.4542</v>
      </c>
      <c r="L6411" s="53">
        <f>Tabela6[[#This Row],[CUSTO TOTAL]]/Tabela6[[#This Row],[CONSUMO]]</f>
        <v>2.99</v>
      </c>
      <c r="M6411" s="53" t="e">
        <f t="array" ref="M6411">SE</f>
        <v>#NAME?</v>
      </c>
      <c r="N6411" s="118" t="e">
        <f>Tabela6[[#This Row],[KM Rodados ]]/Tabela6[[#This Row],[CONSUMO]]</f>
        <v>#NAME?</v>
      </c>
    </row>
    <row r="6412" spans="1:14" x14ac:dyDescent="0.25">
      <c r="A6412" s="117">
        <v>66770</v>
      </c>
      <c r="B6412" s="78">
        <v>45828</v>
      </c>
      <c r="C6412" s="47" t="s">
        <v>15</v>
      </c>
      <c r="D6412" s="49" t="s">
        <v>268</v>
      </c>
      <c r="E6412" s="117">
        <v>497968</v>
      </c>
      <c r="G6412" s="50" t="s">
        <v>89</v>
      </c>
      <c r="H6412" s="51">
        <v>140.01</v>
      </c>
      <c r="J6412" s="51">
        <v>5.79</v>
      </c>
      <c r="K6412" s="74">
        <f>Tabela6[[#This Row],[CONSUMO]]*Tabela6[[#This Row],[VALOR UNIT]]-Tabela6[[#This Row],[DESCONTO]]</f>
        <v>810.65789999999993</v>
      </c>
      <c r="L6412" s="53">
        <f>Tabela6[[#This Row],[CUSTO TOTAL]]/Tabela6[[#This Row],[CONSUMO]]</f>
        <v>5.79</v>
      </c>
      <c r="M6412" s="53" t="e">
        <f t="array" ref="M6412">SE</f>
        <v>#NAME?</v>
      </c>
      <c r="N6412" s="118" t="e">
        <f>Tabela6[[#This Row],[KM Rodados ]]/Tabela6[[#This Row],[CONSUMO]]</f>
        <v>#NAME?</v>
      </c>
    </row>
    <row r="6413" spans="1:14" x14ac:dyDescent="0.25">
      <c r="A6413" s="117" t="s">
        <v>741</v>
      </c>
      <c r="B6413" s="78">
        <v>45828</v>
      </c>
      <c r="C6413" s="47" t="s">
        <v>15</v>
      </c>
      <c r="D6413" s="49" t="s">
        <v>268</v>
      </c>
      <c r="E6413" s="117">
        <v>497968</v>
      </c>
      <c r="G6413" s="50" t="s">
        <v>241</v>
      </c>
      <c r="H6413" s="51">
        <v>22.64</v>
      </c>
      <c r="J6413" s="51">
        <v>2.99</v>
      </c>
      <c r="K6413" s="74">
        <f>Tabela6[[#This Row],[CONSUMO]]*Tabela6[[#This Row],[VALOR UNIT]]-Tabela6[[#This Row],[DESCONTO]]</f>
        <v>67.693600000000004</v>
      </c>
      <c r="L6413" s="53">
        <f>Tabela6[[#This Row],[CUSTO TOTAL]]/Tabela6[[#This Row],[CONSUMO]]</f>
        <v>2.99</v>
      </c>
      <c r="M6413" s="53" t="e">
        <f t="array" ref="M6413">SE</f>
        <v>#NAME?</v>
      </c>
      <c r="N6413" s="118" t="e">
        <f>Tabela6[[#This Row],[KM Rodados ]]/Tabela6[[#This Row],[CONSUMO]]</f>
        <v>#NAME?</v>
      </c>
    </row>
    <row r="6414" spans="1:14" x14ac:dyDescent="0.25">
      <c r="A6414" s="117">
        <v>119469</v>
      </c>
      <c r="B6414" s="78">
        <v>45828</v>
      </c>
      <c r="C6414" s="47" t="s">
        <v>354</v>
      </c>
      <c r="D6414" s="49" t="s">
        <v>324</v>
      </c>
      <c r="E6414" s="117">
        <v>111982</v>
      </c>
      <c r="G6414" s="50" t="s">
        <v>241</v>
      </c>
      <c r="H6414" s="51">
        <v>20.69</v>
      </c>
      <c r="J6414" s="51">
        <v>2.99</v>
      </c>
      <c r="K6414" s="74">
        <f>Tabela6[[#This Row],[CONSUMO]]*Tabela6[[#This Row],[VALOR UNIT]]-Tabela6[[#This Row],[DESCONTO]]</f>
        <v>61.86310000000001</v>
      </c>
      <c r="L6414" s="53">
        <f>Tabela6[[#This Row],[CUSTO TOTAL]]/Tabela6[[#This Row],[CONSUMO]]</f>
        <v>2.99</v>
      </c>
      <c r="M6414" s="53" t="e">
        <f t="array" ref="M6414">SE</f>
        <v>#NAME?</v>
      </c>
      <c r="N6414" s="118" t="e">
        <f>Tabela6[[#This Row],[KM Rodados ]]/Tabela6[[#This Row],[CONSUMO]]</f>
        <v>#NAME?</v>
      </c>
    </row>
    <row r="6415" spans="1:14" x14ac:dyDescent="0.25">
      <c r="A6415" s="117">
        <v>546846</v>
      </c>
      <c r="B6415" s="78">
        <v>45830</v>
      </c>
      <c r="C6415" s="47" t="s">
        <v>10</v>
      </c>
      <c r="D6415" s="49" t="s">
        <v>269</v>
      </c>
      <c r="E6415" s="117">
        <v>842141</v>
      </c>
      <c r="G6415" s="50" t="s">
        <v>89</v>
      </c>
      <c r="H6415" s="51">
        <v>175.071</v>
      </c>
      <c r="J6415" s="51">
        <v>5.79</v>
      </c>
      <c r="K6415" s="74">
        <f>Tabela6[[#This Row],[CONSUMO]]*Tabela6[[#This Row],[VALOR UNIT]]-Tabela6[[#This Row],[DESCONTO]]</f>
        <v>1013.6610899999999</v>
      </c>
      <c r="L6415" s="53">
        <f>Tabela6[[#This Row],[CUSTO TOTAL]]/Tabela6[[#This Row],[CONSUMO]]</f>
        <v>5.79</v>
      </c>
      <c r="M6415" s="53" t="e">
        <f t="array" ref="M6415">SE</f>
        <v>#NAME?</v>
      </c>
      <c r="N6415" s="118" t="e">
        <f>Tabela6[[#This Row],[KM Rodados ]]/Tabela6[[#This Row],[CONSUMO]]</f>
        <v>#NAME?</v>
      </c>
    </row>
    <row r="6416" spans="1:14" x14ac:dyDescent="0.25">
      <c r="A6416" s="117" t="s">
        <v>742</v>
      </c>
      <c r="B6416" s="78">
        <v>45831</v>
      </c>
      <c r="C6416" s="47" t="s">
        <v>615</v>
      </c>
      <c r="D6416" s="49" t="s">
        <v>329</v>
      </c>
      <c r="E6416" s="117">
        <v>34951</v>
      </c>
      <c r="G6416" s="50" t="s">
        <v>89</v>
      </c>
      <c r="H6416" s="51">
        <v>475</v>
      </c>
      <c r="J6416" s="51">
        <v>5.69</v>
      </c>
      <c r="K6416" s="74">
        <f>Tabela6[[#This Row],[CONSUMO]]*Tabela6[[#This Row],[VALOR UNIT]]-Tabela6[[#This Row],[DESCONTO]]</f>
        <v>2702.75</v>
      </c>
      <c r="L6416" s="53">
        <f>Tabela6[[#This Row],[CUSTO TOTAL]]/Tabela6[[#This Row],[CONSUMO]]</f>
        <v>5.69</v>
      </c>
      <c r="M6416" s="53" t="e">
        <f t="array" ref="M6416">SE</f>
        <v>#NAME?</v>
      </c>
      <c r="N6416" s="118" t="e">
        <f>Tabela6[[#This Row],[KM Rodados ]]/Tabela6[[#This Row],[CONSUMO]]</f>
        <v>#NAME?</v>
      </c>
    </row>
    <row r="6417" spans="1:14" x14ac:dyDescent="0.25">
      <c r="A6417" s="117">
        <v>379309</v>
      </c>
      <c r="B6417" s="78">
        <v>45831</v>
      </c>
      <c r="C6417" s="47" t="s">
        <v>72</v>
      </c>
      <c r="D6417" s="49" t="s">
        <v>273</v>
      </c>
      <c r="E6417" s="117">
        <v>524004</v>
      </c>
      <c r="G6417" s="50" t="s">
        <v>89</v>
      </c>
      <c r="H6417" s="51">
        <v>43.290999999999997</v>
      </c>
      <c r="J6417" s="51">
        <v>5.72</v>
      </c>
      <c r="K6417" s="74">
        <f>Tabela6[[#This Row],[CONSUMO]]*Tabela6[[#This Row],[VALOR UNIT]]-Tabela6[[#This Row],[DESCONTO]]</f>
        <v>247.62451999999996</v>
      </c>
      <c r="L6417" s="53">
        <f>Tabela6[[#This Row],[CUSTO TOTAL]]/Tabela6[[#This Row],[CONSUMO]]</f>
        <v>5.72</v>
      </c>
      <c r="M6417" s="53" t="e">
        <f t="array" ref="M6417">SE</f>
        <v>#NAME?</v>
      </c>
      <c r="N6417" s="118" t="e">
        <f>Tabela6[[#This Row],[KM Rodados ]]/Tabela6[[#This Row],[CONSUMO]]</f>
        <v>#NAME?</v>
      </c>
    </row>
    <row r="6418" spans="1:14" x14ac:dyDescent="0.25">
      <c r="A6418" s="117">
        <v>32207</v>
      </c>
      <c r="B6418" s="78">
        <v>45831</v>
      </c>
      <c r="C6418" s="47" t="s">
        <v>9</v>
      </c>
      <c r="D6418" s="49" t="s">
        <v>300</v>
      </c>
      <c r="E6418" s="117">
        <v>708569</v>
      </c>
      <c r="G6418" s="50" t="s">
        <v>89</v>
      </c>
      <c r="H6418" s="51">
        <v>208.03</v>
      </c>
      <c r="J6418" s="51">
        <v>5.79</v>
      </c>
      <c r="K6418" s="74">
        <f>Tabela6[[#This Row],[CONSUMO]]*Tabela6[[#This Row],[VALOR UNIT]]-Tabela6[[#This Row],[DESCONTO]]</f>
        <v>1204.4937</v>
      </c>
      <c r="L6418" s="53">
        <f>Tabela6[[#This Row],[CUSTO TOTAL]]/Tabela6[[#This Row],[CONSUMO]]</f>
        <v>5.79</v>
      </c>
      <c r="M6418" s="53" t="e">
        <f t="array" ref="M6418">SE</f>
        <v>#NAME?</v>
      </c>
      <c r="N6418" s="118" t="e">
        <f>Tabela6[[#This Row],[KM Rodados ]]/Tabela6[[#This Row],[CONSUMO]]</f>
        <v>#NAME?</v>
      </c>
    </row>
    <row r="6419" spans="1:14" x14ac:dyDescent="0.25">
      <c r="A6419" s="117">
        <v>32215</v>
      </c>
      <c r="B6419" s="78">
        <v>45831</v>
      </c>
      <c r="C6419" s="47" t="s">
        <v>72</v>
      </c>
      <c r="D6419" s="49" t="s">
        <v>300</v>
      </c>
      <c r="E6419" s="117">
        <v>524271</v>
      </c>
      <c r="G6419" s="50" t="s">
        <v>89</v>
      </c>
      <c r="H6419" s="51">
        <v>34.380000000000003</v>
      </c>
      <c r="J6419" s="51">
        <v>5.79</v>
      </c>
      <c r="K6419" s="74">
        <f>Tabela6[[#This Row],[CONSUMO]]*Tabela6[[#This Row],[VALOR UNIT]]-Tabela6[[#This Row],[DESCONTO]]</f>
        <v>199.06020000000001</v>
      </c>
      <c r="L6419" s="53">
        <f>Tabela6[[#This Row],[CUSTO TOTAL]]/Tabela6[[#This Row],[CONSUMO]]</f>
        <v>5.79</v>
      </c>
      <c r="M6419" s="53" t="e">
        <f t="array" ref="M6419">SE</f>
        <v>#NAME?</v>
      </c>
      <c r="N6419" s="118" t="e">
        <f>Tabela6[[#This Row],[KM Rodados ]]/Tabela6[[#This Row],[CONSUMO]]</f>
        <v>#NAME?</v>
      </c>
    </row>
    <row r="6420" spans="1:14" x14ac:dyDescent="0.25">
      <c r="A6420" s="117">
        <v>984148</v>
      </c>
      <c r="B6420" s="78">
        <v>45831</v>
      </c>
      <c r="C6420" s="47" t="s">
        <v>23</v>
      </c>
      <c r="D6420" s="49" t="s">
        <v>271</v>
      </c>
      <c r="E6420" s="117">
        <v>341360</v>
      </c>
      <c r="G6420" s="50" t="s">
        <v>89</v>
      </c>
      <c r="H6420" s="51">
        <v>102.45099999999999</v>
      </c>
      <c r="J6420" s="51">
        <v>5.79</v>
      </c>
      <c r="K6420" s="74">
        <f>Tabela6[[#This Row],[CONSUMO]]*Tabela6[[#This Row],[VALOR UNIT]]-Tabela6[[#This Row],[DESCONTO]]</f>
        <v>593.19128999999998</v>
      </c>
      <c r="L6420" s="53">
        <f>Tabela6[[#This Row],[CUSTO TOTAL]]/Tabela6[[#This Row],[CONSUMO]]</f>
        <v>5.79</v>
      </c>
      <c r="M6420" s="53" t="e">
        <f t="array" ref="M6420">SE</f>
        <v>#NAME?</v>
      </c>
      <c r="N6420" s="118" t="e">
        <f>Tabela6[[#This Row],[KM Rodados ]]/Tabela6[[#This Row],[CONSUMO]]</f>
        <v>#NAME?</v>
      </c>
    </row>
    <row r="6421" spans="1:14" x14ac:dyDescent="0.25">
      <c r="A6421" s="117">
        <v>574322</v>
      </c>
      <c r="B6421" s="78">
        <v>45832</v>
      </c>
      <c r="C6421" s="47" t="s">
        <v>615</v>
      </c>
      <c r="D6421" s="49" t="s">
        <v>343</v>
      </c>
      <c r="E6421" s="117">
        <v>35994</v>
      </c>
      <c r="G6421" s="50" t="s">
        <v>89</v>
      </c>
      <c r="H6421" s="51">
        <v>595.00220000000002</v>
      </c>
      <c r="J6421" s="51">
        <v>5.79</v>
      </c>
      <c r="K6421" s="74">
        <f>Tabela6[[#This Row],[CONSUMO]]*Tabela6[[#This Row],[VALOR UNIT]]-Tabela6[[#This Row],[DESCONTO]]</f>
        <v>3445.0627380000001</v>
      </c>
      <c r="L6421" s="53">
        <f>Tabela6[[#This Row],[CUSTO TOTAL]]/Tabela6[[#This Row],[CONSUMO]]</f>
        <v>5.79</v>
      </c>
      <c r="M6421" s="53" t="e">
        <f t="array" ref="M6421">SE</f>
        <v>#NAME?</v>
      </c>
      <c r="N6421" s="118" t="e">
        <f>Tabela6[[#This Row],[KM Rodados ]]/Tabela6[[#This Row],[CONSUMO]]</f>
        <v>#NAME?</v>
      </c>
    </row>
    <row r="6422" spans="1:14" x14ac:dyDescent="0.25">
      <c r="A6422" s="117">
        <v>574323</v>
      </c>
      <c r="B6422" s="78">
        <v>45832</v>
      </c>
      <c r="C6422" s="47" t="s">
        <v>615</v>
      </c>
      <c r="D6422" s="49" t="s">
        <v>343</v>
      </c>
      <c r="E6422" s="117">
        <v>35994</v>
      </c>
      <c r="G6422" s="50" t="s">
        <v>241</v>
      </c>
      <c r="H6422" s="51">
        <v>51.7</v>
      </c>
      <c r="J6422" s="51">
        <v>2.99</v>
      </c>
      <c r="K6422" s="74">
        <f>Tabela6[[#This Row],[CONSUMO]]*Tabela6[[#This Row],[VALOR UNIT]]-Tabela6[[#This Row],[DESCONTO]]</f>
        <v>154.58300000000003</v>
      </c>
      <c r="L6422" s="53">
        <f>Tabela6[[#This Row],[CUSTO TOTAL]]/Tabela6[[#This Row],[CONSUMO]]</f>
        <v>2.99</v>
      </c>
      <c r="M6422" s="53" t="e">
        <f t="array" ref="M6422">SE</f>
        <v>#NAME?</v>
      </c>
      <c r="N6422" s="118" t="e">
        <f>Tabela6[[#This Row],[KM Rodados ]]/Tabela6[[#This Row],[CONSUMO]]</f>
        <v>#NAME?</v>
      </c>
    </row>
    <row r="6423" spans="1:14" x14ac:dyDescent="0.25">
      <c r="A6423" s="117">
        <v>984846</v>
      </c>
      <c r="B6423" s="78">
        <v>45833</v>
      </c>
      <c r="C6423" s="47" t="s">
        <v>23</v>
      </c>
      <c r="D6423" s="49" t="s">
        <v>271</v>
      </c>
      <c r="E6423" s="117">
        <v>341843</v>
      </c>
      <c r="G6423" s="50" t="s">
        <v>89</v>
      </c>
      <c r="H6423" s="51">
        <v>111</v>
      </c>
      <c r="J6423" s="51">
        <v>5.89</v>
      </c>
      <c r="K6423" s="74">
        <f>Tabela6[[#This Row],[CONSUMO]]*Tabela6[[#This Row],[VALOR UNIT]]-Tabela6[[#This Row],[DESCONTO]]</f>
        <v>653.79</v>
      </c>
      <c r="L6423" s="53">
        <f>Tabela6[[#This Row],[CUSTO TOTAL]]/Tabela6[[#This Row],[CONSUMO]]</f>
        <v>5.89</v>
      </c>
      <c r="M6423" s="53" t="e">
        <f t="array" ref="M6423">SE</f>
        <v>#NAME?</v>
      </c>
      <c r="N6423" s="118" t="e">
        <f>Tabela6[[#This Row],[KM Rodados ]]/Tabela6[[#This Row],[CONSUMO]]</f>
        <v>#NAME?</v>
      </c>
    </row>
    <row r="6424" spans="1:14" x14ac:dyDescent="0.25">
      <c r="A6424" s="117" t="s">
        <v>743</v>
      </c>
      <c r="B6424" s="78">
        <v>45833</v>
      </c>
      <c r="C6424" s="47" t="s">
        <v>67</v>
      </c>
      <c r="D6424" s="49" t="s">
        <v>271</v>
      </c>
      <c r="E6424" s="117">
        <v>777571</v>
      </c>
      <c r="G6424" s="50" t="s">
        <v>89</v>
      </c>
      <c r="H6424" s="51">
        <v>145</v>
      </c>
      <c r="J6424" s="51">
        <v>5.89</v>
      </c>
      <c r="K6424" s="74">
        <f>Tabela6[[#This Row],[CONSUMO]]*Tabela6[[#This Row],[VALOR UNIT]]-Tabela6[[#This Row],[DESCONTO]]</f>
        <v>854.05</v>
      </c>
      <c r="L6424" s="53">
        <f>Tabela6[[#This Row],[CUSTO TOTAL]]/Tabela6[[#This Row],[CONSUMO]]</f>
        <v>5.89</v>
      </c>
      <c r="M6424" s="53" t="e">
        <f t="array" ref="M6424">SE</f>
        <v>#NAME?</v>
      </c>
      <c r="N6424" s="118" t="e">
        <f>Tabela6[[#This Row],[KM Rodados ]]/Tabela6[[#This Row],[CONSUMO]]</f>
        <v>#NAME?</v>
      </c>
    </row>
    <row r="6425" spans="1:14" x14ac:dyDescent="0.25">
      <c r="A6425" s="117">
        <v>547666</v>
      </c>
      <c r="B6425" s="78">
        <v>45834</v>
      </c>
      <c r="C6425" s="47" t="s">
        <v>9</v>
      </c>
      <c r="D6425" s="49" t="s">
        <v>269</v>
      </c>
      <c r="E6425" s="117">
        <v>703290</v>
      </c>
      <c r="G6425" s="50" t="s">
        <v>89</v>
      </c>
      <c r="H6425" s="51">
        <v>214.20099999999999</v>
      </c>
      <c r="J6425" s="51">
        <v>5.89</v>
      </c>
      <c r="K6425" s="74">
        <f>Tabela6[[#This Row],[CONSUMO]]*Tabela6[[#This Row],[VALOR UNIT]]-Tabela6[[#This Row],[DESCONTO]]</f>
        <v>1261.6438899999998</v>
      </c>
      <c r="L6425" s="53">
        <f>Tabela6[[#This Row],[CUSTO TOTAL]]/Tabela6[[#This Row],[CONSUMO]]</f>
        <v>5.89</v>
      </c>
      <c r="M6425" s="53" t="e">
        <f t="array" ref="M6425">SE</f>
        <v>#NAME?</v>
      </c>
      <c r="N6425" s="118" t="e">
        <f>Tabela6[[#This Row],[KM Rodados ]]/Tabela6[[#This Row],[CONSUMO]]</f>
        <v>#NAME?</v>
      </c>
    </row>
    <row r="6426" spans="1:14" x14ac:dyDescent="0.25">
      <c r="A6426" s="117">
        <v>615914</v>
      </c>
      <c r="B6426" s="78">
        <v>45834</v>
      </c>
      <c r="C6426" s="47" t="s">
        <v>72</v>
      </c>
      <c r="D6426" s="49" t="s">
        <v>269</v>
      </c>
      <c r="E6426" s="117">
        <v>524244</v>
      </c>
      <c r="G6426" s="50" t="s">
        <v>89</v>
      </c>
      <c r="H6426" s="51">
        <v>36.35</v>
      </c>
      <c r="J6426" s="51">
        <v>5.89</v>
      </c>
      <c r="K6426" s="74">
        <f>Tabela6[[#This Row],[CONSUMO]]*Tabela6[[#This Row],[VALOR UNIT]]-Tabela6[[#This Row],[DESCONTO]]</f>
        <v>214.10149999999999</v>
      </c>
      <c r="L6426" s="53">
        <f>Tabela6[[#This Row],[CUSTO TOTAL]]/Tabela6[[#This Row],[CONSUMO]]</f>
        <v>5.89</v>
      </c>
      <c r="M6426" s="53" t="e">
        <f t="array" ref="M6426">SE</f>
        <v>#NAME?</v>
      </c>
      <c r="N6426" s="118" t="e">
        <f>Tabela6[[#This Row],[KM Rodados ]]/Tabela6[[#This Row],[CONSUMO]]</f>
        <v>#NAME?</v>
      </c>
    </row>
    <row r="6427" spans="1:14" x14ac:dyDescent="0.25">
      <c r="A6427" s="117" t="s">
        <v>744</v>
      </c>
      <c r="B6427" s="78">
        <v>45834</v>
      </c>
      <c r="C6427" s="47" t="s">
        <v>72</v>
      </c>
      <c r="D6427" s="49" t="s">
        <v>268</v>
      </c>
      <c r="E6427" s="117">
        <v>525584</v>
      </c>
      <c r="G6427" s="50" t="s">
        <v>89</v>
      </c>
      <c r="H6427" s="51">
        <v>47.371000000000002</v>
      </c>
      <c r="J6427" s="51">
        <v>5.89</v>
      </c>
      <c r="K6427" s="74">
        <f>Tabela6[[#This Row],[CONSUMO]]*Tabela6[[#This Row],[VALOR UNIT]]-Tabela6[[#This Row],[DESCONTO]]</f>
        <v>279.01519000000002</v>
      </c>
      <c r="L6427" s="53">
        <f>Tabela6[[#This Row],[CUSTO TOTAL]]/Tabela6[[#This Row],[CONSUMO]]</f>
        <v>5.89</v>
      </c>
      <c r="M6427" s="53" t="e">
        <f t="array" ref="M6427">SE</f>
        <v>#NAME?</v>
      </c>
      <c r="N6427" s="118" t="e">
        <f>Tabela6[[#This Row],[KM Rodados ]]/Tabela6[[#This Row],[CONSUMO]]</f>
        <v>#NAME?</v>
      </c>
    </row>
    <row r="6428" spans="1:14" x14ac:dyDescent="0.25">
      <c r="A6428" s="117">
        <v>462808</v>
      </c>
      <c r="B6428" s="78">
        <v>45834</v>
      </c>
      <c r="C6428" s="47" t="s">
        <v>67</v>
      </c>
      <c r="D6428" s="49" t="s">
        <v>269</v>
      </c>
      <c r="E6428" s="117">
        <v>778008</v>
      </c>
      <c r="G6428" s="50" t="s">
        <v>89</v>
      </c>
      <c r="H6428" s="51">
        <v>133.191</v>
      </c>
      <c r="J6428" s="51">
        <v>5.82</v>
      </c>
      <c r="K6428" s="74">
        <f>Tabela6[[#This Row],[CONSUMO]]*Tabela6[[#This Row],[VALOR UNIT]]-Tabela6[[#This Row],[DESCONTO]]</f>
        <v>775.17162000000008</v>
      </c>
      <c r="L6428" s="53">
        <f>Tabela6[[#This Row],[CUSTO TOTAL]]/Tabela6[[#This Row],[CONSUMO]]</f>
        <v>5.82</v>
      </c>
      <c r="M6428" s="53" t="e">
        <f t="array" ref="M6428">SE</f>
        <v>#NAME?</v>
      </c>
      <c r="N6428" s="118" t="e">
        <f>Tabela6[[#This Row],[KM Rodados ]]/Tabela6[[#This Row],[CONSUMO]]</f>
        <v>#NAME?</v>
      </c>
    </row>
    <row r="6429" spans="1:14" x14ac:dyDescent="0.25">
      <c r="A6429" s="117" t="s">
        <v>745</v>
      </c>
      <c r="B6429" s="78">
        <v>45835</v>
      </c>
      <c r="C6429" s="47" t="s">
        <v>222</v>
      </c>
      <c r="D6429" s="49" t="s">
        <v>347</v>
      </c>
      <c r="E6429" s="117">
        <v>682825</v>
      </c>
      <c r="G6429" s="50" t="s">
        <v>241</v>
      </c>
      <c r="H6429" s="51">
        <v>39.040999999999997</v>
      </c>
      <c r="J6429" s="51">
        <v>3.19</v>
      </c>
      <c r="K6429" s="74">
        <f>Tabela6[[#This Row],[CONSUMO]]*Tabela6[[#This Row],[VALOR UNIT]]-Tabela6[[#This Row],[DESCONTO]]</f>
        <v>124.54078999999999</v>
      </c>
      <c r="L6429" s="53">
        <f>Tabela6[[#This Row],[CUSTO TOTAL]]/Tabela6[[#This Row],[CONSUMO]]</f>
        <v>3.19</v>
      </c>
      <c r="M6429" s="53" t="e">
        <f t="array" ref="M6429">SE</f>
        <v>#NAME?</v>
      </c>
      <c r="N6429" s="118" t="e">
        <f>Tabela6[[#This Row],[KM Rodados ]]/Tabela6[[#This Row],[CONSUMO]]</f>
        <v>#NAME?</v>
      </c>
    </row>
    <row r="6430" spans="1:14" x14ac:dyDescent="0.25">
      <c r="A6430" s="117">
        <v>633176</v>
      </c>
      <c r="B6430" s="78">
        <v>45835</v>
      </c>
      <c r="C6430" s="47" t="s">
        <v>222</v>
      </c>
      <c r="D6430" s="49" t="s">
        <v>347</v>
      </c>
      <c r="E6430" s="117">
        <v>682825</v>
      </c>
      <c r="G6430" s="50" t="s">
        <v>89</v>
      </c>
      <c r="H6430" s="51">
        <v>320</v>
      </c>
      <c r="J6430" s="51">
        <v>5.89</v>
      </c>
      <c r="K6430" s="74">
        <f>Tabela6[[#This Row],[CONSUMO]]*Tabela6[[#This Row],[VALOR UNIT]]-Tabela6[[#This Row],[DESCONTO]]</f>
        <v>1884.8</v>
      </c>
      <c r="L6430" s="53">
        <f>Tabela6[[#This Row],[CUSTO TOTAL]]/Tabela6[[#This Row],[CONSUMO]]</f>
        <v>5.89</v>
      </c>
      <c r="M6430" s="53" t="e">
        <f t="array" ref="M6430">SE</f>
        <v>#NAME?</v>
      </c>
      <c r="N6430" s="118" t="e">
        <f>Tabela6[[#This Row],[KM Rodados ]]/Tabela6[[#This Row],[CONSUMO]]</f>
        <v>#NAME?</v>
      </c>
    </row>
    <row r="6431" spans="1:14" x14ac:dyDescent="0.25">
      <c r="A6431" s="117">
        <v>633177</v>
      </c>
      <c r="B6431" s="78">
        <v>45835</v>
      </c>
      <c r="C6431" s="47" t="s">
        <v>615</v>
      </c>
      <c r="D6431" s="49" t="s">
        <v>347</v>
      </c>
      <c r="E6431" s="117">
        <v>37235</v>
      </c>
      <c r="G6431" s="50" t="s">
        <v>89</v>
      </c>
      <c r="H6431" s="51">
        <v>509.01100000000002</v>
      </c>
      <c r="J6431" s="51">
        <v>5.89</v>
      </c>
      <c r="K6431" s="74">
        <f>Tabela6[[#This Row],[CONSUMO]]*Tabela6[[#This Row],[VALOR UNIT]]-Tabela6[[#This Row],[DESCONTO]]</f>
        <v>2998.0747900000001</v>
      </c>
      <c r="L6431" s="53">
        <f>Tabela6[[#This Row],[CUSTO TOTAL]]/Tabela6[[#This Row],[CONSUMO]]</f>
        <v>5.89</v>
      </c>
      <c r="M6431" s="53" t="e">
        <f t="array" ref="M6431">SE</f>
        <v>#NAME?</v>
      </c>
      <c r="N6431" s="118" t="e">
        <f>Tabela6[[#This Row],[KM Rodados ]]/Tabela6[[#This Row],[CONSUMO]]</f>
        <v>#NAME?</v>
      </c>
    </row>
    <row r="6432" spans="1:14" x14ac:dyDescent="0.25">
      <c r="A6432" s="117" t="s">
        <v>746</v>
      </c>
      <c r="B6432" s="78">
        <v>45835</v>
      </c>
      <c r="C6432" s="47" t="s">
        <v>15</v>
      </c>
      <c r="D6432" s="49" t="s">
        <v>270</v>
      </c>
      <c r="E6432" s="117">
        <v>498727</v>
      </c>
      <c r="G6432" s="50" t="s">
        <v>89</v>
      </c>
      <c r="H6432" s="51">
        <v>138.16999999999999</v>
      </c>
      <c r="J6432" s="51">
        <v>5.79</v>
      </c>
      <c r="K6432" s="74">
        <f>Tabela6[[#This Row],[CONSUMO]]*Tabela6[[#This Row],[VALOR UNIT]]-Tabela6[[#This Row],[DESCONTO]]</f>
        <v>800.00429999999994</v>
      </c>
      <c r="L6432" s="53">
        <f>Tabela6[[#This Row],[CUSTO TOTAL]]/Tabela6[[#This Row],[CONSUMO]]</f>
        <v>5.79</v>
      </c>
      <c r="M6432" s="53" t="e">
        <f t="array" ref="M6432">SE</f>
        <v>#NAME?</v>
      </c>
      <c r="N6432" s="118" t="e">
        <f>Tabela6[[#This Row],[KM Rodados ]]/Tabela6[[#This Row],[CONSUMO]]</f>
        <v>#NAME?</v>
      </c>
    </row>
    <row r="6433" spans="1:14" x14ac:dyDescent="0.25">
      <c r="A6433" s="117">
        <v>34457</v>
      </c>
      <c r="B6433" s="78">
        <v>45835</v>
      </c>
      <c r="C6433" s="47" t="s">
        <v>72</v>
      </c>
      <c r="D6433" s="49" t="s">
        <v>300</v>
      </c>
      <c r="E6433" s="117">
        <v>26032</v>
      </c>
      <c r="G6433" s="50" t="s">
        <v>89</v>
      </c>
      <c r="H6433" s="51">
        <v>32.86</v>
      </c>
      <c r="J6433" s="51">
        <v>5.79</v>
      </c>
      <c r="K6433" s="74">
        <f>Tabela6[[#This Row],[CONSUMO]]*Tabela6[[#This Row],[VALOR UNIT]]-Tabela6[[#This Row],[DESCONTO]]</f>
        <v>190.2594</v>
      </c>
      <c r="L6433" s="53">
        <f>Tabela6[[#This Row],[CUSTO TOTAL]]/Tabela6[[#This Row],[CONSUMO]]</f>
        <v>5.79</v>
      </c>
      <c r="M6433" s="53" t="e">
        <f t="array" ref="M6433">SE</f>
        <v>#NAME?</v>
      </c>
      <c r="N6433" s="118" t="e">
        <f>Tabela6[[#This Row],[KM Rodados ]]/Tabela6[[#This Row],[CONSUMO]]</f>
        <v>#NAME?</v>
      </c>
    </row>
    <row r="6434" spans="1:14" x14ac:dyDescent="0.25">
      <c r="A6434" s="117">
        <v>476275</v>
      </c>
      <c r="B6434" s="78">
        <v>45838</v>
      </c>
      <c r="C6434" s="47" t="s">
        <v>43</v>
      </c>
      <c r="D6434" s="49" t="s">
        <v>270</v>
      </c>
      <c r="E6434" s="117">
        <v>257764</v>
      </c>
      <c r="G6434" s="50" t="s">
        <v>89</v>
      </c>
      <c r="H6434" s="51">
        <v>41.051000000000002</v>
      </c>
      <c r="J6434" s="51">
        <v>5.79</v>
      </c>
      <c r="K6434" s="74">
        <f>Tabela6[[#This Row],[CONSUMO]]*Tabela6[[#This Row],[VALOR UNIT]]-Tabela6[[#This Row],[DESCONTO]]</f>
        <v>237.68529000000001</v>
      </c>
      <c r="L6434" s="53">
        <f>Tabela6[[#This Row],[CUSTO TOTAL]]/Tabela6[[#This Row],[CONSUMO]]</f>
        <v>5.79</v>
      </c>
      <c r="M6434" s="53" t="e">
        <f t="array" ref="M6434">SE</f>
        <v>#NAME?</v>
      </c>
      <c r="N6434" s="118" t="e">
        <f>Tabela6[[#This Row],[KM Rodados ]]/Tabela6[[#This Row],[CONSUMO]]</f>
        <v>#NAME?</v>
      </c>
    </row>
    <row r="6435" spans="1:14" x14ac:dyDescent="0.25">
      <c r="A6435" s="117" t="s">
        <v>747</v>
      </c>
      <c r="B6435" s="78">
        <v>45838</v>
      </c>
      <c r="C6435" s="47" t="s">
        <v>67</v>
      </c>
      <c r="D6435" s="49" t="s">
        <v>269</v>
      </c>
      <c r="E6435" s="117">
        <v>778456</v>
      </c>
      <c r="G6435" s="50" t="s">
        <v>89</v>
      </c>
      <c r="H6435" s="51">
        <v>125.941</v>
      </c>
      <c r="J6435" s="51">
        <v>5.72</v>
      </c>
      <c r="K6435" s="74">
        <f>Tabela6[[#This Row],[CONSUMO]]*Tabela6[[#This Row],[VALOR UNIT]]-Tabela6[[#This Row],[DESCONTO]]</f>
        <v>720.38252</v>
      </c>
      <c r="L6435" s="53">
        <f>Tabela6[[#This Row],[CUSTO TOTAL]]/Tabela6[[#This Row],[CONSUMO]]</f>
        <v>5.72</v>
      </c>
      <c r="M6435" s="53" t="e">
        <f t="array" ref="M6435">SE</f>
        <v>#NAME?</v>
      </c>
      <c r="N6435" s="118" t="e">
        <f>Tabela6[[#This Row],[KM Rodados ]]/Tabela6[[#This Row],[CONSUMO]]</f>
        <v>#NAME?</v>
      </c>
    </row>
    <row r="6436" spans="1:14" x14ac:dyDescent="0.25">
      <c r="A6436" s="117">
        <v>464165</v>
      </c>
      <c r="B6436" s="78">
        <v>45838</v>
      </c>
      <c r="C6436" s="47" t="s">
        <v>67</v>
      </c>
      <c r="D6436" s="49" t="s">
        <v>269</v>
      </c>
      <c r="E6436" s="117">
        <v>778456</v>
      </c>
      <c r="G6436" s="50" t="s">
        <v>241</v>
      </c>
      <c r="H6436" s="51">
        <v>20.311</v>
      </c>
      <c r="J6436" s="51">
        <v>3.19</v>
      </c>
      <c r="K6436" s="74">
        <f>Tabela6[[#This Row],[CONSUMO]]*Tabela6[[#This Row],[VALOR UNIT]]-Tabela6[[#This Row],[DESCONTO]]</f>
        <v>64.792090000000002</v>
      </c>
      <c r="L6436" s="53">
        <f>Tabela6[[#This Row],[CUSTO TOTAL]]/Tabela6[[#This Row],[CONSUMO]]</f>
        <v>3.19</v>
      </c>
      <c r="M6436" s="53" t="e">
        <f t="array" ref="M6436">SE</f>
        <v>#NAME?</v>
      </c>
      <c r="N6436" s="118" t="e">
        <f>Tabela6[[#This Row],[KM Rodados ]]/Tabela6[[#This Row],[CONSUMO]]</f>
        <v>#NAME?</v>
      </c>
    </row>
    <row r="6437" spans="1:14" x14ac:dyDescent="0.25">
      <c r="A6437" s="117" t="s">
        <v>748</v>
      </c>
      <c r="B6437" s="78">
        <v>45839</v>
      </c>
      <c r="C6437" s="47" t="s">
        <v>9</v>
      </c>
      <c r="D6437" s="49" t="s">
        <v>269</v>
      </c>
      <c r="E6437" s="117">
        <v>703906</v>
      </c>
      <c r="G6437" s="50" t="s">
        <v>89</v>
      </c>
      <c r="H6437" s="51">
        <v>186.03</v>
      </c>
      <c r="J6437" s="51">
        <v>5.79</v>
      </c>
      <c r="K6437" s="74">
        <f>Tabela6[[#This Row],[CONSUMO]]*Tabela6[[#This Row],[VALOR UNIT]]-Tabela6[[#This Row],[DESCONTO]]</f>
        <v>1077.1137000000001</v>
      </c>
      <c r="L6437" s="53">
        <f>Tabela6[[#This Row],[CUSTO TOTAL]]/Tabela6[[#This Row],[CONSUMO]]</f>
        <v>5.7900000000000009</v>
      </c>
      <c r="M6437" s="53" t="e">
        <f t="array" ref="M6437">SE</f>
        <v>#NAME?</v>
      </c>
      <c r="N6437" s="118" t="e">
        <f>Tabela6[[#This Row],[KM Rodados ]]/Tabela6[[#This Row],[CONSUMO]]</f>
        <v>#NAME?</v>
      </c>
    </row>
    <row r="6438" spans="1:14" x14ac:dyDescent="0.25">
      <c r="A6438" s="117" t="s">
        <v>749</v>
      </c>
      <c r="B6438" s="78">
        <v>45839</v>
      </c>
      <c r="C6438" s="47" t="s">
        <v>43</v>
      </c>
      <c r="D6438" s="49" t="s">
        <v>270</v>
      </c>
      <c r="E6438" s="117">
        <v>258441</v>
      </c>
      <c r="G6438" s="50" t="s">
        <v>89</v>
      </c>
      <c r="H6438" s="51">
        <v>46.970999999999997</v>
      </c>
      <c r="J6438" s="51">
        <v>5.79</v>
      </c>
      <c r="K6438" s="74">
        <f>Tabela6[[#This Row],[CONSUMO]]*Tabela6[[#This Row],[VALOR UNIT]]-Tabela6[[#This Row],[DESCONTO]]</f>
        <v>271.96208999999999</v>
      </c>
      <c r="L6438" s="53">
        <f>Tabela6[[#This Row],[CUSTO TOTAL]]/Tabela6[[#This Row],[CONSUMO]]</f>
        <v>5.79</v>
      </c>
      <c r="M6438" s="53" t="e">
        <f t="array" ref="M6438">SE</f>
        <v>#NAME?</v>
      </c>
      <c r="N6438" s="118" t="e">
        <f>Tabela6[[#This Row],[KM Rodados ]]/Tabela6[[#This Row],[CONSUMO]]</f>
        <v>#NAME?</v>
      </c>
    </row>
    <row r="6439" spans="1:14" x14ac:dyDescent="0.25">
      <c r="A6439" s="117" t="s">
        <v>750</v>
      </c>
      <c r="B6439" s="78">
        <v>45839</v>
      </c>
      <c r="C6439" s="47" t="s">
        <v>206</v>
      </c>
      <c r="D6439" s="49" t="s">
        <v>300</v>
      </c>
      <c r="E6439" s="117">
        <v>1094224</v>
      </c>
      <c r="G6439" s="50" t="s">
        <v>89</v>
      </c>
      <c r="H6439" s="51">
        <v>23.7</v>
      </c>
      <c r="J6439" s="51">
        <v>5.79</v>
      </c>
      <c r="K6439" s="74">
        <f>Tabela6[[#This Row],[CONSUMO]]*Tabela6[[#This Row],[VALOR UNIT]]-Tabela6[[#This Row],[DESCONTO]]</f>
        <v>137.22299999999998</v>
      </c>
      <c r="L6439" s="53">
        <f>Tabela6[[#This Row],[CUSTO TOTAL]]/Tabela6[[#This Row],[CONSUMO]]</f>
        <v>5.7899999999999991</v>
      </c>
      <c r="M6439" s="53" t="e">
        <f t="array" ref="M6439">SE</f>
        <v>#NAME?</v>
      </c>
      <c r="N6439" s="118" t="e">
        <f>Tabela6[[#This Row],[KM Rodados ]]/Tabela6[[#This Row],[CONSUMO]]</f>
        <v>#NAME?</v>
      </c>
    </row>
    <row r="6440" spans="1:14" x14ac:dyDescent="0.25">
      <c r="A6440" s="117"/>
      <c r="B6440" s="78"/>
      <c r="C6440" s="47"/>
      <c r="E6440" s="117"/>
      <c r="G6440" s="50"/>
      <c r="K6440" s="74">
        <f>Tabela6[[#This Row],[CONSUMO]]*Tabela6[[#This Row],[VALOR UNIT]]-Tabela6[[#This Row],[DESCONTO]]</f>
        <v>0</v>
      </c>
      <c r="L6440" s="53" t="e">
        <f>Tabela6[[#This Row],[CUSTO TOTAL]]/Tabela6[[#This Row],[CONSUMO]]</f>
        <v>#DIV/0!</v>
      </c>
      <c r="M6440" s="53" t="e">
        <f t="array" ref="M6440">SE</f>
        <v>#NAME?</v>
      </c>
      <c r="N6440" s="118" t="e">
        <f>Tabela6[[#This Row],[KM Rodados ]]/Tabela6[[#This Row],[CONSUMO]]</f>
        <v>#NAME?</v>
      </c>
    </row>
    <row r="6441" spans="1:14" x14ac:dyDescent="0.25">
      <c r="A6441" s="117"/>
      <c r="B6441" s="78"/>
      <c r="C6441" s="47"/>
      <c r="E6441" s="117"/>
      <c r="G6441" s="50"/>
      <c r="K6441" s="74">
        <f>Tabela6[[#This Row],[CONSUMO]]*Tabela6[[#This Row],[VALOR UNIT]]-Tabela6[[#This Row],[DESCONTO]]</f>
        <v>0</v>
      </c>
      <c r="L6441" s="53" t="e">
        <f>Tabela6[[#This Row],[CUSTO TOTAL]]/Tabela6[[#This Row],[CONSUMO]]</f>
        <v>#DIV/0!</v>
      </c>
      <c r="M6441" s="53" t="e">
        <f t="array" ref="M6441">SE</f>
        <v>#NAME?</v>
      </c>
      <c r="N6441" s="118" t="e">
        <f>Tabela6[[#This Row],[KM Rodados ]]/Tabela6[[#This Row],[CONSUMO]]</f>
        <v>#NAME?</v>
      </c>
    </row>
    <row r="6442" spans="1:14" x14ac:dyDescent="0.25">
      <c r="A6442" s="117"/>
      <c r="B6442" s="78"/>
      <c r="C6442" s="47"/>
      <c r="E6442" s="117"/>
      <c r="G6442" s="50"/>
      <c r="K6442" s="74">
        <f>Tabela6[[#This Row],[CONSUMO]]*Tabela6[[#This Row],[VALOR UNIT]]-Tabela6[[#This Row],[DESCONTO]]</f>
        <v>0</v>
      </c>
      <c r="L6442" s="53" t="e">
        <f>Tabela6[[#This Row],[CUSTO TOTAL]]/Tabela6[[#This Row],[CONSUMO]]</f>
        <v>#DIV/0!</v>
      </c>
      <c r="M6442" s="53" t="e">
        <f t="array" ref="M6442">SE</f>
        <v>#NAME?</v>
      </c>
      <c r="N6442" s="118" t="e">
        <f>Tabela6[[#This Row],[KM Rodados ]]/Tabela6[[#This Row],[CONSUMO]]</f>
        <v>#NAME?</v>
      </c>
    </row>
    <row r="6443" spans="1:14" x14ac:dyDescent="0.25">
      <c r="A6443" s="117"/>
      <c r="B6443" s="78"/>
      <c r="C6443" s="47"/>
      <c r="E6443" s="117"/>
      <c r="G6443" s="50"/>
      <c r="K6443" s="74">
        <f>Tabela6[[#This Row],[CONSUMO]]*Tabela6[[#This Row],[VALOR UNIT]]-Tabela6[[#This Row],[DESCONTO]]</f>
        <v>0</v>
      </c>
      <c r="L6443" s="53" t="e">
        <f>Tabela6[[#This Row],[CUSTO TOTAL]]/Tabela6[[#This Row],[CONSUMO]]</f>
        <v>#DIV/0!</v>
      </c>
      <c r="M6443" s="53" t="e">
        <f t="array" ref="M6443">SE</f>
        <v>#NAME?</v>
      </c>
      <c r="N6443" s="118" t="e">
        <f>Tabela6[[#This Row],[KM Rodados ]]/Tabela6[[#This Row],[CONSUMO]]</f>
        <v>#NAME?</v>
      </c>
    </row>
  </sheetData>
  <phoneticPr fontId="30" type="noConversion"/>
  <conditionalFormatting sqref="A1005">
    <cfRule type="duplicateValues" dxfId="193" priority="8287"/>
  </conditionalFormatting>
  <conditionalFormatting sqref="A2078:A2083">
    <cfRule type="duplicateValues" dxfId="192" priority="106"/>
  </conditionalFormatting>
  <conditionalFormatting sqref="A2107">
    <cfRule type="duplicateValues" dxfId="191" priority="110"/>
  </conditionalFormatting>
  <conditionalFormatting sqref="A2405">
    <cfRule type="duplicateValues" dxfId="190" priority="101"/>
  </conditionalFormatting>
  <conditionalFormatting sqref="A2469:A2472 A2166:A2280 A2420 A2324:A2327 A2348 A2352:A2355 A2390:A2394 A2406:A2414 A2427:A2466 A2396:A2397">
    <cfRule type="duplicateValues" dxfId="189" priority="11045"/>
  </conditionalFormatting>
  <conditionalFormatting sqref="A2512">
    <cfRule type="duplicateValues" dxfId="188" priority="105"/>
  </conditionalFormatting>
  <conditionalFormatting sqref="A2555">
    <cfRule type="duplicateValues" dxfId="187" priority="104"/>
  </conditionalFormatting>
  <conditionalFormatting sqref="A2624">
    <cfRule type="duplicateValues" dxfId="186" priority="103"/>
  </conditionalFormatting>
  <conditionalFormatting sqref="A2801:A2803">
    <cfRule type="duplicateValues" dxfId="185" priority="100"/>
  </conditionalFormatting>
  <conditionalFormatting sqref="A2878">
    <cfRule type="duplicateValues" dxfId="184" priority="99"/>
  </conditionalFormatting>
  <conditionalFormatting sqref="A4159">
    <cfRule type="duplicateValues" dxfId="183" priority="96"/>
  </conditionalFormatting>
  <conditionalFormatting sqref="A4480:A4481">
    <cfRule type="duplicateValues" dxfId="182" priority="84"/>
  </conditionalFormatting>
  <conditionalFormatting sqref="A4484:A4485">
    <cfRule type="duplicateValues" dxfId="181" priority="88"/>
  </conditionalFormatting>
  <conditionalFormatting sqref="A4504">
    <cfRule type="duplicateValues" dxfId="180" priority="76"/>
  </conditionalFormatting>
  <conditionalFormatting sqref="A4509:A4510">
    <cfRule type="duplicateValues" dxfId="179" priority="68"/>
  </conditionalFormatting>
  <conditionalFormatting sqref="A4511">
    <cfRule type="duplicateValues" dxfId="178" priority="72"/>
  </conditionalFormatting>
  <conditionalFormatting sqref="A4516">
    <cfRule type="duplicateValues" dxfId="177" priority="80"/>
  </conditionalFormatting>
  <conditionalFormatting sqref="A4763:A4765">
    <cfRule type="duplicateValues" dxfId="176" priority="56"/>
  </conditionalFormatting>
  <conditionalFormatting sqref="A4768:A4770">
    <cfRule type="duplicateValues" dxfId="175" priority="52"/>
  </conditionalFormatting>
  <conditionalFormatting sqref="A4775">
    <cfRule type="duplicateValues" dxfId="174" priority="64"/>
  </conditionalFormatting>
  <conditionalFormatting sqref="A4776">
    <cfRule type="duplicateValues" dxfId="173" priority="14761"/>
  </conditionalFormatting>
  <conditionalFormatting sqref="A4868:A4872">
    <cfRule type="duplicateValues" dxfId="172" priority="16724"/>
  </conditionalFormatting>
  <conditionalFormatting sqref="A6129:A6136 A6019:A6126 A5924:A6001 A5739:A5922 A5633:A5661 A5528:A5551 A4774 A4777:A4844 A4512:A4515 A4505:A4508 A4479 A4260:A4274 A4182 A4176:A4177 A3498:A3509 A3474:A3481 A2879:A2967 A2804:A2877 A2625:A2661 A2556:A2623 A2473:A2511 A2419 A1006:A1249 A2:A1004 A1251:A1569 A2513:A2554 A2663:A2677 A2710:A2741 A2679:A2701 A2705 A2975 A2986:A2992 A2994:A3471 A3513:A3522 A3527:A3536 A2745:A2800 A3540:A4104 A4109:A4129 B4105:B4108 A4131:A4158 A4160:A4163 A4167:A4171 B4164:B4166 A4184:A4252 A4173:A4174 A4277:A4466 A4482:A4483 A4486:A4503 A4517:A4762 A4766:A4767 A4846:A4854 A4859:A4867 A4922:A4923 A4874:A4892 A4894:A4914 A4939:A5482 A5489:A5500 A5562:A5630 A5686:A5724 A5728:A5737 A6003:A6014 A6139:A1048576">
    <cfRule type="duplicateValues" dxfId="171" priority="18017"/>
  </conditionalFormatting>
  <conditionalFormatting sqref="D192">
    <cfRule type="duplicateValues" dxfId="170" priority="138"/>
  </conditionalFormatting>
  <conditionalFormatting sqref="G1005">
    <cfRule type="duplicateValues" dxfId="169" priority="8292"/>
    <cfRule type="duplicateValues" dxfId="168" priority="8293"/>
  </conditionalFormatting>
  <conditionalFormatting sqref="G2012 T1576:T2084 W1576:W2084 G1618 G1678 G1843 G1579:G1580 G1646 G1629:G1631 G1714:G1715 G1884 G1996 G1857:G1858 G1904 G1968 G1874 G1952:G1954 G2050 G1785 G1689:G1690 G1749 G1608 G1695 G1738 G1759 G1800:G1801 G1825 G1879 G1909 G1623 G2001 G1987 G1896 G1598:G1600 G1680 G1703:G1705 G1772:G1773 G1831 G1877 G2044:G2047 G1667 G1795 G1744 G1814 G1906 G1970:G1972 G2006:G2007 G2069:G2070 G1642 G1726:G1727 G2057 G1762 G1821 G1583 G1593 G1626 G1788 G1816 G1920 G2015 G1656:G1659 G1692 G1719:G1720 G1975 G2020 G1610 G1682:G1683 G1586 G1829 G1964 G1836 G1989 G1776 G1765 G1922:G1923 J1576:J2085 J2092:J2094 J2096 J2098 J2105:J2106 J2114 J2116:J2120 J2125 J2137:J2143 J2162:J2163 J2166:J2171 J2177:J2179 J2187 J2189:J2190">
    <cfRule type="duplicateValues" dxfId="167" priority="111"/>
    <cfRule type="duplicateValues" dxfId="166" priority="113"/>
  </conditionalFormatting>
  <conditionalFormatting sqref="H2469:H2472 H2166:H2418 H2420:H2466">
    <cfRule type="duplicateValues" dxfId="165" priority="11058"/>
    <cfRule type="duplicateValues" dxfId="164" priority="11059"/>
  </conditionalFormatting>
  <conditionalFormatting sqref="H4159">
    <cfRule type="duplicateValues" dxfId="163" priority="97"/>
    <cfRule type="duplicateValues" dxfId="162" priority="98"/>
  </conditionalFormatting>
  <conditionalFormatting sqref="H4480:H4481">
    <cfRule type="duplicateValues" dxfId="161" priority="85"/>
    <cfRule type="duplicateValues" dxfId="160" priority="86"/>
  </conditionalFormatting>
  <conditionalFormatting sqref="H4484:H4485">
    <cfRule type="duplicateValues" dxfId="159" priority="89"/>
    <cfRule type="duplicateValues" dxfId="158" priority="90"/>
  </conditionalFormatting>
  <conditionalFormatting sqref="H4504">
    <cfRule type="duplicateValues" dxfId="157" priority="77"/>
    <cfRule type="duplicateValues" dxfId="156" priority="78"/>
  </conditionalFormatting>
  <conditionalFormatting sqref="H4509:H4510">
    <cfRule type="duplicateValues" dxfId="155" priority="69"/>
    <cfRule type="duplicateValues" dxfId="154" priority="70"/>
  </conditionalFormatting>
  <conditionalFormatting sqref="H4511">
    <cfRule type="duplicateValues" dxfId="153" priority="73"/>
    <cfRule type="duplicateValues" dxfId="152" priority="74"/>
  </conditionalFormatting>
  <conditionalFormatting sqref="H4516">
    <cfRule type="duplicateValues" dxfId="151" priority="81"/>
    <cfRule type="duplicateValues" dxfId="150" priority="82"/>
  </conditionalFormatting>
  <conditionalFormatting sqref="H4763:H4765">
    <cfRule type="duplicateValues" dxfId="149" priority="57"/>
    <cfRule type="duplicateValues" dxfId="148" priority="58"/>
  </conditionalFormatting>
  <conditionalFormatting sqref="H4768:H4770">
    <cfRule type="duplicateValues" dxfId="147" priority="53"/>
    <cfRule type="duplicateValues" dxfId="146" priority="54"/>
  </conditionalFormatting>
  <conditionalFormatting sqref="H4775">
    <cfRule type="duplicateValues" dxfId="145" priority="65"/>
    <cfRule type="duplicateValues" dxfId="144" priority="66"/>
  </conditionalFormatting>
  <conditionalFormatting sqref="H4776">
    <cfRule type="duplicateValues" dxfId="143" priority="14762"/>
    <cfRule type="duplicateValues" dxfId="142" priority="14763"/>
  </conditionalFormatting>
  <conditionalFormatting sqref="H4868:H4872">
    <cfRule type="duplicateValues" dxfId="141" priority="16725"/>
    <cfRule type="duplicateValues" dxfId="140" priority="16726"/>
  </conditionalFormatting>
  <conditionalFormatting sqref="H6139:H1048576 H6129:H6136 H6003:H6126 H5924:H6001 H5739:H5922 H5686:H5724 H5633:H5661 H5528:H5551 H4939:H5482 H5489:H5500 H4846:H4853 H4859:H4867 H4774 H4777:H4844 H4524:H4606 H4608:H4762 J4607 H4517:H4521 J4522 H4486:H4503 H4479 H4260:H4418 H4422:H4466 J4419:J4421 H4182 H4176:H4177 H3498:H3522 H3474:H3481 H3460:H3471 H2994:H3457 H2419 H1006:H1249 H1:H1004 K1582 K1592 K1649 K1990 K1691 K1786:K1787 K1624:K1625 K1771 K1743 K1988 K1838 H1251:H1569 K1853:K1856 K1644:K1645 K1962:K1963 K1951 K1584:K1585 K1647 K1706:K1708 K1740 K1760:K1761 K1775 K1809:K1811 K1813 K1833:K1835 K2052:K2054 K2056 K1878 K1907:K1908 K1716:K1718 K1872:K1873 K1577:K1578 K1622 K1710:K1713 K1789:K1793 K1885:K1892 K1902:K1904 K2047:K2050 K1588:K1589 K1614:K1615 K1672:K1676 K1750:K1758 K1803:K1807 K1822:K1823 K1894:K1895 K1946:K1949 K1619:K1620 K1660 K1745:K1747 K1875 K1594:K1596 K1617 K1634:K1639 K1652:K1655 K1688 K1728:K1736 K1859:K1869 K1997:K2000 K2068 K1632 K1684:K1686 K1697:K1701 K1777:K1784 K1842 K1880:K1883 K1897:K1899 K1955:K1960 K1993:K1995 K2011 K2071:K2075 K1601:K1612 K1629 K1662:K1670 K1678:K1681 K1693:K1695 K1720:K1724 K1764:K1769 K1795:K1799 K1913:K1921 K1924:K1944 K1965:K1968 K1973:K1986 K2006:K2009 K2:K1575 K1703 K1815:K1820 K1826:K1831 K1910:K1911 K2013:K2042 K2086:K2165 K2058:K2065 H2740:H2992 H3527:H3957 H2473:H2731 H3959:H4127 H4160:H4174 H4184:H4215 H4129:H4158 H4217:H4252 H4482:H4483 H4505:H4508 H4512:H4515 H4766:H4767 H4874:H4892 H4894:H4918 H4920:H4923 H5562:H5630 H5728:H5737">
    <cfRule type="duplicateValues" dxfId="139" priority="18071"/>
  </conditionalFormatting>
  <conditionalFormatting sqref="H6139:H1048576 K6129:K6136 H6003:H6126 K5924:K6001 H5739:H5922 K5686:K5724 H5633:H5661 K5528:K5551 J5208:J5211 H4939:H5482 H5489:H5500 H4774 H4524:H4606 H4608:H4762 J4607 H4486:H4503 H4182 H4176:H4177 H3498:H3522 H3474:H3481 H3460:H3471 H2994:H3457 H2419 L63:M63 H1006:H1249 H1:H1004 K1582 K1592 K1649 K1990 K1691 K1786:K1787 K1624:K1625 K1771 K1743 K1988 K1838 H1251:H1569 K1853:K1856 K1644:K1645 K1962:K1963 K1951 K1584:K1585 K1647 K1706:K1708 K1740 K1760:K1761 K1775 K1809:K1811 K1813 K1833:K1835 K2052:K2054 K2056 K1878 K1907:K1908 K1716:K1718 K1872:K1873 K1577:K1578 K1622 K1710:K1713 K1789:K1793 K1885:K1892 K1902:K1904 K2047:K2050 K1588:K1589 K1614:K1615 K1672:K1676 K1750:K1758 K1803:K1807 K1822:K1823 K1894:K1895 K1946:K1949 K1619:K1620 K1660 K1745:K1747 K1875 K1594:K1596 K1617 K1634:K1639 K1652:K1655 K1688 K1728:K1736 K1859:K1869 K1997:K2000 K2068 K1632 K1684:K1686 K1697:K1701 K1777:K1784 K1842 K1880:K1883 K1897:K1899 K1955:K1960 K1993:K1995 K2011 K2071:K2075 K1601:K1612 K1629 K1662:K1670 K1678:K1681 K1693:K1695 K1720:K1724 K1764:K1769 K1795:K1799 K1913:K1921 K1924:K1944 K1965:K1968 K1973:K1986 K2006:K2009 K1:K1575 K1703 K1815:K1820 K1826:K1831 K1910:K1911 K2013:K2042 K2058:K2065 H2740:H2992 H3527:H3957 H2473:H2731 H3959:H4127 H4160:H4174 H4260:H4418 H4422:H4466 J4419:J4421 H4479 H4184:H4215 H4129:H4158 H4217:H4252 H4482:H4483 H4517:H4521 J4522 H4505:H4508 H4512:H4515 H4846:H4853 H4859:H4867 H4777:H4844 H4766:H4767 H4874:H4892 H4894:H4918 H4920:H4923 K2086:K5482 K5489:K5500 H5528:H5551 K5562:K5602 H5562:H5630 H5686:H5724 K5633:K5661 K5739:K5922 H5728:H5737 K5728:K5737 H5924:H6001 K6003:K6126 H6129:H6136 K6139:K1048576">
    <cfRule type="duplicateValues" dxfId="138" priority="18205"/>
  </conditionalFormatting>
  <conditionalFormatting sqref="K6139:K1048576 K6129:K6136 K6003:K6126 K5924:K6001 K5739:K5922 K5686:K5724 K5528:K5551 J5208:J5211 K2068 K1990 K1582 K1592 K1649 K1691 K1786:K1787 K1624:K1625 K1771 K1743 K1988 K1838 K1853:K1856 K1644:K1645 K1962:K1963 K1951 K1584:K1585 K1647 K1706:K1708 K1740 K1760:K1761 K1775 K1809:K1811 K1813 K1833:K1835 K2052:K2054 K2056 K1878 K1907:K1908 K1716:K1718 K1872:K1873 K1577:K1578 K1622 K1710:K1713 K1789:K1793 K1885:K1892 K1902:K1904 K2047:K2050 K1588:K1589 K1614:K1615 K1672:K1676 K1750:K1758 K1803:K1807 K1822:K1823 K1894:K1895 K1946:K1949 K1619:K1620 K1660 K1745:K1747 K1875 K1594:K1596 K1617 K1634:K1639 K1652:K1655 K1688 K1728:K1736 K1859:K1869 K1997:K2000 K1632 K1684:K1686 K1697:K1701 K1777:K1784 K1842 K1880:K1883 K1897:K1899 K1955:K1960 K1993:K1995 K2011 K2071:K2075 K1601:K1612 K1629 K1662:K1670 K1678:K1681 K1693:K1695 K1720:K1724 K1764:K1769 K1795:K1799 K1913:K1921 K1924:K1944 K1965:K1968 K1973:K1986 K2006:K2009 K1:K1575 K1703 K1815:K1820 K1826:K1831 K1910:K1911 K2013:K2042 K2058:K2065 K2086:K5482 K5489:K5500 K5562:K5602 K5633:K5661 K5728:K5737">
    <cfRule type="duplicateValues" dxfId="137" priority="18345"/>
  </conditionalFormatting>
  <conditionalFormatting sqref="N2069 N1631 N1774 N1621 N1661 N1696 N1648 N1600 N1643 N1893 N1581 N1802 N1656:N1657 N1590:N1591 N2066 N1900 A2084:A2085 A1576:A1975 A1978:A2072 A2074:A2077">
    <cfRule type="duplicateValues" dxfId="136" priority="114"/>
  </conditionalFormatting>
  <conditionalFormatting sqref="W1576:W2084 J1576:J2085 J2092:J2094 J2096 J2098 J2105:J2106 J2114 J2116:J2120 J2125 J2137:J2143 J2162:J2163 J2166:J2171 J2177:J2179 J2187 J2189:J2190">
    <cfRule type="duplicateValues" dxfId="135" priority="11547"/>
  </conditionalFormatting>
  <conditionalFormatting sqref="A5631">
    <cfRule type="duplicateValues" dxfId="134" priority="40"/>
  </conditionalFormatting>
  <conditionalFormatting sqref="H5631">
    <cfRule type="duplicateValues" dxfId="133" priority="41"/>
  </conditionalFormatting>
  <conditionalFormatting sqref="K5631 H5631">
    <cfRule type="duplicateValues" dxfId="132" priority="42"/>
  </conditionalFormatting>
  <conditionalFormatting sqref="K5631">
    <cfRule type="duplicateValues" dxfId="131" priority="43"/>
  </conditionalFormatting>
  <conditionalFormatting sqref="K5603:K5630">
    <cfRule type="duplicateValues" dxfId="130" priority="38"/>
  </conditionalFormatting>
  <conditionalFormatting sqref="K5603:K5630">
    <cfRule type="duplicateValues" dxfId="129" priority="39"/>
  </conditionalFormatting>
  <conditionalFormatting sqref="A5632">
    <cfRule type="duplicateValues" dxfId="128" priority="30"/>
  </conditionalFormatting>
  <conditionalFormatting sqref="H5632">
    <cfRule type="duplicateValues" dxfId="127" priority="31"/>
  </conditionalFormatting>
  <conditionalFormatting sqref="H5632 K5632">
    <cfRule type="duplicateValues" dxfId="126" priority="32"/>
  </conditionalFormatting>
  <conditionalFormatting sqref="K5632">
    <cfRule type="duplicateValues" dxfId="125" priority="33"/>
  </conditionalFormatting>
  <conditionalFormatting sqref="B5641">
    <cfRule type="duplicateValues" dxfId="124" priority="29"/>
  </conditionalFormatting>
  <conditionalFormatting sqref="A5501:A5527">
    <cfRule type="duplicateValues" dxfId="123" priority="18355"/>
  </conditionalFormatting>
  <conditionalFormatting sqref="H5501:H5527">
    <cfRule type="duplicateValues" dxfId="122" priority="18410"/>
  </conditionalFormatting>
  <conditionalFormatting sqref="K5501:K5527 H5501:H5527">
    <cfRule type="duplicateValues" dxfId="121" priority="18545"/>
  </conditionalFormatting>
  <conditionalFormatting sqref="K5501:K5527">
    <cfRule type="duplicateValues" dxfId="120" priority="18549"/>
  </conditionalFormatting>
  <conditionalFormatting sqref="A5738">
    <cfRule type="duplicateValues" dxfId="119" priority="21"/>
  </conditionalFormatting>
  <conditionalFormatting sqref="H5738">
    <cfRule type="duplicateValues" dxfId="118" priority="22"/>
  </conditionalFormatting>
  <conditionalFormatting sqref="K5738 H5738">
    <cfRule type="duplicateValues" dxfId="117" priority="23"/>
  </conditionalFormatting>
  <conditionalFormatting sqref="K5738">
    <cfRule type="duplicateValues" dxfId="116" priority="24"/>
  </conditionalFormatting>
  <conditionalFormatting sqref="A5662:A5685">
    <cfRule type="duplicateValues" dxfId="115" priority="18979"/>
  </conditionalFormatting>
  <conditionalFormatting sqref="H5662:H5678">
    <cfRule type="duplicateValues" dxfId="114" priority="18981"/>
  </conditionalFormatting>
  <conditionalFormatting sqref="H5662:H5678 K5662:K5685">
    <cfRule type="duplicateValues" dxfId="113" priority="18983"/>
  </conditionalFormatting>
  <conditionalFormatting sqref="K5662:K5685">
    <cfRule type="duplicateValues" dxfId="112" priority="18987"/>
  </conditionalFormatting>
  <conditionalFormatting sqref="A5725:A5727">
    <cfRule type="duplicateValues" dxfId="111" priority="17"/>
  </conditionalFormatting>
  <conditionalFormatting sqref="H5725:H5727">
    <cfRule type="duplicateValues" dxfId="110" priority="18"/>
  </conditionalFormatting>
  <conditionalFormatting sqref="K5725:K5727 H5725:H5727">
    <cfRule type="duplicateValues" dxfId="109" priority="19"/>
  </conditionalFormatting>
  <conditionalFormatting sqref="K5725:K5727">
    <cfRule type="duplicateValues" dxfId="108" priority="20"/>
  </conditionalFormatting>
  <conditionalFormatting sqref="A5923">
    <cfRule type="duplicateValues" dxfId="107" priority="13"/>
  </conditionalFormatting>
  <conditionalFormatting sqref="H5923">
    <cfRule type="duplicateValues" dxfId="106" priority="14"/>
  </conditionalFormatting>
  <conditionalFormatting sqref="H5923 K5923">
    <cfRule type="duplicateValues" dxfId="105" priority="15"/>
  </conditionalFormatting>
  <conditionalFormatting sqref="K5923">
    <cfRule type="duplicateValues" dxfId="104" priority="16"/>
  </conditionalFormatting>
  <conditionalFormatting sqref="A6002">
    <cfRule type="duplicateValues" dxfId="103" priority="9"/>
  </conditionalFormatting>
  <conditionalFormatting sqref="H6002">
    <cfRule type="duplicateValues" dxfId="102" priority="10"/>
  </conditionalFormatting>
  <conditionalFormatting sqref="K6002 H6002">
    <cfRule type="duplicateValues" dxfId="101" priority="11"/>
  </conditionalFormatting>
  <conditionalFormatting sqref="K6002">
    <cfRule type="duplicateValues" dxfId="100" priority="12"/>
  </conditionalFormatting>
  <conditionalFormatting sqref="A6127:A6128">
    <cfRule type="duplicateValues" dxfId="99" priority="5"/>
  </conditionalFormatting>
  <conditionalFormatting sqref="H6127:H6128">
    <cfRule type="duplicateValues" dxfId="98" priority="6"/>
  </conditionalFormatting>
  <conditionalFormatting sqref="H6127:H6128 K6127:K6128">
    <cfRule type="duplicateValues" dxfId="97" priority="7"/>
  </conditionalFormatting>
  <conditionalFormatting sqref="K6127:K6128">
    <cfRule type="duplicateValues" dxfId="96" priority="8"/>
  </conditionalFormatting>
  <conditionalFormatting sqref="A6137:A6138">
    <cfRule type="duplicateValues" dxfId="95" priority="1"/>
  </conditionalFormatting>
  <conditionalFormatting sqref="H6137:H6138">
    <cfRule type="duplicateValues" dxfId="94" priority="2"/>
  </conditionalFormatting>
  <conditionalFormatting sqref="H6137:H6138 K6137:K6138">
    <cfRule type="duplicateValues" dxfId="93" priority="3"/>
  </conditionalFormatting>
  <conditionalFormatting sqref="K6137:K6138">
    <cfRule type="duplicateValues" dxfId="92" priority="4"/>
  </conditionalFormatting>
  <pageMargins left="0.7" right="0.7" top="0.75" bottom="0.75" header="0.3" footer="0.3"/>
  <pageSetup paperSize="9" orientation="portrait" horizontalDpi="360" verticalDpi="36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341B74-E85F-4141-BE89-BBE8DE6EF170}">
          <x14:formula1>
            <xm:f>VALIDAÇÃO!$I:$I</xm:f>
          </x14:formula1>
          <xm:sqref>F1005:G1005 G1:G1004 G2784 G2830 G2771:G2780 G2806:G2825 G2790:G2804 G2843:G2992 G1006:G2767 G3188:G3200 G2994:G3186 G3203:G3481 G4182 G3498:G4177 G4184:G4252 G4260:G4466 G4859:G4872 G4774:G4844 G4846:G4853 G4479:G4770 G4874:G4892 G4894:G4923 G4939:G5388 G5395:G5482 G5489:G5551 G5562:G1048576</xm:sqref>
        </x14:dataValidation>
        <x14:dataValidation type="list" allowBlank="1" showInputMessage="1" showErrorMessage="1" xr:uid="{D3C7C999-8F75-48A6-9151-537CAB74A6BD}">
          <x14:formula1>
            <xm:f>VALIDAÇÃO!$F:$F</xm:f>
          </x14:formula1>
          <xm:sqref>D1:D2947 D2953:D3294 D3302:D3522 D4182 D4260:D4263 D3527:D4177 D4184:D4252 D4265:D4466 D4859:D4872 D4774:D4844 D4846:D4853 D4479:D4770 D4874:D4892 D4894:D4923 D4939:D5482 D5489:D5551 D5562:D1048576</xm:sqref>
        </x14:dataValidation>
        <x14:dataValidation type="list" allowBlank="1" showInputMessage="1" showErrorMessage="1" xr:uid="{3AA42B83-D594-4D54-B701-1F34EC0B9F34}">
          <x14:formula1>
            <xm:f>'CADASTRO DE VEÍCULO'!$B:$B</xm:f>
          </x14:formula1>
          <xm:sqref>C1:C2992 C3460:C3471 C2994:C3457 C4182 C4217:C4252 C3474:C4177 C4184:C4215 C4260:C4466 C4859:C4872 C4774:C4844 C4846:C4853 C4479:C4770 C4874:C4892 C4894:C4923 C4939:C5482 C5489:C5551 C5562:C1048576</xm:sqref>
        </x14:dataValidation>
        <x14:dataValidation type="list" allowBlank="1" showInputMessage="1" showErrorMessage="1" xr:uid="{D3B48729-5A5F-43F0-8981-D7E87706DBA5}">
          <x14:formula1>
            <xm:f>VALIDAÇÃO!$F$134</xm:f>
          </x14:formula1>
          <xm:sqref>D4264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1831A-0A36-4AFE-B9EA-E6CCEDFF5024}">
  <dimension ref="A1:B35"/>
  <sheetViews>
    <sheetView topLeftCell="A19" workbookViewId="0">
      <selection activeCell="B2" sqref="B2:B35"/>
    </sheetView>
  </sheetViews>
  <sheetFormatPr defaultRowHeight="15" x14ac:dyDescent="0.25"/>
  <cols>
    <col min="1" max="1" width="12.42578125" customWidth="1"/>
    <col min="2" max="2" width="20.42578125" customWidth="1"/>
  </cols>
  <sheetData>
    <row r="1" spans="1:2" x14ac:dyDescent="0.25">
      <c r="B1" t="s">
        <v>410</v>
      </c>
    </row>
    <row r="2" spans="1:2" x14ac:dyDescent="0.25">
      <c r="A2" s="104" t="s">
        <v>68</v>
      </c>
      <c r="B2" s="104">
        <f>'ABASTECIMENTOS '!E3849-'ABASTECIMENTOS '!E3512</f>
        <v>581208</v>
      </c>
    </row>
    <row r="3" spans="1:2" x14ac:dyDescent="0.25">
      <c r="A3" s="104" t="s">
        <v>43</v>
      </c>
      <c r="B3" s="104">
        <f>'ABASTECIMENTOS '!E3862-'ABASTECIMENTOS '!E3510</f>
        <v>-937651</v>
      </c>
    </row>
    <row r="4" spans="1:2" x14ac:dyDescent="0.25">
      <c r="A4" s="104" t="s">
        <v>394</v>
      </c>
      <c r="B4" s="104">
        <f>'ABASTECIMENTOS '!E3830-'ABASTECIMENTOS '!E3526</f>
        <v>13039</v>
      </c>
    </row>
    <row r="5" spans="1:2" x14ac:dyDescent="0.25">
      <c r="A5" s="104" t="s">
        <v>9</v>
      </c>
      <c r="B5" s="104">
        <f>'ABASTECIMENTOS '!E3854-'ABASTECIMENTOS '!E3507</f>
        <v>340830</v>
      </c>
    </row>
    <row r="6" spans="1:2" x14ac:dyDescent="0.25">
      <c r="A6" s="104" t="s">
        <v>42</v>
      </c>
      <c r="B6" s="104">
        <f>'ABASTECIMENTOS '!E3845-'ABASTECIMENTOS '!E3524</f>
        <v>-202934</v>
      </c>
    </row>
    <row r="7" spans="1:2" x14ac:dyDescent="0.25">
      <c r="A7" s="104" t="s">
        <v>222</v>
      </c>
      <c r="B7" s="104">
        <f>'ABASTECIMENTOS '!E3864-'ABASTECIMENTOS '!E3623</f>
        <v>495019</v>
      </c>
    </row>
    <row r="8" spans="1:2" x14ac:dyDescent="0.25">
      <c r="A8" s="104" t="s">
        <v>67</v>
      </c>
      <c r="B8" s="104">
        <f>'ABASTECIMENTOS '!E3843-'ABASTECIMENTOS '!E3605</f>
        <v>560348</v>
      </c>
    </row>
    <row r="9" spans="1:2" x14ac:dyDescent="0.25">
      <c r="A9" s="104" t="s">
        <v>215</v>
      </c>
      <c r="B9" s="104">
        <f>'ABASTECIMENTOS '!E3718-'ABASTECIMENTOS '!E3543</f>
        <v>-551614</v>
      </c>
    </row>
    <row r="10" spans="1:2" x14ac:dyDescent="0.25">
      <c r="A10" s="104" t="s">
        <v>22</v>
      </c>
      <c r="B10" s="104">
        <f>'ABASTECIMENTOS '!E3840-'ABASTECIMENTOS '!E3529</f>
        <v>132992</v>
      </c>
    </row>
    <row r="11" spans="1:2" x14ac:dyDescent="0.25">
      <c r="A11" s="104" t="s">
        <v>39</v>
      </c>
      <c r="B11" s="104">
        <f>'ABASTECIMENTOS '!E3850-'ABASTECIMENTOS '!E3515</f>
        <v>401646</v>
      </c>
    </row>
    <row r="12" spans="1:2" x14ac:dyDescent="0.25">
      <c r="A12" s="104" t="s">
        <v>70</v>
      </c>
      <c r="B12" s="104">
        <f>'ABASTECIMENTOS '!E3807-'ABASTECIMENTOS '!E3518</f>
        <v>262681</v>
      </c>
    </row>
    <row r="13" spans="1:2" x14ac:dyDescent="0.25">
      <c r="A13" s="104" t="s">
        <v>203</v>
      </c>
      <c r="B13" s="104">
        <f>'ABASTECIMENTOS '!E3823-'ABASTECIMENTOS '!E3542</f>
        <v>295070</v>
      </c>
    </row>
    <row r="14" spans="1:2" x14ac:dyDescent="0.25">
      <c r="A14" s="104" t="s">
        <v>72</v>
      </c>
      <c r="B14" s="104">
        <f>'ABASTECIMENTOS '!E3860-'ABASTECIMENTOS '!E3516</f>
        <v>-82394</v>
      </c>
    </row>
    <row r="15" spans="1:2" x14ac:dyDescent="0.25">
      <c r="A15" s="104" t="s">
        <v>73</v>
      </c>
      <c r="B15" s="104">
        <f>'ABASTECIMENTOS '!E3834-'ABASTECIMENTOS '!E3537</f>
        <v>-165194</v>
      </c>
    </row>
    <row r="16" spans="1:2" x14ac:dyDescent="0.25">
      <c r="A16" s="104" t="s">
        <v>71</v>
      </c>
      <c r="B16" s="104">
        <f>'ABASTECIMENTOS '!E3859-'ABASTECIMENTOS '!E3533</f>
        <v>-148881</v>
      </c>
    </row>
    <row r="17" spans="1:2" x14ac:dyDescent="0.25">
      <c r="A17" s="104" t="s">
        <v>41</v>
      </c>
      <c r="B17" s="104">
        <f>'ABASTECIMENTOS '!E3857-'ABASTECIMENTOS '!E3650</f>
        <v>-300406</v>
      </c>
    </row>
    <row r="18" spans="1:2" x14ac:dyDescent="0.25">
      <c r="A18" s="104" t="s">
        <v>10</v>
      </c>
      <c r="B18" s="104">
        <f>'ABASTECIMENTOS '!E3853-'ABASTECIMENTOS '!E3579</f>
        <v>45660</v>
      </c>
    </row>
    <row r="19" spans="1:2" x14ac:dyDescent="0.25">
      <c r="A19" s="104" t="s">
        <v>11</v>
      </c>
      <c r="B19" s="104">
        <f>'ABASTECIMENTOS '!E3741-'ABASTECIMENTOS '!E3664</f>
        <v>28138</v>
      </c>
    </row>
    <row r="20" spans="1:2" x14ac:dyDescent="0.25">
      <c r="A20" s="104" t="s">
        <v>301</v>
      </c>
      <c r="B20" s="104">
        <f>'ABASTECIMENTOS '!E3829-'ABASTECIMENTOS '!E3509</f>
        <v>162164</v>
      </c>
    </row>
    <row r="21" spans="1:2" x14ac:dyDescent="0.25">
      <c r="A21" s="104" t="s">
        <v>206</v>
      </c>
      <c r="B21" s="104">
        <f>'ABASTECIMENTOS '!E3858-'ABASTECIMENTOS '!E3528</f>
        <v>-230378</v>
      </c>
    </row>
    <row r="22" spans="1:2" x14ac:dyDescent="0.25">
      <c r="A22" s="104" t="s">
        <v>12</v>
      </c>
      <c r="B22" s="104">
        <f>'ABASTECIMENTOS '!E3822-'ABASTECIMENTOS '!E3549</f>
        <v>125402</v>
      </c>
    </row>
    <row r="23" spans="1:2" x14ac:dyDescent="0.25">
      <c r="A23" s="104" t="s">
        <v>13</v>
      </c>
      <c r="B23" s="104">
        <f>'ABASTECIMENTOS '!E3839-'ABASTECIMENTOS '!E3536</f>
        <v>414023</v>
      </c>
    </row>
    <row r="24" spans="1:2" x14ac:dyDescent="0.25">
      <c r="A24" s="104" t="s">
        <v>14</v>
      </c>
      <c r="B24" s="104">
        <f>'ABASTECIMENTOS '!E3808-'ABASTECIMENTOS '!E3535</f>
        <v>362058</v>
      </c>
    </row>
    <row r="25" spans="1:2" x14ac:dyDescent="0.25">
      <c r="A25" s="104" t="s">
        <v>15</v>
      </c>
      <c r="B25" s="104">
        <f>'ABASTECIMENTOS '!E3832-'ABASTECIMENTOS '!E3606</f>
        <v>210106</v>
      </c>
    </row>
    <row r="26" spans="1:2" x14ac:dyDescent="0.25">
      <c r="A26" s="104" t="s">
        <v>17</v>
      </c>
      <c r="B26" s="104">
        <v>4777</v>
      </c>
    </row>
    <row r="27" spans="1:2" x14ac:dyDescent="0.25">
      <c r="A27" s="104" t="s">
        <v>18</v>
      </c>
      <c r="B27" s="104">
        <f>'ABASTECIMENTOS '!E3567-'ABASTECIMENTOS '!E3511</f>
        <v>143873</v>
      </c>
    </row>
    <row r="28" spans="1:2" x14ac:dyDescent="0.25">
      <c r="A28" s="104" t="s">
        <v>19</v>
      </c>
      <c r="B28" s="104">
        <f>'ABASTECIMENTOS '!E3844-'ABASTECIMENTOS '!E3577</f>
        <v>-621427</v>
      </c>
    </row>
    <row r="29" spans="1:2" x14ac:dyDescent="0.25">
      <c r="A29" s="104" t="s">
        <v>20</v>
      </c>
      <c r="B29" s="104">
        <f>'ABASTECIMENTOS '!E3861-'ABASTECIMENTOS '!E3556</f>
        <v>-163908</v>
      </c>
    </row>
    <row r="30" spans="1:2" x14ac:dyDescent="0.25">
      <c r="A30" s="104" t="s">
        <v>38</v>
      </c>
      <c r="B30" s="104">
        <f>'ABASTECIMENTOS '!E3771-'ABASTECIMENTOS '!E3513</f>
        <v>7935</v>
      </c>
    </row>
    <row r="31" spans="1:2" x14ac:dyDescent="0.25">
      <c r="A31" s="104" t="s">
        <v>40</v>
      </c>
      <c r="B31" s="104">
        <f>'ABASTECIMENTOS '!E3825-'ABASTECIMENTOS '!E3540</f>
        <v>43972</v>
      </c>
    </row>
    <row r="32" spans="1:2" x14ac:dyDescent="0.25">
      <c r="A32" s="104" t="s">
        <v>74</v>
      </c>
      <c r="B32" s="104">
        <f>'ABASTECIMENTOS '!E3865-'ABASTECIMENTOS '!E3587</f>
        <v>-29294</v>
      </c>
    </row>
    <row r="33" spans="1:2" x14ac:dyDescent="0.25">
      <c r="A33" s="104" t="s">
        <v>315</v>
      </c>
      <c r="B33" s="104">
        <f>'ABASTECIMENTOS '!E3811-'ABASTECIMENTOS '!E3547</f>
        <v>4509</v>
      </c>
    </row>
    <row r="34" spans="1:2" x14ac:dyDescent="0.25">
      <c r="A34" s="104" t="s">
        <v>354</v>
      </c>
      <c r="B34" s="104">
        <f>'ABASTECIMENTOS '!E3852-'ABASTECIMENTOS '!E3534</f>
        <v>-66256</v>
      </c>
    </row>
    <row r="35" spans="1:2" x14ac:dyDescent="0.25">
      <c r="A35" s="104" t="s">
        <v>401</v>
      </c>
      <c r="B35" s="104">
        <f>'ABASTECIMENTOS '!E3856-'ABASTECIMENTOS '!E3619</f>
        <v>151270</v>
      </c>
    </row>
  </sheetData>
  <sortState ref="A2:A35">
    <sortCondition ref="A2:A35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10277-1A6E-412C-8E2C-65CC3EE4513F}">
  <dimension ref="A1:I43"/>
  <sheetViews>
    <sheetView zoomScaleNormal="100" workbookViewId="0">
      <selection activeCell="E14" sqref="E14"/>
    </sheetView>
  </sheetViews>
  <sheetFormatPr defaultRowHeight="15" x14ac:dyDescent="0.25"/>
  <cols>
    <col min="1" max="1" width="28.42578125" bestFit="1" customWidth="1"/>
    <col min="2" max="2" width="24.140625" bestFit="1" customWidth="1"/>
    <col min="6" max="6" width="7.140625" customWidth="1"/>
    <col min="7" max="7" width="15.140625" customWidth="1"/>
    <col min="8" max="8" width="8.28515625" customWidth="1"/>
    <col min="9" max="9" width="11.5703125" customWidth="1"/>
    <col min="10" max="10" width="5.42578125" customWidth="1"/>
  </cols>
  <sheetData>
    <row r="1" spans="1:9" x14ac:dyDescent="0.25">
      <c r="A1" s="90" t="s">
        <v>242</v>
      </c>
      <c r="B1" t="s">
        <v>328</v>
      </c>
    </row>
    <row r="2" spans="1:9" x14ac:dyDescent="0.25">
      <c r="A2" s="90" t="s">
        <v>52</v>
      </c>
      <c r="B2" t="s">
        <v>338</v>
      </c>
    </row>
    <row r="4" spans="1:9" x14ac:dyDescent="0.25">
      <c r="A4" s="90" t="s">
        <v>325</v>
      </c>
      <c r="B4" t="s">
        <v>340</v>
      </c>
    </row>
    <row r="5" spans="1:9" x14ac:dyDescent="0.25">
      <c r="A5" s="91" t="s">
        <v>68</v>
      </c>
      <c r="B5">
        <v>80</v>
      </c>
    </row>
    <row r="6" spans="1:9" x14ac:dyDescent="0.25">
      <c r="A6" s="91" t="s">
        <v>43</v>
      </c>
      <c r="B6">
        <v>212</v>
      </c>
    </row>
    <row r="7" spans="1:9" x14ac:dyDescent="0.25">
      <c r="A7" s="91" t="s">
        <v>8</v>
      </c>
      <c r="B7">
        <v>24</v>
      </c>
    </row>
    <row r="8" spans="1:9" x14ac:dyDescent="0.25">
      <c r="A8" s="91" t="s">
        <v>9</v>
      </c>
      <c r="B8">
        <v>76</v>
      </c>
    </row>
    <row r="9" spans="1:9" x14ac:dyDescent="0.25">
      <c r="A9" s="91" t="s">
        <v>42</v>
      </c>
      <c r="B9">
        <v>33</v>
      </c>
      <c r="G9" s="158" t="s">
        <v>365</v>
      </c>
      <c r="H9" s="159"/>
      <c r="I9" s="160"/>
    </row>
    <row r="10" spans="1:9" x14ac:dyDescent="0.25">
      <c r="A10" s="91" t="s">
        <v>222</v>
      </c>
      <c r="B10">
        <v>49</v>
      </c>
      <c r="G10" s="97"/>
      <c r="H10" s="99" t="s">
        <v>368</v>
      </c>
      <c r="I10" s="99" t="s">
        <v>369</v>
      </c>
    </row>
    <row r="11" spans="1:9" x14ac:dyDescent="0.25">
      <c r="A11" s="91" t="s">
        <v>67</v>
      </c>
      <c r="B11">
        <v>70</v>
      </c>
      <c r="G11" s="99" t="s">
        <v>366</v>
      </c>
      <c r="H11" s="97">
        <v>1774.91</v>
      </c>
      <c r="I11" s="98">
        <v>10467.66</v>
      </c>
    </row>
    <row r="12" spans="1:9" x14ac:dyDescent="0.25">
      <c r="A12" s="91" t="s">
        <v>215</v>
      </c>
      <c r="B12">
        <v>34</v>
      </c>
      <c r="G12" s="99" t="s">
        <v>367</v>
      </c>
      <c r="H12" s="97">
        <v>110.85</v>
      </c>
      <c r="I12" s="98">
        <v>346.92</v>
      </c>
    </row>
    <row r="13" spans="1:9" x14ac:dyDescent="0.25">
      <c r="A13" s="91" t="s">
        <v>22</v>
      </c>
      <c r="B13">
        <v>52</v>
      </c>
      <c r="G13" s="96"/>
      <c r="H13" s="49"/>
      <c r="I13" s="95"/>
    </row>
    <row r="14" spans="1:9" x14ac:dyDescent="0.25">
      <c r="A14" s="91" t="s">
        <v>39</v>
      </c>
      <c r="B14">
        <v>59</v>
      </c>
      <c r="G14" s="99" t="s">
        <v>298</v>
      </c>
      <c r="H14" s="156">
        <v>3985</v>
      </c>
      <c r="I14" s="156"/>
    </row>
    <row r="15" spans="1:9" x14ac:dyDescent="0.25">
      <c r="A15" s="91" t="s">
        <v>70</v>
      </c>
      <c r="B15">
        <v>49</v>
      </c>
      <c r="G15" s="99" t="s">
        <v>370</v>
      </c>
      <c r="H15" s="157">
        <f>H14/H11</f>
        <v>2.2451842628640324</v>
      </c>
      <c r="I15" s="157"/>
    </row>
    <row r="16" spans="1:9" x14ac:dyDescent="0.25">
      <c r="A16" s="91" t="s">
        <v>203</v>
      </c>
      <c r="B16">
        <v>95</v>
      </c>
    </row>
    <row r="17" spans="1:2" x14ac:dyDescent="0.25">
      <c r="A17" s="91" t="s">
        <v>72</v>
      </c>
      <c r="B17">
        <v>176</v>
      </c>
    </row>
    <row r="18" spans="1:2" x14ac:dyDescent="0.25">
      <c r="A18" s="91" t="s">
        <v>73</v>
      </c>
      <c r="B18">
        <v>63</v>
      </c>
    </row>
    <row r="19" spans="1:2" x14ac:dyDescent="0.25">
      <c r="A19" s="91" t="s">
        <v>71</v>
      </c>
      <c r="B19">
        <v>38</v>
      </c>
    </row>
    <row r="20" spans="1:2" x14ac:dyDescent="0.25">
      <c r="A20" s="91" t="s">
        <v>64</v>
      </c>
      <c r="B20">
        <v>51</v>
      </c>
    </row>
    <row r="21" spans="1:2" x14ac:dyDescent="0.25">
      <c r="A21" s="91" t="s">
        <v>21</v>
      </c>
      <c r="B21">
        <v>65</v>
      </c>
    </row>
    <row r="22" spans="1:2" x14ac:dyDescent="0.25">
      <c r="A22" s="91" t="s">
        <v>207</v>
      </c>
      <c r="B22">
        <v>5</v>
      </c>
    </row>
    <row r="23" spans="1:2" x14ac:dyDescent="0.25">
      <c r="A23" s="91" t="s">
        <v>41</v>
      </c>
      <c r="B23">
        <v>55</v>
      </c>
    </row>
    <row r="24" spans="1:2" x14ac:dyDescent="0.25">
      <c r="A24" s="91" t="s">
        <v>10</v>
      </c>
      <c r="B24">
        <v>59</v>
      </c>
    </row>
    <row r="25" spans="1:2" x14ac:dyDescent="0.25">
      <c r="A25" s="91" t="s">
        <v>11</v>
      </c>
      <c r="B25">
        <v>33</v>
      </c>
    </row>
    <row r="26" spans="1:2" x14ac:dyDescent="0.25">
      <c r="A26" s="91" t="s">
        <v>301</v>
      </c>
      <c r="B26">
        <v>17</v>
      </c>
    </row>
    <row r="27" spans="1:2" x14ac:dyDescent="0.25">
      <c r="A27" s="91" t="s">
        <v>206</v>
      </c>
      <c r="B27">
        <v>50</v>
      </c>
    </row>
    <row r="28" spans="1:2" x14ac:dyDescent="0.25">
      <c r="A28" s="91" t="s">
        <v>12</v>
      </c>
      <c r="B28">
        <v>35</v>
      </c>
    </row>
    <row r="29" spans="1:2" x14ac:dyDescent="0.25">
      <c r="A29" s="91" t="s">
        <v>13</v>
      </c>
      <c r="B29">
        <v>139</v>
      </c>
    </row>
    <row r="30" spans="1:2" x14ac:dyDescent="0.25">
      <c r="A30" s="91" t="s">
        <v>14</v>
      </c>
      <c r="B30">
        <v>36</v>
      </c>
    </row>
    <row r="31" spans="1:2" x14ac:dyDescent="0.25">
      <c r="A31" s="91" t="s">
        <v>15</v>
      </c>
      <c r="B31">
        <v>81</v>
      </c>
    </row>
    <row r="32" spans="1:2" x14ac:dyDescent="0.25">
      <c r="A32" s="91" t="s">
        <v>16</v>
      </c>
      <c r="B32">
        <v>28</v>
      </c>
    </row>
    <row r="33" spans="1:2" x14ac:dyDescent="0.25">
      <c r="A33" s="91" t="s">
        <v>17</v>
      </c>
      <c r="B33">
        <v>50</v>
      </c>
    </row>
    <row r="34" spans="1:2" x14ac:dyDescent="0.25">
      <c r="A34" s="91" t="s">
        <v>18</v>
      </c>
      <c r="B34">
        <v>41</v>
      </c>
    </row>
    <row r="35" spans="1:2" x14ac:dyDescent="0.25">
      <c r="A35" s="91" t="s">
        <v>19</v>
      </c>
      <c r="B35">
        <v>68</v>
      </c>
    </row>
    <row r="36" spans="1:2" x14ac:dyDescent="0.25">
      <c r="A36" s="91" t="s">
        <v>20</v>
      </c>
      <c r="B36">
        <v>110</v>
      </c>
    </row>
    <row r="37" spans="1:2" x14ac:dyDescent="0.25">
      <c r="A37" s="91" t="s">
        <v>38</v>
      </c>
      <c r="B37">
        <v>28</v>
      </c>
    </row>
    <row r="38" spans="1:2" x14ac:dyDescent="0.25">
      <c r="A38" s="91" t="s">
        <v>23</v>
      </c>
      <c r="B38">
        <v>100</v>
      </c>
    </row>
    <row r="39" spans="1:2" x14ac:dyDescent="0.25">
      <c r="A39" s="91" t="s">
        <v>40</v>
      </c>
      <c r="B39">
        <v>101</v>
      </c>
    </row>
    <row r="40" spans="1:2" x14ac:dyDescent="0.25">
      <c r="A40" s="91" t="s">
        <v>74</v>
      </c>
      <c r="B40">
        <v>113</v>
      </c>
    </row>
    <row r="41" spans="1:2" x14ac:dyDescent="0.25">
      <c r="A41" s="91" t="s">
        <v>315</v>
      </c>
      <c r="B41">
        <v>3</v>
      </c>
    </row>
    <row r="42" spans="1:2" x14ac:dyDescent="0.25">
      <c r="A42" s="91" t="s">
        <v>339</v>
      </c>
      <c r="B42">
        <v>30</v>
      </c>
    </row>
    <row r="43" spans="1:2" x14ac:dyDescent="0.25">
      <c r="A43" s="91" t="s">
        <v>326</v>
      </c>
      <c r="B43">
        <v>2408</v>
      </c>
    </row>
  </sheetData>
  <mergeCells count="3">
    <mergeCell ref="H14:I14"/>
    <mergeCell ref="H15:I15"/>
    <mergeCell ref="G9:I9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919B0-1E16-41B5-BC65-DB85D3CFED75}">
  <sheetPr codeName="Planilha3">
    <pageSetUpPr fitToPage="1"/>
  </sheetPr>
  <dimension ref="A1:G18776"/>
  <sheetViews>
    <sheetView zoomScale="77" zoomScaleNormal="77" workbookViewId="0">
      <pane ySplit="1" topLeftCell="A18759" activePane="bottomLeft" state="frozen"/>
      <selection pane="bottomLeft"/>
    </sheetView>
  </sheetViews>
  <sheetFormatPr defaultColWidth="8.85546875" defaultRowHeight="18.75" x14ac:dyDescent="0.25"/>
  <cols>
    <col min="1" max="1" width="17" style="27" customWidth="1"/>
    <col min="2" max="2" width="39.5703125" style="27" customWidth="1"/>
    <col min="3" max="3" width="38.42578125" style="27" customWidth="1"/>
    <col min="4" max="4" width="28.5703125" style="27" customWidth="1"/>
    <col min="5" max="5" width="27.5703125" style="27" customWidth="1"/>
    <col min="6" max="6" width="20.5703125" style="27" customWidth="1"/>
    <col min="7" max="7" width="21.5703125" style="32" bestFit="1" customWidth="1"/>
    <col min="8" max="16384" width="8.85546875" style="27"/>
  </cols>
  <sheetData>
    <row r="1" spans="1:7" ht="25.15" customHeight="1" x14ac:dyDescent="0.25">
      <c r="A1" s="26" t="s">
        <v>52</v>
      </c>
      <c r="B1" s="26" t="s">
        <v>44</v>
      </c>
      <c r="C1" s="26" t="s">
        <v>46</v>
      </c>
      <c r="D1" s="26" t="s">
        <v>45</v>
      </c>
      <c r="E1" s="26" t="s">
        <v>48</v>
      </c>
      <c r="F1" s="26" t="s">
        <v>5</v>
      </c>
      <c r="G1" s="26" t="s">
        <v>47</v>
      </c>
    </row>
    <row r="2" spans="1:7" hidden="1" x14ac:dyDescent="0.25">
      <c r="A2" s="28">
        <v>43466</v>
      </c>
      <c r="B2" s="27" t="s">
        <v>33</v>
      </c>
      <c r="C2" s="27" t="s">
        <v>50</v>
      </c>
      <c r="D2" s="27" t="s">
        <v>7</v>
      </c>
      <c r="E2" s="27" t="s">
        <v>8</v>
      </c>
      <c r="F2" s="29"/>
      <c r="G2" s="30">
        <v>2187.2175000000002</v>
      </c>
    </row>
    <row r="3" spans="1:7" hidden="1" x14ac:dyDescent="0.25">
      <c r="A3" s="28">
        <v>43466</v>
      </c>
      <c r="B3" s="27" t="s">
        <v>33</v>
      </c>
      <c r="C3" s="27" t="s">
        <v>50</v>
      </c>
      <c r="D3" s="27" t="s">
        <v>7</v>
      </c>
      <c r="E3" s="27" t="s">
        <v>9</v>
      </c>
      <c r="F3" s="29"/>
      <c r="G3" s="30">
        <v>2187.2175000000002</v>
      </c>
    </row>
    <row r="4" spans="1:7" hidden="1" x14ac:dyDescent="0.25">
      <c r="A4" s="28">
        <v>43466</v>
      </c>
      <c r="B4" s="27" t="s">
        <v>33</v>
      </c>
      <c r="C4" s="27" t="s">
        <v>50</v>
      </c>
      <c r="D4" s="27" t="s">
        <v>7</v>
      </c>
      <c r="E4" s="27" t="s">
        <v>64</v>
      </c>
      <c r="F4" s="29"/>
      <c r="G4" s="30">
        <v>2187.2175000000002</v>
      </c>
    </row>
    <row r="5" spans="1:7" hidden="1" x14ac:dyDescent="0.25">
      <c r="A5" s="28">
        <v>43466</v>
      </c>
      <c r="B5" s="27" t="s">
        <v>33</v>
      </c>
      <c r="C5" s="27" t="s">
        <v>50</v>
      </c>
      <c r="D5" s="27" t="s">
        <v>7</v>
      </c>
      <c r="E5" s="27" t="s">
        <v>21</v>
      </c>
      <c r="F5" s="29"/>
      <c r="G5" s="30">
        <v>2187.2175000000002</v>
      </c>
    </row>
    <row r="6" spans="1:7" hidden="1" x14ac:dyDescent="0.25">
      <c r="A6" s="28">
        <v>43466</v>
      </c>
      <c r="B6" s="27" t="s">
        <v>33</v>
      </c>
      <c r="C6" s="27" t="s">
        <v>50</v>
      </c>
      <c r="D6" s="27" t="s">
        <v>7</v>
      </c>
      <c r="E6" s="27" t="s">
        <v>21</v>
      </c>
      <c r="F6" s="29"/>
      <c r="G6" s="30">
        <v>2187.2175000000002</v>
      </c>
    </row>
    <row r="7" spans="1:7" hidden="1" x14ac:dyDescent="0.25">
      <c r="A7" s="28">
        <v>43466</v>
      </c>
      <c r="B7" s="27" t="s">
        <v>33</v>
      </c>
      <c r="C7" s="27" t="s">
        <v>50</v>
      </c>
      <c r="D7" s="27" t="s">
        <v>7</v>
      </c>
      <c r="E7" s="27" t="s">
        <v>10</v>
      </c>
      <c r="F7" s="29"/>
      <c r="G7" s="30">
        <v>2187.2175000000002</v>
      </c>
    </row>
    <row r="8" spans="1:7" hidden="1" x14ac:dyDescent="0.25">
      <c r="A8" s="28">
        <v>43466</v>
      </c>
      <c r="B8" s="27" t="s">
        <v>33</v>
      </c>
      <c r="C8" s="27" t="s">
        <v>50</v>
      </c>
      <c r="D8" s="27" t="s">
        <v>7</v>
      </c>
      <c r="E8" s="27" t="s">
        <v>11</v>
      </c>
      <c r="F8" s="29"/>
      <c r="G8" s="30">
        <v>2187.2175000000002</v>
      </c>
    </row>
    <row r="9" spans="1:7" hidden="1" x14ac:dyDescent="0.25">
      <c r="A9" s="28">
        <v>43466</v>
      </c>
      <c r="B9" s="27" t="s">
        <v>33</v>
      </c>
      <c r="C9" s="27" t="s">
        <v>50</v>
      </c>
      <c r="D9" s="27" t="s">
        <v>7</v>
      </c>
      <c r="E9" s="27" t="s">
        <v>12</v>
      </c>
      <c r="F9" s="29"/>
      <c r="G9" s="30">
        <v>2187.2175000000002</v>
      </c>
    </row>
    <row r="10" spans="1:7" hidden="1" x14ac:dyDescent="0.25">
      <c r="A10" s="28">
        <v>43466</v>
      </c>
      <c r="B10" s="27" t="s">
        <v>33</v>
      </c>
      <c r="C10" s="27" t="s">
        <v>50</v>
      </c>
      <c r="D10" s="27" t="s">
        <v>7</v>
      </c>
      <c r="E10" s="27" t="s">
        <v>13</v>
      </c>
      <c r="F10" s="29"/>
      <c r="G10" s="30">
        <v>2187.2175000000002</v>
      </c>
    </row>
    <row r="11" spans="1:7" hidden="1" x14ac:dyDescent="0.25">
      <c r="A11" s="28">
        <v>43466</v>
      </c>
      <c r="B11" s="27" t="s">
        <v>33</v>
      </c>
      <c r="C11" s="27" t="s">
        <v>50</v>
      </c>
      <c r="D11" s="27" t="s">
        <v>7</v>
      </c>
      <c r="E11" s="27" t="s">
        <v>14</v>
      </c>
      <c r="F11" s="29"/>
      <c r="G11" s="30">
        <v>2187.2175000000002</v>
      </c>
    </row>
    <row r="12" spans="1:7" hidden="1" x14ac:dyDescent="0.25">
      <c r="A12" s="28">
        <v>43466</v>
      </c>
      <c r="B12" s="27" t="s">
        <v>33</v>
      </c>
      <c r="C12" s="27" t="s">
        <v>50</v>
      </c>
      <c r="D12" s="27" t="s">
        <v>7</v>
      </c>
      <c r="E12" s="27" t="s">
        <v>15</v>
      </c>
      <c r="F12" s="29"/>
      <c r="G12" s="30">
        <v>2187.2175000000002</v>
      </c>
    </row>
    <row r="13" spans="1:7" hidden="1" x14ac:dyDescent="0.25">
      <c r="A13" s="28">
        <v>43466</v>
      </c>
      <c r="B13" s="27" t="s">
        <v>33</v>
      </c>
      <c r="C13" s="27" t="s">
        <v>50</v>
      </c>
      <c r="D13" s="27" t="s">
        <v>7</v>
      </c>
      <c r="E13" s="27" t="s">
        <v>16</v>
      </c>
      <c r="F13" s="29"/>
      <c r="G13" s="30">
        <v>2187.2175000000002</v>
      </c>
    </row>
    <row r="14" spans="1:7" hidden="1" x14ac:dyDescent="0.25">
      <c r="A14" s="28">
        <v>43466</v>
      </c>
      <c r="B14" s="27" t="s">
        <v>33</v>
      </c>
      <c r="C14" s="27" t="s">
        <v>50</v>
      </c>
      <c r="D14" s="27" t="s">
        <v>7</v>
      </c>
      <c r="E14" s="27" t="s">
        <v>17</v>
      </c>
      <c r="F14" s="29"/>
      <c r="G14" s="30">
        <v>2187.2175000000002</v>
      </c>
    </row>
    <row r="15" spans="1:7" hidden="1" x14ac:dyDescent="0.25">
      <c r="A15" s="28">
        <v>43466</v>
      </c>
      <c r="B15" s="27" t="s">
        <v>33</v>
      </c>
      <c r="C15" s="27" t="s">
        <v>50</v>
      </c>
      <c r="D15" s="27" t="s">
        <v>7</v>
      </c>
      <c r="E15" s="27" t="s">
        <v>18</v>
      </c>
      <c r="F15" s="29"/>
      <c r="G15" s="30">
        <v>2187.2175000000002</v>
      </c>
    </row>
    <row r="16" spans="1:7" hidden="1" x14ac:dyDescent="0.25">
      <c r="A16" s="28">
        <v>43466</v>
      </c>
      <c r="B16" s="27" t="s">
        <v>33</v>
      </c>
      <c r="C16" s="27" t="s">
        <v>50</v>
      </c>
      <c r="D16" s="27" t="s">
        <v>7</v>
      </c>
      <c r="E16" s="27" t="s">
        <v>19</v>
      </c>
      <c r="F16" s="29"/>
      <c r="G16" s="30">
        <v>2187.2175000000002</v>
      </c>
    </row>
    <row r="17" spans="1:7" hidden="1" x14ac:dyDescent="0.25">
      <c r="A17" s="28">
        <v>43466</v>
      </c>
      <c r="B17" s="27" t="s">
        <v>33</v>
      </c>
      <c r="C17" s="27" t="s">
        <v>50</v>
      </c>
      <c r="D17" s="27" t="s">
        <v>7</v>
      </c>
      <c r="E17" s="27" t="s">
        <v>37</v>
      </c>
      <c r="F17" s="29"/>
      <c r="G17" s="30">
        <v>2187.2175000000002</v>
      </c>
    </row>
    <row r="18" spans="1:7" hidden="1" x14ac:dyDescent="0.25">
      <c r="A18" s="28">
        <v>43466</v>
      </c>
      <c r="B18" s="27" t="s">
        <v>4</v>
      </c>
      <c r="C18" s="27" t="s">
        <v>50</v>
      </c>
      <c r="D18" s="27" t="s">
        <v>7</v>
      </c>
      <c r="E18" s="27" t="s">
        <v>8</v>
      </c>
      <c r="F18" s="29"/>
      <c r="G18" s="30">
        <v>2305.06</v>
      </c>
    </row>
    <row r="19" spans="1:7" hidden="1" x14ac:dyDescent="0.25">
      <c r="A19" s="28">
        <v>43466</v>
      </c>
      <c r="B19" s="27" t="s">
        <v>4</v>
      </c>
      <c r="C19" s="27" t="s">
        <v>50</v>
      </c>
      <c r="D19" s="27" t="s">
        <v>7</v>
      </c>
      <c r="E19" s="27" t="s">
        <v>9</v>
      </c>
      <c r="F19" s="29"/>
      <c r="G19" s="30">
        <v>2865.67</v>
      </c>
    </row>
    <row r="20" spans="1:7" hidden="1" x14ac:dyDescent="0.25">
      <c r="A20" s="28">
        <v>43466</v>
      </c>
      <c r="B20" s="27" t="s">
        <v>4</v>
      </c>
      <c r="C20" s="27" t="s">
        <v>50</v>
      </c>
      <c r="D20" s="27" t="s">
        <v>7</v>
      </c>
      <c r="E20" s="27" t="s">
        <v>64</v>
      </c>
      <c r="F20" s="29"/>
      <c r="G20" s="30">
        <v>2160.25</v>
      </c>
    </row>
    <row r="21" spans="1:7" hidden="1" x14ac:dyDescent="0.25">
      <c r="A21" s="28">
        <v>43466</v>
      </c>
      <c r="B21" s="27" t="s">
        <v>4</v>
      </c>
      <c r="C21" s="27" t="s">
        <v>50</v>
      </c>
      <c r="D21" s="27" t="s">
        <v>7</v>
      </c>
      <c r="E21" s="27" t="s">
        <v>21</v>
      </c>
      <c r="F21" s="29"/>
      <c r="G21" s="30">
        <v>3424.8</v>
      </c>
    </row>
    <row r="22" spans="1:7" hidden="1" x14ac:dyDescent="0.25">
      <c r="A22" s="28">
        <v>43466</v>
      </c>
      <c r="B22" s="27" t="s">
        <v>4</v>
      </c>
      <c r="C22" s="27" t="s">
        <v>50</v>
      </c>
      <c r="D22" s="27" t="s">
        <v>7</v>
      </c>
      <c r="E22" s="27" t="s">
        <v>21</v>
      </c>
      <c r="F22" s="29"/>
      <c r="G22" s="30">
        <v>4194.87</v>
      </c>
    </row>
    <row r="23" spans="1:7" hidden="1" x14ac:dyDescent="0.25">
      <c r="A23" s="28">
        <v>43466</v>
      </c>
      <c r="B23" s="27" t="s">
        <v>4</v>
      </c>
      <c r="C23" s="27" t="s">
        <v>50</v>
      </c>
      <c r="D23" s="27" t="s">
        <v>7</v>
      </c>
      <c r="E23" s="27" t="s">
        <v>10</v>
      </c>
      <c r="F23" s="29"/>
      <c r="G23" s="30">
        <v>4559.42</v>
      </c>
    </row>
    <row r="24" spans="1:7" hidden="1" x14ac:dyDescent="0.25">
      <c r="A24" s="28">
        <v>43466</v>
      </c>
      <c r="B24" s="27" t="s">
        <v>4</v>
      </c>
      <c r="C24" s="27" t="s">
        <v>50</v>
      </c>
      <c r="D24" s="27" t="s">
        <v>7</v>
      </c>
      <c r="E24" s="27" t="s">
        <v>11</v>
      </c>
      <c r="F24" s="29"/>
      <c r="G24" s="30">
        <v>1362.96</v>
      </c>
    </row>
    <row r="25" spans="1:7" hidden="1" x14ac:dyDescent="0.25">
      <c r="A25" s="28">
        <v>43466</v>
      </c>
      <c r="B25" s="27" t="s">
        <v>4</v>
      </c>
      <c r="C25" s="27" t="s">
        <v>50</v>
      </c>
      <c r="D25" s="27" t="s">
        <v>7</v>
      </c>
      <c r="E25" s="27" t="s">
        <v>12</v>
      </c>
      <c r="F25" s="29"/>
      <c r="G25" s="30">
        <v>1237.5700000000002</v>
      </c>
    </row>
    <row r="26" spans="1:7" hidden="1" x14ac:dyDescent="0.25">
      <c r="A26" s="28">
        <v>43466</v>
      </c>
      <c r="B26" s="27" t="s">
        <v>4</v>
      </c>
      <c r="C26" s="27" t="s">
        <v>50</v>
      </c>
      <c r="D26" s="27" t="s">
        <v>7</v>
      </c>
      <c r="E26" s="27" t="s">
        <v>13</v>
      </c>
      <c r="F26" s="29"/>
      <c r="G26" s="30">
        <v>4614.6400000000003</v>
      </c>
    </row>
    <row r="27" spans="1:7" hidden="1" x14ac:dyDescent="0.25">
      <c r="A27" s="28">
        <v>43466</v>
      </c>
      <c r="B27" s="27" t="s">
        <v>4</v>
      </c>
      <c r="C27" s="27" t="s">
        <v>50</v>
      </c>
      <c r="D27" s="27" t="s">
        <v>7</v>
      </c>
      <c r="E27" s="27" t="s">
        <v>14</v>
      </c>
      <c r="F27" s="29"/>
      <c r="G27" s="30">
        <v>1041.6600000000001</v>
      </c>
    </row>
    <row r="28" spans="1:7" hidden="1" x14ac:dyDescent="0.25">
      <c r="A28" s="28">
        <v>43466</v>
      </c>
      <c r="B28" s="27" t="s">
        <v>4</v>
      </c>
      <c r="C28" s="27" t="s">
        <v>50</v>
      </c>
      <c r="D28" s="27" t="s">
        <v>7</v>
      </c>
      <c r="E28" s="27" t="s">
        <v>15</v>
      </c>
      <c r="F28" s="29"/>
      <c r="G28" s="30">
        <v>2052.0100000000002</v>
      </c>
    </row>
    <row r="29" spans="1:7" hidden="1" x14ac:dyDescent="0.25">
      <c r="A29" s="28">
        <v>43466</v>
      </c>
      <c r="B29" s="27" t="s">
        <v>4</v>
      </c>
      <c r="C29" s="27" t="s">
        <v>50</v>
      </c>
      <c r="D29" s="27" t="s">
        <v>7</v>
      </c>
      <c r="E29" s="27" t="s">
        <v>16</v>
      </c>
      <c r="F29" s="29"/>
      <c r="G29" s="30">
        <v>2105</v>
      </c>
    </row>
    <row r="30" spans="1:7" hidden="1" x14ac:dyDescent="0.25">
      <c r="A30" s="28">
        <v>43466</v>
      </c>
      <c r="B30" s="27" t="s">
        <v>4</v>
      </c>
      <c r="C30" s="27" t="s">
        <v>50</v>
      </c>
      <c r="D30" s="27" t="s">
        <v>7</v>
      </c>
      <c r="E30" s="27" t="s">
        <v>17</v>
      </c>
      <c r="F30" s="29"/>
      <c r="G30" s="30">
        <v>6242.9199999999992</v>
      </c>
    </row>
    <row r="31" spans="1:7" hidden="1" x14ac:dyDescent="0.25">
      <c r="A31" s="28">
        <v>43466</v>
      </c>
      <c r="B31" s="27" t="s">
        <v>4</v>
      </c>
      <c r="C31" s="27" t="s">
        <v>50</v>
      </c>
      <c r="D31" s="27" t="s">
        <v>7</v>
      </c>
      <c r="E31" s="27" t="s">
        <v>18</v>
      </c>
      <c r="F31" s="29"/>
      <c r="G31" s="30">
        <v>2764.3799999999997</v>
      </c>
    </row>
    <row r="32" spans="1:7" hidden="1" x14ac:dyDescent="0.25">
      <c r="A32" s="28">
        <v>43466</v>
      </c>
      <c r="B32" s="27" t="s">
        <v>4</v>
      </c>
      <c r="C32" s="27" t="s">
        <v>50</v>
      </c>
      <c r="D32" s="27" t="s">
        <v>7</v>
      </c>
      <c r="E32" s="27" t="s">
        <v>19</v>
      </c>
      <c r="F32" s="29"/>
      <c r="G32" s="30">
        <v>2387.17</v>
      </c>
    </row>
    <row r="33" spans="1:7" hidden="1" x14ac:dyDescent="0.25">
      <c r="A33" s="28">
        <v>43466</v>
      </c>
      <c r="B33" s="27" t="s">
        <v>4</v>
      </c>
      <c r="C33" s="27" t="s">
        <v>50</v>
      </c>
      <c r="D33" s="27" t="s">
        <v>7</v>
      </c>
      <c r="E33" s="27" t="s">
        <v>204</v>
      </c>
      <c r="F33" s="29"/>
      <c r="G33" s="30">
        <v>1896.49</v>
      </c>
    </row>
    <row r="34" spans="1:7" hidden="1" x14ac:dyDescent="0.25">
      <c r="A34" s="28">
        <v>43466</v>
      </c>
      <c r="B34" s="27" t="s">
        <v>4</v>
      </c>
      <c r="C34" s="27" t="s">
        <v>50</v>
      </c>
      <c r="D34" s="27" t="s">
        <v>7</v>
      </c>
      <c r="E34" s="27" t="s">
        <v>205</v>
      </c>
      <c r="F34" s="29"/>
      <c r="G34" s="30">
        <v>283.32</v>
      </c>
    </row>
    <row r="35" spans="1:7" hidden="1" x14ac:dyDescent="0.25">
      <c r="A35" s="28">
        <v>43466</v>
      </c>
      <c r="B35" s="27" t="s">
        <v>4</v>
      </c>
      <c r="C35" s="27" t="s">
        <v>50</v>
      </c>
      <c r="D35" s="27" t="s">
        <v>7</v>
      </c>
      <c r="E35" s="27" t="s">
        <v>37</v>
      </c>
      <c r="F35" s="29"/>
      <c r="G35" s="30">
        <v>1414</v>
      </c>
    </row>
    <row r="36" spans="1:7" hidden="1" x14ac:dyDescent="0.25">
      <c r="A36" s="28">
        <v>43466</v>
      </c>
      <c r="B36" s="27" t="s">
        <v>26</v>
      </c>
      <c r="C36" s="27" t="s">
        <v>50</v>
      </c>
      <c r="D36" s="27" t="s">
        <v>6</v>
      </c>
      <c r="E36" s="27" t="s">
        <v>8</v>
      </c>
      <c r="F36" s="29"/>
      <c r="G36" s="30">
        <v>1194.25</v>
      </c>
    </row>
    <row r="37" spans="1:7" hidden="1" x14ac:dyDescent="0.25">
      <c r="A37" s="28">
        <v>43466</v>
      </c>
      <c r="B37" s="27" t="s">
        <v>26</v>
      </c>
      <c r="C37" s="27" t="s">
        <v>50</v>
      </c>
      <c r="D37" s="27" t="s">
        <v>6</v>
      </c>
      <c r="E37" s="27" t="s">
        <v>9</v>
      </c>
      <c r="F37" s="29"/>
      <c r="G37" s="30">
        <v>1550.9166666666667</v>
      </c>
    </row>
    <row r="38" spans="1:7" hidden="1" x14ac:dyDescent="0.25">
      <c r="A38" s="28">
        <v>43466</v>
      </c>
      <c r="B38" s="27" t="s">
        <v>26</v>
      </c>
      <c r="C38" s="27" t="s">
        <v>50</v>
      </c>
      <c r="D38" s="27" t="s">
        <v>6</v>
      </c>
      <c r="E38" s="27" t="s">
        <v>64</v>
      </c>
      <c r="F38" s="29"/>
      <c r="G38" s="30">
        <v>1270.3500000000001</v>
      </c>
    </row>
    <row r="39" spans="1:7" hidden="1" x14ac:dyDescent="0.25">
      <c r="A39" s="28">
        <v>43466</v>
      </c>
      <c r="B39" s="27" t="s">
        <v>26</v>
      </c>
      <c r="C39" s="27" t="s">
        <v>50</v>
      </c>
      <c r="D39" s="27" t="s">
        <v>6</v>
      </c>
      <c r="E39" s="27" t="s">
        <v>21</v>
      </c>
      <c r="F39" s="29"/>
      <c r="G39" s="30">
        <v>1359.4166666666667</v>
      </c>
    </row>
    <row r="40" spans="1:7" hidden="1" x14ac:dyDescent="0.25">
      <c r="A40" s="28">
        <v>43466</v>
      </c>
      <c r="B40" s="27" t="s">
        <v>26</v>
      </c>
      <c r="C40" s="27" t="s">
        <v>50</v>
      </c>
      <c r="D40" s="27" t="s">
        <v>6</v>
      </c>
      <c r="E40" s="27" t="s">
        <v>21</v>
      </c>
      <c r="F40" s="29"/>
      <c r="G40" s="30">
        <v>1359.4166666666667</v>
      </c>
    </row>
    <row r="41" spans="1:7" hidden="1" x14ac:dyDescent="0.25">
      <c r="A41" s="28">
        <v>43466</v>
      </c>
      <c r="B41" s="27" t="s">
        <v>26</v>
      </c>
      <c r="C41" s="27" t="s">
        <v>50</v>
      </c>
      <c r="D41" s="27" t="s">
        <v>6</v>
      </c>
      <c r="E41" s="27" t="s">
        <v>10</v>
      </c>
      <c r="F41" s="29"/>
      <c r="G41" s="30">
        <v>1998.9666666666669</v>
      </c>
    </row>
    <row r="42" spans="1:7" hidden="1" x14ac:dyDescent="0.25">
      <c r="A42" s="28">
        <v>43466</v>
      </c>
      <c r="B42" s="27" t="s">
        <v>26</v>
      </c>
      <c r="C42" s="27" t="s">
        <v>50</v>
      </c>
      <c r="D42" s="27" t="s">
        <v>6</v>
      </c>
      <c r="E42" s="27" t="s">
        <v>11</v>
      </c>
      <c r="F42" s="29"/>
      <c r="G42" s="30">
        <v>1340.7166666666667</v>
      </c>
    </row>
    <row r="43" spans="1:7" hidden="1" x14ac:dyDescent="0.25">
      <c r="A43" s="28">
        <v>43466</v>
      </c>
      <c r="B43" s="27" t="s">
        <v>26</v>
      </c>
      <c r="C43" s="27" t="s">
        <v>50</v>
      </c>
      <c r="D43" s="27" t="s">
        <v>6</v>
      </c>
      <c r="E43" s="27" t="s">
        <v>12</v>
      </c>
      <c r="F43" s="29"/>
      <c r="G43" s="30">
        <v>1350.1166666666668</v>
      </c>
    </row>
    <row r="44" spans="1:7" hidden="1" x14ac:dyDescent="0.25">
      <c r="A44" s="28">
        <v>43466</v>
      </c>
      <c r="B44" s="27" t="s">
        <v>26</v>
      </c>
      <c r="C44" s="27" t="s">
        <v>50</v>
      </c>
      <c r="D44" s="27" t="s">
        <v>6</v>
      </c>
      <c r="E44" s="27" t="s">
        <v>13</v>
      </c>
      <c r="F44" s="29"/>
      <c r="G44" s="30">
        <v>1901.5</v>
      </c>
    </row>
    <row r="45" spans="1:7" hidden="1" x14ac:dyDescent="0.25">
      <c r="A45" s="28">
        <v>43466</v>
      </c>
      <c r="B45" s="27" t="s">
        <v>26</v>
      </c>
      <c r="C45" s="27" t="s">
        <v>50</v>
      </c>
      <c r="D45" s="27" t="s">
        <v>6</v>
      </c>
      <c r="E45" s="27" t="s">
        <v>14</v>
      </c>
      <c r="F45" s="29"/>
      <c r="G45" s="30">
        <v>701.7833333333333</v>
      </c>
    </row>
    <row r="46" spans="1:7" hidden="1" x14ac:dyDescent="0.25">
      <c r="A46" s="28">
        <v>43466</v>
      </c>
      <c r="B46" s="27" t="s">
        <v>26</v>
      </c>
      <c r="C46" s="27" t="s">
        <v>50</v>
      </c>
      <c r="D46" s="27" t="s">
        <v>6</v>
      </c>
      <c r="E46" s="27" t="s">
        <v>15</v>
      </c>
      <c r="F46" s="29"/>
      <c r="G46" s="30">
        <v>1820.5500000000002</v>
      </c>
    </row>
    <row r="47" spans="1:7" hidden="1" x14ac:dyDescent="0.25">
      <c r="A47" s="28">
        <v>43466</v>
      </c>
      <c r="B47" s="27" t="s">
        <v>26</v>
      </c>
      <c r="C47" s="27" t="s">
        <v>50</v>
      </c>
      <c r="D47" s="27" t="s">
        <v>6</v>
      </c>
      <c r="E47" s="27" t="s">
        <v>16</v>
      </c>
      <c r="F47" s="29"/>
      <c r="G47" s="30">
        <v>1992.5833333333333</v>
      </c>
    </row>
    <row r="48" spans="1:7" hidden="1" x14ac:dyDescent="0.25">
      <c r="A48" s="28">
        <v>43466</v>
      </c>
      <c r="B48" s="27" t="s">
        <v>26</v>
      </c>
      <c r="C48" s="27" t="s">
        <v>50</v>
      </c>
      <c r="D48" s="27" t="s">
        <v>6</v>
      </c>
      <c r="E48" s="27" t="s">
        <v>17</v>
      </c>
      <c r="F48" s="29"/>
      <c r="G48" s="30">
        <v>2822.1166666666668</v>
      </c>
    </row>
    <row r="49" spans="1:7" hidden="1" x14ac:dyDescent="0.25">
      <c r="A49" s="28">
        <v>43466</v>
      </c>
      <c r="B49" s="27" t="s">
        <v>26</v>
      </c>
      <c r="C49" s="27" t="s">
        <v>50</v>
      </c>
      <c r="D49" s="27" t="s">
        <v>6</v>
      </c>
      <c r="E49" s="27" t="s">
        <v>18</v>
      </c>
      <c r="F49" s="29"/>
      <c r="G49" s="30">
        <v>1488.6666666666667</v>
      </c>
    </row>
    <row r="50" spans="1:7" hidden="1" x14ac:dyDescent="0.25">
      <c r="A50" s="28">
        <v>43466</v>
      </c>
      <c r="B50" s="27" t="s">
        <v>26</v>
      </c>
      <c r="C50" s="27" t="s">
        <v>50</v>
      </c>
      <c r="D50" s="27" t="s">
        <v>6</v>
      </c>
      <c r="E50" s="27" t="s">
        <v>19</v>
      </c>
      <c r="F50" s="29"/>
      <c r="G50" s="30">
        <v>2454.8833333333337</v>
      </c>
    </row>
    <row r="51" spans="1:7" hidden="1" x14ac:dyDescent="0.25">
      <c r="A51" s="28">
        <v>43466</v>
      </c>
      <c r="B51" s="27" t="s">
        <v>26</v>
      </c>
      <c r="C51" s="27" t="s">
        <v>50</v>
      </c>
      <c r="D51" s="27" t="s">
        <v>6</v>
      </c>
      <c r="E51" s="27" t="s">
        <v>204</v>
      </c>
      <c r="F51" s="29"/>
      <c r="G51" s="30">
        <v>316.66666666666669</v>
      </c>
    </row>
    <row r="52" spans="1:7" hidden="1" x14ac:dyDescent="0.25">
      <c r="A52" s="28">
        <v>43466</v>
      </c>
      <c r="B52" s="27" t="s">
        <v>26</v>
      </c>
      <c r="C52" s="27" t="s">
        <v>50</v>
      </c>
      <c r="D52" s="27" t="s">
        <v>6</v>
      </c>
      <c r="E52" s="27" t="s">
        <v>205</v>
      </c>
      <c r="F52" s="29"/>
      <c r="G52" s="30">
        <v>1200</v>
      </c>
    </row>
    <row r="53" spans="1:7" hidden="1" x14ac:dyDescent="0.25">
      <c r="A53" s="28">
        <v>43466</v>
      </c>
      <c r="B53" s="27" t="s">
        <v>26</v>
      </c>
      <c r="C53" s="27" t="s">
        <v>50</v>
      </c>
      <c r="D53" s="27" t="s">
        <v>6</v>
      </c>
      <c r="E53" s="27" t="s">
        <v>37</v>
      </c>
      <c r="F53" s="29"/>
      <c r="G53" s="30">
        <v>250</v>
      </c>
    </row>
    <row r="54" spans="1:7" hidden="1" x14ac:dyDescent="0.25">
      <c r="A54" s="28">
        <v>43466</v>
      </c>
      <c r="B54" s="27" t="s">
        <v>3</v>
      </c>
      <c r="C54" s="27" t="s">
        <v>50</v>
      </c>
      <c r="D54" s="27" t="s">
        <v>7</v>
      </c>
      <c r="E54" s="27" t="s">
        <v>8</v>
      </c>
      <c r="F54" s="29"/>
      <c r="G54" s="30">
        <v>678.50529411764705</v>
      </c>
    </row>
    <row r="55" spans="1:7" hidden="1" x14ac:dyDescent="0.25">
      <c r="A55" s="28">
        <v>43466</v>
      </c>
      <c r="B55" s="27" t="s">
        <v>3</v>
      </c>
      <c r="C55" s="27" t="s">
        <v>50</v>
      </c>
      <c r="D55" s="27" t="s">
        <v>7</v>
      </c>
      <c r="E55" s="27" t="s">
        <v>9</v>
      </c>
      <c r="F55" s="29"/>
      <c r="G55" s="30">
        <v>678.50529411764705</v>
      </c>
    </row>
    <row r="56" spans="1:7" hidden="1" x14ac:dyDescent="0.25">
      <c r="A56" s="28">
        <v>43466</v>
      </c>
      <c r="B56" s="27" t="s">
        <v>3</v>
      </c>
      <c r="C56" s="27" t="s">
        <v>50</v>
      </c>
      <c r="D56" s="27" t="s">
        <v>7</v>
      </c>
      <c r="E56" s="27" t="s">
        <v>64</v>
      </c>
      <c r="F56" s="29"/>
      <c r="G56" s="30">
        <v>678.50529411764705</v>
      </c>
    </row>
    <row r="57" spans="1:7" hidden="1" x14ac:dyDescent="0.25">
      <c r="A57" s="28">
        <v>43466</v>
      </c>
      <c r="B57" s="27" t="s">
        <v>3</v>
      </c>
      <c r="C57" s="27" t="s">
        <v>50</v>
      </c>
      <c r="D57" s="27" t="s">
        <v>7</v>
      </c>
      <c r="E57" s="27" t="s">
        <v>21</v>
      </c>
      <c r="F57" s="29"/>
      <c r="G57" s="30">
        <v>678.50529411764705</v>
      </c>
    </row>
    <row r="58" spans="1:7" hidden="1" x14ac:dyDescent="0.25">
      <c r="A58" s="28">
        <v>43466</v>
      </c>
      <c r="B58" s="27" t="s">
        <v>3</v>
      </c>
      <c r="C58" s="27" t="s">
        <v>50</v>
      </c>
      <c r="D58" s="27" t="s">
        <v>7</v>
      </c>
      <c r="E58" s="27" t="s">
        <v>21</v>
      </c>
      <c r="F58" s="29"/>
      <c r="G58" s="30">
        <v>678.50529411764705</v>
      </c>
    </row>
    <row r="59" spans="1:7" hidden="1" x14ac:dyDescent="0.25">
      <c r="A59" s="28">
        <v>43466</v>
      </c>
      <c r="B59" s="27" t="s">
        <v>3</v>
      </c>
      <c r="C59" s="27" t="s">
        <v>50</v>
      </c>
      <c r="D59" s="27" t="s">
        <v>7</v>
      </c>
      <c r="E59" s="27" t="s">
        <v>10</v>
      </c>
      <c r="F59" s="29"/>
      <c r="G59" s="30">
        <v>678.50529411764705</v>
      </c>
    </row>
    <row r="60" spans="1:7" hidden="1" x14ac:dyDescent="0.25">
      <c r="A60" s="28">
        <v>43466</v>
      </c>
      <c r="B60" s="27" t="s">
        <v>3</v>
      </c>
      <c r="C60" s="27" t="s">
        <v>50</v>
      </c>
      <c r="D60" s="27" t="s">
        <v>7</v>
      </c>
      <c r="E60" s="27" t="s">
        <v>11</v>
      </c>
      <c r="F60" s="29"/>
      <c r="G60" s="30">
        <v>678.50529411764705</v>
      </c>
    </row>
    <row r="61" spans="1:7" hidden="1" x14ac:dyDescent="0.25">
      <c r="A61" s="28">
        <v>43466</v>
      </c>
      <c r="B61" s="27" t="s">
        <v>3</v>
      </c>
      <c r="C61" s="27" t="s">
        <v>50</v>
      </c>
      <c r="D61" s="27" t="s">
        <v>7</v>
      </c>
      <c r="E61" s="27" t="s">
        <v>12</v>
      </c>
      <c r="F61" s="29"/>
      <c r="G61" s="30">
        <v>678.50529411764705</v>
      </c>
    </row>
    <row r="62" spans="1:7" hidden="1" x14ac:dyDescent="0.25">
      <c r="A62" s="28">
        <v>43466</v>
      </c>
      <c r="B62" s="27" t="s">
        <v>3</v>
      </c>
      <c r="C62" s="27" t="s">
        <v>50</v>
      </c>
      <c r="D62" s="27" t="s">
        <v>7</v>
      </c>
      <c r="E62" s="27" t="s">
        <v>13</v>
      </c>
      <c r="F62" s="29"/>
      <c r="G62" s="30">
        <v>678.50529411764705</v>
      </c>
    </row>
    <row r="63" spans="1:7" hidden="1" x14ac:dyDescent="0.25">
      <c r="A63" s="28">
        <v>43466</v>
      </c>
      <c r="B63" s="27" t="s">
        <v>3</v>
      </c>
      <c r="C63" s="27" t="s">
        <v>50</v>
      </c>
      <c r="D63" s="27" t="s">
        <v>7</v>
      </c>
      <c r="E63" s="27" t="s">
        <v>14</v>
      </c>
      <c r="F63" s="29"/>
      <c r="G63" s="30">
        <v>678.50529411764705</v>
      </c>
    </row>
    <row r="64" spans="1:7" hidden="1" x14ac:dyDescent="0.25">
      <c r="A64" s="28">
        <v>43466</v>
      </c>
      <c r="B64" s="27" t="s">
        <v>3</v>
      </c>
      <c r="C64" s="27" t="s">
        <v>50</v>
      </c>
      <c r="D64" s="27" t="s">
        <v>7</v>
      </c>
      <c r="E64" s="27" t="s">
        <v>15</v>
      </c>
      <c r="F64" s="29"/>
      <c r="G64" s="30">
        <v>678.50529411764705</v>
      </c>
    </row>
    <row r="65" spans="1:7" hidden="1" x14ac:dyDescent="0.25">
      <c r="A65" s="28">
        <v>43466</v>
      </c>
      <c r="B65" s="27" t="s">
        <v>3</v>
      </c>
      <c r="C65" s="27" t="s">
        <v>50</v>
      </c>
      <c r="D65" s="27" t="s">
        <v>7</v>
      </c>
      <c r="E65" s="27" t="s">
        <v>16</v>
      </c>
      <c r="F65" s="29"/>
      <c r="G65" s="30">
        <v>678.50529411764705</v>
      </c>
    </row>
    <row r="66" spans="1:7" hidden="1" x14ac:dyDescent="0.25">
      <c r="A66" s="28">
        <v>43466</v>
      </c>
      <c r="B66" s="27" t="s">
        <v>3</v>
      </c>
      <c r="C66" s="27" t="s">
        <v>50</v>
      </c>
      <c r="D66" s="27" t="s">
        <v>7</v>
      </c>
      <c r="E66" s="27" t="s">
        <v>17</v>
      </c>
      <c r="F66" s="29"/>
      <c r="G66" s="30">
        <v>678.50529411764705</v>
      </c>
    </row>
    <row r="67" spans="1:7" hidden="1" x14ac:dyDescent="0.25">
      <c r="A67" s="28">
        <v>43466</v>
      </c>
      <c r="B67" s="27" t="s">
        <v>3</v>
      </c>
      <c r="C67" s="27" t="s">
        <v>50</v>
      </c>
      <c r="D67" s="27" t="s">
        <v>7</v>
      </c>
      <c r="E67" s="27" t="s">
        <v>18</v>
      </c>
      <c r="F67" s="29"/>
      <c r="G67" s="30">
        <v>678.50529411764705</v>
      </c>
    </row>
    <row r="68" spans="1:7" hidden="1" x14ac:dyDescent="0.25">
      <c r="A68" s="28">
        <v>43466</v>
      </c>
      <c r="B68" s="27" t="s">
        <v>3</v>
      </c>
      <c r="C68" s="27" t="s">
        <v>50</v>
      </c>
      <c r="D68" s="27" t="s">
        <v>7</v>
      </c>
      <c r="E68" s="27" t="s">
        <v>19</v>
      </c>
      <c r="F68" s="29"/>
      <c r="G68" s="30">
        <v>678.50529411764705</v>
      </c>
    </row>
    <row r="69" spans="1:7" hidden="1" x14ac:dyDescent="0.25">
      <c r="A69" s="28">
        <v>43466</v>
      </c>
      <c r="B69" s="27" t="s">
        <v>3</v>
      </c>
      <c r="C69" s="27" t="s">
        <v>50</v>
      </c>
      <c r="D69" s="27" t="s">
        <v>7</v>
      </c>
      <c r="E69" s="27" t="s">
        <v>204</v>
      </c>
      <c r="F69" s="29"/>
      <c r="G69" s="30">
        <v>678.50529411764705</v>
      </c>
    </row>
    <row r="70" spans="1:7" hidden="1" x14ac:dyDescent="0.25">
      <c r="A70" s="28">
        <v>43466</v>
      </c>
      <c r="B70" s="27" t="s">
        <v>3</v>
      </c>
      <c r="C70" s="27" t="s">
        <v>50</v>
      </c>
      <c r="D70" s="27" t="s">
        <v>7</v>
      </c>
      <c r="E70" s="27" t="s">
        <v>205</v>
      </c>
      <c r="F70" s="29"/>
      <c r="G70" s="30">
        <v>678.50529411764705</v>
      </c>
    </row>
    <row r="71" spans="1:7" hidden="1" x14ac:dyDescent="0.25">
      <c r="A71" s="28">
        <v>43466</v>
      </c>
      <c r="B71" s="27" t="s">
        <v>179</v>
      </c>
      <c r="C71" s="27" t="s">
        <v>50</v>
      </c>
      <c r="D71" s="27" t="s">
        <v>6</v>
      </c>
      <c r="E71" s="27" t="s">
        <v>8</v>
      </c>
      <c r="F71" s="29"/>
      <c r="G71" s="30">
        <v>82.027500000000003</v>
      </c>
    </row>
    <row r="72" spans="1:7" hidden="1" x14ac:dyDescent="0.25">
      <c r="A72" s="28">
        <v>43466</v>
      </c>
      <c r="B72" s="27" t="s">
        <v>179</v>
      </c>
      <c r="C72" s="27" t="s">
        <v>50</v>
      </c>
      <c r="D72" s="27" t="s">
        <v>6</v>
      </c>
      <c r="E72" s="27" t="s">
        <v>9</v>
      </c>
      <c r="F72" s="29"/>
      <c r="G72" s="30">
        <v>80.430833333333325</v>
      </c>
    </row>
    <row r="73" spans="1:7" hidden="1" x14ac:dyDescent="0.25">
      <c r="A73" s="28">
        <v>43466</v>
      </c>
      <c r="B73" s="27" t="s">
        <v>179</v>
      </c>
      <c r="C73" s="27" t="s">
        <v>50</v>
      </c>
      <c r="D73" s="27" t="s">
        <v>6</v>
      </c>
      <c r="E73" s="27" t="s">
        <v>64</v>
      </c>
      <c r="F73" s="29"/>
      <c r="G73" s="30">
        <v>99.683333333333337</v>
      </c>
    </row>
    <row r="74" spans="1:7" hidden="1" x14ac:dyDescent="0.25">
      <c r="A74" s="28">
        <v>43466</v>
      </c>
      <c r="B74" s="27" t="s">
        <v>179</v>
      </c>
      <c r="C74" s="27" t="s">
        <v>50</v>
      </c>
      <c r="D74" s="27" t="s">
        <v>6</v>
      </c>
      <c r="E74" s="27" t="s">
        <v>21</v>
      </c>
      <c r="F74" s="29"/>
      <c r="G74" s="30">
        <v>101.87</v>
      </c>
    </row>
    <row r="75" spans="1:7" hidden="1" x14ac:dyDescent="0.25">
      <c r="A75" s="28">
        <v>43466</v>
      </c>
      <c r="B75" s="27" t="s">
        <v>179</v>
      </c>
      <c r="C75" s="27" t="s">
        <v>50</v>
      </c>
      <c r="D75" s="27" t="s">
        <v>6</v>
      </c>
      <c r="E75" s="27" t="s">
        <v>21</v>
      </c>
      <c r="F75" s="29"/>
      <c r="G75" s="30">
        <v>75.420833333333334</v>
      </c>
    </row>
    <row r="76" spans="1:7" hidden="1" x14ac:dyDescent="0.25">
      <c r="A76" s="28">
        <v>43466</v>
      </c>
      <c r="B76" s="27" t="s">
        <v>179</v>
      </c>
      <c r="C76" s="27" t="s">
        <v>50</v>
      </c>
      <c r="D76" s="27" t="s">
        <v>6</v>
      </c>
      <c r="E76" s="27" t="s">
        <v>10</v>
      </c>
      <c r="F76" s="29"/>
      <c r="G76" s="30">
        <v>94.975833333333341</v>
      </c>
    </row>
    <row r="77" spans="1:7" hidden="1" x14ac:dyDescent="0.25">
      <c r="A77" s="28">
        <v>43466</v>
      </c>
      <c r="B77" s="27" t="s">
        <v>179</v>
      </c>
      <c r="C77" s="27" t="s">
        <v>50</v>
      </c>
      <c r="D77" s="27" t="s">
        <v>6</v>
      </c>
      <c r="E77" s="27" t="s">
        <v>11</v>
      </c>
      <c r="F77" s="29"/>
      <c r="G77" s="30">
        <v>99.024999999999991</v>
      </c>
    </row>
    <row r="78" spans="1:7" hidden="1" x14ac:dyDescent="0.25">
      <c r="A78" s="28">
        <v>43466</v>
      </c>
      <c r="B78" s="27" t="s">
        <v>179</v>
      </c>
      <c r="C78" s="27" t="s">
        <v>50</v>
      </c>
      <c r="D78" s="27" t="s">
        <v>6</v>
      </c>
      <c r="E78" s="27" t="s">
        <v>12</v>
      </c>
      <c r="F78" s="29"/>
      <c r="G78" s="30">
        <v>75.82083333333334</v>
      </c>
    </row>
    <row r="79" spans="1:7" hidden="1" x14ac:dyDescent="0.25">
      <c r="A79" s="28">
        <v>43466</v>
      </c>
      <c r="B79" s="27" t="s">
        <v>179</v>
      </c>
      <c r="C79" s="27" t="s">
        <v>50</v>
      </c>
      <c r="D79" s="27" t="s">
        <v>6</v>
      </c>
      <c r="E79" s="27" t="s">
        <v>13</v>
      </c>
      <c r="F79" s="29"/>
      <c r="G79" s="30">
        <v>100.41500000000001</v>
      </c>
    </row>
    <row r="80" spans="1:7" hidden="1" x14ac:dyDescent="0.25">
      <c r="A80" s="28">
        <v>43466</v>
      </c>
      <c r="B80" s="27" t="s">
        <v>179</v>
      </c>
      <c r="C80" s="27" t="s">
        <v>50</v>
      </c>
      <c r="D80" s="27" t="s">
        <v>6</v>
      </c>
      <c r="E80" s="27" t="s">
        <v>14</v>
      </c>
      <c r="F80" s="29"/>
      <c r="G80" s="30">
        <v>84.427499999999995</v>
      </c>
    </row>
    <row r="81" spans="1:7" hidden="1" x14ac:dyDescent="0.25">
      <c r="A81" s="28">
        <v>43466</v>
      </c>
      <c r="B81" s="27" t="s">
        <v>179</v>
      </c>
      <c r="C81" s="27" t="s">
        <v>50</v>
      </c>
      <c r="D81" s="27" t="s">
        <v>6</v>
      </c>
      <c r="E81" s="27" t="s">
        <v>15</v>
      </c>
      <c r="F81" s="29"/>
      <c r="G81" s="30">
        <v>97.932500000000005</v>
      </c>
    </row>
    <row r="82" spans="1:7" hidden="1" x14ac:dyDescent="0.25">
      <c r="A82" s="28">
        <v>43466</v>
      </c>
      <c r="B82" s="27" t="s">
        <v>179</v>
      </c>
      <c r="C82" s="27" t="s">
        <v>50</v>
      </c>
      <c r="D82" s="27" t="s">
        <v>6</v>
      </c>
      <c r="E82" s="27" t="s">
        <v>16</v>
      </c>
      <c r="F82" s="29"/>
      <c r="G82" s="30">
        <v>99.579166666666666</v>
      </c>
    </row>
    <row r="83" spans="1:7" hidden="1" x14ac:dyDescent="0.25">
      <c r="A83" s="28">
        <v>43466</v>
      </c>
      <c r="B83" s="27" t="s">
        <v>179</v>
      </c>
      <c r="C83" s="27" t="s">
        <v>50</v>
      </c>
      <c r="D83" s="27" t="s">
        <v>6</v>
      </c>
      <c r="E83" s="27" t="s">
        <v>17</v>
      </c>
      <c r="F83" s="29"/>
      <c r="G83" s="30">
        <v>163.58583333333334</v>
      </c>
    </row>
    <row r="84" spans="1:7" hidden="1" x14ac:dyDescent="0.25">
      <c r="A84" s="28">
        <v>43466</v>
      </c>
      <c r="B84" s="27" t="s">
        <v>179</v>
      </c>
      <c r="C84" s="27" t="s">
        <v>50</v>
      </c>
      <c r="D84" s="27" t="s">
        <v>6</v>
      </c>
      <c r="E84" s="27" t="s">
        <v>18</v>
      </c>
      <c r="F84" s="29"/>
      <c r="G84" s="30">
        <v>189.72083333333333</v>
      </c>
    </row>
    <row r="85" spans="1:7" hidden="1" x14ac:dyDescent="0.25">
      <c r="A85" s="28">
        <v>43466</v>
      </c>
      <c r="B85" s="27" t="s">
        <v>179</v>
      </c>
      <c r="C85" s="27" t="s">
        <v>50</v>
      </c>
      <c r="D85" s="27" t="s">
        <v>6</v>
      </c>
      <c r="E85" s="27" t="s">
        <v>19</v>
      </c>
      <c r="F85" s="29"/>
      <c r="G85" s="30">
        <v>132.03083333333333</v>
      </c>
    </row>
    <row r="86" spans="1:7" hidden="1" x14ac:dyDescent="0.25">
      <c r="A86" s="28">
        <v>43466</v>
      </c>
      <c r="B86" s="27" t="s">
        <v>179</v>
      </c>
      <c r="C86" s="27" t="s">
        <v>50</v>
      </c>
      <c r="D86" s="27" t="s">
        <v>6</v>
      </c>
      <c r="E86" s="27" t="s">
        <v>204</v>
      </c>
      <c r="F86" s="29"/>
      <c r="G86" s="30">
        <v>62.408333333333331</v>
      </c>
    </row>
    <row r="87" spans="1:7" hidden="1" x14ac:dyDescent="0.25">
      <c r="A87" s="28">
        <v>43466</v>
      </c>
      <c r="B87" s="27" t="s">
        <v>179</v>
      </c>
      <c r="C87" s="27" t="s">
        <v>50</v>
      </c>
      <c r="D87" s="27" t="s">
        <v>6</v>
      </c>
      <c r="E87" s="27" t="s">
        <v>205</v>
      </c>
      <c r="F87" s="29"/>
      <c r="G87" s="30">
        <v>136.51666666666668</v>
      </c>
    </row>
    <row r="88" spans="1:7" hidden="1" x14ac:dyDescent="0.25">
      <c r="A88" s="28">
        <v>43466</v>
      </c>
      <c r="B88" s="27" t="s">
        <v>32</v>
      </c>
      <c r="C88" s="27" t="s">
        <v>50</v>
      </c>
      <c r="D88" s="27" t="s">
        <v>7</v>
      </c>
      <c r="E88" s="27" t="s">
        <v>10</v>
      </c>
      <c r="F88" s="29"/>
      <c r="G88" s="30">
        <v>33.75</v>
      </c>
    </row>
    <row r="89" spans="1:7" hidden="1" x14ac:dyDescent="0.25">
      <c r="A89" s="28">
        <v>43466</v>
      </c>
      <c r="B89" s="27" t="s">
        <v>32</v>
      </c>
      <c r="C89" s="27" t="s">
        <v>50</v>
      </c>
      <c r="D89" s="27" t="s">
        <v>7</v>
      </c>
      <c r="E89" s="27" t="s">
        <v>17</v>
      </c>
      <c r="F89" s="29"/>
      <c r="G89" s="30">
        <v>33.75</v>
      </c>
    </row>
    <row r="90" spans="1:7" hidden="1" x14ac:dyDescent="0.25">
      <c r="A90" s="28">
        <v>43466</v>
      </c>
      <c r="B90" s="27" t="s">
        <v>32</v>
      </c>
      <c r="C90" s="27" t="s">
        <v>50</v>
      </c>
      <c r="D90" s="27" t="s">
        <v>7</v>
      </c>
      <c r="E90" s="27" t="s">
        <v>204</v>
      </c>
      <c r="F90" s="29"/>
      <c r="G90" s="30">
        <v>18</v>
      </c>
    </row>
    <row r="91" spans="1:7" hidden="1" x14ac:dyDescent="0.25">
      <c r="A91" s="28">
        <v>43466</v>
      </c>
      <c r="B91" s="27" t="s">
        <v>5</v>
      </c>
      <c r="C91" s="27" t="s">
        <v>51</v>
      </c>
      <c r="D91" s="27" t="s">
        <v>51</v>
      </c>
      <c r="E91" s="27" t="s">
        <v>8</v>
      </c>
      <c r="F91" s="29">
        <v>966</v>
      </c>
      <c r="G91" s="30">
        <v>13.473728241740263</v>
      </c>
    </row>
    <row r="92" spans="1:7" hidden="1" x14ac:dyDescent="0.25">
      <c r="A92" s="28">
        <v>43466</v>
      </c>
      <c r="B92" s="27" t="s">
        <v>5</v>
      </c>
      <c r="C92" s="27" t="s">
        <v>51</v>
      </c>
      <c r="D92" s="27" t="s">
        <v>51</v>
      </c>
      <c r="E92" s="27" t="s">
        <v>9</v>
      </c>
      <c r="F92" s="29">
        <v>3663</v>
      </c>
      <c r="G92" s="30">
        <v>4.1055379874932463</v>
      </c>
    </row>
    <row r="93" spans="1:7" hidden="1" x14ac:dyDescent="0.25">
      <c r="A93" s="28">
        <v>43466</v>
      </c>
      <c r="B93" s="27" t="s">
        <v>5</v>
      </c>
      <c r="C93" s="27" t="s">
        <v>51</v>
      </c>
      <c r="D93" s="27" t="s">
        <v>51</v>
      </c>
      <c r="E93" s="27" t="s">
        <v>64</v>
      </c>
      <c r="F93" s="29">
        <v>4542.875</v>
      </c>
      <c r="G93" s="30">
        <v>4.0756565276807661</v>
      </c>
    </row>
    <row r="94" spans="1:7" hidden="1" x14ac:dyDescent="0.25">
      <c r="A94" s="28">
        <v>43466</v>
      </c>
      <c r="B94" s="27" t="s">
        <v>5</v>
      </c>
      <c r="C94" s="27" t="s">
        <v>51</v>
      </c>
      <c r="D94" s="27" t="s">
        <v>51</v>
      </c>
      <c r="E94" s="27" t="s">
        <v>21</v>
      </c>
      <c r="F94" s="29">
        <v>4542.875</v>
      </c>
      <c r="G94" s="30">
        <v>4.8109429193747193</v>
      </c>
    </row>
    <row r="95" spans="1:7" hidden="1" x14ac:dyDescent="0.25">
      <c r="A95" s="28">
        <v>43466</v>
      </c>
      <c r="B95" s="27" t="s">
        <v>5</v>
      </c>
      <c r="C95" s="27" t="s">
        <v>51</v>
      </c>
      <c r="D95" s="27" t="s">
        <v>51</v>
      </c>
      <c r="E95" s="27" t="s">
        <v>21</v>
      </c>
      <c r="F95" s="29">
        <v>716</v>
      </c>
      <c r="G95" s="30">
        <v>19.45012543974082</v>
      </c>
    </row>
    <row r="96" spans="1:7" hidden="1" x14ac:dyDescent="0.25">
      <c r="A96" s="28">
        <v>43466</v>
      </c>
      <c r="B96" s="27" t="s">
        <v>5</v>
      </c>
      <c r="C96" s="27" t="s">
        <v>51</v>
      </c>
      <c r="D96" s="27" t="s">
        <v>51</v>
      </c>
      <c r="E96" s="27" t="s">
        <v>10</v>
      </c>
      <c r="F96" s="29">
        <v>4980</v>
      </c>
      <c r="G96" s="30">
        <v>3.2158702774138748</v>
      </c>
    </row>
    <row r="97" spans="1:7" hidden="1" x14ac:dyDescent="0.25">
      <c r="A97" s="28">
        <v>43466</v>
      </c>
      <c r="B97" s="27" t="s">
        <v>5</v>
      </c>
      <c r="C97" s="27" t="s">
        <v>51</v>
      </c>
      <c r="D97" s="27" t="s">
        <v>51</v>
      </c>
      <c r="E97" s="27" t="s">
        <v>11</v>
      </c>
      <c r="F97" s="29">
        <v>3080</v>
      </c>
      <c r="G97" s="30">
        <v>3.2970510762514373</v>
      </c>
    </row>
    <row r="98" spans="1:7" hidden="1" x14ac:dyDescent="0.25">
      <c r="A98" s="28">
        <v>43466</v>
      </c>
      <c r="B98" s="27" t="s">
        <v>5</v>
      </c>
      <c r="C98" s="27" t="s">
        <v>51</v>
      </c>
      <c r="D98" s="27" t="s">
        <v>51</v>
      </c>
      <c r="E98" s="27" t="s">
        <v>12</v>
      </c>
      <c r="F98" s="29">
        <v>3080</v>
      </c>
      <c r="G98" s="30">
        <v>3.2528240740869361</v>
      </c>
    </row>
    <row r="99" spans="1:7" hidden="1" x14ac:dyDescent="0.25">
      <c r="A99" s="28">
        <v>43466</v>
      </c>
      <c r="B99" s="27" t="s">
        <v>5</v>
      </c>
      <c r="C99" s="27" t="s">
        <v>51</v>
      </c>
      <c r="D99" s="27" t="s">
        <v>51</v>
      </c>
      <c r="E99" s="27" t="s">
        <v>13</v>
      </c>
      <c r="F99" s="29">
        <v>6082</v>
      </c>
      <c r="G99" s="30">
        <v>2.4412084536097383</v>
      </c>
    </row>
    <row r="100" spans="1:7" hidden="1" x14ac:dyDescent="0.25">
      <c r="A100" s="28">
        <v>43466</v>
      </c>
      <c r="B100" s="27" t="s">
        <v>5</v>
      </c>
      <c r="C100" s="27" t="s">
        <v>51</v>
      </c>
      <c r="D100" s="27" t="s">
        <v>51</v>
      </c>
      <c r="E100" s="27" t="s">
        <v>14</v>
      </c>
      <c r="F100" s="29">
        <v>701</v>
      </c>
      <c r="G100" s="30">
        <v>13.806540392089055</v>
      </c>
    </row>
    <row r="101" spans="1:7" hidden="1" x14ac:dyDescent="0.25">
      <c r="A101" s="28">
        <v>43466</v>
      </c>
      <c r="B101" s="27" t="s">
        <v>5</v>
      </c>
      <c r="C101" s="27" t="s">
        <v>51</v>
      </c>
      <c r="D101" s="27" t="s">
        <v>51</v>
      </c>
      <c r="E101" s="27" t="s">
        <v>15</v>
      </c>
      <c r="F101" s="29">
        <v>4134</v>
      </c>
      <c r="G101" s="30">
        <v>2.7945459961750752</v>
      </c>
    </row>
    <row r="102" spans="1:7" hidden="1" x14ac:dyDescent="0.25">
      <c r="A102" s="28">
        <v>43466</v>
      </c>
      <c r="B102" s="27" t="s">
        <v>5</v>
      </c>
      <c r="C102" s="27" t="s">
        <v>51</v>
      </c>
      <c r="D102" s="27" t="s">
        <v>51</v>
      </c>
      <c r="E102" s="27" t="s">
        <v>16</v>
      </c>
      <c r="F102" s="29">
        <v>5357.8571428571431</v>
      </c>
      <c r="G102" s="30">
        <v>2.3002886825040481</v>
      </c>
    </row>
    <row r="103" spans="1:7" hidden="1" x14ac:dyDescent="0.25">
      <c r="A103" s="28">
        <v>43466</v>
      </c>
      <c r="B103" s="27" t="s">
        <v>5</v>
      </c>
      <c r="C103" s="27" t="s">
        <v>51</v>
      </c>
      <c r="D103" s="27" t="s">
        <v>51</v>
      </c>
      <c r="E103" s="27" t="s">
        <v>17</v>
      </c>
      <c r="F103" s="29">
        <v>7914</v>
      </c>
      <c r="G103" s="30">
        <v>2.4192065514515741</v>
      </c>
    </row>
    <row r="104" spans="1:7" hidden="1" x14ac:dyDescent="0.25">
      <c r="A104" s="28">
        <v>43466</v>
      </c>
      <c r="B104" s="27" t="s">
        <v>5</v>
      </c>
      <c r="C104" s="27" t="s">
        <v>51</v>
      </c>
      <c r="D104" s="27" t="s">
        <v>51</v>
      </c>
      <c r="E104" s="27" t="s">
        <v>18</v>
      </c>
      <c r="F104" s="29">
        <v>2551</v>
      </c>
      <c r="G104" s="30">
        <v>4.6137576041504351</v>
      </c>
    </row>
    <row r="105" spans="1:7" hidden="1" x14ac:dyDescent="0.25">
      <c r="A105" s="28">
        <v>43466</v>
      </c>
      <c r="B105" s="27" t="s">
        <v>5</v>
      </c>
      <c r="C105" s="27" t="s">
        <v>51</v>
      </c>
      <c r="D105" s="27" t="s">
        <v>51</v>
      </c>
      <c r="E105" s="27" t="s">
        <v>19</v>
      </c>
      <c r="F105" s="29">
        <v>5246.6607142857138</v>
      </c>
      <c r="G105" s="30">
        <v>2.3604851712887043</v>
      </c>
    </row>
    <row r="106" spans="1:7" hidden="1" x14ac:dyDescent="0.25">
      <c r="A106" s="28">
        <v>43466</v>
      </c>
      <c r="B106" s="27" t="s">
        <v>180</v>
      </c>
      <c r="C106" s="27" t="s">
        <v>50</v>
      </c>
      <c r="D106" s="27" t="s">
        <v>7</v>
      </c>
      <c r="E106" s="27" t="s">
        <v>8</v>
      </c>
      <c r="F106" s="29"/>
      <c r="G106" s="30">
        <v>1613</v>
      </c>
    </row>
    <row r="107" spans="1:7" hidden="1" x14ac:dyDescent="0.25">
      <c r="A107" s="28">
        <v>43466</v>
      </c>
      <c r="B107" s="27" t="s">
        <v>180</v>
      </c>
      <c r="C107" s="27" t="s">
        <v>50</v>
      </c>
      <c r="D107" s="27" t="s">
        <v>7</v>
      </c>
      <c r="E107" s="27" t="s">
        <v>9</v>
      </c>
      <c r="F107" s="29"/>
      <c r="G107" s="30">
        <v>2425</v>
      </c>
    </row>
    <row r="108" spans="1:7" hidden="1" x14ac:dyDescent="0.25">
      <c r="A108" s="28">
        <v>43466</v>
      </c>
      <c r="B108" s="27" t="s">
        <v>180</v>
      </c>
      <c r="C108" s="27" t="s">
        <v>50</v>
      </c>
      <c r="D108" s="27" t="s">
        <v>7</v>
      </c>
      <c r="E108" s="27" t="s">
        <v>64</v>
      </c>
      <c r="F108" s="29"/>
      <c r="G108" s="30">
        <v>7261</v>
      </c>
    </row>
    <row r="109" spans="1:7" hidden="1" x14ac:dyDescent="0.25">
      <c r="A109" s="28">
        <v>43466</v>
      </c>
      <c r="B109" s="27" t="s">
        <v>180</v>
      </c>
      <c r="C109" s="27" t="s">
        <v>50</v>
      </c>
      <c r="D109" s="27" t="s">
        <v>7</v>
      </c>
      <c r="E109" s="27" t="s">
        <v>21</v>
      </c>
      <c r="F109" s="29"/>
      <c r="G109" s="30">
        <v>8893.33</v>
      </c>
    </row>
    <row r="110" spans="1:7" hidden="1" x14ac:dyDescent="0.25">
      <c r="A110" s="28">
        <v>43466</v>
      </c>
      <c r="B110" s="27" t="s">
        <v>180</v>
      </c>
      <c r="C110" s="27" t="s">
        <v>50</v>
      </c>
      <c r="D110" s="27" t="s">
        <v>7</v>
      </c>
      <c r="E110" s="27" t="s">
        <v>21</v>
      </c>
      <c r="F110" s="29"/>
      <c r="G110" s="30">
        <v>40</v>
      </c>
    </row>
    <row r="111" spans="1:7" hidden="1" x14ac:dyDescent="0.25">
      <c r="A111" s="28">
        <v>43466</v>
      </c>
      <c r="B111" s="27" t="s">
        <v>180</v>
      </c>
      <c r="C111" s="27" t="s">
        <v>50</v>
      </c>
      <c r="D111" s="27" t="s">
        <v>7</v>
      </c>
      <c r="E111" s="27" t="s">
        <v>10</v>
      </c>
      <c r="F111" s="29"/>
      <c r="G111" s="30">
        <v>1118.5</v>
      </c>
    </row>
    <row r="112" spans="1:7" hidden="1" x14ac:dyDescent="0.25">
      <c r="A112" s="28">
        <v>43466</v>
      </c>
      <c r="B112" s="27" t="s">
        <v>180</v>
      </c>
      <c r="C112" s="27" t="s">
        <v>50</v>
      </c>
      <c r="D112" s="27" t="s">
        <v>7</v>
      </c>
      <c r="E112" s="27" t="s">
        <v>11</v>
      </c>
      <c r="F112" s="29"/>
      <c r="G112" s="30">
        <v>70</v>
      </c>
    </row>
    <row r="113" spans="1:7" hidden="1" x14ac:dyDescent="0.25">
      <c r="A113" s="28">
        <v>43466</v>
      </c>
      <c r="B113" s="27" t="s">
        <v>180</v>
      </c>
      <c r="C113" s="27" t="s">
        <v>50</v>
      </c>
      <c r="D113" s="27" t="s">
        <v>7</v>
      </c>
      <c r="E113" s="27" t="s">
        <v>12</v>
      </c>
      <c r="F113" s="29"/>
      <c r="G113" s="30">
        <v>180</v>
      </c>
    </row>
    <row r="114" spans="1:7" hidden="1" x14ac:dyDescent="0.25">
      <c r="A114" s="28">
        <v>43466</v>
      </c>
      <c r="B114" s="27" t="s">
        <v>180</v>
      </c>
      <c r="C114" s="27" t="s">
        <v>50</v>
      </c>
      <c r="D114" s="27" t="s">
        <v>7</v>
      </c>
      <c r="E114" s="27" t="s">
        <v>13</v>
      </c>
      <c r="F114" s="29"/>
      <c r="G114" s="30">
        <v>231</v>
      </c>
    </row>
    <row r="115" spans="1:7" hidden="1" x14ac:dyDescent="0.25">
      <c r="A115" s="28">
        <v>43466</v>
      </c>
      <c r="B115" s="27" t="s">
        <v>180</v>
      </c>
      <c r="C115" s="27" t="s">
        <v>50</v>
      </c>
      <c r="D115" s="27" t="s">
        <v>7</v>
      </c>
      <c r="E115" s="27" t="s">
        <v>14</v>
      </c>
      <c r="F115" s="29"/>
      <c r="G115" s="30">
        <v>916.03</v>
      </c>
    </row>
    <row r="116" spans="1:7" hidden="1" x14ac:dyDescent="0.25">
      <c r="A116" s="28">
        <v>43466</v>
      </c>
      <c r="B116" s="27" t="s">
        <v>180</v>
      </c>
      <c r="C116" s="27" t="s">
        <v>50</v>
      </c>
      <c r="D116" s="27" t="s">
        <v>7</v>
      </c>
      <c r="E116" s="27" t="s">
        <v>15</v>
      </c>
      <c r="F116" s="29"/>
      <c r="G116" s="30">
        <v>245</v>
      </c>
    </row>
    <row r="117" spans="1:7" hidden="1" x14ac:dyDescent="0.25">
      <c r="A117" s="28">
        <v>43466</v>
      </c>
      <c r="B117" s="27" t="s">
        <v>180</v>
      </c>
      <c r="C117" s="27" t="s">
        <v>50</v>
      </c>
      <c r="D117" s="27" t="s">
        <v>7</v>
      </c>
      <c r="E117" s="27" t="s">
        <v>16</v>
      </c>
      <c r="F117" s="29"/>
      <c r="G117" s="30">
        <v>255</v>
      </c>
    </row>
    <row r="118" spans="1:7" hidden="1" x14ac:dyDescent="0.25">
      <c r="A118" s="28">
        <v>43466</v>
      </c>
      <c r="B118" s="27" t="s">
        <v>180</v>
      </c>
      <c r="C118" s="27" t="s">
        <v>50</v>
      </c>
      <c r="D118" s="27" t="s">
        <v>7</v>
      </c>
      <c r="E118" s="27" t="s">
        <v>17</v>
      </c>
      <c r="F118" s="29"/>
      <c r="G118" s="30">
        <v>1437</v>
      </c>
    </row>
    <row r="119" spans="1:7" hidden="1" x14ac:dyDescent="0.25">
      <c r="A119" s="28">
        <v>43466</v>
      </c>
      <c r="B119" s="27" t="s">
        <v>180</v>
      </c>
      <c r="C119" s="27" t="s">
        <v>50</v>
      </c>
      <c r="D119" s="27" t="s">
        <v>7</v>
      </c>
      <c r="E119" s="27" t="s">
        <v>204</v>
      </c>
      <c r="F119" s="29"/>
      <c r="G119" s="30">
        <v>727.6400000000001</v>
      </c>
    </row>
    <row r="120" spans="1:7" hidden="1" x14ac:dyDescent="0.25">
      <c r="A120" s="28">
        <v>43466</v>
      </c>
      <c r="B120" s="27" t="s">
        <v>180</v>
      </c>
      <c r="C120" s="27" t="s">
        <v>50</v>
      </c>
      <c r="D120" s="27" t="s">
        <v>7</v>
      </c>
      <c r="E120" s="27" t="s">
        <v>37</v>
      </c>
      <c r="F120" s="29"/>
      <c r="G120" s="30">
        <v>69.89</v>
      </c>
    </row>
    <row r="121" spans="1:7" hidden="1" x14ac:dyDescent="0.25">
      <c r="A121" s="28">
        <v>43466</v>
      </c>
      <c r="B121" s="27" t="s">
        <v>181</v>
      </c>
      <c r="C121" s="27" t="s">
        <v>50</v>
      </c>
      <c r="D121" s="27" t="s">
        <v>6</v>
      </c>
      <c r="E121" s="27" t="s">
        <v>15</v>
      </c>
      <c r="F121" s="29"/>
      <c r="G121" s="30">
        <v>109</v>
      </c>
    </row>
    <row r="122" spans="1:7" hidden="1" x14ac:dyDescent="0.25">
      <c r="A122" s="28">
        <v>43466</v>
      </c>
      <c r="B122" s="27" t="s">
        <v>181</v>
      </c>
      <c r="C122" s="27" t="s">
        <v>50</v>
      </c>
      <c r="D122" s="27" t="s">
        <v>6</v>
      </c>
      <c r="E122" s="27" t="s">
        <v>16</v>
      </c>
      <c r="F122" s="29"/>
      <c r="G122" s="30">
        <v>10</v>
      </c>
    </row>
    <row r="123" spans="1:7" hidden="1" x14ac:dyDescent="0.25">
      <c r="A123" s="28">
        <v>43466</v>
      </c>
      <c r="B123" s="27" t="s">
        <v>181</v>
      </c>
      <c r="C123" s="27" t="s">
        <v>50</v>
      </c>
      <c r="D123" s="27" t="s">
        <v>6</v>
      </c>
      <c r="E123" s="27" t="s">
        <v>18</v>
      </c>
      <c r="F123" s="29"/>
      <c r="G123" s="30">
        <v>35</v>
      </c>
    </row>
    <row r="124" spans="1:7" hidden="1" x14ac:dyDescent="0.25">
      <c r="A124" s="28">
        <v>43466</v>
      </c>
      <c r="B124" s="27" t="s">
        <v>181</v>
      </c>
      <c r="C124" s="27" t="s">
        <v>50</v>
      </c>
      <c r="D124" s="27" t="s">
        <v>6</v>
      </c>
      <c r="E124" s="27" t="s">
        <v>19</v>
      </c>
      <c r="F124" s="29"/>
      <c r="G124" s="30">
        <v>188</v>
      </c>
    </row>
    <row r="125" spans="1:7" hidden="1" x14ac:dyDescent="0.25">
      <c r="A125" s="28">
        <v>43466</v>
      </c>
      <c r="B125" s="27" t="s">
        <v>25</v>
      </c>
      <c r="C125" s="27" t="s">
        <v>50</v>
      </c>
      <c r="D125" s="27" t="s">
        <v>7</v>
      </c>
      <c r="E125" s="27" t="s">
        <v>8</v>
      </c>
      <c r="F125" s="29"/>
      <c r="G125" s="30">
        <v>18.375882352941176</v>
      </c>
    </row>
    <row r="126" spans="1:7" hidden="1" x14ac:dyDescent="0.25">
      <c r="A126" s="28">
        <v>43466</v>
      </c>
      <c r="B126" s="27" t="s">
        <v>25</v>
      </c>
      <c r="C126" s="27" t="s">
        <v>50</v>
      </c>
      <c r="D126" s="27" t="s">
        <v>7</v>
      </c>
      <c r="E126" s="27" t="s">
        <v>9</v>
      </c>
      <c r="F126" s="29"/>
      <c r="G126" s="30">
        <v>18.375882352941176</v>
      </c>
    </row>
    <row r="127" spans="1:7" hidden="1" x14ac:dyDescent="0.25">
      <c r="A127" s="28">
        <v>43466</v>
      </c>
      <c r="B127" s="27" t="s">
        <v>25</v>
      </c>
      <c r="C127" s="27" t="s">
        <v>50</v>
      </c>
      <c r="D127" s="27" t="s">
        <v>7</v>
      </c>
      <c r="E127" s="27" t="s">
        <v>64</v>
      </c>
      <c r="F127" s="29"/>
      <c r="G127" s="30">
        <v>18.375882352941176</v>
      </c>
    </row>
    <row r="128" spans="1:7" hidden="1" x14ac:dyDescent="0.25">
      <c r="A128" s="28">
        <v>43466</v>
      </c>
      <c r="B128" s="27" t="s">
        <v>25</v>
      </c>
      <c r="C128" s="27" t="s">
        <v>50</v>
      </c>
      <c r="D128" s="27" t="s">
        <v>7</v>
      </c>
      <c r="E128" s="27" t="s">
        <v>21</v>
      </c>
      <c r="F128" s="29"/>
      <c r="G128" s="30">
        <v>18.375882352941176</v>
      </c>
    </row>
    <row r="129" spans="1:7" hidden="1" x14ac:dyDescent="0.25">
      <c r="A129" s="28">
        <v>43466</v>
      </c>
      <c r="B129" s="27" t="s">
        <v>25</v>
      </c>
      <c r="C129" s="27" t="s">
        <v>50</v>
      </c>
      <c r="D129" s="27" t="s">
        <v>7</v>
      </c>
      <c r="E129" s="27" t="s">
        <v>21</v>
      </c>
      <c r="F129" s="29"/>
      <c r="G129" s="30">
        <v>18.375882352941176</v>
      </c>
    </row>
    <row r="130" spans="1:7" hidden="1" x14ac:dyDescent="0.25">
      <c r="A130" s="28">
        <v>43466</v>
      </c>
      <c r="B130" s="27" t="s">
        <v>25</v>
      </c>
      <c r="C130" s="27" t="s">
        <v>50</v>
      </c>
      <c r="D130" s="27" t="s">
        <v>7</v>
      </c>
      <c r="E130" s="27" t="s">
        <v>10</v>
      </c>
      <c r="F130" s="29"/>
      <c r="G130" s="30">
        <v>18.375882352941176</v>
      </c>
    </row>
    <row r="131" spans="1:7" hidden="1" x14ac:dyDescent="0.25">
      <c r="A131" s="28">
        <v>43466</v>
      </c>
      <c r="B131" s="27" t="s">
        <v>25</v>
      </c>
      <c r="C131" s="27" t="s">
        <v>50</v>
      </c>
      <c r="D131" s="27" t="s">
        <v>7</v>
      </c>
      <c r="E131" s="27" t="s">
        <v>11</v>
      </c>
      <c r="F131" s="29"/>
      <c r="G131" s="30">
        <v>18.375882352941176</v>
      </c>
    </row>
    <row r="132" spans="1:7" hidden="1" x14ac:dyDescent="0.25">
      <c r="A132" s="28">
        <v>43466</v>
      </c>
      <c r="B132" s="27" t="s">
        <v>25</v>
      </c>
      <c r="C132" s="27" t="s">
        <v>50</v>
      </c>
      <c r="D132" s="27" t="s">
        <v>7</v>
      </c>
      <c r="E132" s="27" t="s">
        <v>12</v>
      </c>
      <c r="F132" s="29"/>
      <c r="G132" s="30">
        <v>18.375882352941176</v>
      </c>
    </row>
    <row r="133" spans="1:7" hidden="1" x14ac:dyDescent="0.25">
      <c r="A133" s="28">
        <v>43466</v>
      </c>
      <c r="B133" s="27" t="s">
        <v>25</v>
      </c>
      <c r="C133" s="27" t="s">
        <v>50</v>
      </c>
      <c r="D133" s="27" t="s">
        <v>7</v>
      </c>
      <c r="E133" s="27" t="s">
        <v>13</v>
      </c>
      <c r="F133" s="29"/>
      <c r="G133" s="30">
        <v>18.375882352941176</v>
      </c>
    </row>
    <row r="134" spans="1:7" hidden="1" x14ac:dyDescent="0.25">
      <c r="A134" s="28">
        <v>43466</v>
      </c>
      <c r="B134" s="27" t="s">
        <v>25</v>
      </c>
      <c r="C134" s="27" t="s">
        <v>50</v>
      </c>
      <c r="D134" s="27" t="s">
        <v>7</v>
      </c>
      <c r="E134" s="27" t="s">
        <v>14</v>
      </c>
      <c r="F134" s="29"/>
      <c r="G134" s="30">
        <v>18.375882352941176</v>
      </c>
    </row>
    <row r="135" spans="1:7" hidden="1" x14ac:dyDescent="0.25">
      <c r="A135" s="28">
        <v>43466</v>
      </c>
      <c r="B135" s="27" t="s">
        <v>25</v>
      </c>
      <c r="C135" s="27" t="s">
        <v>50</v>
      </c>
      <c r="D135" s="27" t="s">
        <v>7</v>
      </c>
      <c r="E135" s="27" t="s">
        <v>15</v>
      </c>
      <c r="F135" s="29"/>
      <c r="G135" s="30">
        <v>18.375882352941176</v>
      </c>
    </row>
    <row r="136" spans="1:7" hidden="1" x14ac:dyDescent="0.25">
      <c r="A136" s="28">
        <v>43466</v>
      </c>
      <c r="B136" s="27" t="s">
        <v>25</v>
      </c>
      <c r="C136" s="27" t="s">
        <v>50</v>
      </c>
      <c r="D136" s="27" t="s">
        <v>7</v>
      </c>
      <c r="E136" s="27" t="s">
        <v>16</v>
      </c>
      <c r="F136" s="29"/>
      <c r="G136" s="30">
        <v>18.375882352941176</v>
      </c>
    </row>
    <row r="137" spans="1:7" hidden="1" x14ac:dyDescent="0.25">
      <c r="A137" s="28">
        <v>43466</v>
      </c>
      <c r="B137" s="27" t="s">
        <v>25</v>
      </c>
      <c r="C137" s="27" t="s">
        <v>50</v>
      </c>
      <c r="D137" s="27" t="s">
        <v>7</v>
      </c>
      <c r="E137" s="27" t="s">
        <v>17</v>
      </c>
      <c r="F137" s="29"/>
      <c r="G137" s="30">
        <v>18.375882352941176</v>
      </c>
    </row>
    <row r="138" spans="1:7" hidden="1" x14ac:dyDescent="0.25">
      <c r="A138" s="28">
        <v>43466</v>
      </c>
      <c r="B138" s="27" t="s">
        <v>25</v>
      </c>
      <c r="C138" s="27" t="s">
        <v>50</v>
      </c>
      <c r="D138" s="27" t="s">
        <v>7</v>
      </c>
      <c r="E138" s="27" t="s">
        <v>18</v>
      </c>
      <c r="F138" s="29"/>
      <c r="G138" s="30">
        <v>18.375882352941176</v>
      </c>
    </row>
    <row r="139" spans="1:7" hidden="1" x14ac:dyDescent="0.25">
      <c r="A139" s="28">
        <v>43466</v>
      </c>
      <c r="B139" s="27" t="s">
        <v>25</v>
      </c>
      <c r="C139" s="27" t="s">
        <v>50</v>
      </c>
      <c r="D139" s="27" t="s">
        <v>7</v>
      </c>
      <c r="E139" s="27" t="s">
        <v>19</v>
      </c>
      <c r="F139" s="29"/>
      <c r="G139" s="30">
        <v>18.375882352941176</v>
      </c>
    </row>
    <row r="140" spans="1:7" hidden="1" x14ac:dyDescent="0.25">
      <c r="A140" s="28">
        <v>43466</v>
      </c>
      <c r="B140" s="27" t="s">
        <v>25</v>
      </c>
      <c r="C140" s="27" t="s">
        <v>50</v>
      </c>
      <c r="D140" s="27" t="s">
        <v>7</v>
      </c>
      <c r="E140" s="27" t="s">
        <v>204</v>
      </c>
      <c r="F140" s="29"/>
      <c r="G140" s="30">
        <v>18.375882352941176</v>
      </c>
    </row>
    <row r="141" spans="1:7" hidden="1" x14ac:dyDescent="0.25">
      <c r="A141" s="28">
        <v>43466</v>
      </c>
      <c r="B141" s="27" t="s">
        <v>25</v>
      </c>
      <c r="C141" s="27" t="s">
        <v>50</v>
      </c>
      <c r="D141" s="27" t="s">
        <v>7</v>
      </c>
      <c r="E141" s="27" t="s">
        <v>205</v>
      </c>
      <c r="F141" s="29"/>
      <c r="G141" s="30">
        <v>18.375882352941176</v>
      </c>
    </row>
    <row r="142" spans="1:7" hidden="1" x14ac:dyDescent="0.25">
      <c r="A142" s="28">
        <v>43466</v>
      </c>
      <c r="B142" s="27" t="s">
        <v>2</v>
      </c>
      <c r="C142" s="27" t="s">
        <v>50</v>
      </c>
      <c r="D142" s="27" t="s">
        <v>7</v>
      </c>
      <c r="E142" s="27" t="s">
        <v>8</v>
      </c>
      <c r="F142" s="29"/>
      <c r="G142" s="30">
        <v>261.56</v>
      </c>
    </row>
    <row r="143" spans="1:7" hidden="1" x14ac:dyDescent="0.25">
      <c r="A143" s="28">
        <v>43466</v>
      </c>
      <c r="B143" s="27" t="s">
        <v>2</v>
      </c>
      <c r="C143" s="27" t="s">
        <v>50</v>
      </c>
      <c r="D143" s="27" t="s">
        <v>7</v>
      </c>
      <c r="E143" s="27" t="s">
        <v>9</v>
      </c>
      <c r="F143" s="29"/>
      <c r="G143" s="30">
        <v>627.02</v>
      </c>
    </row>
    <row r="144" spans="1:7" hidden="1" x14ac:dyDescent="0.25">
      <c r="A144" s="28">
        <v>43466</v>
      </c>
      <c r="B144" s="27" t="s">
        <v>2</v>
      </c>
      <c r="C144" s="27" t="s">
        <v>50</v>
      </c>
      <c r="D144" s="27" t="s">
        <v>7</v>
      </c>
      <c r="E144" s="27" t="s">
        <v>64</v>
      </c>
      <c r="F144" s="29"/>
      <c r="G144" s="30">
        <v>400.76</v>
      </c>
    </row>
    <row r="145" spans="1:7" hidden="1" x14ac:dyDescent="0.25">
      <c r="A145" s="28">
        <v>43466</v>
      </c>
      <c r="B145" s="27" t="s">
        <v>2</v>
      </c>
      <c r="C145" s="27" t="s">
        <v>50</v>
      </c>
      <c r="D145" s="27" t="s">
        <v>7</v>
      </c>
      <c r="E145" s="27" t="s">
        <v>21</v>
      </c>
      <c r="F145" s="29"/>
      <c r="G145" s="30">
        <v>519.55999999999995</v>
      </c>
    </row>
    <row r="146" spans="1:7" hidden="1" x14ac:dyDescent="0.25">
      <c r="A146" s="28">
        <v>43466</v>
      </c>
      <c r="B146" s="27" t="s">
        <v>2</v>
      </c>
      <c r="C146" s="27" t="s">
        <v>50</v>
      </c>
      <c r="D146" s="27" t="s">
        <v>7</v>
      </c>
      <c r="E146" s="27" t="s">
        <v>21</v>
      </c>
      <c r="F146" s="29"/>
      <c r="G146" s="30">
        <v>943.16</v>
      </c>
    </row>
    <row r="147" spans="1:7" hidden="1" x14ac:dyDescent="0.25">
      <c r="A147" s="28">
        <v>43466</v>
      </c>
      <c r="B147" s="27" t="s">
        <v>2</v>
      </c>
      <c r="C147" s="27" t="s">
        <v>50</v>
      </c>
      <c r="D147" s="27" t="s">
        <v>7</v>
      </c>
      <c r="E147" s="27" t="s">
        <v>10</v>
      </c>
      <c r="F147" s="29"/>
      <c r="G147" s="30">
        <v>369.26</v>
      </c>
    </row>
    <row r="148" spans="1:7" hidden="1" x14ac:dyDescent="0.25">
      <c r="A148" s="28">
        <v>43466</v>
      </c>
      <c r="B148" s="27" t="s">
        <v>2</v>
      </c>
      <c r="C148" s="27" t="s">
        <v>50</v>
      </c>
      <c r="D148" s="27" t="s">
        <v>7</v>
      </c>
      <c r="E148" s="27" t="s">
        <v>11</v>
      </c>
      <c r="F148" s="29"/>
      <c r="G148" s="30">
        <v>218.36</v>
      </c>
    </row>
    <row r="149" spans="1:7" hidden="1" x14ac:dyDescent="0.25">
      <c r="A149" s="28">
        <v>43466</v>
      </c>
      <c r="B149" s="27" t="s">
        <v>2</v>
      </c>
      <c r="C149" s="27" t="s">
        <v>50</v>
      </c>
      <c r="D149" s="27" t="s">
        <v>7</v>
      </c>
      <c r="E149" s="27" t="s">
        <v>12</v>
      </c>
      <c r="F149" s="29"/>
      <c r="G149" s="30">
        <v>141.56</v>
      </c>
    </row>
    <row r="150" spans="1:7" hidden="1" x14ac:dyDescent="0.25">
      <c r="A150" s="28">
        <v>43466</v>
      </c>
      <c r="B150" s="27" t="s">
        <v>2</v>
      </c>
      <c r="C150" s="27" t="s">
        <v>50</v>
      </c>
      <c r="D150" s="27" t="s">
        <v>7</v>
      </c>
      <c r="E150" s="27" t="s">
        <v>13</v>
      </c>
      <c r="F150" s="29"/>
      <c r="G150" s="30">
        <v>837.76</v>
      </c>
    </row>
    <row r="151" spans="1:7" hidden="1" x14ac:dyDescent="0.25">
      <c r="A151" s="28">
        <v>43466</v>
      </c>
      <c r="B151" s="27" t="s">
        <v>2</v>
      </c>
      <c r="C151" s="27" t="s">
        <v>50</v>
      </c>
      <c r="D151" s="27" t="s">
        <v>7</v>
      </c>
      <c r="E151" s="27" t="s">
        <v>14</v>
      </c>
      <c r="F151" s="29"/>
      <c r="G151" s="30">
        <v>123.97</v>
      </c>
    </row>
    <row r="152" spans="1:7" hidden="1" x14ac:dyDescent="0.25">
      <c r="A152" s="28">
        <v>43466</v>
      </c>
      <c r="B152" s="27" t="s">
        <v>2</v>
      </c>
      <c r="C152" s="27" t="s">
        <v>50</v>
      </c>
      <c r="D152" s="27" t="s">
        <v>7</v>
      </c>
      <c r="E152" s="27" t="s">
        <v>15</v>
      </c>
      <c r="F152" s="29"/>
      <c r="G152" s="30">
        <v>193.82</v>
      </c>
    </row>
    <row r="153" spans="1:7" hidden="1" x14ac:dyDescent="0.25">
      <c r="A153" s="28">
        <v>43466</v>
      </c>
      <c r="B153" s="27" t="s">
        <v>2</v>
      </c>
      <c r="C153" s="27" t="s">
        <v>50</v>
      </c>
      <c r="D153" s="27" t="s">
        <v>7</v>
      </c>
      <c r="E153" s="27" t="s">
        <v>16</v>
      </c>
      <c r="F153" s="29"/>
      <c r="G153" s="30">
        <v>579.62</v>
      </c>
    </row>
    <row r="154" spans="1:7" hidden="1" x14ac:dyDescent="0.25">
      <c r="A154" s="28">
        <v>43466</v>
      </c>
      <c r="B154" s="27" t="s">
        <v>2</v>
      </c>
      <c r="C154" s="27" t="s">
        <v>50</v>
      </c>
      <c r="D154" s="27" t="s">
        <v>7</v>
      </c>
      <c r="E154" s="27" t="s">
        <v>17</v>
      </c>
      <c r="F154" s="29"/>
      <c r="G154" s="30">
        <v>1040.17</v>
      </c>
    </row>
    <row r="155" spans="1:7" hidden="1" x14ac:dyDescent="0.25">
      <c r="A155" s="28">
        <v>43466</v>
      </c>
      <c r="B155" s="27" t="s">
        <v>2</v>
      </c>
      <c r="C155" s="27" t="s">
        <v>50</v>
      </c>
      <c r="D155" s="27" t="s">
        <v>7</v>
      </c>
      <c r="E155" s="27" t="s">
        <v>18</v>
      </c>
      <c r="F155" s="29"/>
      <c r="G155" s="30">
        <v>297.57</v>
      </c>
    </row>
    <row r="156" spans="1:7" hidden="1" x14ac:dyDescent="0.25">
      <c r="A156" s="28">
        <v>43466</v>
      </c>
      <c r="B156" s="27" t="s">
        <v>2</v>
      </c>
      <c r="C156" s="27" t="s">
        <v>50</v>
      </c>
      <c r="D156" s="27" t="s">
        <v>7</v>
      </c>
      <c r="E156" s="27" t="s">
        <v>19</v>
      </c>
      <c r="F156" s="29"/>
      <c r="G156" s="30">
        <v>308.02</v>
      </c>
    </row>
    <row r="157" spans="1:7" hidden="1" x14ac:dyDescent="0.25">
      <c r="A157" s="28">
        <v>43466</v>
      </c>
      <c r="B157" s="27" t="s">
        <v>2</v>
      </c>
      <c r="C157" s="27" t="s">
        <v>50</v>
      </c>
      <c r="D157" s="27" t="s">
        <v>7</v>
      </c>
      <c r="E157" s="27" t="s">
        <v>204</v>
      </c>
      <c r="F157" s="29"/>
      <c r="G157" s="30">
        <v>314.77</v>
      </c>
    </row>
    <row r="158" spans="1:7" hidden="1" x14ac:dyDescent="0.25">
      <c r="A158" s="28">
        <v>43466</v>
      </c>
      <c r="B158" s="27" t="s">
        <v>2</v>
      </c>
      <c r="C158" s="27" t="s">
        <v>50</v>
      </c>
      <c r="D158" s="27" t="s">
        <v>7</v>
      </c>
      <c r="E158" s="27" t="s">
        <v>205</v>
      </c>
      <c r="F158" s="29"/>
      <c r="G158" s="30">
        <v>114.07</v>
      </c>
    </row>
    <row r="159" spans="1:7" hidden="1" x14ac:dyDescent="0.25">
      <c r="A159" s="28">
        <v>43466</v>
      </c>
      <c r="B159" s="27" t="s">
        <v>36</v>
      </c>
      <c r="C159" s="27" t="s">
        <v>50</v>
      </c>
      <c r="D159" s="27" t="s">
        <v>6</v>
      </c>
      <c r="E159" s="27" t="s">
        <v>8</v>
      </c>
      <c r="F159" s="29"/>
      <c r="G159" s="30">
        <v>436.62</v>
      </c>
    </row>
    <row r="160" spans="1:7" hidden="1" x14ac:dyDescent="0.25">
      <c r="A160" s="28">
        <v>43466</v>
      </c>
      <c r="B160" s="27" t="s">
        <v>36</v>
      </c>
      <c r="C160" s="27" t="s">
        <v>50</v>
      </c>
      <c r="D160" s="27" t="s">
        <v>6</v>
      </c>
      <c r="E160" s="27" t="s">
        <v>9</v>
      </c>
      <c r="F160" s="29"/>
      <c r="G160" s="30">
        <v>54</v>
      </c>
    </row>
    <row r="161" spans="1:7" hidden="1" x14ac:dyDescent="0.25">
      <c r="A161" s="28">
        <v>43466</v>
      </c>
      <c r="B161" s="27" t="s">
        <v>36</v>
      </c>
      <c r="C161" s="27" t="s">
        <v>50</v>
      </c>
      <c r="D161" s="27" t="s">
        <v>6</v>
      </c>
      <c r="E161" s="27" t="s">
        <v>64</v>
      </c>
      <c r="F161" s="29"/>
      <c r="G161" s="30">
        <v>54</v>
      </c>
    </row>
    <row r="162" spans="1:7" hidden="1" x14ac:dyDescent="0.25">
      <c r="A162" s="28">
        <v>43466</v>
      </c>
      <c r="B162" s="27" t="s">
        <v>36</v>
      </c>
      <c r="C162" s="27" t="s">
        <v>50</v>
      </c>
      <c r="D162" s="27" t="s">
        <v>6</v>
      </c>
      <c r="E162" s="27" t="s">
        <v>21</v>
      </c>
      <c r="F162" s="29"/>
      <c r="G162" s="30">
        <v>85.75</v>
      </c>
    </row>
    <row r="163" spans="1:7" hidden="1" x14ac:dyDescent="0.25">
      <c r="A163" s="28">
        <v>43466</v>
      </c>
      <c r="B163" s="27" t="s">
        <v>36</v>
      </c>
      <c r="C163" s="27" t="s">
        <v>50</v>
      </c>
      <c r="D163" s="27" t="s">
        <v>6</v>
      </c>
      <c r="E163" s="27" t="s">
        <v>10</v>
      </c>
      <c r="F163" s="29"/>
      <c r="G163" s="30">
        <v>436.62</v>
      </c>
    </row>
    <row r="164" spans="1:7" hidden="1" x14ac:dyDescent="0.25">
      <c r="A164" s="28">
        <v>43466</v>
      </c>
      <c r="B164" s="27" t="s">
        <v>36</v>
      </c>
      <c r="C164" s="27" t="s">
        <v>50</v>
      </c>
      <c r="D164" s="27" t="s">
        <v>6</v>
      </c>
      <c r="E164" s="27" t="s">
        <v>11</v>
      </c>
      <c r="F164" s="29"/>
      <c r="G164" s="30">
        <v>73.88</v>
      </c>
    </row>
    <row r="165" spans="1:7" hidden="1" x14ac:dyDescent="0.25">
      <c r="A165" s="28">
        <v>43466</v>
      </c>
      <c r="B165" s="27" t="s">
        <v>36</v>
      </c>
      <c r="C165" s="27" t="s">
        <v>50</v>
      </c>
      <c r="D165" s="27" t="s">
        <v>6</v>
      </c>
      <c r="E165" s="27" t="s">
        <v>12</v>
      </c>
      <c r="F165" s="29"/>
      <c r="G165" s="30">
        <v>73.88</v>
      </c>
    </row>
    <row r="166" spans="1:7" hidden="1" x14ac:dyDescent="0.25">
      <c r="A166" s="28">
        <v>43466</v>
      </c>
      <c r="B166" s="27" t="s">
        <v>36</v>
      </c>
      <c r="C166" s="27" t="s">
        <v>50</v>
      </c>
      <c r="D166" s="27" t="s">
        <v>6</v>
      </c>
      <c r="E166" s="27" t="s">
        <v>13</v>
      </c>
      <c r="F166" s="29"/>
      <c r="G166" s="30">
        <v>54</v>
      </c>
    </row>
    <row r="167" spans="1:7" hidden="1" x14ac:dyDescent="0.25">
      <c r="A167" s="28">
        <v>43466</v>
      </c>
      <c r="B167" s="27" t="s">
        <v>36</v>
      </c>
      <c r="C167" s="27" t="s">
        <v>50</v>
      </c>
      <c r="D167" s="27" t="s">
        <v>6</v>
      </c>
      <c r="E167" s="27" t="s">
        <v>14</v>
      </c>
      <c r="F167" s="29"/>
      <c r="G167" s="30">
        <v>73.88</v>
      </c>
    </row>
    <row r="168" spans="1:7" hidden="1" x14ac:dyDescent="0.25">
      <c r="A168" s="28">
        <v>43466</v>
      </c>
      <c r="B168" s="27" t="s">
        <v>36</v>
      </c>
      <c r="C168" s="27" t="s">
        <v>50</v>
      </c>
      <c r="D168" s="27" t="s">
        <v>6</v>
      </c>
      <c r="E168" s="27" t="s">
        <v>15</v>
      </c>
      <c r="F168" s="29"/>
      <c r="G168" s="30">
        <v>54</v>
      </c>
    </row>
    <row r="169" spans="1:7" hidden="1" x14ac:dyDescent="0.25">
      <c r="A169" s="28">
        <v>43466</v>
      </c>
      <c r="B169" s="27" t="s">
        <v>36</v>
      </c>
      <c r="C169" s="27" t="s">
        <v>50</v>
      </c>
      <c r="D169" s="27" t="s">
        <v>6</v>
      </c>
      <c r="E169" s="27" t="s">
        <v>16</v>
      </c>
      <c r="F169" s="29"/>
      <c r="G169" s="30">
        <v>54</v>
      </c>
    </row>
    <row r="170" spans="1:7" hidden="1" x14ac:dyDescent="0.25">
      <c r="A170" s="28">
        <v>43466</v>
      </c>
      <c r="B170" s="27" t="s">
        <v>36</v>
      </c>
      <c r="C170" s="27" t="s">
        <v>50</v>
      </c>
      <c r="D170" s="27" t="s">
        <v>6</v>
      </c>
      <c r="E170" s="27" t="s">
        <v>18</v>
      </c>
      <c r="F170" s="29"/>
      <c r="G170" s="30">
        <v>54</v>
      </c>
    </row>
    <row r="171" spans="1:7" hidden="1" x14ac:dyDescent="0.25">
      <c r="A171" s="28">
        <v>43466</v>
      </c>
      <c r="B171" s="27" t="s">
        <v>36</v>
      </c>
      <c r="C171" s="27" t="s">
        <v>50</v>
      </c>
      <c r="D171" s="27" t="s">
        <v>6</v>
      </c>
      <c r="E171" s="27" t="s">
        <v>19</v>
      </c>
      <c r="F171" s="29"/>
      <c r="G171" s="30">
        <v>54</v>
      </c>
    </row>
    <row r="172" spans="1:7" hidden="1" x14ac:dyDescent="0.25">
      <c r="A172" s="28">
        <v>43466</v>
      </c>
      <c r="B172" s="27" t="s">
        <v>200</v>
      </c>
      <c r="C172" s="27" t="s">
        <v>53</v>
      </c>
      <c r="D172" s="27" t="s">
        <v>6</v>
      </c>
      <c r="E172" s="27" t="s">
        <v>8</v>
      </c>
      <c r="F172" s="29"/>
      <c r="G172" s="30">
        <f t="shared" ref="G172:G188" si="0">6199.03706666667/17</f>
        <v>364.64923921568652</v>
      </c>
    </row>
    <row r="173" spans="1:7" hidden="1" x14ac:dyDescent="0.25">
      <c r="A173" s="28">
        <v>43466</v>
      </c>
      <c r="B173" s="27" t="s">
        <v>200</v>
      </c>
      <c r="C173" s="27" t="s">
        <v>53</v>
      </c>
      <c r="D173" s="27" t="s">
        <v>6</v>
      </c>
      <c r="E173" s="27" t="s">
        <v>9</v>
      </c>
      <c r="F173" s="29"/>
      <c r="G173" s="30">
        <f t="shared" si="0"/>
        <v>364.64923921568652</v>
      </c>
    </row>
    <row r="174" spans="1:7" hidden="1" x14ac:dyDescent="0.25">
      <c r="A174" s="28">
        <v>43466</v>
      </c>
      <c r="B174" s="27" t="s">
        <v>200</v>
      </c>
      <c r="C174" s="27" t="s">
        <v>53</v>
      </c>
      <c r="D174" s="27" t="s">
        <v>6</v>
      </c>
      <c r="E174" s="27" t="s">
        <v>64</v>
      </c>
      <c r="F174" s="29"/>
      <c r="G174" s="30">
        <f t="shared" si="0"/>
        <v>364.64923921568652</v>
      </c>
    </row>
    <row r="175" spans="1:7" hidden="1" x14ac:dyDescent="0.25">
      <c r="A175" s="28">
        <v>43466</v>
      </c>
      <c r="B175" s="27" t="s">
        <v>200</v>
      </c>
      <c r="C175" s="27" t="s">
        <v>53</v>
      </c>
      <c r="D175" s="27" t="s">
        <v>6</v>
      </c>
      <c r="E175" s="27" t="s">
        <v>21</v>
      </c>
      <c r="F175" s="29"/>
      <c r="G175" s="30">
        <f t="shared" si="0"/>
        <v>364.64923921568652</v>
      </c>
    </row>
    <row r="176" spans="1:7" hidden="1" x14ac:dyDescent="0.25">
      <c r="A176" s="28">
        <v>43466</v>
      </c>
      <c r="B176" s="27" t="s">
        <v>200</v>
      </c>
      <c r="C176" s="27" t="s">
        <v>53</v>
      </c>
      <c r="D176" s="27" t="s">
        <v>6</v>
      </c>
      <c r="E176" s="27" t="s">
        <v>21</v>
      </c>
      <c r="F176" s="29"/>
      <c r="G176" s="30">
        <f t="shared" si="0"/>
        <v>364.64923921568652</v>
      </c>
    </row>
    <row r="177" spans="1:7" hidden="1" x14ac:dyDescent="0.25">
      <c r="A177" s="28">
        <v>43466</v>
      </c>
      <c r="B177" s="27" t="s">
        <v>200</v>
      </c>
      <c r="C177" s="27" t="s">
        <v>53</v>
      </c>
      <c r="D177" s="27" t="s">
        <v>6</v>
      </c>
      <c r="E177" s="27" t="s">
        <v>10</v>
      </c>
      <c r="F177" s="29"/>
      <c r="G177" s="30">
        <f t="shared" si="0"/>
        <v>364.64923921568652</v>
      </c>
    </row>
    <row r="178" spans="1:7" hidden="1" x14ac:dyDescent="0.25">
      <c r="A178" s="28">
        <v>43466</v>
      </c>
      <c r="B178" s="27" t="s">
        <v>200</v>
      </c>
      <c r="C178" s="27" t="s">
        <v>53</v>
      </c>
      <c r="D178" s="27" t="s">
        <v>6</v>
      </c>
      <c r="E178" s="27" t="s">
        <v>11</v>
      </c>
      <c r="F178" s="29"/>
      <c r="G178" s="30">
        <f t="shared" si="0"/>
        <v>364.64923921568652</v>
      </c>
    </row>
    <row r="179" spans="1:7" hidden="1" x14ac:dyDescent="0.25">
      <c r="A179" s="28">
        <v>43466</v>
      </c>
      <c r="B179" s="27" t="s">
        <v>200</v>
      </c>
      <c r="C179" s="27" t="s">
        <v>53</v>
      </c>
      <c r="D179" s="27" t="s">
        <v>6</v>
      </c>
      <c r="E179" s="27" t="s">
        <v>12</v>
      </c>
      <c r="F179" s="29"/>
      <c r="G179" s="30">
        <f t="shared" si="0"/>
        <v>364.64923921568652</v>
      </c>
    </row>
    <row r="180" spans="1:7" hidden="1" x14ac:dyDescent="0.25">
      <c r="A180" s="28">
        <v>43466</v>
      </c>
      <c r="B180" s="27" t="s">
        <v>200</v>
      </c>
      <c r="C180" s="27" t="s">
        <v>53</v>
      </c>
      <c r="D180" s="27" t="s">
        <v>6</v>
      </c>
      <c r="E180" s="27" t="s">
        <v>13</v>
      </c>
      <c r="F180" s="29"/>
      <c r="G180" s="30">
        <f t="shared" si="0"/>
        <v>364.64923921568652</v>
      </c>
    </row>
    <row r="181" spans="1:7" hidden="1" x14ac:dyDescent="0.25">
      <c r="A181" s="28">
        <v>43466</v>
      </c>
      <c r="B181" s="27" t="s">
        <v>200</v>
      </c>
      <c r="C181" s="27" t="s">
        <v>53</v>
      </c>
      <c r="D181" s="27" t="s">
        <v>6</v>
      </c>
      <c r="E181" s="27" t="s">
        <v>14</v>
      </c>
      <c r="F181" s="29"/>
      <c r="G181" s="30">
        <f t="shared" si="0"/>
        <v>364.64923921568652</v>
      </c>
    </row>
    <row r="182" spans="1:7" hidden="1" x14ac:dyDescent="0.25">
      <c r="A182" s="28">
        <v>43466</v>
      </c>
      <c r="B182" s="27" t="s">
        <v>200</v>
      </c>
      <c r="C182" s="27" t="s">
        <v>53</v>
      </c>
      <c r="D182" s="27" t="s">
        <v>6</v>
      </c>
      <c r="E182" s="27" t="s">
        <v>15</v>
      </c>
      <c r="F182" s="29"/>
      <c r="G182" s="30">
        <f t="shared" si="0"/>
        <v>364.64923921568652</v>
      </c>
    </row>
    <row r="183" spans="1:7" hidden="1" x14ac:dyDescent="0.25">
      <c r="A183" s="28">
        <v>43466</v>
      </c>
      <c r="B183" s="27" t="s">
        <v>200</v>
      </c>
      <c r="C183" s="27" t="s">
        <v>53</v>
      </c>
      <c r="D183" s="27" t="s">
        <v>6</v>
      </c>
      <c r="E183" s="27" t="s">
        <v>16</v>
      </c>
      <c r="F183" s="29"/>
      <c r="G183" s="30">
        <f t="shared" si="0"/>
        <v>364.64923921568652</v>
      </c>
    </row>
    <row r="184" spans="1:7" hidden="1" x14ac:dyDescent="0.25">
      <c r="A184" s="28">
        <v>43466</v>
      </c>
      <c r="B184" s="27" t="s">
        <v>200</v>
      </c>
      <c r="C184" s="27" t="s">
        <v>53</v>
      </c>
      <c r="D184" s="27" t="s">
        <v>6</v>
      </c>
      <c r="E184" s="27" t="s">
        <v>17</v>
      </c>
      <c r="F184" s="29"/>
      <c r="G184" s="30">
        <f t="shared" si="0"/>
        <v>364.64923921568652</v>
      </c>
    </row>
    <row r="185" spans="1:7" hidden="1" x14ac:dyDescent="0.25">
      <c r="A185" s="28">
        <v>43466</v>
      </c>
      <c r="B185" s="27" t="s">
        <v>200</v>
      </c>
      <c r="C185" s="27" t="s">
        <v>53</v>
      </c>
      <c r="D185" s="27" t="s">
        <v>6</v>
      </c>
      <c r="E185" s="27" t="s">
        <v>18</v>
      </c>
      <c r="F185" s="29"/>
      <c r="G185" s="30">
        <f t="shared" si="0"/>
        <v>364.64923921568652</v>
      </c>
    </row>
    <row r="186" spans="1:7" hidden="1" x14ac:dyDescent="0.25">
      <c r="A186" s="28">
        <v>43466</v>
      </c>
      <c r="B186" s="27" t="s">
        <v>200</v>
      </c>
      <c r="C186" s="27" t="s">
        <v>53</v>
      </c>
      <c r="D186" s="27" t="s">
        <v>6</v>
      </c>
      <c r="E186" s="27" t="s">
        <v>19</v>
      </c>
      <c r="F186" s="29"/>
      <c r="G186" s="30">
        <f t="shared" si="0"/>
        <v>364.64923921568652</v>
      </c>
    </row>
    <row r="187" spans="1:7" hidden="1" x14ac:dyDescent="0.25">
      <c r="A187" s="28">
        <v>43466</v>
      </c>
      <c r="B187" s="27" t="s">
        <v>200</v>
      </c>
      <c r="C187" s="27" t="s">
        <v>53</v>
      </c>
      <c r="D187" s="27" t="s">
        <v>6</v>
      </c>
      <c r="E187" s="27" t="s">
        <v>204</v>
      </c>
      <c r="F187" s="29"/>
      <c r="G187" s="30">
        <f t="shared" si="0"/>
        <v>364.64923921568652</v>
      </c>
    </row>
    <row r="188" spans="1:7" hidden="1" x14ac:dyDescent="0.25">
      <c r="A188" s="28">
        <v>43466</v>
      </c>
      <c r="B188" s="27" t="s">
        <v>200</v>
      </c>
      <c r="C188" s="27" t="s">
        <v>53</v>
      </c>
      <c r="D188" s="27" t="s">
        <v>6</v>
      </c>
      <c r="E188" s="27" t="s">
        <v>205</v>
      </c>
      <c r="F188" s="29"/>
      <c r="G188" s="30">
        <f t="shared" si="0"/>
        <v>364.64923921568652</v>
      </c>
    </row>
    <row r="189" spans="1:7" hidden="1" x14ac:dyDescent="0.25">
      <c r="A189" s="28">
        <v>43466</v>
      </c>
      <c r="B189" s="27" t="s">
        <v>200</v>
      </c>
      <c r="C189" s="27" t="s">
        <v>54</v>
      </c>
      <c r="D189" s="27" t="s">
        <v>7</v>
      </c>
      <c r="E189" s="27" t="s">
        <v>8</v>
      </c>
      <c r="F189" s="29"/>
      <c r="G189" s="30">
        <f t="shared" ref="G189:G206" si="1">116.13/18</f>
        <v>6.4516666666666662</v>
      </c>
    </row>
    <row r="190" spans="1:7" hidden="1" x14ac:dyDescent="0.25">
      <c r="A190" s="28">
        <v>43466</v>
      </c>
      <c r="B190" s="27" t="s">
        <v>200</v>
      </c>
      <c r="C190" s="27" t="s">
        <v>54</v>
      </c>
      <c r="D190" s="27" t="s">
        <v>7</v>
      </c>
      <c r="E190" s="27" t="s">
        <v>9</v>
      </c>
      <c r="F190" s="29"/>
      <c r="G190" s="30">
        <f t="shared" si="1"/>
        <v>6.4516666666666662</v>
      </c>
    </row>
    <row r="191" spans="1:7" hidden="1" x14ac:dyDescent="0.25">
      <c r="A191" s="28">
        <v>43466</v>
      </c>
      <c r="B191" s="27" t="s">
        <v>200</v>
      </c>
      <c r="C191" s="27" t="s">
        <v>54</v>
      </c>
      <c r="D191" s="27" t="s">
        <v>7</v>
      </c>
      <c r="E191" s="27" t="s">
        <v>64</v>
      </c>
      <c r="F191" s="29"/>
      <c r="G191" s="30">
        <f t="shared" si="1"/>
        <v>6.4516666666666662</v>
      </c>
    </row>
    <row r="192" spans="1:7" hidden="1" x14ac:dyDescent="0.25">
      <c r="A192" s="28">
        <v>43466</v>
      </c>
      <c r="B192" s="27" t="s">
        <v>200</v>
      </c>
      <c r="C192" s="27" t="s">
        <v>54</v>
      </c>
      <c r="D192" s="27" t="s">
        <v>7</v>
      </c>
      <c r="E192" s="27" t="s">
        <v>21</v>
      </c>
      <c r="F192" s="29"/>
      <c r="G192" s="30">
        <f t="shared" si="1"/>
        <v>6.4516666666666662</v>
      </c>
    </row>
    <row r="193" spans="1:7" hidden="1" x14ac:dyDescent="0.25">
      <c r="A193" s="28">
        <v>43466</v>
      </c>
      <c r="B193" s="27" t="s">
        <v>200</v>
      </c>
      <c r="C193" s="27" t="s">
        <v>54</v>
      </c>
      <c r="D193" s="27" t="s">
        <v>7</v>
      </c>
      <c r="E193" s="27" t="s">
        <v>21</v>
      </c>
      <c r="F193" s="29"/>
      <c r="G193" s="30">
        <f t="shared" si="1"/>
        <v>6.4516666666666662</v>
      </c>
    </row>
    <row r="194" spans="1:7" hidden="1" x14ac:dyDescent="0.25">
      <c r="A194" s="28">
        <v>43466</v>
      </c>
      <c r="B194" s="27" t="s">
        <v>200</v>
      </c>
      <c r="C194" s="27" t="s">
        <v>54</v>
      </c>
      <c r="D194" s="27" t="s">
        <v>7</v>
      </c>
      <c r="E194" s="27" t="s">
        <v>10</v>
      </c>
      <c r="F194" s="29"/>
      <c r="G194" s="30">
        <f t="shared" si="1"/>
        <v>6.4516666666666662</v>
      </c>
    </row>
    <row r="195" spans="1:7" hidden="1" x14ac:dyDescent="0.25">
      <c r="A195" s="28">
        <v>43466</v>
      </c>
      <c r="B195" s="27" t="s">
        <v>200</v>
      </c>
      <c r="C195" s="27" t="s">
        <v>54</v>
      </c>
      <c r="D195" s="27" t="s">
        <v>7</v>
      </c>
      <c r="E195" s="27" t="s">
        <v>11</v>
      </c>
      <c r="F195" s="29"/>
      <c r="G195" s="30">
        <f t="shared" si="1"/>
        <v>6.4516666666666662</v>
      </c>
    </row>
    <row r="196" spans="1:7" hidden="1" x14ac:dyDescent="0.25">
      <c r="A196" s="28">
        <v>43466</v>
      </c>
      <c r="B196" s="27" t="s">
        <v>200</v>
      </c>
      <c r="C196" s="27" t="s">
        <v>54</v>
      </c>
      <c r="D196" s="27" t="s">
        <v>7</v>
      </c>
      <c r="E196" s="27" t="s">
        <v>12</v>
      </c>
      <c r="F196" s="29"/>
      <c r="G196" s="30">
        <f t="shared" si="1"/>
        <v>6.4516666666666662</v>
      </c>
    </row>
    <row r="197" spans="1:7" hidden="1" x14ac:dyDescent="0.25">
      <c r="A197" s="28">
        <v>43466</v>
      </c>
      <c r="B197" s="27" t="s">
        <v>200</v>
      </c>
      <c r="C197" s="27" t="s">
        <v>54</v>
      </c>
      <c r="D197" s="27" t="s">
        <v>7</v>
      </c>
      <c r="E197" s="27" t="s">
        <v>13</v>
      </c>
      <c r="F197" s="29"/>
      <c r="G197" s="30">
        <f t="shared" si="1"/>
        <v>6.4516666666666662</v>
      </c>
    </row>
    <row r="198" spans="1:7" hidden="1" x14ac:dyDescent="0.25">
      <c r="A198" s="28">
        <v>43466</v>
      </c>
      <c r="B198" s="27" t="s">
        <v>200</v>
      </c>
      <c r="C198" s="27" t="s">
        <v>54</v>
      </c>
      <c r="D198" s="27" t="s">
        <v>7</v>
      </c>
      <c r="E198" s="27" t="s">
        <v>14</v>
      </c>
      <c r="F198" s="29"/>
      <c r="G198" s="30">
        <f t="shared" si="1"/>
        <v>6.4516666666666662</v>
      </c>
    </row>
    <row r="199" spans="1:7" hidden="1" x14ac:dyDescent="0.25">
      <c r="A199" s="28">
        <v>43466</v>
      </c>
      <c r="B199" s="27" t="s">
        <v>200</v>
      </c>
      <c r="C199" s="27" t="s">
        <v>54</v>
      </c>
      <c r="D199" s="27" t="s">
        <v>7</v>
      </c>
      <c r="E199" s="27" t="s">
        <v>15</v>
      </c>
      <c r="F199" s="29"/>
      <c r="G199" s="30">
        <f t="shared" si="1"/>
        <v>6.4516666666666662</v>
      </c>
    </row>
    <row r="200" spans="1:7" hidden="1" x14ac:dyDescent="0.25">
      <c r="A200" s="28">
        <v>43466</v>
      </c>
      <c r="B200" s="27" t="s">
        <v>200</v>
      </c>
      <c r="C200" s="27" t="s">
        <v>54</v>
      </c>
      <c r="D200" s="27" t="s">
        <v>7</v>
      </c>
      <c r="E200" s="27" t="s">
        <v>16</v>
      </c>
      <c r="F200" s="29"/>
      <c r="G200" s="30">
        <f t="shared" si="1"/>
        <v>6.4516666666666662</v>
      </c>
    </row>
    <row r="201" spans="1:7" hidden="1" x14ac:dyDescent="0.25">
      <c r="A201" s="28">
        <v>43466</v>
      </c>
      <c r="B201" s="27" t="s">
        <v>200</v>
      </c>
      <c r="C201" s="27" t="s">
        <v>54</v>
      </c>
      <c r="D201" s="27" t="s">
        <v>7</v>
      </c>
      <c r="E201" s="27" t="s">
        <v>17</v>
      </c>
      <c r="F201" s="29"/>
      <c r="G201" s="30">
        <f t="shared" si="1"/>
        <v>6.4516666666666662</v>
      </c>
    </row>
    <row r="202" spans="1:7" hidden="1" x14ac:dyDescent="0.25">
      <c r="A202" s="28">
        <v>43466</v>
      </c>
      <c r="B202" s="27" t="s">
        <v>200</v>
      </c>
      <c r="C202" s="27" t="s">
        <v>54</v>
      </c>
      <c r="D202" s="27" t="s">
        <v>7</v>
      </c>
      <c r="E202" s="27" t="s">
        <v>18</v>
      </c>
      <c r="F202" s="29"/>
      <c r="G202" s="30">
        <f t="shared" si="1"/>
        <v>6.4516666666666662</v>
      </c>
    </row>
    <row r="203" spans="1:7" hidden="1" x14ac:dyDescent="0.25">
      <c r="A203" s="28">
        <v>43466</v>
      </c>
      <c r="B203" s="27" t="s">
        <v>200</v>
      </c>
      <c r="C203" s="27" t="s">
        <v>54</v>
      </c>
      <c r="D203" s="27" t="s">
        <v>7</v>
      </c>
      <c r="E203" s="27" t="s">
        <v>19</v>
      </c>
      <c r="F203" s="29"/>
      <c r="G203" s="30">
        <f t="shared" si="1"/>
        <v>6.4516666666666662</v>
      </c>
    </row>
    <row r="204" spans="1:7" hidden="1" x14ac:dyDescent="0.25">
      <c r="A204" s="28">
        <v>43466</v>
      </c>
      <c r="B204" s="27" t="s">
        <v>200</v>
      </c>
      <c r="C204" s="27" t="s">
        <v>54</v>
      </c>
      <c r="D204" s="27" t="s">
        <v>7</v>
      </c>
      <c r="E204" s="27" t="s">
        <v>204</v>
      </c>
      <c r="F204" s="29"/>
      <c r="G204" s="30">
        <f t="shared" si="1"/>
        <v>6.4516666666666662</v>
      </c>
    </row>
    <row r="205" spans="1:7" hidden="1" x14ac:dyDescent="0.25">
      <c r="A205" s="28">
        <v>43466</v>
      </c>
      <c r="B205" s="27" t="s">
        <v>200</v>
      </c>
      <c r="C205" s="27" t="s">
        <v>54</v>
      </c>
      <c r="D205" s="27" t="s">
        <v>7</v>
      </c>
      <c r="E205" s="27" t="s">
        <v>205</v>
      </c>
      <c r="F205" s="29"/>
      <c r="G205" s="30">
        <f t="shared" si="1"/>
        <v>6.4516666666666662</v>
      </c>
    </row>
    <row r="206" spans="1:7" hidden="1" x14ac:dyDescent="0.25">
      <c r="A206" s="28">
        <v>43466</v>
      </c>
      <c r="B206" s="27" t="s">
        <v>200</v>
      </c>
      <c r="C206" s="27" t="s">
        <v>54</v>
      </c>
      <c r="D206" s="27" t="s">
        <v>7</v>
      </c>
      <c r="E206" s="27" t="s">
        <v>37</v>
      </c>
      <c r="F206" s="29"/>
      <c r="G206" s="30">
        <f t="shared" si="1"/>
        <v>6.4516666666666662</v>
      </c>
    </row>
    <row r="207" spans="1:7" hidden="1" x14ac:dyDescent="0.25">
      <c r="A207" s="28">
        <v>43466</v>
      </c>
      <c r="B207" s="27" t="s">
        <v>200</v>
      </c>
      <c r="C207" s="27" t="s">
        <v>55</v>
      </c>
      <c r="D207" s="27" t="s">
        <v>6</v>
      </c>
      <c r="E207" s="27" t="s">
        <v>8</v>
      </c>
      <c r="F207" s="29"/>
      <c r="G207" s="30">
        <f t="shared" ref="G207:G223" si="2">36766.7154666667/17</f>
        <v>2162.7479686274528</v>
      </c>
    </row>
    <row r="208" spans="1:7" hidden="1" x14ac:dyDescent="0.25">
      <c r="A208" s="28">
        <v>43466</v>
      </c>
      <c r="B208" s="27" t="s">
        <v>200</v>
      </c>
      <c r="C208" s="27" t="s">
        <v>55</v>
      </c>
      <c r="D208" s="27" t="s">
        <v>6</v>
      </c>
      <c r="E208" s="27" t="s">
        <v>9</v>
      </c>
      <c r="F208" s="29"/>
      <c r="G208" s="30">
        <f t="shared" si="2"/>
        <v>2162.7479686274528</v>
      </c>
    </row>
    <row r="209" spans="1:7" hidden="1" x14ac:dyDescent="0.25">
      <c r="A209" s="28">
        <v>43466</v>
      </c>
      <c r="B209" s="27" t="s">
        <v>200</v>
      </c>
      <c r="C209" s="27" t="s">
        <v>55</v>
      </c>
      <c r="D209" s="27" t="s">
        <v>6</v>
      </c>
      <c r="E209" s="27" t="s">
        <v>64</v>
      </c>
      <c r="F209" s="29"/>
      <c r="G209" s="30">
        <f t="shared" si="2"/>
        <v>2162.7479686274528</v>
      </c>
    </row>
    <row r="210" spans="1:7" hidden="1" x14ac:dyDescent="0.25">
      <c r="A210" s="28">
        <v>43466</v>
      </c>
      <c r="B210" s="27" t="s">
        <v>200</v>
      </c>
      <c r="C210" s="27" t="s">
        <v>55</v>
      </c>
      <c r="D210" s="27" t="s">
        <v>6</v>
      </c>
      <c r="E210" s="27" t="s">
        <v>21</v>
      </c>
      <c r="F210" s="29"/>
      <c r="G210" s="30">
        <f t="shared" si="2"/>
        <v>2162.7479686274528</v>
      </c>
    </row>
    <row r="211" spans="1:7" hidden="1" x14ac:dyDescent="0.25">
      <c r="A211" s="28">
        <v>43466</v>
      </c>
      <c r="B211" s="27" t="s">
        <v>200</v>
      </c>
      <c r="C211" s="27" t="s">
        <v>55</v>
      </c>
      <c r="D211" s="27" t="s">
        <v>6</v>
      </c>
      <c r="E211" s="27" t="s">
        <v>21</v>
      </c>
      <c r="F211" s="29"/>
      <c r="G211" s="30">
        <f t="shared" si="2"/>
        <v>2162.7479686274528</v>
      </c>
    </row>
    <row r="212" spans="1:7" hidden="1" x14ac:dyDescent="0.25">
      <c r="A212" s="28">
        <v>43466</v>
      </c>
      <c r="B212" s="27" t="s">
        <v>200</v>
      </c>
      <c r="C212" s="27" t="s">
        <v>55</v>
      </c>
      <c r="D212" s="27" t="s">
        <v>6</v>
      </c>
      <c r="E212" s="27" t="s">
        <v>10</v>
      </c>
      <c r="F212" s="29"/>
      <c r="G212" s="30">
        <f t="shared" si="2"/>
        <v>2162.7479686274528</v>
      </c>
    </row>
    <row r="213" spans="1:7" hidden="1" x14ac:dyDescent="0.25">
      <c r="A213" s="28">
        <v>43466</v>
      </c>
      <c r="B213" s="27" t="s">
        <v>200</v>
      </c>
      <c r="C213" s="27" t="s">
        <v>55</v>
      </c>
      <c r="D213" s="27" t="s">
        <v>6</v>
      </c>
      <c r="E213" s="27" t="s">
        <v>11</v>
      </c>
      <c r="F213" s="29"/>
      <c r="G213" s="30">
        <f t="shared" si="2"/>
        <v>2162.7479686274528</v>
      </c>
    </row>
    <row r="214" spans="1:7" hidden="1" x14ac:dyDescent="0.25">
      <c r="A214" s="28">
        <v>43466</v>
      </c>
      <c r="B214" s="27" t="s">
        <v>200</v>
      </c>
      <c r="C214" s="27" t="s">
        <v>55</v>
      </c>
      <c r="D214" s="27" t="s">
        <v>6</v>
      </c>
      <c r="E214" s="27" t="s">
        <v>12</v>
      </c>
      <c r="F214" s="29"/>
      <c r="G214" s="30">
        <f t="shared" si="2"/>
        <v>2162.7479686274528</v>
      </c>
    </row>
    <row r="215" spans="1:7" hidden="1" x14ac:dyDescent="0.25">
      <c r="A215" s="28">
        <v>43466</v>
      </c>
      <c r="B215" s="27" t="s">
        <v>200</v>
      </c>
      <c r="C215" s="27" t="s">
        <v>55</v>
      </c>
      <c r="D215" s="27" t="s">
        <v>6</v>
      </c>
      <c r="E215" s="27" t="s">
        <v>13</v>
      </c>
      <c r="F215" s="29"/>
      <c r="G215" s="30">
        <f t="shared" si="2"/>
        <v>2162.7479686274528</v>
      </c>
    </row>
    <row r="216" spans="1:7" hidden="1" x14ac:dyDescent="0.25">
      <c r="A216" s="28">
        <v>43466</v>
      </c>
      <c r="B216" s="27" t="s">
        <v>200</v>
      </c>
      <c r="C216" s="27" t="s">
        <v>55</v>
      </c>
      <c r="D216" s="27" t="s">
        <v>6</v>
      </c>
      <c r="E216" s="27" t="s">
        <v>14</v>
      </c>
      <c r="F216" s="29"/>
      <c r="G216" s="30">
        <f t="shared" si="2"/>
        <v>2162.7479686274528</v>
      </c>
    </row>
    <row r="217" spans="1:7" hidden="1" x14ac:dyDescent="0.25">
      <c r="A217" s="28">
        <v>43466</v>
      </c>
      <c r="B217" s="27" t="s">
        <v>200</v>
      </c>
      <c r="C217" s="27" t="s">
        <v>55</v>
      </c>
      <c r="D217" s="27" t="s">
        <v>6</v>
      </c>
      <c r="E217" s="27" t="s">
        <v>15</v>
      </c>
      <c r="F217" s="29"/>
      <c r="G217" s="30">
        <f t="shared" si="2"/>
        <v>2162.7479686274528</v>
      </c>
    </row>
    <row r="218" spans="1:7" hidden="1" x14ac:dyDescent="0.25">
      <c r="A218" s="28">
        <v>43466</v>
      </c>
      <c r="B218" s="27" t="s">
        <v>200</v>
      </c>
      <c r="C218" s="27" t="s">
        <v>55</v>
      </c>
      <c r="D218" s="27" t="s">
        <v>6</v>
      </c>
      <c r="E218" s="27" t="s">
        <v>16</v>
      </c>
      <c r="F218" s="29"/>
      <c r="G218" s="30">
        <f t="shared" si="2"/>
        <v>2162.7479686274528</v>
      </c>
    </row>
    <row r="219" spans="1:7" hidden="1" x14ac:dyDescent="0.25">
      <c r="A219" s="28">
        <v>43466</v>
      </c>
      <c r="B219" s="27" t="s">
        <v>200</v>
      </c>
      <c r="C219" s="27" t="s">
        <v>55</v>
      </c>
      <c r="D219" s="27" t="s">
        <v>6</v>
      </c>
      <c r="E219" s="27" t="s">
        <v>17</v>
      </c>
      <c r="F219" s="29"/>
      <c r="G219" s="30">
        <f t="shared" si="2"/>
        <v>2162.7479686274528</v>
      </c>
    </row>
    <row r="220" spans="1:7" hidden="1" x14ac:dyDescent="0.25">
      <c r="A220" s="28">
        <v>43466</v>
      </c>
      <c r="B220" s="27" t="s">
        <v>200</v>
      </c>
      <c r="C220" s="27" t="s">
        <v>55</v>
      </c>
      <c r="D220" s="27" t="s">
        <v>6</v>
      </c>
      <c r="E220" s="27" t="s">
        <v>18</v>
      </c>
      <c r="F220" s="29"/>
      <c r="G220" s="30">
        <f t="shared" si="2"/>
        <v>2162.7479686274528</v>
      </c>
    </row>
    <row r="221" spans="1:7" hidden="1" x14ac:dyDescent="0.25">
      <c r="A221" s="28">
        <v>43466</v>
      </c>
      <c r="B221" s="27" t="s">
        <v>200</v>
      </c>
      <c r="C221" s="27" t="s">
        <v>55</v>
      </c>
      <c r="D221" s="27" t="s">
        <v>6</v>
      </c>
      <c r="E221" s="27" t="s">
        <v>19</v>
      </c>
      <c r="F221" s="29"/>
      <c r="G221" s="30">
        <f t="shared" si="2"/>
        <v>2162.7479686274528</v>
      </c>
    </row>
    <row r="222" spans="1:7" hidden="1" x14ac:dyDescent="0.25">
      <c r="A222" s="28">
        <v>43466</v>
      </c>
      <c r="B222" s="27" t="s">
        <v>200</v>
      </c>
      <c r="C222" s="27" t="s">
        <v>55</v>
      </c>
      <c r="D222" s="27" t="s">
        <v>6</v>
      </c>
      <c r="E222" s="27" t="s">
        <v>204</v>
      </c>
      <c r="F222" s="29"/>
      <c r="G222" s="30">
        <f t="shared" si="2"/>
        <v>2162.7479686274528</v>
      </c>
    </row>
    <row r="223" spans="1:7" hidden="1" x14ac:dyDescent="0.25">
      <c r="A223" s="28">
        <v>43466</v>
      </c>
      <c r="B223" s="27" t="s">
        <v>200</v>
      </c>
      <c r="C223" s="27" t="s">
        <v>55</v>
      </c>
      <c r="D223" s="27" t="s">
        <v>6</v>
      </c>
      <c r="E223" s="27" t="s">
        <v>205</v>
      </c>
      <c r="F223" s="29"/>
      <c r="G223" s="30">
        <f t="shared" si="2"/>
        <v>2162.7479686274528</v>
      </c>
    </row>
    <row r="224" spans="1:7" hidden="1" x14ac:dyDescent="0.25">
      <c r="A224" s="28">
        <v>43466</v>
      </c>
      <c r="B224" s="27" t="s">
        <v>200</v>
      </c>
      <c r="C224" s="27" t="s">
        <v>183</v>
      </c>
      <c r="D224" s="27" t="s">
        <v>7</v>
      </c>
      <c r="E224" s="27" t="s">
        <v>8</v>
      </c>
      <c r="F224" s="29"/>
      <c r="G224" s="30">
        <f t="shared" ref="G224:G241" si="3">1424.8/18</f>
        <v>79.155555555555551</v>
      </c>
    </row>
    <row r="225" spans="1:7" hidden="1" x14ac:dyDescent="0.25">
      <c r="A225" s="28">
        <v>43466</v>
      </c>
      <c r="B225" s="27" t="s">
        <v>200</v>
      </c>
      <c r="C225" s="27" t="s">
        <v>183</v>
      </c>
      <c r="D225" s="27" t="s">
        <v>7</v>
      </c>
      <c r="E225" s="27" t="s">
        <v>9</v>
      </c>
      <c r="F225" s="29"/>
      <c r="G225" s="30">
        <f t="shared" si="3"/>
        <v>79.155555555555551</v>
      </c>
    </row>
    <row r="226" spans="1:7" hidden="1" x14ac:dyDescent="0.25">
      <c r="A226" s="28">
        <v>43466</v>
      </c>
      <c r="B226" s="27" t="s">
        <v>200</v>
      </c>
      <c r="C226" s="27" t="s">
        <v>183</v>
      </c>
      <c r="D226" s="27" t="s">
        <v>7</v>
      </c>
      <c r="E226" s="27" t="s">
        <v>64</v>
      </c>
      <c r="F226" s="29"/>
      <c r="G226" s="30">
        <f t="shared" si="3"/>
        <v>79.155555555555551</v>
      </c>
    </row>
    <row r="227" spans="1:7" hidden="1" x14ac:dyDescent="0.25">
      <c r="A227" s="28">
        <v>43466</v>
      </c>
      <c r="B227" s="27" t="s">
        <v>200</v>
      </c>
      <c r="C227" s="27" t="s">
        <v>183</v>
      </c>
      <c r="D227" s="27" t="s">
        <v>7</v>
      </c>
      <c r="E227" s="27" t="s">
        <v>21</v>
      </c>
      <c r="F227" s="29"/>
      <c r="G227" s="30">
        <f t="shared" si="3"/>
        <v>79.155555555555551</v>
      </c>
    </row>
    <row r="228" spans="1:7" hidden="1" x14ac:dyDescent="0.25">
      <c r="A228" s="28">
        <v>43466</v>
      </c>
      <c r="B228" s="27" t="s">
        <v>200</v>
      </c>
      <c r="C228" s="27" t="s">
        <v>183</v>
      </c>
      <c r="D228" s="27" t="s">
        <v>7</v>
      </c>
      <c r="E228" s="27" t="s">
        <v>21</v>
      </c>
      <c r="F228" s="29"/>
      <c r="G228" s="30">
        <f t="shared" si="3"/>
        <v>79.155555555555551</v>
      </c>
    </row>
    <row r="229" spans="1:7" hidden="1" x14ac:dyDescent="0.25">
      <c r="A229" s="28">
        <v>43466</v>
      </c>
      <c r="B229" s="27" t="s">
        <v>200</v>
      </c>
      <c r="C229" s="27" t="s">
        <v>183</v>
      </c>
      <c r="D229" s="27" t="s">
        <v>7</v>
      </c>
      <c r="E229" s="27" t="s">
        <v>10</v>
      </c>
      <c r="F229" s="29"/>
      <c r="G229" s="30">
        <f t="shared" si="3"/>
        <v>79.155555555555551</v>
      </c>
    </row>
    <row r="230" spans="1:7" hidden="1" x14ac:dyDescent="0.25">
      <c r="A230" s="28">
        <v>43466</v>
      </c>
      <c r="B230" s="27" t="s">
        <v>200</v>
      </c>
      <c r="C230" s="27" t="s">
        <v>183</v>
      </c>
      <c r="D230" s="27" t="s">
        <v>7</v>
      </c>
      <c r="E230" s="27" t="s">
        <v>11</v>
      </c>
      <c r="F230" s="29"/>
      <c r="G230" s="30">
        <f t="shared" si="3"/>
        <v>79.155555555555551</v>
      </c>
    </row>
    <row r="231" spans="1:7" hidden="1" x14ac:dyDescent="0.25">
      <c r="A231" s="28">
        <v>43466</v>
      </c>
      <c r="B231" s="27" t="s">
        <v>200</v>
      </c>
      <c r="C231" s="27" t="s">
        <v>183</v>
      </c>
      <c r="D231" s="27" t="s">
        <v>7</v>
      </c>
      <c r="E231" s="27" t="s">
        <v>12</v>
      </c>
      <c r="F231" s="29"/>
      <c r="G231" s="30">
        <f t="shared" si="3"/>
        <v>79.155555555555551</v>
      </c>
    </row>
    <row r="232" spans="1:7" hidden="1" x14ac:dyDescent="0.25">
      <c r="A232" s="28">
        <v>43466</v>
      </c>
      <c r="B232" s="27" t="s">
        <v>200</v>
      </c>
      <c r="C232" s="27" t="s">
        <v>183</v>
      </c>
      <c r="D232" s="27" t="s">
        <v>7</v>
      </c>
      <c r="E232" s="27" t="s">
        <v>13</v>
      </c>
      <c r="F232" s="29"/>
      <c r="G232" s="30">
        <f t="shared" si="3"/>
        <v>79.155555555555551</v>
      </c>
    </row>
    <row r="233" spans="1:7" hidden="1" x14ac:dyDescent="0.25">
      <c r="A233" s="28">
        <v>43466</v>
      </c>
      <c r="B233" s="27" t="s">
        <v>200</v>
      </c>
      <c r="C233" s="27" t="s">
        <v>183</v>
      </c>
      <c r="D233" s="27" t="s">
        <v>7</v>
      </c>
      <c r="E233" s="27" t="s">
        <v>14</v>
      </c>
      <c r="F233" s="29"/>
      <c r="G233" s="30">
        <f t="shared" si="3"/>
        <v>79.155555555555551</v>
      </c>
    </row>
    <row r="234" spans="1:7" hidden="1" x14ac:dyDescent="0.25">
      <c r="A234" s="28">
        <v>43466</v>
      </c>
      <c r="B234" s="27" t="s">
        <v>200</v>
      </c>
      <c r="C234" s="27" t="s">
        <v>183</v>
      </c>
      <c r="D234" s="27" t="s">
        <v>7</v>
      </c>
      <c r="E234" s="27" t="s">
        <v>15</v>
      </c>
      <c r="F234" s="29"/>
      <c r="G234" s="30">
        <f t="shared" si="3"/>
        <v>79.155555555555551</v>
      </c>
    </row>
    <row r="235" spans="1:7" hidden="1" x14ac:dyDescent="0.25">
      <c r="A235" s="28">
        <v>43466</v>
      </c>
      <c r="B235" s="27" t="s">
        <v>200</v>
      </c>
      <c r="C235" s="27" t="s">
        <v>183</v>
      </c>
      <c r="D235" s="27" t="s">
        <v>7</v>
      </c>
      <c r="E235" s="27" t="s">
        <v>16</v>
      </c>
      <c r="F235" s="29"/>
      <c r="G235" s="30">
        <f t="shared" si="3"/>
        <v>79.155555555555551</v>
      </c>
    </row>
    <row r="236" spans="1:7" hidden="1" x14ac:dyDescent="0.25">
      <c r="A236" s="28">
        <v>43466</v>
      </c>
      <c r="B236" s="27" t="s">
        <v>200</v>
      </c>
      <c r="C236" s="27" t="s">
        <v>183</v>
      </c>
      <c r="D236" s="27" t="s">
        <v>7</v>
      </c>
      <c r="E236" s="27" t="s">
        <v>17</v>
      </c>
      <c r="F236" s="29"/>
      <c r="G236" s="30">
        <f t="shared" si="3"/>
        <v>79.155555555555551</v>
      </c>
    </row>
    <row r="237" spans="1:7" hidden="1" x14ac:dyDescent="0.25">
      <c r="A237" s="28">
        <v>43466</v>
      </c>
      <c r="B237" s="27" t="s">
        <v>200</v>
      </c>
      <c r="C237" s="27" t="s">
        <v>183</v>
      </c>
      <c r="D237" s="27" t="s">
        <v>7</v>
      </c>
      <c r="E237" s="27" t="s">
        <v>18</v>
      </c>
      <c r="F237" s="29"/>
      <c r="G237" s="30">
        <f t="shared" si="3"/>
        <v>79.155555555555551</v>
      </c>
    </row>
    <row r="238" spans="1:7" hidden="1" x14ac:dyDescent="0.25">
      <c r="A238" s="28">
        <v>43466</v>
      </c>
      <c r="B238" s="27" t="s">
        <v>200</v>
      </c>
      <c r="C238" s="27" t="s">
        <v>183</v>
      </c>
      <c r="D238" s="27" t="s">
        <v>7</v>
      </c>
      <c r="E238" s="27" t="s">
        <v>19</v>
      </c>
      <c r="F238" s="29"/>
      <c r="G238" s="30">
        <f t="shared" si="3"/>
        <v>79.155555555555551</v>
      </c>
    </row>
    <row r="239" spans="1:7" hidden="1" x14ac:dyDescent="0.25">
      <c r="A239" s="28">
        <v>43466</v>
      </c>
      <c r="B239" s="27" t="s">
        <v>200</v>
      </c>
      <c r="C239" s="27" t="s">
        <v>183</v>
      </c>
      <c r="D239" s="27" t="s">
        <v>7</v>
      </c>
      <c r="E239" s="27" t="s">
        <v>204</v>
      </c>
      <c r="F239" s="29"/>
      <c r="G239" s="30">
        <f t="shared" si="3"/>
        <v>79.155555555555551</v>
      </c>
    </row>
    <row r="240" spans="1:7" hidden="1" x14ac:dyDescent="0.25">
      <c r="A240" s="28">
        <v>43466</v>
      </c>
      <c r="B240" s="27" t="s">
        <v>200</v>
      </c>
      <c r="C240" s="27" t="s">
        <v>183</v>
      </c>
      <c r="D240" s="27" t="s">
        <v>7</v>
      </c>
      <c r="E240" s="27" t="s">
        <v>205</v>
      </c>
      <c r="F240" s="29"/>
      <c r="G240" s="30">
        <f t="shared" si="3"/>
        <v>79.155555555555551</v>
      </c>
    </row>
    <row r="241" spans="1:7" hidden="1" x14ac:dyDescent="0.25">
      <c r="A241" s="28">
        <v>43466</v>
      </c>
      <c r="B241" s="27" t="s">
        <v>200</v>
      </c>
      <c r="C241" s="27" t="s">
        <v>183</v>
      </c>
      <c r="D241" s="27" t="s">
        <v>7</v>
      </c>
      <c r="E241" s="27" t="s">
        <v>37</v>
      </c>
      <c r="F241" s="29"/>
      <c r="G241" s="30">
        <f t="shared" si="3"/>
        <v>79.155555555555551</v>
      </c>
    </row>
    <row r="242" spans="1:7" hidden="1" x14ac:dyDescent="0.25">
      <c r="A242" s="28">
        <v>43466</v>
      </c>
      <c r="B242" s="27" t="s">
        <v>200</v>
      </c>
      <c r="C242" s="27" t="s">
        <v>56</v>
      </c>
      <c r="D242" s="27" t="s">
        <v>6</v>
      </c>
      <c r="E242" s="27" t="s">
        <v>8</v>
      </c>
      <c r="F242" s="29"/>
      <c r="G242" s="30">
        <f t="shared" ref="G242:G258" si="4">23096.4901777778/17</f>
        <v>1358.617069281047</v>
      </c>
    </row>
    <row r="243" spans="1:7" hidden="1" x14ac:dyDescent="0.25">
      <c r="A243" s="28">
        <v>43466</v>
      </c>
      <c r="B243" s="27" t="s">
        <v>200</v>
      </c>
      <c r="C243" s="27" t="s">
        <v>56</v>
      </c>
      <c r="D243" s="27" t="s">
        <v>6</v>
      </c>
      <c r="E243" s="27" t="s">
        <v>9</v>
      </c>
      <c r="F243" s="29"/>
      <c r="G243" s="30">
        <f t="shared" si="4"/>
        <v>1358.617069281047</v>
      </c>
    </row>
    <row r="244" spans="1:7" hidden="1" x14ac:dyDescent="0.25">
      <c r="A244" s="28">
        <v>43466</v>
      </c>
      <c r="B244" s="27" t="s">
        <v>200</v>
      </c>
      <c r="C244" s="27" t="s">
        <v>56</v>
      </c>
      <c r="D244" s="27" t="s">
        <v>6</v>
      </c>
      <c r="E244" s="27" t="s">
        <v>64</v>
      </c>
      <c r="F244" s="29"/>
      <c r="G244" s="30">
        <f t="shared" si="4"/>
        <v>1358.617069281047</v>
      </c>
    </row>
    <row r="245" spans="1:7" hidden="1" x14ac:dyDescent="0.25">
      <c r="A245" s="28">
        <v>43466</v>
      </c>
      <c r="B245" s="27" t="s">
        <v>200</v>
      </c>
      <c r="C245" s="27" t="s">
        <v>56</v>
      </c>
      <c r="D245" s="27" t="s">
        <v>6</v>
      </c>
      <c r="E245" s="27" t="s">
        <v>21</v>
      </c>
      <c r="F245" s="29"/>
      <c r="G245" s="30">
        <f t="shared" si="4"/>
        <v>1358.617069281047</v>
      </c>
    </row>
    <row r="246" spans="1:7" hidden="1" x14ac:dyDescent="0.25">
      <c r="A246" s="28">
        <v>43466</v>
      </c>
      <c r="B246" s="27" t="s">
        <v>200</v>
      </c>
      <c r="C246" s="27" t="s">
        <v>56</v>
      </c>
      <c r="D246" s="27" t="s">
        <v>6</v>
      </c>
      <c r="E246" s="27" t="s">
        <v>21</v>
      </c>
      <c r="F246" s="29"/>
      <c r="G246" s="30">
        <f t="shared" si="4"/>
        <v>1358.617069281047</v>
      </c>
    </row>
    <row r="247" spans="1:7" hidden="1" x14ac:dyDescent="0.25">
      <c r="A247" s="28">
        <v>43466</v>
      </c>
      <c r="B247" s="27" t="s">
        <v>200</v>
      </c>
      <c r="C247" s="27" t="s">
        <v>56</v>
      </c>
      <c r="D247" s="27" t="s">
        <v>6</v>
      </c>
      <c r="E247" s="27" t="s">
        <v>10</v>
      </c>
      <c r="F247" s="29"/>
      <c r="G247" s="30">
        <f t="shared" si="4"/>
        <v>1358.617069281047</v>
      </c>
    </row>
    <row r="248" spans="1:7" hidden="1" x14ac:dyDescent="0.25">
      <c r="A248" s="28">
        <v>43466</v>
      </c>
      <c r="B248" s="27" t="s">
        <v>200</v>
      </c>
      <c r="C248" s="27" t="s">
        <v>56</v>
      </c>
      <c r="D248" s="27" t="s">
        <v>6</v>
      </c>
      <c r="E248" s="27" t="s">
        <v>11</v>
      </c>
      <c r="F248" s="29"/>
      <c r="G248" s="30">
        <f t="shared" si="4"/>
        <v>1358.617069281047</v>
      </c>
    </row>
    <row r="249" spans="1:7" hidden="1" x14ac:dyDescent="0.25">
      <c r="A249" s="28">
        <v>43466</v>
      </c>
      <c r="B249" s="27" t="s">
        <v>200</v>
      </c>
      <c r="C249" s="27" t="s">
        <v>56</v>
      </c>
      <c r="D249" s="27" t="s">
        <v>6</v>
      </c>
      <c r="E249" s="27" t="s">
        <v>12</v>
      </c>
      <c r="F249" s="29"/>
      <c r="G249" s="30">
        <f t="shared" si="4"/>
        <v>1358.617069281047</v>
      </c>
    </row>
    <row r="250" spans="1:7" hidden="1" x14ac:dyDescent="0.25">
      <c r="A250" s="28">
        <v>43466</v>
      </c>
      <c r="B250" s="27" t="s">
        <v>200</v>
      </c>
      <c r="C250" s="27" t="s">
        <v>56</v>
      </c>
      <c r="D250" s="27" t="s">
        <v>6</v>
      </c>
      <c r="E250" s="27" t="s">
        <v>13</v>
      </c>
      <c r="F250" s="29"/>
      <c r="G250" s="30">
        <f t="shared" si="4"/>
        <v>1358.617069281047</v>
      </c>
    </row>
    <row r="251" spans="1:7" hidden="1" x14ac:dyDescent="0.25">
      <c r="A251" s="28">
        <v>43466</v>
      </c>
      <c r="B251" s="27" t="s">
        <v>200</v>
      </c>
      <c r="C251" s="27" t="s">
        <v>56</v>
      </c>
      <c r="D251" s="27" t="s">
        <v>6</v>
      </c>
      <c r="E251" s="27" t="s">
        <v>14</v>
      </c>
      <c r="F251" s="29"/>
      <c r="G251" s="30">
        <f t="shared" si="4"/>
        <v>1358.617069281047</v>
      </c>
    </row>
    <row r="252" spans="1:7" hidden="1" x14ac:dyDescent="0.25">
      <c r="A252" s="28">
        <v>43466</v>
      </c>
      <c r="B252" s="27" t="s">
        <v>200</v>
      </c>
      <c r="C252" s="27" t="s">
        <v>56</v>
      </c>
      <c r="D252" s="27" t="s">
        <v>6</v>
      </c>
      <c r="E252" s="27" t="s">
        <v>15</v>
      </c>
      <c r="F252" s="29"/>
      <c r="G252" s="30">
        <f t="shared" si="4"/>
        <v>1358.617069281047</v>
      </c>
    </row>
    <row r="253" spans="1:7" hidden="1" x14ac:dyDescent="0.25">
      <c r="A253" s="28">
        <v>43466</v>
      </c>
      <c r="B253" s="27" t="s">
        <v>200</v>
      </c>
      <c r="C253" s="27" t="s">
        <v>56</v>
      </c>
      <c r="D253" s="27" t="s">
        <v>6</v>
      </c>
      <c r="E253" s="27" t="s">
        <v>16</v>
      </c>
      <c r="F253" s="29"/>
      <c r="G253" s="30">
        <f t="shared" si="4"/>
        <v>1358.617069281047</v>
      </c>
    </row>
    <row r="254" spans="1:7" hidden="1" x14ac:dyDescent="0.25">
      <c r="A254" s="28">
        <v>43466</v>
      </c>
      <c r="B254" s="27" t="s">
        <v>200</v>
      </c>
      <c r="C254" s="27" t="s">
        <v>56</v>
      </c>
      <c r="D254" s="27" t="s">
        <v>6</v>
      </c>
      <c r="E254" s="27" t="s">
        <v>17</v>
      </c>
      <c r="F254" s="29"/>
      <c r="G254" s="30">
        <f t="shared" si="4"/>
        <v>1358.617069281047</v>
      </c>
    </row>
    <row r="255" spans="1:7" hidden="1" x14ac:dyDescent="0.25">
      <c r="A255" s="28">
        <v>43466</v>
      </c>
      <c r="B255" s="27" t="s">
        <v>200</v>
      </c>
      <c r="C255" s="27" t="s">
        <v>56</v>
      </c>
      <c r="D255" s="27" t="s">
        <v>6</v>
      </c>
      <c r="E255" s="27" t="s">
        <v>18</v>
      </c>
      <c r="F255" s="29"/>
      <c r="G255" s="30">
        <f t="shared" si="4"/>
        <v>1358.617069281047</v>
      </c>
    </row>
    <row r="256" spans="1:7" hidden="1" x14ac:dyDescent="0.25">
      <c r="A256" s="28">
        <v>43466</v>
      </c>
      <c r="B256" s="27" t="s">
        <v>200</v>
      </c>
      <c r="C256" s="27" t="s">
        <v>56</v>
      </c>
      <c r="D256" s="27" t="s">
        <v>6</v>
      </c>
      <c r="E256" s="27" t="s">
        <v>19</v>
      </c>
      <c r="F256" s="29"/>
      <c r="G256" s="30">
        <f t="shared" si="4"/>
        <v>1358.617069281047</v>
      </c>
    </row>
    <row r="257" spans="1:7" hidden="1" x14ac:dyDescent="0.25">
      <c r="A257" s="28">
        <v>43466</v>
      </c>
      <c r="B257" s="27" t="s">
        <v>200</v>
      </c>
      <c r="C257" s="27" t="s">
        <v>56</v>
      </c>
      <c r="D257" s="27" t="s">
        <v>6</v>
      </c>
      <c r="E257" s="27" t="s">
        <v>204</v>
      </c>
      <c r="F257" s="29"/>
      <c r="G257" s="30">
        <f t="shared" si="4"/>
        <v>1358.617069281047</v>
      </c>
    </row>
    <row r="258" spans="1:7" hidden="1" x14ac:dyDescent="0.25">
      <c r="A258" s="28">
        <v>43466</v>
      </c>
      <c r="B258" s="27" t="s">
        <v>200</v>
      </c>
      <c r="C258" s="27" t="s">
        <v>56</v>
      </c>
      <c r="D258" s="27" t="s">
        <v>6</v>
      </c>
      <c r="E258" s="27" t="s">
        <v>205</v>
      </c>
      <c r="F258" s="29"/>
      <c r="G258" s="30">
        <f t="shared" si="4"/>
        <v>1358.617069281047</v>
      </c>
    </row>
    <row r="259" spans="1:7" hidden="1" x14ac:dyDescent="0.25">
      <c r="A259" s="28">
        <v>43466</v>
      </c>
      <c r="B259" s="27" t="s">
        <v>200</v>
      </c>
      <c r="C259" s="27" t="s">
        <v>182</v>
      </c>
      <c r="D259" s="27" t="s">
        <v>7</v>
      </c>
      <c r="E259" s="27" t="s">
        <v>8</v>
      </c>
      <c r="F259" s="29"/>
      <c r="G259" s="30">
        <f t="shared" ref="G259:G276" si="5">659.38/18</f>
        <v>36.632222222222225</v>
      </c>
    </row>
    <row r="260" spans="1:7" hidden="1" x14ac:dyDescent="0.25">
      <c r="A260" s="28">
        <v>43466</v>
      </c>
      <c r="B260" s="27" t="s">
        <v>200</v>
      </c>
      <c r="C260" s="27" t="s">
        <v>182</v>
      </c>
      <c r="D260" s="27" t="s">
        <v>7</v>
      </c>
      <c r="E260" s="27" t="s">
        <v>9</v>
      </c>
      <c r="F260" s="29"/>
      <c r="G260" s="30">
        <f t="shared" si="5"/>
        <v>36.632222222222225</v>
      </c>
    </row>
    <row r="261" spans="1:7" hidden="1" x14ac:dyDescent="0.25">
      <c r="A261" s="28">
        <v>43466</v>
      </c>
      <c r="B261" s="27" t="s">
        <v>200</v>
      </c>
      <c r="C261" s="27" t="s">
        <v>182</v>
      </c>
      <c r="D261" s="27" t="s">
        <v>7</v>
      </c>
      <c r="E261" s="27" t="s">
        <v>64</v>
      </c>
      <c r="F261" s="29"/>
      <c r="G261" s="30">
        <f t="shared" si="5"/>
        <v>36.632222222222225</v>
      </c>
    </row>
    <row r="262" spans="1:7" hidden="1" x14ac:dyDescent="0.25">
      <c r="A262" s="28">
        <v>43466</v>
      </c>
      <c r="B262" s="27" t="s">
        <v>200</v>
      </c>
      <c r="C262" s="27" t="s">
        <v>182</v>
      </c>
      <c r="D262" s="27" t="s">
        <v>7</v>
      </c>
      <c r="E262" s="27" t="s">
        <v>21</v>
      </c>
      <c r="F262" s="29"/>
      <c r="G262" s="30">
        <f t="shared" si="5"/>
        <v>36.632222222222225</v>
      </c>
    </row>
    <row r="263" spans="1:7" hidden="1" x14ac:dyDescent="0.25">
      <c r="A263" s="28">
        <v>43466</v>
      </c>
      <c r="B263" s="27" t="s">
        <v>200</v>
      </c>
      <c r="C263" s="27" t="s">
        <v>182</v>
      </c>
      <c r="D263" s="27" t="s">
        <v>7</v>
      </c>
      <c r="E263" s="27" t="s">
        <v>21</v>
      </c>
      <c r="F263" s="29"/>
      <c r="G263" s="30">
        <f t="shared" si="5"/>
        <v>36.632222222222225</v>
      </c>
    </row>
    <row r="264" spans="1:7" hidden="1" x14ac:dyDescent="0.25">
      <c r="A264" s="28">
        <v>43466</v>
      </c>
      <c r="B264" s="27" t="s">
        <v>200</v>
      </c>
      <c r="C264" s="27" t="s">
        <v>182</v>
      </c>
      <c r="D264" s="27" t="s">
        <v>7</v>
      </c>
      <c r="E264" s="27" t="s">
        <v>10</v>
      </c>
      <c r="F264" s="29"/>
      <c r="G264" s="30">
        <f t="shared" si="5"/>
        <v>36.632222222222225</v>
      </c>
    </row>
    <row r="265" spans="1:7" hidden="1" x14ac:dyDescent="0.25">
      <c r="A265" s="28">
        <v>43466</v>
      </c>
      <c r="B265" s="27" t="s">
        <v>200</v>
      </c>
      <c r="C265" s="27" t="s">
        <v>182</v>
      </c>
      <c r="D265" s="27" t="s">
        <v>7</v>
      </c>
      <c r="E265" s="27" t="s">
        <v>11</v>
      </c>
      <c r="F265" s="29"/>
      <c r="G265" s="30">
        <f t="shared" si="5"/>
        <v>36.632222222222225</v>
      </c>
    </row>
    <row r="266" spans="1:7" hidden="1" x14ac:dyDescent="0.25">
      <c r="A266" s="28">
        <v>43466</v>
      </c>
      <c r="B266" s="27" t="s">
        <v>200</v>
      </c>
      <c r="C266" s="27" t="s">
        <v>182</v>
      </c>
      <c r="D266" s="27" t="s">
        <v>7</v>
      </c>
      <c r="E266" s="27" t="s">
        <v>12</v>
      </c>
      <c r="F266" s="29"/>
      <c r="G266" s="30">
        <f t="shared" si="5"/>
        <v>36.632222222222225</v>
      </c>
    </row>
    <row r="267" spans="1:7" hidden="1" x14ac:dyDescent="0.25">
      <c r="A267" s="28">
        <v>43466</v>
      </c>
      <c r="B267" s="27" t="s">
        <v>200</v>
      </c>
      <c r="C267" s="27" t="s">
        <v>182</v>
      </c>
      <c r="D267" s="27" t="s">
        <v>7</v>
      </c>
      <c r="E267" s="27" t="s">
        <v>13</v>
      </c>
      <c r="F267" s="29"/>
      <c r="G267" s="30">
        <f t="shared" si="5"/>
        <v>36.632222222222225</v>
      </c>
    </row>
    <row r="268" spans="1:7" hidden="1" x14ac:dyDescent="0.25">
      <c r="A268" s="28">
        <v>43466</v>
      </c>
      <c r="B268" s="27" t="s">
        <v>200</v>
      </c>
      <c r="C268" s="27" t="s">
        <v>182</v>
      </c>
      <c r="D268" s="27" t="s">
        <v>7</v>
      </c>
      <c r="E268" s="27" t="s">
        <v>14</v>
      </c>
      <c r="F268" s="29"/>
      <c r="G268" s="30">
        <f t="shared" si="5"/>
        <v>36.632222222222225</v>
      </c>
    </row>
    <row r="269" spans="1:7" hidden="1" x14ac:dyDescent="0.25">
      <c r="A269" s="28">
        <v>43466</v>
      </c>
      <c r="B269" s="27" t="s">
        <v>200</v>
      </c>
      <c r="C269" s="27" t="s">
        <v>182</v>
      </c>
      <c r="D269" s="27" t="s">
        <v>7</v>
      </c>
      <c r="E269" s="27" t="s">
        <v>15</v>
      </c>
      <c r="F269" s="29"/>
      <c r="G269" s="30">
        <f t="shared" si="5"/>
        <v>36.632222222222225</v>
      </c>
    </row>
    <row r="270" spans="1:7" hidden="1" x14ac:dyDescent="0.25">
      <c r="A270" s="28">
        <v>43466</v>
      </c>
      <c r="B270" s="27" t="s">
        <v>200</v>
      </c>
      <c r="C270" s="27" t="s">
        <v>182</v>
      </c>
      <c r="D270" s="27" t="s">
        <v>7</v>
      </c>
      <c r="E270" s="27" t="s">
        <v>16</v>
      </c>
      <c r="F270" s="29"/>
      <c r="G270" s="30">
        <f t="shared" si="5"/>
        <v>36.632222222222225</v>
      </c>
    </row>
    <row r="271" spans="1:7" hidden="1" x14ac:dyDescent="0.25">
      <c r="A271" s="28">
        <v>43466</v>
      </c>
      <c r="B271" s="27" t="s">
        <v>200</v>
      </c>
      <c r="C271" s="27" t="s">
        <v>182</v>
      </c>
      <c r="D271" s="27" t="s">
        <v>7</v>
      </c>
      <c r="E271" s="27" t="s">
        <v>17</v>
      </c>
      <c r="F271" s="29"/>
      <c r="G271" s="30">
        <f t="shared" si="5"/>
        <v>36.632222222222225</v>
      </c>
    </row>
    <row r="272" spans="1:7" hidden="1" x14ac:dyDescent="0.25">
      <c r="A272" s="28">
        <v>43466</v>
      </c>
      <c r="B272" s="27" t="s">
        <v>200</v>
      </c>
      <c r="C272" s="27" t="s">
        <v>182</v>
      </c>
      <c r="D272" s="27" t="s">
        <v>7</v>
      </c>
      <c r="E272" s="27" t="s">
        <v>18</v>
      </c>
      <c r="F272" s="29"/>
      <c r="G272" s="30">
        <f t="shared" si="5"/>
        <v>36.632222222222225</v>
      </c>
    </row>
    <row r="273" spans="1:7" hidden="1" x14ac:dyDescent="0.25">
      <c r="A273" s="28">
        <v>43466</v>
      </c>
      <c r="B273" s="27" t="s">
        <v>200</v>
      </c>
      <c r="C273" s="27" t="s">
        <v>182</v>
      </c>
      <c r="D273" s="27" t="s">
        <v>7</v>
      </c>
      <c r="E273" s="27" t="s">
        <v>19</v>
      </c>
      <c r="F273" s="29"/>
      <c r="G273" s="30">
        <f t="shared" si="5"/>
        <v>36.632222222222225</v>
      </c>
    </row>
    <row r="274" spans="1:7" hidden="1" x14ac:dyDescent="0.25">
      <c r="A274" s="28">
        <v>43466</v>
      </c>
      <c r="B274" s="27" t="s">
        <v>200</v>
      </c>
      <c r="C274" s="27" t="s">
        <v>182</v>
      </c>
      <c r="D274" s="27" t="s">
        <v>7</v>
      </c>
      <c r="E274" s="27" t="s">
        <v>204</v>
      </c>
      <c r="F274" s="29"/>
      <c r="G274" s="30">
        <f t="shared" si="5"/>
        <v>36.632222222222225</v>
      </c>
    </row>
    <row r="275" spans="1:7" hidden="1" x14ac:dyDescent="0.25">
      <c r="A275" s="28">
        <v>43466</v>
      </c>
      <c r="B275" s="27" t="s">
        <v>200</v>
      </c>
      <c r="C275" s="27" t="s">
        <v>182</v>
      </c>
      <c r="D275" s="27" t="s">
        <v>7</v>
      </c>
      <c r="E275" s="27" t="s">
        <v>205</v>
      </c>
      <c r="F275" s="29"/>
      <c r="G275" s="30">
        <f t="shared" si="5"/>
        <v>36.632222222222225</v>
      </c>
    </row>
    <row r="276" spans="1:7" hidden="1" x14ac:dyDescent="0.25">
      <c r="A276" s="28">
        <v>43466</v>
      </c>
      <c r="B276" s="27" t="s">
        <v>200</v>
      </c>
      <c r="C276" s="27" t="s">
        <v>182</v>
      </c>
      <c r="D276" s="27" t="s">
        <v>7</v>
      </c>
      <c r="E276" s="27" t="s">
        <v>37</v>
      </c>
      <c r="F276" s="29"/>
      <c r="G276" s="30">
        <f t="shared" si="5"/>
        <v>36.632222222222225</v>
      </c>
    </row>
    <row r="277" spans="1:7" hidden="1" x14ac:dyDescent="0.25">
      <c r="A277" s="28">
        <v>43466</v>
      </c>
      <c r="B277" s="27" t="s">
        <v>35</v>
      </c>
      <c r="C277" s="27" t="s">
        <v>50</v>
      </c>
      <c r="D277" s="27" t="s">
        <v>6</v>
      </c>
      <c r="E277" s="27" t="s">
        <v>8</v>
      </c>
      <c r="F277" s="29"/>
      <c r="G277" s="30">
        <v>584.10866666666664</v>
      </c>
    </row>
    <row r="278" spans="1:7" hidden="1" x14ac:dyDescent="0.25">
      <c r="A278" s="28">
        <v>43466</v>
      </c>
      <c r="B278" s="27" t="s">
        <v>35</v>
      </c>
      <c r="C278" s="27" t="s">
        <v>50</v>
      </c>
      <c r="D278" s="27" t="s">
        <v>6</v>
      </c>
      <c r="E278" s="27" t="s">
        <v>9</v>
      </c>
      <c r="F278" s="29"/>
      <c r="G278" s="30">
        <v>584.10866666666664</v>
      </c>
    </row>
    <row r="279" spans="1:7" hidden="1" x14ac:dyDescent="0.25">
      <c r="A279" s="28">
        <v>43466</v>
      </c>
      <c r="B279" s="27" t="s">
        <v>35</v>
      </c>
      <c r="C279" s="27" t="s">
        <v>50</v>
      </c>
      <c r="D279" s="27" t="s">
        <v>6</v>
      </c>
      <c r="E279" s="27" t="s">
        <v>64</v>
      </c>
      <c r="F279" s="29"/>
      <c r="G279" s="30">
        <v>584.10866666666664</v>
      </c>
    </row>
    <row r="280" spans="1:7" hidden="1" x14ac:dyDescent="0.25">
      <c r="A280" s="28">
        <v>43466</v>
      </c>
      <c r="B280" s="27" t="s">
        <v>35</v>
      </c>
      <c r="C280" s="27" t="s">
        <v>50</v>
      </c>
      <c r="D280" s="27" t="s">
        <v>6</v>
      </c>
      <c r="E280" s="27" t="s">
        <v>21</v>
      </c>
      <c r="F280" s="29"/>
      <c r="G280" s="30">
        <v>584.10866666666664</v>
      </c>
    </row>
    <row r="281" spans="1:7" hidden="1" x14ac:dyDescent="0.25">
      <c r="A281" s="28">
        <v>43466</v>
      </c>
      <c r="B281" s="27" t="s">
        <v>35</v>
      </c>
      <c r="C281" s="27" t="s">
        <v>50</v>
      </c>
      <c r="D281" s="27" t="s">
        <v>6</v>
      </c>
      <c r="E281" s="27" t="s">
        <v>21</v>
      </c>
      <c r="F281" s="29"/>
      <c r="G281" s="30">
        <v>584.10866666666664</v>
      </c>
    </row>
    <row r="282" spans="1:7" hidden="1" x14ac:dyDescent="0.25">
      <c r="A282" s="28">
        <v>43466</v>
      </c>
      <c r="B282" s="27" t="s">
        <v>35</v>
      </c>
      <c r="C282" s="27" t="s">
        <v>50</v>
      </c>
      <c r="D282" s="27" t="s">
        <v>6</v>
      </c>
      <c r="E282" s="27" t="s">
        <v>10</v>
      </c>
      <c r="F282" s="29"/>
      <c r="G282" s="30">
        <v>584.10866666666664</v>
      </c>
    </row>
    <row r="283" spans="1:7" hidden="1" x14ac:dyDescent="0.25">
      <c r="A283" s="28">
        <v>43466</v>
      </c>
      <c r="B283" s="27" t="s">
        <v>35</v>
      </c>
      <c r="C283" s="27" t="s">
        <v>50</v>
      </c>
      <c r="D283" s="27" t="s">
        <v>6</v>
      </c>
      <c r="E283" s="27" t="s">
        <v>11</v>
      </c>
      <c r="F283" s="29"/>
      <c r="G283" s="30">
        <v>584.10866666666664</v>
      </c>
    </row>
    <row r="284" spans="1:7" hidden="1" x14ac:dyDescent="0.25">
      <c r="A284" s="28">
        <v>43466</v>
      </c>
      <c r="B284" s="27" t="s">
        <v>35</v>
      </c>
      <c r="C284" s="27" t="s">
        <v>50</v>
      </c>
      <c r="D284" s="27" t="s">
        <v>6</v>
      </c>
      <c r="E284" s="27" t="s">
        <v>12</v>
      </c>
      <c r="F284" s="29"/>
      <c r="G284" s="30">
        <v>584.10866666666664</v>
      </c>
    </row>
    <row r="285" spans="1:7" hidden="1" x14ac:dyDescent="0.25">
      <c r="A285" s="28">
        <v>43466</v>
      </c>
      <c r="B285" s="27" t="s">
        <v>35</v>
      </c>
      <c r="C285" s="27" t="s">
        <v>50</v>
      </c>
      <c r="D285" s="27" t="s">
        <v>6</v>
      </c>
      <c r="E285" s="27" t="s">
        <v>13</v>
      </c>
      <c r="F285" s="29"/>
      <c r="G285" s="30">
        <v>584.10866666666664</v>
      </c>
    </row>
    <row r="286" spans="1:7" hidden="1" x14ac:dyDescent="0.25">
      <c r="A286" s="28">
        <v>43466</v>
      </c>
      <c r="B286" s="27" t="s">
        <v>35</v>
      </c>
      <c r="C286" s="27" t="s">
        <v>50</v>
      </c>
      <c r="D286" s="27" t="s">
        <v>6</v>
      </c>
      <c r="E286" s="27" t="s">
        <v>14</v>
      </c>
      <c r="F286" s="29"/>
      <c r="G286" s="30">
        <v>584.10866666666664</v>
      </c>
    </row>
    <row r="287" spans="1:7" hidden="1" x14ac:dyDescent="0.25">
      <c r="A287" s="28">
        <v>43466</v>
      </c>
      <c r="B287" s="27" t="s">
        <v>35</v>
      </c>
      <c r="C287" s="27" t="s">
        <v>50</v>
      </c>
      <c r="D287" s="27" t="s">
        <v>6</v>
      </c>
      <c r="E287" s="27" t="s">
        <v>15</v>
      </c>
      <c r="F287" s="29"/>
      <c r="G287" s="30">
        <v>584.10866666666664</v>
      </c>
    </row>
    <row r="288" spans="1:7" hidden="1" x14ac:dyDescent="0.25">
      <c r="A288" s="28">
        <v>43466</v>
      </c>
      <c r="B288" s="27" t="s">
        <v>35</v>
      </c>
      <c r="C288" s="27" t="s">
        <v>50</v>
      </c>
      <c r="D288" s="27" t="s">
        <v>6</v>
      </c>
      <c r="E288" s="27" t="s">
        <v>16</v>
      </c>
      <c r="F288" s="29"/>
      <c r="G288" s="30">
        <v>584.10866666666664</v>
      </c>
    </row>
    <row r="289" spans="1:7" hidden="1" x14ac:dyDescent="0.25">
      <c r="A289" s="28">
        <v>43466</v>
      </c>
      <c r="B289" s="27" t="s">
        <v>35</v>
      </c>
      <c r="C289" s="27" t="s">
        <v>50</v>
      </c>
      <c r="D289" s="27" t="s">
        <v>6</v>
      </c>
      <c r="E289" s="27" t="s">
        <v>17</v>
      </c>
      <c r="F289" s="29"/>
      <c r="G289" s="30">
        <v>584.10866666666664</v>
      </c>
    </row>
    <row r="290" spans="1:7" hidden="1" x14ac:dyDescent="0.25">
      <c r="A290" s="28">
        <v>43466</v>
      </c>
      <c r="B290" s="27" t="s">
        <v>35</v>
      </c>
      <c r="C290" s="27" t="s">
        <v>50</v>
      </c>
      <c r="D290" s="27" t="s">
        <v>6</v>
      </c>
      <c r="E290" s="27" t="s">
        <v>18</v>
      </c>
      <c r="F290" s="29"/>
      <c r="G290" s="30">
        <v>584.10866666666664</v>
      </c>
    </row>
    <row r="291" spans="1:7" hidden="1" x14ac:dyDescent="0.25">
      <c r="A291" s="28">
        <v>43466</v>
      </c>
      <c r="B291" s="27" t="s">
        <v>35</v>
      </c>
      <c r="C291" s="27" t="s">
        <v>50</v>
      </c>
      <c r="D291" s="27" t="s">
        <v>6</v>
      </c>
      <c r="E291" s="27" t="s">
        <v>19</v>
      </c>
      <c r="F291" s="29"/>
      <c r="G291" s="30">
        <v>584.10866666666664</v>
      </c>
    </row>
    <row r="292" spans="1:7" hidden="1" x14ac:dyDescent="0.25">
      <c r="A292" s="28">
        <v>43466</v>
      </c>
      <c r="B292" s="27" t="s">
        <v>34</v>
      </c>
      <c r="C292" s="27" t="s">
        <v>50</v>
      </c>
      <c r="D292" s="27" t="s">
        <v>6</v>
      </c>
      <c r="E292" s="27" t="s">
        <v>8</v>
      </c>
      <c r="F292" s="29"/>
      <c r="G292" s="30">
        <v>552.0533333333334</v>
      </c>
    </row>
    <row r="293" spans="1:7" hidden="1" x14ac:dyDescent="0.25">
      <c r="A293" s="28">
        <v>43466</v>
      </c>
      <c r="B293" s="27" t="s">
        <v>34</v>
      </c>
      <c r="C293" s="27" t="s">
        <v>50</v>
      </c>
      <c r="D293" s="27" t="s">
        <v>6</v>
      </c>
      <c r="E293" s="27" t="s">
        <v>9</v>
      </c>
      <c r="F293" s="29"/>
      <c r="G293" s="30">
        <v>864.49749999999995</v>
      </c>
    </row>
    <row r="294" spans="1:7" hidden="1" x14ac:dyDescent="0.25">
      <c r="A294" s="28">
        <v>43466</v>
      </c>
      <c r="B294" s="27" t="s">
        <v>34</v>
      </c>
      <c r="C294" s="27" t="s">
        <v>50</v>
      </c>
      <c r="D294" s="27" t="s">
        <v>6</v>
      </c>
      <c r="E294" s="27" t="s">
        <v>64</v>
      </c>
      <c r="F294" s="29"/>
      <c r="G294" s="30">
        <v>698.10416666666663</v>
      </c>
    </row>
    <row r="295" spans="1:7" hidden="1" x14ac:dyDescent="0.25">
      <c r="A295" s="28">
        <v>43466</v>
      </c>
      <c r="B295" s="27" t="s">
        <v>34</v>
      </c>
      <c r="C295" s="27" t="s">
        <v>50</v>
      </c>
      <c r="D295" s="27" t="s">
        <v>6</v>
      </c>
      <c r="E295" s="27" t="s">
        <v>21</v>
      </c>
      <c r="F295" s="29"/>
      <c r="G295" s="30">
        <v>985.48500000000001</v>
      </c>
    </row>
    <row r="296" spans="1:7" hidden="1" x14ac:dyDescent="0.25">
      <c r="A296" s="28">
        <v>43466</v>
      </c>
      <c r="B296" s="27" t="s">
        <v>34</v>
      </c>
      <c r="C296" s="27" t="s">
        <v>50</v>
      </c>
      <c r="D296" s="27" t="s">
        <v>6</v>
      </c>
      <c r="E296" s="27" t="s">
        <v>21</v>
      </c>
      <c r="F296" s="29"/>
      <c r="G296" s="30">
        <v>656.62166666666667</v>
      </c>
    </row>
    <row r="297" spans="1:7" hidden="1" x14ac:dyDescent="0.25">
      <c r="A297" s="28">
        <v>43466</v>
      </c>
      <c r="B297" s="27" t="s">
        <v>34</v>
      </c>
      <c r="C297" s="27" t="s">
        <v>50</v>
      </c>
      <c r="D297" s="27" t="s">
        <v>6</v>
      </c>
      <c r="E297" s="27" t="s">
        <v>10</v>
      </c>
      <c r="F297" s="29"/>
      <c r="G297" s="30">
        <v>832.49083333333328</v>
      </c>
    </row>
    <row r="298" spans="1:7" hidden="1" x14ac:dyDescent="0.25">
      <c r="A298" s="28">
        <v>43466</v>
      </c>
      <c r="B298" s="27" t="s">
        <v>34</v>
      </c>
      <c r="C298" s="27" t="s">
        <v>50</v>
      </c>
      <c r="D298" s="27" t="s">
        <v>6</v>
      </c>
      <c r="E298" s="27" t="s">
        <v>11</v>
      </c>
      <c r="F298" s="29"/>
      <c r="G298" s="30">
        <v>418.92500000000001</v>
      </c>
    </row>
    <row r="299" spans="1:7" hidden="1" x14ac:dyDescent="0.25">
      <c r="A299" s="28">
        <v>43466</v>
      </c>
      <c r="B299" s="27" t="s">
        <v>34</v>
      </c>
      <c r="C299" s="27" t="s">
        <v>50</v>
      </c>
      <c r="D299" s="27" t="s">
        <v>6</v>
      </c>
      <c r="E299" s="27" t="s">
        <v>12</v>
      </c>
      <c r="F299" s="29"/>
      <c r="G299" s="30">
        <v>388.7</v>
      </c>
    </row>
    <row r="300" spans="1:7" hidden="1" x14ac:dyDescent="0.25">
      <c r="A300" s="28">
        <v>43466</v>
      </c>
      <c r="B300" s="27" t="s">
        <v>34</v>
      </c>
      <c r="C300" s="27" t="s">
        <v>50</v>
      </c>
      <c r="D300" s="27" t="s">
        <v>6</v>
      </c>
      <c r="E300" s="27" t="s">
        <v>13</v>
      </c>
      <c r="F300" s="29"/>
      <c r="G300" s="30">
        <v>537.06416666666667</v>
      </c>
    </row>
    <row r="301" spans="1:7" hidden="1" x14ac:dyDescent="0.25">
      <c r="A301" s="28">
        <v>43466</v>
      </c>
      <c r="B301" s="27" t="s">
        <v>34</v>
      </c>
      <c r="C301" s="27" t="s">
        <v>50</v>
      </c>
      <c r="D301" s="27" t="s">
        <v>6</v>
      </c>
      <c r="E301" s="27" t="s">
        <v>14</v>
      </c>
      <c r="F301" s="29"/>
      <c r="G301" s="30">
        <v>165.58333333333334</v>
      </c>
    </row>
    <row r="302" spans="1:7" hidden="1" x14ac:dyDescent="0.25">
      <c r="A302" s="28">
        <v>43466</v>
      </c>
      <c r="B302" s="27" t="s">
        <v>34</v>
      </c>
      <c r="C302" s="27" t="s">
        <v>50</v>
      </c>
      <c r="D302" s="27" t="s">
        <v>6</v>
      </c>
      <c r="E302" s="27" t="s">
        <v>15</v>
      </c>
      <c r="F302" s="29"/>
      <c r="G302" s="30">
        <v>409.28999999999996</v>
      </c>
    </row>
    <row r="303" spans="1:7" hidden="1" x14ac:dyDescent="0.25">
      <c r="A303" s="28">
        <v>43466</v>
      </c>
      <c r="B303" s="27" t="s">
        <v>34</v>
      </c>
      <c r="C303" s="27" t="s">
        <v>50</v>
      </c>
      <c r="D303" s="27" t="s">
        <v>6</v>
      </c>
      <c r="E303" s="27" t="s">
        <v>16</v>
      </c>
      <c r="F303" s="29"/>
      <c r="G303" s="30">
        <v>657.78499999999997</v>
      </c>
    </row>
    <row r="304" spans="1:7" hidden="1" x14ac:dyDescent="0.25">
      <c r="A304" s="28">
        <v>43466</v>
      </c>
      <c r="B304" s="27" t="s">
        <v>34</v>
      </c>
      <c r="C304" s="27" t="s">
        <v>50</v>
      </c>
      <c r="D304" s="27" t="s">
        <v>6</v>
      </c>
      <c r="E304" s="27" t="s">
        <v>17</v>
      </c>
      <c r="F304" s="29"/>
      <c r="G304" s="30">
        <v>835.00750000000005</v>
      </c>
    </row>
    <row r="305" spans="1:7" hidden="1" x14ac:dyDescent="0.25">
      <c r="A305" s="28">
        <v>43466</v>
      </c>
      <c r="B305" s="27" t="s">
        <v>34</v>
      </c>
      <c r="C305" s="27" t="s">
        <v>50</v>
      </c>
      <c r="D305" s="27" t="s">
        <v>6</v>
      </c>
      <c r="E305" s="27" t="s">
        <v>18</v>
      </c>
      <c r="F305" s="29"/>
      <c r="G305" s="30">
        <v>369.30749999999995</v>
      </c>
    </row>
    <row r="306" spans="1:7" hidden="1" x14ac:dyDescent="0.25">
      <c r="A306" s="28">
        <v>43466</v>
      </c>
      <c r="B306" s="27" t="s">
        <v>34</v>
      </c>
      <c r="C306" s="27" t="s">
        <v>50</v>
      </c>
      <c r="D306" s="27" t="s">
        <v>6</v>
      </c>
      <c r="E306" s="27" t="s">
        <v>204</v>
      </c>
      <c r="F306" s="29"/>
      <c r="G306" s="30">
        <v>164.41666666666666</v>
      </c>
    </row>
    <row r="307" spans="1:7" hidden="1" x14ac:dyDescent="0.25">
      <c r="A307" s="28">
        <v>43466</v>
      </c>
      <c r="B307" s="27" t="s">
        <v>34</v>
      </c>
      <c r="C307" s="27" t="s">
        <v>50</v>
      </c>
      <c r="D307" s="27" t="s">
        <v>6</v>
      </c>
      <c r="E307" s="27" t="s">
        <v>19</v>
      </c>
      <c r="F307" s="29"/>
      <c r="G307" s="30">
        <v>289.51</v>
      </c>
    </row>
    <row r="308" spans="1:7" hidden="1" x14ac:dyDescent="0.25">
      <c r="A308" s="28">
        <v>43497</v>
      </c>
      <c r="B308" s="27" t="s">
        <v>33</v>
      </c>
      <c r="C308" s="27" t="s">
        <v>50</v>
      </c>
      <c r="D308" s="27" t="s">
        <v>7</v>
      </c>
      <c r="E308" s="27" t="s">
        <v>8</v>
      </c>
      <c r="F308" s="29"/>
      <c r="G308" s="30">
        <v>2565.0931249999999</v>
      </c>
    </row>
    <row r="309" spans="1:7" hidden="1" x14ac:dyDescent="0.25">
      <c r="A309" s="28">
        <v>43497</v>
      </c>
      <c r="B309" s="27" t="s">
        <v>33</v>
      </c>
      <c r="C309" s="27" t="s">
        <v>50</v>
      </c>
      <c r="D309" s="27" t="s">
        <v>7</v>
      </c>
      <c r="E309" s="27" t="s">
        <v>9</v>
      </c>
      <c r="F309" s="29"/>
      <c r="G309" s="30">
        <v>2565.0931249999999</v>
      </c>
    </row>
    <row r="310" spans="1:7" hidden="1" x14ac:dyDescent="0.25">
      <c r="A310" s="28">
        <v>43497</v>
      </c>
      <c r="B310" s="27" t="s">
        <v>33</v>
      </c>
      <c r="C310" s="27" t="s">
        <v>50</v>
      </c>
      <c r="D310" s="27" t="s">
        <v>7</v>
      </c>
      <c r="E310" s="27" t="s">
        <v>64</v>
      </c>
      <c r="F310" s="29"/>
      <c r="G310" s="30">
        <v>2565.0931249999999</v>
      </c>
    </row>
    <row r="311" spans="1:7" hidden="1" x14ac:dyDescent="0.25">
      <c r="A311" s="28">
        <v>43497</v>
      </c>
      <c r="B311" s="27" t="s">
        <v>33</v>
      </c>
      <c r="C311" s="27" t="s">
        <v>50</v>
      </c>
      <c r="D311" s="27" t="s">
        <v>7</v>
      </c>
      <c r="E311" s="27" t="s">
        <v>21</v>
      </c>
      <c r="F311" s="29"/>
      <c r="G311" s="30">
        <v>2565.0931249999999</v>
      </c>
    </row>
    <row r="312" spans="1:7" hidden="1" x14ac:dyDescent="0.25">
      <c r="A312" s="28">
        <v>43497</v>
      </c>
      <c r="B312" s="27" t="s">
        <v>33</v>
      </c>
      <c r="C312" s="27" t="s">
        <v>50</v>
      </c>
      <c r="D312" s="27" t="s">
        <v>7</v>
      </c>
      <c r="E312" s="27" t="s">
        <v>21</v>
      </c>
      <c r="F312" s="29"/>
      <c r="G312" s="30">
        <v>2565.0931249999999</v>
      </c>
    </row>
    <row r="313" spans="1:7" hidden="1" x14ac:dyDescent="0.25">
      <c r="A313" s="28">
        <v>43497</v>
      </c>
      <c r="B313" s="27" t="s">
        <v>33</v>
      </c>
      <c r="C313" s="27" t="s">
        <v>50</v>
      </c>
      <c r="D313" s="27" t="s">
        <v>7</v>
      </c>
      <c r="E313" s="27" t="s">
        <v>10</v>
      </c>
      <c r="F313" s="29"/>
      <c r="G313" s="30">
        <v>2565.0931249999999</v>
      </c>
    </row>
    <row r="314" spans="1:7" hidden="1" x14ac:dyDescent="0.25">
      <c r="A314" s="28">
        <v>43497</v>
      </c>
      <c r="B314" s="27" t="s">
        <v>33</v>
      </c>
      <c r="C314" s="27" t="s">
        <v>50</v>
      </c>
      <c r="D314" s="27" t="s">
        <v>7</v>
      </c>
      <c r="E314" s="27" t="s">
        <v>11</v>
      </c>
      <c r="F314" s="29"/>
      <c r="G314" s="30">
        <v>2565.0931249999999</v>
      </c>
    </row>
    <row r="315" spans="1:7" hidden="1" x14ac:dyDescent="0.25">
      <c r="A315" s="28">
        <v>43497</v>
      </c>
      <c r="B315" s="27" t="s">
        <v>33</v>
      </c>
      <c r="C315" s="27" t="s">
        <v>50</v>
      </c>
      <c r="D315" s="27" t="s">
        <v>7</v>
      </c>
      <c r="E315" s="27" t="s">
        <v>12</v>
      </c>
      <c r="F315" s="29"/>
      <c r="G315" s="30">
        <v>2565.0931249999999</v>
      </c>
    </row>
    <row r="316" spans="1:7" hidden="1" x14ac:dyDescent="0.25">
      <c r="A316" s="28">
        <v>43497</v>
      </c>
      <c r="B316" s="27" t="s">
        <v>33</v>
      </c>
      <c r="C316" s="27" t="s">
        <v>50</v>
      </c>
      <c r="D316" s="27" t="s">
        <v>7</v>
      </c>
      <c r="E316" s="27" t="s">
        <v>13</v>
      </c>
      <c r="F316" s="29"/>
      <c r="G316" s="30">
        <v>2565.0931249999999</v>
      </c>
    </row>
    <row r="317" spans="1:7" hidden="1" x14ac:dyDescent="0.25">
      <c r="A317" s="28">
        <v>43497</v>
      </c>
      <c r="B317" s="27" t="s">
        <v>33</v>
      </c>
      <c r="C317" s="27" t="s">
        <v>50</v>
      </c>
      <c r="D317" s="27" t="s">
        <v>7</v>
      </c>
      <c r="E317" s="27" t="s">
        <v>14</v>
      </c>
      <c r="F317" s="29"/>
      <c r="G317" s="30">
        <v>2565.0931249999999</v>
      </c>
    </row>
    <row r="318" spans="1:7" hidden="1" x14ac:dyDescent="0.25">
      <c r="A318" s="28">
        <v>43497</v>
      </c>
      <c r="B318" s="27" t="s">
        <v>33</v>
      </c>
      <c r="C318" s="27" t="s">
        <v>50</v>
      </c>
      <c r="D318" s="27" t="s">
        <v>7</v>
      </c>
      <c r="E318" s="27" t="s">
        <v>15</v>
      </c>
      <c r="F318" s="29"/>
      <c r="G318" s="30">
        <v>2565.0931249999999</v>
      </c>
    </row>
    <row r="319" spans="1:7" hidden="1" x14ac:dyDescent="0.25">
      <c r="A319" s="28">
        <v>43497</v>
      </c>
      <c r="B319" s="27" t="s">
        <v>33</v>
      </c>
      <c r="C319" s="27" t="s">
        <v>50</v>
      </c>
      <c r="D319" s="27" t="s">
        <v>7</v>
      </c>
      <c r="E319" s="27" t="s">
        <v>16</v>
      </c>
      <c r="F319" s="29"/>
      <c r="G319" s="30">
        <v>2565.0931249999999</v>
      </c>
    </row>
    <row r="320" spans="1:7" hidden="1" x14ac:dyDescent="0.25">
      <c r="A320" s="28">
        <v>43497</v>
      </c>
      <c r="B320" s="27" t="s">
        <v>33</v>
      </c>
      <c r="C320" s="27" t="s">
        <v>50</v>
      </c>
      <c r="D320" s="27" t="s">
        <v>7</v>
      </c>
      <c r="E320" s="27" t="s">
        <v>17</v>
      </c>
      <c r="F320" s="29"/>
      <c r="G320" s="30">
        <v>2565.0931249999999</v>
      </c>
    </row>
    <row r="321" spans="1:7" hidden="1" x14ac:dyDescent="0.25">
      <c r="A321" s="28">
        <v>43497</v>
      </c>
      <c r="B321" s="27" t="s">
        <v>33</v>
      </c>
      <c r="C321" s="27" t="s">
        <v>50</v>
      </c>
      <c r="D321" s="27" t="s">
        <v>7</v>
      </c>
      <c r="E321" s="27" t="s">
        <v>18</v>
      </c>
      <c r="F321" s="29"/>
      <c r="G321" s="30">
        <v>2565.0931249999999</v>
      </c>
    </row>
    <row r="322" spans="1:7" hidden="1" x14ac:dyDescent="0.25">
      <c r="A322" s="28">
        <v>43497</v>
      </c>
      <c r="B322" s="27" t="s">
        <v>33</v>
      </c>
      <c r="C322" s="27" t="s">
        <v>50</v>
      </c>
      <c r="D322" s="27" t="s">
        <v>7</v>
      </c>
      <c r="E322" s="27" t="s">
        <v>19</v>
      </c>
      <c r="F322" s="29"/>
      <c r="G322" s="30">
        <v>2565.0931249999999</v>
      </c>
    </row>
    <row r="323" spans="1:7" hidden="1" x14ac:dyDescent="0.25">
      <c r="A323" s="28">
        <v>43497</v>
      </c>
      <c r="B323" s="27" t="s">
        <v>33</v>
      </c>
      <c r="C323" s="27" t="s">
        <v>50</v>
      </c>
      <c r="D323" s="27" t="s">
        <v>7</v>
      </c>
      <c r="E323" s="27" t="s">
        <v>37</v>
      </c>
      <c r="F323" s="29"/>
      <c r="G323" s="30">
        <v>2565.0931249999999</v>
      </c>
    </row>
    <row r="324" spans="1:7" hidden="1" x14ac:dyDescent="0.25">
      <c r="A324" s="28">
        <v>43497</v>
      </c>
      <c r="B324" s="27" t="s">
        <v>4</v>
      </c>
      <c r="C324" s="27" t="s">
        <v>50</v>
      </c>
      <c r="D324" s="27" t="s">
        <v>7</v>
      </c>
      <c r="E324" s="27" t="s">
        <v>8</v>
      </c>
      <c r="F324" s="29"/>
      <c r="G324" s="30">
        <v>1572.86</v>
      </c>
    </row>
    <row r="325" spans="1:7" hidden="1" x14ac:dyDescent="0.25">
      <c r="A325" s="28">
        <v>43497</v>
      </c>
      <c r="B325" s="27" t="s">
        <v>4</v>
      </c>
      <c r="C325" s="27" t="s">
        <v>50</v>
      </c>
      <c r="D325" s="27" t="s">
        <v>7</v>
      </c>
      <c r="E325" s="27" t="s">
        <v>9</v>
      </c>
      <c r="F325" s="29"/>
      <c r="G325" s="30">
        <v>4238.5300000000007</v>
      </c>
    </row>
    <row r="326" spans="1:7" hidden="1" x14ac:dyDescent="0.25">
      <c r="A326" s="28">
        <v>43497</v>
      </c>
      <c r="B326" s="27" t="s">
        <v>4</v>
      </c>
      <c r="C326" s="27" t="s">
        <v>50</v>
      </c>
      <c r="D326" s="27" t="s">
        <v>7</v>
      </c>
      <c r="E326" s="27" t="s">
        <v>64</v>
      </c>
      <c r="F326" s="29"/>
      <c r="G326" s="30">
        <v>4656.869999999999</v>
      </c>
    </row>
    <row r="327" spans="1:7" hidden="1" x14ac:dyDescent="0.25">
      <c r="A327" s="28">
        <v>43497</v>
      </c>
      <c r="B327" s="27" t="s">
        <v>4</v>
      </c>
      <c r="C327" s="27" t="s">
        <v>50</v>
      </c>
      <c r="D327" s="27" t="s">
        <v>7</v>
      </c>
      <c r="E327" s="27" t="s">
        <v>21</v>
      </c>
      <c r="F327" s="29"/>
      <c r="G327" s="30">
        <v>2837.84</v>
      </c>
    </row>
    <row r="328" spans="1:7" hidden="1" x14ac:dyDescent="0.25">
      <c r="A328" s="28">
        <v>43497</v>
      </c>
      <c r="B328" s="27" t="s">
        <v>4</v>
      </c>
      <c r="C328" s="27" t="s">
        <v>50</v>
      </c>
      <c r="D328" s="27" t="s">
        <v>7</v>
      </c>
      <c r="E328" s="27" t="s">
        <v>21</v>
      </c>
      <c r="F328" s="29"/>
      <c r="G328" s="30">
        <v>2810.16</v>
      </c>
    </row>
    <row r="329" spans="1:7" hidden="1" x14ac:dyDescent="0.25">
      <c r="A329" s="28">
        <v>43497</v>
      </c>
      <c r="B329" s="27" t="s">
        <v>4</v>
      </c>
      <c r="C329" s="27" t="s">
        <v>50</v>
      </c>
      <c r="D329" s="27" t="s">
        <v>7</v>
      </c>
      <c r="E329" s="27" t="s">
        <v>10</v>
      </c>
      <c r="F329" s="29"/>
      <c r="G329" s="30">
        <v>3122.2700000000004</v>
      </c>
    </row>
    <row r="330" spans="1:7" hidden="1" x14ac:dyDescent="0.25">
      <c r="A330" s="28">
        <v>43497</v>
      </c>
      <c r="B330" s="27" t="s">
        <v>4</v>
      </c>
      <c r="C330" s="27" t="s">
        <v>50</v>
      </c>
      <c r="D330" s="27" t="s">
        <v>7</v>
      </c>
      <c r="E330" s="27" t="s">
        <v>11</v>
      </c>
      <c r="F330" s="29"/>
      <c r="G330" s="30">
        <v>1531.82</v>
      </c>
    </row>
    <row r="331" spans="1:7" hidden="1" x14ac:dyDescent="0.25">
      <c r="A331" s="28">
        <v>43497</v>
      </c>
      <c r="B331" s="27" t="s">
        <v>4</v>
      </c>
      <c r="C331" s="27" t="s">
        <v>50</v>
      </c>
      <c r="D331" s="27" t="s">
        <v>7</v>
      </c>
      <c r="E331" s="27" t="s">
        <v>12</v>
      </c>
      <c r="F331" s="29"/>
      <c r="G331" s="30">
        <v>1859.84</v>
      </c>
    </row>
    <row r="332" spans="1:7" hidden="1" x14ac:dyDescent="0.25">
      <c r="A332" s="28">
        <v>43497</v>
      </c>
      <c r="B332" s="27" t="s">
        <v>4</v>
      </c>
      <c r="C332" s="27" t="s">
        <v>50</v>
      </c>
      <c r="D332" s="27" t="s">
        <v>7</v>
      </c>
      <c r="E332" s="27" t="s">
        <v>13</v>
      </c>
      <c r="F332" s="29"/>
      <c r="G332" s="30">
        <v>4806.2900000000009</v>
      </c>
    </row>
    <row r="333" spans="1:7" hidden="1" x14ac:dyDescent="0.25">
      <c r="A333" s="28">
        <v>43497</v>
      </c>
      <c r="B333" s="27" t="s">
        <v>4</v>
      </c>
      <c r="C333" s="27" t="s">
        <v>50</v>
      </c>
      <c r="D333" s="27" t="s">
        <v>7</v>
      </c>
      <c r="E333" s="27" t="s">
        <v>14</v>
      </c>
      <c r="F333" s="29"/>
      <c r="G333" s="30">
        <v>1851.9300000000003</v>
      </c>
    </row>
    <row r="334" spans="1:7" hidden="1" x14ac:dyDescent="0.25">
      <c r="A334" s="28">
        <v>43497</v>
      </c>
      <c r="B334" s="27" t="s">
        <v>4</v>
      </c>
      <c r="C334" s="27" t="s">
        <v>50</v>
      </c>
      <c r="D334" s="27" t="s">
        <v>7</v>
      </c>
      <c r="E334" s="27" t="s">
        <v>15</v>
      </c>
      <c r="F334" s="29"/>
      <c r="G334" s="30">
        <v>4617.79</v>
      </c>
    </row>
    <row r="335" spans="1:7" hidden="1" x14ac:dyDescent="0.25">
      <c r="A335" s="28">
        <v>43497</v>
      </c>
      <c r="B335" s="27" t="s">
        <v>4</v>
      </c>
      <c r="C335" s="27" t="s">
        <v>50</v>
      </c>
      <c r="D335" s="27" t="s">
        <v>7</v>
      </c>
      <c r="E335" s="27" t="s">
        <v>16</v>
      </c>
      <c r="F335" s="29"/>
      <c r="G335" s="30">
        <v>3032.45</v>
      </c>
    </row>
    <row r="336" spans="1:7" hidden="1" x14ac:dyDescent="0.25">
      <c r="A336" s="28">
        <v>43497</v>
      </c>
      <c r="B336" s="27" t="s">
        <v>4</v>
      </c>
      <c r="C336" s="27" t="s">
        <v>50</v>
      </c>
      <c r="D336" s="27" t="s">
        <v>7</v>
      </c>
      <c r="E336" s="27" t="s">
        <v>17</v>
      </c>
      <c r="F336" s="29"/>
      <c r="G336" s="30">
        <v>5037.18</v>
      </c>
    </row>
    <row r="337" spans="1:7" hidden="1" x14ac:dyDescent="0.25">
      <c r="A337" s="28">
        <v>43497</v>
      </c>
      <c r="B337" s="27" t="s">
        <v>4</v>
      </c>
      <c r="C337" s="27" t="s">
        <v>50</v>
      </c>
      <c r="D337" s="27" t="s">
        <v>7</v>
      </c>
      <c r="E337" s="27" t="s">
        <v>18</v>
      </c>
      <c r="F337" s="29"/>
      <c r="G337" s="30">
        <v>1878.74</v>
      </c>
    </row>
    <row r="338" spans="1:7" hidden="1" x14ac:dyDescent="0.25">
      <c r="A338" s="28">
        <v>43497</v>
      </c>
      <c r="B338" s="27" t="s">
        <v>4</v>
      </c>
      <c r="C338" s="27" t="s">
        <v>50</v>
      </c>
      <c r="D338" s="27" t="s">
        <v>7</v>
      </c>
      <c r="E338" s="27" t="s">
        <v>19</v>
      </c>
      <c r="F338" s="29"/>
      <c r="G338" s="30">
        <v>3529.4100000000003</v>
      </c>
    </row>
    <row r="339" spans="1:7" hidden="1" x14ac:dyDescent="0.25">
      <c r="A339" s="28">
        <v>43497</v>
      </c>
      <c r="B339" s="27" t="s">
        <v>4</v>
      </c>
      <c r="C339" s="27" t="s">
        <v>50</v>
      </c>
      <c r="D339" s="27" t="s">
        <v>7</v>
      </c>
      <c r="E339" s="27" t="s">
        <v>204</v>
      </c>
      <c r="F339" s="29"/>
      <c r="G339" s="30">
        <v>912.79</v>
      </c>
    </row>
    <row r="340" spans="1:7" hidden="1" x14ac:dyDescent="0.25">
      <c r="A340" s="28">
        <v>43497</v>
      </c>
      <c r="B340" s="27" t="s">
        <v>4</v>
      </c>
      <c r="C340" s="27" t="s">
        <v>50</v>
      </c>
      <c r="D340" s="27" t="s">
        <v>7</v>
      </c>
      <c r="E340" s="27" t="s">
        <v>37</v>
      </c>
      <c r="F340" s="29"/>
      <c r="G340" s="30">
        <v>342</v>
      </c>
    </row>
    <row r="341" spans="1:7" hidden="1" x14ac:dyDescent="0.25">
      <c r="A341" s="28">
        <v>43497</v>
      </c>
      <c r="B341" s="27" t="s">
        <v>26</v>
      </c>
      <c r="C341" s="27" t="s">
        <v>50</v>
      </c>
      <c r="D341" s="27" t="s">
        <v>6</v>
      </c>
      <c r="E341" s="27" t="s">
        <v>8</v>
      </c>
      <c r="F341" s="29"/>
      <c r="G341" s="30">
        <v>1194.25</v>
      </c>
    </row>
    <row r="342" spans="1:7" hidden="1" x14ac:dyDescent="0.25">
      <c r="A342" s="28">
        <v>43497</v>
      </c>
      <c r="B342" s="27" t="s">
        <v>26</v>
      </c>
      <c r="C342" s="27" t="s">
        <v>50</v>
      </c>
      <c r="D342" s="27" t="s">
        <v>6</v>
      </c>
      <c r="E342" s="27" t="s">
        <v>9</v>
      </c>
      <c r="F342" s="29"/>
      <c r="G342" s="30">
        <v>1550.9166666666667</v>
      </c>
    </row>
    <row r="343" spans="1:7" hidden="1" x14ac:dyDescent="0.25">
      <c r="A343" s="28">
        <v>43497</v>
      </c>
      <c r="B343" s="27" t="s">
        <v>26</v>
      </c>
      <c r="C343" s="27" t="s">
        <v>50</v>
      </c>
      <c r="D343" s="27" t="s">
        <v>6</v>
      </c>
      <c r="E343" s="27" t="s">
        <v>64</v>
      </c>
      <c r="F343" s="29"/>
      <c r="G343" s="30">
        <v>1270.3500000000001</v>
      </c>
    </row>
    <row r="344" spans="1:7" hidden="1" x14ac:dyDescent="0.25">
      <c r="A344" s="28">
        <v>43497</v>
      </c>
      <c r="B344" s="27" t="s">
        <v>26</v>
      </c>
      <c r="C344" s="27" t="s">
        <v>50</v>
      </c>
      <c r="D344" s="27" t="s">
        <v>6</v>
      </c>
      <c r="E344" s="27" t="s">
        <v>21</v>
      </c>
      <c r="F344" s="29"/>
      <c r="G344" s="30">
        <v>1359.4166666666667</v>
      </c>
    </row>
    <row r="345" spans="1:7" hidden="1" x14ac:dyDescent="0.25">
      <c r="A345" s="28">
        <v>43497</v>
      </c>
      <c r="B345" s="27" t="s">
        <v>26</v>
      </c>
      <c r="C345" s="27" t="s">
        <v>50</v>
      </c>
      <c r="D345" s="27" t="s">
        <v>6</v>
      </c>
      <c r="E345" s="27" t="s">
        <v>21</v>
      </c>
      <c r="F345" s="29"/>
      <c r="G345" s="30">
        <v>1359.4166666666667</v>
      </c>
    </row>
    <row r="346" spans="1:7" hidden="1" x14ac:dyDescent="0.25">
      <c r="A346" s="28">
        <v>43497</v>
      </c>
      <c r="B346" s="27" t="s">
        <v>26</v>
      </c>
      <c r="C346" s="27" t="s">
        <v>50</v>
      </c>
      <c r="D346" s="27" t="s">
        <v>6</v>
      </c>
      <c r="E346" s="27" t="s">
        <v>10</v>
      </c>
      <c r="F346" s="29"/>
      <c r="G346" s="30">
        <v>1998.9666666666669</v>
      </c>
    </row>
    <row r="347" spans="1:7" hidden="1" x14ac:dyDescent="0.25">
      <c r="A347" s="28">
        <v>43497</v>
      </c>
      <c r="B347" s="27" t="s">
        <v>26</v>
      </c>
      <c r="C347" s="27" t="s">
        <v>50</v>
      </c>
      <c r="D347" s="27" t="s">
        <v>6</v>
      </c>
      <c r="E347" s="27" t="s">
        <v>11</v>
      </c>
      <c r="F347" s="29"/>
      <c r="G347" s="30">
        <v>1340.7166666666667</v>
      </c>
    </row>
    <row r="348" spans="1:7" hidden="1" x14ac:dyDescent="0.25">
      <c r="A348" s="28">
        <v>43497</v>
      </c>
      <c r="B348" s="27" t="s">
        <v>26</v>
      </c>
      <c r="C348" s="27" t="s">
        <v>50</v>
      </c>
      <c r="D348" s="27" t="s">
        <v>6</v>
      </c>
      <c r="E348" s="27" t="s">
        <v>12</v>
      </c>
      <c r="F348" s="29"/>
      <c r="G348" s="30">
        <v>1350.1166666666668</v>
      </c>
    </row>
    <row r="349" spans="1:7" hidden="1" x14ac:dyDescent="0.25">
      <c r="A349" s="28">
        <v>43497</v>
      </c>
      <c r="B349" s="27" t="s">
        <v>26</v>
      </c>
      <c r="C349" s="27" t="s">
        <v>50</v>
      </c>
      <c r="D349" s="27" t="s">
        <v>6</v>
      </c>
      <c r="E349" s="27" t="s">
        <v>13</v>
      </c>
      <c r="F349" s="29"/>
      <c r="G349" s="30">
        <v>1901.5</v>
      </c>
    </row>
    <row r="350" spans="1:7" hidden="1" x14ac:dyDescent="0.25">
      <c r="A350" s="28">
        <v>43497</v>
      </c>
      <c r="B350" s="27" t="s">
        <v>26</v>
      </c>
      <c r="C350" s="27" t="s">
        <v>50</v>
      </c>
      <c r="D350" s="27" t="s">
        <v>6</v>
      </c>
      <c r="E350" s="27" t="s">
        <v>14</v>
      </c>
      <c r="F350" s="29"/>
      <c r="G350" s="30">
        <v>701.7833333333333</v>
      </c>
    </row>
    <row r="351" spans="1:7" hidden="1" x14ac:dyDescent="0.25">
      <c r="A351" s="28">
        <v>43497</v>
      </c>
      <c r="B351" s="27" t="s">
        <v>26</v>
      </c>
      <c r="C351" s="27" t="s">
        <v>50</v>
      </c>
      <c r="D351" s="27" t="s">
        <v>6</v>
      </c>
      <c r="E351" s="27" t="s">
        <v>15</v>
      </c>
      <c r="F351" s="29"/>
      <c r="G351" s="30">
        <v>1820.5500000000002</v>
      </c>
    </row>
    <row r="352" spans="1:7" hidden="1" x14ac:dyDescent="0.25">
      <c r="A352" s="28">
        <v>43497</v>
      </c>
      <c r="B352" s="27" t="s">
        <v>26</v>
      </c>
      <c r="C352" s="27" t="s">
        <v>50</v>
      </c>
      <c r="D352" s="27" t="s">
        <v>6</v>
      </c>
      <c r="E352" s="27" t="s">
        <v>16</v>
      </c>
      <c r="F352" s="29"/>
      <c r="G352" s="30">
        <v>1992.5833333333333</v>
      </c>
    </row>
    <row r="353" spans="1:7" hidden="1" x14ac:dyDescent="0.25">
      <c r="A353" s="28">
        <v>43497</v>
      </c>
      <c r="B353" s="27" t="s">
        <v>26</v>
      </c>
      <c r="C353" s="27" t="s">
        <v>50</v>
      </c>
      <c r="D353" s="27" t="s">
        <v>6</v>
      </c>
      <c r="E353" s="27" t="s">
        <v>17</v>
      </c>
      <c r="F353" s="29"/>
      <c r="G353" s="30">
        <v>2822.1166666666668</v>
      </c>
    </row>
    <row r="354" spans="1:7" hidden="1" x14ac:dyDescent="0.25">
      <c r="A354" s="28">
        <v>43497</v>
      </c>
      <c r="B354" s="27" t="s">
        <v>26</v>
      </c>
      <c r="C354" s="27" t="s">
        <v>50</v>
      </c>
      <c r="D354" s="27" t="s">
        <v>6</v>
      </c>
      <c r="E354" s="27" t="s">
        <v>18</v>
      </c>
      <c r="F354" s="29"/>
      <c r="G354" s="30">
        <v>1488.6666666666667</v>
      </c>
    </row>
    <row r="355" spans="1:7" hidden="1" x14ac:dyDescent="0.25">
      <c r="A355" s="28">
        <v>43497</v>
      </c>
      <c r="B355" s="27" t="s">
        <v>26</v>
      </c>
      <c r="C355" s="27" t="s">
        <v>50</v>
      </c>
      <c r="D355" s="27" t="s">
        <v>6</v>
      </c>
      <c r="E355" s="27" t="s">
        <v>19</v>
      </c>
      <c r="F355" s="29"/>
      <c r="G355" s="30">
        <v>2454.8833333333337</v>
      </c>
    </row>
    <row r="356" spans="1:7" hidden="1" x14ac:dyDescent="0.25">
      <c r="A356" s="28">
        <v>43497</v>
      </c>
      <c r="B356" s="27" t="s">
        <v>26</v>
      </c>
      <c r="C356" s="27" t="s">
        <v>50</v>
      </c>
      <c r="D356" s="27" t="s">
        <v>6</v>
      </c>
      <c r="E356" s="27" t="s">
        <v>204</v>
      </c>
      <c r="F356" s="29"/>
      <c r="G356" s="30">
        <v>316.66666666666669</v>
      </c>
    </row>
    <row r="357" spans="1:7" hidden="1" x14ac:dyDescent="0.25">
      <c r="A357" s="28">
        <v>43497</v>
      </c>
      <c r="B357" s="27" t="s">
        <v>26</v>
      </c>
      <c r="C357" s="27" t="s">
        <v>50</v>
      </c>
      <c r="D357" s="27" t="s">
        <v>6</v>
      </c>
      <c r="E357" s="27" t="s">
        <v>205</v>
      </c>
      <c r="F357" s="29"/>
      <c r="G357" s="30">
        <v>1200</v>
      </c>
    </row>
    <row r="358" spans="1:7" hidden="1" x14ac:dyDescent="0.25">
      <c r="A358" s="28">
        <v>43497</v>
      </c>
      <c r="B358" s="27" t="s">
        <v>26</v>
      </c>
      <c r="C358" s="27" t="s">
        <v>50</v>
      </c>
      <c r="D358" s="27" t="s">
        <v>6</v>
      </c>
      <c r="E358" s="27" t="s">
        <v>37</v>
      </c>
      <c r="F358" s="29"/>
      <c r="G358" s="30">
        <v>250</v>
      </c>
    </row>
    <row r="359" spans="1:7" hidden="1" x14ac:dyDescent="0.25">
      <c r="A359" s="28">
        <v>43497</v>
      </c>
      <c r="B359" s="27" t="s">
        <v>3</v>
      </c>
      <c r="C359" s="27" t="s">
        <v>50</v>
      </c>
      <c r="D359" s="27" t="s">
        <v>7</v>
      </c>
      <c r="E359" s="27" t="s">
        <v>8</v>
      </c>
      <c r="F359" s="29"/>
      <c r="G359" s="30">
        <v>689.00470588235294</v>
      </c>
    </row>
    <row r="360" spans="1:7" hidden="1" x14ac:dyDescent="0.25">
      <c r="A360" s="28">
        <v>43497</v>
      </c>
      <c r="B360" s="27" t="s">
        <v>3</v>
      </c>
      <c r="C360" s="27" t="s">
        <v>50</v>
      </c>
      <c r="D360" s="27" t="s">
        <v>7</v>
      </c>
      <c r="E360" s="27" t="s">
        <v>9</v>
      </c>
      <c r="F360" s="29"/>
      <c r="G360" s="30">
        <v>689.00470588235294</v>
      </c>
    </row>
    <row r="361" spans="1:7" hidden="1" x14ac:dyDescent="0.25">
      <c r="A361" s="28">
        <v>43497</v>
      </c>
      <c r="B361" s="27" t="s">
        <v>3</v>
      </c>
      <c r="C361" s="27" t="s">
        <v>50</v>
      </c>
      <c r="D361" s="27" t="s">
        <v>7</v>
      </c>
      <c r="E361" s="27" t="s">
        <v>64</v>
      </c>
      <c r="F361" s="29"/>
      <c r="G361" s="30">
        <v>689.00470588235294</v>
      </c>
    </row>
    <row r="362" spans="1:7" hidden="1" x14ac:dyDescent="0.25">
      <c r="A362" s="28">
        <v>43497</v>
      </c>
      <c r="B362" s="27" t="s">
        <v>3</v>
      </c>
      <c r="C362" s="27" t="s">
        <v>50</v>
      </c>
      <c r="D362" s="27" t="s">
        <v>7</v>
      </c>
      <c r="E362" s="27" t="s">
        <v>21</v>
      </c>
      <c r="F362" s="29"/>
      <c r="G362" s="30">
        <v>689.00470588235294</v>
      </c>
    </row>
    <row r="363" spans="1:7" hidden="1" x14ac:dyDescent="0.25">
      <c r="A363" s="28">
        <v>43497</v>
      </c>
      <c r="B363" s="27" t="s">
        <v>3</v>
      </c>
      <c r="C363" s="27" t="s">
        <v>50</v>
      </c>
      <c r="D363" s="27" t="s">
        <v>7</v>
      </c>
      <c r="E363" s="27" t="s">
        <v>21</v>
      </c>
      <c r="F363" s="29"/>
      <c r="G363" s="30">
        <v>689.00470588235294</v>
      </c>
    </row>
    <row r="364" spans="1:7" hidden="1" x14ac:dyDescent="0.25">
      <c r="A364" s="28">
        <v>43497</v>
      </c>
      <c r="B364" s="27" t="s">
        <v>3</v>
      </c>
      <c r="C364" s="27" t="s">
        <v>50</v>
      </c>
      <c r="D364" s="27" t="s">
        <v>7</v>
      </c>
      <c r="E364" s="27" t="s">
        <v>10</v>
      </c>
      <c r="F364" s="29"/>
      <c r="G364" s="30">
        <v>689.00470588235294</v>
      </c>
    </row>
    <row r="365" spans="1:7" hidden="1" x14ac:dyDescent="0.25">
      <c r="A365" s="28">
        <v>43497</v>
      </c>
      <c r="B365" s="27" t="s">
        <v>3</v>
      </c>
      <c r="C365" s="27" t="s">
        <v>50</v>
      </c>
      <c r="D365" s="27" t="s">
        <v>7</v>
      </c>
      <c r="E365" s="27" t="s">
        <v>11</v>
      </c>
      <c r="F365" s="29"/>
      <c r="G365" s="30">
        <v>689.00470588235294</v>
      </c>
    </row>
    <row r="366" spans="1:7" hidden="1" x14ac:dyDescent="0.25">
      <c r="A366" s="28">
        <v>43497</v>
      </c>
      <c r="B366" s="27" t="s">
        <v>3</v>
      </c>
      <c r="C366" s="27" t="s">
        <v>50</v>
      </c>
      <c r="D366" s="27" t="s">
        <v>7</v>
      </c>
      <c r="E366" s="27" t="s">
        <v>12</v>
      </c>
      <c r="F366" s="29"/>
      <c r="G366" s="30">
        <v>689.00470588235294</v>
      </c>
    </row>
    <row r="367" spans="1:7" hidden="1" x14ac:dyDescent="0.25">
      <c r="A367" s="28">
        <v>43497</v>
      </c>
      <c r="B367" s="27" t="s">
        <v>3</v>
      </c>
      <c r="C367" s="27" t="s">
        <v>50</v>
      </c>
      <c r="D367" s="27" t="s">
        <v>7</v>
      </c>
      <c r="E367" s="27" t="s">
        <v>13</v>
      </c>
      <c r="F367" s="29"/>
      <c r="G367" s="30">
        <v>689.00470588235294</v>
      </c>
    </row>
    <row r="368" spans="1:7" hidden="1" x14ac:dyDescent="0.25">
      <c r="A368" s="28">
        <v>43497</v>
      </c>
      <c r="B368" s="27" t="s">
        <v>3</v>
      </c>
      <c r="C368" s="27" t="s">
        <v>50</v>
      </c>
      <c r="D368" s="27" t="s">
        <v>7</v>
      </c>
      <c r="E368" s="27" t="s">
        <v>14</v>
      </c>
      <c r="F368" s="29"/>
      <c r="G368" s="30">
        <v>689.00470588235294</v>
      </c>
    </row>
    <row r="369" spans="1:7" hidden="1" x14ac:dyDescent="0.25">
      <c r="A369" s="28">
        <v>43497</v>
      </c>
      <c r="B369" s="27" t="s">
        <v>3</v>
      </c>
      <c r="C369" s="27" t="s">
        <v>50</v>
      </c>
      <c r="D369" s="27" t="s">
        <v>7</v>
      </c>
      <c r="E369" s="27" t="s">
        <v>15</v>
      </c>
      <c r="F369" s="29"/>
      <c r="G369" s="30">
        <v>689.00470588235294</v>
      </c>
    </row>
    <row r="370" spans="1:7" hidden="1" x14ac:dyDescent="0.25">
      <c r="A370" s="28">
        <v>43497</v>
      </c>
      <c r="B370" s="27" t="s">
        <v>3</v>
      </c>
      <c r="C370" s="27" t="s">
        <v>50</v>
      </c>
      <c r="D370" s="27" t="s">
        <v>7</v>
      </c>
      <c r="E370" s="27" t="s">
        <v>16</v>
      </c>
      <c r="F370" s="29"/>
      <c r="G370" s="30">
        <v>689.00470588235294</v>
      </c>
    </row>
    <row r="371" spans="1:7" hidden="1" x14ac:dyDescent="0.25">
      <c r="A371" s="28">
        <v>43497</v>
      </c>
      <c r="B371" s="27" t="s">
        <v>3</v>
      </c>
      <c r="C371" s="27" t="s">
        <v>50</v>
      </c>
      <c r="D371" s="27" t="s">
        <v>7</v>
      </c>
      <c r="E371" s="27" t="s">
        <v>17</v>
      </c>
      <c r="F371" s="29"/>
      <c r="G371" s="30">
        <v>689.00470588235294</v>
      </c>
    </row>
    <row r="372" spans="1:7" hidden="1" x14ac:dyDescent="0.25">
      <c r="A372" s="28">
        <v>43497</v>
      </c>
      <c r="B372" s="27" t="s">
        <v>3</v>
      </c>
      <c r="C372" s="27" t="s">
        <v>50</v>
      </c>
      <c r="D372" s="27" t="s">
        <v>7</v>
      </c>
      <c r="E372" s="27" t="s">
        <v>18</v>
      </c>
      <c r="F372" s="29"/>
      <c r="G372" s="30">
        <v>689.00470588235294</v>
      </c>
    </row>
    <row r="373" spans="1:7" hidden="1" x14ac:dyDescent="0.25">
      <c r="A373" s="28">
        <v>43497</v>
      </c>
      <c r="B373" s="27" t="s">
        <v>3</v>
      </c>
      <c r="C373" s="27" t="s">
        <v>50</v>
      </c>
      <c r="D373" s="27" t="s">
        <v>7</v>
      </c>
      <c r="E373" s="27" t="s">
        <v>19</v>
      </c>
      <c r="F373" s="29"/>
      <c r="G373" s="30">
        <v>689.00470588235294</v>
      </c>
    </row>
    <row r="374" spans="1:7" hidden="1" x14ac:dyDescent="0.25">
      <c r="A374" s="28">
        <v>43497</v>
      </c>
      <c r="B374" s="27" t="s">
        <v>3</v>
      </c>
      <c r="C374" s="27" t="s">
        <v>50</v>
      </c>
      <c r="D374" s="27" t="s">
        <v>7</v>
      </c>
      <c r="E374" s="27" t="s">
        <v>204</v>
      </c>
      <c r="F374" s="29"/>
      <c r="G374" s="30">
        <v>689.00470588235294</v>
      </c>
    </row>
    <row r="375" spans="1:7" hidden="1" x14ac:dyDescent="0.25">
      <c r="A375" s="28">
        <v>43497</v>
      </c>
      <c r="B375" s="27" t="s">
        <v>3</v>
      </c>
      <c r="C375" s="27" t="s">
        <v>50</v>
      </c>
      <c r="D375" s="27" t="s">
        <v>7</v>
      </c>
      <c r="E375" s="27" t="s">
        <v>205</v>
      </c>
      <c r="F375" s="29"/>
      <c r="G375" s="30">
        <v>689.00470588235294</v>
      </c>
    </row>
    <row r="376" spans="1:7" hidden="1" x14ac:dyDescent="0.25">
      <c r="A376" s="28">
        <v>43497</v>
      </c>
      <c r="B376" s="27" t="s">
        <v>179</v>
      </c>
      <c r="C376" s="27" t="s">
        <v>50</v>
      </c>
      <c r="D376" s="27" t="s">
        <v>6</v>
      </c>
      <c r="E376" s="27" t="s">
        <v>8</v>
      </c>
      <c r="F376" s="29"/>
      <c r="G376" s="30">
        <v>82.027500000000003</v>
      </c>
    </row>
    <row r="377" spans="1:7" hidden="1" x14ac:dyDescent="0.25">
      <c r="A377" s="28">
        <v>43497</v>
      </c>
      <c r="B377" s="27" t="s">
        <v>179</v>
      </c>
      <c r="C377" s="27" t="s">
        <v>50</v>
      </c>
      <c r="D377" s="27" t="s">
        <v>6</v>
      </c>
      <c r="E377" s="27" t="s">
        <v>9</v>
      </c>
      <c r="F377" s="29"/>
      <c r="G377" s="30">
        <v>80.430833333333325</v>
      </c>
    </row>
    <row r="378" spans="1:7" hidden="1" x14ac:dyDescent="0.25">
      <c r="A378" s="28">
        <v>43497</v>
      </c>
      <c r="B378" s="27" t="s">
        <v>179</v>
      </c>
      <c r="C378" s="27" t="s">
        <v>50</v>
      </c>
      <c r="D378" s="27" t="s">
        <v>6</v>
      </c>
      <c r="E378" s="27" t="s">
        <v>64</v>
      </c>
      <c r="F378" s="29"/>
      <c r="G378" s="30">
        <v>99.683333333333337</v>
      </c>
    </row>
    <row r="379" spans="1:7" hidden="1" x14ac:dyDescent="0.25">
      <c r="A379" s="28">
        <v>43497</v>
      </c>
      <c r="B379" s="27" t="s">
        <v>179</v>
      </c>
      <c r="C379" s="27" t="s">
        <v>50</v>
      </c>
      <c r="D379" s="27" t="s">
        <v>6</v>
      </c>
      <c r="E379" s="27" t="s">
        <v>21</v>
      </c>
      <c r="F379" s="29"/>
      <c r="G379" s="30">
        <v>101.87</v>
      </c>
    </row>
    <row r="380" spans="1:7" hidden="1" x14ac:dyDescent="0.25">
      <c r="A380" s="28">
        <v>43497</v>
      </c>
      <c r="B380" s="27" t="s">
        <v>179</v>
      </c>
      <c r="C380" s="27" t="s">
        <v>50</v>
      </c>
      <c r="D380" s="27" t="s">
        <v>6</v>
      </c>
      <c r="E380" s="27" t="s">
        <v>21</v>
      </c>
      <c r="F380" s="29"/>
      <c r="G380" s="30">
        <v>75.420833333333334</v>
      </c>
    </row>
    <row r="381" spans="1:7" hidden="1" x14ac:dyDescent="0.25">
      <c r="A381" s="28">
        <v>43497</v>
      </c>
      <c r="B381" s="27" t="s">
        <v>179</v>
      </c>
      <c r="C381" s="27" t="s">
        <v>50</v>
      </c>
      <c r="D381" s="27" t="s">
        <v>6</v>
      </c>
      <c r="E381" s="27" t="s">
        <v>10</v>
      </c>
      <c r="F381" s="29"/>
      <c r="G381" s="30">
        <v>94.975833333333341</v>
      </c>
    </row>
    <row r="382" spans="1:7" hidden="1" x14ac:dyDescent="0.25">
      <c r="A382" s="28">
        <v>43497</v>
      </c>
      <c r="B382" s="27" t="s">
        <v>179</v>
      </c>
      <c r="C382" s="27" t="s">
        <v>50</v>
      </c>
      <c r="D382" s="27" t="s">
        <v>6</v>
      </c>
      <c r="E382" s="27" t="s">
        <v>11</v>
      </c>
      <c r="F382" s="29"/>
      <c r="G382" s="30">
        <v>99.024999999999991</v>
      </c>
    </row>
    <row r="383" spans="1:7" hidden="1" x14ac:dyDescent="0.25">
      <c r="A383" s="28">
        <v>43497</v>
      </c>
      <c r="B383" s="27" t="s">
        <v>179</v>
      </c>
      <c r="C383" s="27" t="s">
        <v>50</v>
      </c>
      <c r="D383" s="27" t="s">
        <v>6</v>
      </c>
      <c r="E383" s="27" t="s">
        <v>12</v>
      </c>
      <c r="F383" s="29"/>
      <c r="G383" s="30">
        <v>75.82083333333334</v>
      </c>
    </row>
    <row r="384" spans="1:7" hidden="1" x14ac:dyDescent="0.25">
      <c r="A384" s="28">
        <v>43497</v>
      </c>
      <c r="B384" s="27" t="s">
        <v>179</v>
      </c>
      <c r="C384" s="27" t="s">
        <v>50</v>
      </c>
      <c r="D384" s="27" t="s">
        <v>6</v>
      </c>
      <c r="E384" s="27" t="s">
        <v>13</v>
      </c>
      <c r="F384" s="29"/>
      <c r="G384" s="30">
        <v>100.41500000000001</v>
      </c>
    </row>
    <row r="385" spans="1:7" hidden="1" x14ac:dyDescent="0.25">
      <c r="A385" s="28">
        <v>43497</v>
      </c>
      <c r="B385" s="27" t="s">
        <v>179</v>
      </c>
      <c r="C385" s="27" t="s">
        <v>50</v>
      </c>
      <c r="D385" s="27" t="s">
        <v>6</v>
      </c>
      <c r="E385" s="27" t="s">
        <v>14</v>
      </c>
      <c r="F385" s="29"/>
      <c r="G385" s="30">
        <v>84.427499999999995</v>
      </c>
    </row>
    <row r="386" spans="1:7" hidden="1" x14ac:dyDescent="0.25">
      <c r="A386" s="28">
        <v>43497</v>
      </c>
      <c r="B386" s="27" t="s">
        <v>179</v>
      </c>
      <c r="C386" s="27" t="s">
        <v>50</v>
      </c>
      <c r="D386" s="27" t="s">
        <v>6</v>
      </c>
      <c r="E386" s="27" t="s">
        <v>15</v>
      </c>
      <c r="F386" s="29"/>
      <c r="G386" s="30">
        <v>97.932500000000005</v>
      </c>
    </row>
    <row r="387" spans="1:7" hidden="1" x14ac:dyDescent="0.25">
      <c r="A387" s="28">
        <v>43497</v>
      </c>
      <c r="B387" s="27" t="s">
        <v>179</v>
      </c>
      <c r="C387" s="27" t="s">
        <v>50</v>
      </c>
      <c r="D387" s="27" t="s">
        <v>6</v>
      </c>
      <c r="E387" s="27" t="s">
        <v>16</v>
      </c>
      <c r="F387" s="29"/>
      <c r="G387" s="30">
        <v>99.579166666666666</v>
      </c>
    </row>
    <row r="388" spans="1:7" hidden="1" x14ac:dyDescent="0.25">
      <c r="A388" s="28">
        <v>43497</v>
      </c>
      <c r="B388" s="27" t="s">
        <v>179</v>
      </c>
      <c r="C388" s="27" t="s">
        <v>50</v>
      </c>
      <c r="D388" s="27" t="s">
        <v>6</v>
      </c>
      <c r="E388" s="27" t="s">
        <v>17</v>
      </c>
      <c r="F388" s="29"/>
      <c r="G388" s="30">
        <v>163.58583333333334</v>
      </c>
    </row>
    <row r="389" spans="1:7" hidden="1" x14ac:dyDescent="0.25">
      <c r="A389" s="28">
        <v>43497</v>
      </c>
      <c r="B389" s="27" t="s">
        <v>179</v>
      </c>
      <c r="C389" s="27" t="s">
        <v>50</v>
      </c>
      <c r="D389" s="27" t="s">
        <v>6</v>
      </c>
      <c r="E389" s="27" t="s">
        <v>18</v>
      </c>
      <c r="F389" s="29"/>
      <c r="G389" s="30">
        <v>189.72083333333333</v>
      </c>
    </row>
    <row r="390" spans="1:7" hidden="1" x14ac:dyDescent="0.25">
      <c r="A390" s="28">
        <v>43497</v>
      </c>
      <c r="B390" s="27" t="s">
        <v>179</v>
      </c>
      <c r="C390" s="27" t="s">
        <v>50</v>
      </c>
      <c r="D390" s="27" t="s">
        <v>6</v>
      </c>
      <c r="E390" s="27" t="s">
        <v>19</v>
      </c>
      <c r="F390" s="29"/>
      <c r="G390" s="30">
        <v>132.03083333333333</v>
      </c>
    </row>
    <row r="391" spans="1:7" hidden="1" x14ac:dyDescent="0.25">
      <c r="A391" s="28">
        <v>43497</v>
      </c>
      <c r="B391" s="27" t="s">
        <v>179</v>
      </c>
      <c r="C391" s="27" t="s">
        <v>50</v>
      </c>
      <c r="D391" s="27" t="s">
        <v>6</v>
      </c>
      <c r="E391" s="27" t="s">
        <v>204</v>
      </c>
      <c r="F391" s="29"/>
      <c r="G391" s="30">
        <v>62.408333333333331</v>
      </c>
    </row>
    <row r="392" spans="1:7" hidden="1" x14ac:dyDescent="0.25">
      <c r="A392" s="28">
        <v>43497</v>
      </c>
      <c r="B392" s="27" t="s">
        <v>179</v>
      </c>
      <c r="C392" s="27" t="s">
        <v>50</v>
      </c>
      <c r="D392" s="27" t="s">
        <v>6</v>
      </c>
      <c r="E392" s="27" t="s">
        <v>205</v>
      </c>
      <c r="F392" s="29"/>
      <c r="G392" s="30">
        <v>136.51666666666668</v>
      </c>
    </row>
    <row r="393" spans="1:7" hidden="1" x14ac:dyDescent="0.25">
      <c r="A393" s="28">
        <v>43497</v>
      </c>
      <c r="B393" s="27" t="s">
        <v>32</v>
      </c>
      <c r="C393" s="27" t="s">
        <v>50</v>
      </c>
      <c r="D393" s="27" t="s">
        <v>7</v>
      </c>
      <c r="E393" s="27" t="s">
        <v>10</v>
      </c>
      <c r="F393" s="29"/>
      <c r="G393" s="30">
        <v>25</v>
      </c>
    </row>
    <row r="394" spans="1:7" hidden="1" x14ac:dyDescent="0.25">
      <c r="A394" s="28">
        <v>43497</v>
      </c>
      <c r="B394" s="27" t="s">
        <v>32</v>
      </c>
      <c r="C394" s="27" t="s">
        <v>50</v>
      </c>
      <c r="D394" s="27" t="s">
        <v>7</v>
      </c>
      <c r="E394" s="27" t="s">
        <v>204</v>
      </c>
      <c r="F394" s="29"/>
      <c r="G394" s="30">
        <v>18</v>
      </c>
    </row>
    <row r="395" spans="1:7" hidden="1" x14ac:dyDescent="0.25">
      <c r="A395" s="28">
        <v>43497</v>
      </c>
      <c r="B395" s="27" t="s">
        <v>5</v>
      </c>
      <c r="C395" s="27" t="s">
        <v>51</v>
      </c>
      <c r="D395" s="27" t="s">
        <v>51</v>
      </c>
      <c r="E395" s="27" t="s">
        <v>8</v>
      </c>
      <c r="F395" s="29">
        <v>770</v>
      </c>
      <c r="G395" s="30">
        <v>24.190404486326209</v>
      </c>
    </row>
    <row r="396" spans="1:7" hidden="1" x14ac:dyDescent="0.25">
      <c r="A396" s="28">
        <v>43497</v>
      </c>
      <c r="B396" s="27" t="s">
        <v>5</v>
      </c>
      <c r="C396" s="27" t="s">
        <v>51</v>
      </c>
      <c r="D396" s="27" t="s">
        <v>51</v>
      </c>
      <c r="E396" s="27" t="s">
        <v>9</v>
      </c>
      <c r="F396" s="29">
        <v>5725</v>
      </c>
      <c r="G396" s="30">
        <v>3.3676394098057374</v>
      </c>
    </row>
    <row r="397" spans="1:7" hidden="1" x14ac:dyDescent="0.25">
      <c r="A397" s="28">
        <v>43497</v>
      </c>
      <c r="B397" s="27" t="s">
        <v>5</v>
      </c>
      <c r="C397" s="27" t="s">
        <v>51</v>
      </c>
      <c r="D397" s="27" t="s">
        <v>51</v>
      </c>
      <c r="E397" s="27" t="s">
        <v>64</v>
      </c>
      <c r="F397" s="29">
        <v>4542.875</v>
      </c>
      <c r="G397" s="30">
        <v>3.6968677591036183</v>
      </c>
    </row>
    <row r="398" spans="1:7" hidden="1" x14ac:dyDescent="0.25">
      <c r="A398" s="28">
        <v>43497</v>
      </c>
      <c r="B398" s="27" t="s">
        <v>5</v>
      </c>
      <c r="C398" s="27" t="s">
        <v>51</v>
      </c>
      <c r="D398" s="27" t="s">
        <v>51</v>
      </c>
      <c r="E398" s="27" t="s">
        <v>21</v>
      </c>
      <c r="F398" s="29">
        <v>4542.875</v>
      </c>
      <c r="G398" s="30">
        <v>4.6923506122894683</v>
      </c>
    </row>
    <row r="399" spans="1:7" hidden="1" x14ac:dyDescent="0.25">
      <c r="A399" s="28">
        <v>43497</v>
      </c>
      <c r="B399" s="27" t="s">
        <v>5</v>
      </c>
      <c r="C399" s="27" t="s">
        <v>51</v>
      </c>
      <c r="D399" s="27" t="s">
        <v>51</v>
      </c>
      <c r="E399" s="27" t="s">
        <v>21</v>
      </c>
      <c r="F399" s="29">
        <v>4517</v>
      </c>
      <c r="G399" s="30">
        <v>2.8495726782830455</v>
      </c>
    </row>
    <row r="400" spans="1:7" hidden="1" x14ac:dyDescent="0.25">
      <c r="A400" s="28">
        <v>43497</v>
      </c>
      <c r="B400" s="27" t="s">
        <v>5</v>
      </c>
      <c r="C400" s="27" t="s">
        <v>51</v>
      </c>
      <c r="D400" s="27" t="s">
        <v>51</v>
      </c>
      <c r="E400" s="27" t="s">
        <v>10</v>
      </c>
      <c r="F400" s="29">
        <v>2698</v>
      </c>
      <c r="G400" s="30">
        <v>5.974801317446695</v>
      </c>
    </row>
    <row r="401" spans="1:7" hidden="1" x14ac:dyDescent="0.25">
      <c r="A401" s="28">
        <v>43497</v>
      </c>
      <c r="B401" s="27" t="s">
        <v>5</v>
      </c>
      <c r="C401" s="27" t="s">
        <v>51</v>
      </c>
      <c r="D401" s="27" t="s">
        <v>51</v>
      </c>
      <c r="E401" s="27" t="s">
        <v>11</v>
      </c>
      <c r="F401" s="29">
        <v>3080</v>
      </c>
      <c r="G401" s="30">
        <v>3.6028465220144534</v>
      </c>
    </row>
    <row r="402" spans="1:7" hidden="1" x14ac:dyDescent="0.25">
      <c r="A402" s="28">
        <v>43497</v>
      </c>
      <c r="B402" s="27" t="s">
        <v>5</v>
      </c>
      <c r="C402" s="27" t="s">
        <v>51</v>
      </c>
      <c r="D402" s="27" t="s">
        <v>51</v>
      </c>
      <c r="E402" s="27" t="s">
        <v>12</v>
      </c>
      <c r="F402" s="29">
        <v>3080</v>
      </c>
      <c r="G402" s="30">
        <v>3.8820286107590416</v>
      </c>
    </row>
    <row r="403" spans="1:7" hidden="1" x14ac:dyDescent="0.25">
      <c r="A403" s="28">
        <v>43497</v>
      </c>
      <c r="B403" s="27" t="s">
        <v>5</v>
      </c>
      <c r="C403" s="27" t="s">
        <v>51</v>
      </c>
      <c r="D403" s="27" t="s">
        <v>51</v>
      </c>
      <c r="E403" s="27" t="s">
        <v>13</v>
      </c>
      <c r="F403" s="29">
        <v>6607</v>
      </c>
      <c r="G403" s="30">
        <v>2.3777917039207681</v>
      </c>
    </row>
    <row r="404" spans="1:7" hidden="1" x14ac:dyDescent="0.25">
      <c r="A404" s="28">
        <v>43497</v>
      </c>
      <c r="B404" s="27" t="s">
        <v>5</v>
      </c>
      <c r="C404" s="27" t="s">
        <v>51</v>
      </c>
      <c r="D404" s="27" t="s">
        <v>51</v>
      </c>
      <c r="E404" s="27" t="s">
        <v>14</v>
      </c>
      <c r="F404" s="29">
        <v>2793</v>
      </c>
      <c r="G404" s="30">
        <v>3.632622552024531</v>
      </c>
    </row>
    <row r="405" spans="1:7" hidden="1" x14ac:dyDescent="0.25">
      <c r="A405" s="28">
        <v>43497</v>
      </c>
      <c r="B405" s="27" t="s">
        <v>5</v>
      </c>
      <c r="C405" s="27" t="s">
        <v>51</v>
      </c>
      <c r="D405" s="27" t="s">
        <v>51</v>
      </c>
      <c r="E405" s="27" t="s">
        <v>15</v>
      </c>
      <c r="F405" s="29">
        <v>6415</v>
      </c>
      <c r="G405" s="30">
        <v>2.3397074234041852</v>
      </c>
    </row>
    <row r="406" spans="1:7" hidden="1" x14ac:dyDescent="0.25">
      <c r="A406" s="28">
        <v>43497</v>
      </c>
      <c r="B406" s="27" t="s">
        <v>5</v>
      </c>
      <c r="C406" s="27" t="s">
        <v>51</v>
      </c>
      <c r="D406" s="27" t="s">
        <v>51</v>
      </c>
      <c r="E406" s="27" t="s">
        <v>16</v>
      </c>
      <c r="F406" s="29">
        <v>4930</v>
      </c>
      <c r="G406" s="30">
        <v>2.7491801462754255</v>
      </c>
    </row>
    <row r="407" spans="1:7" hidden="1" x14ac:dyDescent="0.25">
      <c r="A407" s="28">
        <v>43497</v>
      </c>
      <c r="B407" s="27" t="s">
        <v>5</v>
      </c>
      <c r="C407" s="27" t="s">
        <v>51</v>
      </c>
      <c r="D407" s="27" t="s">
        <v>51</v>
      </c>
      <c r="E407" s="27" t="s">
        <v>17</v>
      </c>
      <c r="F407" s="29">
        <v>8914</v>
      </c>
      <c r="G407" s="30">
        <v>2.0122919700625812</v>
      </c>
    </row>
    <row r="408" spans="1:7" hidden="1" x14ac:dyDescent="0.25">
      <c r="A408" s="28">
        <v>43497</v>
      </c>
      <c r="B408" s="27" t="s">
        <v>5</v>
      </c>
      <c r="C408" s="27" t="s">
        <v>51</v>
      </c>
      <c r="D408" s="27" t="s">
        <v>51</v>
      </c>
      <c r="E408" s="27" t="s">
        <v>18</v>
      </c>
      <c r="F408" s="29">
        <v>9659</v>
      </c>
      <c r="G408" s="30">
        <v>1.216652409269888</v>
      </c>
    </row>
    <row r="409" spans="1:7" hidden="1" x14ac:dyDescent="0.25">
      <c r="A409" s="28">
        <v>43497</v>
      </c>
      <c r="B409" s="27" t="s">
        <v>5</v>
      </c>
      <c r="C409" s="27" t="s">
        <v>51</v>
      </c>
      <c r="D409" s="27" t="s">
        <v>51</v>
      </c>
      <c r="E409" s="27" t="s">
        <v>19</v>
      </c>
      <c r="F409" s="29">
        <v>3423</v>
      </c>
      <c r="G409" s="30">
        <v>4.1424758363437082</v>
      </c>
    </row>
    <row r="410" spans="1:7" hidden="1" x14ac:dyDescent="0.25">
      <c r="A410" s="28">
        <v>43497</v>
      </c>
      <c r="B410" s="27" t="s">
        <v>180</v>
      </c>
      <c r="C410" s="27" t="s">
        <v>50</v>
      </c>
      <c r="D410" s="27" t="s">
        <v>7</v>
      </c>
      <c r="E410" s="27" t="s">
        <v>8</v>
      </c>
      <c r="F410" s="29"/>
      <c r="G410" s="30">
        <v>7416</v>
      </c>
    </row>
    <row r="411" spans="1:7" hidden="1" x14ac:dyDescent="0.25">
      <c r="A411" s="28">
        <v>43497</v>
      </c>
      <c r="B411" s="27" t="s">
        <v>180</v>
      </c>
      <c r="C411" s="27" t="s">
        <v>50</v>
      </c>
      <c r="D411" s="27" t="s">
        <v>7</v>
      </c>
      <c r="E411" s="27" t="s">
        <v>9</v>
      </c>
      <c r="F411" s="29"/>
      <c r="G411" s="30">
        <v>4860</v>
      </c>
    </row>
    <row r="412" spans="1:7" hidden="1" x14ac:dyDescent="0.25">
      <c r="A412" s="28">
        <v>43497</v>
      </c>
      <c r="B412" s="27" t="s">
        <v>180</v>
      </c>
      <c r="C412" s="27" t="s">
        <v>50</v>
      </c>
      <c r="D412" s="27" t="s">
        <v>7</v>
      </c>
      <c r="E412" s="27" t="s">
        <v>64</v>
      </c>
      <c r="F412" s="29"/>
      <c r="G412" s="30">
        <v>1745</v>
      </c>
    </row>
    <row r="413" spans="1:7" hidden="1" x14ac:dyDescent="0.25">
      <c r="A413" s="28">
        <v>43497</v>
      </c>
      <c r="B413" s="27" t="s">
        <v>180</v>
      </c>
      <c r="C413" s="27" t="s">
        <v>50</v>
      </c>
      <c r="D413" s="27" t="s">
        <v>7</v>
      </c>
      <c r="E413" s="27" t="s">
        <v>21</v>
      </c>
      <c r="F413" s="29"/>
      <c r="G413" s="30">
        <v>8329</v>
      </c>
    </row>
    <row r="414" spans="1:7" hidden="1" x14ac:dyDescent="0.25">
      <c r="A414" s="28">
        <v>43497</v>
      </c>
      <c r="B414" s="27" t="s">
        <v>180</v>
      </c>
      <c r="C414" s="27" t="s">
        <v>50</v>
      </c>
      <c r="D414" s="27" t="s">
        <v>7</v>
      </c>
      <c r="E414" s="27" t="s">
        <v>21</v>
      </c>
      <c r="F414" s="29"/>
      <c r="G414" s="30">
        <v>310.75</v>
      </c>
    </row>
    <row r="415" spans="1:7" hidden="1" x14ac:dyDescent="0.25">
      <c r="A415" s="28">
        <v>43497</v>
      </c>
      <c r="B415" s="27" t="s">
        <v>180</v>
      </c>
      <c r="C415" s="27" t="s">
        <v>50</v>
      </c>
      <c r="D415" s="27" t="s">
        <v>7</v>
      </c>
      <c r="E415" s="27" t="s">
        <v>10</v>
      </c>
      <c r="F415" s="29"/>
      <c r="G415" s="30">
        <v>1790.09</v>
      </c>
    </row>
    <row r="416" spans="1:7" hidden="1" x14ac:dyDescent="0.25">
      <c r="A416" s="28">
        <v>43497</v>
      </c>
      <c r="B416" s="27" t="s">
        <v>180</v>
      </c>
      <c r="C416" s="27" t="s">
        <v>50</v>
      </c>
      <c r="D416" s="27" t="s">
        <v>7</v>
      </c>
      <c r="E416" s="27" t="s">
        <v>11</v>
      </c>
      <c r="F416" s="29"/>
      <c r="G416" s="30">
        <v>167.8</v>
      </c>
    </row>
    <row r="417" spans="1:7" hidden="1" x14ac:dyDescent="0.25">
      <c r="A417" s="28">
        <v>43497</v>
      </c>
      <c r="B417" s="27" t="s">
        <v>180</v>
      </c>
      <c r="C417" s="27" t="s">
        <v>50</v>
      </c>
      <c r="D417" s="27" t="s">
        <v>7</v>
      </c>
      <c r="E417" s="27" t="s">
        <v>12</v>
      </c>
      <c r="F417" s="29"/>
      <c r="G417" s="30">
        <v>714.29</v>
      </c>
    </row>
    <row r="418" spans="1:7" hidden="1" x14ac:dyDescent="0.25">
      <c r="A418" s="28">
        <v>43497</v>
      </c>
      <c r="B418" s="27" t="s">
        <v>180</v>
      </c>
      <c r="C418" s="27" t="s">
        <v>50</v>
      </c>
      <c r="D418" s="27" t="s">
        <v>7</v>
      </c>
      <c r="E418" s="27" t="s">
        <v>13</v>
      </c>
      <c r="F418" s="29"/>
      <c r="G418" s="30">
        <v>83</v>
      </c>
    </row>
    <row r="419" spans="1:7" hidden="1" x14ac:dyDescent="0.25">
      <c r="A419" s="28">
        <v>43497</v>
      </c>
      <c r="B419" s="27" t="s">
        <v>180</v>
      </c>
      <c r="C419" s="27" t="s">
        <v>50</v>
      </c>
      <c r="D419" s="27" t="s">
        <v>7</v>
      </c>
      <c r="E419" s="27" t="s">
        <v>15</v>
      </c>
      <c r="F419" s="29"/>
      <c r="G419" s="30">
        <v>140</v>
      </c>
    </row>
    <row r="420" spans="1:7" hidden="1" x14ac:dyDescent="0.25">
      <c r="A420" s="28">
        <v>43497</v>
      </c>
      <c r="B420" s="27" t="s">
        <v>180</v>
      </c>
      <c r="C420" s="27" t="s">
        <v>50</v>
      </c>
      <c r="D420" s="27" t="s">
        <v>7</v>
      </c>
      <c r="E420" s="27" t="s">
        <v>16</v>
      </c>
      <c r="F420" s="29"/>
      <c r="G420" s="30">
        <v>180</v>
      </c>
    </row>
    <row r="421" spans="1:7" hidden="1" x14ac:dyDescent="0.25">
      <c r="A421" s="28">
        <v>43497</v>
      </c>
      <c r="B421" s="27" t="s">
        <v>180</v>
      </c>
      <c r="C421" s="27" t="s">
        <v>50</v>
      </c>
      <c r="D421" s="27" t="s">
        <v>7</v>
      </c>
      <c r="E421" s="27" t="s">
        <v>17</v>
      </c>
      <c r="F421" s="29"/>
      <c r="G421" s="30">
        <v>811.12</v>
      </c>
    </row>
    <row r="422" spans="1:7" hidden="1" x14ac:dyDescent="0.25">
      <c r="A422" s="28">
        <v>43497</v>
      </c>
      <c r="B422" s="27" t="s">
        <v>180</v>
      </c>
      <c r="C422" s="27" t="s">
        <v>50</v>
      </c>
      <c r="D422" s="27" t="s">
        <v>7</v>
      </c>
      <c r="E422" s="27" t="s">
        <v>18</v>
      </c>
      <c r="F422" s="29"/>
      <c r="G422" s="30">
        <v>288</v>
      </c>
    </row>
    <row r="423" spans="1:7" hidden="1" x14ac:dyDescent="0.25">
      <c r="A423" s="28">
        <v>43497</v>
      </c>
      <c r="B423" s="27" t="s">
        <v>180</v>
      </c>
      <c r="C423" s="27" t="s">
        <v>50</v>
      </c>
      <c r="D423" s="27" t="s">
        <v>7</v>
      </c>
      <c r="E423" s="27" t="s">
        <v>204</v>
      </c>
      <c r="F423" s="29"/>
      <c r="G423" s="30">
        <v>502</v>
      </c>
    </row>
    <row r="424" spans="1:7" hidden="1" x14ac:dyDescent="0.25">
      <c r="A424" s="28">
        <v>43497</v>
      </c>
      <c r="B424" s="27" t="s">
        <v>180</v>
      </c>
      <c r="C424" s="27" t="s">
        <v>50</v>
      </c>
      <c r="D424" s="27" t="s">
        <v>7</v>
      </c>
      <c r="E424" s="27" t="s">
        <v>37</v>
      </c>
      <c r="F424" s="29"/>
      <c r="G424" s="30">
        <v>1220</v>
      </c>
    </row>
    <row r="425" spans="1:7" hidden="1" x14ac:dyDescent="0.25">
      <c r="A425" s="28">
        <v>43497</v>
      </c>
      <c r="B425" s="27" t="s">
        <v>181</v>
      </c>
      <c r="C425" s="27" t="s">
        <v>50</v>
      </c>
      <c r="D425" s="27" t="s">
        <v>6</v>
      </c>
      <c r="E425" s="27" t="s">
        <v>18</v>
      </c>
      <c r="F425" s="29"/>
      <c r="G425" s="30">
        <v>80</v>
      </c>
    </row>
    <row r="426" spans="1:7" hidden="1" x14ac:dyDescent="0.25">
      <c r="A426" s="28">
        <v>43497</v>
      </c>
      <c r="B426" s="27" t="s">
        <v>25</v>
      </c>
      <c r="C426" s="27" t="s">
        <v>50</v>
      </c>
      <c r="D426" s="27" t="s">
        <v>7</v>
      </c>
      <c r="E426" s="27" t="s">
        <v>8</v>
      </c>
      <c r="F426" s="29"/>
      <c r="G426" s="30">
        <v>102.74058823529413</v>
      </c>
    </row>
    <row r="427" spans="1:7" hidden="1" x14ac:dyDescent="0.25">
      <c r="A427" s="28">
        <v>43497</v>
      </c>
      <c r="B427" s="27" t="s">
        <v>25</v>
      </c>
      <c r="C427" s="27" t="s">
        <v>50</v>
      </c>
      <c r="D427" s="27" t="s">
        <v>7</v>
      </c>
      <c r="E427" s="27" t="s">
        <v>9</v>
      </c>
      <c r="F427" s="29"/>
      <c r="G427" s="30">
        <v>102.74058823529413</v>
      </c>
    </row>
    <row r="428" spans="1:7" hidden="1" x14ac:dyDescent="0.25">
      <c r="A428" s="28">
        <v>43497</v>
      </c>
      <c r="B428" s="27" t="s">
        <v>25</v>
      </c>
      <c r="C428" s="27" t="s">
        <v>50</v>
      </c>
      <c r="D428" s="27" t="s">
        <v>7</v>
      </c>
      <c r="E428" s="27" t="s">
        <v>64</v>
      </c>
      <c r="F428" s="29"/>
      <c r="G428" s="30">
        <v>102.74058823529413</v>
      </c>
    </row>
    <row r="429" spans="1:7" hidden="1" x14ac:dyDescent="0.25">
      <c r="A429" s="28">
        <v>43497</v>
      </c>
      <c r="B429" s="27" t="s">
        <v>25</v>
      </c>
      <c r="C429" s="27" t="s">
        <v>50</v>
      </c>
      <c r="D429" s="27" t="s">
        <v>7</v>
      </c>
      <c r="E429" s="27" t="s">
        <v>21</v>
      </c>
      <c r="F429" s="29"/>
      <c r="G429" s="30">
        <v>102.74058823529413</v>
      </c>
    </row>
    <row r="430" spans="1:7" hidden="1" x14ac:dyDescent="0.25">
      <c r="A430" s="28">
        <v>43497</v>
      </c>
      <c r="B430" s="27" t="s">
        <v>25</v>
      </c>
      <c r="C430" s="27" t="s">
        <v>50</v>
      </c>
      <c r="D430" s="27" t="s">
        <v>7</v>
      </c>
      <c r="E430" s="27" t="s">
        <v>21</v>
      </c>
      <c r="F430" s="29"/>
      <c r="G430" s="30">
        <v>102.74058823529413</v>
      </c>
    </row>
    <row r="431" spans="1:7" hidden="1" x14ac:dyDescent="0.25">
      <c r="A431" s="28">
        <v>43497</v>
      </c>
      <c r="B431" s="27" t="s">
        <v>25</v>
      </c>
      <c r="C431" s="27" t="s">
        <v>50</v>
      </c>
      <c r="D431" s="27" t="s">
        <v>7</v>
      </c>
      <c r="E431" s="27" t="s">
        <v>10</v>
      </c>
      <c r="F431" s="29"/>
      <c r="G431" s="30">
        <v>102.74058823529413</v>
      </c>
    </row>
    <row r="432" spans="1:7" hidden="1" x14ac:dyDescent="0.25">
      <c r="A432" s="28">
        <v>43497</v>
      </c>
      <c r="B432" s="27" t="s">
        <v>25</v>
      </c>
      <c r="C432" s="27" t="s">
        <v>50</v>
      </c>
      <c r="D432" s="27" t="s">
        <v>7</v>
      </c>
      <c r="E432" s="27" t="s">
        <v>11</v>
      </c>
      <c r="F432" s="29"/>
      <c r="G432" s="30">
        <v>102.74058823529413</v>
      </c>
    </row>
    <row r="433" spans="1:7" hidden="1" x14ac:dyDescent="0.25">
      <c r="A433" s="28">
        <v>43497</v>
      </c>
      <c r="B433" s="27" t="s">
        <v>25</v>
      </c>
      <c r="C433" s="27" t="s">
        <v>50</v>
      </c>
      <c r="D433" s="27" t="s">
        <v>7</v>
      </c>
      <c r="E433" s="27" t="s">
        <v>12</v>
      </c>
      <c r="F433" s="29"/>
      <c r="G433" s="30">
        <v>102.74058823529413</v>
      </c>
    </row>
    <row r="434" spans="1:7" hidden="1" x14ac:dyDescent="0.25">
      <c r="A434" s="28">
        <v>43497</v>
      </c>
      <c r="B434" s="27" t="s">
        <v>25</v>
      </c>
      <c r="C434" s="27" t="s">
        <v>50</v>
      </c>
      <c r="D434" s="27" t="s">
        <v>7</v>
      </c>
      <c r="E434" s="27" t="s">
        <v>13</v>
      </c>
      <c r="F434" s="29"/>
      <c r="G434" s="30">
        <v>102.74058823529413</v>
      </c>
    </row>
    <row r="435" spans="1:7" hidden="1" x14ac:dyDescent="0.25">
      <c r="A435" s="28">
        <v>43497</v>
      </c>
      <c r="B435" s="27" t="s">
        <v>25</v>
      </c>
      <c r="C435" s="27" t="s">
        <v>50</v>
      </c>
      <c r="D435" s="27" t="s">
        <v>7</v>
      </c>
      <c r="E435" s="27" t="s">
        <v>14</v>
      </c>
      <c r="F435" s="29"/>
      <c r="G435" s="30">
        <v>102.74058823529413</v>
      </c>
    </row>
    <row r="436" spans="1:7" hidden="1" x14ac:dyDescent="0.25">
      <c r="A436" s="28">
        <v>43497</v>
      </c>
      <c r="B436" s="27" t="s">
        <v>25</v>
      </c>
      <c r="C436" s="27" t="s">
        <v>50</v>
      </c>
      <c r="D436" s="27" t="s">
        <v>7</v>
      </c>
      <c r="E436" s="27" t="s">
        <v>15</v>
      </c>
      <c r="F436" s="29"/>
      <c r="G436" s="30">
        <v>102.74058823529413</v>
      </c>
    </row>
    <row r="437" spans="1:7" hidden="1" x14ac:dyDescent="0.25">
      <c r="A437" s="28">
        <v>43497</v>
      </c>
      <c r="B437" s="27" t="s">
        <v>25</v>
      </c>
      <c r="C437" s="27" t="s">
        <v>50</v>
      </c>
      <c r="D437" s="27" t="s">
        <v>7</v>
      </c>
      <c r="E437" s="27" t="s">
        <v>16</v>
      </c>
      <c r="F437" s="29"/>
      <c r="G437" s="30">
        <v>102.74058823529413</v>
      </c>
    </row>
    <row r="438" spans="1:7" hidden="1" x14ac:dyDescent="0.25">
      <c r="A438" s="28">
        <v>43497</v>
      </c>
      <c r="B438" s="27" t="s">
        <v>25</v>
      </c>
      <c r="C438" s="27" t="s">
        <v>50</v>
      </c>
      <c r="D438" s="27" t="s">
        <v>7</v>
      </c>
      <c r="E438" s="27" t="s">
        <v>17</v>
      </c>
      <c r="F438" s="29"/>
      <c r="G438" s="30">
        <v>102.74058823529413</v>
      </c>
    </row>
    <row r="439" spans="1:7" hidden="1" x14ac:dyDescent="0.25">
      <c r="A439" s="28">
        <v>43497</v>
      </c>
      <c r="B439" s="27" t="s">
        <v>25</v>
      </c>
      <c r="C439" s="27" t="s">
        <v>50</v>
      </c>
      <c r="D439" s="27" t="s">
        <v>7</v>
      </c>
      <c r="E439" s="27" t="s">
        <v>18</v>
      </c>
      <c r="F439" s="29"/>
      <c r="G439" s="30">
        <v>102.74058823529413</v>
      </c>
    </row>
    <row r="440" spans="1:7" hidden="1" x14ac:dyDescent="0.25">
      <c r="A440" s="28">
        <v>43497</v>
      </c>
      <c r="B440" s="27" t="s">
        <v>25</v>
      </c>
      <c r="C440" s="27" t="s">
        <v>50</v>
      </c>
      <c r="D440" s="27" t="s">
        <v>7</v>
      </c>
      <c r="E440" s="27" t="s">
        <v>19</v>
      </c>
      <c r="F440" s="29"/>
      <c r="G440" s="30">
        <v>102.74058823529413</v>
      </c>
    </row>
    <row r="441" spans="1:7" hidden="1" x14ac:dyDescent="0.25">
      <c r="A441" s="28">
        <v>43497</v>
      </c>
      <c r="B441" s="27" t="s">
        <v>25</v>
      </c>
      <c r="C441" s="27" t="s">
        <v>50</v>
      </c>
      <c r="D441" s="27" t="s">
        <v>7</v>
      </c>
      <c r="E441" s="27" t="s">
        <v>204</v>
      </c>
      <c r="F441" s="29"/>
      <c r="G441" s="30">
        <v>102.74058823529413</v>
      </c>
    </row>
    <row r="442" spans="1:7" hidden="1" x14ac:dyDescent="0.25">
      <c r="A442" s="28">
        <v>43497</v>
      </c>
      <c r="B442" s="27" t="s">
        <v>25</v>
      </c>
      <c r="C442" s="27" t="s">
        <v>50</v>
      </c>
      <c r="D442" s="27" t="s">
        <v>7</v>
      </c>
      <c r="E442" s="27" t="s">
        <v>205</v>
      </c>
      <c r="F442" s="29"/>
      <c r="G442" s="30">
        <v>102.74058823529413</v>
      </c>
    </row>
    <row r="443" spans="1:7" hidden="1" x14ac:dyDescent="0.25">
      <c r="A443" s="28">
        <v>43497</v>
      </c>
      <c r="B443" s="27" t="s">
        <v>2</v>
      </c>
      <c r="C443" s="27" t="s">
        <v>50</v>
      </c>
      <c r="D443" s="27" t="s">
        <v>7</v>
      </c>
      <c r="E443" s="27" t="s">
        <v>8</v>
      </c>
      <c r="F443" s="29"/>
      <c r="G443" s="30">
        <v>304.76</v>
      </c>
    </row>
    <row r="444" spans="1:7" hidden="1" x14ac:dyDescent="0.25">
      <c r="A444" s="28">
        <v>43497</v>
      </c>
      <c r="B444" s="27" t="s">
        <v>2</v>
      </c>
      <c r="C444" s="27" t="s">
        <v>50</v>
      </c>
      <c r="D444" s="27" t="s">
        <v>7</v>
      </c>
      <c r="E444" s="27" t="s">
        <v>9</v>
      </c>
      <c r="F444" s="29"/>
      <c r="G444" s="30">
        <v>563.32000000000005</v>
      </c>
    </row>
    <row r="445" spans="1:7" hidden="1" x14ac:dyDescent="0.25">
      <c r="A445" s="28">
        <v>43497</v>
      </c>
      <c r="B445" s="27" t="s">
        <v>2</v>
      </c>
      <c r="C445" s="27" t="s">
        <v>50</v>
      </c>
      <c r="D445" s="27" t="s">
        <v>7</v>
      </c>
      <c r="E445" s="27" t="s">
        <v>64</v>
      </c>
      <c r="F445" s="29"/>
      <c r="G445" s="30">
        <v>1202.3599999999999</v>
      </c>
    </row>
    <row r="446" spans="1:7" hidden="1" x14ac:dyDescent="0.25">
      <c r="A446" s="28">
        <v>43497</v>
      </c>
      <c r="B446" s="27" t="s">
        <v>2</v>
      </c>
      <c r="C446" s="27" t="s">
        <v>50</v>
      </c>
      <c r="D446" s="27" t="s">
        <v>7</v>
      </c>
      <c r="E446" s="27" t="s">
        <v>21</v>
      </c>
      <c r="F446" s="29"/>
      <c r="G446" s="30">
        <v>549.36</v>
      </c>
    </row>
    <row r="447" spans="1:7" hidden="1" x14ac:dyDescent="0.25">
      <c r="A447" s="28">
        <v>43497</v>
      </c>
      <c r="B447" s="27" t="s">
        <v>2</v>
      </c>
      <c r="C447" s="27" t="s">
        <v>50</v>
      </c>
      <c r="D447" s="27" t="s">
        <v>7</v>
      </c>
      <c r="E447" s="27" t="s">
        <v>21</v>
      </c>
      <c r="F447" s="29"/>
      <c r="G447" s="30">
        <v>505.36</v>
      </c>
    </row>
    <row r="448" spans="1:7" hidden="1" x14ac:dyDescent="0.25">
      <c r="A448" s="28">
        <v>43497</v>
      </c>
      <c r="B448" s="27" t="s">
        <v>2</v>
      </c>
      <c r="C448" s="27" t="s">
        <v>50</v>
      </c>
      <c r="D448" s="27" t="s">
        <v>7</v>
      </c>
      <c r="E448" s="27" t="s">
        <v>10</v>
      </c>
      <c r="F448" s="29"/>
      <c r="G448" s="30">
        <v>751.56</v>
      </c>
    </row>
    <row r="449" spans="1:7" hidden="1" x14ac:dyDescent="0.25">
      <c r="A449" s="28">
        <v>43497</v>
      </c>
      <c r="B449" s="27" t="s">
        <v>2</v>
      </c>
      <c r="C449" s="27" t="s">
        <v>50</v>
      </c>
      <c r="D449" s="27" t="s">
        <v>7</v>
      </c>
      <c r="E449" s="27" t="s">
        <v>11</v>
      </c>
      <c r="F449" s="29"/>
      <c r="G449" s="30">
        <v>396.56</v>
      </c>
    </row>
    <row r="450" spans="1:7" hidden="1" x14ac:dyDescent="0.25">
      <c r="A450" s="28">
        <v>43497</v>
      </c>
      <c r="B450" s="27" t="s">
        <v>2</v>
      </c>
      <c r="C450" s="27" t="s">
        <v>50</v>
      </c>
      <c r="D450" s="27" t="s">
        <v>7</v>
      </c>
      <c r="E450" s="27" t="s">
        <v>12</v>
      </c>
      <c r="F450" s="29"/>
      <c r="G450" s="30">
        <v>425.96</v>
      </c>
    </row>
    <row r="451" spans="1:7" hidden="1" x14ac:dyDescent="0.25">
      <c r="A451" s="28">
        <v>43497</v>
      </c>
      <c r="B451" s="27" t="s">
        <v>2</v>
      </c>
      <c r="C451" s="27" t="s">
        <v>50</v>
      </c>
      <c r="D451" s="27" t="s">
        <v>7</v>
      </c>
      <c r="E451" s="27" t="s">
        <v>13</v>
      </c>
      <c r="F451" s="29"/>
      <c r="G451" s="30">
        <v>1159.76</v>
      </c>
    </row>
    <row r="452" spans="1:7" hidden="1" x14ac:dyDescent="0.25">
      <c r="A452" s="28">
        <v>43497</v>
      </c>
      <c r="B452" s="27" t="s">
        <v>2</v>
      </c>
      <c r="C452" s="27" t="s">
        <v>50</v>
      </c>
      <c r="D452" s="27" t="s">
        <v>7</v>
      </c>
      <c r="E452" s="27" t="s">
        <v>14</v>
      </c>
      <c r="F452" s="29"/>
      <c r="G452" s="30">
        <v>200.27</v>
      </c>
    </row>
    <row r="453" spans="1:7" hidden="1" x14ac:dyDescent="0.25">
      <c r="A453" s="28">
        <v>43497</v>
      </c>
      <c r="B453" s="27" t="s">
        <v>2</v>
      </c>
      <c r="C453" s="27" t="s">
        <v>50</v>
      </c>
      <c r="D453" s="27" t="s">
        <v>7</v>
      </c>
      <c r="E453" s="27" t="s">
        <v>15</v>
      </c>
      <c r="F453" s="29"/>
      <c r="G453" s="30">
        <v>801.62</v>
      </c>
    </row>
    <row r="454" spans="1:7" hidden="1" x14ac:dyDescent="0.25">
      <c r="A454" s="28">
        <v>43497</v>
      </c>
      <c r="B454" s="27" t="s">
        <v>2</v>
      </c>
      <c r="C454" s="27" t="s">
        <v>50</v>
      </c>
      <c r="D454" s="27" t="s">
        <v>7</v>
      </c>
      <c r="E454" s="27" t="s">
        <v>16</v>
      </c>
      <c r="F454" s="29"/>
      <c r="G454" s="30">
        <v>469.02</v>
      </c>
    </row>
    <row r="455" spans="1:7" hidden="1" x14ac:dyDescent="0.25">
      <c r="A455" s="28">
        <v>43497</v>
      </c>
      <c r="B455" s="27" t="s">
        <v>2</v>
      </c>
      <c r="C455" s="27" t="s">
        <v>50</v>
      </c>
      <c r="D455" s="27" t="s">
        <v>7</v>
      </c>
      <c r="E455" s="27" t="s">
        <v>17</v>
      </c>
      <c r="F455" s="29"/>
      <c r="G455" s="30">
        <v>1200.52</v>
      </c>
    </row>
    <row r="456" spans="1:7" hidden="1" x14ac:dyDescent="0.25">
      <c r="A456" s="28">
        <v>43497</v>
      </c>
      <c r="B456" s="27" t="s">
        <v>2</v>
      </c>
      <c r="C456" s="27" t="s">
        <v>50</v>
      </c>
      <c r="D456" s="27" t="s">
        <v>7</v>
      </c>
      <c r="E456" s="27" t="s">
        <v>18</v>
      </c>
      <c r="F456" s="29"/>
      <c r="G456" s="30">
        <v>335.17</v>
      </c>
    </row>
    <row r="457" spans="1:7" hidden="1" x14ac:dyDescent="0.25">
      <c r="A457" s="28">
        <v>43497</v>
      </c>
      <c r="B457" s="27" t="s">
        <v>2</v>
      </c>
      <c r="C457" s="27" t="s">
        <v>50</v>
      </c>
      <c r="D457" s="27" t="s">
        <v>7</v>
      </c>
      <c r="E457" s="27" t="s">
        <v>19</v>
      </c>
      <c r="F457" s="29"/>
      <c r="G457" s="30">
        <v>651.82000000000005</v>
      </c>
    </row>
    <row r="458" spans="1:7" hidden="1" x14ac:dyDescent="0.25">
      <c r="A458" s="28">
        <v>43497</v>
      </c>
      <c r="B458" s="27" t="s">
        <v>2</v>
      </c>
      <c r="C458" s="27" t="s">
        <v>50</v>
      </c>
      <c r="D458" s="27" t="s">
        <v>7</v>
      </c>
      <c r="E458" s="27" t="s">
        <v>204</v>
      </c>
      <c r="F458" s="29"/>
      <c r="G458" s="30">
        <v>151.77000000000001</v>
      </c>
    </row>
    <row r="459" spans="1:7" hidden="1" x14ac:dyDescent="0.25">
      <c r="A459" s="28">
        <v>43497</v>
      </c>
      <c r="B459" s="27" t="s">
        <v>2</v>
      </c>
      <c r="C459" s="27" t="s">
        <v>50</v>
      </c>
      <c r="D459" s="27" t="s">
        <v>7</v>
      </c>
      <c r="E459" s="27" t="s">
        <v>205</v>
      </c>
      <c r="F459" s="29"/>
      <c r="G459" s="30">
        <v>24.17</v>
      </c>
    </row>
    <row r="460" spans="1:7" hidden="1" x14ac:dyDescent="0.25">
      <c r="A460" s="28">
        <v>43497</v>
      </c>
      <c r="B460" s="27" t="s">
        <v>36</v>
      </c>
      <c r="C460" s="27" t="s">
        <v>50</v>
      </c>
      <c r="D460" s="27" t="s">
        <v>6</v>
      </c>
      <c r="E460" s="27" t="s">
        <v>8</v>
      </c>
      <c r="F460" s="29"/>
      <c r="G460" s="30">
        <v>436.62</v>
      </c>
    </row>
    <row r="461" spans="1:7" hidden="1" x14ac:dyDescent="0.25">
      <c r="A461" s="28">
        <v>43497</v>
      </c>
      <c r="B461" s="27" t="s">
        <v>36</v>
      </c>
      <c r="C461" s="27" t="s">
        <v>50</v>
      </c>
      <c r="D461" s="27" t="s">
        <v>6</v>
      </c>
      <c r="E461" s="27" t="s">
        <v>9</v>
      </c>
      <c r="F461" s="29"/>
      <c r="G461" s="30">
        <v>54</v>
      </c>
    </row>
    <row r="462" spans="1:7" hidden="1" x14ac:dyDescent="0.25">
      <c r="A462" s="28">
        <v>43497</v>
      </c>
      <c r="B462" s="27" t="s">
        <v>36</v>
      </c>
      <c r="C462" s="27" t="s">
        <v>50</v>
      </c>
      <c r="D462" s="27" t="s">
        <v>6</v>
      </c>
      <c r="E462" s="27" t="s">
        <v>64</v>
      </c>
      <c r="F462" s="29"/>
      <c r="G462" s="30">
        <v>54</v>
      </c>
    </row>
    <row r="463" spans="1:7" hidden="1" x14ac:dyDescent="0.25">
      <c r="A463" s="28">
        <v>43497</v>
      </c>
      <c r="B463" s="27" t="s">
        <v>36</v>
      </c>
      <c r="C463" s="27" t="s">
        <v>50</v>
      </c>
      <c r="D463" s="27" t="s">
        <v>6</v>
      </c>
      <c r="E463" s="27" t="s">
        <v>21</v>
      </c>
      <c r="F463" s="29"/>
      <c r="G463" s="30">
        <v>85.75</v>
      </c>
    </row>
    <row r="464" spans="1:7" hidden="1" x14ac:dyDescent="0.25">
      <c r="A464" s="28">
        <v>43497</v>
      </c>
      <c r="B464" s="27" t="s">
        <v>36</v>
      </c>
      <c r="C464" s="27" t="s">
        <v>50</v>
      </c>
      <c r="D464" s="27" t="s">
        <v>6</v>
      </c>
      <c r="E464" s="27" t="s">
        <v>21</v>
      </c>
      <c r="F464" s="29"/>
      <c r="G464" s="30">
        <v>85.75</v>
      </c>
    </row>
    <row r="465" spans="1:7" hidden="1" x14ac:dyDescent="0.25">
      <c r="A465" s="28">
        <v>43497</v>
      </c>
      <c r="B465" s="27" t="s">
        <v>36</v>
      </c>
      <c r="C465" s="27" t="s">
        <v>50</v>
      </c>
      <c r="D465" s="27" t="s">
        <v>6</v>
      </c>
      <c r="E465" s="27" t="s">
        <v>10</v>
      </c>
      <c r="F465" s="29"/>
      <c r="G465" s="30">
        <v>436.62</v>
      </c>
    </row>
    <row r="466" spans="1:7" hidden="1" x14ac:dyDescent="0.25">
      <c r="A466" s="28">
        <v>43497</v>
      </c>
      <c r="B466" s="27" t="s">
        <v>36</v>
      </c>
      <c r="C466" s="27" t="s">
        <v>50</v>
      </c>
      <c r="D466" s="27" t="s">
        <v>6</v>
      </c>
      <c r="E466" s="27" t="s">
        <v>11</v>
      </c>
      <c r="F466" s="29"/>
      <c r="G466" s="30">
        <v>73.88</v>
      </c>
    </row>
    <row r="467" spans="1:7" hidden="1" x14ac:dyDescent="0.25">
      <c r="A467" s="28">
        <v>43497</v>
      </c>
      <c r="B467" s="27" t="s">
        <v>36</v>
      </c>
      <c r="C467" s="27" t="s">
        <v>50</v>
      </c>
      <c r="D467" s="27" t="s">
        <v>6</v>
      </c>
      <c r="E467" s="27" t="s">
        <v>12</v>
      </c>
      <c r="F467" s="29"/>
      <c r="G467" s="30">
        <v>73.88</v>
      </c>
    </row>
    <row r="468" spans="1:7" hidden="1" x14ac:dyDescent="0.25">
      <c r="A468" s="28">
        <v>43497</v>
      </c>
      <c r="B468" s="27" t="s">
        <v>36</v>
      </c>
      <c r="C468" s="27" t="s">
        <v>50</v>
      </c>
      <c r="D468" s="27" t="s">
        <v>6</v>
      </c>
      <c r="E468" s="27" t="s">
        <v>13</v>
      </c>
      <c r="F468" s="29"/>
      <c r="G468" s="30">
        <v>54</v>
      </c>
    </row>
    <row r="469" spans="1:7" hidden="1" x14ac:dyDescent="0.25">
      <c r="A469" s="28">
        <v>43497</v>
      </c>
      <c r="B469" s="27" t="s">
        <v>36</v>
      </c>
      <c r="C469" s="27" t="s">
        <v>50</v>
      </c>
      <c r="D469" s="27" t="s">
        <v>6</v>
      </c>
      <c r="E469" s="27" t="s">
        <v>14</v>
      </c>
      <c r="F469" s="29"/>
      <c r="G469" s="30">
        <v>73.88</v>
      </c>
    </row>
    <row r="470" spans="1:7" hidden="1" x14ac:dyDescent="0.25">
      <c r="A470" s="28">
        <v>43497</v>
      </c>
      <c r="B470" s="27" t="s">
        <v>36</v>
      </c>
      <c r="C470" s="27" t="s">
        <v>50</v>
      </c>
      <c r="D470" s="27" t="s">
        <v>6</v>
      </c>
      <c r="E470" s="27" t="s">
        <v>15</v>
      </c>
      <c r="F470" s="29"/>
      <c r="G470" s="30">
        <v>54</v>
      </c>
    </row>
    <row r="471" spans="1:7" hidden="1" x14ac:dyDescent="0.25">
      <c r="A471" s="28">
        <v>43497</v>
      </c>
      <c r="B471" s="27" t="s">
        <v>36</v>
      </c>
      <c r="C471" s="27" t="s">
        <v>50</v>
      </c>
      <c r="D471" s="27" t="s">
        <v>6</v>
      </c>
      <c r="E471" s="27" t="s">
        <v>16</v>
      </c>
      <c r="F471" s="29"/>
      <c r="G471" s="30">
        <v>54</v>
      </c>
    </row>
    <row r="472" spans="1:7" hidden="1" x14ac:dyDescent="0.25">
      <c r="A472" s="28">
        <v>43497</v>
      </c>
      <c r="B472" s="27" t="s">
        <v>36</v>
      </c>
      <c r="C472" s="27" t="s">
        <v>50</v>
      </c>
      <c r="D472" s="27" t="s">
        <v>6</v>
      </c>
      <c r="E472" s="27" t="s">
        <v>18</v>
      </c>
      <c r="F472" s="29"/>
      <c r="G472" s="30">
        <v>54</v>
      </c>
    </row>
    <row r="473" spans="1:7" hidden="1" x14ac:dyDescent="0.25">
      <c r="A473" s="28">
        <v>43497</v>
      </c>
      <c r="B473" s="27" t="s">
        <v>36</v>
      </c>
      <c r="C473" s="27" t="s">
        <v>50</v>
      </c>
      <c r="D473" s="27" t="s">
        <v>6</v>
      </c>
      <c r="E473" s="27" t="s">
        <v>19</v>
      </c>
      <c r="F473" s="29"/>
      <c r="G473" s="30">
        <v>54</v>
      </c>
    </row>
    <row r="474" spans="1:7" hidden="1" x14ac:dyDescent="0.25">
      <c r="A474" s="28">
        <v>43497</v>
      </c>
      <c r="B474" s="27" t="s">
        <v>200</v>
      </c>
      <c r="C474" s="27" t="s">
        <v>53</v>
      </c>
      <c r="D474" s="27" t="s">
        <v>6</v>
      </c>
      <c r="E474" s="27" t="s">
        <v>8</v>
      </c>
      <c r="F474" s="29"/>
      <c r="G474" s="30">
        <f t="shared" ref="G474:G490" si="6">6576.65364444445/17</f>
        <v>386.86197908496763</v>
      </c>
    </row>
    <row r="475" spans="1:7" hidden="1" x14ac:dyDescent="0.25">
      <c r="A475" s="28">
        <v>43497</v>
      </c>
      <c r="B475" s="27" t="s">
        <v>200</v>
      </c>
      <c r="C475" s="27" t="s">
        <v>53</v>
      </c>
      <c r="D475" s="27" t="s">
        <v>6</v>
      </c>
      <c r="E475" s="27" t="s">
        <v>9</v>
      </c>
      <c r="F475" s="29"/>
      <c r="G475" s="30">
        <f t="shared" si="6"/>
        <v>386.86197908496763</v>
      </c>
    </row>
    <row r="476" spans="1:7" hidden="1" x14ac:dyDescent="0.25">
      <c r="A476" s="28">
        <v>43497</v>
      </c>
      <c r="B476" s="27" t="s">
        <v>200</v>
      </c>
      <c r="C476" s="27" t="s">
        <v>53</v>
      </c>
      <c r="D476" s="27" t="s">
        <v>6</v>
      </c>
      <c r="E476" s="27" t="s">
        <v>64</v>
      </c>
      <c r="F476" s="29"/>
      <c r="G476" s="30">
        <f t="shared" si="6"/>
        <v>386.86197908496763</v>
      </c>
    </row>
    <row r="477" spans="1:7" hidden="1" x14ac:dyDescent="0.25">
      <c r="A477" s="28">
        <v>43497</v>
      </c>
      <c r="B477" s="27" t="s">
        <v>200</v>
      </c>
      <c r="C477" s="27" t="s">
        <v>53</v>
      </c>
      <c r="D477" s="27" t="s">
        <v>6</v>
      </c>
      <c r="E477" s="27" t="s">
        <v>21</v>
      </c>
      <c r="F477" s="29"/>
      <c r="G477" s="30">
        <f t="shared" si="6"/>
        <v>386.86197908496763</v>
      </c>
    </row>
    <row r="478" spans="1:7" hidden="1" x14ac:dyDescent="0.25">
      <c r="A478" s="28">
        <v>43497</v>
      </c>
      <c r="B478" s="27" t="s">
        <v>200</v>
      </c>
      <c r="C478" s="27" t="s">
        <v>53</v>
      </c>
      <c r="D478" s="27" t="s">
        <v>6</v>
      </c>
      <c r="E478" s="27" t="s">
        <v>21</v>
      </c>
      <c r="F478" s="29"/>
      <c r="G478" s="30">
        <f t="shared" si="6"/>
        <v>386.86197908496763</v>
      </c>
    </row>
    <row r="479" spans="1:7" hidden="1" x14ac:dyDescent="0.25">
      <c r="A479" s="28">
        <v>43497</v>
      </c>
      <c r="B479" s="27" t="s">
        <v>200</v>
      </c>
      <c r="C479" s="27" t="s">
        <v>53</v>
      </c>
      <c r="D479" s="27" t="s">
        <v>6</v>
      </c>
      <c r="E479" s="27" t="s">
        <v>10</v>
      </c>
      <c r="F479" s="29"/>
      <c r="G479" s="30">
        <f t="shared" si="6"/>
        <v>386.86197908496763</v>
      </c>
    </row>
    <row r="480" spans="1:7" hidden="1" x14ac:dyDescent="0.25">
      <c r="A480" s="28">
        <v>43497</v>
      </c>
      <c r="B480" s="27" t="s">
        <v>200</v>
      </c>
      <c r="C480" s="27" t="s">
        <v>53</v>
      </c>
      <c r="D480" s="27" t="s">
        <v>6</v>
      </c>
      <c r="E480" s="27" t="s">
        <v>11</v>
      </c>
      <c r="F480" s="29"/>
      <c r="G480" s="30">
        <f t="shared" si="6"/>
        <v>386.86197908496763</v>
      </c>
    </row>
    <row r="481" spans="1:7" hidden="1" x14ac:dyDescent="0.25">
      <c r="A481" s="28">
        <v>43497</v>
      </c>
      <c r="B481" s="27" t="s">
        <v>200</v>
      </c>
      <c r="C481" s="27" t="s">
        <v>53</v>
      </c>
      <c r="D481" s="27" t="s">
        <v>6</v>
      </c>
      <c r="E481" s="27" t="s">
        <v>12</v>
      </c>
      <c r="F481" s="29"/>
      <c r="G481" s="30">
        <f t="shared" si="6"/>
        <v>386.86197908496763</v>
      </c>
    </row>
    <row r="482" spans="1:7" hidden="1" x14ac:dyDescent="0.25">
      <c r="A482" s="28">
        <v>43497</v>
      </c>
      <c r="B482" s="27" t="s">
        <v>200</v>
      </c>
      <c r="C482" s="27" t="s">
        <v>53</v>
      </c>
      <c r="D482" s="27" t="s">
        <v>6</v>
      </c>
      <c r="E482" s="27" t="s">
        <v>13</v>
      </c>
      <c r="F482" s="29"/>
      <c r="G482" s="30">
        <f t="shared" si="6"/>
        <v>386.86197908496763</v>
      </c>
    </row>
    <row r="483" spans="1:7" hidden="1" x14ac:dyDescent="0.25">
      <c r="A483" s="28">
        <v>43497</v>
      </c>
      <c r="B483" s="27" t="s">
        <v>200</v>
      </c>
      <c r="C483" s="27" t="s">
        <v>53</v>
      </c>
      <c r="D483" s="27" t="s">
        <v>6</v>
      </c>
      <c r="E483" s="27" t="s">
        <v>14</v>
      </c>
      <c r="F483" s="29"/>
      <c r="G483" s="30">
        <f t="shared" si="6"/>
        <v>386.86197908496763</v>
      </c>
    </row>
    <row r="484" spans="1:7" hidden="1" x14ac:dyDescent="0.25">
      <c r="A484" s="28">
        <v>43497</v>
      </c>
      <c r="B484" s="27" t="s">
        <v>200</v>
      </c>
      <c r="C484" s="27" t="s">
        <v>53</v>
      </c>
      <c r="D484" s="27" t="s">
        <v>6</v>
      </c>
      <c r="E484" s="27" t="s">
        <v>15</v>
      </c>
      <c r="F484" s="29"/>
      <c r="G484" s="30">
        <f t="shared" si="6"/>
        <v>386.86197908496763</v>
      </c>
    </row>
    <row r="485" spans="1:7" hidden="1" x14ac:dyDescent="0.25">
      <c r="A485" s="28">
        <v>43497</v>
      </c>
      <c r="B485" s="27" t="s">
        <v>200</v>
      </c>
      <c r="C485" s="27" t="s">
        <v>53</v>
      </c>
      <c r="D485" s="27" t="s">
        <v>6</v>
      </c>
      <c r="E485" s="27" t="s">
        <v>16</v>
      </c>
      <c r="F485" s="29"/>
      <c r="G485" s="30">
        <f t="shared" si="6"/>
        <v>386.86197908496763</v>
      </c>
    </row>
    <row r="486" spans="1:7" hidden="1" x14ac:dyDescent="0.25">
      <c r="A486" s="28">
        <v>43497</v>
      </c>
      <c r="B486" s="27" t="s">
        <v>200</v>
      </c>
      <c r="C486" s="27" t="s">
        <v>53</v>
      </c>
      <c r="D486" s="27" t="s">
        <v>6</v>
      </c>
      <c r="E486" s="27" t="s">
        <v>17</v>
      </c>
      <c r="F486" s="29"/>
      <c r="G486" s="30">
        <f t="shared" si="6"/>
        <v>386.86197908496763</v>
      </c>
    </row>
    <row r="487" spans="1:7" hidden="1" x14ac:dyDescent="0.25">
      <c r="A487" s="28">
        <v>43497</v>
      </c>
      <c r="B487" s="27" t="s">
        <v>200</v>
      </c>
      <c r="C487" s="27" t="s">
        <v>53</v>
      </c>
      <c r="D487" s="27" t="s">
        <v>6</v>
      </c>
      <c r="E487" s="27" t="s">
        <v>18</v>
      </c>
      <c r="F487" s="29"/>
      <c r="G487" s="30">
        <f t="shared" si="6"/>
        <v>386.86197908496763</v>
      </c>
    </row>
    <row r="488" spans="1:7" hidden="1" x14ac:dyDescent="0.25">
      <c r="A488" s="28">
        <v>43497</v>
      </c>
      <c r="B488" s="27" t="s">
        <v>200</v>
      </c>
      <c r="C488" s="27" t="s">
        <v>53</v>
      </c>
      <c r="D488" s="27" t="s">
        <v>6</v>
      </c>
      <c r="E488" s="27" t="s">
        <v>19</v>
      </c>
      <c r="F488" s="29"/>
      <c r="G488" s="30">
        <f t="shared" si="6"/>
        <v>386.86197908496763</v>
      </c>
    </row>
    <row r="489" spans="1:7" hidden="1" x14ac:dyDescent="0.25">
      <c r="A489" s="28">
        <v>43497</v>
      </c>
      <c r="B489" s="27" t="s">
        <v>200</v>
      </c>
      <c r="C489" s="27" t="s">
        <v>53</v>
      </c>
      <c r="D489" s="27" t="s">
        <v>6</v>
      </c>
      <c r="E489" s="27" t="s">
        <v>204</v>
      </c>
      <c r="F489" s="29"/>
      <c r="G489" s="30">
        <f t="shared" si="6"/>
        <v>386.86197908496763</v>
      </c>
    </row>
    <row r="490" spans="1:7" hidden="1" x14ac:dyDescent="0.25">
      <c r="A490" s="28">
        <v>43497</v>
      </c>
      <c r="B490" s="27" t="s">
        <v>200</v>
      </c>
      <c r="C490" s="27" t="s">
        <v>53</v>
      </c>
      <c r="D490" s="27" t="s">
        <v>6</v>
      </c>
      <c r="E490" s="27" t="s">
        <v>205</v>
      </c>
      <c r="F490" s="29"/>
      <c r="G490" s="30">
        <f t="shared" si="6"/>
        <v>386.86197908496763</v>
      </c>
    </row>
    <row r="491" spans="1:7" hidden="1" x14ac:dyDescent="0.25">
      <c r="A491" s="28">
        <v>43497</v>
      </c>
      <c r="B491" s="27" t="s">
        <v>200</v>
      </c>
      <c r="C491" s="27" t="s">
        <v>54</v>
      </c>
      <c r="D491" s="27" t="s">
        <v>7</v>
      </c>
      <c r="E491" s="27" t="s">
        <v>8</v>
      </c>
      <c r="F491" s="29"/>
      <c r="G491" s="30">
        <f t="shared" ref="G491:G507" si="7">286/17</f>
        <v>16.823529411764707</v>
      </c>
    </row>
    <row r="492" spans="1:7" hidden="1" x14ac:dyDescent="0.25">
      <c r="A492" s="28">
        <v>43497</v>
      </c>
      <c r="B492" s="27" t="s">
        <v>200</v>
      </c>
      <c r="C492" s="27" t="s">
        <v>54</v>
      </c>
      <c r="D492" s="27" t="s">
        <v>7</v>
      </c>
      <c r="E492" s="27" t="s">
        <v>9</v>
      </c>
      <c r="F492" s="29"/>
      <c r="G492" s="30">
        <f t="shared" si="7"/>
        <v>16.823529411764707</v>
      </c>
    </row>
    <row r="493" spans="1:7" hidden="1" x14ac:dyDescent="0.25">
      <c r="A493" s="28">
        <v>43497</v>
      </c>
      <c r="B493" s="27" t="s">
        <v>200</v>
      </c>
      <c r="C493" s="27" t="s">
        <v>54</v>
      </c>
      <c r="D493" s="27" t="s">
        <v>7</v>
      </c>
      <c r="E493" s="27" t="s">
        <v>64</v>
      </c>
      <c r="F493" s="29"/>
      <c r="G493" s="30">
        <f t="shared" si="7"/>
        <v>16.823529411764707</v>
      </c>
    </row>
    <row r="494" spans="1:7" hidden="1" x14ac:dyDescent="0.25">
      <c r="A494" s="28">
        <v>43497</v>
      </c>
      <c r="B494" s="27" t="s">
        <v>200</v>
      </c>
      <c r="C494" s="27" t="s">
        <v>54</v>
      </c>
      <c r="D494" s="27" t="s">
        <v>7</v>
      </c>
      <c r="E494" s="27" t="s">
        <v>21</v>
      </c>
      <c r="F494" s="29"/>
      <c r="G494" s="30">
        <f t="shared" si="7"/>
        <v>16.823529411764707</v>
      </c>
    </row>
    <row r="495" spans="1:7" hidden="1" x14ac:dyDescent="0.25">
      <c r="A495" s="28">
        <v>43497</v>
      </c>
      <c r="B495" s="27" t="s">
        <v>200</v>
      </c>
      <c r="C495" s="27" t="s">
        <v>54</v>
      </c>
      <c r="D495" s="27" t="s">
        <v>7</v>
      </c>
      <c r="E495" s="27" t="s">
        <v>21</v>
      </c>
      <c r="F495" s="29"/>
      <c r="G495" s="30">
        <f t="shared" si="7"/>
        <v>16.823529411764707</v>
      </c>
    </row>
    <row r="496" spans="1:7" hidden="1" x14ac:dyDescent="0.25">
      <c r="A496" s="28">
        <v>43497</v>
      </c>
      <c r="B496" s="27" t="s">
        <v>200</v>
      </c>
      <c r="C496" s="27" t="s">
        <v>54</v>
      </c>
      <c r="D496" s="27" t="s">
        <v>7</v>
      </c>
      <c r="E496" s="27" t="s">
        <v>10</v>
      </c>
      <c r="F496" s="29"/>
      <c r="G496" s="30">
        <f t="shared" si="7"/>
        <v>16.823529411764707</v>
      </c>
    </row>
    <row r="497" spans="1:7" hidden="1" x14ac:dyDescent="0.25">
      <c r="A497" s="28">
        <v>43497</v>
      </c>
      <c r="B497" s="27" t="s">
        <v>200</v>
      </c>
      <c r="C497" s="27" t="s">
        <v>54</v>
      </c>
      <c r="D497" s="27" t="s">
        <v>7</v>
      </c>
      <c r="E497" s="27" t="s">
        <v>11</v>
      </c>
      <c r="F497" s="29"/>
      <c r="G497" s="30">
        <f t="shared" si="7"/>
        <v>16.823529411764707</v>
      </c>
    </row>
    <row r="498" spans="1:7" hidden="1" x14ac:dyDescent="0.25">
      <c r="A498" s="28">
        <v>43497</v>
      </c>
      <c r="B498" s="27" t="s">
        <v>200</v>
      </c>
      <c r="C498" s="27" t="s">
        <v>54</v>
      </c>
      <c r="D498" s="27" t="s">
        <v>7</v>
      </c>
      <c r="E498" s="27" t="s">
        <v>12</v>
      </c>
      <c r="F498" s="29"/>
      <c r="G498" s="30">
        <f t="shared" si="7"/>
        <v>16.823529411764707</v>
      </c>
    </row>
    <row r="499" spans="1:7" hidden="1" x14ac:dyDescent="0.25">
      <c r="A499" s="28">
        <v>43497</v>
      </c>
      <c r="B499" s="27" t="s">
        <v>200</v>
      </c>
      <c r="C499" s="27" t="s">
        <v>54</v>
      </c>
      <c r="D499" s="27" t="s">
        <v>7</v>
      </c>
      <c r="E499" s="27" t="s">
        <v>13</v>
      </c>
      <c r="F499" s="29"/>
      <c r="G499" s="30">
        <f t="shared" si="7"/>
        <v>16.823529411764707</v>
      </c>
    </row>
    <row r="500" spans="1:7" hidden="1" x14ac:dyDescent="0.25">
      <c r="A500" s="28">
        <v>43497</v>
      </c>
      <c r="B500" s="27" t="s">
        <v>200</v>
      </c>
      <c r="C500" s="27" t="s">
        <v>54</v>
      </c>
      <c r="D500" s="27" t="s">
        <v>7</v>
      </c>
      <c r="E500" s="27" t="s">
        <v>14</v>
      </c>
      <c r="F500" s="29"/>
      <c r="G500" s="30">
        <f t="shared" si="7"/>
        <v>16.823529411764707</v>
      </c>
    </row>
    <row r="501" spans="1:7" hidden="1" x14ac:dyDescent="0.25">
      <c r="A501" s="28">
        <v>43497</v>
      </c>
      <c r="B501" s="27" t="s">
        <v>200</v>
      </c>
      <c r="C501" s="27" t="s">
        <v>54</v>
      </c>
      <c r="D501" s="27" t="s">
        <v>7</v>
      </c>
      <c r="E501" s="27" t="s">
        <v>15</v>
      </c>
      <c r="F501" s="29"/>
      <c r="G501" s="30">
        <f t="shared" si="7"/>
        <v>16.823529411764707</v>
      </c>
    </row>
    <row r="502" spans="1:7" hidden="1" x14ac:dyDescent="0.25">
      <c r="A502" s="28">
        <v>43497</v>
      </c>
      <c r="B502" s="27" t="s">
        <v>200</v>
      </c>
      <c r="C502" s="27" t="s">
        <v>54</v>
      </c>
      <c r="D502" s="27" t="s">
        <v>7</v>
      </c>
      <c r="E502" s="27" t="s">
        <v>16</v>
      </c>
      <c r="F502" s="29"/>
      <c r="G502" s="30">
        <f t="shared" si="7"/>
        <v>16.823529411764707</v>
      </c>
    </row>
    <row r="503" spans="1:7" hidden="1" x14ac:dyDescent="0.25">
      <c r="A503" s="28">
        <v>43497</v>
      </c>
      <c r="B503" s="27" t="s">
        <v>200</v>
      </c>
      <c r="C503" s="27" t="s">
        <v>54</v>
      </c>
      <c r="D503" s="27" t="s">
        <v>7</v>
      </c>
      <c r="E503" s="27" t="s">
        <v>17</v>
      </c>
      <c r="F503" s="29"/>
      <c r="G503" s="30">
        <f t="shared" si="7"/>
        <v>16.823529411764707</v>
      </c>
    </row>
    <row r="504" spans="1:7" hidden="1" x14ac:dyDescent="0.25">
      <c r="A504" s="28">
        <v>43497</v>
      </c>
      <c r="B504" s="27" t="s">
        <v>200</v>
      </c>
      <c r="C504" s="27" t="s">
        <v>54</v>
      </c>
      <c r="D504" s="27" t="s">
        <v>7</v>
      </c>
      <c r="E504" s="27" t="s">
        <v>18</v>
      </c>
      <c r="F504" s="29"/>
      <c r="G504" s="30">
        <f t="shared" si="7"/>
        <v>16.823529411764707</v>
      </c>
    </row>
    <row r="505" spans="1:7" hidden="1" x14ac:dyDescent="0.25">
      <c r="A505" s="28">
        <v>43497</v>
      </c>
      <c r="B505" s="27" t="s">
        <v>200</v>
      </c>
      <c r="C505" s="27" t="s">
        <v>54</v>
      </c>
      <c r="D505" s="27" t="s">
        <v>7</v>
      </c>
      <c r="E505" s="27" t="s">
        <v>19</v>
      </c>
      <c r="F505" s="29"/>
      <c r="G505" s="30">
        <f t="shared" si="7"/>
        <v>16.823529411764707</v>
      </c>
    </row>
    <row r="506" spans="1:7" hidden="1" x14ac:dyDescent="0.25">
      <c r="A506" s="28">
        <v>43497</v>
      </c>
      <c r="B506" s="27" t="s">
        <v>200</v>
      </c>
      <c r="C506" s="27" t="s">
        <v>54</v>
      </c>
      <c r="D506" s="27" t="s">
        <v>7</v>
      </c>
      <c r="E506" s="27" t="s">
        <v>204</v>
      </c>
      <c r="F506" s="29"/>
      <c r="G506" s="30">
        <f t="shared" si="7"/>
        <v>16.823529411764707</v>
      </c>
    </row>
    <row r="507" spans="1:7" hidden="1" x14ac:dyDescent="0.25">
      <c r="A507" s="28">
        <v>43497</v>
      </c>
      <c r="B507" s="27" t="s">
        <v>200</v>
      </c>
      <c r="C507" s="27" t="s">
        <v>54</v>
      </c>
      <c r="D507" s="27" t="s">
        <v>7</v>
      </c>
      <c r="E507" s="27" t="s">
        <v>37</v>
      </c>
      <c r="F507" s="29"/>
      <c r="G507" s="30">
        <f t="shared" si="7"/>
        <v>16.823529411764707</v>
      </c>
    </row>
    <row r="508" spans="1:7" hidden="1" x14ac:dyDescent="0.25">
      <c r="A508" s="28">
        <v>43497</v>
      </c>
      <c r="B508" s="27" t="s">
        <v>200</v>
      </c>
      <c r="C508" s="27" t="s">
        <v>55</v>
      </c>
      <c r="D508" s="27" t="s">
        <v>6</v>
      </c>
      <c r="E508" s="27" t="s">
        <v>8</v>
      </c>
      <c r="F508" s="29"/>
      <c r="G508" s="30">
        <f t="shared" ref="G508:G524" si="8">31941.3693777778/17</f>
        <v>1878.9040810457529</v>
      </c>
    </row>
    <row r="509" spans="1:7" hidden="1" x14ac:dyDescent="0.25">
      <c r="A509" s="28">
        <v>43497</v>
      </c>
      <c r="B509" s="27" t="s">
        <v>200</v>
      </c>
      <c r="C509" s="27" t="s">
        <v>55</v>
      </c>
      <c r="D509" s="27" t="s">
        <v>6</v>
      </c>
      <c r="E509" s="27" t="s">
        <v>9</v>
      </c>
      <c r="F509" s="29"/>
      <c r="G509" s="30">
        <f t="shared" si="8"/>
        <v>1878.9040810457529</v>
      </c>
    </row>
    <row r="510" spans="1:7" hidden="1" x14ac:dyDescent="0.25">
      <c r="A510" s="28">
        <v>43497</v>
      </c>
      <c r="B510" s="27" t="s">
        <v>200</v>
      </c>
      <c r="C510" s="27" t="s">
        <v>55</v>
      </c>
      <c r="D510" s="27" t="s">
        <v>6</v>
      </c>
      <c r="E510" s="27" t="s">
        <v>64</v>
      </c>
      <c r="F510" s="29"/>
      <c r="G510" s="30">
        <f t="shared" si="8"/>
        <v>1878.9040810457529</v>
      </c>
    </row>
    <row r="511" spans="1:7" hidden="1" x14ac:dyDescent="0.25">
      <c r="A511" s="28">
        <v>43497</v>
      </c>
      <c r="B511" s="27" t="s">
        <v>200</v>
      </c>
      <c r="C511" s="27" t="s">
        <v>55</v>
      </c>
      <c r="D511" s="27" t="s">
        <v>6</v>
      </c>
      <c r="E511" s="27" t="s">
        <v>21</v>
      </c>
      <c r="F511" s="29"/>
      <c r="G511" s="30">
        <f t="shared" si="8"/>
        <v>1878.9040810457529</v>
      </c>
    </row>
    <row r="512" spans="1:7" hidden="1" x14ac:dyDescent="0.25">
      <c r="A512" s="28">
        <v>43497</v>
      </c>
      <c r="B512" s="27" t="s">
        <v>200</v>
      </c>
      <c r="C512" s="27" t="s">
        <v>55</v>
      </c>
      <c r="D512" s="27" t="s">
        <v>6</v>
      </c>
      <c r="E512" s="27" t="s">
        <v>21</v>
      </c>
      <c r="F512" s="29"/>
      <c r="G512" s="30">
        <f t="shared" si="8"/>
        <v>1878.9040810457529</v>
      </c>
    </row>
    <row r="513" spans="1:7" hidden="1" x14ac:dyDescent="0.25">
      <c r="A513" s="28">
        <v>43497</v>
      </c>
      <c r="B513" s="27" t="s">
        <v>200</v>
      </c>
      <c r="C513" s="27" t="s">
        <v>55</v>
      </c>
      <c r="D513" s="27" t="s">
        <v>6</v>
      </c>
      <c r="E513" s="27" t="s">
        <v>10</v>
      </c>
      <c r="F513" s="29"/>
      <c r="G513" s="30">
        <f t="shared" si="8"/>
        <v>1878.9040810457529</v>
      </c>
    </row>
    <row r="514" spans="1:7" hidden="1" x14ac:dyDescent="0.25">
      <c r="A514" s="28">
        <v>43497</v>
      </c>
      <c r="B514" s="27" t="s">
        <v>200</v>
      </c>
      <c r="C514" s="27" t="s">
        <v>55</v>
      </c>
      <c r="D514" s="27" t="s">
        <v>6</v>
      </c>
      <c r="E514" s="27" t="s">
        <v>11</v>
      </c>
      <c r="F514" s="29"/>
      <c r="G514" s="30">
        <f t="shared" si="8"/>
        <v>1878.9040810457529</v>
      </c>
    </row>
    <row r="515" spans="1:7" hidden="1" x14ac:dyDescent="0.25">
      <c r="A515" s="28">
        <v>43497</v>
      </c>
      <c r="B515" s="27" t="s">
        <v>200</v>
      </c>
      <c r="C515" s="27" t="s">
        <v>55</v>
      </c>
      <c r="D515" s="27" t="s">
        <v>6</v>
      </c>
      <c r="E515" s="27" t="s">
        <v>12</v>
      </c>
      <c r="F515" s="29"/>
      <c r="G515" s="30">
        <f t="shared" si="8"/>
        <v>1878.9040810457529</v>
      </c>
    </row>
    <row r="516" spans="1:7" hidden="1" x14ac:dyDescent="0.25">
      <c r="A516" s="28">
        <v>43497</v>
      </c>
      <c r="B516" s="27" t="s">
        <v>200</v>
      </c>
      <c r="C516" s="27" t="s">
        <v>55</v>
      </c>
      <c r="D516" s="27" t="s">
        <v>6</v>
      </c>
      <c r="E516" s="27" t="s">
        <v>13</v>
      </c>
      <c r="F516" s="29"/>
      <c r="G516" s="30">
        <f t="shared" si="8"/>
        <v>1878.9040810457529</v>
      </c>
    </row>
    <row r="517" spans="1:7" hidden="1" x14ac:dyDescent="0.25">
      <c r="A517" s="28">
        <v>43497</v>
      </c>
      <c r="B517" s="27" t="s">
        <v>200</v>
      </c>
      <c r="C517" s="27" t="s">
        <v>55</v>
      </c>
      <c r="D517" s="27" t="s">
        <v>6</v>
      </c>
      <c r="E517" s="27" t="s">
        <v>14</v>
      </c>
      <c r="F517" s="29"/>
      <c r="G517" s="30">
        <f t="shared" si="8"/>
        <v>1878.9040810457529</v>
      </c>
    </row>
    <row r="518" spans="1:7" hidden="1" x14ac:dyDescent="0.25">
      <c r="A518" s="28">
        <v>43497</v>
      </c>
      <c r="B518" s="27" t="s">
        <v>200</v>
      </c>
      <c r="C518" s="27" t="s">
        <v>55</v>
      </c>
      <c r="D518" s="27" t="s">
        <v>6</v>
      </c>
      <c r="E518" s="27" t="s">
        <v>15</v>
      </c>
      <c r="F518" s="29"/>
      <c r="G518" s="30">
        <f t="shared" si="8"/>
        <v>1878.9040810457529</v>
      </c>
    </row>
    <row r="519" spans="1:7" hidden="1" x14ac:dyDescent="0.25">
      <c r="A519" s="28">
        <v>43497</v>
      </c>
      <c r="B519" s="27" t="s">
        <v>200</v>
      </c>
      <c r="C519" s="27" t="s">
        <v>55</v>
      </c>
      <c r="D519" s="27" t="s">
        <v>6</v>
      </c>
      <c r="E519" s="27" t="s">
        <v>16</v>
      </c>
      <c r="F519" s="29"/>
      <c r="G519" s="30">
        <f t="shared" si="8"/>
        <v>1878.9040810457529</v>
      </c>
    </row>
    <row r="520" spans="1:7" hidden="1" x14ac:dyDescent="0.25">
      <c r="A520" s="28">
        <v>43497</v>
      </c>
      <c r="B520" s="27" t="s">
        <v>200</v>
      </c>
      <c r="C520" s="27" t="s">
        <v>55</v>
      </c>
      <c r="D520" s="27" t="s">
        <v>6</v>
      </c>
      <c r="E520" s="27" t="s">
        <v>17</v>
      </c>
      <c r="F520" s="29"/>
      <c r="G520" s="30">
        <f t="shared" si="8"/>
        <v>1878.9040810457529</v>
      </c>
    </row>
    <row r="521" spans="1:7" hidden="1" x14ac:dyDescent="0.25">
      <c r="A521" s="28">
        <v>43497</v>
      </c>
      <c r="B521" s="27" t="s">
        <v>200</v>
      </c>
      <c r="C521" s="27" t="s">
        <v>55</v>
      </c>
      <c r="D521" s="27" t="s">
        <v>6</v>
      </c>
      <c r="E521" s="27" t="s">
        <v>18</v>
      </c>
      <c r="F521" s="29"/>
      <c r="G521" s="30">
        <f t="shared" si="8"/>
        <v>1878.9040810457529</v>
      </c>
    </row>
    <row r="522" spans="1:7" hidden="1" x14ac:dyDescent="0.25">
      <c r="A522" s="28">
        <v>43497</v>
      </c>
      <c r="B522" s="27" t="s">
        <v>200</v>
      </c>
      <c r="C522" s="27" t="s">
        <v>55</v>
      </c>
      <c r="D522" s="27" t="s">
        <v>6</v>
      </c>
      <c r="E522" s="27" t="s">
        <v>19</v>
      </c>
      <c r="F522" s="29"/>
      <c r="G522" s="30">
        <f t="shared" si="8"/>
        <v>1878.9040810457529</v>
      </c>
    </row>
    <row r="523" spans="1:7" hidden="1" x14ac:dyDescent="0.25">
      <c r="A523" s="28">
        <v>43497</v>
      </c>
      <c r="B523" s="27" t="s">
        <v>200</v>
      </c>
      <c r="C523" s="27" t="s">
        <v>55</v>
      </c>
      <c r="D523" s="27" t="s">
        <v>6</v>
      </c>
      <c r="E523" s="27" t="s">
        <v>204</v>
      </c>
      <c r="F523" s="29"/>
      <c r="G523" s="30">
        <f t="shared" si="8"/>
        <v>1878.9040810457529</v>
      </c>
    </row>
    <row r="524" spans="1:7" hidden="1" x14ac:dyDescent="0.25">
      <c r="A524" s="28">
        <v>43497</v>
      </c>
      <c r="B524" s="27" t="s">
        <v>200</v>
      </c>
      <c r="C524" s="27" t="s">
        <v>55</v>
      </c>
      <c r="D524" s="27" t="s">
        <v>6</v>
      </c>
      <c r="E524" s="27" t="s">
        <v>205</v>
      </c>
      <c r="F524" s="29"/>
      <c r="G524" s="30">
        <f t="shared" si="8"/>
        <v>1878.9040810457529</v>
      </c>
    </row>
    <row r="525" spans="1:7" hidden="1" x14ac:dyDescent="0.25">
      <c r="A525" s="28">
        <v>43497</v>
      </c>
      <c r="B525" s="27" t="s">
        <v>200</v>
      </c>
      <c r="C525" s="27" t="s">
        <v>183</v>
      </c>
      <c r="D525" s="27" t="s">
        <v>7</v>
      </c>
      <c r="E525" s="27" t="s">
        <v>8</v>
      </c>
      <c r="F525" s="29"/>
      <c r="G525" s="30">
        <f t="shared" ref="G525:G541" si="9">2178.25/17</f>
        <v>128.13235294117646</v>
      </c>
    </row>
    <row r="526" spans="1:7" hidden="1" x14ac:dyDescent="0.25">
      <c r="A526" s="28">
        <v>43497</v>
      </c>
      <c r="B526" s="27" t="s">
        <v>200</v>
      </c>
      <c r="C526" s="27" t="s">
        <v>183</v>
      </c>
      <c r="D526" s="27" t="s">
        <v>7</v>
      </c>
      <c r="E526" s="27" t="s">
        <v>9</v>
      </c>
      <c r="F526" s="29"/>
      <c r="G526" s="30">
        <f t="shared" si="9"/>
        <v>128.13235294117646</v>
      </c>
    </row>
    <row r="527" spans="1:7" hidden="1" x14ac:dyDescent="0.25">
      <c r="A527" s="28">
        <v>43497</v>
      </c>
      <c r="B527" s="27" t="s">
        <v>200</v>
      </c>
      <c r="C527" s="27" t="s">
        <v>183</v>
      </c>
      <c r="D527" s="27" t="s">
        <v>7</v>
      </c>
      <c r="E527" s="27" t="s">
        <v>64</v>
      </c>
      <c r="F527" s="29"/>
      <c r="G527" s="30">
        <f t="shared" si="9"/>
        <v>128.13235294117646</v>
      </c>
    </row>
    <row r="528" spans="1:7" hidden="1" x14ac:dyDescent="0.25">
      <c r="A528" s="28">
        <v>43497</v>
      </c>
      <c r="B528" s="27" t="s">
        <v>200</v>
      </c>
      <c r="C528" s="27" t="s">
        <v>183</v>
      </c>
      <c r="D528" s="27" t="s">
        <v>7</v>
      </c>
      <c r="E528" s="27" t="s">
        <v>21</v>
      </c>
      <c r="F528" s="29"/>
      <c r="G528" s="30">
        <f t="shared" si="9"/>
        <v>128.13235294117646</v>
      </c>
    </row>
    <row r="529" spans="1:7" hidden="1" x14ac:dyDescent="0.25">
      <c r="A529" s="28">
        <v>43497</v>
      </c>
      <c r="B529" s="27" t="s">
        <v>200</v>
      </c>
      <c r="C529" s="27" t="s">
        <v>183</v>
      </c>
      <c r="D529" s="27" t="s">
        <v>7</v>
      </c>
      <c r="E529" s="27" t="s">
        <v>21</v>
      </c>
      <c r="F529" s="29"/>
      <c r="G529" s="30">
        <f t="shared" si="9"/>
        <v>128.13235294117646</v>
      </c>
    </row>
    <row r="530" spans="1:7" hidden="1" x14ac:dyDescent="0.25">
      <c r="A530" s="28">
        <v>43497</v>
      </c>
      <c r="B530" s="27" t="s">
        <v>200</v>
      </c>
      <c r="C530" s="27" t="s">
        <v>183</v>
      </c>
      <c r="D530" s="27" t="s">
        <v>7</v>
      </c>
      <c r="E530" s="27" t="s">
        <v>10</v>
      </c>
      <c r="F530" s="29"/>
      <c r="G530" s="30">
        <f t="shared" si="9"/>
        <v>128.13235294117646</v>
      </c>
    </row>
    <row r="531" spans="1:7" hidden="1" x14ac:dyDescent="0.25">
      <c r="A531" s="28">
        <v>43497</v>
      </c>
      <c r="B531" s="27" t="s">
        <v>200</v>
      </c>
      <c r="C531" s="27" t="s">
        <v>183</v>
      </c>
      <c r="D531" s="27" t="s">
        <v>7</v>
      </c>
      <c r="E531" s="27" t="s">
        <v>11</v>
      </c>
      <c r="F531" s="29"/>
      <c r="G531" s="30">
        <f t="shared" si="9"/>
        <v>128.13235294117646</v>
      </c>
    </row>
    <row r="532" spans="1:7" hidden="1" x14ac:dyDescent="0.25">
      <c r="A532" s="28">
        <v>43497</v>
      </c>
      <c r="B532" s="27" t="s">
        <v>200</v>
      </c>
      <c r="C532" s="27" t="s">
        <v>183</v>
      </c>
      <c r="D532" s="27" t="s">
        <v>7</v>
      </c>
      <c r="E532" s="27" t="s">
        <v>12</v>
      </c>
      <c r="F532" s="29"/>
      <c r="G532" s="30">
        <f t="shared" si="9"/>
        <v>128.13235294117646</v>
      </c>
    </row>
    <row r="533" spans="1:7" hidden="1" x14ac:dyDescent="0.25">
      <c r="A533" s="28">
        <v>43497</v>
      </c>
      <c r="B533" s="27" t="s">
        <v>200</v>
      </c>
      <c r="C533" s="27" t="s">
        <v>183</v>
      </c>
      <c r="D533" s="27" t="s">
        <v>7</v>
      </c>
      <c r="E533" s="27" t="s">
        <v>13</v>
      </c>
      <c r="F533" s="29"/>
      <c r="G533" s="30">
        <f t="shared" si="9"/>
        <v>128.13235294117646</v>
      </c>
    </row>
    <row r="534" spans="1:7" hidden="1" x14ac:dyDescent="0.25">
      <c r="A534" s="28">
        <v>43497</v>
      </c>
      <c r="B534" s="27" t="s">
        <v>200</v>
      </c>
      <c r="C534" s="27" t="s">
        <v>183</v>
      </c>
      <c r="D534" s="27" t="s">
        <v>7</v>
      </c>
      <c r="E534" s="27" t="s">
        <v>14</v>
      </c>
      <c r="F534" s="29"/>
      <c r="G534" s="30">
        <f t="shared" si="9"/>
        <v>128.13235294117646</v>
      </c>
    </row>
    <row r="535" spans="1:7" hidden="1" x14ac:dyDescent="0.25">
      <c r="A535" s="28">
        <v>43497</v>
      </c>
      <c r="B535" s="27" t="s">
        <v>200</v>
      </c>
      <c r="C535" s="27" t="s">
        <v>183</v>
      </c>
      <c r="D535" s="27" t="s">
        <v>7</v>
      </c>
      <c r="E535" s="27" t="s">
        <v>15</v>
      </c>
      <c r="F535" s="29"/>
      <c r="G535" s="30">
        <f t="shared" si="9"/>
        <v>128.13235294117646</v>
      </c>
    </row>
    <row r="536" spans="1:7" hidden="1" x14ac:dyDescent="0.25">
      <c r="A536" s="28">
        <v>43497</v>
      </c>
      <c r="B536" s="27" t="s">
        <v>200</v>
      </c>
      <c r="C536" s="27" t="s">
        <v>183</v>
      </c>
      <c r="D536" s="27" t="s">
        <v>7</v>
      </c>
      <c r="E536" s="27" t="s">
        <v>16</v>
      </c>
      <c r="F536" s="29"/>
      <c r="G536" s="30">
        <f t="shared" si="9"/>
        <v>128.13235294117646</v>
      </c>
    </row>
    <row r="537" spans="1:7" hidden="1" x14ac:dyDescent="0.25">
      <c r="A537" s="28">
        <v>43497</v>
      </c>
      <c r="B537" s="27" t="s">
        <v>200</v>
      </c>
      <c r="C537" s="27" t="s">
        <v>183</v>
      </c>
      <c r="D537" s="27" t="s">
        <v>7</v>
      </c>
      <c r="E537" s="27" t="s">
        <v>17</v>
      </c>
      <c r="F537" s="29"/>
      <c r="G537" s="30">
        <f t="shared" si="9"/>
        <v>128.13235294117646</v>
      </c>
    </row>
    <row r="538" spans="1:7" hidden="1" x14ac:dyDescent="0.25">
      <c r="A538" s="28">
        <v>43497</v>
      </c>
      <c r="B538" s="27" t="s">
        <v>200</v>
      </c>
      <c r="C538" s="27" t="s">
        <v>183</v>
      </c>
      <c r="D538" s="27" t="s">
        <v>7</v>
      </c>
      <c r="E538" s="27" t="s">
        <v>18</v>
      </c>
      <c r="F538" s="29"/>
      <c r="G538" s="30">
        <f t="shared" si="9"/>
        <v>128.13235294117646</v>
      </c>
    </row>
    <row r="539" spans="1:7" hidden="1" x14ac:dyDescent="0.25">
      <c r="A539" s="28">
        <v>43497</v>
      </c>
      <c r="B539" s="27" t="s">
        <v>200</v>
      </c>
      <c r="C539" s="27" t="s">
        <v>183</v>
      </c>
      <c r="D539" s="27" t="s">
        <v>7</v>
      </c>
      <c r="E539" s="27" t="s">
        <v>19</v>
      </c>
      <c r="F539" s="29"/>
      <c r="G539" s="30">
        <f t="shared" si="9"/>
        <v>128.13235294117646</v>
      </c>
    </row>
    <row r="540" spans="1:7" hidden="1" x14ac:dyDescent="0.25">
      <c r="A540" s="28">
        <v>43497</v>
      </c>
      <c r="B540" s="27" t="s">
        <v>200</v>
      </c>
      <c r="C540" s="27" t="s">
        <v>183</v>
      </c>
      <c r="D540" s="27" t="s">
        <v>7</v>
      </c>
      <c r="E540" s="27" t="s">
        <v>204</v>
      </c>
      <c r="F540" s="29"/>
      <c r="G540" s="30">
        <f t="shared" si="9"/>
        <v>128.13235294117646</v>
      </c>
    </row>
    <row r="541" spans="1:7" hidden="1" x14ac:dyDescent="0.25">
      <c r="A541" s="28">
        <v>43497</v>
      </c>
      <c r="B541" s="27" t="s">
        <v>200</v>
      </c>
      <c r="C541" s="27" t="s">
        <v>183</v>
      </c>
      <c r="D541" s="27" t="s">
        <v>7</v>
      </c>
      <c r="E541" s="27" t="s">
        <v>37</v>
      </c>
      <c r="F541" s="29"/>
      <c r="G541" s="30">
        <f t="shared" si="9"/>
        <v>128.13235294117646</v>
      </c>
    </row>
    <row r="542" spans="1:7" hidden="1" x14ac:dyDescent="0.25">
      <c r="A542" s="28">
        <v>43497</v>
      </c>
      <c r="B542" s="27" t="s">
        <v>200</v>
      </c>
      <c r="C542" s="27" t="s">
        <v>56</v>
      </c>
      <c r="D542" s="27" t="s">
        <v>6</v>
      </c>
      <c r="E542" s="27" t="s">
        <v>8</v>
      </c>
      <c r="F542" s="29"/>
      <c r="G542" s="30">
        <f t="shared" ref="G542:G558" si="10">25607.1307555556/17</f>
        <v>1506.3018091503295</v>
      </c>
    </row>
    <row r="543" spans="1:7" hidden="1" x14ac:dyDescent="0.25">
      <c r="A543" s="28">
        <v>43497</v>
      </c>
      <c r="B543" s="27" t="s">
        <v>200</v>
      </c>
      <c r="C543" s="27" t="s">
        <v>56</v>
      </c>
      <c r="D543" s="27" t="s">
        <v>6</v>
      </c>
      <c r="E543" s="27" t="s">
        <v>9</v>
      </c>
      <c r="F543" s="29"/>
      <c r="G543" s="30">
        <f t="shared" si="10"/>
        <v>1506.3018091503295</v>
      </c>
    </row>
    <row r="544" spans="1:7" hidden="1" x14ac:dyDescent="0.25">
      <c r="A544" s="28">
        <v>43497</v>
      </c>
      <c r="B544" s="27" t="s">
        <v>200</v>
      </c>
      <c r="C544" s="27" t="s">
        <v>56</v>
      </c>
      <c r="D544" s="27" t="s">
        <v>6</v>
      </c>
      <c r="E544" s="27" t="s">
        <v>64</v>
      </c>
      <c r="F544" s="29"/>
      <c r="G544" s="30">
        <f t="shared" si="10"/>
        <v>1506.3018091503295</v>
      </c>
    </row>
    <row r="545" spans="1:7" hidden="1" x14ac:dyDescent="0.25">
      <c r="A545" s="28">
        <v>43497</v>
      </c>
      <c r="B545" s="27" t="s">
        <v>200</v>
      </c>
      <c r="C545" s="27" t="s">
        <v>56</v>
      </c>
      <c r="D545" s="27" t="s">
        <v>6</v>
      </c>
      <c r="E545" s="27" t="s">
        <v>21</v>
      </c>
      <c r="F545" s="29"/>
      <c r="G545" s="30">
        <f t="shared" si="10"/>
        <v>1506.3018091503295</v>
      </c>
    </row>
    <row r="546" spans="1:7" hidden="1" x14ac:dyDescent="0.25">
      <c r="A546" s="28">
        <v>43497</v>
      </c>
      <c r="B546" s="27" t="s">
        <v>200</v>
      </c>
      <c r="C546" s="27" t="s">
        <v>56</v>
      </c>
      <c r="D546" s="27" t="s">
        <v>6</v>
      </c>
      <c r="E546" s="27" t="s">
        <v>21</v>
      </c>
      <c r="F546" s="29"/>
      <c r="G546" s="30">
        <f t="shared" si="10"/>
        <v>1506.3018091503295</v>
      </c>
    </row>
    <row r="547" spans="1:7" hidden="1" x14ac:dyDescent="0.25">
      <c r="A547" s="28">
        <v>43497</v>
      </c>
      <c r="B547" s="27" t="s">
        <v>200</v>
      </c>
      <c r="C547" s="27" t="s">
        <v>56</v>
      </c>
      <c r="D547" s="27" t="s">
        <v>6</v>
      </c>
      <c r="E547" s="27" t="s">
        <v>10</v>
      </c>
      <c r="F547" s="29"/>
      <c r="G547" s="30">
        <f t="shared" si="10"/>
        <v>1506.3018091503295</v>
      </c>
    </row>
    <row r="548" spans="1:7" hidden="1" x14ac:dyDescent="0.25">
      <c r="A548" s="28">
        <v>43497</v>
      </c>
      <c r="B548" s="27" t="s">
        <v>200</v>
      </c>
      <c r="C548" s="27" t="s">
        <v>56</v>
      </c>
      <c r="D548" s="27" t="s">
        <v>6</v>
      </c>
      <c r="E548" s="27" t="s">
        <v>11</v>
      </c>
      <c r="F548" s="29"/>
      <c r="G548" s="30">
        <f t="shared" si="10"/>
        <v>1506.3018091503295</v>
      </c>
    </row>
    <row r="549" spans="1:7" hidden="1" x14ac:dyDescent="0.25">
      <c r="A549" s="28">
        <v>43497</v>
      </c>
      <c r="B549" s="27" t="s">
        <v>200</v>
      </c>
      <c r="C549" s="27" t="s">
        <v>56</v>
      </c>
      <c r="D549" s="27" t="s">
        <v>6</v>
      </c>
      <c r="E549" s="27" t="s">
        <v>12</v>
      </c>
      <c r="F549" s="29"/>
      <c r="G549" s="30">
        <f t="shared" si="10"/>
        <v>1506.3018091503295</v>
      </c>
    </row>
    <row r="550" spans="1:7" hidden="1" x14ac:dyDescent="0.25">
      <c r="A550" s="28">
        <v>43497</v>
      </c>
      <c r="B550" s="27" t="s">
        <v>200</v>
      </c>
      <c r="C550" s="27" t="s">
        <v>56</v>
      </c>
      <c r="D550" s="27" t="s">
        <v>6</v>
      </c>
      <c r="E550" s="27" t="s">
        <v>13</v>
      </c>
      <c r="F550" s="29"/>
      <c r="G550" s="30">
        <f t="shared" si="10"/>
        <v>1506.3018091503295</v>
      </c>
    </row>
    <row r="551" spans="1:7" hidden="1" x14ac:dyDescent="0.25">
      <c r="A551" s="28">
        <v>43497</v>
      </c>
      <c r="B551" s="27" t="s">
        <v>200</v>
      </c>
      <c r="C551" s="27" t="s">
        <v>56</v>
      </c>
      <c r="D551" s="27" t="s">
        <v>6</v>
      </c>
      <c r="E551" s="27" t="s">
        <v>14</v>
      </c>
      <c r="F551" s="29"/>
      <c r="G551" s="30">
        <f t="shared" si="10"/>
        <v>1506.3018091503295</v>
      </c>
    </row>
    <row r="552" spans="1:7" hidden="1" x14ac:dyDescent="0.25">
      <c r="A552" s="28">
        <v>43497</v>
      </c>
      <c r="B552" s="27" t="s">
        <v>200</v>
      </c>
      <c r="C552" s="27" t="s">
        <v>56</v>
      </c>
      <c r="D552" s="27" t="s">
        <v>6</v>
      </c>
      <c r="E552" s="27" t="s">
        <v>15</v>
      </c>
      <c r="F552" s="29"/>
      <c r="G552" s="30">
        <f t="shared" si="10"/>
        <v>1506.3018091503295</v>
      </c>
    </row>
    <row r="553" spans="1:7" hidden="1" x14ac:dyDescent="0.25">
      <c r="A553" s="28">
        <v>43497</v>
      </c>
      <c r="B553" s="27" t="s">
        <v>200</v>
      </c>
      <c r="C553" s="27" t="s">
        <v>56</v>
      </c>
      <c r="D553" s="27" t="s">
        <v>6</v>
      </c>
      <c r="E553" s="27" t="s">
        <v>16</v>
      </c>
      <c r="F553" s="29"/>
      <c r="G553" s="30">
        <f t="shared" si="10"/>
        <v>1506.3018091503295</v>
      </c>
    </row>
    <row r="554" spans="1:7" hidden="1" x14ac:dyDescent="0.25">
      <c r="A554" s="28">
        <v>43497</v>
      </c>
      <c r="B554" s="27" t="s">
        <v>200</v>
      </c>
      <c r="C554" s="27" t="s">
        <v>56</v>
      </c>
      <c r="D554" s="27" t="s">
        <v>6</v>
      </c>
      <c r="E554" s="27" t="s">
        <v>17</v>
      </c>
      <c r="F554" s="29"/>
      <c r="G554" s="30">
        <f t="shared" si="10"/>
        <v>1506.3018091503295</v>
      </c>
    </row>
    <row r="555" spans="1:7" hidden="1" x14ac:dyDescent="0.25">
      <c r="A555" s="28">
        <v>43497</v>
      </c>
      <c r="B555" s="27" t="s">
        <v>200</v>
      </c>
      <c r="C555" s="27" t="s">
        <v>56</v>
      </c>
      <c r="D555" s="27" t="s">
        <v>6</v>
      </c>
      <c r="E555" s="27" t="s">
        <v>18</v>
      </c>
      <c r="F555" s="29"/>
      <c r="G555" s="30">
        <f t="shared" si="10"/>
        <v>1506.3018091503295</v>
      </c>
    </row>
    <row r="556" spans="1:7" hidden="1" x14ac:dyDescent="0.25">
      <c r="A556" s="28">
        <v>43497</v>
      </c>
      <c r="B556" s="27" t="s">
        <v>200</v>
      </c>
      <c r="C556" s="27" t="s">
        <v>56</v>
      </c>
      <c r="D556" s="27" t="s">
        <v>6</v>
      </c>
      <c r="E556" s="27" t="s">
        <v>19</v>
      </c>
      <c r="F556" s="29"/>
      <c r="G556" s="30">
        <f t="shared" si="10"/>
        <v>1506.3018091503295</v>
      </c>
    </row>
    <row r="557" spans="1:7" hidden="1" x14ac:dyDescent="0.25">
      <c r="A557" s="28">
        <v>43497</v>
      </c>
      <c r="B557" s="27" t="s">
        <v>200</v>
      </c>
      <c r="C557" s="27" t="s">
        <v>56</v>
      </c>
      <c r="D557" s="27" t="s">
        <v>6</v>
      </c>
      <c r="E557" s="27" t="s">
        <v>204</v>
      </c>
      <c r="F557" s="29"/>
      <c r="G557" s="30">
        <f t="shared" si="10"/>
        <v>1506.3018091503295</v>
      </c>
    </row>
    <row r="558" spans="1:7" hidden="1" x14ac:dyDescent="0.25">
      <c r="A558" s="28">
        <v>43497</v>
      </c>
      <c r="B558" s="27" t="s">
        <v>200</v>
      </c>
      <c r="C558" s="27" t="s">
        <v>56</v>
      </c>
      <c r="D558" s="27" t="s">
        <v>6</v>
      </c>
      <c r="E558" s="27" t="s">
        <v>205</v>
      </c>
      <c r="F558" s="29"/>
      <c r="G558" s="30">
        <f t="shared" si="10"/>
        <v>1506.3018091503295</v>
      </c>
    </row>
    <row r="559" spans="1:7" hidden="1" x14ac:dyDescent="0.25">
      <c r="A559" s="28">
        <v>43497</v>
      </c>
      <c r="B559" s="27" t="s">
        <v>200</v>
      </c>
      <c r="C559" s="27" t="s">
        <v>182</v>
      </c>
      <c r="D559" s="27" t="s">
        <v>7</v>
      </c>
      <c r="E559" s="27" t="s">
        <v>8</v>
      </c>
      <c r="F559" s="29"/>
      <c r="G559" s="30">
        <f t="shared" ref="G559:G575" si="11">1963.73/17</f>
        <v>115.51352941176471</v>
      </c>
    </row>
    <row r="560" spans="1:7" hidden="1" x14ac:dyDescent="0.25">
      <c r="A560" s="28">
        <v>43497</v>
      </c>
      <c r="B560" s="27" t="s">
        <v>200</v>
      </c>
      <c r="C560" s="27" t="s">
        <v>182</v>
      </c>
      <c r="D560" s="27" t="s">
        <v>7</v>
      </c>
      <c r="E560" s="27" t="s">
        <v>9</v>
      </c>
      <c r="F560" s="29"/>
      <c r="G560" s="30">
        <f t="shared" si="11"/>
        <v>115.51352941176471</v>
      </c>
    </row>
    <row r="561" spans="1:7" hidden="1" x14ac:dyDescent="0.25">
      <c r="A561" s="28">
        <v>43497</v>
      </c>
      <c r="B561" s="27" t="s">
        <v>200</v>
      </c>
      <c r="C561" s="27" t="s">
        <v>182</v>
      </c>
      <c r="D561" s="27" t="s">
        <v>7</v>
      </c>
      <c r="E561" s="27" t="s">
        <v>64</v>
      </c>
      <c r="F561" s="29"/>
      <c r="G561" s="30">
        <f t="shared" si="11"/>
        <v>115.51352941176471</v>
      </c>
    </row>
    <row r="562" spans="1:7" hidden="1" x14ac:dyDescent="0.25">
      <c r="A562" s="28">
        <v>43497</v>
      </c>
      <c r="B562" s="27" t="s">
        <v>200</v>
      </c>
      <c r="C562" s="27" t="s">
        <v>182</v>
      </c>
      <c r="D562" s="27" t="s">
        <v>7</v>
      </c>
      <c r="E562" s="27" t="s">
        <v>21</v>
      </c>
      <c r="F562" s="29"/>
      <c r="G562" s="30">
        <f t="shared" si="11"/>
        <v>115.51352941176471</v>
      </c>
    </row>
    <row r="563" spans="1:7" hidden="1" x14ac:dyDescent="0.25">
      <c r="A563" s="28">
        <v>43497</v>
      </c>
      <c r="B563" s="27" t="s">
        <v>200</v>
      </c>
      <c r="C563" s="27" t="s">
        <v>182</v>
      </c>
      <c r="D563" s="27" t="s">
        <v>7</v>
      </c>
      <c r="E563" s="27" t="s">
        <v>21</v>
      </c>
      <c r="F563" s="29"/>
      <c r="G563" s="30">
        <f t="shared" si="11"/>
        <v>115.51352941176471</v>
      </c>
    </row>
    <row r="564" spans="1:7" hidden="1" x14ac:dyDescent="0.25">
      <c r="A564" s="28">
        <v>43497</v>
      </c>
      <c r="B564" s="27" t="s">
        <v>200</v>
      </c>
      <c r="C564" s="27" t="s">
        <v>182</v>
      </c>
      <c r="D564" s="27" t="s">
        <v>7</v>
      </c>
      <c r="E564" s="27" t="s">
        <v>10</v>
      </c>
      <c r="F564" s="29"/>
      <c r="G564" s="30">
        <f t="shared" si="11"/>
        <v>115.51352941176471</v>
      </c>
    </row>
    <row r="565" spans="1:7" hidden="1" x14ac:dyDescent="0.25">
      <c r="A565" s="28">
        <v>43497</v>
      </c>
      <c r="B565" s="27" t="s">
        <v>200</v>
      </c>
      <c r="C565" s="27" t="s">
        <v>182</v>
      </c>
      <c r="D565" s="27" t="s">
        <v>7</v>
      </c>
      <c r="E565" s="27" t="s">
        <v>11</v>
      </c>
      <c r="F565" s="29"/>
      <c r="G565" s="30">
        <f t="shared" si="11"/>
        <v>115.51352941176471</v>
      </c>
    </row>
    <row r="566" spans="1:7" hidden="1" x14ac:dyDescent="0.25">
      <c r="A566" s="28">
        <v>43497</v>
      </c>
      <c r="B566" s="27" t="s">
        <v>200</v>
      </c>
      <c r="C566" s="27" t="s">
        <v>182</v>
      </c>
      <c r="D566" s="27" t="s">
        <v>7</v>
      </c>
      <c r="E566" s="27" t="s">
        <v>12</v>
      </c>
      <c r="F566" s="29"/>
      <c r="G566" s="30">
        <f t="shared" si="11"/>
        <v>115.51352941176471</v>
      </c>
    </row>
    <row r="567" spans="1:7" hidden="1" x14ac:dyDescent="0.25">
      <c r="A567" s="28">
        <v>43497</v>
      </c>
      <c r="B567" s="27" t="s">
        <v>200</v>
      </c>
      <c r="C567" s="27" t="s">
        <v>182</v>
      </c>
      <c r="D567" s="27" t="s">
        <v>7</v>
      </c>
      <c r="E567" s="27" t="s">
        <v>13</v>
      </c>
      <c r="F567" s="29"/>
      <c r="G567" s="30">
        <f t="shared" si="11"/>
        <v>115.51352941176471</v>
      </c>
    </row>
    <row r="568" spans="1:7" hidden="1" x14ac:dyDescent="0.25">
      <c r="A568" s="28">
        <v>43497</v>
      </c>
      <c r="B568" s="27" t="s">
        <v>200</v>
      </c>
      <c r="C568" s="27" t="s">
        <v>182</v>
      </c>
      <c r="D568" s="27" t="s">
        <v>7</v>
      </c>
      <c r="E568" s="27" t="s">
        <v>14</v>
      </c>
      <c r="F568" s="29"/>
      <c r="G568" s="30">
        <f t="shared" si="11"/>
        <v>115.51352941176471</v>
      </c>
    </row>
    <row r="569" spans="1:7" hidden="1" x14ac:dyDescent="0.25">
      <c r="A569" s="28">
        <v>43497</v>
      </c>
      <c r="B569" s="27" t="s">
        <v>200</v>
      </c>
      <c r="C569" s="27" t="s">
        <v>182</v>
      </c>
      <c r="D569" s="27" t="s">
        <v>7</v>
      </c>
      <c r="E569" s="27" t="s">
        <v>15</v>
      </c>
      <c r="F569" s="29"/>
      <c r="G569" s="30">
        <f t="shared" si="11"/>
        <v>115.51352941176471</v>
      </c>
    </row>
    <row r="570" spans="1:7" hidden="1" x14ac:dyDescent="0.25">
      <c r="A570" s="28">
        <v>43497</v>
      </c>
      <c r="B570" s="27" t="s">
        <v>200</v>
      </c>
      <c r="C570" s="27" t="s">
        <v>182</v>
      </c>
      <c r="D570" s="27" t="s">
        <v>7</v>
      </c>
      <c r="E570" s="27" t="s">
        <v>16</v>
      </c>
      <c r="F570" s="29"/>
      <c r="G570" s="30">
        <f t="shared" si="11"/>
        <v>115.51352941176471</v>
      </c>
    </row>
    <row r="571" spans="1:7" hidden="1" x14ac:dyDescent="0.25">
      <c r="A571" s="28">
        <v>43497</v>
      </c>
      <c r="B571" s="27" t="s">
        <v>200</v>
      </c>
      <c r="C571" s="27" t="s">
        <v>182</v>
      </c>
      <c r="D571" s="27" t="s">
        <v>7</v>
      </c>
      <c r="E571" s="27" t="s">
        <v>17</v>
      </c>
      <c r="F571" s="29"/>
      <c r="G571" s="30">
        <f t="shared" si="11"/>
        <v>115.51352941176471</v>
      </c>
    </row>
    <row r="572" spans="1:7" hidden="1" x14ac:dyDescent="0.25">
      <c r="A572" s="28">
        <v>43497</v>
      </c>
      <c r="B572" s="27" t="s">
        <v>200</v>
      </c>
      <c r="C572" s="27" t="s">
        <v>182</v>
      </c>
      <c r="D572" s="27" t="s">
        <v>7</v>
      </c>
      <c r="E572" s="27" t="s">
        <v>18</v>
      </c>
      <c r="F572" s="29"/>
      <c r="G572" s="30">
        <f t="shared" si="11"/>
        <v>115.51352941176471</v>
      </c>
    </row>
    <row r="573" spans="1:7" hidden="1" x14ac:dyDescent="0.25">
      <c r="A573" s="28">
        <v>43497</v>
      </c>
      <c r="B573" s="27" t="s">
        <v>200</v>
      </c>
      <c r="C573" s="27" t="s">
        <v>182</v>
      </c>
      <c r="D573" s="27" t="s">
        <v>7</v>
      </c>
      <c r="E573" s="27" t="s">
        <v>19</v>
      </c>
      <c r="F573" s="29"/>
      <c r="G573" s="30">
        <f t="shared" si="11"/>
        <v>115.51352941176471</v>
      </c>
    </row>
    <row r="574" spans="1:7" hidden="1" x14ac:dyDescent="0.25">
      <c r="A574" s="28">
        <v>43497</v>
      </c>
      <c r="B574" s="27" t="s">
        <v>200</v>
      </c>
      <c r="C574" s="27" t="s">
        <v>182</v>
      </c>
      <c r="D574" s="27" t="s">
        <v>7</v>
      </c>
      <c r="E574" s="27" t="s">
        <v>204</v>
      </c>
      <c r="F574" s="29"/>
      <c r="G574" s="30">
        <f t="shared" si="11"/>
        <v>115.51352941176471</v>
      </c>
    </row>
    <row r="575" spans="1:7" hidden="1" x14ac:dyDescent="0.25">
      <c r="A575" s="28">
        <v>43497</v>
      </c>
      <c r="B575" s="27" t="s">
        <v>200</v>
      </c>
      <c r="C575" s="27" t="s">
        <v>182</v>
      </c>
      <c r="D575" s="27" t="s">
        <v>7</v>
      </c>
      <c r="E575" s="27" t="s">
        <v>37</v>
      </c>
      <c r="F575" s="29"/>
      <c r="G575" s="30">
        <f t="shared" si="11"/>
        <v>115.51352941176471</v>
      </c>
    </row>
    <row r="576" spans="1:7" hidden="1" x14ac:dyDescent="0.25">
      <c r="A576" s="28">
        <v>43497</v>
      </c>
      <c r="B576" s="27" t="s">
        <v>35</v>
      </c>
      <c r="C576" s="27" t="s">
        <v>50</v>
      </c>
      <c r="D576" s="27" t="s">
        <v>6</v>
      </c>
      <c r="E576" s="27" t="s">
        <v>8</v>
      </c>
      <c r="F576" s="29"/>
      <c r="G576" s="30">
        <v>595.15066666666667</v>
      </c>
    </row>
    <row r="577" spans="1:7" hidden="1" x14ac:dyDescent="0.25">
      <c r="A577" s="28">
        <v>43497</v>
      </c>
      <c r="B577" s="27" t="s">
        <v>35</v>
      </c>
      <c r="C577" s="27" t="s">
        <v>50</v>
      </c>
      <c r="D577" s="27" t="s">
        <v>6</v>
      </c>
      <c r="E577" s="27" t="s">
        <v>9</v>
      </c>
      <c r="F577" s="29"/>
      <c r="G577" s="30">
        <v>595.15066666666667</v>
      </c>
    </row>
    <row r="578" spans="1:7" hidden="1" x14ac:dyDescent="0.25">
      <c r="A578" s="28">
        <v>43497</v>
      </c>
      <c r="B578" s="27" t="s">
        <v>35</v>
      </c>
      <c r="C578" s="27" t="s">
        <v>50</v>
      </c>
      <c r="D578" s="27" t="s">
        <v>6</v>
      </c>
      <c r="E578" s="27" t="s">
        <v>64</v>
      </c>
      <c r="F578" s="29"/>
      <c r="G578" s="30">
        <v>595.15066666666667</v>
      </c>
    </row>
    <row r="579" spans="1:7" hidden="1" x14ac:dyDescent="0.25">
      <c r="A579" s="28">
        <v>43497</v>
      </c>
      <c r="B579" s="27" t="s">
        <v>35</v>
      </c>
      <c r="C579" s="27" t="s">
        <v>50</v>
      </c>
      <c r="D579" s="27" t="s">
        <v>6</v>
      </c>
      <c r="E579" s="27" t="s">
        <v>21</v>
      </c>
      <c r="F579" s="29"/>
      <c r="G579" s="30">
        <v>595.15066666666667</v>
      </c>
    </row>
    <row r="580" spans="1:7" hidden="1" x14ac:dyDescent="0.25">
      <c r="A580" s="28">
        <v>43497</v>
      </c>
      <c r="B580" s="27" t="s">
        <v>35</v>
      </c>
      <c r="C580" s="27" t="s">
        <v>50</v>
      </c>
      <c r="D580" s="27" t="s">
        <v>6</v>
      </c>
      <c r="E580" s="27" t="s">
        <v>21</v>
      </c>
      <c r="F580" s="29"/>
      <c r="G580" s="30">
        <v>595.15066666666667</v>
      </c>
    </row>
    <row r="581" spans="1:7" hidden="1" x14ac:dyDescent="0.25">
      <c r="A581" s="28">
        <v>43497</v>
      </c>
      <c r="B581" s="27" t="s">
        <v>35</v>
      </c>
      <c r="C581" s="27" t="s">
        <v>50</v>
      </c>
      <c r="D581" s="27" t="s">
        <v>6</v>
      </c>
      <c r="E581" s="27" t="s">
        <v>10</v>
      </c>
      <c r="F581" s="29"/>
      <c r="G581" s="30">
        <v>595.15066666666667</v>
      </c>
    </row>
    <row r="582" spans="1:7" hidden="1" x14ac:dyDescent="0.25">
      <c r="A582" s="28">
        <v>43497</v>
      </c>
      <c r="B582" s="27" t="s">
        <v>35</v>
      </c>
      <c r="C582" s="27" t="s">
        <v>50</v>
      </c>
      <c r="D582" s="27" t="s">
        <v>6</v>
      </c>
      <c r="E582" s="27" t="s">
        <v>11</v>
      </c>
      <c r="F582" s="29"/>
      <c r="G582" s="30">
        <v>595.15066666666667</v>
      </c>
    </row>
    <row r="583" spans="1:7" hidden="1" x14ac:dyDescent="0.25">
      <c r="A583" s="28">
        <v>43497</v>
      </c>
      <c r="B583" s="27" t="s">
        <v>35</v>
      </c>
      <c r="C583" s="27" t="s">
        <v>50</v>
      </c>
      <c r="D583" s="27" t="s">
        <v>6</v>
      </c>
      <c r="E583" s="27" t="s">
        <v>12</v>
      </c>
      <c r="F583" s="29"/>
      <c r="G583" s="30">
        <v>595.15066666666667</v>
      </c>
    </row>
    <row r="584" spans="1:7" hidden="1" x14ac:dyDescent="0.25">
      <c r="A584" s="28">
        <v>43497</v>
      </c>
      <c r="B584" s="27" t="s">
        <v>35</v>
      </c>
      <c r="C584" s="27" t="s">
        <v>50</v>
      </c>
      <c r="D584" s="27" t="s">
        <v>6</v>
      </c>
      <c r="E584" s="27" t="s">
        <v>13</v>
      </c>
      <c r="F584" s="29"/>
      <c r="G584" s="30">
        <v>595.15066666666667</v>
      </c>
    </row>
    <row r="585" spans="1:7" hidden="1" x14ac:dyDescent="0.25">
      <c r="A585" s="28">
        <v>43497</v>
      </c>
      <c r="B585" s="27" t="s">
        <v>35</v>
      </c>
      <c r="C585" s="27" t="s">
        <v>50</v>
      </c>
      <c r="D585" s="27" t="s">
        <v>6</v>
      </c>
      <c r="E585" s="27" t="s">
        <v>14</v>
      </c>
      <c r="F585" s="29"/>
      <c r="G585" s="30">
        <v>595.15066666666667</v>
      </c>
    </row>
    <row r="586" spans="1:7" hidden="1" x14ac:dyDescent="0.25">
      <c r="A586" s="28">
        <v>43497</v>
      </c>
      <c r="B586" s="27" t="s">
        <v>35</v>
      </c>
      <c r="C586" s="27" t="s">
        <v>50</v>
      </c>
      <c r="D586" s="27" t="s">
        <v>6</v>
      </c>
      <c r="E586" s="27" t="s">
        <v>15</v>
      </c>
      <c r="F586" s="29"/>
      <c r="G586" s="30">
        <v>595.15066666666667</v>
      </c>
    </row>
    <row r="587" spans="1:7" hidden="1" x14ac:dyDescent="0.25">
      <c r="A587" s="28">
        <v>43497</v>
      </c>
      <c r="B587" s="27" t="s">
        <v>35</v>
      </c>
      <c r="C587" s="27" t="s">
        <v>50</v>
      </c>
      <c r="D587" s="27" t="s">
        <v>6</v>
      </c>
      <c r="E587" s="27" t="s">
        <v>16</v>
      </c>
      <c r="F587" s="29"/>
      <c r="G587" s="30">
        <v>595.15066666666667</v>
      </c>
    </row>
    <row r="588" spans="1:7" hidden="1" x14ac:dyDescent="0.25">
      <c r="A588" s="28">
        <v>43497</v>
      </c>
      <c r="B588" s="27" t="s">
        <v>35</v>
      </c>
      <c r="C588" s="27" t="s">
        <v>50</v>
      </c>
      <c r="D588" s="27" t="s">
        <v>6</v>
      </c>
      <c r="E588" s="27" t="s">
        <v>17</v>
      </c>
      <c r="F588" s="29"/>
      <c r="G588" s="30">
        <v>595.15066666666667</v>
      </c>
    </row>
    <row r="589" spans="1:7" hidden="1" x14ac:dyDescent="0.25">
      <c r="A589" s="28">
        <v>43497</v>
      </c>
      <c r="B589" s="27" t="s">
        <v>35</v>
      </c>
      <c r="C589" s="27" t="s">
        <v>50</v>
      </c>
      <c r="D589" s="27" t="s">
        <v>6</v>
      </c>
      <c r="E589" s="27" t="s">
        <v>18</v>
      </c>
      <c r="F589" s="29"/>
      <c r="G589" s="30">
        <v>595.15066666666667</v>
      </c>
    </row>
    <row r="590" spans="1:7" hidden="1" x14ac:dyDescent="0.25">
      <c r="A590" s="28">
        <v>43497</v>
      </c>
      <c r="B590" s="27" t="s">
        <v>35</v>
      </c>
      <c r="C590" s="27" t="s">
        <v>50</v>
      </c>
      <c r="D590" s="27" t="s">
        <v>6</v>
      </c>
      <c r="E590" s="27" t="s">
        <v>19</v>
      </c>
      <c r="F590" s="29"/>
      <c r="G590" s="30">
        <v>595.15066666666667</v>
      </c>
    </row>
    <row r="591" spans="1:7" hidden="1" x14ac:dyDescent="0.25">
      <c r="A591" s="28">
        <v>43497</v>
      </c>
      <c r="B591" s="27" t="s">
        <v>34</v>
      </c>
      <c r="C591" s="27" t="s">
        <v>50</v>
      </c>
      <c r="D591" s="27" t="s">
        <v>6</v>
      </c>
      <c r="E591" s="27" t="s">
        <v>8</v>
      </c>
      <c r="F591" s="29"/>
      <c r="G591" s="30">
        <v>552.0533333333334</v>
      </c>
    </row>
    <row r="592" spans="1:7" hidden="1" x14ac:dyDescent="0.25">
      <c r="A592" s="28">
        <v>43497</v>
      </c>
      <c r="B592" s="27" t="s">
        <v>34</v>
      </c>
      <c r="C592" s="27" t="s">
        <v>50</v>
      </c>
      <c r="D592" s="27" t="s">
        <v>6</v>
      </c>
      <c r="E592" s="27" t="s">
        <v>9</v>
      </c>
      <c r="F592" s="29"/>
      <c r="G592" s="30">
        <v>864.49749999999995</v>
      </c>
    </row>
    <row r="593" spans="1:7" hidden="1" x14ac:dyDescent="0.25">
      <c r="A593" s="28">
        <v>43497</v>
      </c>
      <c r="B593" s="27" t="s">
        <v>34</v>
      </c>
      <c r="C593" s="27" t="s">
        <v>50</v>
      </c>
      <c r="D593" s="27" t="s">
        <v>6</v>
      </c>
      <c r="E593" s="27" t="s">
        <v>64</v>
      </c>
      <c r="F593" s="29"/>
      <c r="G593" s="30">
        <v>698.10416666666663</v>
      </c>
    </row>
    <row r="594" spans="1:7" hidden="1" x14ac:dyDescent="0.25">
      <c r="A594" s="28">
        <v>43497</v>
      </c>
      <c r="B594" s="27" t="s">
        <v>34</v>
      </c>
      <c r="C594" s="27" t="s">
        <v>50</v>
      </c>
      <c r="D594" s="27" t="s">
        <v>6</v>
      </c>
      <c r="E594" s="27" t="s">
        <v>21</v>
      </c>
      <c r="F594" s="29"/>
      <c r="G594" s="30">
        <v>985.48500000000001</v>
      </c>
    </row>
    <row r="595" spans="1:7" hidden="1" x14ac:dyDescent="0.25">
      <c r="A595" s="28">
        <v>43497</v>
      </c>
      <c r="B595" s="27" t="s">
        <v>34</v>
      </c>
      <c r="C595" s="27" t="s">
        <v>50</v>
      </c>
      <c r="D595" s="27" t="s">
        <v>6</v>
      </c>
      <c r="E595" s="27" t="s">
        <v>21</v>
      </c>
      <c r="F595" s="29"/>
      <c r="G595" s="30">
        <v>656.62166666666667</v>
      </c>
    </row>
    <row r="596" spans="1:7" hidden="1" x14ac:dyDescent="0.25">
      <c r="A596" s="28">
        <v>43497</v>
      </c>
      <c r="B596" s="27" t="s">
        <v>34</v>
      </c>
      <c r="C596" s="27" t="s">
        <v>50</v>
      </c>
      <c r="D596" s="27" t="s">
        <v>6</v>
      </c>
      <c r="E596" s="27" t="s">
        <v>10</v>
      </c>
      <c r="F596" s="29"/>
      <c r="G596" s="30">
        <v>832.49083333333328</v>
      </c>
    </row>
    <row r="597" spans="1:7" hidden="1" x14ac:dyDescent="0.25">
      <c r="A597" s="28">
        <v>43497</v>
      </c>
      <c r="B597" s="27" t="s">
        <v>34</v>
      </c>
      <c r="C597" s="27" t="s">
        <v>50</v>
      </c>
      <c r="D597" s="27" t="s">
        <v>6</v>
      </c>
      <c r="E597" s="27" t="s">
        <v>11</v>
      </c>
      <c r="F597" s="29"/>
      <c r="G597" s="30">
        <v>418.92500000000001</v>
      </c>
    </row>
    <row r="598" spans="1:7" hidden="1" x14ac:dyDescent="0.25">
      <c r="A598" s="28">
        <v>43497</v>
      </c>
      <c r="B598" s="27" t="s">
        <v>34</v>
      </c>
      <c r="C598" s="27" t="s">
        <v>50</v>
      </c>
      <c r="D598" s="27" t="s">
        <v>6</v>
      </c>
      <c r="E598" s="27" t="s">
        <v>12</v>
      </c>
      <c r="F598" s="29"/>
      <c r="G598" s="30">
        <v>388.7</v>
      </c>
    </row>
    <row r="599" spans="1:7" hidden="1" x14ac:dyDescent="0.25">
      <c r="A599" s="28">
        <v>43497</v>
      </c>
      <c r="B599" s="27" t="s">
        <v>34</v>
      </c>
      <c r="C599" s="27" t="s">
        <v>50</v>
      </c>
      <c r="D599" s="27" t="s">
        <v>6</v>
      </c>
      <c r="E599" s="27" t="s">
        <v>13</v>
      </c>
      <c r="F599" s="29"/>
      <c r="G599" s="30">
        <v>537.06416666666667</v>
      </c>
    </row>
    <row r="600" spans="1:7" hidden="1" x14ac:dyDescent="0.25">
      <c r="A600" s="28">
        <v>43497</v>
      </c>
      <c r="B600" s="27" t="s">
        <v>34</v>
      </c>
      <c r="C600" s="27" t="s">
        <v>50</v>
      </c>
      <c r="D600" s="27" t="s">
        <v>6</v>
      </c>
      <c r="E600" s="27" t="s">
        <v>14</v>
      </c>
      <c r="F600" s="29"/>
      <c r="G600" s="30">
        <v>165.58333333333334</v>
      </c>
    </row>
    <row r="601" spans="1:7" hidden="1" x14ac:dyDescent="0.25">
      <c r="A601" s="28">
        <v>43497</v>
      </c>
      <c r="B601" s="27" t="s">
        <v>34</v>
      </c>
      <c r="C601" s="27" t="s">
        <v>50</v>
      </c>
      <c r="D601" s="27" t="s">
        <v>6</v>
      </c>
      <c r="E601" s="27" t="s">
        <v>15</v>
      </c>
      <c r="F601" s="29"/>
      <c r="G601" s="30">
        <v>409.28999999999996</v>
      </c>
    </row>
    <row r="602" spans="1:7" hidden="1" x14ac:dyDescent="0.25">
      <c r="A602" s="28">
        <v>43497</v>
      </c>
      <c r="B602" s="27" t="s">
        <v>34</v>
      </c>
      <c r="C602" s="27" t="s">
        <v>50</v>
      </c>
      <c r="D602" s="27" t="s">
        <v>6</v>
      </c>
      <c r="E602" s="27" t="s">
        <v>16</v>
      </c>
      <c r="F602" s="29"/>
      <c r="G602" s="30">
        <v>657.78499999999997</v>
      </c>
    </row>
    <row r="603" spans="1:7" hidden="1" x14ac:dyDescent="0.25">
      <c r="A603" s="28">
        <v>43497</v>
      </c>
      <c r="B603" s="27" t="s">
        <v>34</v>
      </c>
      <c r="C603" s="27" t="s">
        <v>50</v>
      </c>
      <c r="D603" s="27" t="s">
        <v>6</v>
      </c>
      <c r="E603" s="27" t="s">
        <v>17</v>
      </c>
      <c r="F603" s="29"/>
      <c r="G603" s="30">
        <v>835.00750000000005</v>
      </c>
    </row>
    <row r="604" spans="1:7" hidden="1" x14ac:dyDescent="0.25">
      <c r="A604" s="28">
        <v>43497</v>
      </c>
      <c r="B604" s="27" t="s">
        <v>34</v>
      </c>
      <c r="C604" s="27" t="s">
        <v>50</v>
      </c>
      <c r="D604" s="27" t="s">
        <v>6</v>
      </c>
      <c r="E604" s="27" t="s">
        <v>18</v>
      </c>
      <c r="F604" s="29"/>
      <c r="G604" s="30">
        <v>369.30749999999995</v>
      </c>
    </row>
    <row r="605" spans="1:7" hidden="1" x14ac:dyDescent="0.25">
      <c r="A605" s="28">
        <v>43497</v>
      </c>
      <c r="B605" s="27" t="s">
        <v>34</v>
      </c>
      <c r="C605" s="27" t="s">
        <v>50</v>
      </c>
      <c r="D605" s="27" t="s">
        <v>6</v>
      </c>
      <c r="E605" s="27" t="s">
        <v>19</v>
      </c>
      <c r="F605" s="29"/>
      <c r="G605" s="30">
        <v>289.51</v>
      </c>
    </row>
    <row r="606" spans="1:7" hidden="1" x14ac:dyDescent="0.25">
      <c r="A606" s="28">
        <v>43497</v>
      </c>
      <c r="B606" s="27" t="s">
        <v>34</v>
      </c>
      <c r="C606" s="27" t="s">
        <v>50</v>
      </c>
      <c r="D606" s="27" t="s">
        <v>6</v>
      </c>
      <c r="E606" s="27" t="s">
        <v>204</v>
      </c>
      <c r="F606" s="29"/>
      <c r="G606" s="30">
        <v>164.41666666666666</v>
      </c>
    </row>
    <row r="607" spans="1:7" hidden="1" x14ac:dyDescent="0.25">
      <c r="A607" s="28">
        <v>43525</v>
      </c>
      <c r="B607" s="27" t="s">
        <v>33</v>
      </c>
      <c r="C607" s="27" t="s">
        <v>50</v>
      </c>
      <c r="D607" s="27" t="s">
        <v>7</v>
      </c>
      <c r="E607" s="27" t="s">
        <v>8</v>
      </c>
      <c r="F607" s="29"/>
      <c r="G607" s="30">
        <v>2792.5505882352945</v>
      </c>
    </row>
    <row r="608" spans="1:7" hidden="1" x14ac:dyDescent="0.25">
      <c r="A608" s="28">
        <v>43525</v>
      </c>
      <c r="B608" s="27" t="s">
        <v>33</v>
      </c>
      <c r="C608" s="27" t="s">
        <v>50</v>
      </c>
      <c r="D608" s="27" t="s">
        <v>7</v>
      </c>
      <c r="E608" s="27" t="s">
        <v>9</v>
      </c>
      <c r="F608" s="29"/>
      <c r="G608" s="30">
        <v>2792.5505882352945</v>
      </c>
    </row>
    <row r="609" spans="1:7" hidden="1" x14ac:dyDescent="0.25">
      <c r="A609" s="28">
        <v>43525</v>
      </c>
      <c r="B609" s="27" t="s">
        <v>33</v>
      </c>
      <c r="C609" s="27" t="s">
        <v>50</v>
      </c>
      <c r="D609" s="27" t="s">
        <v>7</v>
      </c>
      <c r="E609" s="27" t="s">
        <v>64</v>
      </c>
      <c r="F609" s="29"/>
      <c r="G609" s="30">
        <v>2792.5505882352945</v>
      </c>
    </row>
    <row r="610" spans="1:7" hidden="1" x14ac:dyDescent="0.25">
      <c r="A610" s="28">
        <v>43525</v>
      </c>
      <c r="B610" s="27" t="s">
        <v>33</v>
      </c>
      <c r="C610" s="27" t="s">
        <v>50</v>
      </c>
      <c r="D610" s="27" t="s">
        <v>7</v>
      </c>
      <c r="E610" s="27" t="s">
        <v>21</v>
      </c>
      <c r="F610" s="29"/>
      <c r="G610" s="30">
        <v>2792.5505882352945</v>
      </c>
    </row>
    <row r="611" spans="1:7" hidden="1" x14ac:dyDescent="0.25">
      <c r="A611" s="28">
        <v>43525</v>
      </c>
      <c r="B611" s="27" t="s">
        <v>33</v>
      </c>
      <c r="C611" s="27" t="s">
        <v>50</v>
      </c>
      <c r="D611" s="27" t="s">
        <v>7</v>
      </c>
      <c r="E611" s="27" t="s">
        <v>21</v>
      </c>
      <c r="F611" s="29"/>
      <c r="G611" s="30">
        <v>2792.5505882352945</v>
      </c>
    </row>
    <row r="612" spans="1:7" hidden="1" x14ac:dyDescent="0.25">
      <c r="A612" s="28">
        <v>43525</v>
      </c>
      <c r="B612" s="27" t="s">
        <v>33</v>
      </c>
      <c r="C612" s="27" t="s">
        <v>50</v>
      </c>
      <c r="D612" s="27" t="s">
        <v>7</v>
      </c>
      <c r="E612" s="27" t="s">
        <v>10</v>
      </c>
      <c r="F612" s="29"/>
      <c r="G612" s="30">
        <v>2792.5505882352945</v>
      </c>
    </row>
    <row r="613" spans="1:7" hidden="1" x14ac:dyDescent="0.25">
      <c r="A613" s="28">
        <v>43525</v>
      </c>
      <c r="B613" s="27" t="s">
        <v>33</v>
      </c>
      <c r="C613" s="27" t="s">
        <v>50</v>
      </c>
      <c r="D613" s="27" t="s">
        <v>7</v>
      </c>
      <c r="E613" s="27" t="s">
        <v>11</v>
      </c>
      <c r="F613" s="29"/>
      <c r="G613" s="30">
        <v>2792.5505882352945</v>
      </c>
    </row>
    <row r="614" spans="1:7" hidden="1" x14ac:dyDescent="0.25">
      <c r="A614" s="28">
        <v>43525</v>
      </c>
      <c r="B614" s="27" t="s">
        <v>33</v>
      </c>
      <c r="C614" s="27" t="s">
        <v>50</v>
      </c>
      <c r="D614" s="27" t="s">
        <v>7</v>
      </c>
      <c r="E614" s="27" t="s">
        <v>12</v>
      </c>
      <c r="F614" s="29"/>
      <c r="G614" s="30">
        <v>2792.5505882352945</v>
      </c>
    </row>
    <row r="615" spans="1:7" hidden="1" x14ac:dyDescent="0.25">
      <c r="A615" s="28">
        <v>43525</v>
      </c>
      <c r="B615" s="27" t="s">
        <v>33</v>
      </c>
      <c r="C615" s="27" t="s">
        <v>50</v>
      </c>
      <c r="D615" s="27" t="s">
        <v>7</v>
      </c>
      <c r="E615" s="27" t="s">
        <v>13</v>
      </c>
      <c r="F615" s="29"/>
      <c r="G615" s="30">
        <v>2792.5505882352945</v>
      </c>
    </row>
    <row r="616" spans="1:7" hidden="1" x14ac:dyDescent="0.25">
      <c r="A616" s="28">
        <v>43525</v>
      </c>
      <c r="B616" s="27" t="s">
        <v>33</v>
      </c>
      <c r="C616" s="27" t="s">
        <v>50</v>
      </c>
      <c r="D616" s="27" t="s">
        <v>7</v>
      </c>
      <c r="E616" s="27" t="s">
        <v>14</v>
      </c>
      <c r="F616" s="29"/>
      <c r="G616" s="30">
        <v>2792.5505882352945</v>
      </c>
    </row>
    <row r="617" spans="1:7" hidden="1" x14ac:dyDescent="0.25">
      <c r="A617" s="28">
        <v>43525</v>
      </c>
      <c r="B617" s="27" t="s">
        <v>33</v>
      </c>
      <c r="C617" s="27" t="s">
        <v>50</v>
      </c>
      <c r="D617" s="27" t="s">
        <v>7</v>
      </c>
      <c r="E617" s="27" t="s">
        <v>15</v>
      </c>
      <c r="F617" s="29"/>
      <c r="G617" s="30">
        <v>2792.5505882352945</v>
      </c>
    </row>
    <row r="618" spans="1:7" hidden="1" x14ac:dyDescent="0.25">
      <c r="A618" s="28">
        <v>43525</v>
      </c>
      <c r="B618" s="27" t="s">
        <v>33</v>
      </c>
      <c r="C618" s="27" t="s">
        <v>50</v>
      </c>
      <c r="D618" s="27" t="s">
        <v>7</v>
      </c>
      <c r="E618" s="27" t="s">
        <v>16</v>
      </c>
      <c r="F618" s="29"/>
      <c r="G618" s="30">
        <v>2792.5505882352945</v>
      </c>
    </row>
    <row r="619" spans="1:7" hidden="1" x14ac:dyDescent="0.25">
      <c r="A619" s="28">
        <v>43525</v>
      </c>
      <c r="B619" s="27" t="s">
        <v>33</v>
      </c>
      <c r="C619" s="27" t="s">
        <v>50</v>
      </c>
      <c r="D619" s="27" t="s">
        <v>7</v>
      </c>
      <c r="E619" s="27" t="s">
        <v>17</v>
      </c>
      <c r="F619" s="29"/>
      <c r="G619" s="30">
        <v>2792.5505882352945</v>
      </c>
    </row>
    <row r="620" spans="1:7" hidden="1" x14ac:dyDescent="0.25">
      <c r="A620" s="28">
        <v>43525</v>
      </c>
      <c r="B620" s="27" t="s">
        <v>33</v>
      </c>
      <c r="C620" s="27" t="s">
        <v>50</v>
      </c>
      <c r="D620" s="27" t="s">
        <v>7</v>
      </c>
      <c r="E620" s="27" t="s">
        <v>18</v>
      </c>
      <c r="F620" s="29"/>
      <c r="G620" s="30">
        <v>2792.5505882352945</v>
      </c>
    </row>
    <row r="621" spans="1:7" hidden="1" x14ac:dyDescent="0.25">
      <c r="A621" s="28">
        <v>43525</v>
      </c>
      <c r="B621" s="27" t="s">
        <v>33</v>
      </c>
      <c r="C621" s="27" t="s">
        <v>50</v>
      </c>
      <c r="D621" s="27" t="s">
        <v>7</v>
      </c>
      <c r="E621" s="27" t="s">
        <v>19</v>
      </c>
      <c r="F621" s="29"/>
      <c r="G621" s="30">
        <v>2792.5505882352945</v>
      </c>
    </row>
    <row r="622" spans="1:7" hidden="1" x14ac:dyDescent="0.25">
      <c r="A622" s="28">
        <v>43525</v>
      </c>
      <c r="B622" s="27" t="s">
        <v>33</v>
      </c>
      <c r="C622" s="27" t="s">
        <v>50</v>
      </c>
      <c r="D622" s="27" t="s">
        <v>7</v>
      </c>
      <c r="E622" s="27" t="s">
        <v>20</v>
      </c>
      <c r="F622" s="29"/>
      <c r="G622" s="30">
        <v>2792.5505882352945</v>
      </c>
    </row>
    <row r="623" spans="1:7" hidden="1" x14ac:dyDescent="0.25">
      <c r="A623" s="28">
        <v>43525</v>
      </c>
      <c r="B623" s="27" t="s">
        <v>33</v>
      </c>
      <c r="C623" s="27" t="s">
        <v>50</v>
      </c>
      <c r="D623" s="27" t="s">
        <v>7</v>
      </c>
      <c r="E623" s="27" t="s">
        <v>37</v>
      </c>
      <c r="F623" s="29"/>
      <c r="G623" s="30">
        <v>2792.5505882352945</v>
      </c>
    </row>
    <row r="624" spans="1:7" hidden="1" x14ac:dyDescent="0.25">
      <c r="A624" s="28">
        <v>43525</v>
      </c>
      <c r="B624" s="27" t="s">
        <v>4</v>
      </c>
      <c r="C624" s="27" t="s">
        <v>50</v>
      </c>
      <c r="D624" s="27" t="s">
        <v>7</v>
      </c>
      <c r="E624" s="27" t="s">
        <v>9</v>
      </c>
      <c r="F624" s="29"/>
      <c r="G624" s="30">
        <v>3459.76</v>
      </c>
    </row>
    <row r="625" spans="1:7" hidden="1" x14ac:dyDescent="0.25">
      <c r="A625" s="28">
        <v>43525</v>
      </c>
      <c r="B625" s="27" t="s">
        <v>4</v>
      </c>
      <c r="C625" s="27" t="s">
        <v>50</v>
      </c>
      <c r="D625" s="27" t="s">
        <v>7</v>
      </c>
      <c r="E625" s="27" t="s">
        <v>64</v>
      </c>
      <c r="F625" s="29"/>
      <c r="G625" s="30">
        <v>3307.98</v>
      </c>
    </row>
    <row r="626" spans="1:7" hidden="1" x14ac:dyDescent="0.25">
      <c r="A626" s="28">
        <v>43525</v>
      </c>
      <c r="B626" s="27" t="s">
        <v>4</v>
      </c>
      <c r="C626" s="27" t="s">
        <v>50</v>
      </c>
      <c r="D626" s="27" t="s">
        <v>7</v>
      </c>
      <c r="E626" s="27" t="s">
        <v>21</v>
      </c>
      <c r="F626" s="29"/>
      <c r="G626" s="30">
        <v>2544.5699999999997</v>
      </c>
    </row>
    <row r="627" spans="1:7" hidden="1" x14ac:dyDescent="0.25">
      <c r="A627" s="28">
        <v>43525</v>
      </c>
      <c r="B627" s="27" t="s">
        <v>4</v>
      </c>
      <c r="C627" s="27" t="s">
        <v>50</v>
      </c>
      <c r="D627" s="27" t="s">
        <v>7</v>
      </c>
      <c r="E627" s="27" t="s">
        <v>21</v>
      </c>
      <c r="F627" s="29"/>
      <c r="G627" s="30">
        <v>3474.8499999999995</v>
      </c>
    </row>
    <row r="628" spans="1:7" hidden="1" x14ac:dyDescent="0.25">
      <c r="A628" s="28">
        <v>43525</v>
      </c>
      <c r="B628" s="27" t="s">
        <v>4</v>
      </c>
      <c r="C628" s="27" t="s">
        <v>50</v>
      </c>
      <c r="D628" s="27" t="s">
        <v>7</v>
      </c>
      <c r="E628" s="27" t="s">
        <v>10</v>
      </c>
      <c r="F628" s="29"/>
      <c r="G628" s="30">
        <v>4429.6099999999997</v>
      </c>
    </row>
    <row r="629" spans="1:7" hidden="1" x14ac:dyDescent="0.25">
      <c r="A629" s="28">
        <v>43525</v>
      </c>
      <c r="B629" s="27" t="s">
        <v>4</v>
      </c>
      <c r="C629" s="27" t="s">
        <v>50</v>
      </c>
      <c r="D629" s="27" t="s">
        <v>7</v>
      </c>
      <c r="E629" s="27" t="s">
        <v>11</v>
      </c>
      <c r="F629" s="29"/>
      <c r="G629" s="30">
        <v>1335.06</v>
      </c>
    </row>
    <row r="630" spans="1:7" hidden="1" x14ac:dyDescent="0.25">
      <c r="A630" s="28">
        <v>43525</v>
      </c>
      <c r="B630" s="27" t="s">
        <v>4</v>
      </c>
      <c r="C630" s="27" t="s">
        <v>50</v>
      </c>
      <c r="D630" s="27" t="s">
        <v>7</v>
      </c>
      <c r="E630" s="27" t="s">
        <v>12</v>
      </c>
      <c r="F630" s="29"/>
      <c r="G630" s="30">
        <v>1658.2199999999998</v>
      </c>
    </row>
    <row r="631" spans="1:7" hidden="1" x14ac:dyDescent="0.25">
      <c r="A631" s="28">
        <v>43525</v>
      </c>
      <c r="B631" s="27" t="s">
        <v>4</v>
      </c>
      <c r="C631" s="27" t="s">
        <v>50</v>
      </c>
      <c r="D631" s="27" t="s">
        <v>7</v>
      </c>
      <c r="E631" s="27" t="s">
        <v>13</v>
      </c>
      <c r="F631" s="29"/>
      <c r="G631" s="30">
        <v>4381.5999999999995</v>
      </c>
    </row>
    <row r="632" spans="1:7" hidden="1" x14ac:dyDescent="0.25">
      <c r="A632" s="28">
        <v>43525</v>
      </c>
      <c r="B632" s="27" t="s">
        <v>4</v>
      </c>
      <c r="C632" s="27" t="s">
        <v>50</v>
      </c>
      <c r="D632" s="27" t="s">
        <v>7</v>
      </c>
      <c r="E632" s="27" t="s">
        <v>14</v>
      </c>
      <c r="F632" s="29"/>
      <c r="G632" s="30">
        <v>1786.93</v>
      </c>
    </row>
    <row r="633" spans="1:7" hidden="1" x14ac:dyDescent="0.25">
      <c r="A633" s="28">
        <v>43525</v>
      </c>
      <c r="B633" s="27" t="s">
        <v>4</v>
      </c>
      <c r="C633" s="27" t="s">
        <v>50</v>
      </c>
      <c r="D633" s="27" t="s">
        <v>7</v>
      </c>
      <c r="E633" s="27" t="s">
        <v>15</v>
      </c>
      <c r="F633" s="29"/>
      <c r="G633" s="30">
        <v>4706.88</v>
      </c>
    </row>
    <row r="634" spans="1:7" hidden="1" x14ac:dyDescent="0.25">
      <c r="A634" s="28">
        <v>43525</v>
      </c>
      <c r="B634" s="27" t="s">
        <v>4</v>
      </c>
      <c r="C634" s="27" t="s">
        <v>50</v>
      </c>
      <c r="D634" s="27" t="s">
        <v>7</v>
      </c>
      <c r="E634" s="27" t="s">
        <v>16</v>
      </c>
      <c r="F634" s="29"/>
      <c r="G634" s="30">
        <v>4474.6499999999996</v>
      </c>
    </row>
    <row r="635" spans="1:7" hidden="1" x14ac:dyDescent="0.25">
      <c r="A635" s="28">
        <v>43525</v>
      </c>
      <c r="B635" s="27" t="s">
        <v>4</v>
      </c>
      <c r="C635" s="27" t="s">
        <v>50</v>
      </c>
      <c r="D635" s="27" t="s">
        <v>7</v>
      </c>
      <c r="E635" s="27" t="s">
        <v>17</v>
      </c>
      <c r="F635" s="29"/>
      <c r="G635" s="30">
        <v>4373.46</v>
      </c>
    </row>
    <row r="636" spans="1:7" hidden="1" x14ac:dyDescent="0.25">
      <c r="A636" s="28">
        <v>43525</v>
      </c>
      <c r="B636" s="27" t="s">
        <v>4</v>
      </c>
      <c r="C636" s="27" t="s">
        <v>50</v>
      </c>
      <c r="D636" s="27" t="s">
        <v>7</v>
      </c>
      <c r="E636" s="27" t="s">
        <v>18</v>
      </c>
      <c r="F636" s="29"/>
      <c r="G636" s="30">
        <v>1893.16</v>
      </c>
    </row>
    <row r="637" spans="1:7" hidden="1" x14ac:dyDescent="0.25">
      <c r="A637" s="28">
        <v>43525</v>
      </c>
      <c r="B637" s="27" t="s">
        <v>4</v>
      </c>
      <c r="C637" s="27" t="s">
        <v>50</v>
      </c>
      <c r="D637" s="27" t="s">
        <v>7</v>
      </c>
      <c r="E637" s="27" t="s">
        <v>19</v>
      </c>
      <c r="F637" s="29"/>
      <c r="G637" s="30">
        <v>3407.6100000000006</v>
      </c>
    </row>
    <row r="638" spans="1:7" hidden="1" x14ac:dyDescent="0.25">
      <c r="A638" s="28">
        <v>43525</v>
      </c>
      <c r="B638" s="27" t="s">
        <v>4</v>
      </c>
      <c r="C638" s="27" t="s">
        <v>50</v>
      </c>
      <c r="D638" s="27" t="s">
        <v>7</v>
      </c>
      <c r="E638" s="27" t="s">
        <v>20</v>
      </c>
      <c r="F638" s="29"/>
      <c r="G638" s="30">
        <v>200</v>
      </c>
    </row>
    <row r="639" spans="1:7" hidden="1" x14ac:dyDescent="0.25">
      <c r="A639" s="28">
        <v>43525</v>
      </c>
      <c r="B639" s="27" t="s">
        <v>4</v>
      </c>
      <c r="C639" s="27" t="s">
        <v>50</v>
      </c>
      <c r="D639" s="27" t="s">
        <v>7</v>
      </c>
      <c r="E639" s="27" t="s">
        <v>204</v>
      </c>
      <c r="F639" s="29"/>
      <c r="G639" s="30">
        <v>1140.96</v>
      </c>
    </row>
    <row r="640" spans="1:7" hidden="1" x14ac:dyDescent="0.25">
      <c r="A640" s="28">
        <v>43525</v>
      </c>
      <c r="B640" s="27" t="s">
        <v>4</v>
      </c>
      <c r="C640" s="27" t="s">
        <v>50</v>
      </c>
      <c r="D640" s="27" t="s">
        <v>7</v>
      </c>
      <c r="E640" s="27" t="s">
        <v>37</v>
      </c>
      <c r="F640" s="29"/>
      <c r="G640" s="30">
        <v>228</v>
      </c>
    </row>
    <row r="641" spans="1:7" hidden="1" x14ac:dyDescent="0.25">
      <c r="A641" s="28">
        <v>43525</v>
      </c>
      <c r="B641" s="27" t="s">
        <v>26</v>
      </c>
      <c r="C641" s="27" t="s">
        <v>50</v>
      </c>
      <c r="D641" s="27" t="s">
        <v>6</v>
      </c>
      <c r="E641" s="27" t="s">
        <v>8</v>
      </c>
      <c r="F641" s="29"/>
      <c r="G641" s="30">
        <v>1194.25</v>
      </c>
    </row>
    <row r="642" spans="1:7" hidden="1" x14ac:dyDescent="0.25">
      <c r="A642" s="28">
        <v>43525</v>
      </c>
      <c r="B642" s="27" t="s">
        <v>26</v>
      </c>
      <c r="C642" s="27" t="s">
        <v>50</v>
      </c>
      <c r="D642" s="27" t="s">
        <v>6</v>
      </c>
      <c r="E642" s="27" t="s">
        <v>9</v>
      </c>
      <c r="F642" s="29"/>
      <c r="G642" s="30">
        <v>1550.9166666666667</v>
      </c>
    </row>
    <row r="643" spans="1:7" hidden="1" x14ac:dyDescent="0.25">
      <c r="A643" s="28">
        <v>43525</v>
      </c>
      <c r="B643" s="27" t="s">
        <v>26</v>
      </c>
      <c r="C643" s="27" t="s">
        <v>50</v>
      </c>
      <c r="D643" s="27" t="s">
        <v>6</v>
      </c>
      <c r="E643" s="27" t="s">
        <v>64</v>
      </c>
      <c r="F643" s="29"/>
      <c r="G643" s="30">
        <v>1270.3500000000001</v>
      </c>
    </row>
    <row r="644" spans="1:7" hidden="1" x14ac:dyDescent="0.25">
      <c r="A644" s="28">
        <v>43525</v>
      </c>
      <c r="B644" s="27" t="s">
        <v>26</v>
      </c>
      <c r="C644" s="27" t="s">
        <v>50</v>
      </c>
      <c r="D644" s="27" t="s">
        <v>6</v>
      </c>
      <c r="E644" s="27" t="s">
        <v>21</v>
      </c>
      <c r="F644" s="29"/>
      <c r="G644" s="30">
        <v>1359.4166666666667</v>
      </c>
    </row>
    <row r="645" spans="1:7" hidden="1" x14ac:dyDescent="0.25">
      <c r="A645" s="28">
        <v>43525</v>
      </c>
      <c r="B645" s="27" t="s">
        <v>26</v>
      </c>
      <c r="C645" s="27" t="s">
        <v>50</v>
      </c>
      <c r="D645" s="27" t="s">
        <v>6</v>
      </c>
      <c r="E645" s="27" t="s">
        <v>21</v>
      </c>
      <c r="F645" s="29"/>
      <c r="G645" s="30">
        <v>1359.4166666666667</v>
      </c>
    </row>
    <row r="646" spans="1:7" hidden="1" x14ac:dyDescent="0.25">
      <c r="A646" s="28">
        <v>43525</v>
      </c>
      <c r="B646" s="27" t="s">
        <v>26</v>
      </c>
      <c r="C646" s="27" t="s">
        <v>50</v>
      </c>
      <c r="D646" s="27" t="s">
        <v>6</v>
      </c>
      <c r="E646" s="27" t="s">
        <v>10</v>
      </c>
      <c r="F646" s="29"/>
      <c r="G646" s="30">
        <v>1998.9666666666669</v>
      </c>
    </row>
    <row r="647" spans="1:7" hidden="1" x14ac:dyDescent="0.25">
      <c r="A647" s="28">
        <v>43525</v>
      </c>
      <c r="B647" s="27" t="s">
        <v>26</v>
      </c>
      <c r="C647" s="27" t="s">
        <v>50</v>
      </c>
      <c r="D647" s="27" t="s">
        <v>6</v>
      </c>
      <c r="E647" s="27" t="s">
        <v>11</v>
      </c>
      <c r="F647" s="29"/>
      <c r="G647" s="30">
        <v>1340.7166666666667</v>
      </c>
    </row>
    <row r="648" spans="1:7" hidden="1" x14ac:dyDescent="0.25">
      <c r="A648" s="28">
        <v>43525</v>
      </c>
      <c r="B648" s="27" t="s">
        <v>26</v>
      </c>
      <c r="C648" s="27" t="s">
        <v>50</v>
      </c>
      <c r="D648" s="27" t="s">
        <v>6</v>
      </c>
      <c r="E648" s="27" t="s">
        <v>12</v>
      </c>
      <c r="F648" s="29"/>
      <c r="G648" s="30">
        <v>1350.1166666666668</v>
      </c>
    </row>
    <row r="649" spans="1:7" hidden="1" x14ac:dyDescent="0.25">
      <c r="A649" s="28">
        <v>43525</v>
      </c>
      <c r="B649" s="27" t="s">
        <v>26</v>
      </c>
      <c r="C649" s="27" t="s">
        <v>50</v>
      </c>
      <c r="D649" s="27" t="s">
        <v>6</v>
      </c>
      <c r="E649" s="27" t="s">
        <v>13</v>
      </c>
      <c r="F649" s="29"/>
      <c r="G649" s="30">
        <v>1901.5</v>
      </c>
    </row>
    <row r="650" spans="1:7" hidden="1" x14ac:dyDescent="0.25">
      <c r="A650" s="28">
        <v>43525</v>
      </c>
      <c r="B650" s="27" t="s">
        <v>26</v>
      </c>
      <c r="C650" s="27" t="s">
        <v>50</v>
      </c>
      <c r="D650" s="27" t="s">
        <v>6</v>
      </c>
      <c r="E650" s="27" t="s">
        <v>14</v>
      </c>
      <c r="F650" s="29"/>
      <c r="G650" s="30">
        <v>701.7833333333333</v>
      </c>
    </row>
    <row r="651" spans="1:7" hidden="1" x14ac:dyDescent="0.25">
      <c r="A651" s="28">
        <v>43525</v>
      </c>
      <c r="B651" s="27" t="s">
        <v>26</v>
      </c>
      <c r="C651" s="27" t="s">
        <v>50</v>
      </c>
      <c r="D651" s="27" t="s">
        <v>6</v>
      </c>
      <c r="E651" s="27" t="s">
        <v>15</v>
      </c>
      <c r="F651" s="29"/>
      <c r="G651" s="30">
        <v>1820.5500000000002</v>
      </c>
    </row>
    <row r="652" spans="1:7" hidden="1" x14ac:dyDescent="0.25">
      <c r="A652" s="28">
        <v>43525</v>
      </c>
      <c r="B652" s="27" t="s">
        <v>26</v>
      </c>
      <c r="C652" s="27" t="s">
        <v>50</v>
      </c>
      <c r="D652" s="27" t="s">
        <v>6</v>
      </c>
      <c r="E652" s="27" t="s">
        <v>16</v>
      </c>
      <c r="F652" s="29"/>
      <c r="G652" s="30">
        <v>1992.5833333333333</v>
      </c>
    </row>
    <row r="653" spans="1:7" hidden="1" x14ac:dyDescent="0.25">
      <c r="A653" s="28">
        <v>43525</v>
      </c>
      <c r="B653" s="27" t="s">
        <v>26</v>
      </c>
      <c r="C653" s="27" t="s">
        <v>50</v>
      </c>
      <c r="D653" s="27" t="s">
        <v>6</v>
      </c>
      <c r="E653" s="27" t="s">
        <v>17</v>
      </c>
      <c r="F653" s="29"/>
      <c r="G653" s="30">
        <v>2822.1166666666668</v>
      </c>
    </row>
    <row r="654" spans="1:7" hidden="1" x14ac:dyDescent="0.25">
      <c r="A654" s="28">
        <v>43525</v>
      </c>
      <c r="B654" s="27" t="s">
        <v>26</v>
      </c>
      <c r="C654" s="27" t="s">
        <v>50</v>
      </c>
      <c r="D654" s="27" t="s">
        <v>6</v>
      </c>
      <c r="E654" s="27" t="s">
        <v>18</v>
      </c>
      <c r="F654" s="29"/>
      <c r="G654" s="30">
        <v>1488.6666666666667</v>
      </c>
    </row>
    <row r="655" spans="1:7" hidden="1" x14ac:dyDescent="0.25">
      <c r="A655" s="28">
        <v>43525</v>
      </c>
      <c r="B655" s="27" t="s">
        <v>26</v>
      </c>
      <c r="C655" s="27" t="s">
        <v>50</v>
      </c>
      <c r="D655" s="27" t="s">
        <v>6</v>
      </c>
      <c r="E655" s="27" t="s">
        <v>19</v>
      </c>
      <c r="F655" s="29"/>
      <c r="G655" s="30">
        <v>2454.8833333333337</v>
      </c>
    </row>
    <row r="656" spans="1:7" hidden="1" x14ac:dyDescent="0.25">
      <c r="A656" s="28">
        <v>43525</v>
      </c>
      <c r="B656" s="27" t="s">
        <v>26</v>
      </c>
      <c r="C656" s="27" t="s">
        <v>50</v>
      </c>
      <c r="D656" s="27" t="s">
        <v>6</v>
      </c>
      <c r="E656" s="27" t="s">
        <v>20</v>
      </c>
      <c r="F656" s="29"/>
      <c r="G656" s="30">
        <v>1590.3833333333334</v>
      </c>
    </row>
    <row r="657" spans="1:7" hidden="1" x14ac:dyDescent="0.25">
      <c r="A657" s="28">
        <v>43525</v>
      </c>
      <c r="B657" s="27" t="s">
        <v>26</v>
      </c>
      <c r="C657" s="27" t="s">
        <v>50</v>
      </c>
      <c r="D657" s="27" t="s">
        <v>6</v>
      </c>
      <c r="E657" s="27" t="s">
        <v>204</v>
      </c>
      <c r="F657" s="29"/>
      <c r="G657" s="30">
        <v>316.66666666666669</v>
      </c>
    </row>
    <row r="658" spans="1:7" hidden="1" x14ac:dyDescent="0.25">
      <c r="A658" s="28">
        <v>43525</v>
      </c>
      <c r="B658" s="27" t="s">
        <v>26</v>
      </c>
      <c r="C658" s="27" t="s">
        <v>50</v>
      </c>
      <c r="D658" s="27" t="s">
        <v>6</v>
      </c>
      <c r="E658" s="27" t="s">
        <v>205</v>
      </c>
      <c r="F658" s="29"/>
      <c r="G658" s="30">
        <v>1200</v>
      </c>
    </row>
    <row r="659" spans="1:7" hidden="1" x14ac:dyDescent="0.25">
      <c r="A659" s="28">
        <v>43525</v>
      </c>
      <c r="B659" s="27" t="s">
        <v>26</v>
      </c>
      <c r="C659" s="27" t="s">
        <v>50</v>
      </c>
      <c r="D659" s="27" t="s">
        <v>6</v>
      </c>
      <c r="E659" s="27" t="s">
        <v>37</v>
      </c>
      <c r="F659" s="29"/>
      <c r="G659" s="30">
        <v>250</v>
      </c>
    </row>
    <row r="660" spans="1:7" hidden="1" x14ac:dyDescent="0.25">
      <c r="A660" s="28">
        <v>43525</v>
      </c>
      <c r="B660" s="27" t="s">
        <v>3</v>
      </c>
      <c r="C660" s="27" t="s">
        <v>50</v>
      </c>
      <c r="D660" s="27" t="s">
        <v>7</v>
      </c>
      <c r="E660" s="27" t="s">
        <v>8</v>
      </c>
      <c r="F660" s="29"/>
      <c r="G660" s="30">
        <v>614.18666666666672</v>
      </c>
    </row>
    <row r="661" spans="1:7" hidden="1" x14ac:dyDescent="0.25">
      <c r="A661" s="28">
        <v>43525</v>
      </c>
      <c r="B661" s="27" t="s">
        <v>3</v>
      </c>
      <c r="C661" s="27" t="s">
        <v>50</v>
      </c>
      <c r="D661" s="27" t="s">
        <v>7</v>
      </c>
      <c r="E661" s="27" t="s">
        <v>9</v>
      </c>
      <c r="F661" s="29"/>
      <c r="G661" s="30">
        <v>614.18666666666672</v>
      </c>
    </row>
    <row r="662" spans="1:7" hidden="1" x14ac:dyDescent="0.25">
      <c r="A662" s="28">
        <v>43525</v>
      </c>
      <c r="B662" s="27" t="s">
        <v>3</v>
      </c>
      <c r="C662" s="27" t="s">
        <v>50</v>
      </c>
      <c r="D662" s="27" t="s">
        <v>7</v>
      </c>
      <c r="E662" s="27" t="s">
        <v>64</v>
      </c>
      <c r="F662" s="29"/>
      <c r="G662" s="30">
        <v>614.18666666666672</v>
      </c>
    </row>
    <row r="663" spans="1:7" hidden="1" x14ac:dyDescent="0.25">
      <c r="A663" s="28">
        <v>43525</v>
      </c>
      <c r="B663" s="27" t="s">
        <v>3</v>
      </c>
      <c r="C663" s="27" t="s">
        <v>50</v>
      </c>
      <c r="D663" s="27" t="s">
        <v>7</v>
      </c>
      <c r="E663" s="27" t="s">
        <v>21</v>
      </c>
      <c r="F663" s="29"/>
      <c r="G663" s="30">
        <v>614.18666666666672</v>
      </c>
    </row>
    <row r="664" spans="1:7" hidden="1" x14ac:dyDescent="0.25">
      <c r="A664" s="28">
        <v>43525</v>
      </c>
      <c r="B664" s="27" t="s">
        <v>3</v>
      </c>
      <c r="C664" s="27" t="s">
        <v>50</v>
      </c>
      <c r="D664" s="27" t="s">
        <v>7</v>
      </c>
      <c r="E664" s="27" t="s">
        <v>21</v>
      </c>
      <c r="F664" s="29"/>
      <c r="G664" s="30">
        <v>614.18666666666672</v>
      </c>
    </row>
    <row r="665" spans="1:7" hidden="1" x14ac:dyDescent="0.25">
      <c r="A665" s="28">
        <v>43525</v>
      </c>
      <c r="B665" s="27" t="s">
        <v>3</v>
      </c>
      <c r="C665" s="27" t="s">
        <v>50</v>
      </c>
      <c r="D665" s="27" t="s">
        <v>7</v>
      </c>
      <c r="E665" s="27" t="s">
        <v>10</v>
      </c>
      <c r="F665" s="29"/>
      <c r="G665" s="30">
        <v>614.18666666666672</v>
      </c>
    </row>
    <row r="666" spans="1:7" hidden="1" x14ac:dyDescent="0.25">
      <c r="A666" s="28">
        <v>43525</v>
      </c>
      <c r="B666" s="27" t="s">
        <v>3</v>
      </c>
      <c r="C666" s="27" t="s">
        <v>50</v>
      </c>
      <c r="D666" s="27" t="s">
        <v>7</v>
      </c>
      <c r="E666" s="27" t="s">
        <v>11</v>
      </c>
      <c r="F666" s="29"/>
      <c r="G666" s="30">
        <v>614.18666666666672</v>
      </c>
    </row>
    <row r="667" spans="1:7" hidden="1" x14ac:dyDescent="0.25">
      <c r="A667" s="28">
        <v>43525</v>
      </c>
      <c r="B667" s="27" t="s">
        <v>3</v>
      </c>
      <c r="C667" s="27" t="s">
        <v>50</v>
      </c>
      <c r="D667" s="27" t="s">
        <v>7</v>
      </c>
      <c r="E667" s="27" t="s">
        <v>12</v>
      </c>
      <c r="F667" s="29"/>
      <c r="G667" s="30">
        <v>614.18666666666672</v>
      </c>
    </row>
    <row r="668" spans="1:7" hidden="1" x14ac:dyDescent="0.25">
      <c r="A668" s="28">
        <v>43525</v>
      </c>
      <c r="B668" s="27" t="s">
        <v>3</v>
      </c>
      <c r="C668" s="27" t="s">
        <v>50</v>
      </c>
      <c r="D668" s="27" t="s">
        <v>7</v>
      </c>
      <c r="E668" s="27" t="s">
        <v>13</v>
      </c>
      <c r="F668" s="29"/>
      <c r="G668" s="30">
        <v>614.18666666666672</v>
      </c>
    </row>
    <row r="669" spans="1:7" hidden="1" x14ac:dyDescent="0.25">
      <c r="A669" s="28">
        <v>43525</v>
      </c>
      <c r="B669" s="27" t="s">
        <v>3</v>
      </c>
      <c r="C669" s="27" t="s">
        <v>50</v>
      </c>
      <c r="D669" s="27" t="s">
        <v>7</v>
      </c>
      <c r="E669" s="27" t="s">
        <v>14</v>
      </c>
      <c r="F669" s="29"/>
      <c r="G669" s="30">
        <v>614.18666666666672</v>
      </c>
    </row>
    <row r="670" spans="1:7" hidden="1" x14ac:dyDescent="0.25">
      <c r="A670" s="28">
        <v>43525</v>
      </c>
      <c r="B670" s="27" t="s">
        <v>3</v>
      </c>
      <c r="C670" s="27" t="s">
        <v>50</v>
      </c>
      <c r="D670" s="27" t="s">
        <v>7</v>
      </c>
      <c r="E670" s="27" t="s">
        <v>15</v>
      </c>
      <c r="F670" s="29"/>
      <c r="G670" s="30">
        <v>614.18666666666672</v>
      </c>
    </row>
    <row r="671" spans="1:7" hidden="1" x14ac:dyDescent="0.25">
      <c r="A671" s="28">
        <v>43525</v>
      </c>
      <c r="B671" s="27" t="s">
        <v>3</v>
      </c>
      <c r="C671" s="27" t="s">
        <v>50</v>
      </c>
      <c r="D671" s="27" t="s">
        <v>7</v>
      </c>
      <c r="E671" s="27" t="s">
        <v>16</v>
      </c>
      <c r="F671" s="29"/>
      <c r="G671" s="30">
        <v>614.18666666666672</v>
      </c>
    </row>
    <row r="672" spans="1:7" hidden="1" x14ac:dyDescent="0.25">
      <c r="A672" s="28">
        <v>43525</v>
      </c>
      <c r="B672" s="27" t="s">
        <v>3</v>
      </c>
      <c r="C672" s="27" t="s">
        <v>50</v>
      </c>
      <c r="D672" s="27" t="s">
        <v>7</v>
      </c>
      <c r="E672" s="27" t="s">
        <v>17</v>
      </c>
      <c r="F672" s="29"/>
      <c r="G672" s="30">
        <v>614.18666666666672</v>
      </c>
    </row>
    <row r="673" spans="1:7" hidden="1" x14ac:dyDescent="0.25">
      <c r="A673" s="28">
        <v>43525</v>
      </c>
      <c r="B673" s="27" t="s">
        <v>3</v>
      </c>
      <c r="C673" s="27" t="s">
        <v>50</v>
      </c>
      <c r="D673" s="27" t="s">
        <v>7</v>
      </c>
      <c r="E673" s="27" t="s">
        <v>18</v>
      </c>
      <c r="F673" s="29"/>
      <c r="G673" s="30">
        <v>614.18666666666672</v>
      </c>
    </row>
    <row r="674" spans="1:7" hidden="1" x14ac:dyDescent="0.25">
      <c r="A674" s="28">
        <v>43525</v>
      </c>
      <c r="B674" s="27" t="s">
        <v>3</v>
      </c>
      <c r="C674" s="27" t="s">
        <v>50</v>
      </c>
      <c r="D674" s="27" t="s">
        <v>7</v>
      </c>
      <c r="E674" s="27" t="s">
        <v>19</v>
      </c>
      <c r="F674" s="29"/>
      <c r="G674" s="30">
        <v>614.18666666666672</v>
      </c>
    </row>
    <row r="675" spans="1:7" hidden="1" x14ac:dyDescent="0.25">
      <c r="A675" s="28">
        <v>43525</v>
      </c>
      <c r="B675" s="27" t="s">
        <v>3</v>
      </c>
      <c r="C675" s="27" t="s">
        <v>50</v>
      </c>
      <c r="D675" s="27" t="s">
        <v>7</v>
      </c>
      <c r="E675" s="27" t="s">
        <v>20</v>
      </c>
      <c r="F675" s="29"/>
      <c r="G675" s="30">
        <v>614.18666666666672</v>
      </c>
    </row>
    <row r="676" spans="1:7" hidden="1" x14ac:dyDescent="0.25">
      <c r="A676" s="28">
        <v>43525</v>
      </c>
      <c r="B676" s="27" t="s">
        <v>3</v>
      </c>
      <c r="C676" s="27" t="s">
        <v>50</v>
      </c>
      <c r="D676" s="27" t="s">
        <v>7</v>
      </c>
      <c r="E676" s="27" t="s">
        <v>204</v>
      </c>
      <c r="F676" s="29"/>
      <c r="G676" s="30">
        <v>614.18666666666672</v>
      </c>
    </row>
    <row r="677" spans="1:7" hidden="1" x14ac:dyDescent="0.25">
      <c r="A677" s="28">
        <v>43525</v>
      </c>
      <c r="B677" s="27" t="s">
        <v>3</v>
      </c>
      <c r="C677" s="27" t="s">
        <v>50</v>
      </c>
      <c r="D677" s="27" t="s">
        <v>7</v>
      </c>
      <c r="E677" s="27" t="s">
        <v>205</v>
      </c>
      <c r="F677" s="29"/>
      <c r="G677" s="30">
        <v>614.18666666666672</v>
      </c>
    </row>
    <row r="678" spans="1:7" hidden="1" x14ac:dyDescent="0.25">
      <c r="A678" s="28">
        <v>43525</v>
      </c>
      <c r="B678" s="27" t="s">
        <v>179</v>
      </c>
      <c r="C678" s="27" t="s">
        <v>50</v>
      </c>
      <c r="D678" s="27" t="s">
        <v>6</v>
      </c>
      <c r="E678" s="27" t="s">
        <v>8</v>
      </c>
      <c r="F678" s="29"/>
      <c r="G678" s="30">
        <v>82.027500000000003</v>
      </c>
    </row>
    <row r="679" spans="1:7" hidden="1" x14ac:dyDescent="0.25">
      <c r="A679" s="28">
        <v>43525</v>
      </c>
      <c r="B679" s="27" t="s">
        <v>179</v>
      </c>
      <c r="C679" s="27" t="s">
        <v>50</v>
      </c>
      <c r="D679" s="27" t="s">
        <v>6</v>
      </c>
      <c r="E679" s="27" t="s">
        <v>9</v>
      </c>
      <c r="F679" s="29"/>
      <c r="G679" s="30">
        <v>80.430833333333325</v>
      </c>
    </row>
    <row r="680" spans="1:7" hidden="1" x14ac:dyDescent="0.25">
      <c r="A680" s="28">
        <v>43525</v>
      </c>
      <c r="B680" s="27" t="s">
        <v>179</v>
      </c>
      <c r="C680" s="27" t="s">
        <v>50</v>
      </c>
      <c r="D680" s="27" t="s">
        <v>6</v>
      </c>
      <c r="E680" s="27" t="s">
        <v>64</v>
      </c>
      <c r="F680" s="29"/>
      <c r="G680" s="30">
        <v>99.683333333333337</v>
      </c>
    </row>
    <row r="681" spans="1:7" hidden="1" x14ac:dyDescent="0.25">
      <c r="A681" s="28">
        <v>43525</v>
      </c>
      <c r="B681" s="27" t="s">
        <v>179</v>
      </c>
      <c r="C681" s="27" t="s">
        <v>50</v>
      </c>
      <c r="D681" s="27" t="s">
        <v>6</v>
      </c>
      <c r="E681" s="27" t="s">
        <v>21</v>
      </c>
      <c r="F681" s="29"/>
      <c r="G681" s="30">
        <v>101.87</v>
      </c>
    </row>
    <row r="682" spans="1:7" hidden="1" x14ac:dyDescent="0.25">
      <c r="A682" s="28">
        <v>43525</v>
      </c>
      <c r="B682" s="27" t="s">
        <v>179</v>
      </c>
      <c r="C682" s="27" t="s">
        <v>50</v>
      </c>
      <c r="D682" s="27" t="s">
        <v>6</v>
      </c>
      <c r="E682" s="27" t="s">
        <v>21</v>
      </c>
      <c r="F682" s="29"/>
      <c r="G682" s="30">
        <v>75.420833333333334</v>
      </c>
    </row>
    <row r="683" spans="1:7" hidden="1" x14ac:dyDescent="0.25">
      <c r="A683" s="28">
        <v>43525</v>
      </c>
      <c r="B683" s="27" t="s">
        <v>179</v>
      </c>
      <c r="C683" s="27" t="s">
        <v>50</v>
      </c>
      <c r="D683" s="27" t="s">
        <v>6</v>
      </c>
      <c r="E683" s="27" t="s">
        <v>10</v>
      </c>
      <c r="F683" s="29"/>
      <c r="G683" s="30">
        <v>94.975833333333341</v>
      </c>
    </row>
    <row r="684" spans="1:7" hidden="1" x14ac:dyDescent="0.25">
      <c r="A684" s="28">
        <v>43525</v>
      </c>
      <c r="B684" s="27" t="s">
        <v>179</v>
      </c>
      <c r="C684" s="27" t="s">
        <v>50</v>
      </c>
      <c r="D684" s="27" t="s">
        <v>6</v>
      </c>
      <c r="E684" s="27" t="s">
        <v>11</v>
      </c>
      <c r="F684" s="29"/>
      <c r="G684" s="30">
        <v>99.024999999999991</v>
      </c>
    </row>
    <row r="685" spans="1:7" hidden="1" x14ac:dyDescent="0.25">
      <c r="A685" s="28">
        <v>43525</v>
      </c>
      <c r="B685" s="27" t="s">
        <v>179</v>
      </c>
      <c r="C685" s="27" t="s">
        <v>50</v>
      </c>
      <c r="D685" s="27" t="s">
        <v>6</v>
      </c>
      <c r="E685" s="27" t="s">
        <v>12</v>
      </c>
      <c r="F685" s="29"/>
      <c r="G685" s="30">
        <v>75.82083333333334</v>
      </c>
    </row>
    <row r="686" spans="1:7" hidden="1" x14ac:dyDescent="0.25">
      <c r="A686" s="28">
        <v>43525</v>
      </c>
      <c r="B686" s="27" t="s">
        <v>179</v>
      </c>
      <c r="C686" s="27" t="s">
        <v>50</v>
      </c>
      <c r="D686" s="27" t="s">
        <v>6</v>
      </c>
      <c r="E686" s="27" t="s">
        <v>13</v>
      </c>
      <c r="F686" s="29"/>
      <c r="G686" s="30">
        <v>100.41500000000001</v>
      </c>
    </row>
    <row r="687" spans="1:7" hidden="1" x14ac:dyDescent="0.25">
      <c r="A687" s="28">
        <v>43525</v>
      </c>
      <c r="B687" s="27" t="s">
        <v>179</v>
      </c>
      <c r="C687" s="27" t="s">
        <v>50</v>
      </c>
      <c r="D687" s="27" t="s">
        <v>6</v>
      </c>
      <c r="E687" s="27" t="s">
        <v>14</v>
      </c>
      <c r="F687" s="29"/>
      <c r="G687" s="30">
        <v>84.427499999999995</v>
      </c>
    </row>
    <row r="688" spans="1:7" hidden="1" x14ac:dyDescent="0.25">
      <c r="A688" s="28">
        <v>43525</v>
      </c>
      <c r="B688" s="27" t="s">
        <v>179</v>
      </c>
      <c r="C688" s="27" t="s">
        <v>50</v>
      </c>
      <c r="D688" s="27" t="s">
        <v>6</v>
      </c>
      <c r="E688" s="27" t="s">
        <v>15</v>
      </c>
      <c r="F688" s="29"/>
      <c r="G688" s="30">
        <v>97.932500000000005</v>
      </c>
    </row>
    <row r="689" spans="1:7" hidden="1" x14ac:dyDescent="0.25">
      <c r="A689" s="28">
        <v>43525</v>
      </c>
      <c r="B689" s="27" t="s">
        <v>179</v>
      </c>
      <c r="C689" s="27" t="s">
        <v>50</v>
      </c>
      <c r="D689" s="27" t="s">
        <v>6</v>
      </c>
      <c r="E689" s="27" t="s">
        <v>16</v>
      </c>
      <c r="F689" s="29"/>
      <c r="G689" s="30">
        <v>99.579166666666666</v>
      </c>
    </row>
    <row r="690" spans="1:7" hidden="1" x14ac:dyDescent="0.25">
      <c r="A690" s="28">
        <v>43525</v>
      </c>
      <c r="B690" s="27" t="s">
        <v>179</v>
      </c>
      <c r="C690" s="27" t="s">
        <v>50</v>
      </c>
      <c r="D690" s="27" t="s">
        <v>6</v>
      </c>
      <c r="E690" s="27" t="s">
        <v>17</v>
      </c>
      <c r="F690" s="29"/>
      <c r="G690" s="30">
        <v>163.58583333333334</v>
      </c>
    </row>
    <row r="691" spans="1:7" hidden="1" x14ac:dyDescent="0.25">
      <c r="A691" s="28">
        <v>43525</v>
      </c>
      <c r="B691" s="27" t="s">
        <v>179</v>
      </c>
      <c r="C691" s="27" t="s">
        <v>50</v>
      </c>
      <c r="D691" s="27" t="s">
        <v>6</v>
      </c>
      <c r="E691" s="27" t="s">
        <v>18</v>
      </c>
      <c r="F691" s="29"/>
      <c r="G691" s="30">
        <v>189.72083333333333</v>
      </c>
    </row>
    <row r="692" spans="1:7" hidden="1" x14ac:dyDescent="0.25">
      <c r="A692" s="28">
        <v>43525</v>
      </c>
      <c r="B692" s="27" t="s">
        <v>179</v>
      </c>
      <c r="C692" s="27" t="s">
        <v>50</v>
      </c>
      <c r="D692" s="27" t="s">
        <v>6</v>
      </c>
      <c r="E692" s="27" t="s">
        <v>19</v>
      </c>
      <c r="F692" s="29"/>
      <c r="G692" s="30">
        <v>132.03083333333333</v>
      </c>
    </row>
    <row r="693" spans="1:7" hidden="1" x14ac:dyDescent="0.25">
      <c r="A693" s="28">
        <v>43525</v>
      </c>
      <c r="B693" s="27" t="s">
        <v>179</v>
      </c>
      <c r="C693" s="27" t="s">
        <v>50</v>
      </c>
      <c r="D693" s="27" t="s">
        <v>6</v>
      </c>
      <c r="E693" s="27" t="s">
        <v>20</v>
      </c>
      <c r="F693" s="29"/>
      <c r="G693" s="30">
        <v>408.15999999999997</v>
      </c>
    </row>
    <row r="694" spans="1:7" hidden="1" x14ac:dyDescent="0.25">
      <c r="A694" s="28">
        <v>43525</v>
      </c>
      <c r="B694" s="27" t="s">
        <v>179</v>
      </c>
      <c r="C694" s="27" t="s">
        <v>50</v>
      </c>
      <c r="D694" s="27" t="s">
        <v>6</v>
      </c>
      <c r="E694" s="27" t="s">
        <v>204</v>
      </c>
      <c r="F694" s="29"/>
      <c r="G694" s="30">
        <v>62.408333333333331</v>
      </c>
    </row>
    <row r="695" spans="1:7" hidden="1" x14ac:dyDescent="0.25">
      <c r="A695" s="28">
        <v>43525</v>
      </c>
      <c r="B695" s="27" t="s">
        <v>179</v>
      </c>
      <c r="C695" s="27" t="s">
        <v>50</v>
      </c>
      <c r="D695" s="27" t="s">
        <v>6</v>
      </c>
      <c r="E695" s="27" t="s">
        <v>205</v>
      </c>
      <c r="F695" s="29"/>
      <c r="G695" s="30">
        <v>136.51666666666668</v>
      </c>
    </row>
    <row r="696" spans="1:7" hidden="1" x14ac:dyDescent="0.25">
      <c r="A696" s="28">
        <v>43525</v>
      </c>
      <c r="B696" s="27" t="s">
        <v>32</v>
      </c>
      <c r="C696" s="27" t="s">
        <v>50</v>
      </c>
      <c r="D696" s="27" t="s">
        <v>7</v>
      </c>
      <c r="E696" s="27" t="s">
        <v>10</v>
      </c>
      <c r="F696" s="29"/>
      <c r="G696" s="30">
        <v>25</v>
      </c>
    </row>
    <row r="697" spans="1:7" hidden="1" x14ac:dyDescent="0.25">
      <c r="A697" s="28">
        <v>43525</v>
      </c>
      <c r="B697" s="27" t="s">
        <v>32</v>
      </c>
      <c r="C697" s="27" t="s">
        <v>50</v>
      </c>
      <c r="D697" s="27" t="s">
        <v>7</v>
      </c>
      <c r="E697" s="27" t="s">
        <v>17</v>
      </c>
      <c r="F697" s="29"/>
      <c r="G697" s="30">
        <v>50</v>
      </c>
    </row>
    <row r="698" spans="1:7" hidden="1" x14ac:dyDescent="0.25">
      <c r="A698" s="28">
        <v>43525</v>
      </c>
      <c r="B698" s="27" t="s">
        <v>32</v>
      </c>
      <c r="C698" s="27" t="s">
        <v>50</v>
      </c>
      <c r="D698" s="27" t="s">
        <v>7</v>
      </c>
      <c r="E698" s="27" t="s">
        <v>204</v>
      </c>
      <c r="F698" s="29"/>
      <c r="G698" s="30">
        <v>38.29</v>
      </c>
    </row>
    <row r="699" spans="1:7" hidden="1" x14ac:dyDescent="0.25">
      <c r="A699" s="28">
        <v>43525</v>
      </c>
      <c r="B699" s="27" t="s">
        <v>5</v>
      </c>
      <c r="C699" s="27" t="s">
        <v>51</v>
      </c>
      <c r="D699" s="27" t="s">
        <v>51</v>
      </c>
      <c r="E699" s="27" t="s">
        <v>9</v>
      </c>
      <c r="F699" s="29">
        <v>4254</v>
      </c>
      <c r="G699" s="30">
        <v>3.6622676577963325</v>
      </c>
    </row>
    <row r="700" spans="1:7" hidden="1" x14ac:dyDescent="0.25">
      <c r="A700" s="28">
        <v>43525</v>
      </c>
      <c r="B700" s="27" t="s">
        <v>5</v>
      </c>
      <c r="C700" s="27" t="s">
        <v>51</v>
      </c>
      <c r="D700" s="27" t="s">
        <v>51</v>
      </c>
      <c r="E700" s="27" t="s">
        <v>64</v>
      </c>
      <c r="F700" s="29">
        <v>4542.875</v>
      </c>
      <c r="G700" s="30">
        <v>3.0500529106051992</v>
      </c>
    </row>
    <row r="701" spans="1:7" hidden="1" x14ac:dyDescent="0.25">
      <c r="A701" s="28">
        <v>43525</v>
      </c>
      <c r="B701" s="27" t="s">
        <v>5</v>
      </c>
      <c r="C701" s="27" t="s">
        <v>51</v>
      </c>
      <c r="D701" s="27" t="s">
        <v>51</v>
      </c>
      <c r="E701" s="27" t="s">
        <v>21</v>
      </c>
      <c r="F701" s="29">
        <v>4542.875</v>
      </c>
      <c r="G701" s="30">
        <v>3.1329440680036904</v>
      </c>
    </row>
    <row r="702" spans="1:7" hidden="1" x14ac:dyDescent="0.25">
      <c r="A702" s="28">
        <v>43525</v>
      </c>
      <c r="B702" s="27" t="s">
        <v>5</v>
      </c>
      <c r="C702" s="27" t="s">
        <v>51</v>
      </c>
      <c r="D702" s="27" t="s">
        <v>51</v>
      </c>
      <c r="E702" s="27" t="s">
        <v>21</v>
      </c>
      <c r="F702" s="29">
        <v>11106</v>
      </c>
      <c r="G702" s="30">
        <v>1.4588673494446482</v>
      </c>
    </row>
    <row r="703" spans="1:7" hidden="1" x14ac:dyDescent="0.25">
      <c r="A703" s="28">
        <v>43525</v>
      </c>
      <c r="B703" s="27" t="s">
        <v>5</v>
      </c>
      <c r="C703" s="27" t="s">
        <v>51</v>
      </c>
      <c r="D703" s="27" t="s">
        <v>51</v>
      </c>
      <c r="E703" s="27" t="s">
        <v>10</v>
      </c>
      <c r="F703" s="29">
        <v>3093</v>
      </c>
      <c r="G703" s="30">
        <v>5.6072922565790275</v>
      </c>
    </row>
    <row r="704" spans="1:7" hidden="1" x14ac:dyDescent="0.25">
      <c r="A704" s="28">
        <v>43525</v>
      </c>
      <c r="B704" s="27" t="s">
        <v>5</v>
      </c>
      <c r="C704" s="27" t="s">
        <v>51</v>
      </c>
      <c r="D704" s="27" t="s">
        <v>51</v>
      </c>
      <c r="E704" s="27" t="s">
        <v>11</v>
      </c>
      <c r="F704" s="29">
        <v>3080</v>
      </c>
      <c r="G704" s="30">
        <v>3.9231422996533327</v>
      </c>
    </row>
    <row r="705" spans="1:7" hidden="1" x14ac:dyDescent="0.25">
      <c r="A705" s="28">
        <v>43525</v>
      </c>
      <c r="B705" s="27" t="s">
        <v>5</v>
      </c>
      <c r="C705" s="27" t="s">
        <v>51</v>
      </c>
      <c r="D705" s="27" t="s">
        <v>51</v>
      </c>
      <c r="E705" s="27" t="s">
        <v>12</v>
      </c>
      <c r="F705" s="29">
        <v>3080</v>
      </c>
      <c r="G705" s="30">
        <v>4.5281912715148032</v>
      </c>
    </row>
    <row r="706" spans="1:7" hidden="1" x14ac:dyDescent="0.25">
      <c r="A706" s="28">
        <v>43525</v>
      </c>
      <c r="B706" s="27" t="s">
        <v>5</v>
      </c>
      <c r="C706" s="27" t="s">
        <v>51</v>
      </c>
      <c r="D706" s="27" t="s">
        <v>51</v>
      </c>
      <c r="E706" s="27" t="s">
        <v>13</v>
      </c>
      <c r="F706" s="29">
        <v>5512</v>
      </c>
      <c r="G706" s="30">
        <v>2.9048023916785675</v>
      </c>
    </row>
    <row r="707" spans="1:7" hidden="1" x14ac:dyDescent="0.25">
      <c r="A707" s="28">
        <v>43525</v>
      </c>
      <c r="B707" s="27" t="s">
        <v>5</v>
      </c>
      <c r="C707" s="27" t="s">
        <v>51</v>
      </c>
      <c r="D707" s="27" t="s">
        <v>51</v>
      </c>
      <c r="E707" s="27" t="s">
        <v>14</v>
      </c>
      <c r="F707" s="29">
        <v>1258.5</v>
      </c>
      <c r="G707" s="30">
        <v>8.8761508008996941</v>
      </c>
    </row>
    <row r="708" spans="1:7" hidden="1" x14ac:dyDescent="0.25">
      <c r="A708" s="28">
        <v>43525</v>
      </c>
      <c r="B708" s="27" t="s">
        <v>5</v>
      </c>
      <c r="C708" s="27" t="s">
        <v>51</v>
      </c>
      <c r="D708" s="27" t="s">
        <v>51</v>
      </c>
      <c r="E708" s="27" t="s">
        <v>15</v>
      </c>
      <c r="F708" s="29">
        <v>9441</v>
      </c>
      <c r="G708" s="30">
        <v>1.694248926624891</v>
      </c>
    </row>
    <row r="709" spans="1:7" hidden="1" x14ac:dyDescent="0.25">
      <c r="A709" s="28">
        <v>43525</v>
      </c>
      <c r="B709" s="27" t="s">
        <v>5</v>
      </c>
      <c r="C709" s="27" t="s">
        <v>51</v>
      </c>
      <c r="D709" s="27" t="s">
        <v>51</v>
      </c>
      <c r="E709" s="27" t="s">
        <v>16</v>
      </c>
      <c r="F709" s="29">
        <v>7075</v>
      </c>
      <c r="G709" s="30">
        <v>2.1428055288007908</v>
      </c>
    </row>
    <row r="710" spans="1:7" hidden="1" x14ac:dyDescent="0.25">
      <c r="A710" s="28">
        <v>43525</v>
      </c>
      <c r="B710" s="27" t="s">
        <v>5</v>
      </c>
      <c r="C710" s="27" t="s">
        <v>51</v>
      </c>
      <c r="D710" s="27" t="s">
        <v>51</v>
      </c>
      <c r="E710" s="27" t="s">
        <v>17</v>
      </c>
      <c r="F710" s="29">
        <v>6129</v>
      </c>
      <c r="G710" s="30">
        <v>3.0685302033391411</v>
      </c>
    </row>
    <row r="711" spans="1:7" hidden="1" x14ac:dyDescent="0.25">
      <c r="A711" s="28">
        <v>43525</v>
      </c>
      <c r="B711" s="27" t="s">
        <v>5</v>
      </c>
      <c r="C711" s="27" t="s">
        <v>51</v>
      </c>
      <c r="D711" s="27" t="s">
        <v>51</v>
      </c>
      <c r="E711" s="27" t="s">
        <v>18</v>
      </c>
      <c r="F711" s="29">
        <v>1603</v>
      </c>
      <c r="G711" s="30">
        <v>8.0157807961731731</v>
      </c>
    </row>
    <row r="712" spans="1:7" hidden="1" x14ac:dyDescent="0.25">
      <c r="A712" s="28">
        <v>43525</v>
      </c>
      <c r="B712" s="27" t="s">
        <v>5</v>
      </c>
      <c r="C712" s="27" t="s">
        <v>51</v>
      </c>
      <c r="D712" s="27" t="s">
        <v>51</v>
      </c>
      <c r="E712" s="27" t="s">
        <v>19</v>
      </c>
      <c r="F712" s="29">
        <v>5334</v>
      </c>
      <c r="G712" s="30">
        <v>2.7245567647042113</v>
      </c>
    </row>
    <row r="713" spans="1:7" hidden="1" x14ac:dyDescent="0.25">
      <c r="A713" s="28">
        <v>43525</v>
      </c>
      <c r="B713" s="27" t="s">
        <v>5</v>
      </c>
      <c r="C713" s="27" t="s">
        <v>51</v>
      </c>
      <c r="D713" s="27" t="s">
        <v>51</v>
      </c>
      <c r="E713" s="27" t="s">
        <v>20</v>
      </c>
      <c r="F713" s="29">
        <v>442</v>
      </c>
      <c r="G713" s="30">
        <v>24.738334727599387</v>
      </c>
    </row>
    <row r="714" spans="1:7" hidden="1" x14ac:dyDescent="0.25">
      <c r="A714" s="28">
        <v>43525</v>
      </c>
      <c r="B714" s="27" t="s">
        <v>180</v>
      </c>
      <c r="C714" s="27" t="s">
        <v>50</v>
      </c>
      <c r="D714" s="27" t="s">
        <v>7</v>
      </c>
      <c r="E714" s="27" t="s">
        <v>8</v>
      </c>
      <c r="F714" s="29"/>
      <c r="G714" s="30">
        <v>989.6</v>
      </c>
    </row>
    <row r="715" spans="1:7" hidden="1" x14ac:dyDescent="0.25">
      <c r="A715" s="28">
        <v>43525</v>
      </c>
      <c r="B715" s="27" t="s">
        <v>180</v>
      </c>
      <c r="C715" s="27" t="s">
        <v>50</v>
      </c>
      <c r="D715" s="27" t="s">
        <v>7</v>
      </c>
      <c r="E715" s="27" t="s">
        <v>9</v>
      </c>
      <c r="F715" s="29"/>
      <c r="G715" s="30">
        <v>1301.33</v>
      </c>
    </row>
    <row r="716" spans="1:7" hidden="1" x14ac:dyDescent="0.25">
      <c r="A716" s="28">
        <v>43525</v>
      </c>
      <c r="B716" s="27" t="s">
        <v>180</v>
      </c>
      <c r="C716" s="27" t="s">
        <v>50</v>
      </c>
      <c r="D716" s="27" t="s">
        <v>7</v>
      </c>
      <c r="E716" s="27" t="s">
        <v>64</v>
      </c>
      <c r="F716" s="29"/>
      <c r="G716" s="30">
        <v>685</v>
      </c>
    </row>
    <row r="717" spans="1:7" hidden="1" x14ac:dyDescent="0.25">
      <c r="A717" s="28">
        <v>43525</v>
      </c>
      <c r="B717" s="27" t="s">
        <v>180</v>
      </c>
      <c r="C717" s="27" t="s">
        <v>50</v>
      </c>
      <c r="D717" s="27" t="s">
        <v>7</v>
      </c>
      <c r="E717" s="27" t="s">
        <v>21</v>
      </c>
      <c r="F717" s="29"/>
      <c r="G717" s="30">
        <v>1162.8600000000001</v>
      </c>
    </row>
    <row r="718" spans="1:7" hidden="1" x14ac:dyDescent="0.25">
      <c r="A718" s="28">
        <v>43525</v>
      </c>
      <c r="B718" s="27" t="s">
        <v>180</v>
      </c>
      <c r="C718" s="27" t="s">
        <v>50</v>
      </c>
      <c r="D718" s="27" t="s">
        <v>7</v>
      </c>
      <c r="E718" s="27" t="s">
        <v>21</v>
      </c>
      <c r="F718" s="29"/>
      <c r="G718" s="30">
        <v>2695.1</v>
      </c>
    </row>
    <row r="719" spans="1:7" hidden="1" x14ac:dyDescent="0.25">
      <c r="A719" s="28">
        <v>43525</v>
      </c>
      <c r="B719" s="27" t="s">
        <v>180</v>
      </c>
      <c r="C719" s="27" t="s">
        <v>50</v>
      </c>
      <c r="D719" s="27" t="s">
        <v>7</v>
      </c>
      <c r="E719" s="27" t="s">
        <v>10</v>
      </c>
      <c r="F719" s="29"/>
      <c r="G719" s="30">
        <v>1495</v>
      </c>
    </row>
    <row r="720" spans="1:7" hidden="1" x14ac:dyDescent="0.25">
      <c r="A720" s="28">
        <v>43525</v>
      </c>
      <c r="B720" s="27" t="s">
        <v>180</v>
      </c>
      <c r="C720" s="27" t="s">
        <v>50</v>
      </c>
      <c r="D720" s="27" t="s">
        <v>7</v>
      </c>
      <c r="E720" s="27" t="s">
        <v>11</v>
      </c>
      <c r="F720" s="29"/>
      <c r="G720" s="30">
        <v>944.98</v>
      </c>
    </row>
    <row r="721" spans="1:7" hidden="1" x14ac:dyDescent="0.25">
      <c r="A721" s="28">
        <v>43525</v>
      </c>
      <c r="B721" s="27" t="s">
        <v>180</v>
      </c>
      <c r="C721" s="27" t="s">
        <v>50</v>
      </c>
      <c r="D721" s="27" t="s">
        <v>7</v>
      </c>
      <c r="E721" s="27" t="s">
        <v>12</v>
      </c>
      <c r="F721" s="29"/>
      <c r="G721" s="30">
        <v>2807</v>
      </c>
    </row>
    <row r="722" spans="1:7" hidden="1" x14ac:dyDescent="0.25">
      <c r="A722" s="28">
        <v>43525</v>
      </c>
      <c r="B722" s="27" t="s">
        <v>180</v>
      </c>
      <c r="C722" s="27" t="s">
        <v>50</v>
      </c>
      <c r="D722" s="27" t="s">
        <v>7</v>
      </c>
      <c r="E722" s="27" t="s">
        <v>13</v>
      </c>
      <c r="F722" s="29"/>
      <c r="G722" s="30">
        <v>670</v>
      </c>
    </row>
    <row r="723" spans="1:7" hidden="1" x14ac:dyDescent="0.25">
      <c r="A723" s="28">
        <v>43525</v>
      </c>
      <c r="B723" s="27" t="s">
        <v>180</v>
      </c>
      <c r="C723" s="27" t="s">
        <v>50</v>
      </c>
      <c r="D723" s="27" t="s">
        <v>7</v>
      </c>
      <c r="E723" s="27" t="s">
        <v>14</v>
      </c>
      <c r="F723" s="29"/>
      <c r="G723" s="30">
        <v>925.33</v>
      </c>
    </row>
    <row r="724" spans="1:7" hidden="1" x14ac:dyDescent="0.25">
      <c r="A724" s="28">
        <v>43525</v>
      </c>
      <c r="B724" s="27" t="s">
        <v>180</v>
      </c>
      <c r="C724" s="27" t="s">
        <v>50</v>
      </c>
      <c r="D724" s="27" t="s">
        <v>7</v>
      </c>
      <c r="E724" s="27" t="s">
        <v>15</v>
      </c>
      <c r="F724" s="29"/>
      <c r="G724" s="30">
        <v>311</v>
      </c>
    </row>
    <row r="725" spans="1:7" hidden="1" x14ac:dyDescent="0.25">
      <c r="A725" s="28">
        <v>43525</v>
      </c>
      <c r="B725" s="27" t="s">
        <v>180</v>
      </c>
      <c r="C725" s="27" t="s">
        <v>50</v>
      </c>
      <c r="D725" s="27" t="s">
        <v>7</v>
      </c>
      <c r="E725" s="27" t="s">
        <v>16</v>
      </c>
      <c r="F725" s="29"/>
      <c r="G725" s="30">
        <v>212</v>
      </c>
    </row>
    <row r="726" spans="1:7" hidden="1" x14ac:dyDescent="0.25">
      <c r="A726" s="28">
        <v>43525</v>
      </c>
      <c r="B726" s="27" t="s">
        <v>180</v>
      </c>
      <c r="C726" s="27" t="s">
        <v>50</v>
      </c>
      <c r="D726" s="27" t="s">
        <v>7</v>
      </c>
      <c r="E726" s="27" t="s">
        <v>17</v>
      </c>
      <c r="F726" s="29"/>
      <c r="G726" s="30">
        <v>2397.9</v>
      </c>
    </row>
    <row r="727" spans="1:7" hidden="1" x14ac:dyDescent="0.25">
      <c r="A727" s="28">
        <v>43525</v>
      </c>
      <c r="B727" s="27" t="s">
        <v>180</v>
      </c>
      <c r="C727" s="27" t="s">
        <v>50</v>
      </c>
      <c r="D727" s="27" t="s">
        <v>7</v>
      </c>
      <c r="E727" s="27" t="s">
        <v>18</v>
      </c>
      <c r="F727" s="29"/>
      <c r="G727" s="30">
        <v>924.60000000000014</v>
      </c>
    </row>
    <row r="728" spans="1:7" hidden="1" x14ac:dyDescent="0.25">
      <c r="A728" s="28">
        <v>43525</v>
      </c>
      <c r="B728" s="27" t="s">
        <v>180</v>
      </c>
      <c r="C728" s="27" t="s">
        <v>50</v>
      </c>
      <c r="D728" s="27" t="s">
        <v>7</v>
      </c>
      <c r="E728" s="27" t="s">
        <v>20</v>
      </c>
      <c r="F728" s="29"/>
      <c r="G728" s="30">
        <v>55</v>
      </c>
    </row>
    <row r="729" spans="1:7" hidden="1" x14ac:dyDescent="0.25">
      <c r="A729" s="28">
        <v>43525</v>
      </c>
      <c r="B729" s="27" t="s">
        <v>180</v>
      </c>
      <c r="C729" s="27" t="s">
        <v>50</v>
      </c>
      <c r="D729" s="27" t="s">
        <v>7</v>
      </c>
      <c r="E729" s="27" t="s">
        <v>204</v>
      </c>
      <c r="F729" s="29"/>
      <c r="G729" s="30">
        <v>511.5</v>
      </c>
    </row>
    <row r="730" spans="1:7" hidden="1" x14ac:dyDescent="0.25">
      <c r="A730" s="28">
        <v>43525</v>
      </c>
      <c r="B730" s="27" t="s">
        <v>180</v>
      </c>
      <c r="C730" s="27" t="s">
        <v>50</v>
      </c>
      <c r="D730" s="27" t="s">
        <v>7</v>
      </c>
      <c r="E730" s="27" t="s">
        <v>205</v>
      </c>
      <c r="F730" s="29"/>
      <c r="G730" s="30">
        <v>293.72000000000003</v>
      </c>
    </row>
    <row r="731" spans="1:7" hidden="1" x14ac:dyDescent="0.25">
      <c r="A731" s="28">
        <v>43525</v>
      </c>
      <c r="B731" s="27" t="s">
        <v>180</v>
      </c>
      <c r="C731" s="27" t="s">
        <v>50</v>
      </c>
      <c r="D731" s="27" t="s">
        <v>7</v>
      </c>
      <c r="E731" s="27" t="s">
        <v>37</v>
      </c>
      <c r="F731" s="29"/>
      <c r="G731" s="30">
        <v>50.72</v>
      </c>
    </row>
    <row r="732" spans="1:7" hidden="1" x14ac:dyDescent="0.25">
      <c r="A732" s="28">
        <v>43525</v>
      </c>
      <c r="B732" s="27" t="s">
        <v>181</v>
      </c>
      <c r="C732" s="27" t="s">
        <v>50</v>
      </c>
      <c r="D732" s="27" t="s">
        <v>6</v>
      </c>
      <c r="E732" s="27" t="s">
        <v>15</v>
      </c>
      <c r="F732" s="29"/>
      <c r="G732" s="30">
        <v>152</v>
      </c>
    </row>
    <row r="733" spans="1:7" hidden="1" x14ac:dyDescent="0.25">
      <c r="A733" s="28">
        <v>43525</v>
      </c>
      <c r="B733" s="27" t="s">
        <v>181</v>
      </c>
      <c r="C733" s="27" t="s">
        <v>50</v>
      </c>
      <c r="D733" s="27" t="s">
        <v>6</v>
      </c>
      <c r="E733" s="27" t="s">
        <v>18</v>
      </c>
      <c r="F733" s="29"/>
      <c r="G733" s="30">
        <v>341.34</v>
      </c>
    </row>
    <row r="734" spans="1:7" hidden="1" x14ac:dyDescent="0.25">
      <c r="A734" s="28">
        <v>43525</v>
      </c>
      <c r="B734" s="27" t="s">
        <v>181</v>
      </c>
      <c r="C734" s="27" t="s">
        <v>50</v>
      </c>
      <c r="D734" s="27" t="s">
        <v>6</v>
      </c>
      <c r="E734" s="27" t="s">
        <v>19</v>
      </c>
      <c r="F734" s="29"/>
      <c r="G734" s="30">
        <v>95</v>
      </c>
    </row>
    <row r="735" spans="1:7" hidden="1" x14ac:dyDescent="0.25">
      <c r="A735" s="28">
        <v>43525</v>
      </c>
      <c r="B735" s="27" t="s">
        <v>181</v>
      </c>
      <c r="C735" s="27" t="s">
        <v>50</v>
      </c>
      <c r="D735" s="27" t="s">
        <v>6</v>
      </c>
      <c r="E735" s="27" t="s">
        <v>20</v>
      </c>
      <c r="F735" s="29"/>
      <c r="G735" s="30">
        <v>770</v>
      </c>
    </row>
    <row r="736" spans="1:7" hidden="1" x14ac:dyDescent="0.25">
      <c r="A736" s="28">
        <v>43525</v>
      </c>
      <c r="B736" s="27" t="s">
        <v>25</v>
      </c>
      <c r="C736" s="27" t="s">
        <v>50</v>
      </c>
      <c r="D736" s="27" t="s">
        <v>7</v>
      </c>
      <c r="E736" s="27" t="s">
        <v>8</v>
      </c>
      <c r="F736" s="29"/>
      <c r="G736" s="30">
        <v>23.14</v>
      </c>
    </row>
    <row r="737" spans="1:7" hidden="1" x14ac:dyDescent="0.25">
      <c r="A737" s="28">
        <v>43525</v>
      </c>
      <c r="B737" s="27" t="s">
        <v>25</v>
      </c>
      <c r="C737" s="27" t="s">
        <v>50</v>
      </c>
      <c r="D737" s="27" t="s">
        <v>7</v>
      </c>
      <c r="E737" s="27" t="s">
        <v>9</v>
      </c>
      <c r="F737" s="29"/>
      <c r="G737" s="30">
        <v>23.14</v>
      </c>
    </row>
    <row r="738" spans="1:7" hidden="1" x14ac:dyDescent="0.25">
      <c r="A738" s="28">
        <v>43525</v>
      </c>
      <c r="B738" s="27" t="s">
        <v>25</v>
      </c>
      <c r="C738" s="27" t="s">
        <v>50</v>
      </c>
      <c r="D738" s="27" t="s">
        <v>7</v>
      </c>
      <c r="E738" s="27" t="s">
        <v>64</v>
      </c>
      <c r="F738" s="29"/>
      <c r="G738" s="30">
        <v>23.14</v>
      </c>
    </row>
    <row r="739" spans="1:7" hidden="1" x14ac:dyDescent="0.25">
      <c r="A739" s="28">
        <v>43525</v>
      </c>
      <c r="B739" s="27" t="s">
        <v>25</v>
      </c>
      <c r="C739" s="27" t="s">
        <v>50</v>
      </c>
      <c r="D739" s="27" t="s">
        <v>7</v>
      </c>
      <c r="E739" s="27" t="s">
        <v>21</v>
      </c>
      <c r="F739" s="29"/>
      <c r="G739" s="30">
        <v>23.14</v>
      </c>
    </row>
    <row r="740" spans="1:7" hidden="1" x14ac:dyDescent="0.25">
      <c r="A740" s="28">
        <v>43525</v>
      </c>
      <c r="B740" s="27" t="s">
        <v>25</v>
      </c>
      <c r="C740" s="27" t="s">
        <v>50</v>
      </c>
      <c r="D740" s="27" t="s">
        <v>7</v>
      </c>
      <c r="E740" s="27" t="s">
        <v>21</v>
      </c>
      <c r="F740" s="29"/>
      <c r="G740" s="30">
        <v>23.14</v>
      </c>
    </row>
    <row r="741" spans="1:7" hidden="1" x14ac:dyDescent="0.25">
      <c r="A741" s="28">
        <v>43525</v>
      </c>
      <c r="B741" s="27" t="s">
        <v>25</v>
      </c>
      <c r="C741" s="27" t="s">
        <v>50</v>
      </c>
      <c r="D741" s="27" t="s">
        <v>7</v>
      </c>
      <c r="E741" s="27" t="s">
        <v>10</v>
      </c>
      <c r="F741" s="29"/>
      <c r="G741" s="30">
        <v>23.14</v>
      </c>
    </row>
    <row r="742" spans="1:7" hidden="1" x14ac:dyDescent="0.25">
      <c r="A742" s="28">
        <v>43525</v>
      </c>
      <c r="B742" s="27" t="s">
        <v>25</v>
      </c>
      <c r="C742" s="27" t="s">
        <v>50</v>
      </c>
      <c r="D742" s="27" t="s">
        <v>7</v>
      </c>
      <c r="E742" s="27" t="s">
        <v>11</v>
      </c>
      <c r="F742" s="29"/>
      <c r="G742" s="30">
        <v>23.14</v>
      </c>
    </row>
    <row r="743" spans="1:7" hidden="1" x14ac:dyDescent="0.25">
      <c r="A743" s="28">
        <v>43525</v>
      </c>
      <c r="B743" s="27" t="s">
        <v>25</v>
      </c>
      <c r="C743" s="27" t="s">
        <v>50</v>
      </c>
      <c r="D743" s="27" t="s">
        <v>7</v>
      </c>
      <c r="E743" s="27" t="s">
        <v>12</v>
      </c>
      <c r="F743" s="29"/>
      <c r="G743" s="30">
        <v>23.14</v>
      </c>
    </row>
    <row r="744" spans="1:7" hidden="1" x14ac:dyDescent="0.25">
      <c r="A744" s="28">
        <v>43525</v>
      </c>
      <c r="B744" s="27" t="s">
        <v>25</v>
      </c>
      <c r="C744" s="27" t="s">
        <v>50</v>
      </c>
      <c r="D744" s="27" t="s">
        <v>7</v>
      </c>
      <c r="E744" s="27" t="s">
        <v>13</v>
      </c>
      <c r="F744" s="29"/>
      <c r="G744" s="30">
        <v>23.14</v>
      </c>
    </row>
    <row r="745" spans="1:7" hidden="1" x14ac:dyDescent="0.25">
      <c r="A745" s="28">
        <v>43525</v>
      </c>
      <c r="B745" s="27" t="s">
        <v>25</v>
      </c>
      <c r="C745" s="27" t="s">
        <v>50</v>
      </c>
      <c r="D745" s="27" t="s">
        <v>7</v>
      </c>
      <c r="E745" s="27" t="s">
        <v>14</v>
      </c>
      <c r="F745" s="29"/>
      <c r="G745" s="30">
        <v>23.14</v>
      </c>
    </row>
    <row r="746" spans="1:7" hidden="1" x14ac:dyDescent="0.25">
      <c r="A746" s="28">
        <v>43525</v>
      </c>
      <c r="B746" s="27" t="s">
        <v>25</v>
      </c>
      <c r="C746" s="27" t="s">
        <v>50</v>
      </c>
      <c r="D746" s="27" t="s">
        <v>7</v>
      </c>
      <c r="E746" s="27" t="s">
        <v>15</v>
      </c>
      <c r="F746" s="29"/>
      <c r="G746" s="30">
        <v>23.14</v>
      </c>
    </row>
    <row r="747" spans="1:7" hidden="1" x14ac:dyDescent="0.25">
      <c r="A747" s="28">
        <v>43525</v>
      </c>
      <c r="B747" s="27" t="s">
        <v>25</v>
      </c>
      <c r="C747" s="27" t="s">
        <v>50</v>
      </c>
      <c r="D747" s="27" t="s">
        <v>7</v>
      </c>
      <c r="E747" s="27" t="s">
        <v>16</v>
      </c>
      <c r="F747" s="29"/>
      <c r="G747" s="30">
        <v>23.14</v>
      </c>
    </row>
    <row r="748" spans="1:7" hidden="1" x14ac:dyDescent="0.25">
      <c r="A748" s="28">
        <v>43525</v>
      </c>
      <c r="B748" s="27" t="s">
        <v>25</v>
      </c>
      <c r="C748" s="27" t="s">
        <v>50</v>
      </c>
      <c r="D748" s="27" t="s">
        <v>7</v>
      </c>
      <c r="E748" s="27" t="s">
        <v>17</v>
      </c>
      <c r="F748" s="29"/>
      <c r="G748" s="30">
        <v>23.14</v>
      </c>
    </row>
    <row r="749" spans="1:7" hidden="1" x14ac:dyDescent="0.25">
      <c r="A749" s="28">
        <v>43525</v>
      </c>
      <c r="B749" s="27" t="s">
        <v>25</v>
      </c>
      <c r="C749" s="27" t="s">
        <v>50</v>
      </c>
      <c r="D749" s="27" t="s">
        <v>7</v>
      </c>
      <c r="E749" s="27" t="s">
        <v>18</v>
      </c>
      <c r="F749" s="29"/>
      <c r="G749" s="30">
        <v>23.14</v>
      </c>
    </row>
    <row r="750" spans="1:7" hidden="1" x14ac:dyDescent="0.25">
      <c r="A750" s="28">
        <v>43525</v>
      </c>
      <c r="B750" s="27" t="s">
        <v>25</v>
      </c>
      <c r="C750" s="27" t="s">
        <v>50</v>
      </c>
      <c r="D750" s="27" t="s">
        <v>7</v>
      </c>
      <c r="E750" s="27" t="s">
        <v>19</v>
      </c>
      <c r="F750" s="29"/>
      <c r="G750" s="30">
        <v>23.14</v>
      </c>
    </row>
    <row r="751" spans="1:7" hidden="1" x14ac:dyDescent="0.25">
      <c r="A751" s="28">
        <v>43525</v>
      </c>
      <c r="B751" s="27" t="s">
        <v>25</v>
      </c>
      <c r="C751" s="27" t="s">
        <v>50</v>
      </c>
      <c r="D751" s="27" t="s">
        <v>7</v>
      </c>
      <c r="E751" s="27" t="s">
        <v>20</v>
      </c>
      <c r="F751" s="29"/>
      <c r="G751" s="30">
        <v>23.14</v>
      </c>
    </row>
    <row r="752" spans="1:7" hidden="1" x14ac:dyDescent="0.25">
      <c r="A752" s="28">
        <v>43525</v>
      </c>
      <c r="B752" s="27" t="s">
        <v>25</v>
      </c>
      <c r="C752" s="27" t="s">
        <v>50</v>
      </c>
      <c r="D752" s="27" t="s">
        <v>7</v>
      </c>
      <c r="E752" s="27" t="s">
        <v>204</v>
      </c>
      <c r="F752" s="29"/>
      <c r="G752" s="30">
        <v>23.14</v>
      </c>
    </row>
    <row r="753" spans="1:7" hidden="1" x14ac:dyDescent="0.25">
      <c r="A753" s="28">
        <v>43525</v>
      </c>
      <c r="B753" s="27" t="s">
        <v>25</v>
      </c>
      <c r="C753" s="27" t="s">
        <v>50</v>
      </c>
      <c r="D753" s="27" t="s">
        <v>7</v>
      </c>
      <c r="E753" s="27" t="s">
        <v>205</v>
      </c>
      <c r="F753" s="29"/>
      <c r="G753" s="30">
        <v>23.14</v>
      </c>
    </row>
    <row r="754" spans="1:7" hidden="1" x14ac:dyDescent="0.25">
      <c r="A754" s="28">
        <v>43525</v>
      </c>
      <c r="B754" s="27" t="s">
        <v>2</v>
      </c>
      <c r="C754" s="27" t="s">
        <v>50</v>
      </c>
      <c r="D754" s="27" t="s">
        <v>7</v>
      </c>
      <c r="E754" s="27" t="s">
        <v>8</v>
      </c>
      <c r="F754" s="29"/>
      <c r="G754" s="30">
        <v>20.36</v>
      </c>
    </row>
    <row r="755" spans="1:7" hidden="1" x14ac:dyDescent="0.25">
      <c r="A755" s="28">
        <v>43525</v>
      </c>
      <c r="B755" s="27" t="s">
        <v>2</v>
      </c>
      <c r="C755" s="27" t="s">
        <v>50</v>
      </c>
      <c r="D755" s="27" t="s">
        <v>7</v>
      </c>
      <c r="E755" s="27" t="s">
        <v>9</v>
      </c>
      <c r="F755" s="29"/>
      <c r="G755" s="30">
        <v>915.02</v>
      </c>
    </row>
    <row r="756" spans="1:7" hidden="1" x14ac:dyDescent="0.25">
      <c r="A756" s="28">
        <v>43525</v>
      </c>
      <c r="B756" s="27" t="s">
        <v>2</v>
      </c>
      <c r="C756" s="27" t="s">
        <v>50</v>
      </c>
      <c r="D756" s="27" t="s">
        <v>7</v>
      </c>
      <c r="E756" s="27" t="s">
        <v>64</v>
      </c>
      <c r="F756" s="29"/>
      <c r="G756" s="30">
        <v>387.56</v>
      </c>
    </row>
    <row r="757" spans="1:7" hidden="1" x14ac:dyDescent="0.25">
      <c r="A757" s="28">
        <v>43525</v>
      </c>
      <c r="B757" s="27" t="s">
        <v>2</v>
      </c>
      <c r="C757" s="27" t="s">
        <v>50</v>
      </c>
      <c r="D757" s="27" t="s">
        <v>7</v>
      </c>
      <c r="E757" s="27" t="s">
        <v>21</v>
      </c>
      <c r="F757" s="29"/>
      <c r="G757" s="30">
        <v>632.76</v>
      </c>
    </row>
    <row r="758" spans="1:7" hidden="1" x14ac:dyDescent="0.25">
      <c r="A758" s="28">
        <v>43525</v>
      </c>
      <c r="B758" s="27" t="s">
        <v>2</v>
      </c>
      <c r="C758" s="27" t="s">
        <v>50</v>
      </c>
      <c r="D758" s="27" t="s">
        <v>7</v>
      </c>
      <c r="E758" s="27" t="s">
        <v>21</v>
      </c>
      <c r="F758" s="29"/>
      <c r="G758" s="30">
        <v>495.16</v>
      </c>
    </row>
    <row r="759" spans="1:7" hidden="1" x14ac:dyDescent="0.25">
      <c r="A759" s="28">
        <v>43525</v>
      </c>
      <c r="B759" s="27" t="s">
        <v>2</v>
      </c>
      <c r="C759" s="27" t="s">
        <v>50</v>
      </c>
      <c r="D759" s="27" t="s">
        <v>7</v>
      </c>
      <c r="E759" s="27" t="s">
        <v>10</v>
      </c>
      <c r="F759" s="29"/>
      <c r="G759" s="30">
        <v>677.36</v>
      </c>
    </row>
    <row r="760" spans="1:7" hidden="1" x14ac:dyDescent="0.25">
      <c r="A760" s="28">
        <v>43525</v>
      </c>
      <c r="B760" s="27" t="s">
        <v>2</v>
      </c>
      <c r="C760" s="27" t="s">
        <v>50</v>
      </c>
      <c r="D760" s="27" t="s">
        <v>7</v>
      </c>
      <c r="E760" s="27" t="s">
        <v>11</v>
      </c>
      <c r="F760" s="29"/>
      <c r="G760" s="30">
        <v>517.36</v>
      </c>
    </row>
    <row r="761" spans="1:7" hidden="1" x14ac:dyDescent="0.25">
      <c r="A761" s="28">
        <v>43525</v>
      </c>
      <c r="B761" s="27" t="s">
        <v>2</v>
      </c>
      <c r="C761" s="27" t="s">
        <v>50</v>
      </c>
      <c r="D761" s="27" t="s">
        <v>7</v>
      </c>
      <c r="E761" s="27" t="s">
        <v>12</v>
      </c>
      <c r="F761" s="29"/>
      <c r="G761" s="30">
        <v>239.76</v>
      </c>
    </row>
    <row r="762" spans="1:7" hidden="1" x14ac:dyDescent="0.25">
      <c r="A762" s="28">
        <v>43525</v>
      </c>
      <c r="B762" s="27" t="s">
        <v>2</v>
      </c>
      <c r="C762" s="27" t="s">
        <v>50</v>
      </c>
      <c r="D762" s="27" t="s">
        <v>7</v>
      </c>
      <c r="E762" s="27" t="s">
        <v>13</v>
      </c>
      <c r="F762" s="29"/>
      <c r="G762" s="30">
        <v>1013.36</v>
      </c>
    </row>
    <row r="763" spans="1:7" hidden="1" x14ac:dyDescent="0.25">
      <c r="A763" s="28">
        <v>43525</v>
      </c>
      <c r="B763" s="27" t="s">
        <v>2</v>
      </c>
      <c r="C763" s="27" t="s">
        <v>50</v>
      </c>
      <c r="D763" s="27" t="s">
        <v>7</v>
      </c>
      <c r="E763" s="27" t="s">
        <v>14</v>
      </c>
      <c r="F763" s="29"/>
      <c r="G763" s="30">
        <v>79.37</v>
      </c>
    </row>
    <row r="764" spans="1:7" hidden="1" x14ac:dyDescent="0.25">
      <c r="A764" s="28">
        <v>43525</v>
      </c>
      <c r="B764" s="27" t="s">
        <v>2</v>
      </c>
      <c r="C764" s="27" t="s">
        <v>50</v>
      </c>
      <c r="D764" s="27" t="s">
        <v>7</v>
      </c>
      <c r="E764" s="27" t="s">
        <v>15</v>
      </c>
      <c r="F764" s="29"/>
      <c r="G764" s="30">
        <v>1090.42</v>
      </c>
    </row>
    <row r="765" spans="1:7" hidden="1" x14ac:dyDescent="0.25">
      <c r="A765" s="28">
        <v>43525</v>
      </c>
      <c r="B765" s="27" t="s">
        <v>2</v>
      </c>
      <c r="C765" s="27" t="s">
        <v>50</v>
      </c>
      <c r="D765" s="27" t="s">
        <v>7</v>
      </c>
      <c r="E765" s="27" t="s">
        <v>16</v>
      </c>
      <c r="F765" s="29"/>
      <c r="G765" s="30">
        <v>316.42</v>
      </c>
    </row>
    <row r="766" spans="1:7" hidden="1" x14ac:dyDescent="0.25">
      <c r="A766" s="28">
        <v>43525</v>
      </c>
      <c r="B766" s="27" t="s">
        <v>2</v>
      </c>
      <c r="C766" s="27" t="s">
        <v>50</v>
      </c>
      <c r="D766" s="27" t="s">
        <v>7</v>
      </c>
      <c r="E766" s="27" t="s">
        <v>17</v>
      </c>
      <c r="F766" s="29"/>
      <c r="G766" s="30">
        <v>811.62</v>
      </c>
    </row>
    <row r="767" spans="1:7" hidden="1" x14ac:dyDescent="0.25">
      <c r="A767" s="28">
        <v>43525</v>
      </c>
      <c r="B767" s="27" t="s">
        <v>2</v>
      </c>
      <c r="C767" s="27" t="s">
        <v>50</v>
      </c>
      <c r="D767" s="27" t="s">
        <v>7</v>
      </c>
      <c r="E767" s="27" t="s">
        <v>18</v>
      </c>
      <c r="F767" s="29"/>
      <c r="G767" s="30">
        <v>235.17</v>
      </c>
    </row>
    <row r="768" spans="1:7" hidden="1" x14ac:dyDescent="0.25">
      <c r="A768" s="28">
        <v>43525</v>
      </c>
      <c r="B768" s="27" t="s">
        <v>2</v>
      </c>
      <c r="C768" s="27" t="s">
        <v>50</v>
      </c>
      <c r="D768" s="27" t="s">
        <v>7</v>
      </c>
      <c r="E768" s="27" t="s">
        <v>19</v>
      </c>
      <c r="F768" s="29"/>
      <c r="G768" s="30">
        <v>746.42</v>
      </c>
    </row>
    <row r="769" spans="1:7" hidden="1" x14ac:dyDescent="0.25">
      <c r="A769" s="28">
        <v>43525</v>
      </c>
      <c r="B769" s="27" t="s">
        <v>2</v>
      </c>
      <c r="C769" s="27" t="s">
        <v>50</v>
      </c>
      <c r="D769" s="27" t="s">
        <v>7</v>
      </c>
      <c r="E769" s="27" t="s">
        <v>20</v>
      </c>
      <c r="F769" s="29"/>
      <c r="G769" s="30">
        <v>7.2</v>
      </c>
    </row>
    <row r="770" spans="1:7" hidden="1" x14ac:dyDescent="0.25">
      <c r="A770" s="28">
        <v>43525</v>
      </c>
      <c r="B770" s="27" t="s">
        <v>2</v>
      </c>
      <c r="C770" s="27" t="s">
        <v>50</v>
      </c>
      <c r="D770" s="27" t="s">
        <v>7</v>
      </c>
      <c r="E770" s="27" t="s">
        <v>204</v>
      </c>
      <c r="F770" s="29"/>
      <c r="G770" s="30">
        <v>242.77</v>
      </c>
    </row>
    <row r="771" spans="1:7" hidden="1" x14ac:dyDescent="0.25">
      <c r="A771" s="28">
        <v>43525</v>
      </c>
      <c r="B771" s="27" t="s">
        <v>36</v>
      </c>
      <c r="C771" s="27" t="s">
        <v>50</v>
      </c>
      <c r="D771" s="27" t="s">
        <v>6</v>
      </c>
      <c r="E771" s="27" t="s">
        <v>8</v>
      </c>
      <c r="F771" s="29"/>
      <c r="G771" s="30">
        <v>436.62</v>
      </c>
    </row>
    <row r="772" spans="1:7" hidden="1" x14ac:dyDescent="0.25">
      <c r="A772" s="28">
        <v>43525</v>
      </c>
      <c r="B772" s="27" t="s">
        <v>36</v>
      </c>
      <c r="C772" s="27" t="s">
        <v>50</v>
      </c>
      <c r="D772" s="27" t="s">
        <v>6</v>
      </c>
      <c r="E772" s="27" t="s">
        <v>9</v>
      </c>
      <c r="F772" s="29"/>
      <c r="G772" s="30">
        <v>54</v>
      </c>
    </row>
    <row r="773" spans="1:7" hidden="1" x14ac:dyDescent="0.25">
      <c r="A773" s="28">
        <v>43525</v>
      </c>
      <c r="B773" s="27" t="s">
        <v>36</v>
      </c>
      <c r="C773" s="27" t="s">
        <v>50</v>
      </c>
      <c r="D773" s="27" t="s">
        <v>6</v>
      </c>
      <c r="E773" s="27" t="s">
        <v>64</v>
      </c>
      <c r="F773" s="29"/>
      <c r="G773" s="30">
        <v>54</v>
      </c>
    </row>
    <row r="774" spans="1:7" hidden="1" x14ac:dyDescent="0.25">
      <c r="A774" s="28">
        <v>43525</v>
      </c>
      <c r="B774" s="27" t="s">
        <v>36</v>
      </c>
      <c r="C774" s="27" t="s">
        <v>50</v>
      </c>
      <c r="D774" s="27" t="s">
        <v>6</v>
      </c>
      <c r="E774" s="27" t="s">
        <v>21</v>
      </c>
      <c r="F774" s="29"/>
      <c r="G774" s="30">
        <v>92.28</v>
      </c>
    </row>
    <row r="775" spans="1:7" hidden="1" x14ac:dyDescent="0.25">
      <c r="A775" s="28">
        <v>43525</v>
      </c>
      <c r="B775" s="27" t="s">
        <v>36</v>
      </c>
      <c r="C775" s="27" t="s">
        <v>50</v>
      </c>
      <c r="D775" s="27" t="s">
        <v>6</v>
      </c>
      <c r="E775" s="27" t="s">
        <v>21</v>
      </c>
      <c r="F775" s="29"/>
      <c r="G775" s="30">
        <v>92.28</v>
      </c>
    </row>
    <row r="776" spans="1:7" hidden="1" x14ac:dyDescent="0.25">
      <c r="A776" s="28">
        <v>43525</v>
      </c>
      <c r="B776" s="27" t="s">
        <v>36</v>
      </c>
      <c r="C776" s="27" t="s">
        <v>50</v>
      </c>
      <c r="D776" s="27" t="s">
        <v>6</v>
      </c>
      <c r="E776" s="27" t="s">
        <v>10</v>
      </c>
      <c r="F776" s="29"/>
      <c r="G776" s="30">
        <v>436.62</v>
      </c>
    </row>
    <row r="777" spans="1:7" hidden="1" x14ac:dyDescent="0.25">
      <c r="A777" s="28">
        <v>43525</v>
      </c>
      <c r="B777" s="27" t="s">
        <v>36</v>
      </c>
      <c r="C777" s="27" t="s">
        <v>50</v>
      </c>
      <c r="D777" s="27" t="s">
        <v>6</v>
      </c>
      <c r="E777" s="27" t="s">
        <v>11</v>
      </c>
      <c r="F777" s="29"/>
      <c r="G777" s="30">
        <v>73.88</v>
      </c>
    </row>
    <row r="778" spans="1:7" hidden="1" x14ac:dyDescent="0.25">
      <c r="A778" s="28">
        <v>43525</v>
      </c>
      <c r="B778" s="27" t="s">
        <v>36</v>
      </c>
      <c r="C778" s="27" t="s">
        <v>50</v>
      </c>
      <c r="D778" s="27" t="s">
        <v>6</v>
      </c>
      <c r="E778" s="27" t="s">
        <v>12</v>
      </c>
      <c r="F778" s="29"/>
      <c r="G778" s="30">
        <v>73.88</v>
      </c>
    </row>
    <row r="779" spans="1:7" hidden="1" x14ac:dyDescent="0.25">
      <c r="A779" s="28">
        <v>43525</v>
      </c>
      <c r="B779" s="27" t="s">
        <v>36</v>
      </c>
      <c r="C779" s="27" t="s">
        <v>50</v>
      </c>
      <c r="D779" s="27" t="s">
        <v>6</v>
      </c>
      <c r="E779" s="27" t="s">
        <v>13</v>
      </c>
      <c r="F779" s="29"/>
      <c r="G779" s="30">
        <v>54</v>
      </c>
    </row>
    <row r="780" spans="1:7" hidden="1" x14ac:dyDescent="0.25">
      <c r="A780" s="28">
        <v>43525</v>
      </c>
      <c r="B780" s="27" t="s">
        <v>36</v>
      </c>
      <c r="C780" s="27" t="s">
        <v>50</v>
      </c>
      <c r="D780" s="27" t="s">
        <v>6</v>
      </c>
      <c r="E780" s="27" t="s">
        <v>14</v>
      </c>
      <c r="F780" s="29"/>
      <c r="G780" s="30">
        <v>73.88</v>
      </c>
    </row>
    <row r="781" spans="1:7" hidden="1" x14ac:dyDescent="0.25">
      <c r="A781" s="28">
        <v>43525</v>
      </c>
      <c r="B781" s="27" t="s">
        <v>36</v>
      </c>
      <c r="C781" s="27" t="s">
        <v>50</v>
      </c>
      <c r="D781" s="27" t="s">
        <v>6</v>
      </c>
      <c r="E781" s="27" t="s">
        <v>15</v>
      </c>
      <c r="F781" s="29"/>
      <c r="G781" s="30">
        <v>54</v>
      </c>
    </row>
    <row r="782" spans="1:7" hidden="1" x14ac:dyDescent="0.25">
      <c r="A782" s="28">
        <v>43525</v>
      </c>
      <c r="B782" s="27" t="s">
        <v>36</v>
      </c>
      <c r="C782" s="27" t="s">
        <v>50</v>
      </c>
      <c r="D782" s="27" t="s">
        <v>6</v>
      </c>
      <c r="E782" s="27" t="s">
        <v>16</v>
      </c>
      <c r="F782" s="29"/>
      <c r="G782" s="30">
        <v>54</v>
      </c>
    </row>
    <row r="783" spans="1:7" hidden="1" x14ac:dyDescent="0.25">
      <c r="A783" s="28">
        <v>43525</v>
      </c>
      <c r="B783" s="27" t="s">
        <v>36</v>
      </c>
      <c r="C783" s="27" t="s">
        <v>50</v>
      </c>
      <c r="D783" s="27" t="s">
        <v>6</v>
      </c>
      <c r="E783" s="27" t="s">
        <v>18</v>
      </c>
      <c r="F783" s="29"/>
      <c r="G783" s="30">
        <v>54</v>
      </c>
    </row>
    <row r="784" spans="1:7" hidden="1" x14ac:dyDescent="0.25">
      <c r="A784" s="28">
        <v>43525</v>
      </c>
      <c r="B784" s="27" t="s">
        <v>36</v>
      </c>
      <c r="C784" s="27" t="s">
        <v>50</v>
      </c>
      <c r="D784" s="27" t="s">
        <v>6</v>
      </c>
      <c r="E784" s="27" t="s">
        <v>19</v>
      </c>
      <c r="F784" s="29"/>
      <c r="G784" s="30">
        <v>54</v>
      </c>
    </row>
    <row r="785" spans="1:7" hidden="1" x14ac:dyDescent="0.25">
      <c r="A785" s="28">
        <v>43525</v>
      </c>
      <c r="B785" s="27" t="s">
        <v>200</v>
      </c>
      <c r="C785" s="27" t="s">
        <v>53</v>
      </c>
      <c r="D785" s="27" t="s">
        <v>6</v>
      </c>
      <c r="E785" s="27" t="s">
        <v>8</v>
      </c>
      <c r="F785" s="29"/>
      <c r="G785" s="30">
        <f t="shared" ref="G785:G802" si="12">6528.5472/18</f>
        <v>362.69706666666667</v>
      </c>
    </row>
    <row r="786" spans="1:7" hidden="1" x14ac:dyDescent="0.25">
      <c r="A786" s="28">
        <v>43525</v>
      </c>
      <c r="B786" s="27" t="s">
        <v>200</v>
      </c>
      <c r="C786" s="27" t="s">
        <v>53</v>
      </c>
      <c r="D786" s="27" t="s">
        <v>6</v>
      </c>
      <c r="E786" s="27" t="s">
        <v>9</v>
      </c>
      <c r="F786" s="29"/>
      <c r="G786" s="30">
        <f t="shared" si="12"/>
        <v>362.69706666666667</v>
      </c>
    </row>
    <row r="787" spans="1:7" hidden="1" x14ac:dyDescent="0.25">
      <c r="A787" s="28">
        <v>43525</v>
      </c>
      <c r="B787" s="27" t="s">
        <v>200</v>
      </c>
      <c r="C787" s="27" t="s">
        <v>53</v>
      </c>
      <c r="D787" s="27" t="s">
        <v>6</v>
      </c>
      <c r="E787" s="27" t="s">
        <v>64</v>
      </c>
      <c r="F787" s="29"/>
      <c r="G787" s="30">
        <f t="shared" si="12"/>
        <v>362.69706666666667</v>
      </c>
    </row>
    <row r="788" spans="1:7" hidden="1" x14ac:dyDescent="0.25">
      <c r="A788" s="28">
        <v>43525</v>
      </c>
      <c r="B788" s="27" t="s">
        <v>200</v>
      </c>
      <c r="C788" s="27" t="s">
        <v>53</v>
      </c>
      <c r="D788" s="27" t="s">
        <v>6</v>
      </c>
      <c r="E788" s="27" t="s">
        <v>21</v>
      </c>
      <c r="F788" s="29"/>
      <c r="G788" s="30">
        <f t="shared" si="12"/>
        <v>362.69706666666667</v>
      </c>
    </row>
    <row r="789" spans="1:7" hidden="1" x14ac:dyDescent="0.25">
      <c r="A789" s="28">
        <v>43525</v>
      </c>
      <c r="B789" s="27" t="s">
        <v>200</v>
      </c>
      <c r="C789" s="27" t="s">
        <v>53</v>
      </c>
      <c r="D789" s="27" t="s">
        <v>6</v>
      </c>
      <c r="E789" s="27" t="s">
        <v>21</v>
      </c>
      <c r="F789" s="29"/>
      <c r="G789" s="30">
        <f t="shared" si="12"/>
        <v>362.69706666666667</v>
      </c>
    </row>
    <row r="790" spans="1:7" hidden="1" x14ac:dyDescent="0.25">
      <c r="A790" s="28">
        <v>43525</v>
      </c>
      <c r="B790" s="27" t="s">
        <v>200</v>
      </c>
      <c r="C790" s="27" t="s">
        <v>53</v>
      </c>
      <c r="D790" s="27" t="s">
        <v>6</v>
      </c>
      <c r="E790" s="27" t="s">
        <v>10</v>
      </c>
      <c r="F790" s="29"/>
      <c r="G790" s="30">
        <f t="shared" si="12"/>
        <v>362.69706666666667</v>
      </c>
    </row>
    <row r="791" spans="1:7" hidden="1" x14ac:dyDescent="0.25">
      <c r="A791" s="28">
        <v>43525</v>
      </c>
      <c r="B791" s="27" t="s">
        <v>200</v>
      </c>
      <c r="C791" s="27" t="s">
        <v>53</v>
      </c>
      <c r="D791" s="27" t="s">
        <v>6</v>
      </c>
      <c r="E791" s="27" t="s">
        <v>11</v>
      </c>
      <c r="F791" s="29"/>
      <c r="G791" s="30">
        <f t="shared" si="12"/>
        <v>362.69706666666667</v>
      </c>
    </row>
    <row r="792" spans="1:7" hidden="1" x14ac:dyDescent="0.25">
      <c r="A792" s="28">
        <v>43525</v>
      </c>
      <c r="B792" s="27" t="s">
        <v>200</v>
      </c>
      <c r="C792" s="27" t="s">
        <v>53</v>
      </c>
      <c r="D792" s="27" t="s">
        <v>6</v>
      </c>
      <c r="E792" s="27" t="s">
        <v>12</v>
      </c>
      <c r="F792" s="29"/>
      <c r="G792" s="30">
        <f t="shared" si="12"/>
        <v>362.69706666666667</v>
      </c>
    </row>
    <row r="793" spans="1:7" hidden="1" x14ac:dyDescent="0.25">
      <c r="A793" s="28">
        <v>43525</v>
      </c>
      <c r="B793" s="27" t="s">
        <v>200</v>
      </c>
      <c r="C793" s="27" t="s">
        <v>53</v>
      </c>
      <c r="D793" s="27" t="s">
        <v>6</v>
      </c>
      <c r="E793" s="27" t="s">
        <v>13</v>
      </c>
      <c r="F793" s="29"/>
      <c r="G793" s="30">
        <f t="shared" si="12"/>
        <v>362.69706666666667</v>
      </c>
    </row>
    <row r="794" spans="1:7" hidden="1" x14ac:dyDescent="0.25">
      <c r="A794" s="28">
        <v>43525</v>
      </c>
      <c r="B794" s="27" t="s">
        <v>200</v>
      </c>
      <c r="C794" s="27" t="s">
        <v>53</v>
      </c>
      <c r="D794" s="27" t="s">
        <v>6</v>
      </c>
      <c r="E794" s="27" t="s">
        <v>14</v>
      </c>
      <c r="F794" s="29"/>
      <c r="G794" s="30">
        <f t="shared" si="12"/>
        <v>362.69706666666667</v>
      </c>
    </row>
    <row r="795" spans="1:7" hidden="1" x14ac:dyDescent="0.25">
      <c r="A795" s="28">
        <v>43525</v>
      </c>
      <c r="B795" s="27" t="s">
        <v>200</v>
      </c>
      <c r="C795" s="27" t="s">
        <v>53</v>
      </c>
      <c r="D795" s="27" t="s">
        <v>6</v>
      </c>
      <c r="E795" s="27" t="s">
        <v>15</v>
      </c>
      <c r="F795" s="29"/>
      <c r="G795" s="30">
        <f t="shared" si="12"/>
        <v>362.69706666666667</v>
      </c>
    </row>
    <row r="796" spans="1:7" hidden="1" x14ac:dyDescent="0.25">
      <c r="A796" s="28">
        <v>43525</v>
      </c>
      <c r="B796" s="27" t="s">
        <v>200</v>
      </c>
      <c r="C796" s="27" t="s">
        <v>53</v>
      </c>
      <c r="D796" s="27" t="s">
        <v>6</v>
      </c>
      <c r="E796" s="27" t="s">
        <v>16</v>
      </c>
      <c r="F796" s="29"/>
      <c r="G796" s="30">
        <f t="shared" si="12"/>
        <v>362.69706666666667</v>
      </c>
    </row>
    <row r="797" spans="1:7" hidden="1" x14ac:dyDescent="0.25">
      <c r="A797" s="28">
        <v>43525</v>
      </c>
      <c r="B797" s="27" t="s">
        <v>200</v>
      </c>
      <c r="C797" s="27" t="s">
        <v>53</v>
      </c>
      <c r="D797" s="27" t="s">
        <v>6</v>
      </c>
      <c r="E797" s="27" t="s">
        <v>17</v>
      </c>
      <c r="F797" s="29"/>
      <c r="G797" s="30">
        <f t="shared" si="12"/>
        <v>362.69706666666667</v>
      </c>
    </row>
    <row r="798" spans="1:7" hidden="1" x14ac:dyDescent="0.25">
      <c r="A798" s="28">
        <v>43525</v>
      </c>
      <c r="B798" s="27" t="s">
        <v>200</v>
      </c>
      <c r="C798" s="27" t="s">
        <v>53</v>
      </c>
      <c r="D798" s="27" t="s">
        <v>6</v>
      </c>
      <c r="E798" s="27" t="s">
        <v>18</v>
      </c>
      <c r="F798" s="29"/>
      <c r="G798" s="30">
        <f t="shared" si="12"/>
        <v>362.69706666666667</v>
      </c>
    </row>
    <row r="799" spans="1:7" hidden="1" x14ac:dyDescent="0.25">
      <c r="A799" s="28">
        <v>43525</v>
      </c>
      <c r="B799" s="27" t="s">
        <v>200</v>
      </c>
      <c r="C799" s="27" t="s">
        <v>53</v>
      </c>
      <c r="D799" s="27" t="s">
        <v>6</v>
      </c>
      <c r="E799" s="27" t="s">
        <v>19</v>
      </c>
      <c r="F799" s="29"/>
      <c r="G799" s="30">
        <f t="shared" si="12"/>
        <v>362.69706666666667</v>
      </c>
    </row>
    <row r="800" spans="1:7" hidden="1" x14ac:dyDescent="0.25">
      <c r="A800" s="28">
        <v>43525</v>
      </c>
      <c r="B800" s="27" t="s">
        <v>200</v>
      </c>
      <c r="C800" s="27" t="s">
        <v>53</v>
      </c>
      <c r="D800" s="27" t="s">
        <v>6</v>
      </c>
      <c r="E800" s="27" t="s">
        <v>20</v>
      </c>
      <c r="F800" s="29"/>
      <c r="G800" s="30">
        <f t="shared" si="12"/>
        <v>362.69706666666667</v>
      </c>
    </row>
    <row r="801" spans="1:7" hidden="1" x14ac:dyDescent="0.25">
      <c r="A801" s="28">
        <v>43525</v>
      </c>
      <c r="B801" s="27" t="s">
        <v>200</v>
      </c>
      <c r="C801" s="27" t="s">
        <v>53</v>
      </c>
      <c r="D801" s="27" t="s">
        <v>6</v>
      </c>
      <c r="E801" s="27" t="s">
        <v>204</v>
      </c>
      <c r="F801" s="29"/>
      <c r="G801" s="30">
        <f t="shared" si="12"/>
        <v>362.69706666666667</v>
      </c>
    </row>
    <row r="802" spans="1:7" hidden="1" x14ac:dyDescent="0.25">
      <c r="A802" s="28">
        <v>43525</v>
      </c>
      <c r="B802" s="27" t="s">
        <v>200</v>
      </c>
      <c r="C802" s="27" t="s">
        <v>53</v>
      </c>
      <c r="D802" s="27" t="s">
        <v>6</v>
      </c>
      <c r="E802" s="27" t="s">
        <v>205</v>
      </c>
      <c r="F802" s="29"/>
      <c r="G802" s="30">
        <f t="shared" si="12"/>
        <v>362.69706666666667</v>
      </c>
    </row>
    <row r="803" spans="1:7" hidden="1" x14ac:dyDescent="0.25">
      <c r="A803" s="28">
        <v>43525</v>
      </c>
      <c r="B803" s="27" t="s">
        <v>200</v>
      </c>
      <c r="C803" s="27" t="s">
        <v>54</v>
      </c>
      <c r="D803" s="27" t="s">
        <v>7</v>
      </c>
      <c r="E803" s="27" t="s">
        <v>9</v>
      </c>
      <c r="F803" s="29"/>
      <c r="G803" s="30">
        <f t="shared" ref="G803:G819" si="13">510.35/17</f>
        <v>30.02058823529412</v>
      </c>
    </row>
    <row r="804" spans="1:7" hidden="1" x14ac:dyDescent="0.25">
      <c r="A804" s="28">
        <v>43525</v>
      </c>
      <c r="B804" s="27" t="s">
        <v>200</v>
      </c>
      <c r="C804" s="27" t="s">
        <v>54</v>
      </c>
      <c r="D804" s="27" t="s">
        <v>7</v>
      </c>
      <c r="E804" s="27" t="s">
        <v>64</v>
      </c>
      <c r="F804" s="29"/>
      <c r="G804" s="30">
        <f t="shared" si="13"/>
        <v>30.02058823529412</v>
      </c>
    </row>
    <row r="805" spans="1:7" hidden="1" x14ac:dyDescent="0.25">
      <c r="A805" s="28">
        <v>43525</v>
      </c>
      <c r="B805" s="27" t="s">
        <v>200</v>
      </c>
      <c r="C805" s="27" t="s">
        <v>54</v>
      </c>
      <c r="D805" s="27" t="s">
        <v>7</v>
      </c>
      <c r="E805" s="27" t="s">
        <v>21</v>
      </c>
      <c r="F805" s="29"/>
      <c r="G805" s="30">
        <f t="shared" si="13"/>
        <v>30.02058823529412</v>
      </c>
    </row>
    <row r="806" spans="1:7" hidden="1" x14ac:dyDescent="0.25">
      <c r="A806" s="28">
        <v>43525</v>
      </c>
      <c r="B806" s="27" t="s">
        <v>200</v>
      </c>
      <c r="C806" s="27" t="s">
        <v>54</v>
      </c>
      <c r="D806" s="27" t="s">
        <v>7</v>
      </c>
      <c r="E806" s="27" t="s">
        <v>21</v>
      </c>
      <c r="F806" s="29"/>
      <c r="G806" s="30">
        <f t="shared" si="13"/>
        <v>30.02058823529412</v>
      </c>
    </row>
    <row r="807" spans="1:7" hidden="1" x14ac:dyDescent="0.25">
      <c r="A807" s="28">
        <v>43525</v>
      </c>
      <c r="B807" s="27" t="s">
        <v>200</v>
      </c>
      <c r="C807" s="27" t="s">
        <v>54</v>
      </c>
      <c r="D807" s="27" t="s">
        <v>7</v>
      </c>
      <c r="E807" s="27" t="s">
        <v>10</v>
      </c>
      <c r="F807" s="29"/>
      <c r="G807" s="30">
        <f t="shared" si="13"/>
        <v>30.02058823529412</v>
      </c>
    </row>
    <row r="808" spans="1:7" hidden="1" x14ac:dyDescent="0.25">
      <c r="A808" s="28">
        <v>43525</v>
      </c>
      <c r="B808" s="27" t="s">
        <v>200</v>
      </c>
      <c r="C808" s="27" t="s">
        <v>54</v>
      </c>
      <c r="D808" s="27" t="s">
        <v>7</v>
      </c>
      <c r="E808" s="27" t="s">
        <v>11</v>
      </c>
      <c r="F808" s="29"/>
      <c r="G808" s="30">
        <f t="shared" si="13"/>
        <v>30.02058823529412</v>
      </c>
    </row>
    <row r="809" spans="1:7" hidden="1" x14ac:dyDescent="0.25">
      <c r="A809" s="28">
        <v>43525</v>
      </c>
      <c r="B809" s="27" t="s">
        <v>200</v>
      </c>
      <c r="C809" s="27" t="s">
        <v>54</v>
      </c>
      <c r="D809" s="27" t="s">
        <v>7</v>
      </c>
      <c r="E809" s="27" t="s">
        <v>12</v>
      </c>
      <c r="F809" s="29"/>
      <c r="G809" s="30">
        <f t="shared" si="13"/>
        <v>30.02058823529412</v>
      </c>
    </row>
    <row r="810" spans="1:7" hidden="1" x14ac:dyDescent="0.25">
      <c r="A810" s="28">
        <v>43525</v>
      </c>
      <c r="B810" s="27" t="s">
        <v>200</v>
      </c>
      <c r="C810" s="27" t="s">
        <v>54</v>
      </c>
      <c r="D810" s="27" t="s">
        <v>7</v>
      </c>
      <c r="E810" s="27" t="s">
        <v>13</v>
      </c>
      <c r="F810" s="29"/>
      <c r="G810" s="30">
        <f t="shared" si="13"/>
        <v>30.02058823529412</v>
      </c>
    </row>
    <row r="811" spans="1:7" hidden="1" x14ac:dyDescent="0.25">
      <c r="A811" s="28">
        <v>43525</v>
      </c>
      <c r="B811" s="27" t="s">
        <v>200</v>
      </c>
      <c r="C811" s="27" t="s">
        <v>54</v>
      </c>
      <c r="D811" s="27" t="s">
        <v>7</v>
      </c>
      <c r="E811" s="27" t="s">
        <v>14</v>
      </c>
      <c r="F811" s="29"/>
      <c r="G811" s="30">
        <f t="shared" si="13"/>
        <v>30.02058823529412</v>
      </c>
    </row>
    <row r="812" spans="1:7" hidden="1" x14ac:dyDescent="0.25">
      <c r="A812" s="28">
        <v>43525</v>
      </c>
      <c r="B812" s="27" t="s">
        <v>200</v>
      </c>
      <c r="C812" s="27" t="s">
        <v>54</v>
      </c>
      <c r="D812" s="27" t="s">
        <v>7</v>
      </c>
      <c r="E812" s="27" t="s">
        <v>15</v>
      </c>
      <c r="F812" s="29"/>
      <c r="G812" s="30">
        <f t="shared" si="13"/>
        <v>30.02058823529412</v>
      </c>
    </row>
    <row r="813" spans="1:7" hidden="1" x14ac:dyDescent="0.25">
      <c r="A813" s="28">
        <v>43525</v>
      </c>
      <c r="B813" s="27" t="s">
        <v>200</v>
      </c>
      <c r="C813" s="27" t="s">
        <v>54</v>
      </c>
      <c r="D813" s="27" t="s">
        <v>7</v>
      </c>
      <c r="E813" s="27" t="s">
        <v>16</v>
      </c>
      <c r="F813" s="29"/>
      <c r="G813" s="30">
        <f t="shared" si="13"/>
        <v>30.02058823529412</v>
      </c>
    </row>
    <row r="814" spans="1:7" hidden="1" x14ac:dyDescent="0.25">
      <c r="A814" s="28">
        <v>43525</v>
      </c>
      <c r="B814" s="27" t="s">
        <v>200</v>
      </c>
      <c r="C814" s="27" t="s">
        <v>54</v>
      </c>
      <c r="D814" s="27" t="s">
        <v>7</v>
      </c>
      <c r="E814" s="27" t="s">
        <v>17</v>
      </c>
      <c r="F814" s="29"/>
      <c r="G814" s="30">
        <f t="shared" si="13"/>
        <v>30.02058823529412</v>
      </c>
    </row>
    <row r="815" spans="1:7" hidden="1" x14ac:dyDescent="0.25">
      <c r="A815" s="28">
        <v>43525</v>
      </c>
      <c r="B815" s="27" t="s">
        <v>200</v>
      </c>
      <c r="C815" s="27" t="s">
        <v>54</v>
      </c>
      <c r="D815" s="27" t="s">
        <v>7</v>
      </c>
      <c r="E815" s="27" t="s">
        <v>18</v>
      </c>
      <c r="F815" s="29"/>
      <c r="G815" s="30">
        <f t="shared" si="13"/>
        <v>30.02058823529412</v>
      </c>
    </row>
    <row r="816" spans="1:7" hidden="1" x14ac:dyDescent="0.25">
      <c r="A816" s="28">
        <v>43525</v>
      </c>
      <c r="B816" s="27" t="s">
        <v>200</v>
      </c>
      <c r="C816" s="27" t="s">
        <v>54</v>
      </c>
      <c r="D816" s="27" t="s">
        <v>7</v>
      </c>
      <c r="E816" s="27" t="s">
        <v>19</v>
      </c>
      <c r="F816" s="29"/>
      <c r="G816" s="30">
        <f t="shared" si="13"/>
        <v>30.02058823529412</v>
      </c>
    </row>
    <row r="817" spans="1:7" hidden="1" x14ac:dyDescent="0.25">
      <c r="A817" s="28">
        <v>43525</v>
      </c>
      <c r="B817" s="27" t="s">
        <v>200</v>
      </c>
      <c r="C817" s="27" t="s">
        <v>54</v>
      </c>
      <c r="D817" s="27" t="s">
        <v>7</v>
      </c>
      <c r="E817" s="27" t="s">
        <v>20</v>
      </c>
      <c r="F817" s="29"/>
      <c r="G817" s="30">
        <f t="shared" si="13"/>
        <v>30.02058823529412</v>
      </c>
    </row>
    <row r="818" spans="1:7" hidden="1" x14ac:dyDescent="0.25">
      <c r="A818" s="28">
        <v>43525</v>
      </c>
      <c r="B818" s="27" t="s">
        <v>200</v>
      </c>
      <c r="C818" s="27" t="s">
        <v>54</v>
      </c>
      <c r="D818" s="27" t="s">
        <v>7</v>
      </c>
      <c r="E818" s="27" t="s">
        <v>204</v>
      </c>
      <c r="F818" s="29"/>
      <c r="G818" s="30">
        <f t="shared" si="13"/>
        <v>30.02058823529412</v>
      </c>
    </row>
    <row r="819" spans="1:7" hidden="1" x14ac:dyDescent="0.25">
      <c r="A819" s="28">
        <v>43525</v>
      </c>
      <c r="B819" s="27" t="s">
        <v>200</v>
      </c>
      <c r="C819" s="27" t="s">
        <v>54</v>
      </c>
      <c r="D819" s="27" t="s">
        <v>7</v>
      </c>
      <c r="E819" s="27" t="s">
        <v>37</v>
      </c>
      <c r="F819" s="29"/>
      <c r="G819" s="30">
        <f t="shared" si="13"/>
        <v>30.02058823529412</v>
      </c>
    </row>
    <row r="820" spans="1:7" hidden="1" x14ac:dyDescent="0.25">
      <c r="A820" s="28">
        <v>43525</v>
      </c>
      <c r="B820" s="27" t="s">
        <v>200</v>
      </c>
      <c r="C820" s="27" t="s">
        <v>55</v>
      </c>
      <c r="D820" s="27" t="s">
        <v>6</v>
      </c>
      <c r="E820" s="27" t="s">
        <v>8</v>
      </c>
      <c r="F820" s="29"/>
      <c r="G820" s="30">
        <f t="shared" ref="G820:G837" si="14">28835.4539555556/18</f>
        <v>1601.9696641975333</v>
      </c>
    </row>
    <row r="821" spans="1:7" hidden="1" x14ac:dyDescent="0.25">
      <c r="A821" s="28">
        <v>43525</v>
      </c>
      <c r="B821" s="27" t="s">
        <v>200</v>
      </c>
      <c r="C821" s="27" t="s">
        <v>55</v>
      </c>
      <c r="D821" s="27" t="s">
        <v>6</v>
      </c>
      <c r="E821" s="27" t="s">
        <v>9</v>
      </c>
      <c r="F821" s="29"/>
      <c r="G821" s="30">
        <f t="shared" si="14"/>
        <v>1601.9696641975333</v>
      </c>
    </row>
    <row r="822" spans="1:7" hidden="1" x14ac:dyDescent="0.25">
      <c r="A822" s="28">
        <v>43525</v>
      </c>
      <c r="B822" s="27" t="s">
        <v>200</v>
      </c>
      <c r="C822" s="27" t="s">
        <v>55</v>
      </c>
      <c r="D822" s="27" t="s">
        <v>6</v>
      </c>
      <c r="E822" s="27" t="s">
        <v>64</v>
      </c>
      <c r="F822" s="29"/>
      <c r="G822" s="30">
        <f t="shared" si="14"/>
        <v>1601.9696641975333</v>
      </c>
    </row>
    <row r="823" spans="1:7" hidden="1" x14ac:dyDescent="0.25">
      <c r="A823" s="28">
        <v>43525</v>
      </c>
      <c r="B823" s="27" t="s">
        <v>200</v>
      </c>
      <c r="C823" s="27" t="s">
        <v>55</v>
      </c>
      <c r="D823" s="27" t="s">
        <v>6</v>
      </c>
      <c r="E823" s="27" t="s">
        <v>21</v>
      </c>
      <c r="F823" s="29"/>
      <c r="G823" s="30">
        <f t="shared" si="14"/>
        <v>1601.9696641975333</v>
      </c>
    </row>
    <row r="824" spans="1:7" hidden="1" x14ac:dyDescent="0.25">
      <c r="A824" s="28">
        <v>43525</v>
      </c>
      <c r="B824" s="27" t="s">
        <v>200</v>
      </c>
      <c r="C824" s="27" t="s">
        <v>55</v>
      </c>
      <c r="D824" s="27" t="s">
        <v>6</v>
      </c>
      <c r="E824" s="27" t="s">
        <v>21</v>
      </c>
      <c r="F824" s="29"/>
      <c r="G824" s="30">
        <f t="shared" si="14"/>
        <v>1601.9696641975333</v>
      </c>
    </row>
    <row r="825" spans="1:7" hidden="1" x14ac:dyDescent="0.25">
      <c r="A825" s="28">
        <v>43525</v>
      </c>
      <c r="B825" s="27" t="s">
        <v>200</v>
      </c>
      <c r="C825" s="27" t="s">
        <v>55</v>
      </c>
      <c r="D825" s="27" t="s">
        <v>6</v>
      </c>
      <c r="E825" s="27" t="s">
        <v>10</v>
      </c>
      <c r="F825" s="29"/>
      <c r="G825" s="30">
        <f t="shared" si="14"/>
        <v>1601.9696641975333</v>
      </c>
    </row>
    <row r="826" spans="1:7" hidden="1" x14ac:dyDescent="0.25">
      <c r="A826" s="28">
        <v>43525</v>
      </c>
      <c r="B826" s="27" t="s">
        <v>200</v>
      </c>
      <c r="C826" s="27" t="s">
        <v>55</v>
      </c>
      <c r="D826" s="27" t="s">
        <v>6</v>
      </c>
      <c r="E826" s="27" t="s">
        <v>11</v>
      </c>
      <c r="F826" s="29"/>
      <c r="G826" s="30">
        <f t="shared" si="14"/>
        <v>1601.9696641975333</v>
      </c>
    </row>
    <row r="827" spans="1:7" hidden="1" x14ac:dyDescent="0.25">
      <c r="A827" s="28">
        <v>43525</v>
      </c>
      <c r="B827" s="27" t="s">
        <v>200</v>
      </c>
      <c r="C827" s="27" t="s">
        <v>55</v>
      </c>
      <c r="D827" s="27" t="s">
        <v>6</v>
      </c>
      <c r="E827" s="27" t="s">
        <v>12</v>
      </c>
      <c r="F827" s="29"/>
      <c r="G827" s="30">
        <f t="shared" si="14"/>
        <v>1601.9696641975333</v>
      </c>
    </row>
    <row r="828" spans="1:7" hidden="1" x14ac:dyDescent="0.25">
      <c r="A828" s="28">
        <v>43525</v>
      </c>
      <c r="B828" s="27" t="s">
        <v>200</v>
      </c>
      <c r="C828" s="27" t="s">
        <v>55</v>
      </c>
      <c r="D828" s="27" t="s">
        <v>6</v>
      </c>
      <c r="E828" s="27" t="s">
        <v>13</v>
      </c>
      <c r="F828" s="29"/>
      <c r="G828" s="30">
        <f t="shared" si="14"/>
        <v>1601.9696641975333</v>
      </c>
    </row>
    <row r="829" spans="1:7" hidden="1" x14ac:dyDescent="0.25">
      <c r="A829" s="28">
        <v>43525</v>
      </c>
      <c r="B829" s="27" t="s">
        <v>200</v>
      </c>
      <c r="C829" s="27" t="s">
        <v>55</v>
      </c>
      <c r="D829" s="27" t="s">
        <v>6</v>
      </c>
      <c r="E829" s="27" t="s">
        <v>14</v>
      </c>
      <c r="F829" s="29"/>
      <c r="G829" s="30">
        <f t="shared" si="14"/>
        <v>1601.9696641975333</v>
      </c>
    </row>
    <row r="830" spans="1:7" hidden="1" x14ac:dyDescent="0.25">
      <c r="A830" s="28">
        <v>43525</v>
      </c>
      <c r="B830" s="27" t="s">
        <v>200</v>
      </c>
      <c r="C830" s="27" t="s">
        <v>55</v>
      </c>
      <c r="D830" s="27" t="s">
        <v>6</v>
      </c>
      <c r="E830" s="27" t="s">
        <v>15</v>
      </c>
      <c r="F830" s="29"/>
      <c r="G830" s="30">
        <f t="shared" si="14"/>
        <v>1601.9696641975333</v>
      </c>
    </row>
    <row r="831" spans="1:7" hidden="1" x14ac:dyDescent="0.25">
      <c r="A831" s="28">
        <v>43525</v>
      </c>
      <c r="B831" s="27" t="s">
        <v>200</v>
      </c>
      <c r="C831" s="27" t="s">
        <v>55</v>
      </c>
      <c r="D831" s="27" t="s">
        <v>6</v>
      </c>
      <c r="E831" s="27" t="s">
        <v>16</v>
      </c>
      <c r="F831" s="29"/>
      <c r="G831" s="30">
        <f t="shared" si="14"/>
        <v>1601.9696641975333</v>
      </c>
    </row>
    <row r="832" spans="1:7" hidden="1" x14ac:dyDescent="0.25">
      <c r="A832" s="28">
        <v>43525</v>
      </c>
      <c r="B832" s="27" t="s">
        <v>200</v>
      </c>
      <c r="C832" s="27" t="s">
        <v>55</v>
      </c>
      <c r="D832" s="27" t="s">
        <v>6</v>
      </c>
      <c r="E832" s="27" t="s">
        <v>17</v>
      </c>
      <c r="F832" s="29"/>
      <c r="G832" s="30">
        <f t="shared" si="14"/>
        <v>1601.9696641975333</v>
      </c>
    </row>
    <row r="833" spans="1:7" hidden="1" x14ac:dyDescent="0.25">
      <c r="A833" s="28">
        <v>43525</v>
      </c>
      <c r="B833" s="27" t="s">
        <v>200</v>
      </c>
      <c r="C833" s="27" t="s">
        <v>55</v>
      </c>
      <c r="D833" s="27" t="s">
        <v>6</v>
      </c>
      <c r="E833" s="27" t="s">
        <v>18</v>
      </c>
      <c r="F833" s="29"/>
      <c r="G833" s="30">
        <f t="shared" si="14"/>
        <v>1601.9696641975333</v>
      </c>
    </row>
    <row r="834" spans="1:7" hidden="1" x14ac:dyDescent="0.25">
      <c r="A834" s="28">
        <v>43525</v>
      </c>
      <c r="B834" s="27" t="s">
        <v>200</v>
      </c>
      <c r="C834" s="27" t="s">
        <v>55</v>
      </c>
      <c r="D834" s="27" t="s">
        <v>6</v>
      </c>
      <c r="E834" s="27" t="s">
        <v>19</v>
      </c>
      <c r="F834" s="29"/>
      <c r="G834" s="30">
        <f t="shared" si="14"/>
        <v>1601.9696641975333</v>
      </c>
    </row>
    <row r="835" spans="1:7" hidden="1" x14ac:dyDescent="0.25">
      <c r="A835" s="28">
        <v>43525</v>
      </c>
      <c r="B835" s="27" t="s">
        <v>200</v>
      </c>
      <c r="C835" s="27" t="s">
        <v>55</v>
      </c>
      <c r="D835" s="27" t="s">
        <v>6</v>
      </c>
      <c r="E835" s="27" t="s">
        <v>20</v>
      </c>
      <c r="F835" s="29"/>
      <c r="G835" s="30">
        <f t="shared" si="14"/>
        <v>1601.9696641975333</v>
      </c>
    </row>
    <row r="836" spans="1:7" hidden="1" x14ac:dyDescent="0.25">
      <c r="A836" s="28">
        <v>43525</v>
      </c>
      <c r="B836" s="27" t="s">
        <v>200</v>
      </c>
      <c r="C836" s="27" t="s">
        <v>55</v>
      </c>
      <c r="D836" s="27" t="s">
        <v>6</v>
      </c>
      <c r="E836" s="27" t="s">
        <v>204</v>
      </c>
      <c r="F836" s="29"/>
      <c r="G836" s="30">
        <f t="shared" si="14"/>
        <v>1601.9696641975333</v>
      </c>
    </row>
    <row r="837" spans="1:7" hidden="1" x14ac:dyDescent="0.25">
      <c r="A837" s="28">
        <v>43525</v>
      </c>
      <c r="B837" s="27" t="s">
        <v>200</v>
      </c>
      <c r="C837" s="27" t="s">
        <v>55</v>
      </c>
      <c r="D837" s="27" t="s">
        <v>6</v>
      </c>
      <c r="E837" s="27" t="s">
        <v>205</v>
      </c>
      <c r="F837" s="29"/>
      <c r="G837" s="30">
        <f t="shared" si="14"/>
        <v>1601.9696641975333</v>
      </c>
    </row>
    <row r="838" spans="1:7" hidden="1" x14ac:dyDescent="0.25">
      <c r="A838" s="28">
        <v>43525</v>
      </c>
      <c r="B838" s="27" t="s">
        <v>200</v>
      </c>
      <c r="C838" s="27" t="s">
        <v>183</v>
      </c>
      <c r="D838" s="27" t="s">
        <v>7</v>
      </c>
      <c r="E838" s="27" t="s">
        <v>9</v>
      </c>
      <c r="F838" s="29"/>
      <c r="G838" s="30">
        <f t="shared" ref="G838:G854" si="15">1998.73/17</f>
        <v>117.57235294117648</v>
      </c>
    </row>
    <row r="839" spans="1:7" hidden="1" x14ac:dyDescent="0.25">
      <c r="A839" s="28">
        <v>43525</v>
      </c>
      <c r="B839" s="27" t="s">
        <v>200</v>
      </c>
      <c r="C839" s="27" t="s">
        <v>183</v>
      </c>
      <c r="D839" s="27" t="s">
        <v>7</v>
      </c>
      <c r="E839" s="27" t="s">
        <v>64</v>
      </c>
      <c r="F839" s="29"/>
      <c r="G839" s="30">
        <f t="shared" si="15"/>
        <v>117.57235294117648</v>
      </c>
    </row>
    <row r="840" spans="1:7" hidden="1" x14ac:dyDescent="0.25">
      <c r="A840" s="28">
        <v>43525</v>
      </c>
      <c r="B840" s="27" t="s">
        <v>200</v>
      </c>
      <c r="C840" s="27" t="s">
        <v>183</v>
      </c>
      <c r="D840" s="27" t="s">
        <v>7</v>
      </c>
      <c r="E840" s="27" t="s">
        <v>21</v>
      </c>
      <c r="F840" s="29"/>
      <c r="G840" s="30">
        <f t="shared" si="15"/>
        <v>117.57235294117648</v>
      </c>
    </row>
    <row r="841" spans="1:7" hidden="1" x14ac:dyDescent="0.25">
      <c r="A841" s="28">
        <v>43525</v>
      </c>
      <c r="B841" s="27" t="s">
        <v>200</v>
      </c>
      <c r="C841" s="27" t="s">
        <v>183</v>
      </c>
      <c r="D841" s="27" t="s">
        <v>7</v>
      </c>
      <c r="E841" s="27" t="s">
        <v>21</v>
      </c>
      <c r="F841" s="29"/>
      <c r="G841" s="30">
        <f t="shared" si="15"/>
        <v>117.57235294117648</v>
      </c>
    </row>
    <row r="842" spans="1:7" hidden="1" x14ac:dyDescent="0.25">
      <c r="A842" s="28">
        <v>43525</v>
      </c>
      <c r="B842" s="27" t="s">
        <v>200</v>
      </c>
      <c r="C842" s="27" t="s">
        <v>183</v>
      </c>
      <c r="D842" s="27" t="s">
        <v>7</v>
      </c>
      <c r="E842" s="27" t="s">
        <v>10</v>
      </c>
      <c r="F842" s="29"/>
      <c r="G842" s="30">
        <f t="shared" si="15"/>
        <v>117.57235294117648</v>
      </c>
    </row>
    <row r="843" spans="1:7" hidden="1" x14ac:dyDescent="0.25">
      <c r="A843" s="28">
        <v>43525</v>
      </c>
      <c r="B843" s="27" t="s">
        <v>200</v>
      </c>
      <c r="C843" s="27" t="s">
        <v>183</v>
      </c>
      <c r="D843" s="27" t="s">
        <v>7</v>
      </c>
      <c r="E843" s="27" t="s">
        <v>11</v>
      </c>
      <c r="F843" s="29"/>
      <c r="G843" s="30">
        <f t="shared" si="15"/>
        <v>117.57235294117648</v>
      </c>
    </row>
    <row r="844" spans="1:7" hidden="1" x14ac:dyDescent="0.25">
      <c r="A844" s="28">
        <v>43525</v>
      </c>
      <c r="B844" s="27" t="s">
        <v>200</v>
      </c>
      <c r="C844" s="27" t="s">
        <v>183</v>
      </c>
      <c r="D844" s="27" t="s">
        <v>7</v>
      </c>
      <c r="E844" s="27" t="s">
        <v>12</v>
      </c>
      <c r="F844" s="29"/>
      <c r="G844" s="30">
        <f t="shared" si="15"/>
        <v>117.57235294117648</v>
      </c>
    </row>
    <row r="845" spans="1:7" hidden="1" x14ac:dyDescent="0.25">
      <c r="A845" s="28">
        <v>43525</v>
      </c>
      <c r="B845" s="27" t="s">
        <v>200</v>
      </c>
      <c r="C845" s="27" t="s">
        <v>183</v>
      </c>
      <c r="D845" s="27" t="s">
        <v>7</v>
      </c>
      <c r="E845" s="27" t="s">
        <v>13</v>
      </c>
      <c r="F845" s="29"/>
      <c r="G845" s="30">
        <f t="shared" si="15"/>
        <v>117.57235294117648</v>
      </c>
    </row>
    <row r="846" spans="1:7" hidden="1" x14ac:dyDescent="0.25">
      <c r="A846" s="28">
        <v>43525</v>
      </c>
      <c r="B846" s="27" t="s">
        <v>200</v>
      </c>
      <c r="C846" s="27" t="s">
        <v>183</v>
      </c>
      <c r="D846" s="27" t="s">
        <v>7</v>
      </c>
      <c r="E846" s="27" t="s">
        <v>14</v>
      </c>
      <c r="F846" s="29"/>
      <c r="G846" s="30">
        <f t="shared" si="15"/>
        <v>117.57235294117648</v>
      </c>
    </row>
    <row r="847" spans="1:7" hidden="1" x14ac:dyDescent="0.25">
      <c r="A847" s="28">
        <v>43525</v>
      </c>
      <c r="B847" s="27" t="s">
        <v>200</v>
      </c>
      <c r="C847" s="27" t="s">
        <v>183</v>
      </c>
      <c r="D847" s="27" t="s">
        <v>7</v>
      </c>
      <c r="E847" s="27" t="s">
        <v>15</v>
      </c>
      <c r="F847" s="29"/>
      <c r="G847" s="30">
        <f t="shared" si="15"/>
        <v>117.57235294117648</v>
      </c>
    </row>
    <row r="848" spans="1:7" hidden="1" x14ac:dyDescent="0.25">
      <c r="A848" s="28">
        <v>43525</v>
      </c>
      <c r="B848" s="27" t="s">
        <v>200</v>
      </c>
      <c r="C848" s="27" t="s">
        <v>183</v>
      </c>
      <c r="D848" s="27" t="s">
        <v>7</v>
      </c>
      <c r="E848" s="27" t="s">
        <v>16</v>
      </c>
      <c r="F848" s="29"/>
      <c r="G848" s="30">
        <f t="shared" si="15"/>
        <v>117.57235294117648</v>
      </c>
    </row>
    <row r="849" spans="1:7" hidden="1" x14ac:dyDescent="0.25">
      <c r="A849" s="28">
        <v>43525</v>
      </c>
      <c r="B849" s="27" t="s">
        <v>200</v>
      </c>
      <c r="C849" s="27" t="s">
        <v>183</v>
      </c>
      <c r="D849" s="27" t="s">
        <v>7</v>
      </c>
      <c r="E849" s="27" t="s">
        <v>17</v>
      </c>
      <c r="F849" s="29"/>
      <c r="G849" s="30">
        <f t="shared" si="15"/>
        <v>117.57235294117648</v>
      </c>
    </row>
    <row r="850" spans="1:7" hidden="1" x14ac:dyDescent="0.25">
      <c r="A850" s="28">
        <v>43525</v>
      </c>
      <c r="B850" s="27" t="s">
        <v>200</v>
      </c>
      <c r="C850" s="27" t="s">
        <v>183</v>
      </c>
      <c r="D850" s="27" t="s">
        <v>7</v>
      </c>
      <c r="E850" s="27" t="s">
        <v>18</v>
      </c>
      <c r="F850" s="29"/>
      <c r="G850" s="30">
        <f t="shared" si="15"/>
        <v>117.57235294117648</v>
      </c>
    </row>
    <row r="851" spans="1:7" hidden="1" x14ac:dyDescent="0.25">
      <c r="A851" s="28">
        <v>43525</v>
      </c>
      <c r="B851" s="27" t="s">
        <v>200</v>
      </c>
      <c r="C851" s="27" t="s">
        <v>183</v>
      </c>
      <c r="D851" s="27" t="s">
        <v>7</v>
      </c>
      <c r="E851" s="27" t="s">
        <v>19</v>
      </c>
      <c r="F851" s="29"/>
      <c r="G851" s="30">
        <f t="shared" si="15"/>
        <v>117.57235294117648</v>
      </c>
    </row>
    <row r="852" spans="1:7" hidden="1" x14ac:dyDescent="0.25">
      <c r="A852" s="28">
        <v>43525</v>
      </c>
      <c r="B852" s="27" t="s">
        <v>200</v>
      </c>
      <c r="C852" s="27" t="s">
        <v>183</v>
      </c>
      <c r="D852" s="27" t="s">
        <v>7</v>
      </c>
      <c r="E852" s="27" t="s">
        <v>20</v>
      </c>
      <c r="F852" s="29"/>
      <c r="G852" s="30">
        <f t="shared" si="15"/>
        <v>117.57235294117648</v>
      </c>
    </row>
    <row r="853" spans="1:7" hidden="1" x14ac:dyDescent="0.25">
      <c r="A853" s="28">
        <v>43525</v>
      </c>
      <c r="B853" s="27" t="s">
        <v>200</v>
      </c>
      <c r="C853" s="27" t="s">
        <v>183</v>
      </c>
      <c r="D853" s="27" t="s">
        <v>7</v>
      </c>
      <c r="E853" s="27" t="s">
        <v>204</v>
      </c>
      <c r="F853" s="29"/>
      <c r="G853" s="30">
        <f t="shared" si="15"/>
        <v>117.57235294117648</v>
      </c>
    </row>
    <row r="854" spans="1:7" hidden="1" x14ac:dyDescent="0.25">
      <c r="A854" s="28">
        <v>43525</v>
      </c>
      <c r="B854" s="27" t="s">
        <v>200</v>
      </c>
      <c r="C854" s="27" t="s">
        <v>183</v>
      </c>
      <c r="D854" s="27" t="s">
        <v>7</v>
      </c>
      <c r="E854" s="27" t="s">
        <v>37</v>
      </c>
      <c r="F854" s="29"/>
      <c r="G854" s="30">
        <f t="shared" si="15"/>
        <v>117.57235294117648</v>
      </c>
    </row>
    <row r="855" spans="1:7" hidden="1" x14ac:dyDescent="0.25">
      <c r="A855" s="28">
        <v>43525</v>
      </c>
      <c r="B855" s="27" t="s">
        <v>200</v>
      </c>
      <c r="C855" s="27" t="s">
        <v>56</v>
      </c>
      <c r="D855" s="27" t="s">
        <v>6</v>
      </c>
      <c r="E855" s="27" t="s">
        <v>8</v>
      </c>
      <c r="F855" s="29"/>
      <c r="G855" s="30">
        <f t="shared" ref="G855:G872" si="16">31266.3560444444/18</f>
        <v>1737.0197802469111</v>
      </c>
    </row>
    <row r="856" spans="1:7" hidden="1" x14ac:dyDescent="0.25">
      <c r="A856" s="28">
        <v>43525</v>
      </c>
      <c r="B856" s="27" t="s">
        <v>200</v>
      </c>
      <c r="C856" s="27" t="s">
        <v>56</v>
      </c>
      <c r="D856" s="27" t="s">
        <v>6</v>
      </c>
      <c r="E856" s="27" t="s">
        <v>9</v>
      </c>
      <c r="F856" s="29"/>
      <c r="G856" s="30">
        <f t="shared" si="16"/>
        <v>1737.0197802469111</v>
      </c>
    </row>
    <row r="857" spans="1:7" hidden="1" x14ac:dyDescent="0.25">
      <c r="A857" s="28">
        <v>43525</v>
      </c>
      <c r="B857" s="27" t="s">
        <v>200</v>
      </c>
      <c r="C857" s="27" t="s">
        <v>56</v>
      </c>
      <c r="D857" s="27" t="s">
        <v>6</v>
      </c>
      <c r="E857" s="27" t="s">
        <v>64</v>
      </c>
      <c r="F857" s="29"/>
      <c r="G857" s="30">
        <f t="shared" si="16"/>
        <v>1737.0197802469111</v>
      </c>
    </row>
    <row r="858" spans="1:7" hidden="1" x14ac:dyDescent="0.25">
      <c r="A858" s="28">
        <v>43525</v>
      </c>
      <c r="B858" s="27" t="s">
        <v>200</v>
      </c>
      <c r="C858" s="27" t="s">
        <v>56</v>
      </c>
      <c r="D858" s="27" t="s">
        <v>6</v>
      </c>
      <c r="E858" s="27" t="s">
        <v>21</v>
      </c>
      <c r="F858" s="29"/>
      <c r="G858" s="30">
        <f t="shared" si="16"/>
        <v>1737.0197802469111</v>
      </c>
    </row>
    <row r="859" spans="1:7" hidden="1" x14ac:dyDescent="0.25">
      <c r="A859" s="28">
        <v>43525</v>
      </c>
      <c r="B859" s="27" t="s">
        <v>200</v>
      </c>
      <c r="C859" s="27" t="s">
        <v>56</v>
      </c>
      <c r="D859" s="27" t="s">
        <v>6</v>
      </c>
      <c r="E859" s="27" t="s">
        <v>21</v>
      </c>
      <c r="F859" s="29"/>
      <c r="G859" s="30">
        <f t="shared" si="16"/>
        <v>1737.0197802469111</v>
      </c>
    </row>
    <row r="860" spans="1:7" hidden="1" x14ac:dyDescent="0.25">
      <c r="A860" s="28">
        <v>43525</v>
      </c>
      <c r="B860" s="27" t="s">
        <v>200</v>
      </c>
      <c r="C860" s="27" t="s">
        <v>56</v>
      </c>
      <c r="D860" s="27" t="s">
        <v>6</v>
      </c>
      <c r="E860" s="27" t="s">
        <v>10</v>
      </c>
      <c r="F860" s="29"/>
      <c r="G860" s="30">
        <f t="shared" si="16"/>
        <v>1737.0197802469111</v>
      </c>
    </row>
    <row r="861" spans="1:7" hidden="1" x14ac:dyDescent="0.25">
      <c r="A861" s="28">
        <v>43525</v>
      </c>
      <c r="B861" s="27" t="s">
        <v>200</v>
      </c>
      <c r="C861" s="27" t="s">
        <v>56</v>
      </c>
      <c r="D861" s="27" t="s">
        <v>6</v>
      </c>
      <c r="E861" s="27" t="s">
        <v>11</v>
      </c>
      <c r="F861" s="29"/>
      <c r="G861" s="30">
        <f t="shared" si="16"/>
        <v>1737.0197802469111</v>
      </c>
    </row>
    <row r="862" spans="1:7" hidden="1" x14ac:dyDescent="0.25">
      <c r="A862" s="28">
        <v>43525</v>
      </c>
      <c r="B862" s="27" t="s">
        <v>200</v>
      </c>
      <c r="C862" s="27" t="s">
        <v>56</v>
      </c>
      <c r="D862" s="27" t="s">
        <v>6</v>
      </c>
      <c r="E862" s="27" t="s">
        <v>12</v>
      </c>
      <c r="F862" s="29"/>
      <c r="G862" s="30">
        <f t="shared" si="16"/>
        <v>1737.0197802469111</v>
      </c>
    </row>
    <row r="863" spans="1:7" hidden="1" x14ac:dyDescent="0.25">
      <c r="A863" s="28">
        <v>43525</v>
      </c>
      <c r="B863" s="27" t="s">
        <v>200</v>
      </c>
      <c r="C863" s="27" t="s">
        <v>56</v>
      </c>
      <c r="D863" s="27" t="s">
        <v>6</v>
      </c>
      <c r="E863" s="27" t="s">
        <v>13</v>
      </c>
      <c r="F863" s="29"/>
      <c r="G863" s="30">
        <f t="shared" si="16"/>
        <v>1737.0197802469111</v>
      </c>
    </row>
    <row r="864" spans="1:7" hidden="1" x14ac:dyDescent="0.25">
      <c r="A864" s="28">
        <v>43525</v>
      </c>
      <c r="B864" s="27" t="s">
        <v>200</v>
      </c>
      <c r="C864" s="27" t="s">
        <v>56</v>
      </c>
      <c r="D864" s="27" t="s">
        <v>6</v>
      </c>
      <c r="E864" s="27" t="s">
        <v>14</v>
      </c>
      <c r="F864" s="29"/>
      <c r="G864" s="30">
        <f t="shared" si="16"/>
        <v>1737.0197802469111</v>
      </c>
    </row>
    <row r="865" spans="1:7" hidden="1" x14ac:dyDescent="0.25">
      <c r="A865" s="28">
        <v>43525</v>
      </c>
      <c r="B865" s="27" t="s">
        <v>200</v>
      </c>
      <c r="C865" s="27" t="s">
        <v>56</v>
      </c>
      <c r="D865" s="27" t="s">
        <v>6</v>
      </c>
      <c r="E865" s="27" t="s">
        <v>15</v>
      </c>
      <c r="F865" s="29"/>
      <c r="G865" s="30">
        <f t="shared" si="16"/>
        <v>1737.0197802469111</v>
      </c>
    </row>
    <row r="866" spans="1:7" hidden="1" x14ac:dyDescent="0.25">
      <c r="A866" s="28">
        <v>43525</v>
      </c>
      <c r="B866" s="27" t="s">
        <v>200</v>
      </c>
      <c r="C866" s="27" t="s">
        <v>56</v>
      </c>
      <c r="D866" s="27" t="s">
        <v>6</v>
      </c>
      <c r="E866" s="27" t="s">
        <v>16</v>
      </c>
      <c r="F866" s="29"/>
      <c r="G866" s="30">
        <f t="shared" si="16"/>
        <v>1737.0197802469111</v>
      </c>
    </row>
    <row r="867" spans="1:7" hidden="1" x14ac:dyDescent="0.25">
      <c r="A867" s="28">
        <v>43525</v>
      </c>
      <c r="B867" s="27" t="s">
        <v>200</v>
      </c>
      <c r="C867" s="27" t="s">
        <v>56</v>
      </c>
      <c r="D867" s="27" t="s">
        <v>6</v>
      </c>
      <c r="E867" s="27" t="s">
        <v>17</v>
      </c>
      <c r="F867" s="29"/>
      <c r="G867" s="30">
        <f t="shared" si="16"/>
        <v>1737.0197802469111</v>
      </c>
    </row>
    <row r="868" spans="1:7" hidden="1" x14ac:dyDescent="0.25">
      <c r="A868" s="28">
        <v>43525</v>
      </c>
      <c r="B868" s="27" t="s">
        <v>200</v>
      </c>
      <c r="C868" s="27" t="s">
        <v>56</v>
      </c>
      <c r="D868" s="27" t="s">
        <v>6</v>
      </c>
      <c r="E868" s="27" t="s">
        <v>18</v>
      </c>
      <c r="F868" s="29"/>
      <c r="G868" s="30">
        <f t="shared" si="16"/>
        <v>1737.0197802469111</v>
      </c>
    </row>
    <row r="869" spans="1:7" hidden="1" x14ac:dyDescent="0.25">
      <c r="A869" s="28">
        <v>43525</v>
      </c>
      <c r="B869" s="27" t="s">
        <v>200</v>
      </c>
      <c r="C869" s="27" t="s">
        <v>56</v>
      </c>
      <c r="D869" s="27" t="s">
        <v>6</v>
      </c>
      <c r="E869" s="27" t="s">
        <v>19</v>
      </c>
      <c r="F869" s="29"/>
      <c r="G869" s="30">
        <f t="shared" si="16"/>
        <v>1737.0197802469111</v>
      </c>
    </row>
    <row r="870" spans="1:7" hidden="1" x14ac:dyDescent="0.25">
      <c r="A870" s="28">
        <v>43525</v>
      </c>
      <c r="B870" s="27" t="s">
        <v>200</v>
      </c>
      <c r="C870" s="27" t="s">
        <v>56</v>
      </c>
      <c r="D870" s="27" t="s">
        <v>6</v>
      </c>
      <c r="E870" s="27" t="s">
        <v>20</v>
      </c>
      <c r="F870" s="29"/>
      <c r="G870" s="30">
        <f t="shared" si="16"/>
        <v>1737.0197802469111</v>
      </c>
    </row>
    <row r="871" spans="1:7" hidden="1" x14ac:dyDescent="0.25">
      <c r="A871" s="28">
        <v>43525</v>
      </c>
      <c r="B871" s="27" t="s">
        <v>200</v>
      </c>
      <c r="C871" s="27" t="s">
        <v>56</v>
      </c>
      <c r="D871" s="27" t="s">
        <v>6</v>
      </c>
      <c r="E871" s="27" t="s">
        <v>204</v>
      </c>
      <c r="F871" s="29"/>
      <c r="G871" s="30">
        <f t="shared" si="16"/>
        <v>1737.0197802469111</v>
      </c>
    </row>
    <row r="872" spans="1:7" hidden="1" x14ac:dyDescent="0.25">
      <c r="A872" s="28">
        <v>43525</v>
      </c>
      <c r="B872" s="27" t="s">
        <v>200</v>
      </c>
      <c r="C872" s="27" t="s">
        <v>56</v>
      </c>
      <c r="D872" s="27" t="s">
        <v>6</v>
      </c>
      <c r="E872" s="27" t="s">
        <v>205</v>
      </c>
      <c r="F872" s="29"/>
      <c r="G872" s="30">
        <f t="shared" si="16"/>
        <v>1737.0197802469111</v>
      </c>
    </row>
    <row r="873" spans="1:7" hidden="1" x14ac:dyDescent="0.25">
      <c r="A873" s="28">
        <v>43525</v>
      </c>
      <c r="B873" s="27" t="s">
        <v>200</v>
      </c>
      <c r="C873" s="27" t="s">
        <v>182</v>
      </c>
      <c r="D873" s="27" t="s">
        <v>7</v>
      </c>
      <c r="E873" s="27" t="s">
        <v>9</v>
      </c>
      <c r="F873" s="29"/>
      <c r="G873" s="30">
        <f t="shared" ref="G873:G888" si="17">7102.25/16</f>
        <v>443.890625</v>
      </c>
    </row>
    <row r="874" spans="1:7" hidden="1" x14ac:dyDescent="0.25">
      <c r="A874" s="28">
        <v>43525</v>
      </c>
      <c r="B874" s="27" t="s">
        <v>200</v>
      </c>
      <c r="C874" s="27" t="s">
        <v>182</v>
      </c>
      <c r="D874" s="27" t="s">
        <v>7</v>
      </c>
      <c r="E874" s="27" t="s">
        <v>64</v>
      </c>
      <c r="F874" s="29"/>
      <c r="G874" s="30">
        <f t="shared" si="17"/>
        <v>443.890625</v>
      </c>
    </row>
    <row r="875" spans="1:7" hidden="1" x14ac:dyDescent="0.25">
      <c r="A875" s="28">
        <v>43525</v>
      </c>
      <c r="B875" s="27" t="s">
        <v>200</v>
      </c>
      <c r="C875" s="27" t="s">
        <v>182</v>
      </c>
      <c r="D875" s="27" t="s">
        <v>7</v>
      </c>
      <c r="E875" s="27" t="s">
        <v>21</v>
      </c>
      <c r="F875" s="29"/>
      <c r="G875" s="30">
        <f t="shared" si="17"/>
        <v>443.890625</v>
      </c>
    </row>
    <row r="876" spans="1:7" hidden="1" x14ac:dyDescent="0.25">
      <c r="A876" s="28">
        <v>43525</v>
      </c>
      <c r="B876" s="27" t="s">
        <v>200</v>
      </c>
      <c r="C876" s="27" t="s">
        <v>182</v>
      </c>
      <c r="D876" s="27" t="s">
        <v>7</v>
      </c>
      <c r="E876" s="27" t="s">
        <v>21</v>
      </c>
      <c r="F876" s="29"/>
      <c r="G876" s="30">
        <f t="shared" si="17"/>
        <v>443.890625</v>
      </c>
    </row>
    <row r="877" spans="1:7" hidden="1" x14ac:dyDescent="0.25">
      <c r="A877" s="28">
        <v>43525</v>
      </c>
      <c r="B877" s="27" t="s">
        <v>200</v>
      </c>
      <c r="C877" s="27" t="s">
        <v>182</v>
      </c>
      <c r="D877" s="27" t="s">
        <v>7</v>
      </c>
      <c r="E877" s="27" t="s">
        <v>10</v>
      </c>
      <c r="F877" s="29"/>
      <c r="G877" s="30">
        <f t="shared" si="17"/>
        <v>443.890625</v>
      </c>
    </row>
    <row r="878" spans="1:7" hidden="1" x14ac:dyDescent="0.25">
      <c r="A878" s="28">
        <v>43525</v>
      </c>
      <c r="B878" s="27" t="s">
        <v>200</v>
      </c>
      <c r="C878" s="27" t="s">
        <v>182</v>
      </c>
      <c r="D878" s="27" t="s">
        <v>7</v>
      </c>
      <c r="E878" s="27" t="s">
        <v>11</v>
      </c>
      <c r="F878" s="29"/>
      <c r="G878" s="30">
        <f t="shared" si="17"/>
        <v>443.890625</v>
      </c>
    </row>
    <row r="879" spans="1:7" hidden="1" x14ac:dyDescent="0.25">
      <c r="A879" s="28">
        <v>43525</v>
      </c>
      <c r="B879" s="27" t="s">
        <v>200</v>
      </c>
      <c r="C879" s="27" t="s">
        <v>182</v>
      </c>
      <c r="D879" s="27" t="s">
        <v>7</v>
      </c>
      <c r="E879" s="27" t="s">
        <v>12</v>
      </c>
      <c r="F879" s="29"/>
      <c r="G879" s="30">
        <f t="shared" si="17"/>
        <v>443.890625</v>
      </c>
    </row>
    <row r="880" spans="1:7" hidden="1" x14ac:dyDescent="0.25">
      <c r="A880" s="28">
        <v>43525</v>
      </c>
      <c r="B880" s="27" t="s">
        <v>200</v>
      </c>
      <c r="C880" s="27" t="s">
        <v>182</v>
      </c>
      <c r="D880" s="27" t="s">
        <v>7</v>
      </c>
      <c r="E880" s="27" t="s">
        <v>13</v>
      </c>
      <c r="F880" s="29"/>
      <c r="G880" s="30">
        <f t="shared" si="17"/>
        <v>443.890625</v>
      </c>
    </row>
    <row r="881" spans="1:7" hidden="1" x14ac:dyDescent="0.25">
      <c r="A881" s="28">
        <v>43525</v>
      </c>
      <c r="B881" s="27" t="s">
        <v>200</v>
      </c>
      <c r="C881" s="27" t="s">
        <v>182</v>
      </c>
      <c r="D881" s="27" t="s">
        <v>7</v>
      </c>
      <c r="E881" s="27" t="s">
        <v>14</v>
      </c>
      <c r="F881" s="29"/>
      <c r="G881" s="30">
        <f t="shared" si="17"/>
        <v>443.890625</v>
      </c>
    </row>
    <row r="882" spans="1:7" hidden="1" x14ac:dyDescent="0.25">
      <c r="A882" s="28">
        <v>43525</v>
      </c>
      <c r="B882" s="27" t="s">
        <v>200</v>
      </c>
      <c r="C882" s="27" t="s">
        <v>182</v>
      </c>
      <c r="D882" s="27" t="s">
        <v>7</v>
      </c>
      <c r="E882" s="27" t="s">
        <v>15</v>
      </c>
      <c r="F882" s="29"/>
      <c r="G882" s="30">
        <f t="shared" si="17"/>
        <v>443.890625</v>
      </c>
    </row>
    <row r="883" spans="1:7" hidden="1" x14ac:dyDescent="0.25">
      <c r="A883" s="28">
        <v>43525</v>
      </c>
      <c r="B883" s="27" t="s">
        <v>200</v>
      </c>
      <c r="C883" s="27" t="s">
        <v>182</v>
      </c>
      <c r="D883" s="27" t="s">
        <v>7</v>
      </c>
      <c r="E883" s="27" t="s">
        <v>16</v>
      </c>
      <c r="F883" s="29"/>
      <c r="G883" s="30">
        <f t="shared" si="17"/>
        <v>443.890625</v>
      </c>
    </row>
    <row r="884" spans="1:7" hidden="1" x14ac:dyDescent="0.25">
      <c r="A884" s="28">
        <v>43525</v>
      </c>
      <c r="B884" s="27" t="s">
        <v>200</v>
      </c>
      <c r="C884" s="27" t="s">
        <v>182</v>
      </c>
      <c r="D884" s="27" t="s">
        <v>7</v>
      </c>
      <c r="E884" s="27" t="s">
        <v>17</v>
      </c>
      <c r="F884" s="29"/>
      <c r="G884" s="30">
        <f t="shared" si="17"/>
        <v>443.890625</v>
      </c>
    </row>
    <row r="885" spans="1:7" hidden="1" x14ac:dyDescent="0.25">
      <c r="A885" s="28">
        <v>43525</v>
      </c>
      <c r="B885" s="27" t="s">
        <v>200</v>
      </c>
      <c r="C885" s="27" t="s">
        <v>182</v>
      </c>
      <c r="D885" s="27" t="s">
        <v>7</v>
      </c>
      <c r="E885" s="27" t="s">
        <v>18</v>
      </c>
      <c r="F885" s="29"/>
      <c r="G885" s="30">
        <f t="shared" si="17"/>
        <v>443.890625</v>
      </c>
    </row>
    <row r="886" spans="1:7" hidden="1" x14ac:dyDescent="0.25">
      <c r="A886" s="28">
        <v>43525</v>
      </c>
      <c r="B886" s="27" t="s">
        <v>200</v>
      </c>
      <c r="C886" s="27" t="s">
        <v>182</v>
      </c>
      <c r="D886" s="27" t="s">
        <v>7</v>
      </c>
      <c r="E886" s="27" t="s">
        <v>19</v>
      </c>
      <c r="F886" s="29"/>
      <c r="G886" s="30">
        <f t="shared" si="17"/>
        <v>443.890625</v>
      </c>
    </row>
    <row r="887" spans="1:7" hidden="1" x14ac:dyDescent="0.25">
      <c r="A887" s="28">
        <v>43525</v>
      </c>
      <c r="B887" s="27" t="s">
        <v>200</v>
      </c>
      <c r="C887" s="27" t="s">
        <v>182</v>
      </c>
      <c r="D887" s="27" t="s">
        <v>7</v>
      </c>
      <c r="E887" s="27" t="s">
        <v>20</v>
      </c>
      <c r="F887" s="29"/>
      <c r="G887" s="30">
        <f t="shared" si="17"/>
        <v>443.890625</v>
      </c>
    </row>
    <row r="888" spans="1:7" hidden="1" x14ac:dyDescent="0.25">
      <c r="A888" s="28">
        <v>43525</v>
      </c>
      <c r="B888" s="27" t="s">
        <v>200</v>
      </c>
      <c r="C888" s="27" t="s">
        <v>182</v>
      </c>
      <c r="D888" s="27" t="s">
        <v>7</v>
      </c>
      <c r="E888" s="27" t="s">
        <v>204</v>
      </c>
      <c r="F888" s="29"/>
      <c r="G888" s="30">
        <f t="shared" si="17"/>
        <v>443.890625</v>
      </c>
    </row>
    <row r="889" spans="1:7" hidden="1" x14ac:dyDescent="0.25">
      <c r="A889" s="28">
        <v>43525</v>
      </c>
      <c r="B889" s="27" t="s">
        <v>35</v>
      </c>
      <c r="C889" s="27" t="s">
        <v>50</v>
      </c>
      <c r="D889" s="27" t="s">
        <v>6</v>
      </c>
      <c r="E889" s="27" t="s">
        <v>8</v>
      </c>
      <c r="F889" s="29"/>
      <c r="G889" s="30">
        <v>457.92312500000003</v>
      </c>
    </row>
    <row r="890" spans="1:7" hidden="1" x14ac:dyDescent="0.25">
      <c r="A890" s="28">
        <v>43525</v>
      </c>
      <c r="B890" s="27" t="s">
        <v>35</v>
      </c>
      <c r="C890" s="27" t="s">
        <v>50</v>
      </c>
      <c r="D890" s="27" t="s">
        <v>6</v>
      </c>
      <c r="E890" s="27" t="s">
        <v>9</v>
      </c>
      <c r="F890" s="29"/>
      <c r="G890" s="30">
        <v>457.92312500000003</v>
      </c>
    </row>
    <row r="891" spans="1:7" hidden="1" x14ac:dyDescent="0.25">
      <c r="A891" s="28">
        <v>43525</v>
      </c>
      <c r="B891" s="27" t="s">
        <v>35</v>
      </c>
      <c r="C891" s="27" t="s">
        <v>50</v>
      </c>
      <c r="D891" s="27" t="s">
        <v>6</v>
      </c>
      <c r="E891" s="27" t="s">
        <v>64</v>
      </c>
      <c r="F891" s="29"/>
      <c r="G891" s="30">
        <v>457.92312500000003</v>
      </c>
    </row>
    <row r="892" spans="1:7" hidden="1" x14ac:dyDescent="0.25">
      <c r="A892" s="28">
        <v>43525</v>
      </c>
      <c r="B892" s="27" t="s">
        <v>35</v>
      </c>
      <c r="C892" s="27" t="s">
        <v>50</v>
      </c>
      <c r="D892" s="27" t="s">
        <v>6</v>
      </c>
      <c r="E892" s="27" t="s">
        <v>21</v>
      </c>
      <c r="F892" s="29"/>
      <c r="G892" s="30">
        <v>457.92312500000003</v>
      </c>
    </row>
    <row r="893" spans="1:7" hidden="1" x14ac:dyDescent="0.25">
      <c r="A893" s="28">
        <v>43525</v>
      </c>
      <c r="B893" s="27" t="s">
        <v>35</v>
      </c>
      <c r="C893" s="27" t="s">
        <v>50</v>
      </c>
      <c r="D893" s="27" t="s">
        <v>6</v>
      </c>
      <c r="E893" s="27" t="s">
        <v>21</v>
      </c>
      <c r="F893" s="29"/>
      <c r="G893" s="30">
        <v>457.92312500000003</v>
      </c>
    </row>
    <row r="894" spans="1:7" hidden="1" x14ac:dyDescent="0.25">
      <c r="A894" s="28">
        <v>43525</v>
      </c>
      <c r="B894" s="27" t="s">
        <v>35</v>
      </c>
      <c r="C894" s="27" t="s">
        <v>50</v>
      </c>
      <c r="D894" s="27" t="s">
        <v>6</v>
      </c>
      <c r="E894" s="27" t="s">
        <v>10</v>
      </c>
      <c r="F894" s="29"/>
      <c r="G894" s="30">
        <v>457.92312500000003</v>
      </c>
    </row>
    <row r="895" spans="1:7" hidden="1" x14ac:dyDescent="0.25">
      <c r="A895" s="28">
        <v>43525</v>
      </c>
      <c r="B895" s="27" t="s">
        <v>35</v>
      </c>
      <c r="C895" s="27" t="s">
        <v>50</v>
      </c>
      <c r="D895" s="27" t="s">
        <v>6</v>
      </c>
      <c r="E895" s="27" t="s">
        <v>11</v>
      </c>
      <c r="F895" s="29"/>
      <c r="G895" s="30">
        <v>457.92312500000003</v>
      </c>
    </row>
    <row r="896" spans="1:7" hidden="1" x14ac:dyDescent="0.25">
      <c r="A896" s="28">
        <v>43525</v>
      </c>
      <c r="B896" s="27" t="s">
        <v>35</v>
      </c>
      <c r="C896" s="27" t="s">
        <v>50</v>
      </c>
      <c r="D896" s="27" t="s">
        <v>6</v>
      </c>
      <c r="E896" s="27" t="s">
        <v>12</v>
      </c>
      <c r="F896" s="29"/>
      <c r="G896" s="30">
        <v>457.92312500000003</v>
      </c>
    </row>
    <row r="897" spans="1:7" hidden="1" x14ac:dyDescent="0.25">
      <c r="A897" s="28">
        <v>43525</v>
      </c>
      <c r="B897" s="27" t="s">
        <v>35</v>
      </c>
      <c r="C897" s="27" t="s">
        <v>50</v>
      </c>
      <c r="D897" s="27" t="s">
        <v>6</v>
      </c>
      <c r="E897" s="27" t="s">
        <v>13</v>
      </c>
      <c r="F897" s="29"/>
      <c r="G897" s="30">
        <v>457.92312500000003</v>
      </c>
    </row>
    <row r="898" spans="1:7" hidden="1" x14ac:dyDescent="0.25">
      <c r="A898" s="28">
        <v>43525</v>
      </c>
      <c r="B898" s="27" t="s">
        <v>35</v>
      </c>
      <c r="C898" s="27" t="s">
        <v>50</v>
      </c>
      <c r="D898" s="27" t="s">
        <v>6</v>
      </c>
      <c r="E898" s="27" t="s">
        <v>14</v>
      </c>
      <c r="F898" s="29"/>
      <c r="G898" s="30">
        <v>457.92312500000003</v>
      </c>
    </row>
    <row r="899" spans="1:7" hidden="1" x14ac:dyDescent="0.25">
      <c r="A899" s="28">
        <v>43525</v>
      </c>
      <c r="B899" s="27" t="s">
        <v>35</v>
      </c>
      <c r="C899" s="27" t="s">
        <v>50</v>
      </c>
      <c r="D899" s="27" t="s">
        <v>6</v>
      </c>
      <c r="E899" s="27" t="s">
        <v>15</v>
      </c>
      <c r="F899" s="29"/>
      <c r="G899" s="30">
        <v>457.92312500000003</v>
      </c>
    </row>
    <row r="900" spans="1:7" hidden="1" x14ac:dyDescent="0.25">
      <c r="A900" s="28">
        <v>43525</v>
      </c>
      <c r="B900" s="27" t="s">
        <v>35</v>
      </c>
      <c r="C900" s="27" t="s">
        <v>50</v>
      </c>
      <c r="D900" s="27" t="s">
        <v>6</v>
      </c>
      <c r="E900" s="27" t="s">
        <v>16</v>
      </c>
      <c r="F900" s="29"/>
      <c r="G900" s="30">
        <v>457.92312500000003</v>
      </c>
    </row>
    <row r="901" spans="1:7" hidden="1" x14ac:dyDescent="0.25">
      <c r="A901" s="28">
        <v>43525</v>
      </c>
      <c r="B901" s="27" t="s">
        <v>35</v>
      </c>
      <c r="C901" s="27" t="s">
        <v>50</v>
      </c>
      <c r="D901" s="27" t="s">
        <v>6</v>
      </c>
      <c r="E901" s="27" t="s">
        <v>17</v>
      </c>
      <c r="F901" s="29"/>
      <c r="G901" s="30">
        <v>457.92312500000003</v>
      </c>
    </row>
    <row r="902" spans="1:7" hidden="1" x14ac:dyDescent="0.25">
      <c r="A902" s="28">
        <v>43525</v>
      </c>
      <c r="B902" s="27" t="s">
        <v>35</v>
      </c>
      <c r="C902" s="27" t="s">
        <v>50</v>
      </c>
      <c r="D902" s="27" t="s">
        <v>6</v>
      </c>
      <c r="E902" s="27" t="s">
        <v>18</v>
      </c>
      <c r="F902" s="29"/>
      <c r="G902" s="30">
        <v>457.92312500000003</v>
      </c>
    </row>
    <row r="903" spans="1:7" hidden="1" x14ac:dyDescent="0.25">
      <c r="A903" s="28">
        <v>43525</v>
      </c>
      <c r="B903" s="27" t="s">
        <v>35</v>
      </c>
      <c r="C903" s="27" t="s">
        <v>50</v>
      </c>
      <c r="D903" s="27" t="s">
        <v>6</v>
      </c>
      <c r="E903" s="27" t="s">
        <v>19</v>
      </c>
      <c r="F903" s="29"/>
      <c r="G903" s="30">
        <v>457.92312500000003</v>
      </c>
    </row>
    <row r="904" spans="1:7" hidden="1" x14ac:dyDescent="0.25">
      <c r="A904" s="28">
        <v>43525</v>
      </c>
      <c r="B904" s="27" t="s">
        <v>35</v>
      </c>
      <c r="C904" s="27" t="s">
        <v>50</v>
      </c>
      <c r="D904" s="27" t="s">
        <v>6</v>
      </c>
      <c r="E904" s="27" t="s">
        <v>20</v>
      </c>
      <c r="F904" s="29"/>
      <c r="G904" s="30">
        <v>457.92312500000003</v>
      </c>
    </row>
    <row r="905" spans="1:7" hidden="1" x14ac:dyDescent="0.25">
      <c r="A905" s="28">
        <v>43525</v>
      </c>
      <c r="B905" s="27" t="s">
        <v>34</v>
      </c>
      <c r="C905" s="27" t="s">
        <v>50</v>
      </c>
      <c r="D905" s="27" t="s">
        <v>6</v>
      </c>
      <c r="E905" s="27" t="s">
        <v>8</v>
      </c>
      <c r="F905" s="29"/>
      <c r="G905" s="30">
        <v>552.0533333333334</v>
      </c>
    </row>
    <row r="906" spans="1:7" hidden="1" x14ac:dyDescent="0.25">
      <c r="A906" s="28">
        <v>43525</v>
      </c>
      <c r="B906" s="27" t="s">
        <v>34</v>
      </c>
      <c r="C906" s="27" t="s">
        <v>50</v>
      </c>
      <c r="D906" s="27" t="s">
        <v>6</v>
      </c>
      <c r="E906" s="27" t="s">
        <v>9</v>
      </c>
      <c r="F906" s="29"/>
      <c r="G906" s="30">
        <v>864.49749999999995</v>
      </c>
    </row>
    <row r="907" spans="1:7" hidden="1" x14ac:dyDescent="0.25">
      <c r="A907" s="28">
        <v>43525</v>
      </c>
      <c r="B907" s="27" t="s">
        <v>34</v>
      </c>
      <c r="C907" s="27" t="s">
        <v>50</v>
      </c>
      <c r="D907" s="27" t="s">
        <v>6</v>
      </c>
      <c r="E907" s="27" t="s">
        <v>64</v>
      </c>
      <c r="F907" s="29"/>
      <c r="G907" s="30">
        <v>698.10416666666663</v>
      </c>
    </row>
    <row r="908" spans="1:7" hidden="1" x14ac:dyDescent="0.25">
      <c r="A908" s="28">
        <v>43525</v>
      </c>
      <c r="B908" s="27" t="s">
        <v>34</v>
      </c>
      <c r="C908" s="27" t="s">
        <v>50</v>
      </c>
      <c r="D908" s="27" t="s">
        <v>6</v>
      </c>
      <c r="E908" s="27" t="s">
        <v>21</v>
      </c>
      <c r="F908" s="29"/>
      <c r="G908" s="30">
        <v>985.48500000000001</v>
      </c>
    </row>
    <row r="909" spans="1:7" hidden="1" x14ac:dyDescent="0.25">
      <c r="A909" s="28">
        <v>43525</v>
      </c>
      <c r="B909" s="27" t="s">
        <v>34</v>
      </c>
      <c r="C909" s="27" t="s">
        <v>50</v>
      </c>
      <c r="D909" s="27" t="s">
        <v>6</v>
      </c>
      <c r="E909" s="27" t="s">
        <v>21</v>
      </c>
      <c r="F909" s="29"/>
      <c r="G909" s="30">
        <v>656.62166666666667</v>
      </c>
    </row>
    <row r="910" spans="1:7" hidden="1" x14ac:dyDescent="0.25">
      <c r="A910" s="28">
        <v>43525</v>
      </c>
      <c r="B910" s="27" t="s">
        <v>34</v>
      </c>
      <c r="C910" s="27" t="s">
        <v>50</v>
      </c>
      <c r="D910" s="27" t="s">
        <v>6</v>
      </c>
      <c r="E910" s="27" t="s">
        <v>10</v>
      </c>
      <c r="F910" s="29"/>
      <c r="G910" s="30">
        <v>832.49083333333328</v>
      </c>
    </row>
    <row r="911" spans="1:7" hidden="1" x14ac:dyDescent="0.25">
      <c r="A911" s="28">
        <v>43525</v>
      </c>
      <c r="B911" s="27" t="s">
        <v>34</v>
      </c>
      <c r="C911" s="27" t="s">
        <v>50</v>
      </c>
      <c r="D911" s="27" t="s">
        <v>6</v>
      </c>
      <c r="E911" s="27" t="s">
        <v>11</v>
      </c>
      <c r="F911" s="29"/>
      <c r="G911" s="30">
        <v>418.92500000000001</v>
      </c>
    </row>
    <row r="912" spans="1:7" hidden="1" x14ac:dyDescent="0.25">
      <c r="A912" s="28">
        <v>43525</v>
      </c>
      <c r="B912" s="27" t="s">
        <v>34</v>
      </c>
      <c r="C912" s="27" t="s">
        <v>50</v>
      </c>
      <c r="D912" s="27" t="s">
        <v>6</v>
      </c>
      <c r="E912" s="27" t="s">
        <v>12</v>
      </c>
      <c r="F912" s="29"/>
      <c r="G912" s="30">
        <v>388.7</v>
      </c>
    </row>
    <row r="913" spans="1:7" hidden="1" x14ac:dyDescent="0.25">
      <c r="A913" s="28">
        <v>43525</v>
      </c>
      <c r="B913" s="27" t="s">
        <v>34</v>
      </c>
      <c r="C913" s="27" t="s">
        <v>50</v>
      </c>
      <c r="D913" s="27" t="s">
        <v>6</v>
      </c>
      <c r="E913" s="27" t="s">
        <v>13</v>
      </c>
      <c r="F913" s="29"/>
      <c r="G913" s="30">
        <v>537.06416666666667</v>
      </c>
    </row>
    <row r="914" spans="1:7" hidden="1" x14ac:dyDescent="0.25">
      <c r="A914" s="28">
        <v>43525</v>
      </c>
      <c r="B914" s="27" t="s">
        <v>34</v>
      </c>
      <c r="C914" s="27" t="s">
        <v>50</v>
      </c>
      <c r="D914" s="27" t="s">
        <v>6</v>
      </c>
      <c r="E914" s="27" t="s">
        <v>14</v>
      </c>
      <c r="F914" s="29"/>
      <c r="G914" s="30">
        <v>165.58333333333334</v>
      </c>
    </row>
    <row r="915" spans="1:7" hidden="1" x14ac:dyDescent="0.25">
      <c r="A915" s="28">
        <v>43525</v>
      </c>
      <c r="B915" s="27" t="s">
        <v>34</v>
      </c>
      <c r="C915" s="27" t="s">
        <v>50</v>
      </c>
      <c r="D915" s="27" t="s">
        <v>6</v>
      </c>
      <c r="E915" s="27" t="s">
        <v>15</v>
      </c>
      <c r="F915" s="29"/>
      <c r="G915" s="30">
        <v>409.28999999999996</v>
      </c>
    </row>
    <row r="916" spans="1:7" hidden="1" x14ac:dyDescent="0.25">
      <c r="A916" s="28">
        <v>43525</v>
      </c>
      <c r="B916" s="27" t="s">
        <v>34</v>
      </c>
      <c r="C916" s="27" t="s">
        <v>50</v>
      </c>
      <c r="D916" s="27" t="s">
        <v>6</v>
      </c>
      <c r="E916" s="27" t="s">
        <v>16</v>
      </c>
      <c r="F916" s="29"/>
      <c r="G916" s="30">
        <v>657.78499999999997</v>
      </c>
    </row>
    <row r="917" spans="1:7" hidden="1" x14ac:dyDescent="0.25">
      <c r="A917" s="28">
        <v>43525</v>
      </c>
      <c r="B917" s="27" t="s">
        <v>34</v>
      </c>
      <c r="C917" s="27" t="s">
        <v>50</v>
      </c>
      <c r="D917" s="27" t="s">
        <v>6</v>
      </c>
      <c r="E917" s="27" t="s">
        <v>17</v>
      </c>
      <c r="F917" s="29"/>
      <c r="G917" s="30">
        <v>835.00750000000005</v>
      </c>
    </row>
    <row r="918" spans="1:7" hidden="1" x14ac:dyDescent="0.25">
      <c r="A918" s="28">
        <v>43525</v>
      </c>
      <c r="B918" s="27" t="s">
        <v>34</v>
      </c>
      <c r="C918" s="27" t="s">
        <v>50</v>
      </c>
      <c r="D918" s="27" t="s">
        <v>6</v>
      </c>
      <c r="E918" s="27" t="s">
        <v>18</v>
      </c>
      <c r="F918" s="29"/>
      <c r="G918" s="30">
        <v>369.30749999999995</v>
      </c>
    </row>
    <row r="919" spans="1:7" hidden="1" x14ac:dyDescent="0.25">
      <c r="A919" s="28">
        <v>43525</v>
      </c>
      <c r="B919" s="27" t="s">
        <v>34</v>
      </c>
      <c r="C919" s="27" t="s">
        <v>50</v>
      </c>
      <c r="D919" s="27" t="s">
        <v>6</v>
      </c>
      <c r="E919" s="27" t="s">
        <v>19</v>
      </c>
      <c r="F919" s="29"/>
      <c r="G919" s="30">
        <v>289.51</v>
      </c>
    </row>
    <row r="920" spans="1:7" hidden="1" x14ac:dyDescent="0.25">
      <c r="A920" s="28">
        <v>43525</v>
      </c>
      <c r="B920" s="27" t="s">
        <v>34</v>
      </c>
      <c r="C920" s="27" t="s">
        <v>50</v>
      </c>
      <c r="D920" s="27" t="s">
        <v>6</v>
      </c>
      <c r="E920" s="27" t="s">
        <v>20</v>
      </c>
      <c r="F920" s="29"/>
      <c r="G920" s="30">
        <v>550.26900000000001</v>
      </c>
    </row>
    <row r="921" spans="1:7" hidden="1" x14ac:dyDescent="0.25">
      <c r="A921" s="28">
        <v>43525</v>
      </c>
      <c r="B921" s="27" t="s">
        <v>34</v>
      </c>
      <c r="C921" s="27" t="s">
        <v>50</v>
      </c>
      <c r="D921" s="27" t="s">
        <v>6</v>
      </c>
      <c r="E921" s="27" t="s">
        <v>204</v>
      </c>
      <c r="F921" s="29"/>
      <c r="G921" s="30">
        <v>164.41666666666666</v>
      </c>
    </row>
    <row r="922" spans="1:7" hidden="1" x14ac:dyDescent="0.25">
      <c r="A922" s="28">
        <v>43556</v>
      </c>
      <c r="B922" s="27" t="s">
        <v>33</v>
      </c>
      <c r="C922" s="27" t="s">
        <v>50</v>
      </c>
      <c r="D922" s="27" t="s">
        <v>7</v>
      </c>
      <c r="E922" s="27" t="s">
        <v>8</v>
      </c>
      <c r="F922" s="29"/>
      <c r="G922" s="30">
        <v>2844.734705882353</v>
      </c>
    </row>
    <row r="923" spans="1:7" hidden="1" x14ac:dyDescent="0.25">
      <c r="A923" s="28">
        <v>43556</v>
      </c>
      <c r="B923" s="27" t="s">
        <v>33</v>
      </c>
      <c r="C923" s="27" t="s">
        <v>50</v>
      </c>
      <c r="D923" s="27" t="s">
        <v>7</v>
      </c>
      <c r="E923" s="27" t="s">
        <v>9</v>
      </c>
      <c r="F923" s="29"/>
      <c r="G923" s="30">
        <v>2844.734705882353</v>
      </c>
    </row>
    <row r="924" spans="1:7" hidden="1" x14ac:dyDescent="0.25">
      <c r="A924" s="28">
        <v>43556</v>
      </c>
      <c r="B924" s="27" t="s">
        <v>33</v>
      </c>
      <c r="C924" s="27" t="s">
        <v>50</v>
      </c>
      <c r="D924" s="27" t="s">
        <v>7</v>
      </c>
      <c r="E924" s="27" t="s">
        <v>64</v>
      </c>
      <c r="F924" s="29"/>
      <c r="G924" s="30">
        <v>2844.734705882353</v>
      </c>
    </row>
    <row r="925" spans="1:7" hidden="1" x14ac:dyDescent="0.25">
      <c r="A925" s="28">
        <v>43556</v>
      </c>
      <c r="B925" s="27" t="s">
        <v>33</v>
      </c>
      <c r="C925" s="27" t="s">
        <v>50</v>
      </c>
      <c r="D925" s="27" t="s">
        <v>7</v>
      </c>
      <c r="E925" s="27" t="s">
        <v>21</v>
      </c>
      <c r="F925" s="29"/>
      <c r="G925" s="30">
        <v>2844.734705882353</v>
      </c>
    </row>
    <row r="926" spans="1:7" hidden="1" x14ac:dyDescent="0.25">
      <c r="A926" s="28">
        <v>43556</v>
      </c>
      <c r="B926" s="27" t="s">
        <v>33</v>
      </c>
      <c r="C926" s="27" t="s">
        <v>50</v>
      </c>
      <c r="D926" s="27" t="s">
        <v>7</v>
      </c>
      <c r="E926" s="27" t="s">
        <v>21</v>
      </c>
      <c r="F926" s="29"/>
      <c r="G926" s="30">
        <v>2844.734705882353</v>
      </c>
    </row>
    <row r="927" spans="1:7" hidden="1" x14ac:dyDescent="0.25">
      <c r="A927" s="28">
        <v>43556</v>
      </c>
      <c r="B927" s="27" t="s">
        <v>33</v>
      </c>
      <c r="C927" s="27" t="s">
        <v>50</v>
      </c>
      <c r="D927" s="27" t="s">
        <v>7</v>
      </c>
      <c r="E927" s="27" t="s">
        <v>10</v>
      </c>
      <c r="F927" s="29"/>
      <c r="G927" s="30">
        <v>2844.734705882353</v>
      </c>
    </row>
    <row r="928" spans="1:7" hidden="1" x14ac:dyDescent="0.25">
      <c r="A928" s="28">
        <v>43556</v>
      </c>
      <c r="B928" s="27" t="s">
        <v>33</v>
      </c>
      <c r="C928" s="27" t="s">
        <v>50</v>
      </c>
      <c r="D928" s="27" t="s">
        <v>7</v>
      </c>
      <c r="E928" s="27" t="s">
        <v>11</v>
      </c>
      <c r="F928" s="29"/>
      <c r="G928" s="30">
        <v>2844.734705882353</v>
      </c>
    </row>
    <row r="929" spans="1:7" hidden="1" x14ac:dyDescent="0.25">
      <c r="A929" s="28">
        <v>43556</v>
      </c>
      <c r="B929" s="27" t="s">
        <v>33</v>
      </c>
      <c r="C929" s="27" t="s">
        <v>50</v>
      </c>
      <c r="D929" s="27" t="s">
        <v>7</v>
      </c>
      <c r="E929" s="27" t="s">
        <v>12</v>
      </c>
      <c r="F929" s="29"/>
      <c r="G929" s="30">
        <v>2844.734705882353</v>
      </c>
    </row>
    <row r="930" spans="1:7" hidden="1" x14ac:dyDescent="0.25">
      <c r="A930" s="28">
        <v>43556</v>
      </c>
      <c r="B930" s="27" t="s">
        <v>33</v>
      </c>
      <c r="C930" s="27" t="s">
        <v>50</v>
      </c>
      <c r="D930" s="27" t="s">
        <v>7</v>
      </c>
      <c r="E930" s="27" t="s">
        <v>13</v>
      </c>
      <c r="F930" s="29"/>
      <c r="G930" s="30">
        <v>2844.734705882353</v>
      </c>
    </row>
    <row r="931" spans="1:7" hidden="1" x14ac:dyDescent="0.25">
      <c r="A931" s="28">
        <v>43556</v>
      </c>
      <c r="B931" s="27" t="s">
        <v>33</v>
      </c>
      <c r="C931" s="27" t="s">
        <v>50</v>
      </c>
      <c r="D931" s="27" t="s">
        <v>7</v>
      </c>
      <c r="E931" s="27" t="s">
        <v>14</v>
      </c>
      <c r="F931" s="29"/>
      <c r="G931" s="30">
        <v>2844.734705882353</v>
      </c>
    </row>
    <row r="932" spans="1:7" hidden="1" x14ac:dyDescent="0.25">
      <c r="A932" s="28">
        <v>43556</v>
      </c>
      <c r="B932" s="27" t="s">
        <v>33</v>
      </c>
      <c r="C932" s="27" t="s">
        <v>50</v>
      </c>
      <c r="D932" s="27" t="s">
        <v>7</v>
      </c>
      <c r="E932" s="27" t="s">
        <v>15</v>
      </c>
      <c r="F932" s="29"/>
      <c r="G932" s="30">
        <v>2844.734705882353</v>
      </c>
    </row>
    <row r="933" spans="1:7" hidden="1" x14ac:dyDescent="0.25">
      <c r="A933" s="28">
        <v>43556</v>
      </c>
      <c r="B933" s="27" t="s">
        <v>33</v>
      </c>
      <c r="C933" s="27" t="s">
        <v>50</v>
      </c>
      <c r="D933" s="27" t="s">
        <v>7</v>
      </c>
      <c r="E933" s="27" t="s">
        <v>16</v>
      </c>
      <c r="F933" s="29"/>
      <c r="G933" s="30">
        <v>2844.734705882353</v>
      </c>
    </row>
    <row r="934" spans="1:7" hidden="1" x14ac:dyDescent="0.25">
      <c r="A934" s="28">
        <v>43556</v>
      </c>
      <c r="B934" s="27" t="s">
        <v>33</v>
      </c>
      <c r="C934" s="27" t="s">
        <v>50</v>
      </c>
      <c r="D934" s="27" t="s">
        <v>7</v>
      </c>
      <c r="E934" s="27" t="s">
        <v>17</v>
      </c>
      <c r="F934" s="29"/>
      <c r="G934" s="30">
        <v>2844.734705882353</v>
      </c>
    </row>
    <row r="935" spans="1:7" hidden="1" x14ac:dyDescent="0.25">
      <c r="A935" s="28">
        <v>43556</v>
      </c>
      <c r="B935" s="27" t="s">
        <v>33</v>
      </c>
      <c r="C935" s="27" t="s">
        <v>50</v>
      </c>
      <c r="D935" s="27" t="s">
        <v>7</v>
      </c>
      <c r="E935" s="27" t="s">
        <v>18</v>
      </c>
      <c r="F935" s="29"/>
      <c r="G935" s="30">
        <v>2844.734705882353</v>
      </c>
    </row>
    <row r="936" spans="1:7" hidden="1" x14ac:dyDescent="0.25">
      <c r="A936" s="28">
        <v>43556</v>
      </c>
      <c r="B936" s="27" t="s">
        <v>33</v>
      </c>
      <c r="C936" s="27" t="s">
        <v>50</v>
      </c>
      <c r="D936" s="27" t="s">
        <v>7</v>
      </c>
      <c r="E936" s="27" t="s">
        <v>19</v>
      </c>
      <c r="F936" s="29"/>
      <c r="G936" s="30">
        <v>2844.734705882353</v>
      </c>
    </row>
    <row r="937" spans="1:7" hidden="1" x14ac:dyDescent="0.25">
      <c r="A937" s="28">
        <v>43556</v>
      </c>
      <c r="B937" s="27" t="s">
        <v>33</v>
      </c>
      <c r="C937" s="27" t="s">
        <v>50</v>
      </c>
      <c r="D937" s="27" t="s">
        <v>7</v>
      </c>
      <c r="E937" s="27" t="s">
        <v>20</v>
      </c>
      <c r="F937" s="29"/>
      <c r="G937" s="30">
        <v>2844.734705882353</v>
      </c>
    </row>
    <row r="938" spans="1:7" hidden="1" x14ac:dyDescent="0.25">
      <c r="A938" s="28">
        <v>43556</v>
      </c>
      <c r="B938" s="27" t="s">
        <v>33</v>
      </c>
      <c r="C938" s="27" t="s">
        <v>50</v>
      </c>
      <c r="D938" s="27" t="s">
        <v>7</v>
      </c>
      <c r="E938" s="27" t="s">
        <v>37</v>
      </c>
      <c r="F938" s="29"/>
      <c r="G938" s="30">
        <v>2844.734705882353</v>
      </c>
    </row>
    <row r="939" spans="1:7" hidden="1" x14ac:dyDescent="0.25">
      <c r="A939" s="28">
        <v>43556</v>
      </c>
      <c r="B939" s="27" t="s">
        <v>4</v>
      </c>
      <c r="C939" s="27" t="s">
        <v>50</v>
      </c>
      <c r="D939" s="27" t="s">
        <v>7</v>
      </c>
      <c r="E939" s="27" t="s">
        <v>9</v>
      </c>
      <c r="F939" s="29"/>
      <c r="G939" s="30">
        <v>4170.17</v>
      </c>
    </row>
    <row r="940" spans="1:7" hidden="1" x14ac:dyDescent="0.25">
      <c r="A940" s="28">
        <v>43556</v>
      </c>
      <c r="B940" s="27" t="s">
        <v>4</v>
      </c>
      <c r="C940" s="27" t="s">
        <v>50</v>
      </c>
      <c r="D940" s="27" t="s">
        <v>7</v>
      </c>
      <c r="E940" s="27" t="s">
        <v>64</v>
      </c>
      <c r="F940" s="29"/>
      <c r="G940" s="30">
        <v>5605.0300000000007</v>
      </c>
    </row>
    <row r="941" spans="1:7" hidden="1" x14ac:dyDescent="0.25">
      <c r="A941" s="28">
        <v>43556</v>
      </c>
      <c r="B941" s="27" t="s">
        <v>4</v>
      </c>
      <c r="C941" s="27" t="s">
        <v>50</v>
      </c>
      <c r="D941" s="27" t="s">
        <v>7</v>
      </c>
      <c r="E941" s="27" t="s">
        <v>21</v>
      </c>
      <c r="F941" s="29"/>
      <c r="G941" s="30">
        <v>5455.67</v>
      </c>
    </row>
    <row r="942" spans="1:7" hidden="1" x14ac:dyDescent="0.25">
      <c r="A942" s="28">
        <v>43556</v>
      </c>
      <c r="B942" s="27" t="s">
        <v>4</v>
      </c>
      <c r="C942" s="27" t="s">
        <v>50</v>
      </c>
      <c r="D942" s="27" t="s">
        <v>7</v>
      </c>
      <c r="E942" s="27" t="s">
        <v>21</v>
      </c>
      <c r="F942" s="29"/>
      <c r="G942" s="30">
        <v>4373.9599999999991</v>
      </c>
    </row>
    <row r="943" spans="1:7" hidden="1" x14ac:dyDescent="0.25">
      <c r="A943" s="28">
        <v>43556</v>
      </c>
      <c r="B943" s="27" t="s">
        <v>4</v>
      </c>
      <c r="C943" s="27" t="s">
        <v>50</v>
      </c>
      <c r="D943" s="27" t="s">
        <v>7</v>
      </c>
      <c r="E943" s="27" t="s">
        <v>10</v>
      </c>
      <c r="F943" s="29"/>
      <c r="G943" s="30">
        <v>5501.69</v>
      </c>
    </row>
    <row r="944" spans="1:7" hidden="1" x14ac:dyDescent="0.25">
      <c r="A944" s="28">
        <v>43556</v>
      </c>
      <c r="B944" s="27" t="s">
        <v>4</v>
      </c>
      <c r="C944" s="27" t="s">
        <v>50</v>
      </c>
      <c r="D944" s="27" t="s">
        <v>7</v>
      </c>
      <c r="E944" s="27" t="s">
        <v>11</v>
      </c>
      <c r="F944" s="29"/>
      <c r="G944" s="30">
        <v>401.66</v>
      </c>
    </row>
    <row r="945" spans="1:7" hidden="1" x14ac:dyDescent="0.25">
      <c r="A945" s="28">
        <v>43556</v>
      </c>
      <c r="B945" s="27" t="s">
        <v>4</v>
      </c>
      <c r="C945" s="27" t="s">
        <v>50</v>
      </c>
      <c r="D945" s="27" t="s">
        <v>7</v>
      </c>
      <c r="E945" s="27" t="s">
        <v>12</v>
      </c>
      <c r="F945" s="29"/>
      <c r="G945" s="30">
        <v>1886.82</v>
      </c>
    </row>
    <row r="946" spans="1:7" hidden="1" x14ac:dyDescent="0.25">
      <c r="A946" s="28">
        <v>43556</v>
      </c>
      <c r="B946" s="27" t="s">
        <v>4</v>
      </c>
      <c r="C946" s="27" t="s">
        <v>50</v>
      </c>
      <c r="D946" s="27" t="s">
        <v>7</v>
      </c>
      <c r="E946" s="27" t="s">
        <v>13</v>
      </c>
      <c r="F946" s="29"/>
      <c r="G946" s="30">
        <v>6316.01</v>
      </c>
    </row>
    <row r="947" spans="1:7" hidden="1" x14ac:dyDescent="0.25">
      <c r="A947" s="28">
        <v>43556</v>
      </c>
      <c r="B947" s="27" t="s">
        <v>4</v>
      </c>
      <c r="C947" s="27" t="s">
        <v>50</v>
      </c>
      <c r="D947" s="27" t="s">
        <v>7</v>
      </c>
      <c r="E947" s="27" t="s">
        <v>14</v>
      </c>
      <c r="F947" s="29"/>
      <c r="G947" s="30">
        <v>1544.38</v>
      </c>
    </row>
    <row r="948" spans="1:7" hidden="1" x14ac:dyDescent="0.25">
      <c r="A948" s="28">
        <v>43556</v>
      </c>
      <c r="B948" s="27" t="s">
        <v>4</v>
      </c>
      <c r="C948" s="27" t="s">
        <v>50</v>
      </c>
      <c r="D948" s="27" t="s">
        <v>7</v>
      </c>
      <c r="E948" s="27" t="s">
        <v>15</v>
      </c>
      <c r="F948" s="29"/>
      <c r="G948" s="30">
        <v>5110.7499999999991</v>
      </c>
    </row>
    <row r="949" spans="1:7" hidden="1" x14ac:dyDescent="0.25">
      <c r="A949" s="28">
        <v>43556</v>
      </c>
      <c r="B949" s="27" t="s">
        <v>4</v>
      </c>
      <c r="C949" s="27" t="s">
        <v>50</v>
      </c>
      <c r="D949" s="27" t="s">
        <v>7</v>
      </c>
      <c r="E949" s="27" t="s">
        <v>16</v>
      </c>
      <c r="F949" s="29"/>
      <c r="G949" s="30">
        <v>6210.4</v>
      </c>
    </row>
    <row r="950" spans="1:7" hidden="1" x14ac:dyDescent="0.25">
      <c r="A950" s="28">
        <v>43556</v>
      </c>
      <c r="B950" s="27" t="s">
        <v>4</v>
      </c>
      <c r="C950" s="27" t="s">
        <v>50</v>
      </c>
      <c r="D950" s="27" t="s">
        <v>7</v>
      </c>
      <c r="E950" s="27" t="s">
        <v>17</v>
      </c>
      <c r="F950" s="29"/>
      <c r="G950" s="30">
        <v>8207.93</v>
      </c>
    </row>
    <row r="951" spans="1:7" hidden="1" x14ac:dyDescent="0.25">
      <c r="A951" s="28">
        <v>43556</v>
      </c>
      <c r="B951" s="27" t="s">
        <v>4</v>
      </c>
      <c r="C951" s="27" t="s">
        <v>50</v>
      </c>
      <c r="D951" s="27" t="s">
        <v>7</v>
      </c>
      <c r="E951" s="27" t="s">
        <v>18</v>
      </c>
      <c r="F951" s="29"/>
      <c r="G951" s="30">
        <v>2266.9899999999998</v>
      </c>
    </row>
    <row r="952" spans="1:7" hidden="1" x14ac:dyDescent="0.25">
      <c r="A952" s="28">
        <v>43556</v>
      </c>
      <c r="B952" s="27" t="s">
        <v>4</v>
      </c>
      <c r="C952" s="27" t="s">
        <v>50</v>
      </c>
      <c r="D952" s="27" t="s">
        <v>7</v>
      </c>
      <c r="E952" s="27" t="s">
        <v>19</v>
      </c>
      <c r="F952" s="29"/>
      <c r="G952" s="30">
        <v>5272.79</v>
      </c>
    </row>
    <row r="953" spans="1:7" hidden="1" x14ac:dyDescent="0.25">
      <c r="A953" s="28">
        <v>43556</v>
      </c>
      <c r="B953" s="27" t="s">
        <v>4</v>
      </c>
      <c r="C953" s="27" t="s">
        <v>50</v>
      </c>
      <c r="D953" s="27" t="s">
        <v>7</v>
      </c>
      <c r="E953" s="27" t="s">
        <v>20</v>
      </c>
      <c r="F953" s="29"/>
      <c r="G953" s="30">
        <v>1209.46</v>
      </c>
    </row>
    <row r="954" spans="1:7" hidden="1" x14ac:dyDescent="0.25">
      <c r="A954" s="28">
        <v>43556</v>
      </c>
      <c r="B954" s="27" t="s">
        <v>4</v>
      </c>
      <c r="C954" s="27" t="s">
        <v>50</v>
      </c>
      <c r="D954" s="27" t="s">
        <v>7</v>
      </c>
      <c r="E954" s="27" t="s">
        <v>204</v>
      </c>
      <c r="F954" s="29"/>
      <c r="G954" s="30">
        <v>1245.08</v>
      </c>
    </row>
    <row r="955" spans="1:7" hidden="1" x14ac:dyDescent="0.25">
      <c r="A955" s="28">
        <v>43556</v>
      </c>
      <c r="B955" s="27" t="s">
        <v>4</v>
      </c>
      <c r="C955" s="27" t="s">
        <v>50</v>
      </c>
      <c r="D955" s="27" t="s">
        <v>7</v>
      </c>
      <c r="E955" s="27" t="s">
        <v>37</v>
      </c>
      <c r="F955" s="29"/>
      <c r="G955" s="30">
        <v>228</v>
      </c>
    </row>
    <row r="956" spans="1:7" hidden="1" x14ac:dyDescent="0.25">
      <c r="A956" s="28">
        <v>43556</v>
      </c>
      <c r="B956" s="27" t="s">
        <v>26</v>
      </c>
      <c r="C956" s="27" t="s">
        <v>50</v>
      </c>
      <c r="D956" s="27" t="s">
        <v>6</v>
      </c>
      <c r="E956" s="27" t="s">
        <v>8</v>
      </c>
      <c r="F956" s="29"/>
      <c r="G956" s="30">
        <v>1194.25</v>
      </c>
    </row>
    <row r="957" spans="1:7" hidden="1" x14ac:dyDescent="0.25">
      <c r="A957" s="28">
        <v>43556</v>
      </c>
      <c r="B957" s="27" t="s">
        <v>26</v>
      </c>
      <c r="C957" s="27" t="s">
        <v>50</v>
      </c>
      <c r="D957" s="27" t="s">
        <v>6</v>
      </c>
      <c r="E957" s="27" t="s">
        <v>9</v>
      </c>
      <c r="F957" s="29"/>
      <c r="G957" s="30">
        <v>1550.9166666666667</v>
      </c>
    </row>
    <row r="958" spans="1:7" hidden="1" x14ac:dyDescent="0.25">
      <c r="A958" s="28">
        <v>43556</v>
      </c>
      <c r="B958" s="27" t="s">
        <v>26</v>
      </c>
      <c r="C958" s="27" t="s">
        <v>50</v>
      </c>
      <c r="D958" s="27" t="s">
        <v>6</v>
      </c>
      <c r="E958" s="27" t="s">
        <v>64</v>
      </c>
      <c r="F958" s="29"/>
      <c r="G958" s="30">
        <v>1270.3500000000001</v>
      </c>
    </row>
    <row r="959" spans="1:7" hidden="1" x14ac:dyDescent="0.25">
      <c r="A959" s="28">
        <v>43556</v>
      </c>
      <c r="B959" s="27" t="s">
        <v>26</v>
      </c>
      <c r="C959" s="27" t="s">
        <v>50</v>
      </c>
      <c r="D959" s="27" t="s">
        <v>6</v>
      </c>
      <c r="E959" s="27" t="s">
        <v>21</v>
      </c>
      <c r="F959" s="29"/>
      <c r="G959" s="30">
        <v>1359.4166666666667</v>
      </c>
    </row>
    <row r="960" spans="1:7" hidden="1" x14ac:dyDescent="0.25">
      <c r="A960" s="28">
        <v>43556</v>
      </c>
      <c r="B960" s="27" t="s">
        <v>26</v>
      </c>
      <c r="C960" s="27" t="s">
        <v>50</v>
      </c>
      <c r="D960" s="27" t="s">
        <v>6</v>
      </c>
      <c r="E960" s="27" t="s">
        <v>21</v>
      </c>
      <c r="F960" s="29"/>
      <c r="G960" s="30">
        <v>1359.4166666666667</v>
      </c>
    </row>
    <row r="961" spans="1:7" hidden="1" x14ac:dyDescent="0.25">
      <c r="A961" s="28">
        <v>43556</v>
      </c>
      <c r="B961" s="27" t="s">
        <v>26</v>
      </c>
      <c r="C961" s="27" t="s">
        <v>50</v>
      </c>
      <c r="D961" s="27" t="s">
        <v>6</v>
      </c>
      <c r="E961" s="27" t="s">
        <v>10</v>
      </c>
      <c r="F961" s="29"/>
      <c r="G961" s="30">
        <v>1998.9666666666669</v>
      </c>
    </row>
    <row r="962" spans="1:7" hidden="1" x14ac:dyDescent="0.25">
      <c r="A962" s="28">
        <v>43556</v>
      </c>
      <c r="B962" s="27" t="s">
        <v>26</v>
      </c>
      <c r="C962" s="27" t="s">
        <v>50</v>
      </c>
      <c r="D962" s="27" t="s">
        <v>6</v>
      </c>
      <c r="E962" s="27" t="s">
        <v>11</v>
      </c>
      <c r="F962" s="29"/>
      <c r="G962" s="30">
        <v>1340.7166666666667</v>
      </c>
    </row>
    <row r="963" spans="1:7" hidden="1" x14ac:dyDescent="0.25">
      <c r="A963" s="28">
        <v>43556</v>
      </c>
      <c r="B963" s="27" t="s">
        <v>26</v>
      </c>
      <c r="C963" s="27" t="s">
        <v>50</v>
      </c>
      <c r="D963" s="27" t="s">
        <v>6</v>
      </c>
      <c r="E963" s="27" t="s">
        <v>12</v>
      </c>
      <c r="F963" s="29"/>
      <c r="G963" s="30">
        <v>1350.1166666666668</v>
      </c>
    </row>
    <row r="964" spans="1:7" hidden="1" x14ac:dyDescent="0.25">
      <c r="A964" s="28">
        <v>43556</v>
      </c>
      <c r="B964" s="27" t="s">
        <v>26</v>
      </c>
      <c r="C964" s="27" t="s">
        <v>50</v>
      </c>
      <c r="D964" s="27" t="s">
        <v>6</v>
      </c>
      <c r="E964" s="27" t="s">
        <v>13</v>
      </c>
      <c r="F964" s="29"/>
      <c r="G964" s="30">
        <v>1901.5</v>
      </c>
    </row>
    <row r="965" spans="1:7" hidden="1" x14ac:dyDescent="0.25">
      <c r="A965" s="28">
        <v>43556</v>
      </c>
      <c r="B965" s="27" t="s">
        <v>26</v>
      </c>
      <c r="C965" s="27" t="s">
        <v>50</v>
      </c>
      <c r="D965" s="27" t="s">
        <v>6</v>
      </c>
      <c r="E965" s="27" t="s">
        <v>14</v>
      </c>
      <c r="F965" s="29"/>
      <c r="G965" s="30">
        <v>701.7833333333333</v>
      </c>
    </row>
    <row r="966" spans="1:7" hidden="1" x14ac:dyDescent="0.25">
      <c r="A966" s="28">
        <v>43556</v>
      </c>
      <c r="B966" s="27" t="s">
        <v>26</v>
      </c>
      <c r="C966" s="27" t="s">
        <v>50</v>
      </c>
      <c r="D966" s="27" t="s">
        <v>6</v>
      </c>
      <c r="E966" s="27" t="s">
        <v>15</v>
      </c>
      <c r="F966" s="29"/>
      <c r="G966" s="30">
        <v>1820.5500000000002</v>
      </c>
    </row>
    <row r="967" spans="1:7" hidden="1" x14ac:dyDescent="0.25">
      <c r="A967" s="28">
        <v>43556</v>
      </c>
      <c r="B967" s="27" t="s">
        <v>26</v>
      </c>
      <c r="C967" s="27" t="s">
        <v>50</v>
      </c>
      <c r="D967" s="27" t="s">
        <v>6</v>
      </c>
      <c r="E967" s="27" t="s">
        <v>16</v>
      </c>
      <c r="F967" s="29"/>
      <c r="G967" s="30">
        <v>1992.5833333333333</v>
      </c>
    </row>
    <row r="968" spans="1:7" hidden="1" x14ac:dyDescent="0.25">
      <c r="A968" s="28">
        <v>43556</v>
      </c>
      <c r="B968" s="27" t="s">
        <v>26</v>
      </c>
      <c r="C968" s="27" t="s">
        <v>50</v>
      </c>
      <c r="D968" s="27" t="s">
        <v>6</v>
      </c>
      <c r="E968" s="27" t="s">
        <v>17</v>
      </c>
      <c r="F968" s="29"/>
      <c r="G968" s="30">
        <v>2822.1166666666668</v>
      </c>
    </row>
    <row r="969" spans="1:7" hidden="1" x14ac:dyDescent="0.25">
      <c r="A969" s="28">
        <v>43556</v>
      </c>
      <c r="B969" s="27" t="s">
        <v>26</v>
      </c>
      <c r="C969" s="27" t="s">
        <v>50</v>
      </c>
      <c r="D969" s="27" t="s">
        <v>6</v>
      </c>
      <c r="E969" s="27" t="s">
        <v>18</v>
      </c>
      <c r="F969" s="29"/>
      <c r="G969" s="30">
        <v>1488.6666666666667</v>
      </c>
    </row>
    <row r="970" spans="1:7" hidden="1" x14ac:dyDescent="0.25">
      <c r="A970" s="28">
        <v>43556</v>
      </c>
      <c r="B970" s="27" t="s">
        <v>26</v>
      </c>
      <c r="C970" s="27" t="s">
        <v>50</v>
      </c>
      <c r="D970" s="27" t="s">
        <v>6</v>
      </c>
      <c r="E970" s="27" t="s">
        <v>19</v>
      </c>
      <c r="F970" s="29"/>
      <c r="G970" s="30">
        <v>2454.8833333333337</v>
      </c>
    </row>
    <row r="971" spans="1:7" hidden="1" x14ac:dyDescent="0.25">
      <c r="A971" s="28">
        <v>43556</v>
      </c>
      <c r="B971" s="27" t="s">
        <v>26</v>
      </c>
      <c r="C971" s="27" t="s">
        <v>50</v>
      </c>
      <c r="D971" s="27" t="s">
        <v>6</v>
      </c>
      <c r="E971" s="27" t="s">
        <v>20</v>
      </c>
      <c r="F971" s="29"/>
      <c r="G971" s="30">
        <v>1590.3833333333334</v>
      </c>
    </row>
    <row r="972" spans="1:7" hidden="1" x14ac:dyDescent="0.25">
      <c r="A972" s="28">
        <v>43556</v>
      </c>
      <c r="B972" s="27" t="s">
        <v>26</v>
      </c>
      <c r="C972" s="27" t="s">
        <v>50</v>
      </c>
      <c r="D972" s="27" t="s">
        <v>6</v>
      </c>
      <c r="E972" s="27" t="s">
        <v>204</v>
      </c>
      <c r="F972" s="29"/>
      <c r="G972" s="30">
        <v>316.66666666666669</v>
      </c>
    </row>
    <row r="973" spans="1:7" hidden="1" x14ac:dyDescent="0.25">
      <c r="A973" s="28">
        <v>43556</v>
      </c>
      <c r="B973" s="27" t="s">
        <v>26</v>
      </c>
      <c r="C973" s="27" t="s">
        <v>50</v>
      </c>
      <c r="D973" s="27" t="s">
        <v>6</v>
      </c>
      <c r="E973" s="27" t="s">
        <v>205</v>
      </c>
      <c r="F973" s="29"/>
      <c r="G973" s="30">
        <v>1200</v>
      </c>
    </row>
    <row r="974" spans="1:7" hidden="1" x14ac:dyDescent="0.25">
      <c r="A974" s="28">
        <v>43556</v>
      </c>
      <c r="B974" s="27" t="s">
        <v>26</v>
      </c>
      <c r="C974" s="27" t="s">
        <v>50</v>
      </c>
      <c r="D974" s="27" t="s">
        <v>6</v>
      </c>
      <c r="E974" s="27" t="s">
        <v>37</v>
      </c>
      <c r="F974" s="29"/>
      <c r="G974" s="30">
        <v>250</v>
      </c>
    </row>
    <row r="975" spans="1:7" hidden="1" x14ac:dyDescent="0.25">
      <c r="A975" s="28">
        <v>43556</v>
      </c>
      <c r="B975" s="27" t="s">
        <v>3</v>
      </c>
      <c r="C975" s="27" t="s">
        <v>50</v>
      </c>
      <c r="D975" s="27" t="s">
        <v>7</v>
      </c>
      <c r="E975" s="27" t="s">
        <v>8</v>
      </c>
      <c r="F975" s="29"/>
      <c r="G975" s="30">
        <v>969.39388888888891</v>
      </c>
    </row>
    <row r="976" spans="1:7" hidden="1" x14ac:dyDescent="0.25">
      <c r="A976" s="28">
        <v>43556</v>
      </c>
      <c r="B976" s="27" t="s">
        <v>3</v>
      </c>
      <c r="C976" s="27" t="s">
        <v>50</v>
      </c>
      <c r="D976" s="27" t="s">
        <v>7</v>
      </c>
      <c r="E976" s="27" t="s">
        <v>9</v>
      </c>
      <c r="F976" s="29"/>
      <c r="G976" s="30">
        <v>969.39388888888891</v>
      </c>
    </row>
    <row r="977" spans="1:7" hidden="1" x14ac:dyDescent="0.25">
      <c r="A977" s="28">
        <v>43556</v>
      </c>
      <c r="B977" s="27" t="s">
        <v>3</v>
      </c>
      <c r="C977" s="27" t="s">
        <v>50</v>
      </c>
      <c r="D977" s="27" t="s">
        <v>7</v>
      </c>
      <c r="E977" s="27" t="s">
        <v>64</v>
      </c>
      <c r="F977" s="29"/>
      <c r="G977" s="30">
        <v>969.39388888888891</v>
      </c>
    </row>
    <row r="978" spans="1:7" hidden="1" x14ac:dyDescent="0.25">
      <c r="A978" s="28">
        <v>43556</v>
      </c>
      <c r="B978" s="27" t="s">
        <v>3</v>
      </c>
      <c r="C978" s="27" t="s">
        <v>50</v>
      </c>
      <c r="D978" s="27" t="s">
        <v>7</v>
      </c>
      <c r="E978" s="27" t="s">
        <v>21</v>
      </c>
      <c r="F978" s="29"/>
      <c r="G978" s="30">
        <v>969.39388888888891</v>
      </c>
    </row>
    <row r="979" spans="1:7" hidden="1" x14ac:dyDescent="0.25">
      <c r="A979" s="28">
        <v>43556</v>
      </c>
      <c r="B979" s="27" t="s">
        <v>3</v>
      </c>
      <c r="C979" s="27" t="s">
        <v>50</v>
      </c>
      <c r="D979" s="27" t="s">
        <v>7</v>
      </c>
      <c r="E979" s="27" t="s">
        <v>21</v>
      </c>
      <c r="F979" s="29"/>
      <c r="G979" s="30">
        <v>969.39388888888891</v>
      </c>
    </row>
    <row r="980" spans="1:7" hidden="1" x14ac:dyDescent="0.25">
      <c r="A980" s="28">
        <v>43556</v>
      </c>
      <c r="B980" s="27" t="s">
        <v>3</v>
      </c>
      <c r="C980" s="27" t="s">
        <v>50</v>
      </c>
      <c r="D980" s="27" t="s">
        <v>7</v>
      </c>
      <c r="E980" s="27" t="s">
        <v>10</v>
      </c>
      <c r="F980" s="29"/>
      <c r="G980" s="30">
        <v>969.39388888888891</v>
      </c>
    </row>
    <row r="981" spans="1:7" hidden="1" x14ac:dyDescent="0.25">
      <c r="A981" s="28">
        <v>43556</v>
      </c>
      <c r="B981" s="27" t="s">
        <v>3</v>
      </c>
      <c r="C981" s="27" t="s">
        <v>50</v>
      </c>
      <c r="D981" s="27" t="s">
        <v>7</v>
      </c>
      <c r="E981" s="27" t="s">
        <v>11</v>
      </c>
      <c r="F981" s="29"/>
      <c r="G981" s="30">
        <v>969.39388888888891</v>
      </c>
    </row>
    <row r="982" spans="1:7" hidden="1" x14ac:dyDescent="0.25">
      <c r="A982" s="28">
        <v>43556</v>
      </c>
      <c r="B982" s="27" t="s">
        <v>3</v>
      </c>
      <c r="C982" s="27" t="s">
        <v>50</v>
      </c>
      <c r="D982" s="27" t="s">
        <v>7</v>
      </c>
      <c r="E982" s="27" t="s">
        <v>12</v>
      </c>
      <c r="F982" s="29"/>
      <c r="G982" s="30">
        <v>969.39388888888891</v>
      </c>
    </row>
    <row r="983" spans="1:7" hidden="1" x14ac:dyDescent="0.25">
      <c r="A983" s="28">
        <v>43556</v>
      </c>
      <c r="B983" s="27" t="s">
        <v>3</v>
      </c>
      <c r="C983" s="27" t="s">
        <v>50</v>
      </c>
      <c r="D983" s="27" t="s">
        <v>7</v>
      </c>
      <c r="E983" s="27" t="s">
        <v>13</v>
      </c>
      <c r="F983" s="29"/>
      <c r="G983" s="30">
        <v>969.39388888888891</v>
      </c>
    </row>
    <row r="984" spans="1:7" hidden="1" x14ac:dyDescent="0.25">
      <c r="A984" s="28">
        <v>43556</v>
      </c>
      <c r="B984" s="27" t="s">
        <v>3</v>
      </c>
      <c r="C984" s="27" t="s">
        <v>50</v>
      </c>
      <c r="D984" s="27" t="s">
        <v>7</v>
      </c>
      <c r="E984" s="27" t="s">
        <v>14</v>
      </c>
      <c r="F984" s="29"/>
      <c r="G984" s="30">
        <v>969.39388888888891</v>
      </c>
    </row>
    <row r="985" spans="1:7" hidden="1" x14ac:dyDescent="0.25">
      <c r="A985" s="28">
        <v>43556</v>
      </c>
      <c r="B985" s="27" t="s">
        <v>3</v>
      </c>
      <c r="C985" s="27" t="s">
        <v>50</v>
      </c>
      <c r="D985" s="27" t="s">
        <v>7</v>
      </c>
      <c r="E985" s="27" t="s">
        <v>15</v>
      </c>
      <c r="F985" s="29"/>
      <c r="G985" s="30">
        <v>969.39388888888891</v>
      </c>
    </row>
    <row r="986" spans="1:7" hidden="1" x14ac:dyDescent="0.25">
      <c r="A986" s="28">
        <v>43556</v>
      </c>
      <c r="B986" s="27" t="s">
        <v>3</v>
      </c>
      <c r="C986" s="27" t="s">
        <v>50</v>
      </c>
      <c r="D986" s="27" t="s">
        <v>7</v>
      </c>
      <c r="E986" s="27" t="s">
        <v>16</v>
      </c>
      <c r="F986" s="29"/>
      <c r="G986" s="30">
        <v>969.39388888888891</v>
      </c>
    </row>
    <row r="987" spans="1:7" hidden="1" x14ac:dyDescent="0.25">
      <c r="A987" s="28">
        <v>43556</v>
      </c>
      <c r="B987" s="27" t="s">
        <v>3</v>
      </c>
      <c r="C987" s="27" t="s">
        <v>50</v>
      </c>
      <c r="D987" s="27" t="s">
        <v>7</v>
      </c>
      <c r="E987" s="27" t="s">
        <v>17</v>
      </c>
      <c r="F987" s="29"/>
      <c r="G987" s="30">
        <v>969.39388888888891</v>
      </c>
    </row>
    <row r="988" spans="1:7" hidden="1" x14ac:dyDescent="0.25">
      <c r="A988" s="28">
        <v>43556</v>
      </c>
      <c r="B988" s="27" t="s">
        <v>3</v>
      </c>
      <c r="C988" s="27" t="s">
        <v>50</v>
      </c>
      <c r="D988" s="27" t="s">
        <v>7</v>
      </c>
      <c r="E988" s="27" t="s">
        <v>18</v>
      </c>
      <c r="F988" s="29"/>
      <c r="G988" s="30">
        <v>969.39388888888891</v>
      </c>
    </row>
    <row r="989" spans="1:7" hidden="1" x14ac:dyDescent="0.25">
      <c r="A989" s="28">
        <v>43556</v>
      </c>
      <c r="B989" s="27" t="s">
        <v>3</v>
      </c>
      <c r="C989" s="27" t="s">
        <v>50</v>
      </c>
      <c r="D989" s="27" t="s">
        <v>7</v>
      </c>
      <c r="E989" s="27" t="s">
        <v>19</v>
      </c>
      <c r="F989" s="29"/>
      <c r="G989" s="30">
        <v>969.39388888888891</v>
      </c>
    </row>
    <row r="990" spans="1:7" hidden="1" x14ac:dyDescent="0.25">
      <c r="A990" s="28">
        <v>43556</v>
      </c>
      <c r="B990" s="27" t="s">
        <v>3</v>
      </c>
      <c r="C990" s="27" t="s">
        <v>50</v>
      </c>
      <c r="D990" s="27" t="s">
        <v>7</v>
      </c>
      <c r="E990" s="27" t="s">
        <v>20</v>
      </c>
      <c r="F990" s="29"/>
      <c r="G990" s="30">
        <v>969.39388888888891</v>
      </c>
    </row>
    <row r="991" spans="1:7" hidden="1" x14ac:dyDescent="0.25">
      <c r="A991" s="28">
        <v>43556</v>
      </c>
      <c r="B991" s="27" t="s">
        <v>3</v>
      </c>
      <c r="C991" s="27" t="s">
        <v>50</v>
      </c>
      <c r="D991" s="27" t="s">
        <v>7</v>
      </c>
      <c r="E991" s="27" t="s">
        <v>204</v>
      </c>
      <c r="F991" s="29"/>
      <c r="G991" s="30">
        <v>969.39388888888891</v>
      </c>
    </row>
    <row r="992" spans="1:7" hidden="1" x14ac:dyDescent="0.25">
      <c r="A992" s="28">
        <v>43556</v>
      </c>
      <c r="B992" s="27" t="s">
        <v>3</v>
      </c>
      <c r="C992" s="27" t="s">
        <v>50</v>
      </c>
      <c r="D992" s="27" t="s">
        <v>7</v>
      </c>
      <c r="E992" s="27" t="s">
        <v>205</v>
      </c>
      <c r="F992" s="29"/>
      <c r="G992" s="30">
        <v>969.39388888888891</v>
      </c>
    </row>
    <row r="993" spans="1:7" hidden="1" x14ac:dyDescent="0.25">
      <c r="A993" s="28">
        <v>43556</v>
      </c>
      <c r="B993" s="27" t="s">
        <v>179</v>
      </c>
      <c r="C993" s="27" t="s">
        <v>50</v>
      </c>
      <c r="D993" s="27" t="s">
        <v>6</v>
      </c>
      <c r="E993" s="27" t="s">
        <v>8</v>
      </c>
      <c r="F993" s="29"/>
      <c r="G993" s="30">
        <v>82.027500000000003</v>
      </c>
    </row>
    <row r="994" spans="1:7" hidden="1" x14ac:dyDescent="0.25">
      <c r="A994" s="28">
        <v>43556</v>
      </c>
      <c r="B994" s="27" t="s">
        <v>179</v>
      </c>
      <c r="C994" s="27" t="s">
        <v>50</v>
      </c>
      <c r="D994" s="27" t="s">
        <v>6</v>
      </c>
      <c r="E994" s="27" t="s">
        <v>9</v>
      </c>
      <c r="F994" s="29"/>
      <c r="G994" s="30">
        <v>80.430833333333325</v>
      </c>
    </row>
    <row r="995" spans="1:7" hidden="1" x14ac:dyDescent="0.25">
      <c r="A995" s="28">
        <v>43556</v>
      </c>
      <c r="B995" s="27" t="s">
        <v>179</v>
      </c>
      <c r="C995" s="27" t="s">
        <v>50</v>
      </c>
      <c r="D995" s="27" t="s">
        <v>6</v>
      </c>
      <c r="E995" s="27" t="s">
        <v>64</v>
      </c>
      <c r="F995" s="29"/>
      <c r="G995" s="30">
        <v>99.683333333333337</v>
      </c>
    </row>
    <row r="996" spans="1:7" hidden="1" x14ac:dyDescent="0.25">
      <c r="A996" s="28">
        <v>43556</v>
      </c>
      <c r="B996" s="27" t="s">
        <v>179</v>
      </c>
      <c r="C996" s="27" t="s">
        <v>50</v>
      </c>
      <c r="D996" s="27" t="s">
        <v>6</v>
      </c>
      <c r="E996" s="27" t="s">
        <v>21</v>
      </c>
      <c r="F996" s="29"/>
      <c r="G996" s="30">
        <v>101.87</v>
      </c>
    </row>
    <row r="997" spans="1:7" hidden="1" x14ac:dyDescent="0.25">
      <c r="A997" s="28">
        <v>43556</v>
      </c>
      <c r="B997" s="27" t="s">
        <v>179</v>
      </c>
      <c r="C997" s="27" t="s">
        <v>50</v>
      </c>
      <c r="D997" s="27" t="s">
        <v>6</v>
      </c>
      <c r="E997" s="27" t="s">
        <v>21</v>
      </c>
      <c r="F997" s="29"/>
      <c r="G997" s="30">
        <v>75.420833333333334</v>
      </c>
    </row>
    <row r="998" spans="1:7" hidden="1" x14ac:dyDescent="0.25">
      <c r="A998" s="28">
        <v>43556</v>
      </c>
      <c r="B998" s="27" t="s">
        <v>179</v>
      </c>
      <c r="C998" s="27" t="s">
        <v>50</v>
      </c>
      <c r="D998" s="27" t="s">
        <v>6</v>
      </c>
      <c r="E998" s="27" t="s">
        <v>10</v>
      </c>
      <c r="F998" s="29"/>
      <c r="G998" s="30">
        <v>94.975833333333341</v>
      </c>
    </row>
    <row r="999" spans="1:7" hidden="1" x14ac:dyDescent="0.25">
      <c r="A999" s="28">
        <v>43556</v>
      </c>
      <c r="B999" s="27" t="s">
        <v>179</v>
      </c>
      <c r="C999" s="27" t="s">
        <v>50</v>
      </c>
      <c r="D999" s="27" t="s">
        <v>6</v>
      </c>
      <c r="E999" s="27" t="s">
        <v>11</v>
      </c>
      <c r="F999" s="29"/>
      <c r="G999" s="30">
        <v>99.024999999999991</v>
      </c>
    </row>
    <row r="1000" spans="1:7" hidden="1" x14ac:dyDescent="0.25">
      <c r="A1000" s="28">
        <v>43556</v>
      </c>
      <c r="B1000" s="27" t="s">
        <v>179</v>
      </c>
      <c r="C1000" s="27" t="s">
        <v>50</v>
      </c>
      <c r="D1000" s="27" t="s">
        <v>6</v>
      </c>
      <c r="E1000" s="27" t="s">
        <v>12</v>
      </c>
      <c r="F1000" s="29"/>
      <c r="G1000" s="30">
        <v>75.82083333333334</v>
      </c>
    </row>
    <row r="1001" spans="1:7" hidden="1" x14ac:dyDescent="0.25">
      <c r="A1001" s="28">
        <v>43556</v>
      </c>
      <c r="B1001" s="27" t="s">
        <v>179</v>
      </c>
      <c r="C1001" s="27" t="s">
        <v>50</v>
      </c>
      <c r="D1001" s="27" t="s">
        <v>6</v>
      </c>
      <c r="E1001" s="27" t="s">
        <v>13</v>
      </c>
      <c r="F1001" s="29"/>
      <c r="G1001" s="30">
        <v>100.41500000000001</v>
      </c>
    </row>
    <row r="1002" spans="1:7" hidden="1" x14ac:dyDescent="0.25">
      <c r="A1002" s="28">
        <v>43556</v>
      </c>
      <c r="B1002" s="27" t="s">
        <v>179</v>
      </c>
      <c r="C1002" s="27" t="s">
        <v>50</v>
      </c>
      <c r="D1002" s="27" t="s">
        <v>6</v>
      </c>
      <c r="E1002" s="27" t="s">
        <v>14</v>
      </c>
      <c r="F1002" s="29"/>
      <c r="G1002" s="30">
        <v>84.427499999999995</v>
      </c>
    </row>
    <row r="1003" spans="1:7" hidden="1" x14ac:dyDescent="0.25">
      <c r="A1003" s="28">
        <v>43556</v>
      </c>
      <c r="B1003" s="27" t="s">
        <v>179</v>
      </c>
      <c r="C1003" s="27" t="s">
        <v>50</v>
      </c>
      <c r="D1003" s="27" t="s">
        <v>6</v>
      </c>
      <c r="E1003" s="27" t="s">
        <v>15</v>
      </c>
      <c r="F1003" s="29"/>
      <c r="G1003" s="30">
        <v>97.932500000000005</v>
      </c>
    </row>
    <row r="1004" spans="1:7" hidden="1" x14ac:dyDescent="0.25">
      <c r="A1004" s="28">
        <v>43556</v>
      </c>
      <c r="B1004" s="27" t="s">
        <v>179</v>
      </c>
      <c r="C1004" s="27" t="s">
        <v>50</v>
      </c>
      <c r="D1004" s="27" t="s">
        <v>6</v>
      </c>
      <c r="E1004" s="27" t="s">
        <v>16</v>
      </c>
      <c r="F1004" s="29"/>
      <c r="G1004" s="30">
        <v>99.579166666666666</v>
      </c>
    </row>
    <row r="1005" spans="1:7" hidden="1" x14ac:dyDescent="0.25">
      <c r="A1005" s="28">
        <v>43556</v>
      </c>
      <c r="B1005" s="27" t="s">
        <v>179</v>
      </c>
      <c r="C1005" s="27" t="s">
        <v>50</v>
      </c>
      <c r="D1005" s="27" t="s">
        <v>6</v>
      </c>
      <c r="E1005" s="27" t="s">
        <v>17</v>
      </c>
      <c r="F1005" s="29"/>
      <c r="G1005" s="30">
        <v>163.58583333333334</v>
      </c>
    </row>
    <row r="1006" spans="1:7" hidden="1" x14ac:dyDescent="0.25">
      <c r="A1006" s="28">
        <v>43556</v>
      </c>
      <c r="B1006" s="27" t="s">
        <v>179</v>
      </c>
      <c r="C1006" s="27" t="s">
        <v>50</v>
      </c>
      <c r="D1006" s="27" t="s">
        <v>6</v>
      </c>
      <c r="E1006" s="27" t="s">
        <v>18</v>
      </c>
      <c r="F1006" s="29"/>
      <c r="G1006" s="30">
        <v>189.72083333333333</v>
      </c>
    </row>
    <row r="1007" spans="1:7" hidden="1" x14ac:dyDescent="0.25">
      <c r="A1007" s="28">
        <v>43556</v>
      </c>
      <c r="B1007" s="27" t="s">
        <v>179</v>
      </c>
      <c r="C1007" s="27" t="s">
        <v>50</v>
      </c>
      <c r="D1007" s="27" t="s">
        <v>6</v>
      </c>
      <c r="E1007" s="27" t="s">
        <v>19</v>
      </c>
      <c r="F1007" s="29"/>
      <c r="G1007" s="30">
        <v>132.03083333333333</v>
      </c>
    </row>
    <row r="1008" spans="1:7" hidden="1" x14ac:dyDescent="0.25">
      <c r="A1008" s="28">
        <v>43556</v>
      </c>
      <c r="B1008" s="27" t="s">
        <v>179</v>
      </c>
      <c r="C1008" s="27" t="s">
        <v>50</v>
      </c>
      <c r="D1008" s="27" t="s">
        <v>6</v>
      </c>
      <c r="E1008" s="27" t="s">
        <v>20</v>
      </c>
      <c r="F1008" s="29"/>
      <c r="G1008" s="30">
        <v>408.15999999999997</v>
      </c>
    </row>
    <row r="1009" spans="1:7" hidden="1" x14ac:dyDescent="0.25">
      <c r="A1009" s="28">
        <v>43556</v>
      </c>
      <c r="B1009" s="27" t="s">
        <v>179</v>
      </c>
      <c r="C1009" s="27" t="s">
        <v>50</v>
      </c>
      <c r="D1009" s="27" t="s">
        <v>6</v>
      </c>
      <c r="E1009" s="27" t="s">
        <v>204</v>
      </c>
      <c r="F1009" s="29"/>
      <c r="G1009" s="30">
        <v>62.408333333333331</v>
      </c>
    </row>
    <row r="1010" spans="1:7" hidden="1" x14ac:dyDescent="0.25">
      <c r="A1010" s="28">
        <v>43556</v>
      </c>
      <c r="B1010" s="27" t="s">
        <v>179</v>
      </c>
      <c r="C1010" s="27" t="s">
        <v>50</v>
      </c>
      <c r="D1010" s="27" t="s">
        <v>6</v>
      </c>
      <c r="E1010" s="27" t="s">
        <v>205</v>
      </c>
      <c r="F1010" s="29"/>
      <c r="G1010" s="30">
        <v>136.51666666666668</v>
      </c>
    </row>
    <row r="1011" spans="1:7" hidden="1" x14ac:dyDescent="0.25">
      <c r="A1011" s="28">
        <v>43556</v>
      </c>
      <c r="B1011" s="27" t="s">
        <v>32</v>
      </c>
      <c r="C1011" s="27" t="s">
        <v>50</v>
      </c>
      <c r="D1011" s="27" t="s">
        <v>7</v>
      </c>
      <c r="E1011" s="27" t="s">
        <v>14</v>
      </c>
      <c r="F1011" s="29"/>
      <c r="G1011" s="30">
        <v>25</v>
      </c>
    </row>
    <row r="1012" spans="1:7" hidden="1" x14ac:dyDescent="0.25">
      <c r="A1012" s="28">
        <v>43556</v>
      </c>
      <c r="B1012" s="27" t="s">
        <v>32</v>
      </c>
      <c r="C1012" s="27" t="s">
        <v>50</v>
      </c>
      <c r="D1012" s="27" t="s">
        <v>7</v>
      </c>
      <c r="E1012" s="27" t="s">
        <v>204</v>
      </c>
      <c r="F1012" s="29"/>
      <c r="G1012" s="30">
        <v>44</v>
      </c>
    </row>
    <row r="1013" spans="1:7" hidden="1" x14ac:dyDescent="0.25">
      <c r="A1013" s="28">
        <v>43556</v>
      </c>
      <c r="B1013" s="27" t="s">
        <v>5</v>
      </c>
      <c r="C1013" s="27" t="s">
        <v>51</v>
      </c>
      <c r="D1013" s="27" t="s">
        <v>51</v>
      </c>
      <c r="E1013" s="27" t="s">
        <v>9</v>
      </c>
      <c r="F1013" s="29">
        <v>4314</v>
      </c>
      <c r="G1013" s="30">
        <v>3.7096837334456128</v>
      </c>
    </row>
    <row r="1014" spans="1:7" hidden="1" x14ac:dyDescent="0.25">
      <c r="A1014" s="28">
        <v>43556</v>
      </c>
      <c r="B1014" s="27" t="s">
        <v>5</v>
      </c>
      <c r="C1014" s="27" t="s">
        <v>51</v>
      </c>
      <c r="D1014" s="27" t="s">
        <v>51</v>
      </c>
      <c r="E1014" s="27" t="s">
        <v>64</v>
      </c>
      <c r="F1014" s="29">
        <v>4542.875</v>
      </c>
      <c r="G1014" s="30">
        <v>5.075494730998404</v>
      </c>
    </row>
    <row r="1015" spans="1:7" hidden="1" x14ac:dyDescent="0.25">
      <c r="A1015" s="28">
        <v>43556</v>
      </c>
      <c r="B1015" s="27" t="s">
        <v>5</v>
      </c>
      <c r="C1015" s="27" t="s">
        <v>51</v>
      </c>
      <c r="D1015" s="27" t="s">
        <v>51</v>
      </c>
      <c r="E1015" s="27" t="s">
        <v>21</v>
      </c>
      <c r="F1015" s="29">
        <v>4542.875</v>
      </c>
      <c r="G1015" s="30">
        <v>3.976834558016904</v>
      </c>
    </row>
    <row r="1016" spans="1:7" hidden="1" x14ac:dyDescent="0.25">
      <c r="A1016" s="28">
        <v>43556</v>
      </c>
      <c r="B1016" s="27" t="s">
        <v>5</v>
      </c>
      <c r="C1016" s="27" t="s">
        <v>51</v>
      </c>
      <c r="D1016" s="27" t="s">
        <v>51</v>
      </c>
      <c r="E1016" s="27" t="s">
        <v>21</v>
      </c>
      <c r="F1016" s="29">
        <v>4158</v>
      </c>
      <c r="G1016" s="30">
        <v>4.2132178433744683</v>
      </c>
    </row>
    <row r="1017" spans="1:7" hidden="1" x14ac:dyDescent="0.25">
      <c r="A1017" s="28">
        <v>43556</v>
      </c>
      <c r="B1017" s="27" t="s">
        <v>5</v>
      </c>
      <c r="C1017" s="27" t="s">
        <v>51</v>
      </c>
      <c r="D1017" s="27" t="s">
        <v>51</v>
      </c>
      <c r="E1017" s="27" t="s">
        <v>10</v>
      </c>
      <c r="F1017" s="29">
        <v>3954</v>
      </c>
      <c r="G1017" s="30">
        <v>4.7818270003585504</v>
      </c>
    </row>
    <row r="1018" spans="1:7" hidden="1" x14ac:dyDescent="0.25">
      <c r="A1018" s="28">
        <v>43556</v>
      </c>
      <c r="B1018" s="27" t="s">
        <v>5</v>
      </c>
      <c r="C1018" s="27" t="s">
        <v>51</v>
      </c>
      <c r="D1018" s="27" t="s">
        <v>51</v>
      </c>
      <c r="E1018" s="27" t="s">
        <v>11</v>
      </c>
      <c r="F1018" s="29">
        <v>3080</v>
      </c>
      <c r="G1018" s="30">
        <v>9.3011289911529342</v>
      </c>
    </row>
    <row r="1019" spans="1:7" hidden="1" x14ac:dyDescent="0.25">
      <c r="A1019" s="28">
        <v>43556</v>
      </c>
      <c r="B1019" s="27" t="s">
        <v>5</v>
      </c>
      <c r="C1019" s="27" t="s">
        <v>51</v>
      </c>
      <c r="D1019" s="27" t="s">
        <v>51</v>
      </c>
      <c r="E1019" s="27" t="s">
        <v>12</v>
      </c>
      <c r="F1019" s="29">
        <v>3080</v>
      </c>
      <c r="G1019" s="30">
        <v>4.2503240669105109</v>
      </c>
    </row>
    <row r="1020" spans="1:7" hidden="1" x14ac:dyDescent="0.25">
      <c r="A1020" s="28">
        <v>43556</v>
      </c>
      <c r="B1020" s="27" t="s">
        <v>5</v>
      </c>
      <c r="C1020" s="27" t="s">
        <v>51</v>
      </c>
      <c r="D1020" s="27" t="s">
        <v>51</v>
      </c>
      <c r="E1020" s="27" t="s">
        <v>13</v>
      </c>
      <c r="F1020" s="29">
        <v>7908</v>
      </c>
      <c r="G1020" s="30">
        <v>2.8060938028263838</v>
      </c>
    </row>
    <row r="1021" spans="1:7" hidden="1" x14ac:dyDescent="0.25">
      <c r="A1021" s="28">
        <v>43556</v>
      </c>
      <c r="B1021" s="27" t="s">
        <v>5</v>
      </c>
      <c r="C1021" s="27" t="s">
        <v>51</v>
      </c>
      <c r="D1021" s="27" t="s">
        <v>51</v>
      </c>
      <c r="E1021" s="27" t="s">
        <v>14</v>
      </c>
      <c r="F1021" s="29">
        <v>694.5</v>
      </c>
      <c r="G1021" s="30">
        <v>15.43781827609941</v>
      </c>
    </row>
    <row r="1022" spans="1:7" hidden="1" x14ac:dyDescent="0.25">
      <c r="A1022" s="28">
        <v>43556</v>
      </c>
      <c r="B1022" s="27" t="s">
        <v>5</v>
      </c>
      <c r="C1022" s="27" t="s">
        <v>51</v>
      </c>
      <c r="D1022" s="27" t="s">
        <v>51</v>
      </c>
      <c r="E1022" s="27" t="s">
        <v>15</v>
      </c>
      <c r="F1022" s="29">
        <v>5357</v>
      </c>
      <c r="G1022" s="30">
        <v>3.0680666653134918</v>
      </c>
    </row>
    <row r="1023" spans="1:7" hidden="1" x14ac:dyDescent="0.25">
      <c r="A1023" s="28">
        <v>43556</v>
      </c>
      <c r="B1023" s="27" t="s">
        <v>5</v>
      </c>
      <c r="C1023" s="27" t="s">
        <v>51</v>
      </c>
      <c r="D1023" s="27" t="s">
        <v>51</v>
      </c>
      <c r="E1023" s="27" t="s">
        <v>16</v>
      </c>
      <c r="F1023" s="29">
        <v>6381</v>
      </c>
      <c r="G1023" s="30">
        <v>2.8516358135220772</v>
      </c>
    </row>
    <row r="1024" spans="1:7" hidden="1" x14ac:dyDescent="0.25">
      <c r="A1024" s="28">
        <v>43556</v>
      </c>
      <c r="B1024" s="27" t="s">
        <v>5</v>
      </c>
      <c r="C1024" s="27" t="s">
        <v>51</v>
      </c>
      <c r="D1024" s="27" t="s">
        <v>51</v>
      </c>
      <c r="E1024" s="27" t="s">
        <v>17</v>
      </c>
      <c r="F1024" s="29">
        <v>7464</v>
      </c>
      <c r="G1024" s="30">
        <v>3.1206592478676813</v>
      </c>
    </row>
    <row r="1025" spans="1:7" hidden="1" x14ac:dyDescent="0.25">
      <c r="A1025" s="28">
        <v>43556</v>
      </c>
      <c r="B1025" s="27" t="s">
        <v>5</v>
      </c>
      <c r="C1025" s="27" t="s">
        <v>51</v>
      </c>
      <c r="D1025" s="27" t="s">
        <v>51</v>
      </c>
      <c r="E1025" s="27" t="s">
        <v>18</v>
      </c>
      <c r="F1025" s="29">
        <v>3301.2857142857142</v>
      </c>
      <c r="G1025" s="30">
        <v>3.795398735669679</v>
      </c>
    </row>
    <row r="1026" spans="1:7" hidden="1" x14ac:dyDescent="0.25">
      <c r="A1026" s="28">
        <v>43556</v>
      </c>
      <c r="B1026" s="27" t="s">
        <v>5</v>
      </c>
      <c r="C1026" s="27" t="s">
        <v>51</v>
      </c>
      <c r="D1026" s="27" t="s">
        <v>51</v>
      </c>
      <c r="E1026" s="27" t="s">
        <v>19</v>
      </c>
      <c r="F1026" s="29">
        <v>3301.2857142857142</v>
      </c>
      <c r="G1026" s="30">
        <v>5.158861203395098</v>
      </c>
    </row>
    <row r="1027" spans="1:7" hidden="1" x14ac:dyDescent="0.25">
      <c r="A1027" s="28">
        <v>43556</v>
      </c>
      <c r="B1027" s="27" t="s">
        <v>5</v>
      </c>
      <c r="C1027" s="27" t="s">
        <v>51</v>
      </c>
      <c r="D1027" s="27" t="s">
        <v>51</v>
      </c>
      <c r="E1027" s="27" t="s">
        <v>20</v>
      </c>
      <c r="F1027" s="29">
        <v>1240</v>
      </c>
      <c r="G1027" s="30">
        <v>9.9121394834013756</v>
      </c>
    </row>
    <row r="1028" spans="1:7" hidden="1" x14ac:dyDescent="0.25">
      <c r="A1028" s="28">
        <v>43556</v>
      </c>
      <c r="B1028" s="27" t="s">
        <v>180</v>
      </c>
      <c r="C1028" s="27" t="s">
        <v>50</v>
      </c>
      <c r="D1028" s="27" t="s">
        <v>7</v>
      </c>
      <c r="E1028" s="27" t="s">
        <v>8</v>
      </c>
      <c r="F1028" s="29"/>
      <c r="G1028" s="30">
        <v>6393</v>
      </c>
    </row>
    <row r="1029" spans="1:7" hidden="1" x14ac:dyDescent="0.25">
      <c r="A1029" s="28">
        <v>43556</v>
      </c>
      <c r="B1029" s="27" t="s">
        <v>180</v>
      </c>
      <c r="C1029" s="27" t="s">
        <v>50</v>
      </c>
      <c r="D1029" s="27" t="s">
        <v>7</v>
      </c>
      <c r="E1029" s="27" t="s">
        <v>9</v>
      </c>
      <c r="F1029" s="29"/>
      <c r="G1029" s="30">
        <v>708</v>
      </c>
    </row>
    <row r="1030" spans="1:7" hidden="1" x14ac:dyDescent="0.25">
      <c r="A1030" s="28">
        <v>43556</v>
      </c>
      <c r="B1030" s="27" t="s">
        <v>180</v>
      </c>
      <c r="C1030" s="27" t="s">
        <v>50</v>
      </c>
      <c r="D1030" s="27" t="s">
        <v>7</v>
      </c>
      <c r="E1030" s="27" t="s">
        <v>64</v>
      </c>
      <c r="F1030" s="29"/>
      <c r="G1030" s="30">
        <v>6844.17</v>
      </c>
    </row>
    <row r="1031" spans="1:7" hidden="1" x14ac:dyDescent="0.25">
      <c r="A1031" s="28">
        <v>43556</v>
      </c>
      <c r="B1031" s="27" t="s">
        <v>180</v>
      </c>
      <c r="C1031" s="27" t="s">
        <v>50</v>
      </c>
      <c r="D1031" s="27" t="s">
        <v>7</v>
      </c>
      <c r="E1031" s="27" t="s">
        <v>21</v>
      </c>
      <c r="F1031" s="29"/>
      <c r="G1031" s="30">
        <v>1291.1399999999999</v>
      </c>
    </row>
    <row r="1032" spans="1:7" hidden="1" x14ac:dyDescent="0.25">
      <c r="A1032" s="28">
        <v>43556</v>
      </c>
      <c r="B1032" s="27" t="s">
        <v>180</v>
      </c>
      <c r="C1032" s="27" t="s">
        <v>50</v>
      </c>
      <c r="D1032" s="27" t="s">
        <v>7</v>
      </c>
      <c r="E1032" s="27" t="s">
        <v>21</v>
      </c>
      <c r="F1032" s="29"/>
      <c r="G1032" s="30">
        <v>2683.96</v>
      </c>
    </row>
    <row r="1033" spans="1:7" hidden="1" x14ac:dyDescent="0.25">
      <c r="A1033" s="28">
        <v>43556</v>
      </c>
      <c r="B1033" s="27" t="s">
        <v>180</v>
      </c>
      <c r="C1033" s="27" t="s">
        <v>50</v>
      </c>
      <c r="D1033" s="27" t="s">
        <v>7</v>
      </c>
      <c r="E1033" s="27" t="s">
        <v>10</v>
      </c>
      <c r="F1033" s="29"/>
      <c r="G1033" s="30">
        <v>1595.3</v>
      </c>
    </row>
    <row r="1034" spans="1:7" hidden="1" x14ac:dyDescent="0.25">
      <c r="A1034" s="28">
        <v>43556</v>
      </c>
      <c r="B1034" s="27" t="s">
        <v>180</v>
      </c>
      <c r="C1034" s="27" t="s">
        <v>50</v>
      </c>
      <c r="D1034" s="27" t="s">
        <v>7</v>
      </c>
      <c r="E1034" s="27" t="s">
        <v>11</v>
      </c>
      <c r="F1034" s="29"/>
      <c r="G1034" s="30">
        <v>18390.77</v>
      </c>
    </row>
    <row r="1035" spans="1:7" hidden="1" x14ac:dyDescent="0.25">
      <c r="A1035" s="28">
        <v>43556</v>
      </c>
      <c r="B1035" s="27" t="s">
        <v>180</v>
      </c>
      <c r="C1035" s="27" t="s">
        <v>50</v>
      </c>
      <c r="D1035" s="27" t="s">
        <v>7</v>
      </c>
      <c r="E1035" s="27" t="s">
        <v>12</v>
      </c>
      <c r="F1035" s="29"/>
      <c r="G1035" s="30">
        <v>1089.1599999999999</v>
      </c>
    </row>
    <row r="1036" spans="1:7" hidden="1" x14ac:dyDescent="0.25">
      <c r="A1036" s="28">
        <v>43556</v>
      </c>
      <c r="B1036" s="27" t="s">
        <v>180</v>
      </c>
      <c r="C1036" s="27" t="s">
        <v>50</v>
      </c>
      <c r="D1036" s="27" t="s">
        <v>7</v>
      </c>
      <c r="E1036" s="27" t="s">
        <v>13</v>
      </c>
      <c r="F1036" s="29"/>
      <c r="G1036" s="30">
        <v>4424</v>
      </c>
    </row>
    <row r="1037" spans="1:7" hidden="1" x14ac:dyDescent="0.25">
      <c r="A1037" s="28">
        <v>43556</v>
      </c>
      <c r="B1037" s="27" t="s">
        <v>180</v>
      </c>
      <c r="C1037" s="27" t="s">
        <v>50</v>
      </c>
      <c r="D1037" s="27" t="s">
        <v>7</v>
      </c>
      <c r="E1037" s="27" t="s">
        <v>15</v>
      </c>
      <c r="F1037" s="29"/>
      <c r="G1037" s="30">
        <v>188.45000000000005</v>
      </c>
    </row>
    <row r="1038" spans="1:7" hidden="1" x14ac:dyDescent="0.25">
      <c r="A1038" s="28">
        <v>43556</v>
      </c>
      <c r="B1038" s="27" t="s">
        <v>180</v>
      </c>
      <c r="C1038" s="27" t="s">
        <v>50</v>
      </c>
      <c r="D1038" s="27" t="s">
        <v>7</v>
      </c>
      <c r="E1038" s="27" t="s">
        <v>16</v>
      </c>
      <c r="F1038" s="29"/>
      <c r="G1038" s="30">
        <v>444.13</v>
      </c>
    </row>
    <row r="1039" spans="1:7" hidden="1" x14ac:dyDescent="0.25">
      <c r="A1039" s="28">
        <v>43556</v>
      </c>
      <c r="B1039" s="27" t="s">
        <v>180</v>
      </c>
      <c r="C1039" s="27" t="s">
        <v>50</v>
      </c>
      <c r="D1039" s="27" t="s">
        <v>7</v>
      </c>
      <c r="E1039" s="27" t="s">
        <v>17</v>
      </c>
      <c r="F1039" s="29"/>
      <c r="G1039" s="30">
        <v>2004</v>
      </c>
    </row>
    <row r="1040" spans="1:7" hidden="1" x14ac:dyDescent="0.25">
      <c r="A1040" s="28">
        <v>43556</v>
      </c>
      <c r="B1040" s="27" t="s">
        <v>180</v>
      </c>
      <c r="C1040" s="27" t="s">
        <v>50</v>
      </c>
      <c r="D1040" s="27" t="s">
        <v>7</v>
      </c>
      <c r="E1040" s="27" t="s">
        <v>18</v>
      </c>
      <c r="F1040" s="29"/>
      <c r="G1040" s="30">
        <v>90</v>
      </c>
    </row>
    <row r="1041" spans="1:7" hidden="1" x14ac:dyDescent="0.25">
      <c r="A1041" s="28">
        <v>43556</v>
      </c>
      <c r="B1041" s="27" t="s">
        <v>180</v>
      </c>
      <c r="C1041" s="27" t="s">
        <v>50</v>
      </c>
      <c r="D1041" s="27" t="s">
        <v>7</v>
      </c>
      <c r="E1041" s="27" t="s">
        <v>19</v>
      </c>
      <c r="F1041" s="29"/>
      <c r="G1041" s="30">
        <v>120</v>
      </c>
    </row>
    <row r="1042" spans="1:7" hidden="1" x14ac:dyDescent="0.25">
      <c r="A1042" s="28">
        <v>43556</v>
      </c>
      <c r="B1042" s="27" t="s">
        <v>180</v>
      </c>
      <c r="C1042" s="27" t="s">
        <v>50</v>
      </c>
      <c r="D1042" s="27" t="s">
        <v>7</v>
      </c>
      <c r="E1042" s="27" t="s">
        <v>20</v>
      </c>
      <c r="F1042" s="29"/>
      <c r="G1042" s="30">
        <v>445</v>
      </c>
    </row>
    <row r="1043" spans="1:7" hidden="1" x14ac:dyDescent="0.25">
      <c r="A1043" s="28">
        <v>43556</v>
      </c>
      <c r="B1043" s="27" t="s">
        <v>180</v>
      </c>
      <c r="C1043" s="27" t="s">
        <v>50</v>
      </c>
      <c r="D1043" s="27" t="s">
        <v>7</v>
      </c>
      <c r="E1043" s="27" t="s">
        <v>204</v>
      </c>
      <c r="F1043" s="29"/>
      <c r="G1043" s="30">
        <v>237</v>
      </c>
    </row>
    <row r="1044" spans="1:7" hidden="1" x14ac:dyDescent="0.25">
      <c r="A1044" s="28">
        <v>43556</v>
      </c>
      <c r="B1044" s="27" t="s">
        <v>180</v>
      </c>
      <c r="C1044" s="27" t="s">
        <v>50</v>
      </c>
      <c r="D1044" s="27" t="s">
        <v>7</v>
      </c>
      <c r="E1044" s="27" t="s">
        <v>37</v>
      </c>
      <c r="F1044" s="29"/>
      <c r="G1044" s="30">
        <v>1750</v>
      </c>
    </row>
    <row r="1045" spans="1:7" hidden="1" x14ac:dyDescent="0.25">
      <c r="A1045" s="28">
        <v>43556</v>
      </c>
      <c r="B1045" s="27" t="s">
        <v>181</v>
      </c>
      <c r="C1045" s="27" t="s">
        <v>50</v>
      </c>
      <c r="D1045" s="27" t="s">
        <v>6</v>
      </c>
      <c r="E1045" s="27" t="s">
        <v>15</v>
      </c>
      <c r="F1045" s="29"/>
      <c r="G1045" s="30">
        <v>436</v>
      </c>
    </row>
    <row r="1046" spans="1:7" hidden="1" x14ac:dyDescent="0.25">
      <c r="A1046" s="28">
        <v>43556</v>
      </c>
      <c r="B1046" s="27" t="s">
        <v>181</v>
      </c>
      <c r="C1046" s="27" t="s">
        <v>50</v>
      </c>
      <c r="D1046" s="27" t="s">
        <v>6</v>
      </c>
      <c r="E1046" s="27" t="s">
        <v>16</v>
      </c>
      <c r="F1046" s="29"/>
      <c r="G1046" s="30">
        <v>270.75</v>
      </c>
    </row>
    <row r="1047" spans="1:7" hidden="1" x14ac:dyDescent="0.25">
      <c r="A1047" s="28">
        <v>43556</v>
      </c>
      <c r="B1047" s="27" t="s">
        <v>181</v>
      </c>
      <c r="C1047" s="27" t="s">
        <v>50</v>
      </c>
      <c r="D1047" s="27" t="s">
        <v>6</v>
      </c>
      <c r="E1047" s="27" t="s">
        <v>19</v>
      </c>
      <c r="F1047" s="29"/>
      <c r="G1047" s="30">
        <v>151</v>
      </c>
    </row>
    <row r="1048" spans="1:7" hidden="1" x14ac:dyDescent="0.25">
      <c r="A1048" s="28">
        <v>43556</v>
      </c>
      <c r="B1048" s="27" t="s">
        <v>181</v>
      </c>
      <c r="C1048" s="27" t="s">
        <v>50</v>
      </c>
      <c r="D1048" s="27" t="s">
        <v>6</v>
      </c>
      <c r="E1048" s="27" t="s">
        <v>20</v>
      </c>
      <c r="F1048" s="29"/>
      <c r="G1048" s="30">
        <v>55</v>
      </c>
    </row>
    <row r="1049" spans="1:7" hidden="1" x14ac:dyDescent="0.25">
      <c r="A1049" s="28">
        <v>43556</v>
      </c>
      <c r="B1049" s="27" t="s">
        <v>25</v>
      </c>
      <c r="C1049" s="27" t="s">
        <v>50</v>
      </c>
      <c r="D1049" s="27" t="s">
        <v>7</v>
      </c>
      <c r="E1049" s="27" t="s">
        <v>8</v>
      </c>
      <c r="F1049" s="29"/>
      <c r="G1049" s="30">
        <v>50.617777777777782</v>
      </c>
    </row>
    <row r="1050" spans="1:7" hidden="1" x14ac:dyDescent="0.25">
      <c r="A1050" s="28">
        <v>43556</v>
      </c>
      <c r="B1050" s="27" t="s">
        <v>25</v>
      </c>
      <c r="C1050" s="27" t="s">
        <v>50</v>
      </c>
      <c r="D1050" s="27" t="s">
        <v>7</v>
      </c>
      <c r="E1050" s="27" t="s">
        <v>9</v>
      </c>
      <c r="F1050" s="29"/>
      <c r="G1050" s="30">
        <v>50.617777777777782</v>
      </c>
    </row>
    <row r="1051" spans="1:7" hidden="1" x14ac:dyDescent="0.25">
      <c r="A1051" s="28">
        <v>43556</v>
      </c>
      <c r="B1051" s="27" t="s">
        <v>25</v>
      </c>
      <c r="C1051" s="27" t="s">
        <v>50</v>
      </c>
      <c r="D1051" s="27" t="s">
        <v>7</v>
      </c>
      <c r="E1051" s="27" t="s">
        <v>64</v>
      </c>
      <c r="F1051" s="29"/>
      <c r="G1051" s="30">
        <v>50.617777777777782</v>
      </c>
    </row>
    <row r="1052" spans="1:7" hidden="1" x14ac:dyDescent="0.25">
      <c r="A1052" s="28">
        <v>43556</v>
      </c>
      <c r="B1052" s="27" t="s">
        <v>25</v>
      </c>
      <c r="C1052" s="27" t="s">
        <v>50</v>
      </c>
      <c r="D1052" s="27" t="s">
        <v>7</v>
      </c>
      <c r="E1052" s="27" t="s">
        <v>21</v>
      </c>
      <c r="F1052" s="29"/>
      <c r="G1052" s="30">
        <v>50.617777777777782</v>
      </c>
    </row>
    <row r="1053" spans="1:7" hidden="1" x14ac:dyDescent="0.25">
      <c r="A1053" s="28">
        <v>43556</v>
      </c>
      <c r="B1053" s="27" t="s">
        <v>25</v>
      </c>
      <c r="C1053" s="27" t="s">
        <v>50</v>
      </c>
      <c r="D1053" s="27" t="s">
        <v>7</v>
      </c>
      <c r="E1053" s="27" t="s">
        <v>21</v>
      </c>
      <c r="F1053" s="29"/>
      <c r="G1053" s="30">
        <v>50.617777777777782</v>
      </c>
    </row>
    <row r="1054" spans="1:7" hidden="1" x14ac:dyDescent="0.25">
      <c r="A1054" s="28">
        <v>43556</v>
      </c>
      <c r="B1054" s="27" t="s">
        <v>25</v>
      </c>
      <c r="C1054" s="27" t="s">
        <v>50</v>
      </c>
      <c r="D1054" s="27" t="s">
        <v>7</v>
      </c>
      <c r="E1054" s="27" t="s">
        <v>10</v>
      </c>
      <c r="F1054" s="29"/>
      <c r="G1054" s="30">
        <v>50.617777777777782</v>
      </c>
    </row>
    <row r="1055" spans="1:7" hidden="1" x14ac:dyDescent="0.25">
      <c r="A1055" s="28">
        <v>43556</v>
      </c>
      <c r="B1055" s="27" t="s">
        <v>25</v>
      </c>
      <c r="C1055" s="27" t="s">
        <v>50</v>
      </c>
      <c r="D1055" s="27" t="s">
        <v>7</v>
      </c>
      <c r="E1055" s="27" t="s">
        <v>11</v>
      </c>
      <c r="F1055" s="29"/>
      <c r="G1055" s="30">
        <v>50.617777777777782</v>
      </c>
    </row>
    <row r="1056" spans="1:7" hidden="1" x14ac:dyDescent="0.25">
      <c r="A1056" s="28">
        <v>43556</v>
      </c>
      <c r="B1056" s="27" t="s">
        <v>25</v>
      </c>
      <c r="C1056" s="27" t="s">
        <v>50</v>
      </c>
      <c r="D1056" s="27" t="s">
        <v>7</v>
      </c>
      <c r="E1056" s="27" t="s">
        <v>12</v>
      </c>
      <c r="F1056" s="29"/>
      <c r="G1056" s="30">
        <v>50.617777777777782</v>
      </c>
    </row>
    <row r="1057" spans="1:7" hidden="1" x14ac:dyDescent="0.25">
      <c r="A1057" s="28">
        <v>43556</v>
      </c>
      <c r="B1057" s="27" t="s">
        <v>25</v>
      </c>
      <c r="C1057" s="27" t="s">
        <v>50</v>
      </c>
      <c r="D1057" s="27" t="s">
        <v>7</v>
      </c>
      <c r="E1057" s="27" t="s">
        <v>13</v>
      </c>
      <c r="F1057" s="29"/>
      <c r="G1057" s="30">
        <v>50.617777777777782</v>
      </c>
    </row>
    <row r="1058" spans="1:7" hidden="1" x14ac:dyDescent="0.25">
      <c r="A1058" s="28">
        <v>43556</v>
      </c>
      <c r="B1058" s="27" t="s">
        <v>25</v>
      </c>
      <c r="C1058" s="27" t="s">
        <v>50</v>
      </c>
      <c r="D1058" s="27" t="s">
        <v>7</v>
      </c>
      <c r="E1058" s="27" t="s">
        <v>14</v>
      </c>
      <c r="F1058" s="29"/>
      <c r="G1058" s="30">
        <v>50.617777777777782</v>
      </c>
    </row>
    <row r="1059" spans="1:7" hidden="1" x14ac:dyDescent="0.25">
      <c r="A1059" s="28">
        <v>43556</v>
      </c>
      <c r="B1059" s="27" t="s">
        <v>25</v>
      </c>
      <c r="C1059" s="27" t="s">
        <v>50</v>
      </c>
      <c r="D1059" s="27" t="s">
        <v>7</v>
      </c>
      <c r="E1059" s="27" t="s">
        <v>15</v>
      </c>
      <c r="F1059" s="29"/>
      <c r="G1059" s="30">
        <v>50.617777777777782</v>
      </c>
    </row>
    <row r="1060" spans="1:7" hidden="1" x14ac:dyDescent="0.25">
      <c r="A1060" s="28">
        <v>43556</v>
      </c>
      <c r="B1060" s="27" t="s">
        <v>25</v>
      </c>
      <c r="C1060" s="27" t="s">
        <v>50</v>
      </c>
      <c r="D1060" s="27" t="s">
        <v>7</v>
      </c>
      <c r="E1060" s="27" t="s">
        <v>16</v>
      </c>
      <c r="F1060" s="29"/>
      <c r="G1060" s="30">
        <v>50.617777777777782</v>
      </c>
    </row>
    <row r="1061" spans="1:7" hidden="1" x14ac:dyDescent="0.25">
      <c r="A1061" s="28">
        <v>43556</v>
      </c>
      <c r="B1061" s="27" t="s">
        <v>25</v>
      </c>
      <c r="C1061" s="27" t="s">
        <v>50</v>
      </c>
      <c r="D1061" s="27" t="s">
        <v>7</v>
      </c>
      <c r="E1061" s="27" t="s">
        <v>17</v>
      </c>
      <c r="F1061" s="29"/>
      <c r="G1061" s="30">
        <v>50.617777777777782</v>
      </c>
    </row>
    <row r="1062" spans="1:7" hidden="1" x14ac:dyDescent="0.25">
      <c r="A1062" s="28">
        <v>43556</v>
      </c>
      <c r="B1062" s="27" t="s">
        <v>25</v>
      </c>
      <c r="C1062" s="27" t="s">
        <v>50</v>
      </c>
      <c r="D1062" s="27" t="s">
        <v>7</v>
      </c>
      <c r="E1062" s="27" t="s">
        <v>18</v>
      </c>
      <c r="F1062" s="29"/>
      <c r="G1062" s="30">
        <v>50.617777777777782</v>
      </c>
    </row>
    <row r="1063" spans="1:7" hidden="1" x14ac:dyDescent="0.25">
      <c r="A1063" s="28">
        <v>43556</v>
      </c>
      <c r="B1063" s="27" t="s">
        <v>25</v>
      </c>
      <c r="C1063" s="27" t="s">
        <v>50</v>
      </c>
      <c r="D1063" s="27" t="s">
        <v>7</v>
      </c>
      <c r="E1063" s="27" t="s">
        <v>19</v>
      </c>
      <c r="F1063" s="29"/>
      <c r="G1063" s="30">
        <v>50.617777777777782</v>
      </c>
    </row>
    <row r="1064" spans="1:7" hidden="1" x14ac:dyDescent="0.25">
      <c r="A1064" s="28">
        <v>43556</v>
      </c>
      <c r="B1064" s="27" t="s">
        <v>25</v>
      </c>
      <c r="C1064" s="27" t="s">
        <v>50</v>
      </c>
      <c r="D1064" s="27" t="s">
        <v>7</v>
      </c>
      <c r="E1064" s="27" t="s">
        <v>20</v>
      </c>
      <c r="F1064" s="29"/>
      <c r="G1064" s="30">
        <v>50.617777777777782</v>
      </c>
    </row>
    <row r="1065" spans="1:7" hidden="1" x14ac:dyDescent="0.25">
      <c r="A1065" s="28">
        <v>43556</v>
      </c>
      <c r="B1065" s="27" t="s">
        <v>25</v>
      </c>
      <c r="C1065" s="27" t="s">
        <v>50</v>
      </c>
      <c r="D1065" s="27" t="s">
        <v>7</v>
      </c>
      <c r="E1065" s="27" t="s">
        <v>204</v>
      </c>
      <c r="F1065" s="29"/>
      <c r="G1065" s="30">
        <v>50.617777777777782</v>
      </c>
    </row>
    <row r="1066" spans="1:7" hidden="1" x14ac:dyDescent="0.25">
      <c r="A1066" s="28">
        <v>43556</v>
      </c>
      <c r="B1066" s="27" t="s">
        <v>25</v>
      </c>
      <c r="C1066" s="27" t="s">
        <v>50</v>
      </c>
      <c r="D1066" s="27" t="s">
        <v>7</v>
      </c>
      <c r="E1066" s="27" t="s">
        <v>205</v>
      </c>
      <c r="F1066" s="29"/>
      <c r="G1066" s="30">
        <v>50.617777777777782</v>
      </c>
    </row>
    <row r="1067" spans="1:7" hidden="1" x14ac:dyDescent="0.25">
      <c r="A1067" s="28">
        <v>43556</v>
      </c>
      <c r="B1067" s="27" t="s">
        <v>2</v>
      </c>
      <c r="C1067" s="27" t="s">
        <v>50</v>
      </c>
      <c r="D1067" s="27" t="s">
        <v>7</v>
      </c>
      <c r="E1067" s="27" t="s">
        <v>8</v>
      </c>
      <c r="F1067" s="29"/>
      <c r="G1067" s="30">
        <v>20.36</v>
      </c>
    </row>
    <row r="1068" spans="1:7" hidden="1" x14ac:dyDescent="0.25">
      <c r="A1068" s="28">
        <v>43556</v>
      </c>
      <c r="B1068" s="27" t="s">
        <v>2</v>
      </c>
      <c r="C1068" s="27" t="s">
        <v>50</v>
      </c>
      <c r="D1068" s="27" t="s">
        <v>7</v>
      </c>
      <c r="E1068" s="27" t="s">
        <v>9</v>
      </c>
      <c r="F1068" s="29"/>
      <c r="G1068" s="30">
        <v>723.52</v>
      </c>
    </row>
    <row r="1069" spans="1:7" hidden="1" x14ac:dyDescent="0.25">
      <c r="A1069" s="28">
        <v>43556</v>
      </c>
      <c r="B1069" s="27" t="s">
        <v>2</v>
      </c>
      <c r="C1069" s="27" t="s">
        <v>50</v>
      </c>
      <c r="D1069" s="27" t="s">
        <v>7</v>
      </c>
      <c r="E1069" s="27" t="s">
        <v>64</v>
      </c>
      <c r="F1069" s="29"/>
      <c r="G1069" s="30">
        <v>633.96</v>
      </c>
    </row>
    <row r="1070" spans="1:7" hidden="1" x14ac:dyDescent="0.25">
      <c r="A1070" s="28">
        <v>43556</v>
      </c>
      <c r="B1070" s="27" t="s">
        <v>2</v>
      </c>
      <c r="C1070" s="27" t="s">
        <v>50</v>
      </c>
      <c r="D1070" s="27" t="s">
        <v>7</v>
      </c>
      <c r="E1070" s="27" t="s">
        <v>21</v>
      </c>
      <c r="F1070" s="29"/>
      <c r="G1070" s="30">
        <v>928.86</v>
      </c>
    </row>
    <row r="1071" spans="1:7" hidden="1" x14ac:dyDescent="0.25">
      <c r="A1071" s="28">
        <v>43556</v>
      </c>
      <c r="B1071" s="27" t="s">
        <v>2</v>
      </c>
      <c r="C1071" s="27" t="s">
        <v>50</v>
      </c>
      <c r="D1071" s="27" t="s">
        <v>7</v>
      </c>
      <c r="E1071" s="27" t="s">
        <v>21</v>
      </c>
      <c r="F1071" s="29"/>
      <c r="G1071" s="30">
        <v>425.36</v>
      </c>
    </row>
    <row r="1072" spans="1:7" hidden="1" x14ac:dyDescent="0.25">
      <c r="A1072" s="28">
        <v>43556</v>
      </c>
      <c r="B1072" s="27" t="s">
        <v>2</v>
      </c>
      <c r="C1072" s="27" t="s">
        <v>50</v>
      </c>
      <c r="D1072" s="27" t="s">
        <v>7</v>
      </c>
      <c r="E1072" s="27" t="s">
        <v>10</v>
      </c>
      <c r="F1072" s="29"/>
      <c r="G1072" s="30">
        <v>595.76</v>
      </c>
    </row>
    <row r="1073" spans="1:7" hidden="1" x14ac:dyDescent="0.25">
      <c r="A1073" s="28">
        <v>43556</v>
      </c>
      <c r="B1073" s="27" t="s">
        <v>2</v>
      </c>
      <c r="C1073" s="27" t="s">
        <v>50</v>
      </c>
      <c r="D1073" s="27" t="s">
        <v>7</v>
      </c>
      <c r="E1073" s="27" t="s">
        <v>11</v>
      </c>
      <c r="F1073" s="29"/>
      <c r="G1073" s="30">
        <v>70.959999999999994</v>
      </c>
    </row>
    <row r="1074" spans="1:7" hidden="1" x14ac:dyDescent="0.25">
      <c r="A1074" s="28">
        <v>43556</v>
      </c>
      <c r="B1074" s="27" t="s">
        <v>2</v>
      </c>
      <c r="C1074" s="27" t="s">
        <v>50</v>
      </c>
      <c r="D1074" s="27" t="s">
        <v>7</v>
      </c>
      <c r="E1074" s="27" t="s">
        <v>12</v>
      </c>
      <c r="F1074" s="29"/>
      <c r="G1074" s="30">
        <v>374.96</v>
      </c>
    </row>
    <row r="1075" spans="1:7" hidden="1" x14ac:dyDescent="0.25">
      <c r="A1075" s="28">
        <v>43556</v>
      </c>
      <c r="B1075" s="27" t="s">
        <v>2</v>
      </c>
      <c r="C1075" s="27" t="s">
        <v>50</v>
      </c>
      <c r="D1075" s="27" t="s">
        <v>7</v>
      </c>
      <c r="E1075" s="27" t="s">
        <v>13</v>
      </c>
      <c r="F1075" s="29"/>
      <c r="G1075" s="30">
        <v>1005.56</v>
      </c>
    </row>
    <row r="1076" spans="1:7" hidden="1" x14ac:dyDescent="0.25">
      <c r="A1076" s="28">
        <v>43556</v>
      </c>
      <c r="B1076" s="27" t="s">
        <v>2</v>
      </c>
      <c r="C1076" s="27" t="s">
        <v>50</v>
      </c>
      <c r="D1076" s="27" t="s">
        <v>7</v>
      </c>
      <c r="E1076" s="27" t="s">
        <v>14</v>
      </c>
      <c r="F1076" s="29"/>
      <c r="G1076" s="30">
        <v>274.97000000000003</v>
      </c>
    </row>
    <row r="1077" spans="1:7" hidden="1" x14ac:dyDescent="0.25">
      <c r="A1077" s="28">
        <v>43556</v>
      </c>
      <c r="B1077" s="27" t="s">
        <v>2</v>
      </c>
      <c r="C1077" s="27" t="s">
        <v>50</v>
      </c>
      <c r="D1077" s="27" t="s">
        <v>7</v>
      </c>
      <c r="E1077" s="27" t="s">
        <v>15</v>
      </c>
      <c r="F1077" s="29"/>
      <c r="G1077" s="30">
        <v>466.62</v>
      </c>
    </row>
    <row r="1078" spans="1:7" hidden="1" x14ac:dyDescent="0.25">
      <c r="A1078" s="28">
        <v>43556</v>
      </c>
      <c r="B1078" s="27" t="s">
        <v>2</v>
      </c>
      <c r="C1078" s="27" t="s">
        <v>50</v>
      </c>
      <c r="D1078" s="27" t="s">
        <v>7</v>
      </c>
      <c r="E1078" s="27" t="s">
        <v>16</v>
      </c>
      <c r="F1078" s="29"/>
      <c r="G1078" s="30">
        <v>615.02</v>
      </c>
    </row>
    <row r="1079" spans="1:7" hidden="1" x14ac:dyDescent="0.25">
      <c r="A1079" s="28">
        <v>43556</v>
      </c>
      <c r="B1079" s="27" t="s">
        <v>2</v>
      </c>
      <c r="C1079" s="27" t="s">
        <v>50</v>
      </c>
      <c r="D1079" s="27" t="s">
        <v>7</v>
      </c>
      <c r="E1079" s="27" t="s">
        <v>17</v>
      </c>
      <c r="F1079" s="29"/>
      <c r="G1079" s="30">
        <v>1408.42</v>
      </c>
    </row>
    <row r="1080" spans="1:7" hidden="1" x14ac:dyDescent="0.25">
      <c r="A1080" s="28">
        <v>43556</v>
      </c>
      <c r="B1080" s="27" t="s">
        <v>2</v>
      </c>
      <c r="C1080" s="27" t="s">
        <v>50</v>
      </c>
      <c r="D1080" s="27" t="s">
        <v>7</v>
      </c>
      <c r="E1080" s="27" t="s">
        <v>18</v>
      </c>
      <c r="F1080" s="29"/>
      <c r="G1080" s="30">
        <v>218.97</v>
      </c>
    </row>
    <row r="1081" spans="1:7" hidden="1" x14ac:dyDescent="0.25">
      <c r="A1081" s="28">
        <v>43556</v>
      </c>
      <c r="B1081" s="27" t="s">
        <v>2</v>
      </c>
      <c r="C1081" s="27" t="s">
        <v>50</v>
      </c>
      <c r="D1081" s="27" t="s">
        <v>7</v>
      </c>
      <c r="E1081" s="27" t="s">
        <v>19</v>
      </c>
      <c r="F1081" s="29"/>
      <c r="G1081" s="30">
        <v>704.62</v>
      </c>
    </row>
    <row r="1082" spans="1:7" hidden="1" x14ac:dyDescent="0.25">
      <c r="A1082" s="28">
        <v>43556</v>
      </c>
      <c r="B1082" s="27" t="s">
        <v>2</v>
      </c>
      <c r="C1082" s="27" t="s">
        <v>50</v>
      </c>
      <c r="D1082" s="27" t="s">
        <v>7</v>
      </c>
      <c r="E1082" s="27" t="s">
        <v>20</v>
      </c>
      <c r="F1082" s="29"/>
      <c r="G1082" s="30">
        <v>87.91</v>
      </c>
    </row>
    <row r="1083" spans="1:7" hidden="1" x14ac:dyDescent="0.25">
      <c r="A1083" s="28">
        <v>43556</v>
      </c>
      <c r="B1083" s="27" t="s">
        <v>2</v>
      </c>
      <c r="C1083" s="27" t="s">
        <v>50</v>
      </c>
      <c r="D1083" s="27" t="s">
        <v>7</v>
      </c>
      <c r="E1083" s="27" t="s">
        <v>204</v>
      </c>
      <c r="F1083" s="29"/>
      <c r="G1083" s="30">
        <v>158.87</v>
      </c>
    </row>
    <row r="1084" spans="1:7" hidden="1" x14ac:dyDescent="0.25">
      <c r="A1084" s="28">
        <v>43556</v>
      </c>
      <c r="B1084" s="27" t="s">
        <v>36</v>
      </c>
      <c r="C1084" s="27" t="s">
        <v>50</v>
      </c>
      <c r="D1084" s="27" t="s">
        <v>6</v>
      </c>
      <c r="E1084" s="27" t="s">
        <v>8</v>
      </c>
      <c r="F1084" s="29"/>
      <c r="G1084" s="30">
        <v>436.62</v>
      </c>
    </row>
    <row r="1085" spans="1:7" hidden="1" x14ac:dyDescent="0.25">
      <c r="A1085" s="28">
        <v>43556</v>
      </c>
      <c r="B1085" s="27" t="s">
        <v>36</v>
      </c>
      <c r="C1085" s="27" t="s">
        <v>50</v>
      </c>
      <c r="D1085" s="27" t="s">
        <v>6</v>
      </c>
      <c r="E1085" s="27" t="s">
        <v>9</v>
      </c>
      <c r="F1085" s="29"/>
      <c r="G1085" s="30">
        <v>54.5</v>
      </c>
    </row>
    <row r="1086" spans="1:7" hidden="1" x14ac:dyDescent="0.25">
      <c r="A1086" s="28">
        <v>43556</v>
      </c>
      <c r="B1086" s="27" t="s">
        <v>36</v>
      </c>
      <c r="C1086" s="27" t="s">
        <v>50</v>
      </c>
      <c r="D1086" s="27" t="s">
        <v>6</v>
      </c>
      <c r="E1086" s="27" t="s">
        <v>64</v>
      </c>
      <c r="F1086" s="29"/>
      <c r="G1086" s="30">
        <v>54.5</v>
      </c>
    </row>
    <row r="1087" spans="1:7" hidden="1" x14ac:dyDescent="0.25">
      <c r="A1087" s="28">
        <v>43556</v>
      </c>
      <c r="B1087" s="27" t="s">
        <v>36</v>
      </c>
      <c r="C1087" s="27" t="s">
        <v>50</v>
      </c>
      <c r="D1087" s="27" t="s">
        <v>6</v>
      </c>
      <c r="E1087" s="27" t="s">
        <v>21</v>
      </c>
      <c r="F1087" s="29"/>
      <c r="G1087" s="30">
        <v>92.28</v>
      </c>
    </row>
    <row r="1088" spans="1:7" hidden="1" x14ac:dyDescent="0.25">
      <c r="A1088" s="28">
        <v>43556</v>
      </c>
      <c r="B1088" s="27" t="s">
        <v>36</v>
      </c>
      <c r="C1088" s="27" t="s">
        <v>50</v>
      </c>
      <c r="D1088" s="27" t="s">
        <v>6</v>
      </c>
      <c r="E1088" s="27" t="s">
        <v>21</v>
      </c>
      <c r="F1088" s="29"/>
      <c r="G1088" s="30">
        <v>92.28</v>
      </c>
    </row>
    <row r="1089" spans="1:7" hidden="1" x14ac:dyDescent="0.25">
      <c r="A1089" s="28">
        <v>43556</v>
      </c>
      <c r="B1089" s="27" t="s">
        <v>36</v>
      </c>
      <c r="C1089" s="27" t="s">
        <v>50</v>
      </c>
      <c r="D1089" s="27" t="s">
        <v>6</v>
      </c>
      <c r="E1089" s="27" t="s">
        <v>10</v>
      </c>
      <c r="F1089" s="29"/>
      <c r="G1089" s="30">
        <v>436.62</v>
      </c>
    </row>
    <row r="1090" spans="1:7" hidden="1" x14ac:dyDescent="0.25">
      <c r="A1090" s="28">
        <v>43556</v>
      </c>
      <c r="B1090" s="27" t="s">
        <v>36</v>
      </c>
      <c r="C1090" s="27" t="s">
        <v>50</v>
      </c>
      <c r="D1090" s="27" t="s">
        <v>6</v>
      </c>
      <c r="E1090" s="27" t="s">
        <v>11</v>
      </c>
      <c r="F1090" s="29"/>
      <c r="G1090" s="30">
        <v>73.88</v>
      </c>
    </row>
    <row r="1091" spans="1:7" hidden="1" x14ac:dyDescent="0.25">
      <c r="A1091" s="28">
        <v>43556</v>
      </c>
      <c r="B1091" s="27" t="s">
        <v>36</v>
      </c>
      <c r="C1091" s="27" t="s">
        <v>50</v>
      </c>
      <c r="D1091" s="27" t="s">
        <v>6</v>
      </c>
      <c r="E1091" s="27" t="s">
        <v>12</v>
      </c>
      <c r="F1091" s="29"/>
      <c r="G1091" s="30">
        <v>73.88</v>
      </c>
    </row>
    <row r="1092" spans="1:7" hidden="1" x14ac:dyDescent="0.25">
      <c r="A1092" s="28">
        <v>43556</v>
      </c>
      <c r="B1092" s="27" t="s">
        <v>36</v>
      </c>
      <c r="C1092" s="27" t="s">
        <v>50</v>
      </c>
      <c r="D1092" s="27" t="s">
        <v>6</v>
      </c>
      <c r="E1092" s="27" t="s">
        <v>13</v>
      </c>
      <c r="F1092" s="29"/>
      <c r="G1092" s="30">
        <v>54.5</v>
      </c>
    </row>
    <row r="1093" spans="1:7" hidden="1" x14ac:dyDescent="0.25">
      <c r="A1093" s="28">
        <v>43556</v>
      </c>
      <c r="B1093" s="27" t="s">
        <v>36</v>
      </c>
      <c r="C1093" s="27" t="s">
        <v>50</v>
      </c>
      <c r="D1093" s="27" t="s">
        <v>6</v>
      </c>
      <c r="E1093" s="27" t="s">
        <v>14</v>
      </c>
      <c r="F1093" s="29"/>
      <c r="G1093" s="30">
        <v>73.88</v>
      </c>
    </row>
    <row r="1094" spans="1:7" hidden="1" x14ac:dyDescent="0.25">
      <c r="A1094" s="28">
        <v>43556</v>
      </c>
      <c r="B1094" s="27" t="s">
        <v>36</v>
      </c>
      <c r="C1094" s="27" t="s">
        <v>50</v>
      </c>
      <c r="D1094" s="27" t="s">
        <v>6</v>
      </c>
      <c r="E1094" s="27" t="s">
        <v>15</v>
      </c>
      <c r="F1094" s="29"/>
      <c r="G1094" s="30">
        <v>54.5</v>
      </c>
    </row>
    <row r="1095" spans="1:7" hidden="1" x14ac:dyDescent="0.25">
      <c r="A1095" s="28">
        <v>43556</v>
      </c>
      <c r="B1095" s="27" t="s">
        <v>36</v>
      </c>
      <c r="C1095" s="27" t="s">
        <v>50</v>
      </c>
      <c r="D1095" s="27" t="s">
        <v>6</v>
      </c>
      <c r="E1095" s="27" t="s">
        <v>16</v>
      </c>
      <c r="F1095" s="29"/>
      <c r="G1095" s="30">
        <v>54.5</v>
      </c>
    </row>
    <row r="1096" spans="1:7" hidden="1" x14ac:dyDescent="0.25">
      <c r="A1096" s="28">
        <v>43556</v>
      </c>
      <c r="B1096" s="27" t="s">
        <v>36</v>
      </c>
      <c r="C1096" s="27" t="s">
        <v>50</v>
      </c>
      <c r="D1096" s="27" t="s">
        <v>6</v>
      </c>
      <c r="E1096" s="27" t="s">
        <v>18</v>
      </c>
      <c r="F1096" s="29"/>
      <c r="G1096" s="30">
        <v>54.5</v>
      </c>
    </row>
    <row r="1097" spans="1:7" hidden="1" x14ac:dyDescent="0.25">
      <c r="A1097" s="28">
        <v>43556</v>
      </c>
      <c r="B1097" s="27" t="s">
        <v>36</v>
      </c>
      <c r="C1097" s="27" t="s">
        <v>50</v>
      </c>
      <c r="D1097" s="27" t="s">
        <v>6</v>
      </c>
      <c r="E1097" s="27" t="s">
        <v>19</v>
      </c>
      <c r="F1097" s="29"/>
      <c r="G1097" s="30">
        <v>54.5</v>
      </c>
    </row>
    <row r="1098" spans="1:7" hidden="1" x14ac:dyDescent="0.25">
      <c r="A1098" s="28">
        <v>43556</v>
      </c>
      <c r="B1098" s="27" t="s">
        <v>36</v>
      </c>
      <c r="C1098" s="27" t="s">
        <v>50</v>
      </c>
      <c r="D1098" s="27" t="s">
        <v>6</v>
      </c>
      <c r="E1098" s="27" t="s">
        <v>20</v>
      </c>
      <c r="F1098" s="29"/>
      <c r="G1098" s="30">
        <v>93.33</v>
      </c>
    </row>
    <row r="1099" spans="1:7" hidden="1" x14ac:dyDescent="0.25">
      <c r="A1099" s="28">
        <v>43556</v>
      </c>
      <c r="B1099" s="27" t="s">
        <v>200</v>
      </c>
      <c r="C1099" s="27" t="s">
        <v>53</v>
      </c>
      <c r="D1099" s="27" t="s">
        <v>6</v>
      </c>
      <c r="E1099" s="27" t="s">
        <v>8</v>
      </c>
      <c r="F1099" s="29"/>
      <c r="G1099" s="30">
        <f t="shared" ref="G1099:G1116" si="18">6869.31844444445/18</f>
        <v>381.62880246913608</v>
      </c>
    </row>
    <row r="1100" spans="1:7" hidden="1" x14ac:dyDescent="0.25">
      <c r="A1100" s="28">
        <v>43556</v>
      </c>
      <c r="B1100" s="27" t="s">
        <v>200</v>
      </c>
      <c r="C1100" s="27" t="s">
        <v>53</v>
      </c>
      <c r="D1100" s="27" t="s">
        <v>6</v>
      </c>
      <c r="E1100" s="27" t="s">
        <v>9</v>
      </c>
      <c r="F1100" s="29"/>
      <c r="G1100" s="30">
        <f t="shared" si="18"/>
        <v>381.62880246913608</v>
      </c>
    </row>
    <row r="1101" spans="1:7" hidden="1" x14ac:dyDescent="0.25">
      <c r="A1101" s="28">
        <v>43556</v>
      </c>
      <c r="B1101" s="27" t="s">
        <v>200</v>
      </c>
      <c r="C1101" s="27" t="s">
        <v>53</v>
      </c>
      <c r="D1101" s="27" t="s">
        <v>6</v>
      </c>
      <c r="E1101" s="27" t="s">
        <v>64</v>
      </c>
      <c r="F1101" s="29"/>
      <c r="G1101" s="30">
        <f t="shared" si="18"/>
        <v>381.62880246913608</v>
      </c>
    </row>
    <row r="1102" spans="1:7" hidden="1" x14ac:dyDescent="0.25">
      <c r="A1102" s="28">
        <v>43556</v>
      </c>
      <c r="B1102" s="27" t="s">
        <v>200</v>
      </c>
      <c r="C1102" s="27" t="s">
        <v>53</v>
      </c>
      <c r="D1102" s="27" t="s">
        <v>6</v>
      </c>
      <c r="E1102" s="27" t="s">
        <v>21</v>
      </c>
      <c r="F1102" s="29"/>
      <c r="G1102" s="30">
        <f t="shared" si="18"/>
        <v>381.62880246913608</v>
      </c>
    </row>
    <row r="1103" spans="1:7" hidden="1" x14ac:dyDescent="0.25">
      <c r="A1103" s="28">
        <v>43556</v>
      </c>
      <c r="B1103" s="27" t="s">
        <v>200</v>
      </c>
      <c r="C1103" s="27" t="s">
        <v>53</v>
      </c>
      <c r="D1103" s="27" t="s">
        <v>6</v>
      </c>
      <c r="E1103" s="27" t="s">
        <v>21</v>
      </c>
      <c r="F1103" s="29"/>
      <c r="G1103" s="30">
        <f t="shared" si="18"/>
        <v>381.62880246913608</v>
      </c>
    </row>
    <row r="1104" spans="1:7" hidden="1" x14ac:dyDescent="0.25">
      <c r="A1104" s="28">
        <v>43556</v>
      </c>
      <c r="B1104" s="27" t="s">
        <v>200</v>
      </c>
      <c r="C1104" s="27" t="s">
        <v>53</v>
      </c>
      <c r="D1104" s="27" t="s">
        <v>6</v>
      </c>
      <c r="E1104" s="27" t="s">
        <v>10</v>
      </c>
      <c r="F1104" s="29"/>
      <c r="G1104" s="30">
        <f t="shared" si="18"/>
        <v>381.62880246913608</v>
      </c>
    </row>
    <row r="1105" spans="1:7" hidden="1" x14ac:dyDescent="0.25">
      <c r="A1105" s="28">
        <v>43556</v>
      </c>
      <c r="B1105" s="27" t="s">
        <v>200</v>
      </c>
      <c r="C1105" s="27" t="s">
        <v>53</v>
      </c>
      <c r="D1105" s="27" t="s">
        <v>6</v>
      </c>
      <c r="E1105" s="27" t="s">
        <v>11</v>
      </c>
      <c r="F1105" s="29"/>
      <c r="G1105" s="30">
        <f t="shared" si="18"/>
        <v>381.62880246913608</v>
      </c>
    </row>
    <row r="1106" spans="1:7" hidden="1" x14ac:dyDescent="0.25">
      <c r="A1106" s="28">
        <v>43556</v>
      </c>
      <c r="B1106" s="27" t="s">
        <v>200</v>
      </c>
      <c r="C1106" s="27" t="s">
        <v>53</v>
      </c>
      <c r="D1106" s="27" t="s">
        <v>6</v>
      </c>
      <c r="E1106" s="27" t="s">
        <v>12</v>
      </c>
      <c r="F1106" s="29"/>
      <c r="G1106" s="30">
        <f t="shared" si="18"/>
        <v>381.62880246913608</v>
      </c>
    </row>
    <row r="1107" spans="1:7" hidden="1" x14ac:dyDescent="0.25">
      <c r="A1107" s="28">
        <v>43556</v>
      </c>
      <c r="B1107" s="27" t="s">
        <v>200</v>
      </c>
      <c r="C1107" s="27" t="s">
        <v>53</v>
      </c>
      <c r="D1107" s="27" t="s">
        <v>6</v>
      </c>
      <c r="E1107" s="27" t="s">
        <v>13</v>
      </c>
      <c r="F1107" s="29"/>
      <c r="G1107" s="30">
        <f t="shared" si="18"/>
        <v>381.62880246913608</v>
      </c>
    </row>
    <row r="1108" spans="1:7" hidden="1" x14ac:dyDescent="0.25">
      <c r="A1108" s="28">
        <v>43556</v>
      </c>
      <c r="B1108" s="27" t="s">
        <v>200</v>
      </c>
      <c r="C1108" s="27" t="s">
        <v>53</v>
      </c>
      <c r="D1108" s="27" t="s">
        <v>6</v>
      </c>
      <c r="E1108" s="27" t="s">
        <v>14</v>
      </c>
      <c r="F1108" s="29"/>
      <c r="G1108" s="30">
        <f t="shared" si="18"/>
        <v>381.62880246913608</v>
      </c>
    </row>
    <row r="1109" spans="1:7" hidden="1" x14ac:dyDescent="0.25">
      <c r="A1109" s="28">
        <v>43556</v>
      </c>
      <c r="B1109" s="27" t="s">
        <v>200</v>
      </c>
      <c r="C1109" s="27" t="s">
        <v>53</v>
      </c>
      <c r="D1109" s="27" t="s">
        <v>6</v>
      </c>
      <c r="E1109" s="27" t="s">
        <v>15</v>
      </c>
      <c r="F1109" s="29"/>
      <c r="G1109" s="30">
        <f t="shared" si="18"/>
        <v>381.62880246913608</v>
      </c>
    </row>
    <row r="1110" spans="1:7" hidden="1" x14ac:dyDescent="0.25">
      <c r="A1110" s="28">
        <v>43556</v>
      </c>
      <c r="B1110" s="27" t="s">
        <v>200</v>
      </c>
      <c r="C1110" s="27" t="s">
        <v>53</v>
      </c>
      <c r="D1110" s="27" t="s">
        <v>6</v>
      </c>
      <c r="E1110" s="27" t="s">
        <v>16</v>
      </c>
      <c r="F1110" s="29"/>
      <c r="G1110" s="30">
        <f t="shared" si="18"/>
        <v>381.62880246913608</v>
      </c>
    </row>
    <row r="1111" spans="1:7" hidden="1" x14ac:dyDescent="0.25">
      <c r="A1111" s="28">
        <v>43556</v>
      </c>
      <c r="B1111" s="27" t="s">
        <v>200</v>
      </c>
      <c r="C1111" s="27" t="s">
        <v>53</v>
      </c>
      <c r="D1111" s="27" t="s">
        <v>6</v>
      </c>
      <c r="E1111" s="27" t="s">
        <v>17</v>
      </c>
      <c r="F1111" s="29"/>
      <c r="G1111" s="30">
        <f t="shared" si="18"/>
        <v>381.62880246913608</v>
      </c>
    </row>
    <row r="1112" spans="1:7" hidden="1" x14ac:dyDescent="0.25">
      <c r="A1112" s="28">
        <v>43556</v>
      </c>
      <c r="B1112" s="27" t="s">
        <v>200</v>
      </c>
      <c r="C1112" s="27" t="s">
        <v>53</v>
      </c>
      <c r="D1112" s="27" t="s">
        <v>6</v>
      </c>
      <c r="E1112" s="27" t="s">
        <v>18</v>
      </c>
      <c r="F1112" s="29"/>
      <c r="G1112" s="30">
        <f t="shared" si="18"/>
        <v>381.62880246913608</v>
      </c>
    </row>
    <row r="1113" spans="1:7" hidden="1" x14ac:dyDescent="0.25">
      <c r="A1113" s="28">
        <v>43556</v>
      </c>
      <c r="B1113" s="27" t="s">
        <v>200</v>
      </c>
      <c r="C1113" s="27" t="s">
        <v>53</v>
      </c>
      <c r="D1113" s="27" t="s">
        <v>6</v>
      </c>
      <c r="E1113" s="27" t="s">
        <v>19</v>
      </c>
      <c r="F1113" s="29"/>
      <c r="G1113" s="30">
        <f t="shared" si="18"/>
        <v>381.62880246913608</v>
      </c>
    </row>
    <row r="1114" spans="1:7" hidden="1" x14ac:dyDescent="0.25">
      <c r="A1114" s="28">
        <v>43556</v>
      </c>
      <c r="B1114" s="27" t="s">
        <v>200</v>
      </c>
      <c r="C1114" s="27" t="s">
        <v>53</v>
      </c>
      <c r="D1114" s="27" t="s">
        <v>6</v>
      </c>
      <c r="E1114" s="27" t="s">
        <v>20</v>
      </c>
      <c r="F1114" s="29"/>
      <c r="G1114" s="30">
        <f t="shared" si="18"/>
        <v>381.62880246913608</v>
      </c>
    </row>
    <row r="1115" spans="1:7" hidden="1" x14ac:dyDescent="0.25">
      <c r="A1115" s="28">
        <v>43556</v>
      </c>
      <c r="B1115" s="27" t="s">
        <v>200</v>
      </c>
      <c r="C1115" s="27" t="s">
        <v>53</v>
      </c>
      <c r="D1115" s="27" t="s">
        <v>6</v>
      </c>
      <c r="E1115" s="27" t="s">
        <v>204</v>
      </c>
      <c r="F1115" s="29"/>
      <c r="G1115" s="30">
        <f t="shared" si="18"/>
        <v>381.62880246913608</v>
      </c>
    </row>
    <row r="1116" spans="1:7" hidden="1" x14ac:dyDescent="0.25">
      <c r="A1116" s="28">
        <v>43556</v>
      </c>
      <c r="B1116" s="27" t="s">
        <v>200</v>
      </c>
      <c r="C1116" s="27" t="s">
        <v>53</v>
      </c>
      <c r="D1116" s="27" t="s">
        <v>6</v>
      </c>
      <c r="E1116" s="27" t="s">
        <v>205</v>
      </c>
      <c r="F1116" s="29"/>
      <c r="G1116" s="30">
        <f t="shared" si="18"/>
        <v>381.62880246913608</v>
      </c>
    </row>
    <row r="1117" spans="1:7" hidden="1" x14ac:dyDescent="0.25">
      <c r="A1117" s="28">
        <v>43556</v>
      </c>
      <c r="B1117" s="27" t="s">
        <v>200</v>
      </c>
      <c r="C1117" s="27" t="s">
        <v>54</v>
      </c>
      <c r="D1117" s="27" t="s">
        <v>7</v>
      </c>
      <c r="E1117" s="27" t="s">
        <v>9</v>
      </c>
      <c r="F1117" s="29"/>
      <c r="G1117" s="30">
        <f t="shared" ref="G1117:G1133" si="19">461.78/17</f>
        <v>27.163529411764703</v>
      </c>
    </row>
    <row r="1118" spans="1:7" hidden="1" x14ac:dyDescent="0.25">
      <c r="A1118" s="28">
        <v>43556</v>
      </c>
      <c r="B1118" s="27" t="s">
        <v>200</v>
      </c>
      <c r="C1118" s="27" t="s">
        <v>54</v>
      </c>
      <c r="D1118" s="27" t="s">
        <v>7</v>
      </c>
      <c r="E1118" s="27" t="s">
        <v>64</v>
      </c>
      <c r="F1118" s="29"/>
      <c r="G1118" s="30">
        <f t="shared" si="19"/>
        <v>27.163529411764703</v>
      </c>
    </row>
    <row r="1119" spans="1:7" hidden="1" x14ac:dyDescent="0.25">
      <c r="A1119" s="28">
        <v>43556</v>
      </c>
      <c r="B1119" s="27" t="s">
        <v>200</v>
      </c>
      <c r="C1119" s="27" t="s">
        <v>54</v>
      </c>
      <c r="D1119" s="27" t="s">
        <v>7</v>
      </c>
      <c r="E1119" s="27" t="s">
        <v>21</v>
      </c>
      <c r="F1119" s="29"/>
      <c r="G1119" s="30">
        <f t="shared" si="19"/>
        <v>27.163529411764703</v>
      </c>
    </row>
    <row r="1120" spans="1:7" hidden="1" x14ac:dyDescent="0.25">
      <c r="A1120" s="28">
        <v>43556</v>
      </c>
      <c r="B1120" s="27" t="s">
        <v>200</v>
      </c>
      <c r="C1120" s="27" t="s">
        <v>54</v>
      </c>
      <c r="D1120" s="27" t="s">
        <v>7</v>
      </c>
      <c r="E1120" s="27" t="s">
        <v>21</v>
      </c>
      <c r="F1120" s="29"/>
      <c r="G1120" s="30">
        <f t="shared" si="19"/>
        <v>27.163529411764703</v>
      </c>
    </row>
    <row r="1121" spans="1:7" hidden="1" x14ac:dyDescent="0.25">
      <c r="A1121" s="28">
        <v>43556</v>
      </c>
      <c r="B1121" s="27" t="s">
        <v>200</v>
      </c>
      <c r="C1121" s="27" t="s">
        <v>54</v>
      </c>
      <c r="D1121" s="27" t="s">
        <v>7</v>
      </c>
      <c r="E1121" s="27" t="s">
        <v>10</v>
      </c>
      <c r="F1121" s="29"/>
      <c r="G1121" s="30">
        <f t="shared" si="19"/>
        <v>27.163529411764703</v>
      </c>
    </row>
    <row r="1122" spans="1:7" hidden="1" x14ac:dyDescent="0.25">
      <c r="A1122" s="28">
        <v>43556</v>
      </c>
      <c r="B1122" s="27" t="s">
        <v>200</v>
      </c>
      <c r="C1122" s="27" t="s">
        <v>54</v>
      </c>
      <c r="D1122" s="27" t="s">
        <v>7</v>
      </c>
      <c r="E1122" s="27" t="s">
        <v>11</v>
      </c>
      <c r="F1122" s="29"/>
      <c r="G1122" s="30">
        <f t="shared" si="19"/>
        <v>27.163529411764703</v>
      </c>
    </row>
    <row r="1123" spans="1:7" hidden="1" x14ac:dyDescent="0.25">
      <c r="A1123" s="28">
        <v>43556</v>
      </c>
      <c r="B1123" s="27" t="s">
        <v>200</v>
      </c>
      <c r="C1123" s="27" t="s">
        <v>54</v>
      </c>
      <c r="D1123" s="27" t="s">
        <v>7</v>
      </c>
      <c r="E1123" s="27" t="s">
        <v>12</v>
      </c>
      <c r="F1123" s="29"/>
      <c r="G1123" s="30">
        <f t="shared" si="19"/>
        <v>27.163529411764703</v>
      </c>
    </row>
    <row r="1124" spans="1:7" hidden="1" x14ac:dyDescent="0.25">
      <c r="A1124" s="28">
        <v>43556</v>
      </c>
      <c r="B1124" s="27" t="s">
        <v>200</v>
      </c>
      <c r="C1124" s="27" t="s">
        <v>54</v>
      </c>
      <c r="D1124" s="27" t="s">
        <v>7</v>
      </c>
      <c r="E1124" s="27" t="s">
        <v>13</v>
      </c>
      <c r="F1124" s="29"/>
      <c r="G1124" s="30">
        <f t="shared" si="19"/>
        <v>27.163529411764703</v>
      </c>
    </row>
    <row r="1125" spans="1:7" hidden="1" x14ac:dyDescent="0.25">
      <c r="A1125" s="28">
        <v>43556</v>
      </c>
      <c r="B1125" s="27" t="s">
        <v>200</v>
      </c>
      <c r="C1125" s="27" t="s">
        <v>54</v>
      </c>
      <c r="D1125" s="27" t="s">
        <v>7</v>
      </c>
      <c r="E1125" s="27" t="s">
        <v>14</v>
      </c>
      <c r="F1125" s="29"/>
      <c r="G1125" s="30">
        <f t="shared" si="19"/>
        <v>27.163529411764703</v>
      </c>
    </row>
    <row r="1126" spans="1:7" hidden="1" x14ac:dyDescent="0.25">
      <c r="A1126" s="28">
        <v>43556</v>
      </c>
      <c r="B1126" s="27" t="s">
        <v>200</v>
      </c>
      <c r="C1126" s="27" t="s">
        <v>54</v>
      </c>
      <c r="D1126" s="27" t="s">
        <v>7</v>
      </c>
      <c r="E1126" s="27" t="s">
        <v>15</v>
      </c>
      <c r="F1126" s="29"/>
      <c r="G1126" s="30">
        <f t="shared" si="19"/>
        <v>27.163529411764703</v>
      </c>
    </row>
    <row r="1127" spans="1:7" hidden="1" x14ac:dyDescent="0.25">
      <c r="A1127" s="28">
        <v>43556</v>
      </c>
      <c r="B1127" s="27" t="s">
        <v>200</v>
      </c>
      <c r="C1127" s="27" t="s">
        <v>54</v>
      </c>
      <c r="D1127" s="27" t="s">
        <v>7</v>
      </c>
      <c r="E1127" s="27" t="s">
        <v>16</v>
      </c>
      <c r="F1127" s="29"/>
      <c r="G1127" s="30">
        <f t="shared" si="19"/>
        <v>27.163529411764703</v>
      </c>
    </row>
    <row r="1128" spans="1:7" hidden="1" x14ac:dyDescent="0.25">
      <c r="A1128" s="28">
        <v>43556</v>
      </c>
      <c r="B1128" s="27" t="s">
        <v>200</v>
      </c>
      <c r="C1128" s="27" t="s">
        <v>54</v>
      </c>
      <c r="D1128" s="27" t="s">
        <v>7</v>
      </c>
      <c r="E1128" s="27" t="s">
        <v>17</v>
      </c>
      <c r="F1128" s="29"/>
      <c r="G1128" s="30">
        <f t="shared" si="19"/>
        <v>27.163529411764703</v>
      </c>
    </row>
    <row r="1129" spans="1:7" hidden="1" x14ac:dyDescent="0.25">
      <c r="A1129" s="28">
        <v>43556</v>
      </c>
      <c r="B1129" s="27" t="s">
        <v>200</v>
      </c>
      <c r="C1129" s="27" t="s">
        <v>54</v>
      </c>
      <c r="D1129" s="27" t="s">
        <v>7</v>
      </c>
      <c r="E1129" s="27" t="s">
        <v>18</v>
      </c>
      <c r="F1129" s="29"/>
      <c r="G1129" s="30">
        <f t="shared" si="19"/>
        <v>27.163529411764703</v>
      </c>
    </row>
    <row r="1130" spans="1:7" hidden="1" x14ac:dyDescent="0.25">
      <c r="A1130" s="28">
        <v>43556</v>
      </c>
      <c r="B1130" s="27" t="s">
        <v>200</v>
      </c>
      <c r="C1130" s="27" t="s">
        <v>54</v>
      </c>
      <c r="D1130" s="27" t="s">
        <v>7</v>
      </c>
      <c r="E1130" s="27" t="s">
        <v>19</v>
      </c>
      <c r="F1130" s="29"/>
      <c r="G1130" s="30">
        <f t="shared" si="19"/>
        <v>27.163529411764703</v>
      </c>
    </row>
    <row r="1131" spans="1:7" hidden="1" x14ac:dyDescent="0.25">
      <c r="A1131" s="28">
        <v>43556</v>
      </c>
      <c r="B1131" s="27" t="s">
        <v>200</v>
      </c>
      <c r="C1131" s="27" t="s">
        <v>54</v>
      </c>
      <c r="D1131" s="27" t="s">
        <v>7</v>
      </c>
      <c r="E1131" s="27" t="s">
        <v>20</v>
      </c>
      <c r="F1131" s="29"/>
      <c r="G1131" s="30">
        <f t="shared" si="19"/>
        <v>27.163529411764703</v>
      </c>
    </row>
    <row r="1132" spans="1:7" hidden="1" x14ac:dyDescent="0.25">
      <c r="A1132" s="28">
        <v>43556</v>
      </c>
      <c r="B1132" s="27" t="s">
        <v>200</v>
      </c>
      <c r="C1132" s="27" t="s">
        <v>54</v>
      </c>
      <c r="D1132" s="27" t="s">
        <v>7</v>
      </c>
      <c r="E1132" s="27" t="s">
        <v>204</v>
      </c>
      <c r="F1132" s="29"/>
      <c r="G1132" s="30">
        <f t="shared" si="19"/>
        <v>27.163529411764703</v>
      </c>
    </row>
    <row r="1133" spans="1:7" hidden="1" x14ac:dyDescent="0.25">
      <c r="A1133" s="28">
        <v>43556</v>
      </c>
      <c r="B1133" s="27" t="s">
        <v>200</v>
      </c>
      <c r="C1133" s="27" t="s">
        <v>54</v>
      </c>
      <c r="D1133" s="27" t="s">
        <v>7</v>
      </c>
      <c r="E1133" s="27" t="s">
        <v>37</v>
      </c>
      <c r="F1133" s="29"/>
      <c r="G1133" s="30">
        <f t="shared" si="19"/>
        <v>27.163529411764703</v>
      </c>
    </row>
    <row r="1134" spans="1:7" hidden="1" x14ac:dyDescent="0.25">
      <c r="A1134" s="28">
        <v>43556</v>
      </c>
      <c r="B1134" s="27" t="s">
        <v>200</v>
      </c>
      <c r="C1134" s="27" t="s">
        <v>55</v>
      </c>
      <c r="D1134" s="27" t="s">
        <v>6</v>
      </c>
      <c r="E1134" s="27" t="s">
        <v>8</v>
      </c>
      <c r="F1134" s="29"/>
      <c r="G1134" s="30">
        <f t="shared" ref="G1134:G1151" si="20">25217.8703111111/18</f>
        <v>1400.9927950617277</v>
      </c>
    </row>
    <row r="1135" spans="1:7" hidden="1" x14ac:dyDescent="0.25">
      <c r="A1135" s="28">
        <v>43556</v>
      </c>
      <c r="B1135" s="27" t="s">
        <v>200</v>
      </c>
      <c r="C1135" s="27" t="s">
        <v>55</v>
      </c>
      <c r="D1135" s="27" t="s">
        <v>6</v>
      </c>
      <c r="E1135" s="27" t="s">
        <v>9</v>
      </c>
      <c r="F1135" s="29"/>
      <c r="G1135" s="30">
        <f t="shared" si="20"/>
        <v>1400.9927950617277</v>
      </c>
    </row>
    <row r="1136" spans="1:7" hidden="1" x14ac:dyDescent="0.25">
      <c r="A1136" s="28">
        <v>43556</v>
      </c>
      <c r="B1136" s="27" t="s">
        <v>200</v>
      </c>
      <c r="C1136" s="27" t="s">
        <v>55</v>
      </c>
      <c r="D1136" s="27" t="s">
        <v>6</v>
      </c>
      <c r="E1136" s="27" t="s">
        <v>64</v>
      </c>
      <c r="F1136" s="29"/>
      <c r="G1136" s="30">
        <f t="shared" si="20"/>
        <v>1400.9927950617277</v>
      </c>
    </row>
    <row r="1137" spans="1:7" hidden="1" x14ac:dyDescent="0.25">
      <c r="A1137" s="28">
        <v>43556</v>
      </c>
      <c r="B1137" s="27" t="s">
        <v>200</v>
      </c>
      <c r="C1137" s="27" t="s">
        <v>55</v>
      </c>
      <c r="D1137" s="27" t="s">
        <v>6</v>
      </c>
      <c r="E1137" s="27" t="s">
        <v>21</v>
      </c>
      <c r="F1137" s="29"/>
      <c r="G1137" s="30">
        <f t="shared" si="20"/>
        <v>1400.9927950617277</v>
      </c>
    </row>
    <row r="1138" spans="1:7" hidden="1" x14ac:dyDescent="0.25">
      <c r="A1138" s="28">
        <v>43556</v>
      </c>
      <c r="B1138" s="27" t="s">
        <v>200</v>
      </c>
      <c r="C1138" s="27" t="s">
        <v>55</v>
      </c>
      <c r="D1138" s="27" t="s">
        <v>6</v>
      </c>
      <c r="E1138" s="27" t="s">
        <v>21</v>
      </c>
      <c r="F1138" s="29"/>
      <c r="G1138" s="30">
        <f t="shared" si="20"/>
        <v>1400.9927950617277</v>
      </c>
    </row>
    <row r="1139" spans="1:7" hidden="1" x14ac:dyDescent="0.25">
      <c r="A1139" s="28">
        <v>43556</v>
      </c>
      <c r="B1139" s="27" t="s">
        <v>200</v>
      </c>
      <c r="C1139" s="27" t="s">
        <v>55</v>
      </c>
      <c r="D1139" s="27" t="s">
        <v>6</v>
      </c>
      <c r="E1139" s="27" t="s">
        <v>10</v>
      </c>
      <c r="F1139" s="29"/>
      <c r="G1139" s="30">
        <f t="shared" si="20"/>
        <v>1400.9927950617277</v>
      </c>
    </row>
    <row r="1140" spans="1:7" hidden="1" x14ac:dyDescent="0.25">
      <c r="A1140" s="28">
        <v>43556</v>
      </c>
      <c r="B1140" s="27" t="s">
        <v>200</v>
      </c>
      <c r="C1140" s="27" t="s">
        <v>55</v>
      </c>
      <c r="D1140" s="27" t="s">
        <v>6</v>
      </c>
      <c r="E1140" s="27" t="s">
        <v>11</v>
      </c>
      <c r="F1140" s="29"/>
      <c r="G1140" s="30">
        <f t="shared" si="20"/>
        <v>1400.9927950617277</v>
      </c>
    </row>
    <row r="1141" spans="1:7" hidden="1" x14ac:dyDescent="0.25">
      <c r="A1141" s="28">
        <v>43556</v>
      </c>
      <c r="B1141" s="27" t="s">
        <v>200</v>
      </c>
      <c r="C1141" s="27" t="s">
        <v>55</v>
      </c>
      <c r="D1141" s="27" t="s">
        <v>6</v>
      </c>
      <c r="E1141" s="27" t="s">
        <v>12</v>
      </c>
      <c r="F1141" s="29"/>
      <c r="G1141" s="30">
        <f t="shared" si="20"/>
        <v>1400.9927950617277</v>
      </c>
    </row>
    <row r="1142" spans="1:7" hidden="1" x14ac:dyDescent="0.25">
      <c r="A1142" s="28">
        <v>43556</v>
      </c>
      <c r="B1142" s="27" t="s">
        <v>200</v>
      </c>
      <c r="C1142" s="27" t="s">
        <v>55</v>
      </c>
      <c r="D1142" s="27" t="s">
        <v>6</v>
      </c>
      <c r="E1142" s="27" t="s">
        <v>13</v>
      </c>
      <c r="F1142" s="29"/>
      <c r="G1142" s="30">
        <f t="shared" si="20"/>
        <v>1400.9927950617277</v>
      </c>
    </row>
    <row r="1143" spans="1:7" hidden="1" x14ac:dyDescent="0.25">
      <c r="A1143" s="28">
        <v>43556</v>
      </c>
      <c r="B1143" s="27" t="s">
        <v>200</v>
      </c>
      <c r="C1143" s="27" t="s">
        <v>55</v>
      </c>
      <c r="D1143" s="27" t="s">
        <v>6</v>
      </c>
      <c r="E1143" s="27" t="s">
        <v>14</v>
      </c>
      <c r="F1143" s="29"/>
      <c r="G1143" s="30">
        <f t="shared" si="20"/>
        <v>1400.9927950617277</v>
      </c>
    </row>
    <row r="1144" spans="1:7" hidden="1" x14ac:dyDescent="0.25">
      <c r="A1144" s="28">
        <v>43556</v>
      </c>
      <c r="B1144" s="27" t="s">
        <v>200</v>
      </c>
      <c r="C1144" s="27" t="s">
        <v>55</v>
      </c>
      <c r="D1144" s="27" t="s">
        <v>6</v>
      </c>
      <c r="E1144" s="27" t="s">
        <v>15</v>
      </c>
      <c r="F1144" s="29"/>
      <c r="G1144" s="30">
        <f t="shared" si="20"/>
        <v>1400.9927950617277</v>
      </c>
    </row>
    <row r="1145" spans="1:7" hidden="1" x14ac:dyDescent="0.25">
      <c r="A1145" s="28">
        <v>43556</v>
      </c>
      <c r="B1145" s="27" t="s">
        <v>200</v>
      </c>
      <c r="C1145" s="27" t="s">
        <v>55</v>
      </c>
      <c r="D1145" s="27" t="s">
        <v>6</v>
      </c>
      <c r="E1145" s="27" t="s">
        <v>16</v>
      </c>
      <c r="F1145" s="29"/>
      <c r="G1145" s="30">
        <f t="shared" si="20"/>
        <v>1400.9927950617277</v>
      </c>
    </row>
    <row r="1146" spans="1:7" hidden="1" x14ac:dyDescent="0.25">
      <c r="A1146" s="28">
        <v>43556</v>
      </c>
      <c r="B1146" s="27" t="s">
        <v>200</v>
      </c>
      <c r="C1146" s="27" t="s">
        <v>55</v>
      </c>
      <c r="D1146" s="27" t="s">
        <v>6</v>
      </c>
      <c r="E1146" s="27" t="s">
        <v>17</v>
      </c>
      <c r="F1146" s="29"/>
      <c r="G1146" s="30">
        <f t="shared" si="20"/>
        <v>1400.9927950617277</v>
      </c>
    </row>
    <row r="1147" spans="1:7" hidden="1" x14ac:dyDescent="0.25">
      <c r="A1147" s="28">
        <v>43556</v>
      </c>
      <c r="B1147" s="27" t="s">
        <v>200</v>
      </c>
      <c r="C1147" s="27" t="s">
        <v>55</v>
      </c>
      <c r="D1147" s="27" t="s">
        <v>6</v>
      </c>
      <c r="E1147" s="27" t="s">
        <v>18</v>
      </c>
      <c r="F1147" s="29"/>
      <c r="G1147" s="30">
        <f t="shared" si="20"/>
        <v>1400.9927950617277</v>
      </c>
    </row>
    <row r="1148" spans="1:7" hidden="1" x14ac:dyDescent="0.25">
      <c r="A1148" s="28">
        <v>43556</v>
      </c>
      <c r="B1148" s="27" t="s">
        <v>200</v>
      </c>
      <c r="C1148" s="27" t="s">
        <v>55</v>
      </c>
      <c r="D1148" s="27" t="s">
        <v>6</v>
      </c>
      <c r="E1148" s="27" t="s">
        <v>19</v>
      </c>
      <c r="F1148" s="29"/>
      <c r="G1148" s="30">
        <f t="shared" si="20"/>
        <v>1400.9927950617277</v>
      </c>
    </row>
    <row r="1149" spans="1:7" hidden="1" x14ac:dyDescent="0.25">
      <c r="A1149" s="28">
        <v>43556</v>
      </c>
      <c r="B1149" s="27" t="s">
        <v>200</v>
      </c>
      <c r="C1149" s="27" t="s">
        <v>55</v>
      </c>
      <c r="D1149" s="27" t="s">
        <v>6</v>
      </c>
      <c r="E1149" s="27" t="s">
        <v>20</v>
      </c>
      <c r="F1149" s="29"/>
      <c r="G1149" s="30">
        <f t="shared" si="20"/>
        <v>1400.9927950617277</v>
      </c>
    </row>
    <row r="1150" spans="1:7" hidden="1" x14ac:dyDescent="0.25">
      <c r="A1150" s="28">
        <v>43556</v>
      </c>
      <c r="B1150" s="27" t="s">
        <v>200</v>
      </c>
      <c r="C1150" s="27" t="s">
        <v>55</v>
      </c>
      <c r="D1150" s="27" t="s">
        <v>6</v>
      </c>
      <c r="E1150" s="27" t="s">
        <v>204</v>
      </c>
      <c r="F1150" s="29"/>
      <c r="G1150" s="30">
        <f t="shared" si="20"/>
        <v>1400.9927950617277</v>
      </c>
    </row>
    <row r="1151" spans="1:7" hidden="1" x14ac:dyDescent="0.25">
      <c r="A1151" s="28">
        <v>43556</v>
      </c>
      <c r="B1151" s="27" t="s">
        <v>200</v>
      </c>
      <c r="C1151" s="27" t="s">
        <v>55</v>
      </c>
      <c r="D1151" s="27" t="s">
        <v>6</v>
      </c>
      <c r="E1151" s="27" t="s">
        <v>205</v>
      </c>
      <c r="F1151" s="29"/>
      <c r="G1151" s="30">
        <f t="shared" si="20"/>
        <v>1400.9927950617277</v>
      </c>
    </row>
    <row r="1152" spans="1:7" hidden="1" x14ac:dyDescent="0.25">
      <c r="A1152" s="28">
        <v>43556</v>
      </c>
      <c r="B1152" s="27" t="s">
        <v>200</v>
      </c>
      <c r="C1152" s="27" t="s">
        <v>183</v>
      </c>
      <c r="D1152" s="27" t="s">
        <v>7</v>
      </c>
      <c r="E1152" s="27" t="s">
        <v>9</v>
      </c>
      <c r="F1152" s="29"/>
      <c r="G1152" s="30">
        <f t="shared" ref="G1152:G1168" si="21">2703.27/17</f>
        <v>159.01588235294116</v>
      </c>
    </row>
    <row r="1153" spans="1:7" hidden="1" x14ac:dyDescent="0.25">
      <c r="A1153" s="28">
        <v>43556</v>
      </c>
      <c r="B1153" s="27" t="s">
        <v>200</v>
      </c>
      <c r="C1153" s="27" t="s">
        <v>183</v>
      </c>
      <c r="D1153" s="27" t="s">
        <v>7</v>
      </c>
      <c r="E1153" s="27" t="s">
        <v>64</v>
      </c>
      <c r="F1153" s="29"/>
      <c r="G1153" s="30">
        <f t="shared" si="21"/>
        <v>159.01588235294116</v>
      </c>
    </row>
    <row r="1154" spans="1:7" hidden="1" x14ac:dyDescent="0.25">
      <c r="A1154" s="28">
        <v>43556</v>
      </c>
      <c r="B1154" s="27" t="s">
        <v>200</v>
      </c>
      <c r="C1154" s="27" t="s">
        <v>183</v>
      </c>
      <c r="D1154" s="27" t="s">
        <v>7</v>
      </c>
      <c r="E1154" s="27" t="s">
        <v>21</v>
      </c>
      <c r="F1154" s="29"/>
      <c r="G1154" s="30">
        <f t="shared" si="21"/>
        <v>159.01588235294116</v>
      </c>
    </row>
    <row r="1155" spans="1:7" hidden="1" x14ac:dyDescent="0.25">
      <c r="A1155" s="28">
        <v>43556</v>
      </c>
      <c r="B1155" s="27" t="s">
        <v>200</v>
      </c>
      <c r="C1155" s="27" t="s">
        <v>183</v>
      </c>
      <c r="D1155" s="27" t="s">
        <v>7</v>
      </c>
      <c r="E1155" s="27" t="s">
        <v>21</v>
      </c>
      <c r="F1155" s="29"/>
      <c r="G1155" s="30">
        <f t="shared" si="21"/>
        <v>159.01588235294116</v>
      </c>
    </row>
    <row r="1156" spans="1:7" hidden="1" x14ac:dyDescent="0.25">
      <c r="A1156" s="28">
        <v>43556</v>
      </c>
      <c r="B1156" s="27" t="s">
        <v>200</v>
      </c>
      <c r="C1156" s="27" t="s">
        <v>183</v>
      </c>
      <c r="D1156" s="27" t="s">
        <v>7</v>
      </c>
      <c r="E1156" s="27" t="s">
        <v>10</v>
      </c>
      <c r="F1156" s="29"/>
      <c r="G1156" s="30">
        <f t="shared" si="21"/>
        <v>159.01588235294116</v>
      </c>
    </row>
    <row r="1157" spans="1:7" hidden="1" x14ac:dyDescent="0.25">
      <c r="A1157" s="28">
        <v>43556</v>
      </c>
      <c r="B1157" s="27" t="s">
        <v>200</v>
      </c>
      <c r="C1157" s="27" t="s">
        <v>183</v>
      </c>
      <c r="D1157" s="27" t="s">
        <v>7</v>
      </c>
      <c r="E1157" s="27" t="s">
        <v>11</v>
      </c>
      <c r="F1157" s="29"/>
      <c r="G1157" s="30">
        <f t="shared" si="21"/>
        <v>159.01588235294116</v>
      </c>
    </row>
    <row r="1158" spans="1:7" hidden="1" x14ac:dyDescent="0.25">
      <c r="A1158" s="28">
        <v>43556</v>
      </c>
      <c r="B1158" s="27" t="s">
        <v>200</v>
      </c>
      <c r="C1158" s="27" t="s">
        <v>183</v>
      </c>
      <c r="D1158" s="27" t="s">
        <v>7</v>
      </c>
      <c r="E1158" s="27" t="s">
        <v>12</v>
      </c>
      <c r="F1158" s="29"/>
      <c r="G1158" s="30">
        <f t="shared" si="21"/>
        <v>159.01588235294116</v>
      </c>
    </row>
    <row r="1159" spans="1:7" hidden="1" x14ac:dyDescent="0.25">
      <c r="A1159" s="28">
        <v>43556</v>
      </c>
      <c r="B1159" s="27" t="s">
        <v>200</v>
      </c>
      <c r="C1159" s="27" t="s">
        <v>183</v>
      </c>
      <c r="D1159" s="27" t="s">
        <v>7</v>
      </c>
      <c r="E1159" s="27" t="s">
        <v>13</v>
      </c>
      <c r="F1159" s="29"/>
      <c r="G1159" s="30">
        <f t="shared" si="21"/>
        <v>159.01588235294116</v>
      </c>
    </row>
    <row r="1160" spans="1:7" hidden="1" x14ac:dyDescent="0.25">
      <c r="A1160" s="28">
        <v>43556</v>
      </c>
      <c r="B1160" s="27" t="s">
        <v>200</v>
      </c>
      <c r="C1160" s="27" t="s">
        <v>183</v>
      </c>
      <c r="D1160" s="27" t="s">
        <v>7</v>
      </c>
      <c r="E1160" s="27" t="s">
        <v>14</v>
      </c>
      <c r="F1160" s="29"/>
      <c r="G1160" s="30">
        <f t="shared" si="21"/>
        <v>159.01588235294116</v>
      </c>
    </row>
    <row r="1161" spans="1:7" hidden="1" x14ac:dyDescent="0.25">
      <c r="A1161" s="28">
        <v>43556</v>
      </c>
      <c r="B1161" s="27" t="s">
        <v>200</v>
      </c>
      <c r="C1161" s="27" t="s">
        <v>183</v>
      </c>
      <c r="D1161" s="27" t="s">
        <v>7</v>
      </c>
      <c r="E1161" s="27" t="s">
        <v>15</v>
      </c>
      <c r="F1161" s="29"/>
      <c r="G1161" s="30">
        <f t="shared" si="21"/>
        <v>159.01588235294116</v>
      </c>
    </row>
    <row r="1162" spans="1:7" hidden="1" x14ac:dyDescent="0.25">
      <c r="A1162" s="28">
        <v>43556</v>
      </c>
      <c r="B1162" s="27" t="s">
        <v>200</v>
      </c>
      <c r="C1162" s="27" t="s">
        <v>183</v>
      </c>
      <c r="D1162" s="27" t="s">
        <v>7</v>
      </c>
      <c r="E1162" s="27" t="s">
        <v>16</v>
      </c>
      <c r="F1162" s="29"/>
      <c r="G1162" s="30">
        <f t="shared" si="21"/>
        <v>159.01588235294116</v>
      </c>
    </row>
    <row r="1163" spans="1:7" hidden="1" x14ac:dyDescent="0.25">
      <c r="A1163" s="28">
        <v>43556</v>
      </c>
      <c r="B1163" s="27" t="s">
        <v>200</v>
      </c>
      <c r="C1163" s="27" t="s">
        <v>183</v>
      </c>
      <c r="D1163" s="27" t="s">
        <v>7</v>
      </c>
      <c r="E1163" s="27" t="s">
        <v>17</v>
      </c>
      <c r="F1163" s="29"/>
      <c r="G1163" s="30">
        <f t="shared" si="21"/>
        <v>159.01588235294116</v>
      </c>
    </row>
    <row r="1164" spans="1:7" hidden="1" x14ac:dyDescent="0.25">
      <c r="A1164" s="28">
        <v>43556</v>
      </c>
      <c r="B1164" s="27" t="s">
        <v>200</v>
      </c>
      <c r="C1164" s="27" t="s">
        <v>183</v>
      </c>
      <c r="D1164" s="27" t="s">
        <v>7</v>
      </c>
      <c r="E1164" s="27" t="s">
        <v>18</v>
      </c>
      <c r="F1164" s="29"/>
      <c r="G1164" s="30">
        <f t="shared" si="21"/>
        <v>159.01588235294116</v>
      </c>
    </row>
    <row r="1165" spans="1:7" hidden="1" x14ac:dyDescent="0.25">
      <c r="A1165" s="28">
        <v>43556</v>
      </c>
      <c r="B1165" s="27" t="s">
        <v>200</v>
      </c>
      <c r="C1165" s="27" t="s">
        <v>183</v>
      </c>
      <c r="D1165" s="27" t="s">
        <v>7</v>
      </c>
      <c r="E1165" s="27" t="s">
        <v>19</v>
      </c>
      <c r="F1165" s="29"/>
      <c r="G1165" s="30">
        <f t="shared" si="21"/>
        <v>159.01588235294116</v>
      </c>
    </row>
    <row r="1166" spans="1:7" hidden="1" x14ac:dyDescent="0.25">
      <c r="A1166" s="28">
        <v>43556</v>
      </c>
      <c r="B1166" s="27" t="s">
        <v>200</v>
      </c>
      <c r="C1166" s="27" t="s">
        <v>183</v>
      </c>
      <c r="D1166" s="27" t="s">
        <v>7</v>
      </c>
      <c r="E1166" s="27" t="s">
        <v>20</v>
      </c>
      <c r="F1166" s="29"/>
      <c r="G1166" s="30">
        <f t="shared" si="21"/>
        <v>159.01588235294116</v>
      </c>
    </row>
    <row r="1167" spans="1:7" hidden="1" x14ac:dyDescent="0.25">
      <c r="A1167" s="28">
        <v>43556</v>
      </c>
      <c r="B1167" s="27" t="s">
        <v>200</v>
      </c>
      <c r="C1167" s="27" t="s">
        <v>183</v>
      </c>
      <c r="D1167" s="27" t="s">
        <v>7</v>
      </c>
      <c r="E1167" s="27" t="s">
        <v>204</v>
      </c>
      <c r="F1167" s="29"/>
      <c r="G1167" s="30">
        <f t="shared" si="21"/>
        <v>159.01588235294116</v>
      </c>
    </row>
    <row r="1168" spans="1:7" hidden="1" x14ac:dyDescent="0.25">
      <c r="A1168" s="28">
        <v>43556</v>
      </c>
      <c r="B1168" s="27" t="s">
        <v>200</v>
      </c>
      <c r="C1168" s="27" t="s">
        <v>183</v>
      </c>
      <c r="D1168" s="27" t="s">
        <v>7</v>
      </c>
      <c r="E1168" s="27" t="s">
        <v>37</v>
      </c>
      <c r="F1168" s="29"/>
      <c r="G1168" s="30">
        <f t="shared" si="21"/>
        <v>159.01588235294116</v>
      </c>
    </row>
    <row r="1169" spans="1:7" hidden="1" x14ac:dyDescent="0.25">
      <c r="A1169" s="28">
        <v>43556</v>
      </c>
      <c r="B1169" s="27" t="s">
        <v>200</v>
      </c>
      <c r="C1169" s="27" t="s">
        <v>56</v>
      </c>
      <c r="D1169" s="27" t="s">
        <v>6</v>
      </c>
      <c r="E1169" s="27" t="s">
        <v>8</v>
      </c>
      <c r="F1169" s="29"/>
      <c r="G1169" s="30">
        <f t="shared" ref="G1169:G1186" si="22">37691.6198222222/18</f>
        <v>2093.9788790123444</v>
      </c>
    </row>
    <row r="1170" spans="1:7" hidden="1" x14ac:dyDescent="0.25">
      <c r="A1170" s="28">
        <v>43556</v>
      </c>
      <c r="B1170" s="27" t="s">
        <v>200</v>
      </c>
      <c r="C1170" s="27" t="s">
        <v>56</v>
      </c>
      <c r="D1170" s="27" t="s">
        <v>6</v>
      </c>
      <c r="E1170" s="27" t="s">
        <v>9</v>
      </c>
      <c r="F1170" s="29"/>
      <c r="G1170" s="30">
        <f t="shared" si="22"/>
        <v>2093.9788790123444</v>
      </c>
    </row>
    <row r="1171" spans="1:7" hidden="1" x14ac:dyDescent="0.25">
      <c r="A1171" s="28">
        <v>43556</v>
      </c>
      <c r="B1171" s="27" t="s">
        <v>200</v>
      </c>
      <c r="C1171" s="27" t="s">
        <v>56</v>
      </c>
      <c r="D1171" s="27" t="s">
        <v>6</v>
      </c>
      <c r="E1171" s="27" t="s">
        <v>64</v>
      </c>
      <c r="F1171" s="29"/>
      <c r="G1171" s="30">
        <f t="shared" si="22"/>
        <v>2093.9788790123444</v>
      </c>
    </row>
    <row r="1172" spans="1:7" hidden="1" x14ac:dyDescent="0.25">
      <c r="A1172" s="28">
        <v>43556</v>
      </c>
      <c r="B1172" s="27" t="s">
        <v>200</v>
      </c>
      <c r="C1172" s="27" t="s">
        <v>56</v>
      </c>
      <c r="D1172" s="27" t="s">
        <v>6</v>
      </c>
      <c r="E1172" s="27" t="s">
        <v>21</v>
      </c>
      <c r="F1172" s="29"/>
      <c r="G1172" s="30">
        <f t="shared" si="22"/>
        <v>2093.9788790123444</v>
      </c>
    </row>
    <row r="1173" spans="1:7" hidden="1" x14ac:dyDescent="0.25">
      <c r="A1173" s="28">
        <v>43556</v>
      </c>
      <c r="B1173" s="27" t="s">
        <v>200</v>
      </c>
      <c r="C1173" s="27" t="s">
        <v>56</v>
      </c>
      <c r="D1173" s="27" t="s">
        <v>6</v>
      </c>
      <c r="E1173" s="27" t="s">
        <v>21</v>
      </c>
      <c r="F1173" s="29"/>
      <c r="G1173" s="30">
        <f t="shared" si="22"/>
        <v>2093.9788790123444</v>
      </c>
    </row>
    <row r="1174" spans="1:7" hidden="1" x14ac:dyDescent="0.25">
      <c r="A1174" s="28">
        <v>43556</v>
      </c>
      <c r="B1174" s="27" t="s">
        <v>200</v>
      </c>
      <c r="C1174" s="27" t="s">
        <v>56</v>
      </c>
      <c r="D1174" s="27" t="s">
        <v>6</v>
      </c>
      <c r="E1174" s="27" t="s">
        <v>10</v>
      </c>
      <c r="F1174" s="29"/>
      <c r="G1174" s="30">
        <f t="shared" si="22"/>
        <v>2093.9788790123444</v>
      </c>
    </row>
    <row r="1175" spans="1:7" hidden="1" x14ac:dyDescent="0.25">
      <c r="A1175" s="28">
        <v>43556</v>
      </c>
      <c r="B1175" s="27" t="s">
        <v>200</v>
      </c>
      <c r="C1175" s="27" t="s">
        <v>56</v>
      </c>
      <c r="D1175" s="27" t="s">
        <v>6</v>
      </c>
      <c r="E1175" s="27" t="s">
        <v>11</v>
      </c>
      <c r="F1175" s="29"/>
      <c r="G1175" s="30">
        <f t="shared" si="22"/>
        <v>2093.9788790123444</v>
      </c>
    </row>
    <row r="1176" spans="1:7" hidden="1" x14ac:dyDescent="0.25">
      <c r="A1176" s="28">
        <v>43556</v>
      </c>
      <c r="B1176" s="27" t="s">
        <v>200</v>
      </c>
      <c r="C1176" s="27" t="s">
        <v>56</v>
      </c>
      <c r="D1176" s="27" t="s">
        <v>6</v>
      </c>
      <c r="E1176" s="27" t="s">
        <v>12</v>
      </c>
      <c r="F1176" s="29"/>
      <c r="G1176" s="30">
        <f t="shared" si="22"/>
        <v>2093.9788790123444</v>
      </c>
    </row>
    <row r="1177" spans="1:7" hidden="1" x14ac:dyDescent="0.25">
      <c r="A1177" s="28">
        <v>43556</v>
      </c>
      <c r="B1177" s="27" t="s">
        <v>200</v>
      </c>
      <c r="C1177" s="27" t="s">
        <v>56</v>
      </c>
      <c r="D1177" s="27" t="s">
        <v>6</v>
      </c>
      <c r="E1177" s="27" t="s">
        <v>13</v>
      </c>
      <c r="F1177" s="29"/>
      <c r="G1177" s="30">
        <f t="shared" si="22"/>
        <v>2093.9788790123444</v>
      </c>
    </row>
    <row r="1178" spans="1:7" hidden="1" x14ac:dyDescent="0.25">
      <c r="A1178" s="28">
        <v>43556</v>
      </c>
      <c r="B1178" s="27" t="s">
        <v>200</v>
      </c>
      <c r="C1178" s="27" t="s">
        <v>56</v>
      </c>
      <c r="D1178" s="27" t="s">
        <v>6</v>
      </c>
      <c r="E1178" s="27" t="s">
        <v>14</v>
      </c>
      <c r="F1178" s="29"/>
      <c r="G1178" s="30">
        <f t="shared" si="22"/>
        <v>2093.9788790123444</v>
      </c>
    </row>
    <row r="1179" spans="1:7" hidden="1" x14ac:dyDescent="0.25">
      <c r="A1179" s="28">
        <v>43556</v>
      </c>
      <c r="B1179" s="27" t="s">
        <v>200</v>
      </c>
      <c r="C1179" s="27" t="s">
        <v>56</v>
      </c>
      <c r="D1179" s="27" t="s">
        <v>6</v>
      </c>
      <c r="E1179" s="27" t="s">
        <v>15</v>
      </c>
      <c r="F1179" s="29"/>
      <c r="G1179" s="30">
        <f t="shared" si="22"/>
        <v>2093.9788790123444</v>
      </c>
    </row>
    <row r="1180" spans="1:7" hidden="1" x14ac:dyDescent="0.25">
      <c r="A1180" s="28">
        <v>43556</v>
      </c>
      <c r="B1180" s="27" t="s">
        <v>200</v>
      </c>
      <c r="C1180" s="27" t="s">
        <v>56</v>
      </c>
      <c r="D1180" s="27" t="s">
        <v>6</v>
      </c>
      <c r="E1180" s="27" t="s">
        <v>16</v>
      </c>
      <c r="F1180" s="29"/>
      <c r="G1180" s="30">
        <f t="shared" si="22"/>
        <v>2093.9788790123444</v>
      </c>
    </row>
    <row r="1181" spans="1:7" hidden="1" x14ac:dyDescent="0.25">
      <c r="A1181" s="28">
        <v>43556</v>
      </c>
      <c r="B1181" s="27" t="s">
        <v>200</v>
      </c>
      <c r="C1181" s="27" t="s">
        <v>56</v>
      </c>
      <c r="D1181" s="27" t="s">
        <v>6</v>
      </c>
      <c r="E1181" s="27" t="s">
        <v>17</v>
      </c>
      <c r="F1181" s="29"/>
      <c r="G1181" s="30">
        <f t="shared" si="22"/>
        <v>2093.9788790123444</v>
      </c>
    </row>
    <row r="1182" spans="1:7" hidden="1" x14ac:dyDescent="0.25">
      <c r="A1182" s="28">
        <v>43556</v>
      </c>
      <c r="B1182" s="27" t="s">
        <v>200</v>
      </c>
      <c r="C1182" s="27" t="s">
        <v>56</v>
      </c>
      <c r="D1182" s="27" t="s">
        <v>6</v>
      </c>
      <c r="E1182" s="27" t="s">
        <v>18</v>
      </c>
      <c r="F1182" s="29"/>
      <c r="G1182" s="30">
        <f t="shared" si="22"/>
        <v>2093.9788790123444</v>
      </c>
    </row>
    <row r="1183" spans="1:7" hidden="1" x14ac:dyDescent="0.25">
      <c r="A1183" s="28">
        <v>43556</v>
      </c>
      <c r="B1183" s="27" t="s">
        <v>200</v>
      </c>
      <c r="C1183" s="27" t="s">
        <v>56</v>
      </c>
      <c r="D1183" s="27" t="s">
        <v>6</v>
      </c>
      <c r="E1183" s="27" t="s">
        <v>19</v>
      </c>
      <c r="F1183" s="29"/>
      <c r="G1183" s="30">
        <f t="shared" si="22"/>
        <v>2093.9788790123444</v>
      </c>
    </row>
    <row r="1184" spans="1:7" hidden="1" x14ac:dyDescent="0.25">
      <c r="A1184" s="28">
        <v>43556</v>
      </c>
      <c r="B1184" s="27" t="s">
        <v>200</v>
      </c>
      <c r="C1184" s="27" t="s">
        <v>56</v>
      </c>
      <c r="D1184" s="27" t="s">
        <v>6</v>
      </c>
      <c r="E1184" s="27" t="s">
        <v>20</v>
      </c>
      <c r="F1184" s="29"/>
      <c r="G1184" s="30">
        <f t="shared" si="22"/>
        <v>2093.9788790123444</v>
      </c>
    </row>
    <row r="1185" spans="1:7" hidden="1" x14ac:dyDescent="0.25">
      <c r="A1185" s="28">
        <v>43556</v>
      </c>
      <c r="B1185" s="27" t="s">
        <v>200</v>
      </c>
      <c r="C1185" s="27" t="s">
        <v>56</v>
      </c>
      <c r="D1185" s="27" t="s">
        <v>6</v>
      </c>
      <c r="E1185" s="27" t="s">
        <v>204</v>
      </c>
      <c r="F1185" s="29"/>
      <c r="G1185" s="30">
        <f t="shared" si="22"/>
        <v>2093.9788790123444</v>
      </c>
    </row>
    <row r="1186" spans="1:7" hidden="1" x14ac:dyDescent="0.25">
      <c r="A1186" s="28">
        <v>43556</v>
      </c>
      <c r="B1186" s="27" t="s">
        <v>200</v>
      </c>
      <c r="C1186" s="27" t="s">
        <v>56</v>
      </c>
      <c r="D1186" s="27" t="s">
        <v>6</v>
      </c>
      <c r="E1186" s="27" t="s">
        <v>205</v>
      </c>
      <c r="F1186" s="29"/>
      <c r="G1186" s="30">
        <f t="shared" si="22"/>
        <v>2093.9788790123444</v>
      </c>
    </row>
    <row r="1187" spans="1:7" hidden="1" x14ac:dyDescent="0.25">
      <c r="A1187" s="28">
        <v>43556</v>
      </c>
      <c r="B1187" s="27" t="s">
        <v>200</v>
      </c>
      <c r="C1187" s="27" t="s">
        <v>182</v>
      </c>
      <c r="D1187" s="27" t="s">
        <v>7</v>
      </c>
      <c r="E1187" s="27" t="s">
        <v>9</v>
      </c>
      <c r="F1187" s="29"/>
      <c r="G1187" s="30">
        <f t="shared" ref="G1187:G1203" si="23">4040.89/17</f>
        <v>237.69941176470587</v>
      </c>
    </row>
    <row r="1188" spans="1:7" hidden="1" x14ac:dyDescent="0.25">
      <c r="A1188" s="28">
        <v>43556</v>
      </c>
      <c r="B1188" s="27" t="s">
        <v>200</v>
      </c>
      <c r="C1188" s="27" t="s">
        <v>182</v>
      </c>
      <c r="D1188" s="27" t="s">
        <v>7</v>
      </c>
      <c r="E1188" s="27" t="s">
        <v>64</v>
      </c>
      <c r="F1188" s="29"/>
      <c r="G1188" s="30">
        <f t="shared" si="23"/>
        <v>237.69941176470587</v>
      </c>
    </row>
    <row r="1189" spans="1:7" hidden="1" x14ac:dyDescent="0.25">
      <c r="A1189" s="28">
        <v>43556</v>
      </c>
      <c r="B1189" s="27" t="s">
        <v>200</v>
      </c>
      <c r="C1189" s="27" t="s">
        <v>182</v>
      </c>
      <c r="D1189" s="27" t="s">
        <v>7</v>
      </c>
      <c r="E1189" s="27" t="s">
        <v>21</v>
      </c>
      <c r="F1189" s="29"/>
      <c r="G1189" s="30">
        <f t="shared" si="23"/>
        <v>237.69941176470587</v>
      </c>
    </row>
    <row r="1190" spans="1:7" hidden="1" x14ac:dyDescent="0.25">
      <c r="A1190" s="28">
        <v>43556</v>
      </c>
      <c r="B1190" s="27" t="s">
        <v>200</v>
      </c>
      <c r="C1190" s="27" t="s">
        <v>182</v>
      </c>
      <c r="D1190" s="27" t="s">
        <v>7</v>
      </c>
      <c r="E1190" s="27" t="s">
        <v>21</v>
      </c>
      <c r="F1190" s="29"/>
      <c r="G1190" s="30">
        <f t="shared" si="23"/>
        <v>237.69941176470587</v>
      </c>
    </row>
    <row r="1191" spans="1:7" hidden="1" x14ac:dyDescent="0.25">
      <c r="A1191" s="28">
        <v>43556</v>
      </c>
      <c r="B1191" s="27" t="s">
        <v>200</v>
      </c>
      <c r="C1191" s="27" t="s">
        <v>182</v>
      </c>
      <c r="D1191" s="27" t="s">
        <v>7</v>
      </c>
      <c r="E1191" s="27" t="s">
        <v>10</v>
      </c>
      <c r="F1191" s="29"/>
      <c r="G1191" s="30">
        <f t="shared" si="23"/>
        <v>237.69941176470587</v>
      </c>
    </row>
    <row r="1192" spans="1:7" hidden="1" x14ac:dyDescent="0.25">
      <c r="A1192" s="28">
        <v>43556</v>
      </c>
      <c r="B1192" s="27" t="s">
        <v>200</v>
      </c>
      <c r="C1192" s="27" t="s">
        <v>182</v>
      </c>
      <c r="D1192" s="27" t="s">
        <v>7</v>
      </c>
      <c r="E1192" s="27" t="s">
        <v>11</v>
      </c>
      <c r="F1192" s="29"/>
      <c r="G1192" s="30">
        <f t="shared" si="23"/>
        <v>237.69941176470587</v>
      </c>
    </row>
    <row r="1193" spans="1:7" hidden="1" x14ac:dyDescent="0.25">
      <c r="A1193" s="28">
        <v>43556</v>
      </c>
      <c r="B1193" s="27" t="s">
        <v>200</v>
      </c>
      <c r="C1193" s="27" t="s">
        <v>182</v>
      </c>
      <c r="D1193" s="27" t="s">
        <v>7</v>
      </c>
      <c r="E1193" s="27" t="s">
        <v>12</v>
      </c>
      <c r="F1193" s="29"/>
      <c r="G1193" s="30">
        <f t="shared" si="23"/>
        <v>237.69941176470587</v>
      </c>
    </row>
    <row r="1194" spans="1:7" hidden="1" x14ac:dyDescent="0.25">
      <c r="A1194" s="28">
        <v>43556</v>
      </c>
      <c r="B1194" s="27" t="s">
        <v>200</v>
      </c>
      <c r="C1194" s="27" t="s">
        <v>182</v>
      </c>
      <c r="D1194" s="27" t="s">
        <v>7</v>
      </c>
      <c r="E1194" s="27" t="s">
        <v>13</v>
      </c>
      <c r="F1194" s="29"/>
      <c r="G1194" s="30">
        <f t="shared" si="23"/>
        <v>237.69941176470587</v>
      </c>
    </row>
    <row r="1195" spans="1:7" hidden="1" x14ac:dyDescent="0.25">
      <c r="A1195" s="28">
        <v>43556</v>
      </c>
      <c r="B1195" s="27" t="s">
        <v>200</v>
      </c>
      <c r="C1195" s="27" t="s">
        <v>182</v>
      </c>
      <c r="D1195" s="27" t="s">
        <v>7</v>
      </c>
      <c r="E1195" s="27" t="s">
        <v>14</v>
      </c>
      <c r="F1195" s="29"/>
      <c r="G1195" s="30">
        <f t="shared" si="23"/>
        <v>237.69941176470587</v>
      </c>
    </row>
    <row r="1196" spans="1:7" hidden="1" x14ac:dyDescent="0.25">
      <c r="A1196" s="28">
        <v>43556</v>
      </c>
      <c r="B1196" s="27" t="s">
        <v>200</v>
      </c>
      <c r="C1196" s="27" t="s">
        <v>182</v>
      </c>
      <c r="D1196" s="27" t="s">
        <v>7</v>
      </c>
      <c r="E1196" s="27" t="s">
        <v>15</v>
      </c>
      <c r="F1196" s="29"/>
      <c r="G1196" s="30">
        <f t="shared" si="23"/>
        <v>237.69941176470587</v>
      </c>
    </row>
    <row r="1197" spans="1:7" hidden="1" x14ac:dyDescent="0.25">
      <c r="A1197" s="28">
        <v>43556</v>
      </c>
      <c r="B1197" s="27" t="s">
        <v>200</v>
      </c>
      <c r="C1197" s="27" t="s">
        <v>182</v>
      </c>
      <c r="D1197" s="27" t="s">
        <v>7</v>
      </c>
      <c r="E1197" s="27" t="s">
        <v>16</v>
      </c>
      <c r="F1197" s="29"/>
      <c r="G1197" s="30">
        <f t="shared" si="23"/>
        <v>237.69941176470587</v>
      </c>
    </row>
    <row r="1198" spans="1:7" hidden="1" x14ac:dyDescent="0.25">
      <c r="A1198" s="28">
        <v>43556</v>
      </c>
      <c r="B1198" s="27" t="s">
        <v>200</v>
      </c>
      <c r="C1198" s="27" t="s">
        <v>182</v>
      </c>
      <c r="D1198" s="27" t="s">
        <v>7</v>
      </c>
      <c r="E1198" s="27" t="s">
        <v>17</v>
      </c>
      <c r="F1198" s="29"/>
      <c r="G1198" s="30">
        <f t="shared" si="23"/>
        <v>237.69941176470587</v>
      </c>
    </row>
    <row r="1199" spans="1:7" hidden="1" x14ac:dyDescent="0.25">
      <c r="A1199" s="28">
        <v>43556</v>
      </c>
      <c r="B1199" s="27" t="s">
        <v>200</v>
      </c>
      <c r="C1199" s="27" t="s">
        <v>182</v>
      </c>
      <c r="D1199" s="27" t="s">
        <v>7</v>
      </c>
      <c r="E1199" s="27" t="s">
        <v>18</v>
      </c>
      <c r="F1199" s="29"/>
      <c r="G1199" s="30">
        <f t="shared" si="23"/>
        <v>237.69941176470587</v>
      </c>
    </row>
    <row r="1200" spans="1:7" hidden="1" x14ac:dyDescent="0.25">
      <c r="A1200" s="28">
        <v>43556</v>
      </c>
      <c r="B1200" s="27" t="s">
        <v>200</v>
      </c>
      <c r="C1200" s="27" t="s">
        <v>182</v>
      </c>
      <c r="D1200" s="27" t="s">
        <v>7</v>
      </c>
      <c r="E1200" s="27" t="s">
        <v>19</v>
      </c>
      <c r="F1200" s="29"/>
      <c r="G1200" s="30">
        <f t="shared" si="23"/>
        <v>237.69941176470587</v>
      </c>
    </row>
    <row r="1201" spans="1:7" hidden="1" x14ac:dyDescent="0.25">
      <c r="A1201" s="28">
        <v>43556</v>
      </c>
      <c r="B1201" s="27" t="s">
        <v>200</v>
      </c>
      <c r="C1201" s="27" t="s">
        <v>182</v>
      </c>
      <c r="D1201" s="27" t="s">
        <v>7</v>
      </c>
      <c r="E1201" s="27" t="s">
        <v>20</v>
      </c>
      <c r="F1201" s="29"/>
      <c r="G1201" s="30">
        <f t="shared" si="23"/>
        <v>237.69941176470587</v>
      </c>
    </row>
    <row r="1202" spans="1:7" hidden="1" x14ac:dyDescent="0.25">
      <c r="A1202" s="28">
        <v>43556</v>
      </c>
      <c r="B1202" s="27" t="s">
        <v>200</v>
      </c>
      <c r="C1202" s="27" t="s">
        <v>182</v>
      </c>
      <c r="D1202" s="27" t="s">
        <v>7</v>
      </c>
      <c r="E1202" s="27" t="s">
        <v>204</v>
      </c>
      <c r="F1202" s="29"/>
      <c r="G1202" s="30">
        <f t="shared" si="23"/>
        <v>237.69941176470587</v>
      </c>
    </row>
    <row r="1203" spans="1:7" hidden="1" x14ac:dyDescent="0.25">
      <c r="A1203" s="28">
        <v>43556</v>
      </c>
      <c r="B1203" s="27" t="s">
        <v>200</v>
      </c>
      <c r="C1203" s="27" t="s">
        <v>182</v>
      </c>
      <c r="D1203" s="27" t="s">
        <v>7</v>
      </c>
      <c r="E1203" s="27" t="s">
        <v>37</v>
      </c>
      <c r="F1203" s="29"/>
      <c r="G1203" s="30">
        <f t="shared" si="23"/>
        <v>237.69941176470587</v>
      </c>
    </row>
    <row r="1204" spans="1:7" hidden="1" x14ac:dyDescent="0.25">
      <c r="A1204" s="28">
        <v>43556</v>
      </c>
      <c r="B1204" s="27" t="s">
        <v>35</v>
      </c>
      <c r="C1204" s="27" t="s">
        <v>50</v>
      </c>
      <c r="D1204" s="27" t="s">
        <v>6</v>
      </c>
      <c r="E1204" s="27" t="s">
        <v>8</v>
      </c>
      <c r="F1204" s="29"/>
      <c r="G1204" s="30">
        <v>487.48750000000001</v>
      </c>
    </row>
    <row r="1205" spans="1:7" hidden="1" x14ac:dyDescent="0.25">
      <c r="A1205" s="28">
        <v>43556</v>
      </c>
      <c r="B1205" s="27" t="s">
        <v>35</v>
      </c>
      <c r="C1205" s="27" t="s">
        <v>50</v>
      </c>
      <c r="D1205" s="27" t="s">
        <v>6</v>
      </c>
      <c r="E1205" s="27" t="s">
        <v>9</v>
      </c>
      <c r="F1205" s="29"/>
      <c r="G1205" s="30">
        <v>487.48750000000001</v>
      </c>
    </row>
    <row r="1206" spans="1:7" hidden="1" x14ac:dyDescent="0.25">
      <c r="A1206" s="28">
        <v>43556</v>
      </c>
      <c r="B1206" s="27" t="s">
        <v>35</v>
      </c>
      <c r="C1206" s="27" t="s">
        <v>50</v>
      </c>
      <c r="D1206" s="27" t="s">
        <v>6</v>
      </c>
      <c r="E1206" s="27" t="s">
        <v>64</v>
      </c>
      <c r="F1206" s="29"/>
      <c r="G1206" s="30">
        <v>487.48750000000001</v>
      </c>
    </row>
    <row r="1207" spans="1:7" hidden="1" x14ac:dyDescent="0.25">
      <c r="A1207" s="28">
        <v>43556</v>
      </c>
      <c r="B1207" s="27" t="s">
        <v>35</v>
      </c>
      <c r="C1207" s="27" t="s">
        <v>50</v>
      </c>
      <c r="D1207" s="27" t="s">
        <v>6</v>
      </c>
      <c r="E1207" s="27" t="s">
        <v>21</v>
      </c>
      <c r="F1207" s="29"/>
      <c r="G1207" s="30">
        <v>487.48750000000001</v>
      </c>
    </row>
    <row r="1208" spans="1:7" hidden="1" x14ac:dyDescent="0.25">
      <c r="A1208" s="28">
        <v>43556</v>
      </c>
      <c r="B1208" s="27" t="s">
        <v>35</v>
      </c>
      <c r="C1208" s="27" t="s">
        <v>50</v>
      </c>
      <c r="D1208" s="27" t="s">
        <v>6</v>
      </c>
      <c r="E1208" s="27" t="s">
        <v>21</v>
      </c>
      <c r="F1208" s="29"/>
      <c r="G1208" s="30">
        <v>487.48750000000001</v>
      </c>
    </row>
    <row r="1209" spans="1:7" hidden="1" x14ac:dyDescent="0.25">
      <c r="A1209" s="28">
        <v>43556</v>
      </c>
      <c r="B1209" s="27" t="s">
        <v>35</v>
      </c>
      <c r="C1209" s="27" t="s">
        <v>50</v>
      </c>
      <c r="D1209" s="27" t="s">
        <v>6</v>
      </c>
      <c r="E1209" s="27" t="s">
        <v>10</v>
      </c>
      <c r="F1209" s="29"/>
      <c r="G1209" s="30">
        <v>487.48750000000001</v>
      </c>
    </row>
    <row r="1210" spans="1:7" hidden="1" x14ac:dyDescent="0.25">
      <c r="A1210" s="28">
        <v>43556</v>
      </c>
      <c r="B1210" s="27" t="s">
        <v>35</v>
      </c>
      <c r="C1210" s="27" t="s">
        <v>50</v>
      </c>
      <c r="D1210" s="27" t="s">
        <v>6</v>
      </c>
      <c r="E1210" s="27" t="s">
        <v>11</v>
      </c>
      <c r="F1210" s="29"/>
      <c r="G1210" s="30">
        <v>487.48750000000001</v>
      </c>
    </row>
    <row r="1211" spans="1:7" hidden="1" x14ac:dyDescent="0.25">
      <c r="A1211" s="28">
        <v>43556</v>
      </c>
      <c r="B1211" s="27" t="s">
        <v>35</v>
      </c>
      <c r="C1211" s="27" t="s">
        <v>50</v>
      </c>
      <c r="D1211" s="27" t="s">
        <v>6</v>
      </c>
      <c r="E1211" s="27" t="s">
        <v>12</v>
      </c>
      <c r="F1211" s="29"/>
      <c r="G1211" s="30">
        <v>487.48750000000001</v>
      </c>
    </row>
    <row r="1212" spans="1:7" hidden="1" x14ac:dyDescent="0.25">
      <c r="A1212" s="28">
        <v>43556</v>
      </c>
      <c r="B1212" s="27" t="s">
        <v>35</v>
      </c>
      <c r="C1212" s="27" t="s">
        <v>50</v>
      </c>
      <c r="D1212" s="27" t="s">
        <v>6</v>
      </c>
      <c r="E1212" s="27" t="s">
        <v>13</v>
      </c>
      <c r="F1212" s="29"/>
      <c r="G1212" s="30">
        <v>487.48750000000001</v>
      </c>
    </row>
    <row r="1213" spans="1:7" hidden="1" x14ac:dyDescent="0.25">
      <c r="A1213" s="28">
        <v>43556</v>
      </c>
      <c r="B1213" s="27" t="s">
        <v>35</v>
      </c>
      <c r="C1213" s="27" t="s">
        <v>50</v>
      </c>
      <c r="D1213" s="27" t="s">
        <v>6</v>
      </c>
      <c r="E1213" s="27" t="s">
        <v>14</v>
      </c>
      <c r="F1213" s="29"/>
      <c r="G1213" s="30">
        <v>487.48750000000001</v>
      </c>
    </row>
    <row r="1214" spans="1:7" hidden="1" x14ac:dyDescent="0.25">
      <c r="A1214" s="28">
        <v>43556</v>
      </c>
      <c r="B1214" s="27" t="s">
        <v>35</v>
      </c>
      <c r="C1214" s="27" t="s">
        <v>50</v>
      </c>
      <c r="D1214" s="27" t="s">
        <v>6</v>
      </c>
      <c r="E1214" s="27" t="s">
        <v>15</v>
      </c>
      <c r="F1214" s="29"/>
      <c r="G1214" s="30">
        <v>487.48750000000001</v>
      </c>
    </row>
    <row r="1215" spans="1:7" hidden="1" x14ac:dyDescent="0.25">
      <c r="A1215" s="28">
        <v>43556</v>
      </c>
      <c r="B1215" s="27" t="s">
        <v>35</v>
      </c>
      <c r="C1215" s="27" t="s">
        <v>50</v>
      </c>
      <c r="D1215" s="27" t="s">
        <v>6</v>
      </c>
      <c r="E1215" s="27" t="s">
        <v>16</v>
      </c>
      <c r="F1215" s="29"/>
      <c r="G1215" s="30">
        <v>487.48750000000001</v>
      </c>
    </row>
    <row r="1216" spans="1:7" hidden="1" x14ac:dyDescent="0.25">
      <c r="A1216" s="28">
        <v>43556</v>
      </c>
      <c r="B1216" s="27" t="s">
        <v>35</v>
      </c>
      <c r="C1216" s="27" t="s">
        <v>50</v>
      </c>
      <c r="D1216" s="27" t="s">
        <v>6</v>
      </c>
      <c r="E1216" s="27" t="s">
        <v>17</v>
      </c>
      <c r="F1216" s="29"/>
      <c r="G1216" s="30">
        <v>487.48750000000001</v>
      </c>
    </row>
    <row r="1217" spans="1:7" hidden="1" x14ac:dyDescent="0.25">
      <c r="A1217" s="28">
        <v>43556</v>
      </c>
      <c r="B1217" s="27" t="s">
        <v>35</v>
      </c>
      <c r="C1217" s="27" t="s">
        <v>50</v>
      </c>
      <c r="D1217" s="27" t="s">
        <v>6</v>
      </c>
      <c r="E1217" s="27" t="s">
        <v>18</v>
      </c>
      <c r="F1217" s="29"/>
      <c r="G1217" s="30">
        <v>487.48750000000001</v>
      </c>
    </row>
    <row r="1218" spans="1:7" hidden="1" x14ac:dyDescent="0.25">
      <c r="A1218" s="28">
        <v>43556</v>
      </c>
      <c r="B1218" s="27" t="s">
        <v>35</v>
      </c>
      <c r="C1218" s="27" t="s">
        <v>50</v>
      </c>
      <c r="D1218" s="27" t="s">
        <v>6</v>
      </c>
      <c r="E1218" s="27" t="s">
        <v>19</v>
      </c>
      <c r="F1218" s="29"/>
      <c r="G1218" s="30">
        <v>487.48750000000001</v>
      </c>
    </row>
    <row r="1219" spans="1:7" hidden="1" x14ac:dyDescent="0.25">
      <c r="A1219" s="28">
        <v>43556</v>
      </c>
      <c r="B1219" s="27" t="s">
        <v>35</v>
      </c>
      <c r="C1219" s="27" t="s">
        <v>50</v>
      </c>
      <c r="D1219" s="27" t="s">
        <v>6</v>
      </c>
      <c r="E1219" s="27" t="s">
        <v>20</v>
      </c>
      <c r="F1219" s="29"/>
      <c r="G1219" s="30">
        <v>487.48750000000001</v>
      </c>
    </row>
    <row r="1220" spans="1:7" hidden="1" x14ac:dyDescent="0.25">
      <c r="A1220" s="28">
        <v>43556</v>
      </c>
      <c r="B1220" s="27" t="s">
        <v>34</v>
      </c>
      <c r="C1220" s="27" t="s">
        <v>50</v>
      </c>
      <c r="D1220" s="27" t="s">
        <v>6</v>
      </c>
      <c r="E1220" s="27" t="s">
        <v>8</v>
      </c>
      <c r="F1220" s="29"/>
      <c r="G1220" s="30">
        <v>552.0533333333334</v>
      </c>
    </row>
    <row r="1221" spans="1:7" hidden="1" x14ac:dyDescent="0.25">
      <c r="A1221" s="28">
        <v>43556</v>
      </c>
      <c r="B1221" s="27" t="s">
        <v>34</v>
      </c>
      <c r="C1221" s="27" t="s">
        <v>50</v>
      </c>
      <c r="D1221" s="27" t="s">
        <v>6</v>
      </c>
      <c r="E1221" s="27" t="s">
        <v>9</v>
      </c>
      <c r="F1221" s="29"/>
      <c r="G1221" s="30">
        <v>864.49749999999995</v>
      </c>
    </row>
    <row r="1222" spans="1:7" hidden="1" x14ac:dyDescent="0.25">
      <c r="A1222" s="28">
        <v>43556</v>
      </c>
      <c r="B1222" s="27" t="s">
        <v>34</v>
      </c>
      <c r="C1222" s="27" t="s">
        <v>50</v>
      </c>
      <c r="D1222" s="27" t="s">
        <v>6</v>
      </c>
      <c r="E1222" s="27" t="s">
        <v>64</v>
      </c>
      <c r="F1222" s="29"/>
      <c r="G1222" s="30">
        <v>698.10416666666663</v>
      </c>
    </row>
    <row r="1223" spans="1:7" hidden="1" x14ac:dyDescent="0.25">
      <c r="A1223" s="28">
        <v>43556</v>
      </c>
      <c r="B1223" s="27" t="s">
        <v>34</v>
      </c>
      <c r="C1223" s="27" t="s">
        <v>50</v>
      </c>
      <c r="D1223" s="27" t="s">
        <v>6</v>
      </c>
      <c r="E1223" s="27" t="s">
        <v>21</v>
      </c>
      <c r="F1223" s="29"/>
      <c r="G1223" s="30">
        <v>985.48500000000001</v>
      </c>
    </row>
    <row r="1224" spans="1:7" hidden="1" x14ac:dyDescent="0.25">
      <c r="A1224" s="28">
        <v>43556</v>
      </c>
      <c r="B1224" s="27" t="s">
        <v>34</v>
      </c>
      <c r="C1224" s="27" t="s">
        <v>50</v>
      </c>
      <c r="D1224" s="27" t="s">
        <v>6</v>
      </c>
      <c r="E1224" s="27" t="s">
        <v>21</v>
      </c>
      <c r="F1224" s="29"/>
      <c r="G1224" s="30">
        <v>656.62166666666667</v>
      </c>
    </row>
    <row r="1225" spans="1:7" hidden="1" x14ac:dyDescent="0.25">
      <c r="A1225" s="28">
        <v>43556</v>
      </c>
      <c r="B1225" s="27" t="s">
        <v>34</v>
      </c>
      <c r="C1225" s="27" t="s">
        <v>50</v>
      </c>
      <c r="D1225" s="27" t="s">
        <v>6</v>
      </c>
      <c r="E1225" s="27" t="s">
        <v>10</v>
      </c>
      <c r="F1225" s="29"/>
      <c r="G1225" s="30">
        <v>832.49083333333328</v>
      </c>
    </row>
    <row r="1226" spans="1:7" hidden="1" x14ac:dyDescent="0.25">
      <c r="A1226" s="28">
        <v>43556</v>
      </c>
      <c r="B1226" s="27" t="s">
        <v>34</v>
      </c>
      <c r="C1226" s="27" t="s">
        <v>50</v>
      </c>
      <c r="D1226" s="27" t="s">
        <v>6</v>
      </c>
      <c r="E1226" s="27" t="s">
        <v>11</v>
      </c>
      <c r="F1226" s="29"/>
      <c r="G1226" s="30">
        <v>418.92500000000001</v>
      </c>
    </row>
    <row r="1227" spans="1:7" hidden="1" x14ac:dyDescent="0.25">
      <c r="A1227" s="28">
        <v>43556</v>
      </c>
      <c r="B1227" s="27" t="s">
        <v>34</v>
      </c>
      <c r="C1227" s="27" t="s">
        <v>50</v>
      </c>
      <c r="D1227" s="27" t="s">
        <v>6</v>
      </c>
      <c r="E1227" s="27" t="s">
        <v>12</v>
      </c>
      <c r="F1227" s="29"/>
      <c r="G1227" s="30">
        <v>388.7</v>
      </c>
    </row>
    <row r="1228" spans="1:7" hidden="1" x14ac:dyDescent="0.25">
      <c r="A1228" s="28">
        <v>43556</v>
      </c>
      <c r="B1228" s="27" t="s">
        <v>34</v>
      </c>
      <c r="C1228" s="27" t="s">
        <v>50</v>
      </c>
      <c r="D1228" s="27" t="s">
        <v>6</v>
      </c>
      <c r="E1228" s="27" t="s">
        <v>13</v>
      </c>
      <c r="F1228" s="29"/>
      <c r="G1228" s="30">
        <v>537.06416666666667</v>
      </c>
    </row>
    <row r="1229" spans="1:7" hidden="1" x14ac:dyDescent="0.25">
      <c r="A1229" s="28">
        <v>43556</v>
      </c>
      <c r="B1229" s="27" t="s">
        <v>34</v>
      </c>
      <c r="C1229" s="27" t="s">
        <v>50</v>
      </c>
      <c r="D1229" s="27" t="s">
        <v>6</v>
      </c>
      <c r="E1229" s="27" t="s">
        <v>14</v>
      </c>
      <c r="F1229" s="29"/>
      <c r="G1229" s="30">
        <v>165.58333333333334</v>
      </c>
    </row>
    <row r="1230" spans="1:7" hidden="1" x14ac:dyDescent="0.25">
      <c r="A1230" s="28">
        <v>43556</v>
      </c>
      <c r="B1230" s="27" t="s">
        <v>34</v>
      </c>
      <c r="C1230" s="27" t="s">
        <v>50</v>
      </c>
      <c r="D1230" s="27" t="s">
        <v>6</v>
      </c>
      <c r="E1230" s="27" t="s">
        <v>15</v>
      </c>
      <c r="F1230" s="29"/>
      <c r="G1230" s="30">
        <v>409.28999999999996</v>
      </c>
    </row>
    <row r="1231" spans="1:7" hidden="1" x14ac:dyDescent="0.25">
      <c r="A1231" s="28">
        <v>43556</v>
      </c>
      <c r="B1231" s="27" t="s">
        <v>34</v>
      </c>
      <c r="C1231" s="27" t="s">
        <v>50</v>
      </c>
      <c r="D1231" s="27" t="s">
        <v>6</v>
      </c>
      <c r="E1231" s="27" t="s">
        <v>16</v>
      </c>
      <c r="F1231" s="29"/>
      <c r="G1231" s="30">
        <v>657.78499999999997</v>
      </c>
    </row>
    <row r="1232" spans="1:7" hidden="1" x14ac:dyDescent="0.25">
      <c r="A1232" s="28">
        <v>43556</v>
      </c>
      <c r="B1232" s="27" t="s">
        <v>34</v>
      </c>
      <c r="C1232" s="27" t="s">
        <v>50</v>
      </c>
      <c r="D1232" s="27" t="s">
        <v>6</v>
      </c>
      <c r="E1232" s="27" t="s">
        <v>17</v>
      </c>
      <c r="F1232" s="29"/>
      <c r="G1232" s="30">
        <v>835.00750000000005</v>
      </c>
    </row>
    <row r="1233" spans="1:7" hidden="1" x14ac:dyDescent="0.25">
      <c r="A1233" s="28">
        <v>43556</v>
      </c>
      <c r="B1233" s="27" t="s">
        <v>34</v>
      </c>
      <c r="C1233" s="27" t="s">
        <v>50</v>
      </c>
      <c r="D1233" s="27" t="s">
        <v>6</v>
      </c>
      <c r="E1233" s="27" t="s">
        <v>18</v>
      </c>
      <c r="F1233" s="29"/>
      <c r="G1233" s="30">
        <v>369.30749999999995</v>
      </c>
    </row>
    <row r="1234" spans="1:7" hidden="1" x14ac:dyDescent="0.25">
      <c r="A1234" s="28">
        <v>43556</v>
      </c>
      <c r="B1234" s="27" t="s">
        <v>34</v>
      </c>
      <c r="C1234" s="27" t="s">
        <v>50</v>
      </c>
      <c r="D1234" s="27" t="s">
        <v>6</v>
      </c>
      <c r="E1234" s="27" t="s">
        <v>19</v>
      </c>
      <c r="F1234" s="29"/>
      <c r="G1234" s="30">
        <v>289.51</v>
      </c>
    </row>
    <row r="1235" spans="1:7" hidden="1" x14ac:dyDescent="0.25">
      <c r="A1235" s="28">
        <v>43556</v>
      </c>
      <c r="B1235" s="27" t="s">
        <v>34</v>
      </c>
      <c r="C1235" s="27" t="s">
        <v>50</v>
      </c>
      <c r="D1235" s="27" t="s">
        <v>6</v>
      </c>
      <c r="E1235" s="27" t="s">
        <v>20</v>
      </c>
      <c r="F1235" s="29"/>
      <c r="G1235" s="30">
        <v>550.26900000000001</v>
      </c>
    </row>
    <row r="1236" spans="1:7" hidden="1" x14ac:dyDescent="0.25">
      <c r="A1236" s="28">
        <v>43556</v>
      </c>
      <c r="B1236" s="27" t="s">
        <v>34</v>
      </c>
      <c r="C1236" s="27" t="s">
        <v>50</v>
      </c>
      <c r="D1236" s="27" t="s">
        <v>6</v>
      </c>
      <c r="E1236" s="27" t="s">
        <v>204</v>
      </c>
      <c r="F1236" s="29"/>
      <c r="G1236" s="30">
        <v>164.41666666666666</v>
      </c>
    </row>
    <row r="1237" spans="1:7" hidden="1" x14ac:dyDescent="0.25">
      <c r="A1237" s="28">
        <v>43586</v>
      </c>
      <c r="B1237" s="27" t="s">
        <v>33</v>
      </c>
      <c r="C1237" s="27" t="s">
        <v>50</v>
      </c>
      <c r="D1237" s="27" t="s">
        <v>7</v>
      </c>
      <c r="E1237" s="27" t="s">
        <v>8</v>
      </c>
      <c r="F1237" s="29"/>
      <c r="G1237" s="30">
        <v>2745.4411764705887</v>
      </c>
    </row>
    <row r="1238" spans="1:7" hidden="1" x14ac:dyDescent="0.25">
      <c r="A1238" s="28">
        <v>43586</v>
      </c>
      <c r="B1238" s="27" t="s">
        <v>33</v>
      </c>
      <c r="C1238" s="27" t="s">
        <v>50</v>
      </c>
      <c r="D1238" s="27" t="s">
        <v>7</v>
      </c>
      <c r="E1238" s="27" t="s">
        <v>9</v>
      </c>
      <c r="F1238" s="29"/>
      <c r="G1238" s="30">
        <v>2745.4411764705887</v>
      </c>
    </row>
    <row r="1239" spans="1:7" hidden="1" x14ac:dyDescent="0.25">
      <c r="A1239" s="28">
        <v>43586</v>
      </c>
      <c r="B1239" s="27" t="s">
        <v>33</v>
      </c>
      <c r="C1239" s="27" t="s">
        <v>50</v>
      </c>
      <c r="D1239" s="27" t="s">
        <v>7</v>
      </c>
      <c r="E1239" s="27" t="s">
        <v>64</v>
      </c>
      <c r="F1239" s="29"/>
      <c r="G1239" s="30">
        <v>2745.4411764705887</v>
      </c>
    </row>
    <row r="1240" spans="1:7" hidden="1" x14ac:dyDescent="0.25">
      <c r="A1240" s="28">
        <v>43586</v>
      </c>
      <c r="B1240" s="27" t="s">
        <v>33</v>
      </c>
      <c r="C1240" s="27" t="s">
        <v>50</v>
      </c>
      <c r="D1240" s="27" t="s">
        <v>7</v>
      </c>
      <c r="E1240" s="27" t="s">
        <v>21</v>
      </c>
      <c r="F1240" s="29"/>
      <c r="G1240" s="30">
        <v>2745.4411764705887</v>
      </c>
    </row>
    <row r="1241" spans="1:7" hidden="1" x14ac:dyDescent="0.25">
      <c r="A1241" s="28">
        <v>43586</v>
      </c>
      <c r="B1241" s="27" t="s">
        <v>33</v>
      </c>
      <c r="C1241" s="27" t="s">
        <v>50</v>
      </c>
      <c r="D1241" s="27" t="s">
        <v>7</v>
      </c>
      <c r="E1241" s="27" t="s">
        <v>21</v>
      </c>
      <c r="F1241" s="29"/>
      <c r="G1241" s="30">
        <v>2745.4411764705887</v>
      </c>
    </row>
    <row r="1242" spans="1:7" hidden="1" x14ac:dyDescent="0.25">
      <c r="A1242" s="28">
        <v>43586</v>
      </c>
      <c r="B1242" s="27" t="s">
        <v>33</v>
      </c>
      <c r="C1242" s="27" t="s">
        <v>50</v>
      </c>
      <c r="D1242" s="27" t="s">
        <v>7</v>
      </c>
      <c r="E1242" s="27" t="s">
        <v>10</v>
      </c>
      <c r="F1242" s="29"/>
      <c r="G1242" s="30">
        <v>2745.4411764705887</v>
      </c>
    </row>
    <row r="1243" spans="1:7" hidden="1" x14ac:dyDescent="0.25">
      <c r="A1243" s="28">
        <v>43586</v>
      </c>
      <c r="B1243" s="27" t="s">
        <v>33</v>
      </c>
      <c r="C1243" s="27" t="s">
        <v>50</v>
      </c>
      <c r="D1243" s="27" t="s">
        <v>7</v>
      </c>
      <c r="E1243" s="27" t="s">
        <v>11</v>
      </c>
      <c r="F1243" s="29"/>
      <c r="G1243" s="30">
        <v>2745.4411764705887</v>
      </c>
    </row>
    <row r="1244" spans="1:7" hidden="1" x14ac:dyDescent="0.25">
      <c r="A1244" s="28">
        <v>43586</v>
      </c>
      <c r="B1244" s="27" t="s">
        <v>33</v>
      </c>
      <c r="C1244" s="27" t="s">
        <v>50</v>
      </c>
      <c r="D1244" s="27" t="s">
        <v>7</v>
      </c>
      <c r="E1244" s="27" t="s">
        <v>12</v>
      </c>
      <c r="F1244" s="29"/>
      <c r="G1244" s="30">
        <v>2745.4411764705887</v>
      </c>
    </row>
    <row r="1245" spans="1:7" hidden="1" x14ac:dyDescent="0.25">
      <c r="A1245" s="28">
        <v>43586</v>
      </c>
      <c r="B1245" s="27" t="s">
        <v>33</v>
      </c>
      <c r="C1245" s="27" t="s">
        <v>50</v>
      </c>
      <c r="D1245" s="27" t="s">
        <v>7</v>
      </c>
      <c r="E1245" s="27" t="s">
        <v>13</v>
      </c>
      <c r="F1245" s="29"/>
      <c r="G1245" s="30">
        <v>2745.4411764705887</v>
      </c>
    </row>
    <row r="1246" spans="1:7" hidden="1" x14ac:dyDescent="0.25">
      <c r="A1246" s="28">
        <v>43586</v>
      </c>
      <c r="B1246" s="27" t="s">
        <v>33</v>
      </c>
      <c r="C1246" s="27" t="s">
        <v>50</v>
      </c>
      <c r="D1246" s="27" t="s">
        <v>7</v>
      </c>
      <c r="E1246" s="27" t="s">
        <v>14</v>
      </c>
      <c r="F1246" s="29"/>
      <c r="G1246" s="30">
        <v>2745.4411764705887</v>
      </c>
    </row>
    <row r="1247" spans="1:7" hidden="1" x14ac:dyDescent="0.25">
      <c r="A1247" s="28">
        <v>43586</v>
      </c>
      <c r="B1247" s="27" t="s">
        <v>33</v>
      </c>
      <c r="C1247" s="27" t="s">
        <v>50</v>
      </c>
      <c r="D1247" s="27" t="s">
        <v>7</v>
      </c>
      <c r="E1247" s="27" t="s">
        <v>15</v>
      </c>
      <c r="F1247" s="29"/>
      <c r="G1247" s="30">
        <v>2745.4411764705887</v>
      </c>
    </row>
    <row r="1248" spans="1:7" hidden="1" x14ac:dyDescent="0.25">
      <c r="A1248" s="28">
        <v>43586</v>
      </c>
      <c r="B1248" s="27" t="s">
        <v>33</v>
      </c>
      <c r="C1248" s="27" t="s">
        <v>50</v>
      </c>
      <c r="D1248" s="27" t="s">
        <v>7</v>
      </c>
      <c r="E1248" s="27" t="s">
        <v>16</v>
      </c>
      <c r="F1248" s="29"/>
      <c r="G1248" s="30">
        <v>2745.4411764705887</v>
      </c>
    </row>
    <row r="1249" spans="1:7" hidden="1" x14ac:dyDescent="0.25">
      <c r="A1249" s="28">
        <v>43586</v>
      </c>
      <c r="B1249" s="27" t="s">
        <v>33</v>
      </c>
      <c r="C1249" s="27" t="s">
        <v>50</v>
      </c>
      <c r="D1249" s="27" t="s">
        <v>7</v>
      </c>
      <c r="E1249" s="27" t="s">
        <v>17</v>
      </c>
      <c r="F1249" s="29"/>
      <c r="G1249" s="30">
        <v>2745.4411764705887</v>
      </c>
    </row>
    <row r="1250" spans="1:7" hidden="1" x14ac:dyDescent="0.25">
      <c r="A1250" s="28">
        <v>43586</v>
      </c>
      <c r="B1250" s="27" t="s">
        <v>33</v>
      </c>
      <c r="C1250" s="27" t="s">
        <v>50</v>
      </c>
      <c r="D1250" s="27" t="s">
        <v>7</v>
      </c>
      <c r="E1250" s="27" t="s">
        <v>18</v>
      </c>
      <c r="F1250" s="29"/>
      <c r="G1250" s="30">
        <v>2745.4411764705887</v>
      </c>
    </row>
    <row r="1251" spans="1:7" hidden="1" x14ac:dyDescent="0.25">
      <c r="A1251" s="28">
        <v>43586</v>
      </c>
      <c r="B1251" s="27" t="s">
        <v>33</v>
      </c>
      <c r="C1251" s="27" t="s">
        <v>50</v>
      </c>
      <c r="D1251" s="27" t="s">
        <v>7</v>
      </c>
      <c r="E1251" s="27" t="s">
        <v>19</v>
      </c>
      <c r="F1251" s="29"/>
      <c r="G1251" s="30">
        <v>2745.4411764705887</v>
      </c>
    </row>
    <row r="1252" spans="1:7" hidden="1" x14ac:dyDescent="0.25">
      <c r="A1252" s="28">
        <v>43586</v>
      </c>
      <c r="B1252" s="27" t="s">
        <v>33</v>
      </c>
      <c r="C1252" s="27" t="s">
        <v>50</v>
      </c>
      <c r="D1252" s="27" t="s">
        <v>7</v>
      </c>
      <c r="E1252" s="27" t="s">
        <v>20</v>
      </c>
      <c r="F1252" s="29"/>
      <c r="G1252" s="30">
        <v>2745.4411764705887</v>
      </c>
    </row>
    <row r="1253" spans="1:7" hidden="1" x14ac:dyDescent="0.25">
      <c r="A1253" s="28">
        <v>43586</v>
      </c>
      <c r="B1253" s="27" t="s">
        <v>33</v>
      </c>
      <c r="C1253" s="27" t="s">
        <v>50</v>
      </c>
      <c r="D1253" s="27" t="s">
        <v>7</v>
      </c>
      <c r="E1253" s="27" t="s">
        <v>37</v>
      </c>
      <c r="F1253" s="29"/>
      <c r="G1253" s="30">
        <v>2745.4411764705887</v>
      </c>
    </row>
    <row r="1254" spans="1:7" hidden="1" x14ac:dyDescent="0.25">
      <c r="A1254" s="28">
        <v>43586</v>
      </c>
      <c r="B1254" s="27" t="s">
        <v>4</v>
      </c>
      <c r="C1254" s="27" t="s">
        <v>50</v>
      </c>
      <c r="D1254" s="27" t="s">
        <v>7</v>
      </c>
      <c r="E1254" s="27" t="s">
        <v>8</v>
      </c>
      <c r="F1254" s="29"/>
      <c r="G1254" s="30">
        <v>426.01</v>
      </c>
    </row>
    <row r="1255" spans="1:7" hidden="1" x14ac:dyDescent="0.25">
      <c r="A1255" s="28">
        <v>43586</v>
      </c>
      <c r="B1255" s="27" t="s">
        <v>4</v>
      </c>
      <c r="C1255" s="27" t="s">
        <v>50</v>
      </c>
      <c r="D1255" s="27" t="s">
        <v>7</v>
      </c>
      <c r="E1255" s="27" t="s">
        <v>9</v>
      </c>
      <c r="F1255" s="29"/>
      <c r="G1255" s="30">
        <v>4794.7800000000007</v>
      </c>
    </row>
    <row r="1256" spans="1:7" hidden="1" x14ac:dyDescent="0.25">
      <c r="A1256" s="28">
        <v>43586</v>
      </c>
      <c r="B1256" s="27" t="s">
        <v>4</v>
      </c>
      <c r="C1256" s="27" t="s">
        <v>50</v>
      </c>
      <c r="D1256" s="27" t="s">
        <v>7</v>
      </c>
      <c r="E1256" s="27" t="s">
        <v>64</v>
      </c>
      <c r="F1256" s="29"/>
      <c r="G1256" s="30">
        <v>3821.06</v>
      </c>
    </row>
    <row r="1257" spans="1:7" hidden="1" x14ac:dyDescent="0.25">
      <c r="A1257" s="28">
        <v>43586</v>
      </c>
      <c r="B1257" s="27" t="s">
        <v>4</v>
      </c>
      <c r="C1257" s="27" t="s">
        <v>50</v>
      </c>
      <c r="D1257" s="27" t="s">
        <v>7</v>
      </c>
      <c r="E1257" s="27" t="s">
        <v>21</v>
      </c>
      <c r="F1257" s="29"/>
      <c r="G1257" s="30">
        <v>3524.56</v>
      </c>
    </row>
    <row r="1258" spans="1:7" hidden="1" x14ac:dyDescent="0.25">
      <c r="A1258" s="28">
        <v>43586</v>
      </c>
      <c r="B1258" s="27" t="s">
        <v>4</v>
      </c>
      <c r="C1258" s="27" t="s">
        <v>50</v>
      </c>
      <c r="D1258" s="27" t="s">
        <v>7</v>
      </c>
      <c r="E1258" s="27" t="s">
        <v>21</v>
      </c>
      <c r="F1258" s="29"/>
      <c r="G1258" s="30">
        <v>5084.47</v>
      </c>
    </row>
    <row r="1259" spans="1:7" hidden="1" x14ac:dyDescent="0.25">
      <c r="A1259" s="28">
        <v>43586</v>
      </c>
      <c r="B1259" s="27" t="s">
        <v>4</v>
      </c>
      <c r="C1259" s="27" t="s">
        <v>50</v>
      </c>
      <c r="D1259" s="27" t="s">
        <v>7</v>
      </c>
      <c r="E1259" s="27" t="s">
        <v>10</v>
      </c>
      <c r="F1259" s="29"/>
      <c r="G1259" s="30">
        <v>3972.17</v>
      </c>
    </row>
    <row r="1260" spans="1:7" hidden="1" x14ac:dyDescent="0.25">
      <c r="A1260" s="28">
        <v>43586</v>
      </c>
      <c r="B1260" s="27" t="s">
        <v>4</v>
      </c>
      <c r="C1260" s="27" t="s">
        <v>50</v>
      </c>
      <c r="D1260" s="27" t="s">
        <v>7</v>
      </c>
      <c r="E1260" s="27" t="s">
        <v>11</v>
      </c>
      <c r="F1260" s="29"/>
      <c r="G1260" s="30">
        <v>2289.9799999999996</v>
      </c>
    </row>
    <row r="1261" spans="1:7" hidden="1" x14ac:dyDescent="0.25">
      <c r="A1261" s="28">
        <v>43586</v>
      </c>
      <c r="B1261" s="27" t="s">
        <v>4</v>
      </c>
      <c r="C1261" s="27" t="s">
        <v>50</v>
      </c>
      <c r="D1261" s="27" t="s">
        <v>7</v>
      </c>
      <c r="E1261" s="27" t="s">
        <v>12</v>
      </c>
      <c r="F1261" s="29"/>
      <c r="G1261" s="30">
        <v>1700.9</v>
      </c>
    </row>
    <row r="1262" spans="1:7" hidden="1" x14ac:dyDescent="0.25">
      <c r="A1262" s="28">
        <v>43586</v>
      </c>
      <c r="B1262" s="27" t="s">
        <v>4</v>
      </c>
      <c r="C1262" s="27" t="s">
        <v>50</v>
      </c>
      <c r="D1262" s="27" t="s">
        <v>7</v>
      </c>
      <c r="E1262" s="27" t="s">
        <v>13</v>
      </c>
      <c r="F1262" s="29"/>
      <c r="G1262" s="30">
        <v>4699.4400000000005</v>
      </c>
    </row>
    <row r="1263" spans="1:7" hidden="1" x14ac:dyDescent="0.25">
      <c r="A1263" s="28">
        <v>43586</v>
      </c>
      <c r="B1263" s="27" t="s">
        <v>4</v>
      </c>
      <c r="C1263" s="27" t="s">
        <v>50</v>
      </c>
      <c r="D1263" s="27" t="s">
        <v>7</v>
      </c>
      <c r="E1263" s="27" t="s">
        <v>14</v>
      </c>
      <c r="F1263" s="29"/>
      <c r="G1263" s="30">
        <v>2057.8000000000002</v>
      </c>
    </row>
    <row r="1264" spans="1:7" hidden="1" x14ac:dyDescent="0.25">
      <c r="A1264" s="28">
        <v>43586</v>
      </c>
      <c r="B1264" s="27" t="s">
        <v>4</v>
      </c>
      <c r="C1264" s="27" t="s">
        <v>50</v>
      </c>
      <c r="D1264" s="27" t="s">
        <v>7</v>
      </c>
      <c r="E1264" s="27" t="s">
        <v>15</v>
      </c>
      <c r="F1264" s="29"/>
      <c r="G1264" s="30">
        <v>5842.6</v>
      </c>
    </row>
    <row r="1265" spans="1:7" hidden="1" x14ac:dyDescent="0.25">
      <c r="A1265" s="28">
        <v>43586</v>
      </c>
      <c r="B1265" s="27" t="s">
        <v>4</v>
      </c>
      <c r="C1265" s="27" t="s">
        <v>50</v>
      </c>
      <c r="D1265" s="27" t="s">
        <v>7</v>
      </c>
      <c r="E1265" s="27" t="s">
        <v>16</v>
      </c>
      <c r="F1265" s="29"/>
      <c r="G1265" s="30">
        <v>5240.66</v>
      </c>
    </row>
    <row r="1266" spans="1:7" hidden="1" x14ac:dyDescent="0.25">
      <c r="A1266" s="28">
        <v>43586</v>
      </c>
      <c r="B1266" s="27" t="s">
        <v>4</v>
      </c>
      <c r="C1266" s="27" t="s">
        <v>50</v>
      </c>
      <c r="D1266" s="27" t="s">
        <v>7</v>
      </c>
      <c r="E1266" s="27" t="s">
        <v>17</v>
      </c>
      <c r="F1266" s="29"/>
      <c r="G1266" s="30">
        <v>3192.04</v>
      </c>
    </row>
    <row r="1267" spans="1:7" hidden="1" x14ac:dyDescent="0.25">
      <c r="A1267" s="28">
        <v>43586</v>
      </c>
      <c r="B1267" s="27" t="s">
        <v>4</v>
      </c>
      <c r="C1267" s="27" t="s">
        <v>50</v>
      </c>
      <c r="D1267" s="27" t="s">
        <v>7</v>
      </c>
      <c r="E1267" s="27" t="s">
        <v>18</v>
      </c>
      <c r="F1267" s="29"/>
      <c r="G1267" s="30">
        <v>2182.85</v>
      </c>
    </row>
    <row r="1268" spans="1:7" hidden="1" x14ac:dyDescent="0.25">
      <c r="A1268" s="28">
        <v>43586</v>
      </c>
      <c r="B1268" s="27" t="s">
        <v>4</v>
      </c>
      <c r="C1268" s="27" t="s">
        <v>50</v>
      </c>
      <c r="D1268" s="27" t="s">
        <v>7</v>
      </c>
      <c r="E1268" s="27" t="s">
        <v>19</v>
      </c>
      <c r="F1268" s="29"/>
      <c r="G1268" s="30">
        <v>5343.77</v>
      </c>
    </row>
    <row r="1269" spans="1:7" hidden="1" x14ac:dyDescent="0.25">
      <c r="A1269" s="28">
        <v>43586</v>
      </c>
      <c r="B1269" s="27" t="s">
        <v>4</v>
      </c>
      <c r="C1269" s="27" t="s">
        <v>50</v>
      </c>
      <c r="D1269" s="27" t="s">
        <v>7</v>
      </c>
      <c r="E1269" s="27" t="s">
        <v>20</v>
      </c>
      <c r="F1269" s="29"/>
      <c r="G1269" s="30">
        <v>2882.85</v>
      </c>
    </row>
    <row r="1270" spans="1:7" hidden="1" x14ac:dyDescent="0.25">
      <c r="A1270" s="28">
        <v>43586</v>
      </c>
      <c r="B1270" s="27" t="s">
        <v>4</v>
      </c>
      <c r="C1270" s="27" t="s">
        <v>50</v>
      </c>
      <c r="D1270" s="27" t="s">
        <v>7</v>
      </c>
      <c r="E1270" s="27" t="s">
        <v>204</v>
      </c>
      <c r="F1270" s="29"/>
      <c r="G1270" s="30">
        <v>798.06</v>
      </c>
    </row>
    <row r="1271" spans="1:7" hidden="1" x14ac:dyDescent="0.25">
      <c r="A1271" s="28">
        <v>43586</v>
      </c>
      <c r="B1271" s="27" t="s">
        <v>4</v>
      </c>
      <c r="C1271" s="27" t="s">
        <v>50</v>
      </c>
      <c r="D1271" s="27" t="s">
        <v>7</v>
      </c>
      <c r="E1271" s="27" t="s">
        <v>37</v>
      </c>
      <c r="F1271" s="29"/>
      <c r="G1271" s="30">
        <v>420</v>
      </c>
    </row>
    <row r="1272" spans="1:7" hidden="1" x14ac:dyDescent="0.25">
      <c r="A1272" s="28">
        <v>43586</v>
      </c>
      <c r="B1272" s="27" t="s">
        <v>26</v>
      </c>
      <c r="C1272" s="27" t="s">
        <v>50</v>
      </c>
      <c r="D1272" s="27" t="s">
        <v>6</v>
      </c>
      <c r="E1272" s="27" t="s">
        <v>8</v>
      </c>
      <c r="F1272" s="29"/>
      <c r="G1272" s="30">
        <v>1194.25</v>
      </c>
    </row>
    <row r="1273" spans="1:7" hidden="1" x14ac:dyDescent="0.25">
      <c r="A1273" s="28">
        <v>43586</v>
      </c>
      <c r="B1273" s="27" t="s">
        <v>26</v>
      </c>
      <c r="C1273" s="27" t="s">
        <v>50</v>
      </c>
      <c r="D1273" s="27" t="s">
        <v>6</v>
      </c>
      <c r="E1273" s="27" t="s">
        <v>9</v>
      </c>
      <c r="F1273" s="29"/>
      <c r="G1273" s="30">
        <v>1550.9166666666667</v>
      </c>
    </row>
    <row r="1274" spans="1:7" hidden="1" x14ac:dyDescent="0.25">
      <c r="A1274" s="28">
        <v>43586</v>
      </c>
      <c r="B1274" s="27" t="s">
        <v>26</v>
      </c>
      <c r="C1274" s="27" t="s">
        <v>50</v>
      </c>
      <c r="D1274" s="27" t="s">
        <v>6</v>
      </c>
      <c r="E1274" s="27" t="s">
        <v>64</v>
      </c>
      <c r="F1274" s="29"/>
      <c r="G1274" s="30">
        <v>1270.3500000000001</v>
      </c>
    </row>
    <row r="1275" spans="1:7" hidden="1" x14ac:dyDescent="0.25">
      <c r="A1275" s="28">
        <v>43586</v>
      </c>
      <c r="B1275" s="27" t="s">
        <v>26</v>
      </c>
      <c r="C1275" s="27" t="s">
        <v>50</v>
      </c>
      <c r="D1275" s="27" t="s">
        <v>6</v>
      </c>
      <c r="E1275" s="27" t="s">
        <v>21</v>
      </c>
      <c r="F1275" s="29"/>
      <c r="G1275" s="30">
        <v>1359.4166666666667</v>
      </c>
    </row>
    <row r="1276" spans="1:7" hidden="1" x14ac:dyDescent="0.25">
      <c r="A1276" s="28">
        <v>43586</v>
      </c>
      <c r="B1276" s="27" t="s">
        <v>26</v>
      </c>
      <c r="C1276" s="27" t="s">
        <v>50</v>
      </c>
      <c r="D1276" s="27" t="s">
        <v>6</v>
      </c>
      <c r="E1276" s="27" t="s">
        <v>21</v>
      </c>
      <c r="F1276" s="29"/>
      <c r="G1276" s="30">
        <v>1359.4166666666667</v>
      </c>
    </row>
    <row r="1277" spans="1:7" hidden="1" x14ac:dyDescent="0.25">
      <c r="A1277" s="28">
        <v>43586</v>
      </c>
      <c r="B1277" s="27" t="s">
        <v>26</v>
      </c>
      <c r="C1277" s="27" t="s">
        <v>50</v>
      </c>
      <c r="D1277" s="27" t="s">
        <v>6</v>
      </c>
      <c r="E1277" s="27" t="s">
        <v>10</v>
      </c>
      <c r="F1277" s="29"/>
      <c r="G1277" s="30">
        <v>1998.9666666666669</v>
      </c>
    </row>
    <row r="1278" spans="1:7" hidden="1" x14ac:dyDescent="0.25">
      <c r="A1278" s="28">
        <v>43586</v>
      </c>
      <c r="B1278" s="27" t="s">
        <v>26</v>
      </c>
      <c r="C1278" s="27" t="s">
        <v>50</v>
      </c>
      <c r="D1278" s="27" t="s">
        <v>6</v>
      </c>
      <c r="E1278" s="27" t="s">
        <v>11</v>
      </c>
      <c r="F1278" s="29"/>
      <c r="G1278" s="30">
        <v>1340.7166666666667</v>
      </c>
    </row>
    <row r="1279" spans="1:7" hidden="1" x14ac:dyDescent="0.25">
      <c r="A1279" s="28">
        <v>43586</v>
      </c>
      <c r="B1279" s="27" t="s">
        <v>26</v>
      </c>
      <c r="C1279" s="27" t="s">
        <v>50</v>
      </c>
      <c r="D1279" s="27" t="s">
        <v>6</v>
      </c>
      <c r="E1279" s="27" t="s">
        <v>12</v>
      </c>
      <c r="F1279" s="29"/>
      <c r="G1279" s="30">
        <v>1350.1166666666668</v>
      </c>
    </row>
    <row r="1280" spans="1:7" hidden="1" x14ac:dyDescent="0.25">
      <c r="A1280" s="28">
        <v>43586</v>
      </c>
      <c r="B1280" s="27" t="s">
        <v>26</v>
      </c>
      <c r="C1280" s="27" t="s">
        <v>50</v>
      </c>
      <c r="D1280" s="27" t="s">
        <v>6</v>
      </c>
      <c r="E1280" s="27" t="s">
        <v>13</v>
      </c>
      <c r="F1280" s="29"/>
      <c r="G1280" s="30">
        <v>1901.5</v>
      </c>
    </row>
    <row r="1281" spans="1:7" hidden="1" x14ac:dyDescent="0.25">
      <c r="A1281" s="28">
        <v>43586</v>
      </c>
      <c r="B1281" s="27" t="s">
        <v>26</v>
      </c>
      <c r="C1281" s="27" t="s">
        <v>50</v>
      </c>
      <c r="D1281" s="27" t="s">
        <v>6</v>
      </c>
      <c r="E1281" s="27" t="s">
        <v>14</v>
      </c>
      <c r="F1281" s="29"/>
      <c r="G1281" s="30">
        <v>701.7833333333333</v>
      </c>
    </row>
    <row r="1282" spans="1:7" hidden="1" x14ac:dyDescent="0.25">
      <c r="A1282" s="28">
        <v>43586</v>
      </c>
      <c r="B1282" s="27" t="s">
        <v>26</v>
      </c>
      <c r="C1282" s="27" t="s">
        <v>50</v>
      </c>
      <c r="D1282" s="27" t="s">
        <v>6</v>
      </c>
      <c r="E1282" s="27" t="s">
        <v>15</v>
      </c>
      <c r="F1282" s="29"/>
      <c r="G1282" s="30">
        <v>1820.5500000000002</v>
      </c>
    </row>
    <row r="1283" spans="1:7" hidden="1" x14ac:dyDescent="0.25">
      <c r="A1283" s="28">
        <v>43586</v>
      </c>
      <c r="B1283" s="27" t="s">
        <v>26</v>
      </c>
      <c r="C1283" s="27" t="s">
        <v>50</v>
      </c>
      <c r="D1283" s="27" t="s">
        <v>6</v>
      </c>
      <c r="E1283" s="27" t="s">
        <v>16</v>
      </c>
      <c r="F1283" s="29"/>
      <c r="G1283" s="30">
        <v>1992.5833333333333</v>
      </c>
    </row>
    <row r="1284" spans="1:7" hidden="1" x14ac:dyDescent="0.25">
      <c r="A1284" s="28">
        <v>43586</v>
      </c>
      <c r="B1284" s="27" t="s">
        <v>26</v>
      </c>
      <c r="C1284" s="27" t="s">
        <v>50</v>
      </c>
      <c r="D1284" s="27" t="s">
        <v>6</v>
      </c>
      <c r="E1284" s="27" t="s">
        <v>17</v>
      </c>
      <c r="F1284" s="29"/>
      <c r="G1284" s="30">
        <v>2822.1166666666668</v>
      </c>
    </row>
    <row r="1285" spans="1:7" hidden="1" x14ac:dyDescent="0.25">
      <c r="A1285" s="28">
        <v>43586</v>
      </c>
      <c r="B1285" s="27" t="s">
        <v>26</v>
      </c>
      <c r="C1285" s="27" t="s">
        <v>50</v>
      </c>
      <c r="D1285" s="27" t="s">
        <v>6</v>
      </c>
      <c r="E1285" s="27" t="s">
        <v>18</v>
      </c>
      <c r="F1285" s="29"/>
      <c r="G1285" s="30">
        <v>1488.6666666666667</v>
      </c>
    </row>
    <row r="1286" spans="1:7" hidden="1" x14ac:dyDescent="0.25">
      <c r="A1286" s="28">
        <v>43586</v>
      </c>
      <c r="B1286" s="27" t="s">
        <v>26</v>
      </c>
      <c r="C1286" s="27" t="s">
        <v>50</v>
      </c>
      <c r="D1286" s="27" t="s">
        <v>6</v>
      </c>
      <c r="E1286" s="27" t="s">
        <v>19</v>
      </c>
      <c r="F1286" s="29"/>
      <c r="G1286" s="30">
        <v>2454.8833333333337</v>
      </c>
    </row>
    <row r="1287" spans="1:7" hidden="1" x14ac:dyDescent="0.25">
      <c r="A1287" s="28">
        <v>43586</v>
      </c>
      <c r="B1287" s="27" t="s">
        <v>26</v>
      </c>
      <c r="C1287" s="27" t="s">
        <v>50</v>
      </c>
      <c r="D1287" s="27" t="s">
        <v>6</v>
      </c>
      <c r="E1287" s="27" t="s">
        <v>20</v>
      </c>
      <c r="F1287" s="29"/>
      <c r="G1287" s="30">
        <v>1590.3833333333334</v>
      </c>
    </row>
    <row r="1288" spans="1:7" hidden="1" x14ac:dyDescent="0.25">
      <c r="A1288" s="28">
        <v>43586</v>
      </c>
      <c r="B1288" s="27" t="s">
        <v>26</v>
      </c>
      <c r="C1288" s="27" t="s">
        <v>50</v>
      </c>
      <c r="D1288" s="27" t="s">
        <v>6</v>
      </c>
      <c r="E1288" s="27" t="s">
        <v>204</v>
      </c>
      <c r="F1288" s="29"/>
      <c r="G1288" s="30">
        <v>316.66666666666669</v>
      </c>
    </row>
    <row r="1289" spans="1:7" hidden="1" x14ac:dyDescent="0.25">
      <c r="A1289" s="28">
        <v>43586</v>
      </c>
      <c r="B1289" s="27" t="s">
        <v>26</v>
      </c>
      <c r="C1289" s="27" t="s">
        <v>50</v>
      </c>
      <c r="D1289" s="27" t="s">
        <v>6</v>
      </c>
      <c r="E1289" s="27" t="s">
        <v>205</v>
      </c>
      <c r="F1289" s="29"/>
      <c r="G1289" s="30">
        <v>1200</v>
      </c>
    </row>
    <row r="1290" spans="1:7" hidden="1" x14ac:dyDescent="0.25">
      <c r="A1290" s="28">
        <v>43586</v>
      </c>
      <c r="B1290" s="27" t="s">
        <v>26</v>
      </c>
      <c r="C1290" s="27" t="s">
        <v>50</v>
      </c>
      <c r="D1290" s="27" t="s">
        <v>6</v>
      </c>
      <c r="E1290" s="27" t="s">
        <v>37</v>
      </c>
      <c r="F1290" s="29"/>
      <c r="G1290" s="30">
        <v>250</v>
      </c>
    </row>
    <row r="1291" spans="1:7" hidden="1" x14ac:dyDescent="0.25">
      <c r="A1291" s="28">
        <v>43586</v>
      </c>
      <c r="B1291" s="27" t="s">
        <v>3</v>
      </c>
      <c r="C1291" s="27" t="s">
        <v>50</v>
      </c>
      <c r="D1291" s="27" t="s">
        <v>7</v>
      </c>
      <c r="E1291" s="27" t="s">
        <v>8</v>
      </c>
      <c r="F1291" s="29"/>
      <c r="G1291" s="30">
        <v>702.77555555555546</v>
      </c>
    </row>
    <row r="1292" spans="1:7" hidden="1" x14ac:dyDescent="0.25">
      <c r="A1292" s="28">
        <v>43586</v>
      </c>
      <c r="B1292" s="27" t="s">
        <v>3</v>
      </c>
      <c r="C1292" s="27" t="s">
        <v>50</v>
      </c>
      <c r="D1292" s="27" t="s">
        <v>7</v>
      </c>
      <c r="E1292" s="27" t="s">
        <v>9</v>
      </c>
      <c r="F1292" s="29"/>
      <c r="G1292" s="30">
        <v>702.77555555555546</v>
      </c>
    </row>
    <row r="1293" spans="1:7" hidden="1" x14ac:dyDescent="0.25">
      <c r="A1293" s="28">
        <v>43586</v>
      </c>
      <c r="B1293" s="27" t="s">
        <v>3</v>
      </c>
      <c r="C1293" s="27" t="s">
        <v>50</v>
      </c>
      <c r="D1293" s="27" t="s">
        <v>7</v>
      </c>
      <c r="E1293" s="27" t="s">
        <v>64</v>
      </c>
      <c r="F1293" s="29"/>
      <c r="G1293" s="30">
        <v>702.77555555555546</v>
      </c>
    </row>
    <row r="1294" spans="1:7" hidden="1" x14ac:dyDescent="0.25">
      <c r="A1294" s="28">
        <v>43586</v>
      </c>
      <c r="B1294" s="27" t="s">
        <v>3</v>
      </c>
      <c r="C1294" s="27" t="s">
        <v>50</v>
      </c>
      <c r="D1294" s="27" t="s">
        <v>7</v>
      </c>
      <c r="E1294" s="27" t="s">
        <v>21</v>
      </c>
      <c r="F1294" s="29"/>
      <c r="G1294" s="30">
        <v>702.77555555555546</v>
      </c>
    </row>
    <row r="1295" spans="1:7" hidden="1" x14ac:dyDescent="0.25">
      <c r="A1295" s="28">
        <v>43586</v>
      </c>
      <c r="B1295" s="27" t="s">
        <v>3</v>
      </c>
      <c r="C1295" s="27" t="s">
        <v>50</v>
      </c>
      <c r="D1295" s="27" t="s">
        <v>7</v>
      </c>
      <c r="E1295" s="27" t="s">
        <v>21</v>
      </c>
      <c r="F1295" s="29"/>
      <c r="G1295" s="30">
        <v>702.77555555555546</v>
      </c>
    </row>
    <row r="1296" spans="1:7" hidden="1" x14ac:dyDescent="0.25">
      <c r="A1296" s="28">
        <v>43586</v>
      </c>
      <c r="B1296" s="27" t="s">
        <v>3</v>
      </c>
      <c r="C1296" s="27" t="s">
        <v>50</v>
      </c>
      <c r="D1296" s="27" t="s">
        <v>7</v>
      </c>
      <c r="E1296" s="27" t="s">
        <v>10</v>
      </c>
      <c r="F1296" s="29"/>
      <c r="G1296" s="30">
        <v>702.77555555555546</v>
      </c>
    </row>
    <row r="1297" spans="1:7" hidden="1" x14ac:dyDescent="0.25">
      <c r="A1297" s="28">
        <v>43586</v>
      </c>
      <c r="B1297" s="27" t="s">
        <v>3</v>
      </c>
      <c r="C1297" s="27" t="s">
        <v>50</v>
      </c>
      <c r="D1297" s="27" t="s">
        <v>7</v>
      </c>
      <c r="E1297" s="27" t="s">
        <v>11</v>
      </c>
      <c r="F1297" s="29"/>
      <c r="G1297" s="30">
        <v>702.77555555555546</v>
      </c>
    </row>
    <row r="1298" spans="1:7" hidden="1" x14ac:dyDescent="0.25">
      <c r="A1298" s="28">
        <v>43586</v>
      </c>
      <c r="B1298" s="27" t="s">
        <v>3</v>
      </c>
      <c r="C1298" s="27" t="s">
        <v>50</v>
      </c>
      <c r="D1298" s="27" t="s">
        <v>7</v>
      </c>
      <c r="E1298" s="27" t="s">
        <v>12</v>
      </c>
      <c r="F1298" s="29"/>
      <c r="G1298" s="30">
        <v>702.77555555555546</v>
      </c>
    </row>
    <row r="1299" spans="1:7" hidden="1" x14ac:dyDescent="0.25">
      <c r="A1299" s="28">
        <v>43586</v>
      </c>
      <c r="B1299" s="27" t="s">
        <v>3</v>
      </c>
      <c r="C1299" s="27" t="s">
        <v>50</v>
      </c>
      <c r="D1299" s="27" t="s">
        <v>7</v>
      </c>
      <c r="E1299" s="27" t="s">
        <v>13</v>
      </c>
      <c r="F1299" s="29"/>
      <c r="G1299" s="30">
        <v>702.77555555555546</v>
      </c>
    </row>
    <row r="1300" spans="1:7" hidden="1" x14ac:dyDescent="0.25">
      <c r="A1300" s="28">
        <v>43586</v>
      </c>
      <c r="B1300" s="27" t="s">
        <v>3</v>
      </c>
      <c r="C1300" s="27" t="s">
        <v>50</v>
      </c>
      <c r="D1300" s="27" t="s">
        <v>7</v>
      </c>
      <c r="E1300" s="27" t="s">
        <v>14</v>
      </c>
      <c r="F1300" s="29"/>
      <c r="G1300" s="30">
        <v>702.77555555555546</v>
      </c>
    </row>
    <row r="1301" spans="1:7" hidden="1" x14ac:dyDescent="0.25">
      <c r="A1301" s="28">
        <v>43586</v>
      </c>
      <c r="B1301" s="27" t="s">
        <v>3</v>
      </c>
      <c r="C1301" s="27" t="s">
        <v>50</v>
      </c>
      <c r="D1301" s="27" t="s">
        <v>7</v>
      </c>
      <c r="E1301" s="27" t="s">
        <v>15</v>
      </c>
      <c r="F1301" s="29"/>
      <c r="G1301" s="30">
        <v>702.77555555555546</v>
      </c>
    </row>
    <row r="1302" spans="1:7" hidden="1" x14ac:dyDescent="0.25">
      <c r="A1302" s="28">
        <v>43586</v>
      </c>
      <c r="B1302" s="27" t="s">
        <v>3</v>
      </c>
      <c r="C1302" s="27" t="s">
        <v>50</v>
      </c>
      <c r="D1302" s="27" t="s">
        <v>7</v>
      </c>
      <c r="E1302" s="27" t="s">
        <v>16</v>
      </c>
      <c r="F1302" s="29"/>
      <c r="G1302" s="30">
        <v>702.77555555555546</v>
      </c>
    </row>
    <row r="1303" spans="1:7" hidden="1" x14ac:dyDescent="0.25">
      <c r="A1303" s="28">
        <v>43586</v>
      </c>
      <c r="B1303" s="27" t="s">
        <v>3</v>
      </c>
      <c r="C1303" s="27" t="s">
        <v>50</v>
      </c>
      <c r="D1303" s="27" t="s">
        <v>7</v>
      </c>
      <c r="E1303" s="27" t="s">
        <v>17</v>
      </c>
      <c r="F1303" s="29"/>
      <c r="G1303" s="30">
        <v>702.77555555555546</v>
      </c>
    </row>
    <row r="1304" spans="1:7" hidden="1" x14ac:dyDescent="0.25">
      <c r="A1304" s="28">
        <v>43586</v>
      </c>
      <c r="B1304" s="27" t="s">
        <v>3</v>
      </c>
      <c r="C1304" s="27" t="s">
        <v>50</v>
      </c>
      <c r="D1304" s="27" t="s">
        <v>7</v>
      </c>
      <c r="E1304" s="27" t="s">
        <v>18</v>
      </c>
      <c r="F1304" s="29"/>
      <c r="G1304" s="30">
        <v>702.77555555555546</v>
      </c>
    </row>
    <row r="1305" spans="1:7" hidden="1" x14ac:dyDescent="0.25">
      <c r="A1305" s="28">
        <v>43586</v>
      </c>
      <c r="B1305" s="27" t="s">
        <v>3</v>
      </c>
      <c r="C1305" s="27" t="s">
        <v>50</v>
      </c>
      <c r="D1305" s="27" t="s">
        <v>7</v>
      </c>
      <c r="E1305" s="27" t="s">
        <v>19</v>
      </c>
      <c r="F1305" s="29"/>
      <c r="G1305" s="30">
        <v>702.77555555555546</v>
      </c>
    </row>
    <row r="1306" spans="1:7" hidden="1" x14ac:dyDescent="0.25">
      <c r="A1306" s="28">
        <v>43586</v>
      </c>
      <c r="B1306" s="27" t="s">
        <v>3</v>
      </c>
      <c r="C1306" s="27" t="s">
        <v>50</v>
      </c>
      <c r="D1306" s="27" t="s">
        <v>7</v>
      </c>
      <c r="E1306" s="27" t="s">
        <v>20</v>
      </c>
      <c r="F1306" s="29"/>
      <c r="G1306" s="30">
        <v>702.77555555555546</v>
      </c>
    </row>
    <row r="1307" spans="1:7" hidden="1" x14ac:dyDescent="0.25">
      <c r="A1307" s="28">
        <v>43586</v>
      </c>
      <c r="B1307" s="27" t="s">
        <v>3</v>
      </c>
      <c r="C1307" s="27" t="s">
        <v>50</v>
      </c>
      <c r="D1307" s="27" t="s">
        <v>7</v>
      </c>
      <c r="E1307" s="27" t="s">
        <v>204</v>
      </c>
      <c r="F1307" s="29"/>
      <c r="G1307" s="30">
        <v>702.77555555555546</v>
      </c>
    </row>
    <row r="1308" spans="1:7" hidden="1" x14ac:dyDescent="0.25">
      <c r="A1308" s="28">
        <v>43586</v>
      </c>
      <c r="B1308" s="27" t="s">
        <v>3</v>
      </c>
      <c r="C1308" s="27" t="s">
        <v>50</v>
      </c>
      <c r="D1308" s="27" t="s">
        <v>7</v>
      </c>
      <c r="E1308" s="27" t="s">
        <v>205</v>
      </c>
      <c r="F1308" s="29"/>
      <c r="G1308" s="30">
        <v>702.77555555555546</v>
      </c>
    </row>
    <row r="1309" spans="1:7" hidden="1" x14ac:dyDescent="0.25">
      <c r="A1309" s="28">
        <v>43586</v>
      </c>
      <c r="B1309" s="27" t="s">
        <v>179</v>
      </c>
      <c r="C1309" s="27" t="s">
        <v>50</v>
      </c>
      <c r="D1309" s="27" t="s">
        <v>6</v>
      </c>
      <c r="E1309" s="27" t="s">
        <v>8</v>
      </c>
      <c r="F1309" s="29"/>
      <c r="G1309" s="30">
        <v>82.027500000000003</v>
      </c>
    </row>
    <row r="1310" spans="1:7" hidden="1" x14ac:dyDescent="0.25">
      <c r="A1310" s="28">
        <v>43586</v>
      </c>
      <c r="B1310" s="27" t="s">
        <v>179</v>
      </c>
      <c r="C1310" s="27" t="s">
        <v>50</v>
      </c>
      <c r="D1310" s="27" t="s">
        <v>6</v>
      </c>
      <c r="E1310" s="27" t="s">
        <v>9</v>
      </c>
      <c r="F1310" s="29"/>
      <c r="G1310" s="30">
        <v>80.430833333333325</v>
      </c>
    </row>
    <row r="1311" spans="1:7" hidden="1" x14ac:dyDescent="0.25">
      <c r="A1311" s="28">
        <v>43586</v>
      </c>
      <c r="B1311" s="27" t="s">
        <v>179</v>
      </c>
      <c r="C1311" s="27" t="s">
        <v>50</v>
      </c>
      <c r="D1311" s="27" t="s">
        <v>6</v>
      </c>
      <c r="E1311" s="27" t="s">
        <v>64</v>
      </c>
      <c r="F1311" s="29"/>
      <c r="G1311" s="30">
        <v>99.683333333333337</v>
      </c>
    </row>
    <row r="1312" spans="1:7" hidden="1" x14ac:dyDescent="0.25">
      <c r="A1312" s="28">
        <v>43586</v>
      </c>
      <c r="B1312" s="27" t="s">
        <v>179</v>
      </c>
      <c r="C1312" s="27" t="s">
        <v>50</v>
      </c>
      <c r="D1312" s="27" t="s">
        <v>6</v>
      </c>
      <c r="E1312" s="27" t="s">
        <v>21</v>
      </c>
      <c r="F1312" s="29"/>
      <c r="G1312" s="30">
        <v>101.87</v>
      </c>
    </row>
    <row r="1313" spans="1:7" hidden="1" x14ac:dyDescent="0.25">
      <c r="A1313" s="28">
        <v>43586</v>
      </c>
      <c r="B1313" s="27" t="s">
        <v>179</v>
      </c>
      <c r="C1313" s="27" t="s">
        <v>50</v>
      </c>
      <c r="D1313" s="27" t="s">
        <v>6</v>
      </c>
      <c r="E1313" s="27" t="s">
        <v>21</v>
      </c>
      <c r="F1313" s="29"/>
      <c r="G1313" s="30">
        <v>75.420833333333334</v>
      </c>
    </row>
    <row r="1314" spans="1:7" hidden="1" x14ac:dyDescent="0.25">
      <c r="A1314" s="28">
        <v>43586</v>
      </c>
      <c r="B1314" s="27" t="s">
        <v>179</v>
      </c>
      <c r="C1314" s="27" t="s">
        <v>50</v>
      </c>
      <c r="D1314" s="27" t="s">
        <v>6</v>
      </c>
      <c r="E1314" s="27" t="s">
        <v>10</v>
      </c>
      <c r="F1314" s="29"/>
      <c r="G1314" s="30">
        <v>94.975833333333341</v>
      </c>
    </row>
    <row r="1315" spans="1:7" hidden="1" x14ac:dyDescent="0.25">
      <c r="A1315" s="28">
        <v>43586</v>
      </c>
      <c r="B1315" s="27" t="s">
        <v>179</v>
      </c>
      <c r="C1315" s="27" t="s">
        <v>50</v>
      </c>
      <c r="D1315" s="27" t="s">
        <v>6</v>
      </c>
      <c r="E1315" s="27" t="s">
        <v>11</v>
      </c>
      <c r="F1315" s="29"/>
      <c r="G1315" s="30">
        <v>99.024999999999991</v>
      </c>
    </row>
    <row r="1316" spans="1:7" hidden="1" x14ac:dyDescent="0.25">
      <c r="A1316" s="28">
        <v>43586</v>
      </c>
      <c r="B1316" s="27" t="s">
        <v>179</v>
      </c>
      <c r="C1316" s="27" t="s">
        <v>50</v>
      </c>
      <c r="D1316" s="27" t="s">
        <v>6</v>
      </c>
      <c r="E1316" s="27" t="s">
        <v>12</v>
      </c>
      <c r="F1316" s="29"/>
      <c r="G1316" s="30">
        <v>75.82083333333334</v>
      </c>
    </row>
    <row r="1317" spans="1:7" hidden="1" x14ac:dyDescent="0.25">
      <c r="A1317" s="28">
        <v>43586</v>
      </c>
      <c r="B1317" s="27" t="s">
        <v>179</v>
      </c>
      <c r="C1317" s="27" t="s">
        <v>50</v>
      </c>
      <c r="D1317" s="27" t="s">
        <v>6</v>
      </c>
      <c r="E1317" s="27" t="s">
        <v>13</v>
      </c>
      <c r="F1317" s="29"/>
      <c r="G1317" s="30">
        <v>100.41500000000001</v>
      </c>
    </row>
    <row r="1318" spans="1:7" hidden="1" x14ac:dyDescent="0.25">
      <c r="A1318" s="28">
        <v>43586</v>
      </c>
      <c r="B1318" s="27" t="s">
        <v>179</v>
      </c>
      <c r="C1318" s="27" t="s">
        <v>50</v>
      </c>
      <c r="D1318" s="27" t="s">
        <v>6</v>
      </c>
      <c r="E1318" s="27" t="s">
        <v>14</v>
      </c>
      <c r="F1318" s="29"/>
      <c r="G1318" s="30">
        <v>84.427499999999995</v>
      </c>
    </row>
    <row r="1319" spans="1:7" hidden="1" x14ac:dyDescent="0.25">
      <c r="A1319" s="28">
        <v>43586</v>
      </c>
      <c r="B1319" s="27" t="s">
        <v>179</v>
      </c>
      <c r="C1319" s="27" t="s">
        <v>50</v>
      </c>
      <c r="D1319" s="27" t="s">
        <v>6</v>
      </c>
      <c r="E1319" s="27" t="s">
        <v>15</v>
      </c>
      <c r="F1319" s="29"/>
      <c r="G1319" s="30">
        <v>97.932500000000005</v>
      </c>
    </row>
    <row r="1320" spans="1:7" hidden="1" x14ac:dyDescent="0.25">
      <c r="A1320" s="28">
        <v>43586</v>
      </c>
      <c r="B1320" s="27" t="s">
        <v>179</v>
      </c>
      <c r="C1320" s="27" t="s">
        <v>50</v>
      </c>
      <c r="D1320" s="27" t="s">
        <v>6</v>
      </c>
      <c r="E1320" s="27" t="s">
        <v>16</v>
      </c>
      <c r="F1320" s="29"/>
      <c r="G1320" s="30">
        <v>99.579166666666666</v>
      </c>
    </row>
    <row r="1321" spans="1:7" hidden="1" x14ac:dyDescent="0.25">
      <c r="A1321" s="28">
        <v>43586</v>
      </c>
      <c r="B1321" s="27" t="s">
        <v>179</v>
      </c>
      <c r="C1321" s="27" t="s">
        <v>50</v>
      </c>
      <c r="D1321" s="27" t="s">
        <v>6</v>
      </c>
      <c r="E1321" s="27" t="s">
        <v>17</v>
      </c>
      <c r="F1321" s="29"/>
      <c r="G1321" s="30">
        <v>163.58583333333334</v>
      </c>
    </row>
    <row r="1322" spans="1:7" hidden="1" x14ac:dyDescent="0.25">
      <c r="A1322" s="28">
        <v>43586</v>
      </c>
      <c r="B1322" s="27" t="s">
        <v>179</v>
      </c>
      <c r="C1322" s="27" t="s">
        <v>50</v>
      </c>
      <c r="D1322" s="27" t="s">
        <v>6</v>
      </c>
      <c r="E1322" s="27" t="s">
        <v>18</v>
      </c>
      <c r="F1322" s="29"/>
      <c r="G1322" s="30">
        <v>189.72083333333333</v>
      </c>
    </row>
    <row r="1323" spans="1:7" hidden="1" x14ac:dyDescent="0.25">
      <c r="A1323" s="28">
        <v>43586</v>
      </c>
      <c r="B1323" s="27" t="s">
        <v>179</v>
      </c>
      <c r="C1323" s="27" t="s">
        <v>50</v>
      </c>
      <c r="D1323" s="27" t="s">
        <v>6</v>
      </c>
      <c r="E1323" s="27" t="s">
        <v>19</v>
      </c>
      <c r="F1323" s="29"/>
      <c r="G1323" s="30">
        <v>132.03083333333333</v>
      </c>
    </row>
    <row r="1324" spans="1:7" hidden="1" x14ac:dyDescent="0.25">
      <c r="A1324" s="28">
        <v>43586</v>
      </c>
      <c r="B1324" s="27" t="s">
        <v>179</v>
      </c>
      <c r="C1324" s="27" t="s">
        <v>50</v>
      </c>
      <c r="D1324" s="27" t="s">
        <v>6</v>
      </c>
      <c r="E1324" s="27" t="s">
        <v>20</v>
      </c>
      <c r="F1324" s="29"/>
      <c r="G1324" s="30">
        <v>408.15999999999997</v>
      </c>
    </row>
    <row r="1325" spans="1:7" hidden="1" x14ac:dyDescent="0.25">
      <c r="A1325" s="28">
        <v>43586</v>
      </c>
      <c r="B1325" s="27" t="s">
        <v>179</v>
      </c>
      <c r="C1325" s="27" t="s">
        <v>50</v>
      </c>
      <c r="D1325" s="27" t="s">
        <v>6</v>
      </c>
      <c r="E1325" s="27" t="s">
        <v>204</v>
      </c>
      <c r="F1325" s="29"/>
      <c r="G1325" s="30">
        <v>62.408333333333331</v>
      </c>
    </row>
    <row r="1326" spans="1:7" hidden="1" x14ac:dyDescent="0.25">
      <c r="A1326" s="28">
        <v>43586</v>
      </c>
      <c r="B1326" s="27" t="s">
        <v>179</v>
      </c>
      <c r="C1326" s="27" t="s">
        <v>50</v>
      </c>
      <c r="D1326" s="27" t="s">
        <v>6</v>
      </c>
      <c r="E1326" s="27" t="s">
        <v>205</v>
      </c>
      <c r="F1326" s="29"/>
      <c r="G1326" s="30">
        <v>136.51666666666668</v>
      </c>
    </row>
    <row r="1327" spans="1:7" hidden="1" x14ac:dyDescent="0.25">
      <c r="A1327" s="28">
        <v>43586</v>
      </c>
      <c r="B1327" s="27" t="s">
        <v>32</v>
      </c>
      <c r="C1327" s="27" t="s">
        <v>50</v>
      </c>
      <c r="D1327" s="27" t="s">
        <v>7</v>
      </c>
      <c r="E1327" s="27" t="s">
        <v>10</v>
      </c>
      <c r="F1327" s="29"/>
      <c r="G1327" s="30">
        <v>25</v>
      </c>
    </row>
    <row r="1328" spans="1:7" hidden="1" x14ac:dyDescent="0.25">
      <c r="A1328" s="28">
        <v>43586</v>
      </c>
      <c r="B1328" s="27" t="s">
        <v>32</v>
      </c>
      <c r="C1328" s="27" t="s">
        <v>50</v>
      </c>
      <c r="D1328" s="27" t="s">
        <v>7</v>
      </c>
      <c r="E1328" s="27" t="s">
        <v>17</v>
      </c>
      <c r="F1328" s="29"/>
      <c r="G1328" s="30">
        <v>25</v>
      </c>
    </row>
    <row r="1329" spans="1:7" hidden="1" x14ac:dyDescent="0.25">
      <c r="A1329" s="28">
        <v>43586</v>
      </c>
      <c r="B1329" s="27" t="s">
        <v>32</v>
      </c>
      <c r="C1329" s="27" t="s">
        <v>50</v>
      </c>
      <c r="D1329" s="27" t="s">
        <v>7</v>
      </c>
      <c r="E1329" s="27" t="s">
        <v>204</v>
      </c>
      <c r="F1329" s="29"/>
      <c r="G1329" s="30">
        <v>23</v>
      </c>
    </row>
    <row r="1330" spans="1:7" hidden="1" x14ac:dyDescent="0.25">
      <c r="A1330" s="28">
        <v>43586</v>
      </c>
      <c r="B1330" s="27" t="s">
        <v>5</v>
      </c>
      <c r="C1330" s="27" t="s">
        <v>51</v>
      </c>
      <c r="D1330" s="27" t="s">
        <v>51</v>
      </c>
      <c r="E1330" s="27" t="s">
        <v>8</v>
      </c>
      <c r="F1330" s="29">
        <v>588</v>
      </c>
      <c r="G1330" s="30">
        <v>26.108590033766035</v>
      </c>
    </row>
    <row r="1331" spans="1:7" hidden="1" x14ac:dyDescent="0.25">
      <c r="A1331" s="28">
        <v>43586</v>
      </c>
      <c r="B1331" s="27" t="s">
        <v>5</v>
      </c>
      <c r="C1331" s="27" t="s">
        <v>51</v>
      </c>
      <c r="D1331" s="27" t="s">
        <v>51</v>
      </c>
      <c r="E1331" s="27" t="s">
        <v>9</v>
      </c>
      <c r="F1331" s="29">
        <v>5172</v>
      </c>
      <c r="G1331" s="30">
        <v>3.1413911652206292</v>
      </c>
    </row>
    <row r="1332" spans="1:7" hidden="1" x14ac:dyDescent="0.25">
      <c r="A1332" s="28">
        <v>43586</v>
      </c>
      <c r="B1332" s="27" t="s">
        <v>5</v>
      </c>
      <c r="C1332" s="27" t="s">
        <v>51</v>
      </c>
      <c r="D1332" s="27" t="s">
        <v>51</v>
      </c>
      <c r="E1332" s="27" t="s">
        <v>64</v>
      </c>
      <c r="F1332" s="29">
        <v>4457</v>
      </c>
      <c r="G1332" s="30">
        <v>3.222321652798092</v>
      </c>
    </row>
    <row r="1333" spans="1:7" hidden="1" x14ac:dyDescent="0.25">
      <c r="A1333" s="28">
        <v>43586</v>
      </c>
      <c r="B1333" s="27" t="s">
        <v>5</v>
      </c>
      <c r="C1333" s="27" t="s">
        <v>51</v>
      </c>
      <c r="D1333" s="27" t="s">
        <v>51</v>
      </c>
      <c r="E1333" s="27" t="s">
        <v>21</v>
      </c>
      <c r="F1333" s="29">
        <v>4542.875</v>
      </c>
      <c r="G1333" s="30">
        <v>4.2588893097846094</v>
      </c>
    </row>
    <row r="1334" spans="1:7" hidden="1" x14ac:dyDescent="0.25">
      <c r="A1334" s="28">
        <v>43586</v>
      </c>
      <c r="B1334" s="27" t="s">
        <v>5</v>
      </c>
      <c r="C1334" s="27" t="s">
        <v>51</v>
      </c>
      <c r="D1334" s="27" t="s">
        <v>51</v>
      </c>
      <c r="E1334" s="27" t="s">
        <v>21</v>
      </c>
      <c r="F1334" s="29">
        <v>1025</v>
      </c>
      <c r="G1334" s="30">
        <v>15.746438315305133</v>
      </c>
    </row>
    <row r="1335" spans="1:7" hidden="1" x14ac:dyDescent="0.25">
      <c r="A1335" s="28">
        <v>43586</v>
      </c>
      <c r="B1335" s="27" t="s">
        <v>5</v>
      </c>
      <c r="C1335" s="27" t="s">
        <v>51</v>
      </c>
      <c r="D1335" s="27" t="s">
        <v>51</v>
      </c>
      <c r="E1335" s="27" t="s">
        <v>10</v>
      </c>
      <c r="F1335" s="29">
        <v>4727</v>
      </c>
      <c r="G1335" s="30">
        <v>3.6713356124083836</v>
      </c>
    </row>
    <row r="1336" spans="1:7" hidden="1" x14ac:dyDescent="0.25">
      <c r="A1336" s="28">
        <v>43586</v>
      </c>
      <c r="B1336" s="27" t="s">
        <v>5</v>
      </c>
      <c r="C1336" s="27" t="s">
        <v>51</v>
      </c>
      <c r="D1336" s="27" t="s">
        <v>51</v>
      </c>
      <c r="E1336" s="27" t="s">
        <v>11</v>
      </c>
      <c r="F1336" s="29">
        <v>3080</v>
      </c>
      <c r="G1336" s="30">
        <v>4.1389340172687534</v>
      </c>
    </row>
    <row r="1337" spans="1:7" hidden="1" x14ac:dyDescent="0.25">
      <c r="A1337" s="28">
        <v>43586</v>
      </c>
      <c r="B1337" s="27" t="s">
        <v>5</v>
      </c>
      <c r="C1337" s="27" t="s">
        <v>51</v>
      </c>
      <c r="D1337" s="27" t="s">
        <v>51</v>
      </c>
      <c r="E1337" s="27" t="s">
        <v>12</v>
      </c>
      <c r="F1337" s="29">
        <v>3080</v>
      </c>
      <c r="G1337" s="30">
        <v>3.8914992228964596</v>
      </c>
    </row>
    <row r="1338" spans="1:7" hidden="1" x14ac:dyDescent="0.25">
      <c r="A1338" s="28">
        <v>43586</v>
      </c>
      <c r="B1338" s="27" t="s">
        <v>5</v>
      </c>
      <c r="C1338" s="27" t="s">
        <v>51</v>
      </c>
      <c r="D1338" s="27" t="s">
        <v>51</v>
      </c>
      <c r="E1338" s="27" t="s">
        <v>13</v>
      </c>
      <c r="F1338" s="29">
        <v>8308</v>
      </c>
      <c r="G1338" s="30">
        <v>2.0639358778511991</v>
      </c>
    </row>
    <row r="1339" spans="1:7" hidden="1" x14ac:dyDescent="0.25">
      <c r="A1339" s="28">
        <v>43586</v>
      </c>
      <c r="B1339" s="27" t="s">
        <v>5</v>
      </c>
      <c r="C1339" s="27" t="s">
        <v>51</v>
      </c>
      <c r="D1339" s="27" t="s">
        <v>51</v>
      </c>
      <c r="E1339" s="27" t="s">
        <v>14</v>
      </c>
      <c r="F1339" s="29">
        <v>333</v>
      </c>
      <c r="G1339" s="30">
        <v>33.42454736693022</v>
      </c>
    </row>
    <row r="1340" spans="1:7" hidden="1" x14ac:dyDescent="0.25">
      <c r="A1340" s="28">
        <v>43586</v>
      </c>
      <c r="B1340" s="27" t="s">
        <v>5</v>
      </c>
      <c r="C1340" s="27" t="s">
        <v>51</v>
      </c>
      <c r="D1340" s="27" t="s">
        <v>51</v>
      </c>
      <c r="E1340" s="27" t="s">
        <v>15</v>
      </c>
      <c r="F1340" s="29">
        <v>8772</v>
      </c>
      <c r="G1340" s="30">
        <v>2.354526060934917</v>
      </c>
    </row>
    <row r="1341" spans="1:7" hidden="1" x14ac:dyDescent="0.25">
      <c r="A1341" s="28">
        <v>43586</v>
      </c>
      <c r="B1341" s="27" t="s">
        <v>5</v>
      </c>
      <c r="C1341" s="27" t="s">
        <v>51</v>
      </c>
      <c r="D1341" s="27" t="s">
        <v>51</v>
      </c>
      <c r="E1341" s="27" t="s">
        <v>16</v>
      </c>
      <c r="F1341" s="29">
        <v>5508</v>
      </c>
      <c r="G1341" s="30">
        <v>2.9400122742413033</v>
      </c>
    </row>
    <row r="1342" spans="1:7" hidden="1" x14ac:dyDescent="0.25">
      <c r="A1342" s="28">
        <v>43586</v>
      </c>
      <c r="B1342" s="27" t="s">
        <v>5</v>
      </c>
      <c r="C1342" s="27" t="s">
        <v>51</v>
      </c>
      <c r="D1342" s="27" t="s">
        <v>51</v>
      </c>
      <c r="E1342" s="27" t="s">
        <v>17</v>
      </c>
      <c r="F1342" s="29">
        <v>3514</v>
      </c>
      <c r="G1342" s="30">
        <v>4.6050427167106136</v>
      </c>
    </row>
    <row r="1343" spans="1:7" hidden="1" x14ac:dyDescent="0.25">
      <c r="A1343" s="28">
        <v>43586</v>
      </c>
      <c r="B1343" s="27" t="s">
        <v>5</v>
      </c>
      <c r="C1343" s="27" t="s">
        <v>51</v>
      </c>
      <c r="D1343" s="27" t="s">
        <v>51</v>
      </c>
      <c r="E1343" s="27" t="s">
        <v>18</v>
      </c>
      <c r="F1343" s="29">
        <v>2103</v>
      </c>
      <c r="G1343" s="30">
        <v>5.9413433697199691</v>
      </c>
    </row>
    <row r="1344" spans="1:7" hidden="1" x14ac:dyDescent="0.25">
      <c r="A1344" s="28">
        <v>43586</v>
      </c>
      <c r="B1344" s="27" t="s">
        <v>5</v>
      </c>
      <c r="C1344" s="27" t="s">
        <v>51</v>
      </c>
      <c r="D1344" s="27" t="s">
        <v>51</v>
      </c>
      <c r="E1344" s="27" t="s">
        <v>19</v>
      </c>
      <c r="F1344" s="29">
        <v>7290</v>
      </c>
      <c r="G1344" s="30">
        <v>2.3398318618913252</v>
      </c>
    </row>
    <row r="1345" spans="1:7" hidden="1" x14ac:dyDescent="0.25">
      <c r="A1345" s="28">
        <v>43586</v>
      </c>
      <c r="B1345" s="27" t="s">
        <v>5</v>
      </c>
      <c r="C1345" s="27" t="s">
        <v>51</v>
      </c>
      <c r="D1345" s="27" t="s">
        <v>51</v>
      </c>
      <c r="E1345" s="27" t="s">
        <v>20</v>
      </c>
      <c r="F1345" s="29">
        <v>347</v>
      </c>
      <c r="G1345" s="30">
        <v>39.419776483730338</v>
      </c>
    </row>
    <row r="1346" spans="1:7" hidden="1" x14ac:dyDescent="0.25">
      <c r="A1346" s="28">
        <v>43586</v>
      </c>
      <c r="B1346" s="27" t="s">
        <v>180</v>
      </c>
      <c r="C1346" s="27" t="s">
        <v>50</v>
      </c>
      <c r="D1346" s="27" t="s">
        <v>7</v>
      </c>
      <c r="E1346" s="27" t="s">
        <v>8</v>
      </c>
      <c r="F1346" s="29"/>
      <c r="G1346" s="30">
        <v>5112.7</v>
      </c>
    </row>
    <row r="1347" spans="1:7" hidden="1" x14ac:dyDescent="0.25">
      <c r="A1347" s="28">
        <v>43586</v>
      </c>
      <c r="B1347" s="27" t="s">
        <v>180</v>
      </c>
      <c r="C1347" s="27" t="s">
        <v>50</v>
      </c>
      <c r="D1347" s="27" t="s">
        <v>7</v>
      </c>
      <c r="E1347" s="27" t="s">
        <v>9</v>
      </c>
      <c r="F1347" s="29"/>
      <c r="G1347" s="30">
        <v>718</v>
      </c>
    </row>
    <row r="1348" spans="1:7" hidden="1" x14ac:dyDescent="0.25">
      <c r="A1348" s="28">
        <v>43586</v>
      </c>
      <c r="B1348" s="27" t="s">
        <v>180</v>
      </c>
      <c r="C1348" s="27" t="s">
        <v>50</v>
      </c>
      <c r="D1348" s="27" t="s">
        <v>7</v>
      </c>
      <c r="E1348" s="27" t="s">
        <v>64</v>
      </c>
      <c r="F1348" s="29"/>
      <c r="G1348" s="30">
        <v>255</v>
      </c>
    </row>
    <row r="1349" spans="1:7" hidden="1" x14ac:dyDescent="0.25">
      <c r="A1349" s="28">
        <v>43586</v>
      </c>
      <c r="B1349" s="27" t="s">
        <v>180</v>
      </c>
      <c r="C1349" s="27" t="s">
        <v>50</v>
      </c>
      <c r="D1349" s="27" t="s">
        <v>7</v>
      </c>
      <c r="E1349" s="27" t="s">
        <v>21</v>
      </c>
      <c r="F1349" s="29"/>
      <c r="G1349" s="30">
        <v>4879</v>
      </c>
    </row>
    <row r="1350" spans="1:7" hidden="1" x14ac:dyDescent="0.25">
      <c r="A1350" s="28">
        <v>43586</v>
      </c>
      <c r="B1350" s="27" t="s">
        <v>180</v>
      </c>
      <c r="C1350" s="27" t="s">
        <v>50</v>
      </c>
      <c r="D1350" s="27" t="s">
        <v>7</v>
      </c>
      <c r="E1350" s="27" t="s">
        <v>21</v>
      </c>
      <c r="F1350" s="29"/>
      <c r="G1350" s="30">
        <v>536.5</v>
      </c>
    </row>
    <row r="1351" spans="1:7" hidden="1" x14ac:dyDescent="0.25">
      <c r="A1351" s="28">
        <v>43586</v>
      </c>
      <c r="B1351" s="27" t="s">
        <v>180</v>
      </c>
      <c r="C1351" s="27" t="s">
        <v>50</v>
      </c>
      <c r="D1351" s="27" t="s">
        <v>7</v>
      </c>
      <c r="E1351" s="27" t="s">
        <v>10</v>
      </c>
      <c r="F1351" s="29"/>
      <c r="G1351" s="30">
        <v>1461.99</v>
      </c>
    </row>
    <row r="1352" spans="1:7" hidden="1" x14ac:dyDescent="0.25">
      <c r="A1352" s="28">
        <v>43586</v>
      </c>
      <c r="B1352" s="27" t="s">
        <v>180</v>
      </c>
      <c r="C1352" s="27" t="s">
        <v>50</v>
      </c>
      <c r="D1352" s="27" t="s">
        <v>7</v>
      </c>
      <c r="E1352" s="27" t="s">
        <v>11</v>
      </c>
      <c r="F1352" s="29"/>
      <c r="G1352" s="30">
        <v>791.4</v>
      </c>
    </row>
    <row r="1353" spans="1:7" hidden="1" x14ac:dyDescent="0.25">
      <c r="A1353" s="28">
        <v>43586</v>
      </c>
      <c r="B1353" s="27" t="s">
        <v>180</v>
      </c>
      <c r="C1353" s="27" t="s">
        <v>50</v>
      </c>
      <c r="D1353" s="27" t="s">
        <v>7</v>
      </c>
      <c r="E1353" s="27" t="s">
        <v>12</v>
      </c>
      <c r="F1353" s="29"/>
      <c r="G1353" s="30">
        <v>566.41000000000008</v>
      </c>
    </row>
    <row r="1354" spans="1:7" hidden="1" x14ac:dyDescent="0.25">
      <c r="A1354" s="28">
        <v>43586</v>
      </c>
      <c r="B1354" s="27" t="s">
        <v>180</v>
      </c>
      <c r="C1354" s="27" t="s">
        <v>50</v>
      </c>
      <c r="D1354" s="27" t="s">
        <v>7</v>
      </c>
      <c r="E1354" s="27" t="s">
        <v>13</v>
      </c>
      <c r="F1354" s="29"/>
      <c r="G1354" s="30">
        <v>1282.67</v>
      </c>
    </row>
    <row r="1355" spans="1:7" hidden="1" x14ac:dyDescent="0.25">
      <c r="A1355" s="28">
        <v>43586</v>
      </c>
      <c r="B1355" s="27" t="s">
        <v>180</v>
      </c>
      <c r="C1355" s="27" t="s">
        <v>50</v>
      </c>
      <c r="D1355" s="27" t="s">
        <v>7</v>
      </c>
      <c r="E1355" s="27" t="s">
        <v>14</v>
      </c>
      <c r="F1355" s="29"/>
      <c r="G1355" s="30">
        <v>120</v>
      </c>
    </row>
    <row r="1356" spans="1:7" hidden="1" x14ac:dyDescent="0.25">
      <c r="A1356" s="28">
        <v>43586</v>
      </c>
      <c r="B1356" s="27" t="s">
        <v>180</v>
      </c>
      <c r="C1356" s="27" t="s">
        <v>50</v>
      </c>
      <c r="D1356" s="27" t="s">
        <v>7</v>
      </c>
      <c r="E1356" s="27" t="s">
        <v>15</v>
      </c>
      <c r="F1356" s="29"/>
      <c r="G1356" s="30">
        <v>3020.33</v>
      </c>
    </row>
    <row r="1357" spans="1:7" hidden="1" x14ac:dyDescent="0.25">
      <c r="A1357" s="28">
        <v>43586</v>
      </c>
      <c r="B1357" s="27" t="s">
        <v>180</v>
      </c>
      <c r="C1357" s="27" t="s">
        <v>50</v>
      </c>
      <c r="D1357" s="27" t="s">
        <v>7</v>
      </c>
      <c r="E1357" s="27" t="s">
        <v>16</v>
      </c>
      <c r="F1357" s="29"/>
      <c r="G1357" s="30">
        <v>270.43</v>
      </c>
    </row>
    <row r="1358" spans="1:7" hidden="1" x14ac:dyDescent="0.25">
      <c r="A1358" s="28">
        <v>43586</v>
      </c>
      <c r="B1358" s="27" t="s">
        <v>180</v>
      </c>
      <c r="C1358" s="27" t="s">
        <v>50</v>
      </c>
      <c r="D1358" s="27" t="s">
        <v>7</v>
      </c>
      <c r="E1358" s="27" t="s">
        <v>17</v>
      </c>
      <c r="F1358" s="29"/>
      <c r="G1358" s="30">
        <v>801.42000000000007</v>
      </c>
    </row>
    <row r="1359" spans="1:7" hidden="1" x14ac:dyDescent="0.25">
      <c r="A1359" s="28">
        <v>43586</v>
      </c>
      <c r="B1359" s="27" t="s">
        <v>180</v>
      </c>
      <c r="C1359" s="27" t="s">
        <v>50</v>
      </c>
      <c r="D1359" s="27" t="s">
        <v>7</v>
      </c>
      <c r="E1359" s="27" t="s">
        <v>18</v>
      </c>
      <c r="F1359" s="29"/>
      <c r="G1359" s="30">
        <v>447</v>
      </c>
    </row>
    <row r="1360" spans="1:7" hidden="1" x14ac:dyDescent="0.25">
      <c r="A1360" s="28">
        <v>43586</v>
      </c>
      <c r="B1360" s="27" t="s">
        <v>180</v>
      </c>
      <c r="C1360" s="27" t="s">
        <v>50</v>
      </c>
      <c r="D1360" s="27" t="s">
        <v>7</v>
      </c>
      <c r="E1360" s="27" t="s">
        <v>19</v>
      </c>
      <c r="F1360" s="29"/>
      <c r="G1360" s="30">
        <v>216.43</v>
      </c>
    </row>
    <row r="1361" spans="1:7" hidden="1" x14ac:dyDescent="0.25">
      <c r="A1361" s="28">
        <v>43586</v>
      </c>
      <c r="B1361" s="27" t="s">
        <v>180</v>
      </c>
      <c r="C1361" s="27" t="s">
        <v>50</v>
      </c>
      <c r="D1361" s="27" t="s">
        <v>7</v>
      </c>
      <c r="E1361" s="27" t="s">
        <v>20</v>
      </c>
      <c r="F1361" s="29"/>
      <c r="G1361" s="30">
        <v>220</v>
      </c>
    </row>
    <row r="1362" spans="1:7" hidden="1" x14ac:dyDescent="0.25">
      <c r="A1362" s="28">
        <v>43586</v>
      </c>
      <c r="B1362" s="27" t="s">
        <v>180</v>
      </c>
      <c r="C1362" s="27" t="s">
        <v>50</v>
      </c>
      <c r="D1362" s="27" t="s">
        <v>7</v>
      </c>
      <c r="E1362" s="27" t="s">
        <v>204</v>
      </c>
      <c r="F1362" s="29"/>
      <c r="G1362" s="30">
        <v>1427</v>
      </c>
    </row>
    <row r="1363" spans="1:7" hidden="1" x14ac:dyDescent="0.25">
      <c r="A1363" s="28">
        <v>43586</v>
      </c>
      <c r="B1363" s="27" t="s">
        <v>180</v>
      </c>
      <c r="C1363" s="27" t="s">
        <v>50</v>
      </c>
      <c r="D1363" s="27" t="s">
        <v>7</v>
      </c>
      <c r="E1363" s="27" t="s">
        <v>37</v>
      </c>
      <c r="F1363" s="29"/>
      <c r="G1363" s="30">
        <v>150</v>
      </c>
    </row>
    <row r="1364" spans="1:7" hidden="1" x14ac:dyDescent="0.25">
      <c r="A1364" s="28">
        <v>43586</v>
      </c>
      <c r="B1364" s="27" t="s">
        <v>181</v>
      </c>
      <c r="C1364" s="27" t="s">
        <v>50</v>
      </c>
      <c r="D1364" s="27" t="s">
        <v>6</v>
      </c>
      <c r="E1364" s="27" t="s">
        <v>15</v>
      </c>
      <c r="F1364" s="29"/>
      <c r="G1364" s="30">
        <v>699.45</v>
      </c>
    </row>
    <row r="1365" spans="1:7" hidden="1" x14ac:dyDescent="0.25">
      <c r="A1365" s="28">
        <v>43586</v>
      </c>
      <c r="B1365" s="27" t="s">
        <v>181</v>
      </c>
      <c r="C1365" s="27" t="s">
        <v>50</v>
      </c>
      <c r="D1365" s="27" t="s">
        <v>6</v>
      </c>
      <c r="E1365" s="27" t="s">
        <v>19</v>
      </c>
      <c r="F1365" s="29"/>
      <c r="G1365" s="30">
        <v>120</v>
      </c>
    </row>
    <row r="1366" spans="1:7" hidden="1" x14ac:dyDescent="0.25">
      <c r="A1366" s="28">
        <v>43586</v>
      </c>
      <c r="B1366" s="27" t="s">
        <v>25</v>
      </c>
      <c r="C1366" s="27" t="s">
        <v>50</v>
      </c>
      <c r="D1366" s="27" t="s">
        <v>7</v>
      </c>
      <c r="E1366" s="27" t="s">
        <v>8</v>
      </c>
      <c r="F1366" s="29"/>
      <c r="G1366" s="30">
        <v>121.18166666666669</v>
      </c>
    </row>
    <row r="1367" spans="1:7" hidden="1" x14ac:dyDescent="0.25">
      <c r="A1367" s="28">
        <v>43586</v>
      </c>
      <c r="B1367" s="27" t="s">
        <v>25</v>
      </c>
      <c r="C1367" s="27" t="s">
        <v>50</v>
      </c>
      <c r="D1367" s="27" t="s">
        <v>7</v>
      </c>
      <c r="E1367" s="27" t="s">
        <v>9</v>
      </c>
      <c r="F1367" s="29"/>
      <c r="G1367" s="30">
        <v>121.18166666666669</v>
      </c>
    </row>
    <row r="1368" spans="1:7" hidden="1" x14ac:dyDescent="0.25">
      <c r="A1368" s="28">
        <v>43586</v>
      </c>
      <c r="B1368" s="27" t="s">
        <v>25</v>
      </c>
      <c r="C1368" s="27" t="s">
        <v>50</v>
      </c>
      <c r="D1368" s="27" t="s">
        <v>7</v>
      </c>
      <c r="E1368" s="27" t="s">
        <v>64</v>
      </c>
      <c r="F1368" s="29"/>
      <c r="G1368" s="30">
        <v>121.18166666666669</v>
      </c>
    </row>
    <row r="1369" spans="1:7" hidden="1" x14ac:dyDescent="0.25">
      <c r="A1369" s="28">
        <v>43586</v>
      </c>
      <c r="B1369" s="27" t="s">
        <v>25</v>
      </c>
      <c r="C1369" s="27" t="s">
        <v>50</v>
      </c>
      <c r="D1369" s="27" t="s">
        <v>7</v>
      </c>
      <c r="E1369" s="27" t="s">
        <v>21</v>
      </c>
      <c r="F1369" s="29"/>
      <c r="G1369" s="30">
        <v>121.18166666666669</v>
      </c>
    </row>
    <row r="1370" spans="1:7" hidden="1" x14ac:dyDescent="0.25">
      <c r="A1370" s="28">
        <v>43586</v>
      </c>
      <c r="B1370" s="27" t="s">
        <v>25</v>
      </c>
      <c r="C1370" s="27" t="s">
        <v>50</v>
      </c>
      <c r="D1370" s="27" t="s">
        <v>7</v>
      </c>
      <c r="E1370" s="27" t="s">
        <v>21</v>
      </c>
      <c r="F1370" s="29"/>
      <c r="G1370" s="30">
        <v>121.18166666666669</v>
      </c>
    </row>
    <row r="1371" spans="1:7" hidden="1" x14ac:dyDescent="0.25">
      <c r="A1371" s="28">
        <v>43586</v>
      </c>
      <c r="B1371" s="27" t="s">
        <v>25</v>
      </c>
      <c r="C1371" s="27" t="s">
        <v>50</v>
      </c>
      <c r="D1371" s="27" t="s">
        <v>7</v>
      </c>
      <c r="E1371" s="27" t="s">
        <v>10</v>
      </c>
      <c r="F1371" s="29"/>
      <c r="G1371" s="30">
        <v>121.18166666666669</v>
      </c>
    </row>
    <row r="1372" spans="1:7" hidden="1" x14ac:dyDescent="0.25">
      <c r="A1372" s="28">
        <v>43586</v>
      </c>
      <c r="B1372" s="27" t="s">
        <v>25</v>
      </c>
      <c r="C1372" s="27" t="s">
        <v>50</v>
      </c>
      <c r="D1372" s="27" t="s">
        <v>7</v>
      </c>
      <c r="E1372" s="27" t="s">
        <v>11</v>
      </c>
      <c r="F1372" s="29"/>
      <c r="G1372" s="30">
        <v>121.18166666666669</v>
      </c>
    </row>
    <row r="1373" spans="1:7" hidden="1" x14ac:dyDescent="0.25">
      <c r="A1373" s="28">
        <v>43586</v>
      </c>
      <c r="B1373" s="27" t="s">
        <v>25</v>
      </c>
      <c r="C1373" s="27" t="s">
        <v>50</v>
      </c>
      <c r="D1373" s="27" t="s">
        <v>7</v>
      </c>
      <c r="E1373" s="27" t="s">
        <v>12</v>
      </c>
      <c r="F1373" s="29"/>
      <c r="G1373" s="30">
        <v>121.18166666666669</v>
      </c>
    </row>
    <row r="1374" spans="1:7" hidden="1" x14ac:dyDescent="0.25">
      <c r="A1374" s="28">
        <v>43586</v>
      </c>
      <c r="B1374" s="27" t="s">
        <v>25</v>
      </c>
      <c r="C1374" s="27" t="s">
        <v>50</v>
      </c>
      <c r="D1374" s="27" t="s">
        <v>7</v>
      </c>
      <c r="E1374" s="27" t="s">
        <v>13</v>
      </c>
      <c r="F1374" s="29"/>
      <c r="G1374" s="30">
        <v>121.18166666666669</v>
      </c>
    </row>
    <row r="1375" spans="1:7" hidden="1" x14ac:dyDescent="0.25">
      <c r="A1375" s="28">
        <v>43586</v>
      </c>
      <c r="B1375" s="27" t="s">
        <v>25</v>
      </c>
      <c r="C1375" s="27" t="s">
        <v>50</v>
      </c>
      <c r="D1375" s="27" t="s">
        <v>7</v>
      </c>
      <c r="E1375" s="27" t="s">
        <v>14</v>
      </c>
      <c r="F1375" s="29"/>
      <c r="G1375" s="30">
        <v>121.18166666666669</v>
      </c>
    </row>
    <row r="1376" spans="1:7" hidden="1" x14ac:dyDescent="0.25">
      <c r="A1376" s="28">
        <v>43586</v>
      </c>
      <c r="B1376" s="27" t="s">
        <v>25</v>
      </c>
      <c r="C1376" s="27" t="s">
        <v>50</v>
      </c>
      <c r="D1376" s="27" t="s">
        <v>7</v>
      </c>
      <c r="E1376" s="27" t="s">
        <v>15</v>
      </c>
      <c r="F1376" s="29"/>
      <c r="G1376" s="30">
        <v>121.18166666666669</v>
      </c>
    </row>
    <row r="1377" spans="1:7" hidden="1" x14ac:dyDescent="0.25">
      <c r="A1377" s="28">
        <v>43586</v>
      </c>
      <c r="B1377" s="27" t="s">
        <v>25</v>
      </c>
      <c r="C1377" s="27" t="s">
        <v>50</v>
      </c>
      <c r="D1377" s="27" t="s">
        <v>7</v>
      </c>
      <c r="E1377" s="27" t="s">
        <v>16</v>
      </c>
      <c r="F1377" s="29"/>
      <c r="G1377" s="30">
        <v>121.18166666666669</v>
      </c>
    </row>
    <row r="1378" spans="1:7" hidden="1" x14ac:dyDescent="0.25">
      <c r="A1378" s="28">
        <v>43586</v>
      </c>
      <c r="B1378" s="27" t="s">
        <v>25</v>
      </c>
      <c r="C1378" s="27" t="s">
        <v>50</v>
      </c>
      <c r="D1378" s="27" t="s">
        <v>7</v>
      </c>
      <c r="E1378" s="27" t="s">
        <v>17</v>
      </c>
      <c r="F1378" s="29"/>
      <c r="G1378" s="30">
        <v>121.18166666666669</v>
      </c>
    </row>
    <row r="1379" spans="1:7" hidden="1" x14ac:dyDescent="0.25">
      <c r="A1379" s="28">
        <v>43586</v>
      </c>
      <c r="B1379" s="27" t="s">
        <v>25</v>
      </c>
      <c r="C1379" s="27" t="s">
        <v>50</v>
      </c>
      <c r="D1379" s="27" t="s">
        <v>7</v>
      </c>
      <c r="E1379" s="27" t="s">
        <v>18</v>
      </c>
      <c r="F1379" s="29"/>
      <c r="G1379" s="30">
        <v>121.18166666666669</v>
      </c>
    </row>
    <row r="1380" spans="1:7" hidden="1" x14ac:dyDescent="0.25">
      <c r="A1380" s="28">
        <v>43586</v>
      </c>
      <c r="B1380" s="27" t="s">
        <v>25</v>
      </c>
      <c r="C1380" s="27" t="s">
        <v>50</v>
      </c>
      <c r="D1380" s="27" t="s">
        <v>7</v>
      </c>
      <c r="E1380" s="27" t="s">
        <v>19</v>
      </c>
      <c r="F1380" s="29"/>
      <c r="G1380" s="30">
        <v>121.18166666666669</v>
      </c>
    </row>
    <row r="1381" spans="1:7" hidden="1" x14ac:dyDescent="0.25">
      <c r="A1381" s="28">
        <v>43586</v>
      </c>
      <c r="B1381" s="27" t="s">
        <v>25</v>
      </c>
      <c r="C1381" s="27" t="s">
        <v>50</v>
      </c>
      <c r="D1381" s="27" t="s">
        <v>7</v>
      </c>
      <c r="E1381" s="27" t="s">
        <v>20</v>
      </c>
      <c r="F1381" s="29"/>
      <c r="G1381" s="30">
        <v>121.18166666666669</v>
      </c>
    </row>
    <row r="1382" spans="1:7" hidden="1" x14ac:dyDescent="0.25">
      <c r="A1382" s="28">
        <v>43586</v>
      </c>
      <c r="B1382" s="27" t="s">
        <v>25</v>
      </c>
      <c r="C1382" s="27" t="s">
        <v>50</v>
      </c>
      <c r="D1382" s="27" t="s">
        <v>7</v>
      </c>
      <c r="E1382" s="27" t="s">
        <v>204</v>
      </c>
      <c r="F1382" s="29"/>
      <c r="G1382" s="30">
        <v>121.18166666666669</v>
      </c>
    </row>
    <row r="1383" spans="1:7" hidden="1" x14ac:dyDescent="0.25">
      <c r="A1383" s="28">
        <v>43586</v>
      </c>
      <c r="B1383" s="27" t="s">
        <v>25</v>
      </c>
      <c r="C1383" s="27" t="s">
        <v>50</v>
      </c>
      <c r="D1383" s="27" t="s">
        <v>7</v>
      </c>
      <c r="E1383" s="27" t="s">
        <v>205</v>
      </c>
      <c r="F1383" s="29"/>
      <c r="G1383" s="30">
        <v>121.18166666666669</v>
      </c>
    </row>
    <row r="1384" spans="1:7" hidden="1" x14ac:dyDescent="0.25">
      <c r="A1384" s="28">
        <v>43586</v>
      </c>
      <c r="B1384" s="27" t="s">
        <v>2</v>
      </c>
      <c r="C1384" s="27" t="s">
        <v>50</v>
      </c>
      <c r="D1384" s="27" t="s">
        <v>7</v>
      </c>
      <c r="E1384" s="27" t="s">
        <v>8</v>
      </c>
      <c r="F1384" s="29"/>
      <c r="G1384" s="30">
        <v>34.76</v>
      </c>
    </row>
    <row r="1385" spans="1:7" hidden="1" x14ac:dyDescent="0.25">
      <c r="A1385" s="28">
        <v>43586</v>
      </c>
      <c r="B1385" s="27" t="s">
        <v>2</v>
      </c>
      <c r="C1385" s="27" t="s">
        <v>50</v>
      </c>
      <c r="D1385" s="27" t="s">
        <v>7</v>
      </c>
      <c r="E1385" s="27" t="s">
        <v>9</v>
      </c>
      <c r="F1385" s="29"/>
      <c r="G1385" s="30">
        <v>670.72</v>
      </c>
    </row>
    <row r="1386" spans="1:7" hidden="1" x14ac:dyDescent="0.25">
      <c r="A1386" s="28">
        <v>43586</v>
      </c>
      <c r="B1386" s="27" t="s">
        <v>2</v>
      </c>
      <c r="C1386" s="27" t="s">
        <v>50</v>
      </c>
      <c r="D1386" s="27" t="s">
        <v>7</v>
      </c>
      <c r="E1386" s="27" t="s">
        <v>64</v>
      </c>
      <c r="F1386" s="29"/>
      <c r="G1386" s="30">
        <v>649.76</v>
      </c>
    </row>
    <row r="1387" spans="1:7" hidden="1" x14ac:dyDescent="0.25">
      <c r="A1387" s="28">
        <v>43586</v>
      </c>
      <c r="B1387" s="27" t="s">
        <v>2</v>
      </c>
      <c r="C1387" s="27" t="s">
        <v>50</v>
      </c>
      <c r="D1387" s="27" t="s">
        <v>7</v>
      </c>
      <c r="E1387" s="27" t="s">
        <v>21</v>
      </c>
      <c r="F1387" s="29"/>
      <c r="G1387" s="30">
        <v>891.56</v>
      </c>
    </row>
    <row r="1388" spans="1:7" hidden="1" x14ac:dyDescent="0.25">
      <c r="A1388" s="28">
        <v>43586</v>
      </c>
      <c r="B1388" s="27" t="s">
        <v>2</v>
      </c>
      <c r="C1388" s="27" t="s">
        <v>50</v>
      </c>
      <c r="D1388" s="27" t="s">
        <v>7</v>
      </c>
      <c r="E1388" s="27" t="s">
        <v>21</v>
      </c>
      <c r="F1388" s="29"/>
      <c r="G1388" s="30">
        <v>821.96</v>
      </c>
    </row>
    <row r="1389" spans="1:7" hidden="1" x14ac:dyDescent="0.25">
      <c r="A1389" s="28">
        <v>43586</v>
      </c>
      <c r="B1389" s="27" t="s">
        <v>2</v>
      </c>
      <c r="C1389" s="27" t="s">
        <v>50</v>
      </c>
      <c r="D1389" s="27" t="s">
        <v>7</v>
      </c>
      <c r="E1389" s="27" t="s">
        <v>10</v>
      </c>
      <c r="F1389" s="29"/>
      <c r="G1389" s="30">
        <v>1018.76</v>
      </c>
    </row>
    <row r="1390" spans="1:7" hidden="1" x14ac:dyDescent="0.25">
      <c r="A1390" s="28">
        <v>43586</v>
      </c>
      <c r="B1390" s="27" t="s">
        <v>2</v>
      </c>
      <c r="C1390" s="27" t="s">
        <v>50</v>
      </c>
      <c r="D1390" s="27" t="s">
        <v>7</v>
      </c>
      <c r="E1390" s="27" t="s">
        <v>11</v>
      </c>
      <c r="F1390" s="29"/>
      <c r="G1390" s="30">
        <v>220.56</v>
      </c>
    </row>
    <row r="1391" spans="1:7" hidden="1" x14ac:dyDescent="0.25">
      <c r="A1391" s="28">
        <v>43586</v>
      </c>
      <c r="B1391" s="27" t="s">
        <v>2</v>
      </c>
      <c r="C1391" s="27" t="s">
        <v>50</v>
      </c>
      <c r="D1391" s="27" t="s">
        <v>7</v>
      </c>
      <c r="E1391" s="27" t="s">
        <v>12</v>
      </c>
      <c r="F1391" s="29"/>
      <c r="G1391" s="30">
        <v>316.56</v>
      </c>
    </row>
    <row r="1392" spans="1:7" hidden="1" x14ac:dyDescent="0.25">
      <c r="A1392" s="28">
        <v>43586</v>
      </c>
      <c r="B1392" s="27" t="s">
        <v>2</v>
      </c>
      <c r="C1392" s="27" t="s">
        <v>50</v>
      </c>
      <c r="D1392" s="27" t="s">
        <v>7</v>
      </c>
      <c r="E1392" s="27" t="s">
        <v>13</v>
      </c>
      <c r="F1392" s="29"/>
      <c r="G1392" s="30">
        <v>1058.1600000000001</v>
      </c>
    </row>
    <row r="1393" spans="1:7" hidden="1" x14ac:dyDescent="0.25">
      <c r="A1393" s="28">
        <v>43586</v>
      </c>
      <c r="B1393" s="27" t="s">
        <v>2</v>
      </c>
      <c r="C1393" s="27" t="s">
        <v>50</v>
      </c>
      <c r="D1393" s="27" t="s">
        <v>7</v>
      </c>
      <c r="E1393" s="27" t="s">
        <v>14</v>
      </c>
      <c r="F1393" s="29"/>
      <c r="G1393" s="30">
        <v>413.47</v>
      </c>
    </row>
    <row r="1394" spans="1:7" hidden="1" x14ac:dyDescent="0.25">
      <c r="A1394" s="28">
        <v>43586</v>
      </c>
      <c r="B1394" s="27" t="s">
        <v>2</v>
      </c>
      <c r="C1394" s="27" t="s">
        <v>50</v>
      </c>
      <c r="D1394" s="27" t="s">
        <v>7</v>
      </c>
      <c r="E1394" s="27" t="s">
        <v>15</v>
      </c>
      <c r="F1394" s="29"/>
      <c r="G1394" s="30">
        <v>1195.82</v>
      </c>
    </row>
    <row r="1395" spans="1:7" hidden="1" x14ac:dyDescent="0.25">
      <c r="A1395" s="28">
        <v>43586</v>
      </c>
      <c r="B1395" s="27" t="s">
        <v>2</v>
      </c>
      <c r="C1395" s="27" t="s">
        <v>50</v>
      </c>
      <c r="D1395" s="27" t="s">
        <v>7</v>
      </c>
      <c r="E1395" s="27" t="s">
        <v>16</v>
      </c>
      <c r="F1395" s="29"/>
      <c r="G1395" s="30">
        <v>364.62</v>
      </c>
    </row>
    <row r="1396" spans="1:7" hidden="1" x14ac:dyDescent="0.25">
      <c r="A1396" s="28">
        <v>43586</v>
      </c>
      <c r="B1396" s="27" t="s">
        <v>2</v>
      </c>
      <c r="C1396" s="27" t="s">
        <v>50</v>
      </c>
      <c r="D1396" s="27" t="s">
        <v>7</v>
      </c>
      <c r="E1396" s="27" t="s">
        <v>17</v>
      </c>
      <c r="F1396" s="29"/>
      <c r="G1396" s="30">
        <v>677.52</v>
      </c>
    </row>
    <row r="1397" spans="1:7" hidden="1" x14ac:dyDescent="0.25">
      <c r="A1397" s="28">
        <v>43586</v>
      </c>
      <c r="B1397" s="27" t="s">
        <v>2</v>
      </c>
      <c r="C1397" s="27" t="s">
        <v>50</v>
      </c>
      <c r="D1397" s="27" t="s">
        <v>7</v>
      </c>
      <c r="E1397" s="27" t="s">
        <v>18</v>
      </c>
      <c r="F1397" s="29"/>
      <c r="G1397" s="30">
        <v>249.17</v>
      </c>
    </row>
    <row r="1398" spans="1:7" hidden="1" x14ac:dyDescent="0.25">
      <c r="A1398" s="28">
        <v>43586</v>
      </c>
      <c r="B1398" s="27" t="s">
        <v>2</v>
      </c>
      <c r="C1398" s="27" t="s">
        <v>50</v>
      </c>
      <c r="D1398" s="27" t="s">
        <v>7</v>
      </c>
      <c r="E1398" s="27" t="s">
        <v>19</v>
      </c>
      <c r="F1398" s="29"/>
      <c r="G1398" s="30">
        <v>932.82</v>
      </c>
    </row>
    <row r="1399" spans="1:7" hidden="1" x14ac:dyDescent="0.25">
      <c r="A1399" s="28">
        <v>43586</v>
      </c>
      <c r="B1399" s="27" t="s">
        <v>2</v>
      </c>
      <c r="C1399" s="27" t="s">
        <v>50</v>
      </c>
      <c r="D1399" s="27" t="s">
        <v>7</v>
      </c>
      <c r="E1399" s="27" t="s">
        <v>20</v>
      </c>
      <c r="F1399" s="29"/>
      <c r="G1399" s="30">
        <v>457.57</v>
      </c>
    </row>
    <row r="1400" spans="1:7" hidden="1" x14ac:dyDescent="0.25">
      <c r="A1400" s="28">
        <v>43586</v>
      </c>
      <c r="B1400" s="27" t="s">
        <v>2</v>
      </c>
      <c r="C1400" s="27" t="s">
        <v>50</v>
      </c>
      <c r="D1400" s="27" t="s">
        <v>7</v>
      </c>
      <c r="E1400" s="27" t="s">
        <v>204</v>
      </c>
      <c r="F1400" s="29"/>
      <c r="G1400" s="30">
        <v>190.17</v>
      </c>
    </row>
    <row r="1401" spans="1:7" hidden="1" x14ac:dyDescent="0.25">
      <c r="A1401" s="28">
        <v>43586</v>
      </c>
      <c r="B1401" s="27" t="s">
        <v>36</v>
      </c>
      <c r="C1401" s="27" t="s">
        <v>50</v>
      </c>
      <c r="D1401" s="27" t="s">
        <v>6</v>
      </c>
      <c r="E1401" s="27" t="s">
        <v>8</v>
      </c>
      <c r="F1401" s="29"/>
      <c r="G1401" s="30">
        <v>436.62</v>
      </c>
    </row>
    <row r="1402" spans="1:7" hidden="1" x14ac:dyDescent="0.25">
      <c r="A1402" s="28">
        <v>43586</v>
      </c>
      <c r="B1402" s="27" t="s">
        <v>36</v>
      </c>
      <c r="C1402" s="27" t="s">
        <v>50</v>
      </c>
      <c r="D1402" s="27" t="s">
        <v>6</v>
      </c>
      <c r="E1402" s="27" t="s">
        <v>9</v>
      </c>
      <c r="F1402" s="29"/>
      <c r="G1402" s="30">
        <v>54.5</v>
      </c>
    </row>
    <row r="1403" spans="1:7" hidden="1" x14ac:dyDescent="0.25">
      <c r="A1403" s="28">
        <v>43586</v>
      </c>
      <c r="B1403" s="27" t="s">
        <v>36</v>
      </c>
      <c r="C1403" s="27" t="s">
        <v>50</v>
      </c>
      <c r="D1403" s="27" t="s">
        <v>6</v>
      </c>
      <c r="E1403" s="27" t="s">
        <v>64</v>
      </c>
      <c r="F1403" s="29"/>
      <c r="G1403" s="30">
        <v>54.5</v>
      </c>
    </row>
    <row r="1404" spans="1:7" hidden="1" x14ac:dyDescent="0.25">
      <c r="A1404" s="28">
        <v>43586</v>
      </c>
      <c r="B1404" s="27" t="s">
        <v>36</v>
      </c>
      <c r="C1404" s="27" t="s">
        <v>50</v>
      </c>
      <c r="D1404" s="27" t="s">
        <v>6</v>
      </c>
      <c r="E1404" s="27" t="s">
        <v>21</v>
      </c>
      <c r="F1404" s="29"/>
      <c r="G1404" s="30">
        <v>92.28</v>
      </c>
    </row>
    <row r="1405" spans="1:7" hidden="1" x14ac:dyDescent="0.25">
      <c r="A1405" s="28">
        <v>43586</v>
      </c>
      <c r="B1405" s="27" t="s">
        <v>36</v>
      </c>
      <c r="C1405" s="27" t="s">
        <v>50</v>
      </c>
      <c r="D1405" s="27" t="s">
        <v>6</v>
      </c>
      <c r="E1405" s="27" t="s">
        <v>21</v>
      </c>
      <c r="F1405" s="29"/>
      <c r="G1405" s="30">
        <v>92.28</v>
      </c>
    </row>
    <row r="1406" spans="1:7" hidden="1" x14ac:dyDescent="0.25">
      <c r="A1406" s="28">
        <v>43586</v>
      </c>
      <c r="B1406" s="27" t="s">
        <v>36</v>
      </c>
      <c r="C1406" s="27" t="s">
        <v>50</v>
      </c>
      <c r="D1406" s="27" t="s">
        <v>6</v>
      </c>
      <c r="E1406" s="27" t="s">
        <v>10</v>
      </c>
      <c r="F1406" s="29"/>
      <c r="G1406" s="30">
        <v>436.62</v>
      </c>
    </row>
    <row r="1407" spans="1:7" hidden="1" x14ac:dyDescent="0.25">
      <c r="A1407" s="28">
        <v>43586</v>
      </c>
      <c r="B1407" s="27" t="s">
        <v>36</v>
      </c>
      <c r="C1407" s="27" t="s">
        <v>50</v>
      </c>
      <c r="D1407" s="27" t="s">
        <v>6</v>
      </c>
      <c r="E1407" s="27" t="s">
        <v>11</v>
      </c>
      <c r="F1407" s="29"/>
      <c r="G1407" s="30">
        <v>73.88</v>
      </c>
    </row>
    <row r="1408" spans="1:7" hidden="1" x14ac:dyDescent="0.25">
      <c r="A1408" s="28">
        <v>43586</v>
      </c>
      <c r="B1408" s="27" t="s">
        <v>36</v>
      </c>
      <c r="C1408" s="27" t="s">
        <v>50</v>
      </c>
      <c r="D1408" s="27" t="s">
        <v>6</v>
      </c>
      <c r="E1408" s="27" t="s">
        <v>12</v>
      </c>
      <c r="F1408" s="29"/>
      <c r="G1408" s="30">
        <v>73.88</v>
      </c>
    </row>
    <row r="1409" spans="1:7" hidden="1" x14ac:dyDescent="0.25">
      <c r="A1409" s="28">
        <v>43586</v>
      </c>
      <c r="B1409" s="27" t="s">
        <v>36</v>
      </c>
      <c r="C1409" s="27" t="s">
        <v>50</v>
      </c>
      <c r="D1409" s="27" t="s">
        <v>6</v>
      </c>
      <c r="E1409" s="27" t="s">
        <v>13</v>
      </c>
      <c r="F1409" s="29"/>
      <c r="G1409" s="30">
        <v>54.5</v>
      </c>
    </row>
    <row r="1410" spans="1:7" hidden="1" x14ac:dyDescent="0.25">
      <c r="A1410" s="28">
        <v>43586</v>
      </c>
      <c r="B1410" s="27" t="s">
        <v>36</v>
      </c>
      <c r="C1410" s="27" t="s">
        <v>50</v>
      </c>
      <c r="D1410" s="27" t="s">
        <v>6</v>
      </c>
      <c r="E1410" s="27" t="s">
        <v>14</v>
      </c>
      <c r="F1410" s="29"/>
      <c r="G1410" s="30">
        <v>73.88</v>
      </c>
    </row>
    <row r="1411" spans="1:7" hidden="1" x14ac:dyDescent="0.25">
      <c r="A1411" s="28">
        <v>43586</v>
      </c>
      <c r="B1411" s="27" t="s">
        <v>36</v>
      </c>
      <c r="C1411" s="27" t="s">
        <v>50</v>
      </c>
      <c r="D1411" s="27" t="s">
        <v>6</v>
      </c>
      <c r="E1411" s="27" t="s">
        <v>15</v>
      </c>
      <c r="F1411" s="29"/>
      <c r="G1411" s="30">
        <v>54.5</v>
      </c>
    </row>
    <row r="1412" spans="1:7" hidden="1" x14ac:dyDescent="0.25">
      <c r="A1412" s="28">
        <v>43586</v>
      </c>
      <c r="B1412" s="27" t="s">
        <v>36</v>
      </c>
      <c r="C1412" s="27" t="s">
        <v>50</v>
      </c>
      <c r="D1412" s="27" t="s">
        <v>6</v>
      </c>
      <c r="E1412" s="27" t="s">
        <v>16</v>
      </c>
      <c r="F1412" s="29"/>
      <c r="G1412" s="30">
        <v>54.5</v>
      </c>
    </row>
    <row r="1413" spans="1:7" hidden="1" x14ac:dyDescent="0.25">
      <c r="A1413" s="28">
        <v>43586</v>
      </c>
      <c r="B1413" s="27" t="s">
        <v>36</v>
      </c>
      <c r="C1413" s="27" t="s">
        <v>50</v>
      </c>
      <c r="D1413" s="27" t="s">
        <v>6</v>
      </c>
      <c r="E1413" s="27" t="s">
        <v>17</v>
      </c>
      <c r="F1413" s="29"/>
      <c r="G1413" s="30">
        <v>152</v>
      </c>
    </row>
    <row r="1414" spans="1:7" hidden="1" x14ac:dyDescent="0.25">
      <c r="A1414" s="28">
        <v>43586</v>
      </c>
      <c r="B1414" s="27" t="s">
        <v>36</v>
      </c>
      <c r="C1414" s="27" t="s">
        <v>50</v>
      </c>
      <c r="D1414" s="27" t="s">
        <v>6</v>
      </c>
      <c r="E1414" s="27" t="s">
        <v>18</v>
      </c>
      <c r="F1414" s="29"/>
      <c r="G1414" s="30">
        <v>54.5</v>
      </c>
    </row>
    <row r="1415" spans="1:7" hidden="1" x14ac:dyDescent="0.25">
      <c r="A1415" s="28">
        <v>43586</v>
      </c>
      <c r="B1415" s="27" t="s">
        <v>36</v>
      </c>
      <c r="C1415" s="27" t="s">
        <v>50</v>
      </c>
      <c r="D1415" s="27" t="s">
        <v>6</v>
      </c>
      <c r="E1415" s="27" t="s">
        <v>19</v>
      </c>
      <c r="F1415" s="29"/>
      <c r="G1415" s="30">
        <v>54.5</v>
      </c>
    </row>
    <row r="1416" spans="1:7" hidden="1" x14ac:dyDescent="0.25">
      <c r="A1416" s="28">
        <v>43586</v>
      </c>
      <c r="B1416" s="27" t="s">
        <v>36</v>
      </c>
      <c r="C1416" s="27" t="s">
        <v>50</v>
      </c>
      <c r="D1416" s="27" t="s">
        <v>6</v>
      </c>
      <c r="E1416" s="27" t="s">
        <v>20</v>
      </c>
      <c r="F1416" s="29"/>
      <c r="G1416" s="30">
        <v>56</v>
      </c>
    </row>
    <row r="1417" spans="1:7" hidden="1" x14ac:dyDescent="0.25">
      <c r="A1417" s="28">
        <v>43586</v>
      </c>
      <c r="B1417" s="27" t="s">
        <v>200</v>
      </c>
      <c r="C1417" s="27" t="s">
        <v>53</v>
      </c>
      <c r="D1417" s="27" t="s">
        <v>6</v>
      </c>
      <c r="E1417" s="27" t="s">
        <v>8</v>
      </c>
      <c r="F1417" s="29"/>
      <c r="G1417" s="30">
        <f t="shared" ref="G1417:G1434" si="24">6997.13653333333/18</f>
        <v>388.72980740740718</v>
      </c>
    </row>
    <row r="1418" spans="1:7" hidden="1" x14ac:dyDescent="0.25">
      <c r="A1418" s="28">
        <v>43586</v>
      </c>
      <c r="B1418" s="27" t="s">
        <v>200</v>
      </c>
      <c r="C1418" s="27" t="s">
        <v>53</v>
      </c>
      <c r="D1418" s="27" t="s">
        <v>6</v>
      </c>
      <c r="E1418" s="27" t="s">
        <v>9</v>
      </c>
      <c r="F1418" s="29"/>
      <c r="G1418" s="30">
        <f t="shared" si="24"/>
        <v>388.72980740740718</v>
      </c>
    </row>
    <row r="1419" spans="1:7" hidden="1" x14ac:dyDescent="0.25">
      <c r="A1419" s="28">
        <v>43586</v>
      </c>
      <c r="B1419" s="27" t="s">
        <v>200</v>
      </c>
      <c r="C1419" s="27" t="s">
        <v>53</v>
      </c>
      <c r="D1419" s="27" t="s">
        <v>6</v>
      </c>
      <c r="E1419" s="27" t="s">
        <v>64</v>
      </c>
      <c r="F1419" s="29"/>
      <c r="G1419" s="30">
        <f t="shared" si="24"/>
        <v>388.72980740740718</v>
      </c>
    </row>
    <row r="1420" spans="1:7" hidden="1" x14ac:dyDescent="0.25">
      <c r="A1420" s="28">
        <v>43586</v>
      </c>
      <c r="B1420" s="27" t="s">
        <v>200</v>
      </c>
      <c r="C1420" s="27" t="s">
        <v>53</v>
      </c>
      <c r="D1420" s="27" t="s">
        <v>6</v>
      </c>
      <c r="E1420" s="27" t="s">
        <v>21</v>
      </c>
      <c r="F1420" s="29"/>
      <c r="G1420" s="30">
        <f t="shared" si="24"/>
        <v>388.72980740740718</v>
      </c>
    </row>
    <row r="1421" spans="1:7" hidden="1" x14ac:dyDescent="0.25">
      <c r="A1421" s="28">
        <v>43586</v>
      </c>
      <c r="B1421" s="27" t="s">
        <v>200</v>
      </c>
      <c r="C1421" s="27" t="s">
        <v>53</v>
      </c>
      <c r="D1421" s="27" t="s">
        <v>6</v>
      </c>
      <c r="E1421" s="27" t="s">
        <v>21</v>
      </c>
      <c r="F1421" s="29"/>
      <c r="G1421" s="30">
        <f t="shared" si="24"/>
        <v>388.72980740740718</v>
      </c>
    </row>
    <row r="1422" spans="1:7" hidden="1" x14ac:dyDescent="0.25">
      <c r="A1422" s="28">
        <v>43586</v>
      </c>
      <c r="B1422" s="27" t="s">
        <v>200</v>
      </c>
      <c r="C1422" s="27" t="s">
        <v>53</v>
      </c>
      <c r="D1422" s="27" t="s">
        <v>6</v>
      </c>
      <c r="E1422" s="27" t="s">
        <v>10</v>
      </c>
      <c r="F1422" s="29"/>
      <c r="G1422" s="30">
        <f t="shared" si="24"/>
        <v>388.72980740740718</v>
      </c>
    </row>
    <row r="1423" spans="1:7" hidden="1" x14ac:dyDescent="0.25">
      <c r="A1423" s="28">
        <v>43586</v>
      </c>
      <c r="B1423" s="27" t="s">
        <v>200</v>
      </c>
      <c r="C1423" s="27" t="s">
        <v>53</v>
      </c>
      <c r="D1423" s="27" t="s">
        <v>6</v>
      </c>
      <c r="E1423" s="27" t="s">
        <v>11</v>
      </c>
      <c r="F1423" s="29"/>
      <c r="G1423" s="30">
        <f t="shared" si="24"/>
        <v>388.72980740740718</v>
      </c>
    </row>
    <row r="1424" spans="1:7" hidden="1" x14ac:dyDescent="0.25">
      <c r="A1424" s="28">
        <v>43586</v>
      </c>
      <c r="B1424" s="27" t="s">
        <v>200</v>
      </c>
      <c r="C1424" s="27" t="s">
        <v>53</v>
      </c>
      <c r="D1424" s="27" t="s">
        <v>6</v>
      </c>
      <c r="E1424" s="27" t="s">
        <v>12</v>
      </c>
      <c r="F1424" s="29"/>
      <c r="G1424" s="30">
        <f t="shared" si="24"/>
        <v>388.72980740740718</v>
      </c>
    </row>
    <row r="1425" spans="1:7" hidden="1" x14ac:dyDescent="0.25">
      <c r="A1425" s="28">
        <v>43586</v>
      </c>
      <c r="B1425" s="27" t="s">
        <v>200</v>
      </c>
      <c r="C1425" s="27" t="s">
        <v>53</v>
      </c>
      <c r="D1425" s="27" t="s">
        <v>6</v>
      </c>
      <c r="E1425" s="27" t="s">
        <v>13</v>
      </c>
      <c r="F1425" s="29"/>
      <c r="G1425" s="30">
        <f t="shared" si="24"/>
        <v>388.72980740740718</v>
      </c>
    </row>
    <row r="1426" spans="1:7" hidden="1" x14ac:dyDescent="0.25">
      <c r="A1426" s="28">
        <v>43586</v>
      </c>
      <c r="B1426" s="27" t="s">
        <v>200</v>
      </c>
      <c r="C1426" s="27" t="s">
        <v>53</v>
      </c>
      <c r="D1426" s="27" t="s">
        <v>6</v>
      </c>
      <c r="E1426" s="27" t="s">
        <v>14</v>
      </c>
      <c r="F1426" s="29"/>
      <c r="G1426" s="30">
        <f t="shared" si="24"/>
        <v>388.72980740740718</v>
      </c>
    </row>
    <row r="1427" spans="1:7" hidden="1" x14ac:dyDescent="0.25">
      <c r="A1427" s="28">
        <v>43586</v>
      </c>
      <c r="B1427" s="27" t="s">
        <v>200</v>
      </c>
      <c r="C1427" s="27" t="s">
        <v>53</v>
      </c>
      <c r="D1427" s="27" t="s">
        <v>6</v>
      </c>
      <c r="E1427" s="27" t="s">
        <v>15</v>
      </c>
      <c r="F1427" s="29"/>
      <c r="G1427" s="30">
        <f t="shared" si="24"/>
        <v>388.72980740740718</v>
      </c>
    </row>
    <row r="1428" spans="1:7" hidden="1" x14ac:dyDescent="0.25">
      <c r="A1428" s="28">
        <v>43586</v>
      </c>
      <c r="B1428" s="27" t="s">
        <v>200</v>
      </c>
      <c r="C1428" s="27" t="s">
        <v>53</v>
      </c>
      <c r="D1428" s="27" t="s">
        <v>6</v>
      </c>
      <c r="E1428" s="27" t="s">
        <v>16</v>
      </c>
      <c r="F1428" s="29"/>
      <c r="G1428" s="30">
        <f t="shared" si="24"/>
        <v>388.72980740740718</v>
      </c>
    </row>
    <row r="1429" spans="1:7" hidden="1" x14ac:dyDescent="0.25">
      <c r="A1429" s="28">
        <v>43586</v>
      </c>
      <c r="B1429" s="27" t="s">
        <v>200</v>
      </c>
      <c r="C1429" s="27" t="s">
        <v>53</v>
      </c>
      <c r="D1429" s="27" t="s">
        <v>6</v>
      </c>
      <c r="E1429" s="27" t="s">
        <v>17</v>
      </c>
      <c r="F1429" s="29"/>
      <c r="G1429" s="30">
        <f t="shared" si="24"/>
        <v>388.72980740740718</v>
      </c>
    </row>
    <row r="1430" spans="1:7" hidden="1" x14ac:dyDescent="0.25">
      <c r="A1430" s="28">
        <v>43586</v>
      </c>
      <c r="B1430" s="27" t="s">
        <v>200</v>
      </c>
      <c r="C1430" s="27" t="s">
        <v>53</v>
      </c>
      <c r="D1430" s="27" t="s">
        <v>6</v>
      </c>
      <c r="E1430" s="27" t="s">
        <v>18</v>
      </c>
      <c r="F1430" s="29"/>
      <c r="G1430" s="30">
        <f t="shared" si="24"/>
        <v>388.72980740740718</v>
      </c>
    </row>
    <row r="1431" spans="1:7" hidden="1" x14ac:dyDescent="0.25">
      <c r="A1431" s="28">
        <v>43586</v>
      </c>
      <c r="B1431" s="27" t="s">
        <v>200</v>
      </c>
      <c r="C1431" s="27" t="s">
        <v>53</v>
      </c>
      <c r="D1431" s="27" t="s">
        <v>6</v>
      </c>
      <c r="E1431" s="27" t="s">
        <v>19</v>
      </c>
      <c r="F1431" s="29"/>
      <c r="G1431" s="30">
        <f t="shared" si="24"/>
        <v>388.72980740740718</v>
      </c>
    </row>
    <row r="1432" spans="1:7" hidden="1" x14ac:dyDescent="0.25">
      <c r="A1432" s="28">
        <v>43586</v>
      </c>
      <c r="B1432" s="27" t="s">
        <v>200</v>
      </c>
      <c r="C1432" s="27" t="s">
        <v>53</v>
      </c>
      <c r="D1432" s="27" t="s">
        <v>6</v>
      </c>
      <c r="E1432" s="27" t="s">
        <v>20</v>
      </c>
      <c r="F1432" s="29"/>
      <c r="G1432" s="30">
        <f t="shared" si="24"/>
        <v>388.72980740740718</v>
      </c>
    </row>
    <row r="1433" spans="1:7" hidden="1" x14ac:dyDescent="0.25">
      <c r="A1433" s="28">
        <v>43586</v>
      </c>
      <c r="B1433" s="27" t="s">
        <v>200</v>
      </c>
      <c r="C1433" s="27" t="s">
        <v>53</v>
      </c>
      <c r="D1433" s="27" t="s">
        <v>6</v>
      </c>
      <c r="E1433" s="27" t="s">
        <v>204</v>
      </c>
      <c r="F1433" s="29"/>
      <c r="G1433" s="30">
        <f t="shared" si="24"/>
        <v>388.72980740740718</v>
      </c>
    </row>
    <row r="1434" spans="1:7" hidden="1" x14ac:dyDescent="0.25">
      <c r="A1434" s="28">
        <v>43586</v>
      </c>
      <c r="B1434" s="27" t="s">
        <v>200</v>
      </c>
      <c r="C1434" s="27" t="s">
        <v>53</v>
      </c>
      <c r="D1434" s="27" t="s">
        <v>6</v>
      </c>
      <c r="E1434" s="27" t="s">
        <v>205</v>
      </c>
      <c r="F1434" s="29"/>
      <c r="G1434" s="30">
        <f t="shared" si="24"/>
        <v>388.72980740740718</v>
      </c>
    </row>
    <row r="1435" spans="1:7" hidden="1" x14ac:dyDescent="0.25">
      <c r="A1435" s="28">
        <v>43586</v>
      </c>
      <c r="B1435" s="27" t="s">
        <v>200</v>
      </c>
      <c r="C1435" s="27" t="s">
        <v>54</v>
      </c>
      <c r="D1435" s="27" t="s">
        <v>7</v>
      </c>
      <c r="E1435" s="27" t="s">
        <v>8</v>
      </c>
      <c r="F1435" s="29"/>
      <c r="G1435" s="30">
        <f t="shared" ref="G1435:G1452" si="25">138.31/18</f>
        <v>7.6838888888888892</v>
      </c>
    </row>
    <row r="1436" spans="1:7" hidden="1" x14ac:dyDescent="0.25">
      <c r="A1436" s="28">
        <v>43586</v>
      </c>
      <c r="B1436" s="27" t="s">
        <v>200</v>
      </c>
      <c r="C1436" s="27" t="s">
        <v>54</v>
      </c>
      <c r="D1436" s="27" t="s">
        <v>7</v>
      </c>
      <c r="E1436" s="27" t="s">
        <v>9</v>
      </c>
      <c r="F1436" s="29"/>
      <c r="G1436" s="30">
        <f t="shared" si="25"/>
        <v>7.6838888888888892</v>
      </c>
    </row>
    <row r="1437" spans="1:7" hidden="1" x14ac:dyDescent="0.25">
      <c r="A1437" s="28">
        <v>43586</v>
      </c>
      <c r="B1437" s="27" t="s">
        <v>200</v>
      </c>
      <c r="C1437" s="27" t="s">
        <v>54</v>
      </c>
      <c r="D1437" s="27" t="s">
        <v>7</v>
      </c>
      <c r="E1437" s="27" t="s">
        <v>64</v>
      </c>
      <c r="F1437" s="29"/>
      <c r="G1437" s="30">
        <f t="shared" si="25"/>
        <v>7.6838888888888892</v>
      </c>
    </row>
    <row r="1438" spans="1:7" hidden="1" x14ac:dyDescent="0.25">
      <c r="A1438" s="28">
        <v>43586</v>
      </c>
      <c r="B1438" s="27" t="s">
        <v>200</v>
      </c>
      <c r="C1438" s="27" t="s">
        <v>54</v>
      </c>
      <c r="D1438" s="27" t="s">
        <v>7</v>
      </c>
      <c r="E1438" s="27" t="s">
        <v>21</v>
      </c>
      <c r="F1438" s="29"/>
      <c r="G1438" s="30">
        <f t="shared" si="25"/>
        <v>7.6838888888888892</v>
      </c>
    </row>
    <row r="1439" spans="1:7" hidden="1" x14ac:dyDescent="0.25">
      <c r="A1439" s="28">
        <v>43586</v>
      </c>
      <c r="B1439" s="27" t="s">
        <v>200</v>
      </c>
      <c r="C1439" s="27" t="s">
        <v>54</v>
      </c>
      <c r="D1439" s="27" t="s">
        <v>7</v>
      </c>
      <c r="E1439" s="27" t="s">
        <v>21</v>
      </c>
      <c r="F1439" s="29"/>
      <c r="G1439" s="30">
        <f t="shared" si="25"/>
        <v>7.6838888888888892</v>
      </c>
    </row>
    <row r="1440" spans="1:7" hidden="1" x14ac:dyDescent="0.25">
      <c r="A1440" s="28">
        <v>43586</v>
      </c>
      <c r="B1440" s="27" t="s">
        <v>200</v>
      </c>
      <c r="C1440" s="27" t="s">
        <v>54</v>
      </c>
      <c r="D1440" s="27" t="s">
        <v>7</v>
      </c>
      <c r="E1440" s="27" t="s">
        <v>10</v>
      </c>
      <c r="F1440" s="29"/>
      <c r="G1440" s="30">
        <f t="shared" si="25"/>
        <v>7.6838888888888892</v>
      </c>
    </row>
    <row r="1441" spans="1:7" hidden="1" x14ac:dyDescent="0.25">
      <c r="A1441" s="28">
        <v>43586</v>
      </c>
      <c r="B1441" s="27" t="s">
        <v>200</v>
      </c>
      <c r="C1441" s="27" t="s">
        <v>54</v>
      </c>
      <c r="D1441" s="27" t="s">
        <v>7</v>
      </c>
      <c r="E1441" s="27" t="s">
        <v>11</v>
      </c>
      <c r="F1441" s="29"/>
      <c r="G1441" s="30">
        <f t="shared" si="25"/>
        <v>7.6838888888888892</v>
      </c>
    </row>
    <row r="1442" spans="1:7" hidden="1" x14ac:dyDescent="0.25">
      <c r="A1442" s="28">
        <v>43586</v>
      </c>
      <c r="B1442" s="27" t="s">
        <v>200</v>
      </c>
      <c r="C1442" s="27" t="s">
        <v>54</v>
      </c>
      <c r="D1442" s="27" t="s">
        <v>7</v>
      </c>
      <c r="E1442" s="27" t="s">
        <v>12</v>
      </c>
      <c r="F1442" s="29"/>
      <c r="G1442" s="30">
        <f t="shared" si="25"/>
        <v>7.6838888888888892</v>
      </c>
    </row>
    <row r="1443" spans="1:7" hidden="1" x14ac:dyDescent="0.25">
      <c r="A1443" s="28">
        <v>43586</v>
      </c>
      <c r="B1443" s="27" t="s">
        <v>200</v>
      </c>
      <c r="C1443" s="27" t="s">
        <v>54</v>
      </c>
      <c r="D1443" s="27" t="s">
        <v>7</v>
      </c>
      <c r="E1443" s="27" t="s">
        <v>13</v>
      </c>
      <c r="F1443" s="29"/>
      <c r="G1443" s="30">
        <f t="shared" si="25"/>
        <v>7.6838888888888892</v>
      </c>
    </row>
    <row r="1444" spans="1:7" hidden="1" x14ac:dyDescent="0.25">
      <c r="A1444" s="28">
        <v>43586</v>
      </c>
      <c r="B1444" s="27" t="s">
        <v>200</v>
      </c>
      <c r="C1444" s="27" t="s">
        <v>54</v>
      </c>
      <c r="D1444" s="27" t="s">
        <v>7</v>
      </c>
      <c r="E1444" s="27" t="s">
        <v>14</v>
      </c>
      <c r="F1444" s="29"/>
      <c r="G1444" s="30">
        <f t="shared" si="25"/>
        <v>7.6838888888888892</v>
      </c>
    </row>
    <row r="1445" spans="1:7" hidden="1" x14ac:dyDescent="0.25">
      <c r="A1445" s="28">
        <v>43586</v>
      </c>
      <c r="B1445" s="27" t="s">
        <v>200</v>
      </c>
      <c r="C1445" s="27" t="s">
        <v>54</v>
      </c>
      <c r="D1445" s="27" t="s">
        <v>7</v>
      </c>
      <c r="E1445" s="27" t="s">
        <v>15</v>
      </c>
      <c r="F1445" s="29"/>
      <c r="G1445" s="30">
        <f t="shared" si="25"/>
        <v>7.6838888888888892</v>
      </c>
    </row>
    <row r="1446" spans="1:7" hidden="1" x14ac:dyDescent="0.25">
      <c r="A1446" s="28">
        <v>43586</v>
      </c>
      <c r="B1446" s="27" t="s">
        <v>200</v>
      </c>
      <c r="C1446" s="27" t="s">
        <v>54</v>
      </c>
      <c r="D1446" s="27" t="s">
        <v>7</v>
      </c>
      <c r="E1446" s="27" t="s">
        <v>16</v>
      </c>
      <c r="F1446" s="29"/>
      <c r="G1446" s="30">
        <f t="shared" si="25"/>
        <v>7.6838888888888892</v>
      </c>
    </row>
    <row r="1447" spans="1:7" hidden="1" x14ac:dyDescent="0.25">
      <c r="A1447" s="28">
        <v>43586</v>
      </c>
      <c r="B1447" s="27" t="s">
        <v>200</v>
      </c>
      <c r="C1447" s="27" t="s">
        <v>54</v>
      </c>
      <c r="D1447" s="27" t="s">
        <v>7</v>
      </c>
      <c r="E1447" s="27" t="s">
        <v>17</v>
      </c>
      <c r="F1447" s="29"/>
      <c r="G1447" s="30">
        <f t="shared" si="25"/>
        <v>7.6838888888888892</v>
      </c>
    </row>
    <row r="1448" spans="1:7" hidden="1" x14ac:dyDescent="0.25">
      <c r="A1448" s="28">
        <v>43586</v>
      </c>
      <c r="B1448" s="27" t="s">
        <v>200</v>
      </c>
      <c r="C1448" s="27" t="s">
        <v>54</v>
      </c>
      <c r="D1448" s="27" t="s">
        <v>7</v>
      </c>
      <c r="E1448" s="27" t="s">
        <v>18</v>
      </c>
      <c r="F1448" s="29"/>
      <c r="G1448" s="30">
        <f t="shared" si="25"/>
        <v>7.6838888888888892</v>
      </c>
    </row>
    <row r="1449" spans="1:7" hidden="1" x14ac:dyDescent="0.25">
      <c r="A1449" s="28">
        <v>43586</v>
      </c>
      <c r="B1449" s="27" t="s">
        <v>200</v>
      </c>
      <c r="C1449" s="27" t="s">
        <v>54</v>
      </c>
      <c r="D1449" s="27" t="s">
        <v>7</v>
      </c>
      <c r="E1449" s="27" t="s">
        <v>19</v>
      </c>
      <c r="F1449" s="29"/>
      <c r="G1449" s="30">
        <f t="shared" si="25"/>
        <v>7.6838888888888892</v>
      </c>
    </row>
    <row r="1450" spans="1:7" hidden="1" x14ac:dyDescent="0.25">
      <c r="A1450" s="28">
        <v>43586</v>
      </c>
      <c r="B1450" s="27" t="s">
        <v>200</v>
      </c>
      <c r="C1450" s="27" t="s">
        <v>54</v>
      </c>
      <c r="D1450" s="27" t="s">
        <v>7</v>
      </c>
      <c r="E1450" s="27" t="s">
        <v>20</v>
      </c>
      <c r="F1450" s="29"/>
      <c r="G1450" s="30">
        <f t="shared" si="25"/>
        <v>7.6838888888888892</v>
      </c>
    </row>
    <row r="1451" spans="1:7" hidden="1" x14ac:dyDescent="0.25">
      <c r="A1451" s="28">
        <v>43586</v>
      </c>
      <c r="B1451" s="27" t="s">
        <v>200</v>
      </c>
      <c r="C1451" s="27" t="s">
        <v>54</v>
      </c>
      <c r="D1451" s="27" t="s">
        <v>7</v>
      </c>
      <c r="E1451" s="27" t="s">
        <v>204</v>
      </c>
      <c r="F1451" s="29"/>
      <c r="G1451" s="30">
        <f t="shared" si="25"/>
        <v>7.6838888888888892</v>
      </c>
    </row>
    <row r="1452" spans="1:7" hidden="1" x14ac:dyDescent="0.25">
      <c r="A1452" s="28">
        <v>43586</v>
      </c>
      <c r="B1452" s="27" t="s">
        <v>200</v>
      </c>
      <c r="C1452" s="27" t="s">
        <v>54</v>
      </c>
      <c r="D1452" s="27" t="s">
        <v>7</v>
      </c>
      <c r="E1452" s="27" t="s">
        <v>37</v>
      </c>
      <c r="F1452" s="29"/>
      <c r="G1452" s="30">
        <f t="shared" si="25"/>
        <v>7.6838888888888892</v>
      </c>
    </row>
    <row r="1453" spans="1:7" hidden="1" x14ac:dyDescent="0.25">
      <c r="A1453" s="28">
        <v>43586</v>
      </c>
      <c r="B1453" s="27" t="s">
        <v>200</v>
      </c>
      <c r="C1453" s="27" t="s">
        <v>55</v>
      </c>
      <c r="D1453" s="27" t="s">
        <v>6</v>
      </c>
      <c r="E1453" s="27" t="s">
        <v>8</v>
      </c>
      <c r="F1453" s="29"/>
      <c r="G1453" s="30">
        <f t="shared" ref="G1453:G1470" si="26">26562.2577333333/18</f>
        <v>1475.6809851851833</v>
      </c>
    </row>
    <row r="1454" spans="1:7" hidden="1" x14ac:dyDescent="0.25">
      <c r="A1454" s="28">
        <v>43586</v>
      </c>
      <c r="B1454" s="27" t="s">
        <v>200</v>
      </c>
      <c r="C1454" s="27" t="s">
        <v>55</v>
      </c>
      <c r="D1454" s="27" t="s">
        <v>6</v>
      </c>
      <c r="E1454" s="27" t="s">
        <v>9</v>
      </c>
      <c r="F1454" s="29"/>
      <c r="G1454" s="30">
        <f t="shared" si="26"/>
        <v>1475.6809851851833</v>
      </c>
    </row>
    <row r="1455" spans="1:7" hidden="1" x14ac:dyDescent="0.25">
      <c r="A1455" s="28">
        <v>43586</v>
      </c>
      <c r="B1455" s="27" t="s">
        <v>200</v>
      </c>
      <c r="C1455" s="27" t="s">
        <v>55</v>
      </c>
      <c r="D1455" s="27" t="s">
        <v>6</v>
      </c>
      <c r="E1455" s="27" t="s">
        <v>64</v>
      </c>
      <c r="F1455" s="29"/>
      <c r="G1455" s="30">
        <f t="shared" si="26"/>
        <v>1475.6809851851833</v>
      </c>
    </row>
    <row r="1456" spans="1:7" hidden="1" x14ac:dyDescent="0.25">
      <c r="A1456" s="28">
        <v>43586</v>
      </c>
      <c r="B1456" s="27" t="s">
        <v>200</v>
      </c>
      <c r="C1456" s="27" t="s">
        <v>55</v>
      </c>
      <c r="D1456" s="27" t="s">
        <v>6</v>
      </c>
      <c r="E1456" s="27" t="s">
        <v>21</v>
      </c>
      <c r="F1456" s="29"/>
      <c r="G1456" s="30">
        <f t="shared" si="26"/>
        <v>1475.6809851851833</v>
      </c>
    </row>
    <row r="1457" spans="1:7" hidden="1" x14ac:dyDescent="0.25">
      <c r="A1457" s="28">
        <v>43586</v>
      </c>
      <c r="B1457" s="27" t="s">
        <v>200</v>
      </c>
      <c r="C1457" s="27" t="s">
        <v>55</v>
      </c>
      <c r="D1457" s="27" t="s">
        <v>6</v>
      </c>
      <c r="E1457" s="27" t="s">
        <v>21</v>
      </c>
      <c r="F1457" s="29"/>
      <c r="G1457" s="30">
        <f t="shared" si="26"/>
        <v>1475.6809851851833</v>
      </c>
    </row>
    <row r="1458" spans="1:7" hidden="1" x14ac:dyDescent="0.25">
      <c r="A1458" s="28">
        <v>43586</v>
      </c>
      <c r="B1458" s="27" t="s">
        <v>200</v>
      </c>
      <c r="C1458" s="27" t="s">
        <v>55</v>
      </c>
      <c r="D1458" s="27" t="s">
        <v>6</v>
      </c>
      <c r="E1458" s="27" t="s">
        <v>10</v>
      </c>
      <c r="F1458" s="29"/>
      <c r="G1458" s="30">
        <f t="shared" si="26"/>
        <v>1475.6809851851833</v>
      </c>
    </row>
    <row r="1459" spans="1:7" hidden="1" x14ac:dyDescent="0.25">
      <c r="A1459" s="28">
        <v>43586</v>
      </c>
      <c r="B1459" s="27" t="s">
        <v>200</v>
      </c>
      <c r="C1459" s="27" t="s">
        <v>55</v>
      </c>
      <c r="D1459" s="27" t="s">
        <v>6</v>
      </c>
      <c r="E1459" s="27" t="s">
        <v>11</v>
      </c>
      <c r="F1459" s="29"/>
      <c r="G1459" s="30">
        <f t="shared" si="26"/>
        <v>1475.6809851851833</v>
      </c>
    </row>
    <row r="1460" spans="1:7" hidden="1" x14ac:dyDescent="0.25">
      <c r="A1460" s="28">
        <v>43586</v>
      </c>
      <c r="B1460" s="27" t="s">
        <v>200</v>
      </c>
      <c r="C1460" s="27" t="s">
        <v>55</v>
      </c>
      <c r="D1460" s="27" t="s">
        <v>6</v>
      </c>
      <c r="E1460" s="27" t="s">
        <v>12</v>
      </c>
      <c r="F1460" s="29"/>
      <c r="G1460" s="30">
        <f t="shared" si="26"/>
        <v>1475.6809851851833</v>
      </c>
    </row>
    <row r="1461" spans="1:7" hidden="1" x14ac:dyDescent="0.25">
      <c r="A1461" s="28">
        <v>43586</v>
      </c>
      <c r="B1461" s="27" t="s">
        <v>200</v>
      </c>
      <c r="C1461" s="27" t="s">
        <v>55</v>
      </c>
      <c r="D1461" s="27" t="s">
        <v>6</v>
      </c>
      <c r="E1461" s="27" t="s">
        <v>13</v>
      </c>
      <c r="F1461" s="29"/>
      <c r="G1461" s="30">
        <f t="shared" si="26"/>
        <v>1475.6809851851833</v>
      </c>
    </row>
    <row r="1462" spans="1:7" hidden="1" x14ac:dyDescent="0.25">
      <c r="A1462" s="28">
        <v>43586</v>
      </c>
      <c r="B1462" s="27" t="s">
        <v>200</v>
      </c>
      <c r="C1462" s="27" t="s">
        <v>55</v>
      </c>
      <c r="D1462" s="27" t="s">
        <v>6</v>
      </c>
      <c r="E1462" s="27" t="s">
        <v>14</v>
      </c>
      <c r="F1462" s="29"/>
      <c r="G1462" s="30">
        <f t="shared" si="26"/>
        <v>1475.6809851851833</v>
      </c>
    </row>
    <row r="1463" spans="1:7" hidden="1" x14ac:dyDescent="0.25">
      <c r="A1463" s="28">
        <v>43586</v>
      </c>
      <c r="B1463" s="27" t="s">
        <v>200</v>
      </c>
      <c r="C1463" s="27" t="s">
        <v>55</v>
      </c>
      <c r="D1463" s="27" t="s">
        <v>6</v>
      </c>
      <c r="E1463" s="27" t="s">
        <v>15</v>
      </c>
      <c r="F1463" s="29"/>
      <c r="G1463" s="30">
        <f t="shared" si="26"/>
        <v>1475.6809851851833</v>
      </c>
    </row>
    <row r="1464" spans="1:7" hidden="1" x14ac:dyDescent="0.25">
      <c r="A1464" s="28">
        <v>43586</v>
      </c>
      <c r="B1464" s="27" t="s">
        <v>200</v>
      </c>
      <c r="C1464" s="27" t="s">
        <v>55</v>
      </c>
      <c r="D1464" s="27" t="s">
        <v>6</v>
      </c>
      <c r="E1464" s="27" t="s">
        <v>16</v>
      </c>
      <c r="F1464" s="29"/>
      <c r="G1464" s="30">
        <f t="shared" si="26"/>
        <v>1475.6809851851833</v>
      </c>
    </row>
    <row r="1465" spans="1:7" hidden="1" x14ac:dyDescent="0.25">
      <c r="A1465" s="28">
        <v>43586</v>
      </c>
      <c r="B1465" s="27" t="s">
        <v>200</v>
      </c>
      <c r="C1465" s="27" t="s">
        <v>55</v>
      </c>
      <c r="D1465" s="27" t="s">
        <v>6</v>
      </c>
      <c r="E1465" s="27" t="s">
        <v>17</v>
      </c>
      <c r="F1465" s="29"/>
      <c r="G1465" s="30">
        <f t="shared" si="26"/>
        <v>1475.6809851851833</v>
      </c>
    </row>
    <row r="1466" spans="1:7" hidden="1" x14ac:dyDescent="0.25">
      <c r="A1466" s="28">
        <v>43586</v>
      </c>
      <c r="B1466" s="27" t="s">
        <v>200</v>
      </c>
      <c r="C1466" s="27" t="s">
        <v>55</v>
      </c>
      <c r="D1466" s="27" t="s">
        <v>6</v>
      </c>
      <c r="E1466" s="27" t="s">
        <v>18</v>
      </c>
      <c r="F1466" s="29"/>
      <c r="G1466" s="30">
        <f t="shared" si="26"/>
        <v>1475.6809851851833</v>
      </c>
    </row>
    <row r="1467" spans="1:7" hidden="1" x14ac:dyDescent="0.25">
      <c r="A1467" s="28">
        <v>43586</v>
      </c>
      <c r="B1467" s="27" t="s">
        <v>200</v>
      </c>
      <c r="C1467" s="27" t="s">
        <v>55</v>
      </c>
      <c r="D1467" s="27" t="s">
        <v>6</v>
      </c>
      <c r="E1467" s="27" t="s">
        <v>19</v>
      </c>
      <c r="F1467" s="29"/>
      <c r="G1467" s="30">
        <f t="shared" si="26"/>
        <v>1475.6809851851833</v>
      </c>
    </row>
    <row r="1468" spans="1:7" hidden="1" x14ac:dyDescent="0.25">
      <c r="A1468" s="28">
        <v>43586</v>
      </c>
      <c r="B1468" s="27" t="s">
        <v>200</v>
      </c>
      <c r="C1468" s="27" t="s">
        <v>55</v>
      </c>
      <c r="D1468" s="27" t="s">
        <v>6</v>
      </c>
      <c r="E1468" s="27" t="s">
        <v>20</v>
      </c>
      <c r="F1468" s="29"/>
      <c r="G1468" s="30">
        <f t="shared" si="26"/>
        <v>1475.6809851851833</v>
      </c>
    </row>
    <row r="1469" spans="1:7" hidden="1" x14ac:dyDescent="0.25">
      <c r="A1469" s="28">
        <v>43586</v>
      </c>
      <c r="B1469" s="27" t="s">
        <v>200</v>
      </c>
      <c r="C1469" s="27" t="s">
        <v>55</v>
      </c>
      <c r="D1469" s="27" t="s">
        <v>6</v>
      </c>
      <c r="E1469" s="27" t="s">
        <v>204</v>
      </c>
      <c r="F1469" s="29"/>
      <c r="G1469" s="30">
        <f t="shared" si="26"/>
        <v>1475.6809851851833</v>
      </c>
    </row>
    <row r="1470" spans="1:7" hidden="1" x14ac:dyDescent="0.25">
      <c r="A1470" s="28">
        <v>43586</v>
      </c>
      <c r="B1470" s="27" t="s">
        <v>200</v>
      </c>
      <c r="C1470" s="27" t="s">
        <v>55</v>
      </c>
      <c r="D1470" s="27" t="s">
        <v>6</v>
      </c>
      <c r="E1470" s="27" t="s">
        <v>205</v>
      </c>
      <c r="F1470" s="29"/>
      <c r="G1470" s="30">
        <f t="shared" si="26"/>
        <v>1475.6809851851833</v>
      </c>
    </row>
    <row r="1471" spans="1:7" hidden="1" x14ac:dyDescent="0.25">
      <c r="A1471" s="28">
        <v>43586</v>
      </c>
      <c r="B1471" s="27" t="s">
        <v>200</v>
      </c>
      <c r="C1471" s="27" t="s">
        <v>183</v>
      </c>
      <c r="D1471" s="27" t="s">
        <v>7</v>
      </c>
      <c r="E1471" s="27" t="s">
        <v>8</v>
      </c>
      <c r="F1471" s="29"/>
      <c r="G1471" s="30">
        <f t="shared" ref="G1471:G1488" si="27">1704.44/18</f>
        <v>94.691111111111113</v>
      </c>
    </row>
    <row r="1472" spans="1:7" hidden="1" x14ac:dyDescent="0.25">
      <c r="A1472" s="28">
        <v>43586</v>
      </c>
      <c r="B1472" s="27" t="s">
        <v>200</v>
      </c>
      <c r="C1472" s="27" t="s">
        <v>183</v>
      </c>
      <c r="D1472" s="27" t="s">
        <v>7</v>
      </c>
      <c r="E1472" s="27" t="s">
        <v>9</v>
      </c>
      <c r="F1472" s="29"/>
      <c r="G1472" s="30">
        <f t="shared" si="27"/>
        <v>94.691111111111113</v>
      </c>
    </row>
    <row r="1473" spans="1:7" hidden="1" x14ac:dyDescent="0.25">
      <c r="A1473" s="28">
        <v>43586</v>
      </c>
      <c r="B1473" s="27" t="s">
        <v>200</v>
      </c>
      <c r="C1473" s="27" t="s">
        <v>183</v>
      </c>
      <c r="D1473" s="27" t="s">
        <v>7</v>
      </c>
      <c r="E1473" s="27" t="s">
        <v>64</v>
      </c>
      <c r="F1473" s="29"/>
      <c r="G1473" s="30">
        <f t="shared" si="27"/>
        <v>94.691111111111113</v>
      </c>
    </row>
    <row r="1474" spans="1:7" hidden="1" x14ac:dyDescent="0.25">
      <c r="A1474" s="28">
        <v>43586</v>
      </c>
      <c r="B1474" s="27" t="s">
        <v>200</v>
      </c>
      <c r="C1474" s="27" t="s">
        <v>183</v>
      </c>
      <c r="D1474" s="27" t="s">
        <v>7</v>
      </c>
      <c r="E1474" s="27" t="s">
        <v>21</v>
      </c>
      <c r="F1474" s="29"/>
      <c r="G1474" s="30">
        <f t="shared" si="27"/>
        <v>94.691111111111113</v>
      </c>
    </row>
    <row r="1475" spans="1:7" hidden="1" x14ac:dyDescent="0.25">
      <c r="A1475" s="28">
        <v>43586</v>
      </c>
      <c r="B1475" s="27" t="s">
        <v>200</v>
      </c>
      <c r="C1475" s="27" t="s">
        <v>183</v>
      </c>
      <c r="D1475" s="27" t="s">
        <v>7</v>
      </c>
      <c r="E1475" s="27" t="s">
        <v>21</v>
      </c>
      <c r="F1475" s="29"/>
      <c r="G1475" s="30">
        <f t="shared" si="27"/>
        <v>94.691111111111113</v>
      </c>
    </row>
    <row r="1476" spans="1:7" hidden="1" x14ac:dyDescent="0.25">
      <c r="A1476" s="28">
        <v>43586</v>
      </c>
      <c r="B1476" s="27" t="s">
        <v>200</v>
      </c>
      <c r="C1476" s="27" t="s">
        <v>183</v>
      </c>
      <c r="D1476" s="27" t="s">
        <v>7</v>
      </c>
      <c r="E1476" s="27" t="s">
        <v>10</v>
      </c>
      <c r="F1476" s="29"/>
      <c r="G1476" s="30">
        <f t="shared" si="27"/>
        <v>94.691111111111113</v>
      </c>
    </row>
    <row r="1477" spans="1:7" hidden="1" x14ac:dyDescent="0.25">
      <c r="A1477" s="28">
        <v>43586</v>
      </c>
      <c r="B1477" s="27" t="s">
        <v>200</v>
      </c>
      <c r="C1477" s="27" t="s">
        <v>183</v>
      </c>
      <c r="D1477" s="27" t="s">
        <v>7</v>
      </c>
      <c r="E1477" s="27" t="s">
        <v>11</v>
      </c>
      <c r="F1477" s="29"/>
      <c r="G1477" s="30">
        <f t="shared" si="27"/>
        <v>94.691111111111113</v>
      </c>
    </row>
    <row r="1478" spans="1:7" hidden="1" x14ac:dyDescent="0.25">
      <c r="A1478" s="28">
        <v>43586</v>
      </c>
      <c r="B1478" s="27" t="s">
        <v>200</v>
      </c>
      <c r="C1478" s="27" t="s">
        <v>183</v>
      </c>
      <c r="D1478" s="27" t="s">
        <v>7</v>
      </c>
      <c r="E1478" s="27" t="s">
        <v>12</v>
      </c>
      <c r="F1478" s="29"/>
      <c r="G1478" s="30">
        <f t="shared" si="27"/>
        <v>94.691111111111113</v>
      </c>
    </row>
    <row r="1479" spans="1:7" hidden="1" x14ac:dyDescent="0.25">
      <c r="A1479" s="28">
        <v>43586</v>
      </c>
      <c r="B1479" s="27" t="s">
        <v>200</v>
      </c>
      <c r="C1479" s="27" t="s">
        <v>183</v>
      </c>
      <c r="D1479" s="27" t="s">
        <v>7</v>
      </c>
      <c r="E1479" s="27" t="s">
        <v>13</v>
      </c>
      <c r="F1479" s="29"/>
      <c r="G1479" s="30">
        <f t="shared" si="27"/>
        <v>94.691111111111113</v>
      </c>
    </row>
    <row r="1480" spans="1:7" hidden="1" x14ac:dyDescent="0.25">
      <c r="A1480" s="28">
        <v>43586</v>
      </c>
      <c r="B1480" s="27" t="s">
        <v>200</v>
      </c>
      <c r="C1480" s="27" t="s">
        <v>183</v>
      </c>
      <c r="D1480" s="27" t="s">
        <v>7</v>
      </c>
      <c r="E1480" s="27" t="s">
        <v>14</v>
      </c>
      <c r="F1480" s="29"/>
      <c r="G1480" s="30">
        <f t="shared" si="27"/>
        <v>94.691111111111113</v>
      </c>
    </row>
    <row r="1481" spans="1:7" hidden="1" x14ac:dyDescent="0.25">
      <c r="A1481" s="28">
        <v>43586</v>
      </c>
      <c r="B1481" s="27" t="s">
        <v>200</v>
      </c>
      <c r="C1481" s="27" t="s">
        <v>183</v>
      </c>
      <c r="D1481" s="27" t="s">
        <v>7</v>
      </c>
      <c r="E1481" s="27" t="s">
        <v>15</v>
      </c>
      <c r="F1481" s="29"/>
      <c r="G1481" s="30">
        <f t="shared" si="27"/>
        <v>94.691111111111113</v>
      </c>
    </row>
    <row r="1482" spans="1:7" hidden="1" x14ac:dyDescent="0.25">
      <c r="A1482" s="28">
        <v>43586</v>
      </c>
      <c r="B1482" s="27" t="s">
        <v>200</v>
      </c>
      <c r="C1482" s="27" t="s">
        <v>183</v>
      </c>
      <c r="D1482" s="27" t="s">
        <v>7</v>
      </c>
      <c r="E1482" s="27" t="s">
        <v>16</v>
      </c>
      <c r="F1482" s="29"/>
      <c r="G1482" s="30">
        <f t="shared" si="27"/>
        <v>94.691111111111113</v>
      </c>
    </row>
    <row r="1483" spans="1:7" hidden="1" x14ac:dyDescent="0.25">
      <c r="A1483" s="28">
        <v>43586</v>
      </c>
      <c r="B1483" s="27" t="s">
        <v>200</v>
      </c>
      <c r="C1483" s="27" t="s">
        <v>183</v>
      </c>
      <c r="D1483" s="27" t="s">
        <v>7</v>
      </c>
      <c r="E1483" s="27" t="s">
        <v>17</v>
      </c>
      <c r="F1483" s="29"/>
      <c r="G1483" s="30">
        <f t="shared" si="27"/>
        <v>94.691111111111113</v>
      </c>
    </row>
    <row r="1484" spans="1:7" hidden="1" x14ac:dyDescent="0.25">
      <c r="A1484" s="28">
        <v>43586</v>
      </c>
      <c r="B1484" s="27" t="s">
        <v>200</v>
      </c>
      <c r="C1484" s="27" t="s">
        <v>183</v>
      </c>
      <c r="D1484" s="27" t="s">
        <v>7</v>
      </c>
      <c r="E1484" s="27" t="s">
        <v>18</v>
      </c>
      <c r="F1484" s="29"/>
      <c r="G1484" s="30">
        <f t="shared" si="27"/>
        <v>94.691111111111113</v>
      </c>
    </row>
    <row r="1485" spans="1:7" hidden="1" x14ac:dyDescent="0.25">
      <c r="A1485" s="28">
        <v>43586</v>
      </c>
      <c r="B1485" s="27" t="s">
        <v>200</v>
      </c>
      <c r="C1485" s="27" t="s">
        <v>183</v>
      </c>
      <c r="D1485" s="27" t="s">
        <v>7</v>
      </c>
      <c r="E1485" s="27" t="s">
        <v>19</v>
      </c>
      <c r="F1485" s="29"/>
      <c r="G1485" s="30">
        <f t="shared" si="27"/>
        <v>94.691111111111113</v>
      </c>
    </row>
    <row r="1486" spans="1:7" hidden="1" x14ac:dyDescent="0.25">
      <c r="A1486" s="28">
        <v>43586</v>
      </c>
      <c r="B1486" s="27" t="s">
        <v>200</v>
      </c>
      <c r="C1486" s="27" t="s">
        <v>183</v>
      </c>
      <c r="D1486" s="27" t="s">
        <v>7</v>
      </c>
      <c r="E1486" s="27" t="s">
        <v>20</v>
      </c>
      <c r="F1486" s="29"/>
      <c r="G1486" s="30">
        <f t="shared" si="27"/>
        <v>94.691111111111113</v>
      </c>
    </row>
    <row r="1487" spans="1:7" hidden="1" x14ac:dyDescent="0.25">
      <c r="A1487" s="28">
        <v>43586</v>
      </c>
      <c r="B1487" s="27" t="s">
        <v>200</v>
      </c>
      <c r="C1487" s="27" t="s">
        <v>183</v>
      </c>
      <c r="D1487" s="27" t="s">
        <v>7</v>
      </c>
      <c r="E1487" s="27" t="s">
        <v>204</v>
      </c>
      <c r="F1487" s="29"/>
      <c r="G1487" s="30">
        <f t="shared" si="27"/>
        <v>94.691111111111113</v>
      </c>
    </row>
    <row r="1488" spans="1:7" hidden="1" x14ac:dyDescent="0.25">
      <c r="A1488" s="28">
        <v>43586</v>
      </c>
      <c r="B1488" s="27" t="s">
        <v>200</v>
      </c>
      <c r="C1488" s="27" t="s">
        <v>183</v>
      </c>
      <c r="D1488" s="27" t="s">
        <v>7</v>
      </c>
      <c r="E1488" s="27" t="s">
        <v>37</v>
      </c>
      <c r="F1488" s="29"/>
      <c r="G1488" s="30">
        <f t="shared" si="27"/>
        <v>94.691111111111113</v>
      </c>
    </row>
    <row r="1489" spans="1:7" hidden="1" x14ac:dyDescent="0.25">
      <c r="A1489" s="28">
        <v>43586</v>
      </c>
      <c r="B1489" s="27" t="s">
        <v>200</v>
      </c>
      <c r="C1489" s="27" t="s">
        <v>56</v>
      </c>
      <c r="D1489" s="27" t="s">
        <v>6</v>
      </c>
      <c r="E1489" s="27" t="s">
        <v>8</v>
      </c>
      <c r="F1489" s="29"/>
      <c r="G1489" s="30">
        <f t="shared" ref="G1489:G1506" si="28">34893.3495555556/18</f>
        <v>1938.5194197530889</v>
      </c>
    </row>
    <row r="1490" spans="1:7" hidden="1" x14ac:dyDescent="0.25">
      <c r="A1490" s="28">
        <v>43586</v>
      </c>
      <c r="B1490" s="27" t="s">
        <v>200</v>
      </c>
      <c r="C1490" s="27" t="s">
        <v>56</v>
      </c>
      <c r="D1490" s="27" t="s">
        <v>6</v>
      </c>
      <c r="E1490" s="27" t="s">
        <v>9</v>
      </c>
      <c r="F1490" s="29"/>
      <c r="G1490" s="30">
        <f t="shared" si="28"/>
        <v>1938.5194197530889</v>
      </c>
    </row>
    <row r="1491" spans="1:7" hidden="1" x14ac:dyDescent="0.25">
      <c r="A1491" s="28">
        <v>43586</v>
      </c>
      <c r="B1491" s="27" t="s">
        <v>200</v>
      </c>
      <c r="C1491" s="27" t="s">
        <v>56</v>
      </c>
      <c r="D1491" s="27" t="s">
        <v>6</v>
      </c>
      <c r="E1491" s="27" t="s">
        <v>64</v>
      </c>
      <c r="F1491" s="29"/>
      <c r="G1491" s="30">
        <f t="shared" si="28"/>
        <v>1938.5194197530889</v>
      </c>
    </row>
    <row r="1492" spans="1:7" hidden="1" x14ac:dyDescent="0.25">
      <c r="A1492" s="28">
        <v>43586</v>
      </c>
      <c r="B1492" s="27" t="s">
        <v>200</v>
      </c>
      <c r="C1492" s="27" t="s">
        <v>56</v>
      </c>
      <c r="D1492" s="27" t="s">
        <v>6</v>
      </c>
      <c r="E1492" s="27" t="s">
        <v>21</v>
      </c>
      <c r="F1492" s="29"/>
      <c r="G1492" s="30">
        <f t="shared" si="28"/>
        <v>1938.5194197530889</v>
      </c>
    </row>
    <row r="1493" spans="1:7" hidden="1" x14ac:dyDescent="0.25">
      <c r="A1493" s="28">
        <v>43586</v>
      </c>
      <c r="B1493" s="27" t="s">
        <v>200</v>
      </c>
      <c r="C1493" s="27" t="s">
        <v>56</v>
      </c>
      <c r="D1493" s="27" t="s">
        <v>6</v>
      </c>
      <c r="E1493" s="27" t="s">
        <v>21</v>
      </c>
      <c r="F1493" s="29"/>
      <c r="G1493" s="30">
        <f t="shared" si="28"/>
        <v>1938.5194197530889</v>
      </c>
    </row>
    <row r="1494" spans="1:7" hidden="1" x14ac:dyDescent="0.25">
      <c r="A1494" s="28">
        <v>43586</v>
      </c>
      <c r="B1494" s="27" t="s">
        <v>200</v>
      </c>
      <c r="C1494" s="27" t="s">
        <v>56</v>
      </c>
      <c r="D1494" s="27" t="s">
        <v>6</v>
      </c>
      <c r="E1494" s="27" t="s">
        <v>10</v>
      </c>
      <c r="F1494" s="29"/>
      <c r="G1494" s="30">
        <f t="shared" si="28"/>
        <v>1938.5194197530889</v>
      </c>
    </row>
    <row r="1495" spans="1:7" hidden="1" x14ac:dyDescent="0.25">
      <c r="A1495" s="28">
        <v>43586</v>
      </c>
      <c r="B1495" s="27" t="s">
        <v>200</v>
      </c>
      <c r="C1495" s="27" t="s">
        <v>56</v>
      </c>
      <c r="D1495" s="27" t="s">
        <v>6</v>
      </c>
      <c r="E1495" s="27" t="s">
        <v>11</v>
      </c>
      <c r="F1495" s="29"/>
      <c r="G1495" s="30">
        <f t="shared" si="28"/>
        <v>1938.5194197530889</v>
      </c>
    </row>
    <row r="1496" spans="1:7" hidden="1" x14ac:dyDescent="0.25">
      <c r="A1496" s="28">
        <v>43586</v>
      </c>
      <c r="B1496" s="27" t="s">
        <v>200</v>
      </c>
      <c r="C1496" s="27" t="s">
        <v>56</v>
      </c>
      <c r="D1496" s="27" t="s">
        <v>6</v>
      </c>
      <c r="E1496" s="27" t="s">
        <v>12</v>
      </c>
      <c r="F1496" s="29"/>
      <c r="G1496" s="30">
        <f t="shared" si="28"/>
        <v>1938.5194197530889</v>
      </c>
    </row>
    <row r="1497" spans="1:7" hidden="1" x14ac:dyDescent="0.25">
      <c r="A1497" s="28">
        <v>43586</v>
      </c>
      <c r="B1497" s="27" t="s">
        <v>200</v>
      </c>
      <c r="C1497" s="27" t="s">
        <v>56</v>
      </c>
      <c r="D1497" s="27" t="s">
        <v>6</v>
      </c>
      <c r="E1497" s="27" t="s">
        <v>13</v>
      </c>
      <c r="F1497" s="29"/>
      <c r="G1497" s="30">
        <f t="shared" si="28"/>
        <v>1938.5194197530889</v>
      </c>
    </row>
    <row r="1498" spans="1:7" hidden="1" x14ac:dyDescent="0.25">
      <c r="A1498" s="28">
        <v>43586</v>
      </c>
      <c r="B1498" s="27" t="s">
        <v>200</v>
      </c>
      <c r="C1498" s="27" t="s">
        <v>56</v>
      </c>
      <c r="D1498" s="27" t="s">
        <v>6</v>
      </c>
      <c r="E1498" s="27" t="s">
        <v>14</v>
      </c>
      <c r="F1498" s="29"/>
      <c r="G1498" s="30">
        <f t="shared" si="28"/>
        <v>1938.5194197530889</v>
      </c>
    </row>
    <row r="1499" spans="1:7" hidden="1" x14ac:dyDescent="0.25">
      <c r="A1499" s="28">
        <v>43586</v>
      </c>
      <c r="B1499" s="27" t="s">
        <v>200</v>
      </c>
      <c r="C1499" s="27" t="s">
        <v>56</v>
      </c>
      <c r="D1499" s="27" t="s">
        <v>6</v>
      </c>
      <c r="E1499" s="27" t="s">
        <v>15</v>
      </c>
      <c r="F1499" s="29"/>
      <c r="G1499" s="30">
        <f t="shared" si="28"/>
        <v>1938.5194197530889</v>
      </c>
    </row>
    <row r="1500" spans="1:7" hidden="1" x14ac:dyDescent="0.25">
      <c r="A1500" s="28">
        <v>43586</v>
      </c>
      <c r="B1500" s="27" t="s">
        <v>200</v>
      </c>
      <c r="C1500" s="27" t="s">
        <v>56</v>
      </c>
      <c r="D1500" s="27" t="s">
        <v>6</v>
      </c>
      <c r="E1500" s="27" t="s">
        <v>16</v>
      </c>
      <c r="F1500" s="29"/>
      <c r="G1500" s="30">
        <f t="shared" si="28"/>
        <v>1938.5194197530889</v>
      </c>
    </row>
    <row r="1501" spans="1:7" hidden="1" x14ac:dyDescent="0.25">
      <c r="A1501" s="28">
        <v>43586</v>
      </c>
      <c r="B1501" s="27" t="s">
        <v>200</v>
      </c>
      <c r="C1501" s="27" t="s">
        <v>56</v>
      </c>
      <c r="D1501" s="27" t="s">
        <v>6</v>
      </c>
      <c r="E1501" s="27" t="s">
        <v>17</v>
      </c>
      <c r="F1501" s="29"/>
      <c r="G1501" s="30">
        <f t="shared" si="28"/>
        <v>1938.5194197530889</v>
      </c>
    </row>
    <row r="1502" spans="1:7" hidden="1" x14ac:dyDescent="0.25">
      <c r="A1502" s="28">
        <v>43586</v>
      </c>
      <c r="B1502" s="27" t="s">
        <v>200</v>
      </c>
      <c r="C1502" s="27" t="s">
        <v>56</v>
      </c>
      <c r="D1502" s="27" t="s">
        <v>6</v>
      </c>
      <c r="E1502" s="27" t="s">
        <v>18</v>
      </c>
      <c r="F1502" s="29"/>
      <c r="G1502" s="30">
        <f t="shared" si="28"/>
        <v>1938.5194197530889</v>
      </c>
    </row>
    <row r="1503" spans="1:7" hidden="1" x14ac:dyDescent="0.25">
      <c r="A1503" s="28">
        <v>43586</v>
      </c>
      <c r="B1503" s="27" t="s">
        <v>200</v>
      </c>
      <c r="C1503" s="27" t="s">
        <v>56</v>
      </c>
      <c r="D1503" s="27" t="s">
        <v>6</v>
      </c>
      <c r="E1503" s="27" t="s">
        <v>19</v>
      </c>
      <c r="F1503" s="29"/>
      <c r="G1503" s="30">
        <f t="shared" si="28"/>
        <v>1938.5194197530889</v>
      </c>
    </row>
    <row r="1504" spans="1:7" hidden="1" x14ac:dyDescent="0.25">
      <c r="A1504" s="28">
        <v>43586</v>
      </c>
      <c r="B1504" s="27" t="s">
        <v>200</v>
      </c>
      <c r="C1504" s="27" t="s">
        <v>56</v>
      </c>
      <c r="D1504" s="27" t="s">
        <v>6</v>
      </c>
      <c r="E1504" s="27" t="s">
        <v>20</v>
      </c>
      <c r="F1504" s="29"/>
      <c r="G1504" s="30">
        <f t="shared" si="28"/>
        <v>1938.5194197530889</v>
      </c>
    </row>
    <row r="1505" spans="1:7" hidden="1" x14ac:dyDescent="0.25">
      <c r="A1505" s="28">
        <v>43586</v>
      </c>
      <c r="B1505" s="27" t="s">
        <v>200</v>
      </c>
      <c r="C1505" s="27" t="s">
        <v>56</v>
      </c>
      <c r="D1505" s="27" t="s">
        <v>6</v>
      </c>
      <c r="E1505" s="27" t="s">
        <v>204</v>
      </c>
      <c r="F1505" s="29"/>
      <c r="G1505" s="30">
        <f t="shared" si="28"/>
        <v>1938.5194197530889</v>
      </c>
    </row>
    <row r="1506" spans="1:7" hidden="1" x14ac:dyDescent="0.25">
      <c r="A1506" s="28">
        <v>43586</v>
      </c>
      <c r="B1506" s="27" t="s">
        <v>200</v>
      </c>
      <c r="C1506" s="27" t="s">
        <v>56</v>
      </c>
      <c r="D1506" s="27" t="s">
        <v>6</v>
      </c>
      <c r="E1506" s="27" t="s">
        <v>205</v>
      </c>
      <c r="F1506" s="29"/>
      <c r="G1506" s="30">
        <f t="shared" si="28"/>
        <v>1938.5194197530889</v>
      </c>
    </row>
    <row r="1507" spans="1:7" hidden="1" x14ac:dyDescent="0.25">
      <c r="A1507" s="28">
        <v>43586</v>
      </c>
      <c r="B1507" s="27" t="s">
        <v>200</v>
      </c>
      <c r="C1507" s="27" t="s">
        <v>182</v>
      </c>
      <c r="D1507" s="27" t="s">
        <v>7</v>
      </c>
      <c r="E1507" s="27" t="s">
        <v>8</v>
      </c>
      <c r="F1507" s="29"/>
      <c r="G1507" s="30">
        <f t="shared" ref="G1507:G1524" si="29">4456.68/18</f>
        <v>247.59333333333336</v>
      </c>
    </row>
    <row r="1508" spans="1:7" hidden="1" x14ac:dyDescent="0.25">
      <c r="A1508" s="28">
        <v>43586</v>
      </c>
      <c r="B1508" s="27" t="s">
        <v>200</v>
      </c>
      <c r="C1508" s="27" t="s">
        <v>182</v>
      </c>
      <c r="D1508" s="27" t="s">
        <v>7</v>
      </c>
      <c r="E1508" s="27" t="s">
        <v>9</v>
      </c>
      <c r="F1508" s="29"/>
      <c r="G1508" s="30">
        <f t="shared" si="29"/>
        <v>247.59333333333336</v>
      </c>
    </row>
    <row r="1509" spans="1:7" hidden="1" x14ac:dyDescent="0.25">
      <c r="A1509" s="28">
        <v>43586</v>
      </c>
      <c r="B1509" s="27" t="s">
        <v>200</v>
      </c>
      <c r="C1509" s="27" t="s">
        <v>182</v>
      </c>
      <c r="D1509" s="27" t="s">
        <v>7</v>
      </c>
      <c r="E1509" s="27" t="s">
        <v>64</v>
      </c>
      <c r="F1509" s="29"/>
      <c r="G1509" s="30">
        <f t="shared" si="29"/>
        <v>247.59333333333336</v>
      </c>
    </row>
    <row r="1510" spans="1:7" hidden="1" x14ac:dyDescent="0.25">
      <c r="A1510" s="28">
        <v>43586</v>
      </c>
      <c r="B1510" s="27" t="s">
        <v>200</v>
      </c>
      <c r="C1510" s="27" t="s">
        <v>182</v>
      </c>
      <c r="D1510" s="27" t="s">
        <v>7</v>
      </c>
      <c r="E1510" s="27" t="s">
        <v>21</v>
      </c>
      <c r="F1510" s="29"/>
      <c r="G1510" s="30">
        <f t="shared" si="29"/>
        <v>247.59333333333336</v>
      </c>
    </row>
    <row r="1511" spans="1:7" hidden="1" x14ac:dyDescent="0.25">
      <c r="A1511" s="28">
        <v>43586</v>
      </c>
      <c r="B1511" s="27" t="s">
        <v>200</v>
      </c>
      <c r="C1511" s="27" t="s">
        <v>182</v>
      </c>
      <c r="D1511" s="27" t="s">
        <v>7</v>
      </c>
      <c r="E1511" s="27" t="s">
        <v>21</v>
      </c>
      <c r="F1511" s="29"/>
      <c r="G1511" s="30">
        <f t="shared" si="29"/>
        <v>247.59333333333336</v>
      </c>
    </row>
    <row r="1512" spans="1:7" hidden="1" x14ac:dyDescent="0.25">
      <c r="A1512" s="28">
        <v>43586</v>
      </c>
      <c r="B1512" s="27" t="s">
        <v>200</v>
      </c>
      <c r="C1512" s="27" t="s">
        <v>182</v>
      </c>
      <c r="D1512" s="27" t="s">
        <v>7</v>
      </c>
      <c r="E1512" s="27" t="s">
        <v>10</v>
      </c>
      <c r="F1512" s="29"/>
      <c r="G1512" s="30">
        <f t="shared" si="29"/>
        <v>247.59333333333336</v>
      </c>
    </row>
    <row r="1513" spans="1:7" hidden="1" x14ac:dyDescent="0.25">
      <c r="A1513" s="28">
        <v>43586</v>
      </c>
      <c r="B1513" s="27" t="s">
        <v>200</v>
      </c>
      <c r="C1513" s="27" t="s">
        <v>182</v>
      </c>
      <c r="D1513" s="27" t="s">
        <v>7</v>
      </c>
      <c r="E1513" s="27" t="s">
        <v>11</v>
      </c>
      <c r="F1513" s="29"/>
      <c r="G1513" s="30">
        <f t="shared" si="29"/>
        <v>247.59333333333336</v>
      </c>
    </row>
    <row r="1514" spans="1:7" hidden="1" x14ac:dyDescent="0.25">
      <c r="A1514" s="28">
        <v>43586</v>
      </c>
      <c r="B1514" s="27" t="s">
        <v>200</v>
      </c>
      <c r="C1514" s="27" t="s">
        <v>182</v>
      </c>
      <c r="D1514" s="27" t="s">
        <v>7</v>
      </c>
      <c r="E1514" s="27" t="s">
        <v>12</v>
      </c>
      <c r="F1514" s="29"/>
      <c r="G1514" s="30">
        <f t="shared" si="29"/>
        <v>247.59333333333336</v>
      </c>
    </row>
    <row r="1515" spans="1:7" hidden="1" x14ac:dyDescent="0.25">
      <c r="A1515" s="28">
        <v>43586</v>
      </c>
      <c r="B1515" s="27" t="s">
        <v>200</v>
      </c>
      <c r="C1515" s="27" t="s">
        <v>182</v>
      </c>
      <c r="D1515" s="27" t="s">
        <v>7</v>
      </c>
      <c r="E1515" s="27" t="s">
        <v>13</v>
      </c>
      <c r="F1515" s="29"/>
      <c r="G1515" s="30">
        <f t="shared" si="29"/>
        <v>247.59333333333336</v>
      </c>
    </row>
    <row r="1516" spans="1:7" hidden="1" x14ac:dyDescent="0.25">
      <c r="A1516" s="28">
        <v>43586</v>
      </c>
      <c r="B1516" s="27" t="s">
        <v>200</v>
      </c>
      <c r="C1516" s="27" t="s">
        <v>182</v>
      </c>
      <c r="D1516" s="27" t="s">
        <v>7</v>
      </c>
      <c r="E1516" s="27" t="s">
        <v>14</v>
      </c>
      <c r="F1516" s="29"/>
      <c r="G1516" s="30">
        <f t="shared" si="29"/>
        <v>247.59333333333336</v>
      </c>
    </row>
    <row r="1517" spans="1:7" hidden="1" x14ac:dyDescent="0.25">
      <c r="A1517" s="28">
        <v>43586</v>
      </c>
      <c r="B1517" s="27" t="s">
        <v>200</v>
      </c>
      <c r="C1517" s="27" t="s">
        <v>182</v>
      </c>
      <c r="D1517" s="27" t="s">
        <v>7</v>
      </c>
      <c r="E1517" s="27" t="s">
        <v>15</v>
      </c>
      <c r="F1517" s="29"/>
      <c r="G1517" s="30">
        <f t="shared" si="29"/>
        <v>247.59333333333336</v>
      </c>
    </row>
    <row r="1518" spans="1:7" hidden="1" x14ac:dyDescent="0.25">
      <c r="A1518" s="28">
        <v>43586</v>
      </c>
      <c r="B1518" s="27" t="s">
        <v>200</v>
      </c>
      <c r="C1518" s="27" t="s">
        <v>182</v>
      </c>
      <c r="D1518" s="27" t="s">
        <v>7</v>
      </c>
      <c r="E1518" s="27" t="s">
        <v>16</v>
      </c>
      <c r="F1518" s="29"/>
      <c r="G1518" s="30">
        <f t="shared" si="29"/>
        <v>247.59333333333336</v>
      </c>
    </row>
    <row r="1519" spans="1:7" hidden="1" x14ac:dyDescent="0.25">
      <c r="A1519" s="28">
        <v>43586</v>
      </c>
      <c r="B1519" s="27" t="s">
        <v>200</v>
      </c>
      <c r="C1519" s="27" t="s">
        <v>182</v>
      </c>
      <c r="D1519" s="27" t="s">
        <v>7</v>
      </c>
      <c r="E1519" s="27" t="s">
        <v>17</v>
      </c>
      <c r="F1519" s="29"/>
      <c r="G1519" s="30">
        <f t="shared" si="29"/>
        <v>247.59333333333336</v>
      </c>
    </row>
    <row r="1520" spans="1:7" hidden="1" x14ac:dyDescent="0.25">
      <c r="A1520" s="28">
        <v>43586</v>
      </c>
      <c r="B1520" s="27" t="s">
        <v>200</v>
      </c>
      <c r="C1520" s="27" t="s">
        <v>182</v>
      </c>
      <c r="D1520" s="27" t="s">
        <v>7</v>
      </c>
      <c r="E1520" s="27" t="s">
        <v>18</v>
      </c>
      <c r="F1520" s="29"/>
      <c r="G1520" s="30">
        <f t="shared" si="29"/>
        <v>247.59333333333336</v>
      </c>
    </row>
    <row r="1521" spans="1:7" hidden="1" x14ac:dyDescent="0.25">
      <c r="A1521" s="28">
        <v>43586</v>
      </c>
      <c r="B1521" s="27" t="s">
        <v>200</v>
      </c>
      <c r="C1521" s="27" t="s">
        <v>182</v>
      </c>
      <c r="D1521" s="27" t="s">
        <v>7</v>
      </c>
      <c r="E1521" s="27" t="s">
        <v>19</v>
      </c>
      <c r="F1521" s="29"/>
      <c r="G1521" s="30">
        <f t="shared" si="29"/>
        <v>247.59333333333336</v>
      </c>
    </row>
    <row r="1522" spans="1:7" hidden="1" x14ac:dyDescent="0.25">
      <c r="A1522" s="28">
        <v>43586</v>
      </c>
      <c r="B1522" s="27" t="s">
        <v>200</v>
      </c>
      <c r="C1522" s="27" t="s">
        <v>182</v>
      </c>
      <c r="D1522" s="27" t="s">
        <v>7</v>
      </c>
      <c r="E1522" s="27" t="s">
        <v>20</v>
      </c>
      <c r="F1522" s="29"/>
      <c r="G1522" s="30">
        <f t="shared" si="29"/>
        <v>247.59333333333336</v>
      </c>
    </row>
    <row r="1523" spans="1:7" hidden="1" x14ac:dyDescent="0.25">
      <c r="A1523" s="28">
        <v>43586</v>
      </c>
      <c r="B1523" s="27" t="s">
        <v>200</v>
      </c>
      <c r="C1523" s="27" t="s">
        <v>182</v>
      </c>
      <c r="D1523" s="27" t="s">
        <v>7</v>
      </c>
      <c r="E1523" s="27" t="s">
        <v>204</v>
      </c>
      <c r="F1523" s="29"/>
      <c r="G1523" s="30">
        <f t="shared" si="29"/>
        <v>247.59333333333336</v>
      </c>
    </row>
    <row r="1524" spans="1:7" hidden="1" x14ac:dyDescent="0.25">
      <c r="A1524" s="28">
        <v>43586</v>
      </c>
      <c r="B1524" s="27" t="s">
        <v>200</v>
      </c>
      <c r="C1524" s="27" t="s">
        <v>182</v>
      </c>
      <c r="D1524" s="27" t="s">
        <v>7</v>
      </c>
      <c r="E1524" s="27" t="s">
        <v>37</v>
      </c>
      <c r="F1524" s="29"/>
      <c r="G1524" s="30">
        <f t="shared" si="29"/>
        <v>247.59333333333336</v>
      </c>
    </row>
    <row r="1525" spans="1:7" hidden="1" x14ac:dyDescent="0.25">
      <c r="A1525" s="28">
        <v>43586</v>
      </c>
      <c r="B1525" s="27" t="s">
        <v>35</v>
      </c>
      <c r="C1525" s="27" t="s">
        <v>50</v>
      </c>
      <c r="D1525" s="27" t="s">
        <v>6</v>
      </c>
      <c r="E1525" s="27" t="s">
        <v>8</v>
      </c>
      <c r="F1525" s="29"/>
      <c r="G1525" s="30">
        <v>546.20562500000005</v>
      </c>
    </row>
    <row r="1526" spans="1:7" hidden="1" x14ac:dyDescent="0.25">
      <c r="A1526" s="28">
        <v>43586</v>
      </c>
      <c r="B1526" s="27" t="s">
        <v>35</v>
      </c>
      <c r="C1526" s="27" t="s">
        <v>50</v>
      </c>
      <c r="D1526" s="27" t="s">
        <v>6</v>
      </c>
      <c r="E1526" s="27" t="s">
        <v>9</v>
      </c>
      <c r="F1526" s="29"/>
      <c r="G1526" s="30">
        <v>546.20562500000005</v>
      </c>
    </row>
    <row r="1527" spans="1:7" hidden="1" x14ac:dyDescent="0.25">
      <c r="A1527" s="28">
        <v>43586</v>
      </c>
      <c r="B1527" s="27" t="s">
        <v>35</v>
      </c>
      <c r="C1527" s="27" t="s">
        <v>50</v>
      </c>
      <c r="D1527" s="27" t="s">
        <v>6</v>
      </c>
      <c r="E1527" s="27" t="s">
        <v>64</v>
      </c>
      <c r="F1527" s="29"/>
      <c r="G1527" s="30">
        <v>546.20562500000005</v>
      </c>
    </row>
    <row r="1528" spans="1:7" hidden="1" x14ac:dyDescent="0.25">
      <c r="A1528" s="28">
        <v>43586</v>
      </c>
      <c r="B1528" s="27" t="s">
        <v>35</v>
      </c>
      <c r="C1528" s="27" t="s">
        <v>50</v>
      </c>
      <c r="D1528" s="27" t="s">
        <v>6</v>
      </c>
      <c r="E1528" s="27" t="s">
        <v>21</v>
      </c>
      <c r="F1528" s="29"/>
      <c r="G1528" s="30">
        <v>546.20562500000005</v>
      </c>
    </row>
    <row r="1529" spans="1:7" hidden="1" x14ac:dyDescent="0.25">
      <c r="A1529" s="28">
        <v>43586</v>
      </c>
      <c r="B1529" s="27" t="s">
        <v>35</v>
      </c>
      <c r="C1529" s="27" t="s">
        <v>50</v>
      </c>
      <c r="D1529" s="27" t="s">
        <v>6</v>
      </c>
      <c r="E1529" s="27" t="s">
        <v>21</v>
      </c>
      <c r="F1529" s="29"/>
      <c r="G1529" s="30">
        <v>546.20562500000005</v>
      </c>
    </row>
    <row r="1530" spans="1:7" hidden="1" x14ac:dyDescent="0.25">
      <c r="A1530" s="28">
        <v>43586</v>
      </c>
      <c r="B1530" s="27" t="s">
        <v>35</v>
      </c>
      <c r="C1530" s="27" t="s">
        <v>50</v>
      </c>
      <c r="D1530" s="27" t="s">
        <v>6</v>
      </c>
      <c r="E1530" s="27" t="s">
        <v>10</v>
      </c>
      <c r="F1530" s="29"/>
      <c r="G1530" s="30">
        <v>546.20562500000005</v>
      </c>
    </row>
    <row r="1531" spans="1:7" hidden="1" x14ac:dyDescent="0.25">
      <c r="A1531" s="28">
        <v>43586</v>
      </c>
      <c r="B1531" s="27" t="s">
        <v>35</v>
      </c>
      <c r="C1531" s="27" t="s">
        <v>50</v>
      </c>
      <c r="D1531" s="27" t="s">
        <v>6</v>
      </c>
      <c r="E1531" s="27" t="s">
        <v>11</v>
      </c>
      <c r="F1531" s="29"/>
      <c r="G1531" s="30">
        <v>546.20562500000005</v>
      </c>
    </row>
    <row r="1532" spans="1:7" hidden="1" x14ac:dyDescent="0.25">
      <c r="A1532" s="28">
        <v>43586</v>
      </c>
      <c r="B1532" s="27" t="s">
        <v>35</v>
      </c>
      <c r="C1532" s="27" t="s">
        <v>50</v>
      </c>
      <c r="D1532" s="27" t="s">
        <v>6</v>
      </c>
      <c r="E1532" s="27" t="s">
        <v>12</v>
      </c>
      <c r="F1532" s="29"/>
      <c r="G1532" s="30">
        <v>546.20562500000005</v>
      </c>
    </row>
    <row r="1533" spans="1:7" hidden="1" x14ac:dyDescent="0.25">
      <c r="A1533" s="28">
        <v>43586</v>
      </c>
      <c r="B1533" s="27" t="s">
        <v>35</v>
      </c>
      <c r="C1533" s="27" t="s">
        <v>50</v>
      </c>
      <c r="D1533" s="27" t="s">
        <v>6</v>
      </c>
      <c r="E1533" s="27" t="s">
        <v>13</v>
      </c>
      <c r="F1533" s="29"/>
      <c r="G1533" s="30">
        <v>546.20562500000005</v>
      </c>
    </row>
    <row r="1534" spans="1:7" hidden="1" x14ac:dyDescent="0.25">
      <c r="A1534" s="28">
        <v>43586</v>
      </c>
      <c r="B1534" s="27" t="s">
        <v>35</v>
      </c>
      <c r="C1534" s="27" t="s">
        <v>50</v>
      </c>
      <c r="D1534" s="27" t="s">
        <v>6</v>
      </c>
      <c r="E1534" s="27" t="s">
        <v>14</v>
      </c>
      <c r="F1534" s="29"/>
      <c r="G1534" s="30">
        <v>546.20562500000005</v>
      </c>
    </row>
    <row r="1535" spans="1:7" hidden="1" x14ac:dyDescent="0.25">
      <c r="A1535" s="28">
        <v>43586</v>
      </c>
      <c r="B1535" s="27" t="s">
        <v>35</v>
      </c>
      <c r="C1535" s="27" t="s">
        <v>50</v>
      </c>
      <c r="D1535" s="27" t="s">
        <v>6</v>
      </c>
      <c r="E1535" s="27" t="s">
        <v>15</v>
      </c>
      <c r="F1535" s="29"/>
      <c r="G1535" s="30">
        <v>546.20562500000005</v>
      </c>
    </row>
    <row r="1536" spans="1:7" hidden="1" x14ac:dyDescent="0.25">
      <c r="A1536" s="28">
        <v>43586</v>
      </c>
      <c r="B1536" s="27" t="s">
        <v>35</v>
      </c>
      <c r="C1536" s="27" t="s">
        <v>50</v>
      </c>
      <c r="D1536" s="27" t="s">
        <v>6</v>
      </c>
      <c r="E1536" s="27" t="s">
        <v>16</v>
      </c>
      <c r="F1536" s="29"/>
      <c r="G1536" s="30">
        <v>546.20562500000005</v>
      </c>
    </row>
    <row r="1537" spans="1:7" hidden="1" x14ac:dyDescent="0.25">
      <c r="A1537" s="28">
        <v>43586</v>
      </c>
      <c r="B1537" s="27" t="s">
        <v>35</v>
      </c>
      <c r="C1537" s="27" t="s">
        <v>50</v>
      </c>
      <c r="D1537" s="27" t="s">
        <v>6</v>
      </c>
      <c r="E1537" s="27" t="s">
        <v>17</v>
      </c>
      <c r="F1537" s="29"/>
      <c r="G1537" s="30">
        <v>546.20562500000005</v>
      </c>
    </row>
    <row r="1538" spans="1:7" hidden="1" x14ac:dyDescent="0.25">
      <c r="A1538" s="28">
        <v>43586</v>
      </c>
      <c r="B1538" s="27" t="s">
        <v>35</v>
      </c>
      <c r="C1538" s="27" t="s">
        <v>50</v>
      </c>
      <c r="D1538" s="27" t="s">
        <v>6</v>
      </c>
      <c r="E1538" s="27" t="s">
        <v>18</v>
      </c>
      <c r="F1538" s="29"/>
      <c r="G1538" s="30">
        <v>546.20562500000005</v>
      </c>
    </row>
    <row r="1539" spans="1:7" hidden="1" x14ac:dyDescent="0.25">
      <c r="A1539" s="28">
        <v>43586</v>
      </c>
      <c r="B1539" s="27" t="s">
        <v>35</v>
      </c>
      <c r="C1539" s="27" t="s">
        <v>50</v>
      </c>
      <c r="D1539" s="27" t="s">
        <v>6</v>
      </c>
      <c r="E1539" s="27" t="s">
        <v>19</v>
      </c>
      <c r="F1539" s="29"/>
      <c r="G1539" s="30">
        <v>546.20562500000005</v>
      </c>
    </row>
    <row r="1540" spans="1:7" hidden="1" x14ac:dyDescent="0.25">
      <c r="A1540" s="28">
        <v>43586</v>
      </c>
      <c r="B1540" s="27" t="s">
        <v>35</v>
      </c>
      <c r="C1540" s="27" t="s">
        <v>50</v>
      </c>
      <c r="D1540" s="27" t="s">
        <v>6</v>
      </c>
      <c r="E1540" s="27" t="s">
        <v>20</v>
      </c>
      <c r="F1540" s="29"/>
      <c r="G1540" s="30">
        <v>546.20562500000005</v>
      </c>
    </row>
    <row r="1541" spans="1:7" hidden="1" x14ac:dyDescent="0.25">
      <c r="A1541" s="28">
        <v>43586</v>
      </c>
      <c r="B1541" s="27" t="s">
        <v>34</v>
      </c>
      <c r="C1541" s="27" t="s">
        <v>50</v>
      </c>
      <c r="D1541" s="27" t="s">
        <v>6</v>
      </c>
      <c r="E1541" s="27" t="s">
        <v>8</v>
      </c>
      <c r="F1541" s="29"/>
      <c r="G1541" s="30">
        <v>552.0533333333334</v>
      </c>
    </row>
    <row r="1542" spans="1:7" hidden="1" x14ac:dyDescent="0.25">
      <c r="A1542" s="28">
        <v>43586</v>
      </c>
      <c r="B1542" s="27" t="s">
        <v>34</v>
      </c>
      <c r="C1542" s="27" t="s">
        <v>50</v>
      </c>
      <c r="D1542" s="27" t="s">
        <v>6</v>
      </c>
      <c r="E1542" s="27" t="s">
        <v>9</v>
      </c>
      <c r="F1542" s="29"/>
      <c r="G1542" s="30">
        <v>864.49749999999995</v>
      </c>
    </row>
    <row r="1543" spans="1:7" hidden="1" x14ac:dyDescent="0.25">
      <c r="A1543" s="28">
        <v>43586</v>
      </c>
      <c r="B1543" s="27" t="s">
        <v>34</v>
      </c>
      <c r="C1543" s="27" t="s">
        <v>50</v>
      </c>
      <c r="D1543" s="27" t="s">
        <v>6</v>
      </c>
      <c r="E1543" s="27" t="s">
        <v>64</v>
      </c>
      <c r="F1543" s="29"/>
      <c r="G1543" s="30">
        <v>698.10416666666663</v>
      </c>
    </row>
    <row r="1544" spans="1:7" hidden="1" x14ac:dyDescent="0.25">
      <c r="A1544" s="28">
        <v>43586</v>
      </c>
      <c r="B1544" s="27" t="s">
        <v>34</v>
      </c>
      <c r="C1544" s="27" t="s">
        <v>50</v>
      </c>
      <c r="D1544" s="27" t="s">
        <v>6</v>
      </c>
      <c r="E1544" s="27" t="s">
        <v>21</v>
      </c>
      <c r="F1544" s="29"/>
      <c r="G1544" s="30">
        <v>985.48500000000001</v>
      </c>
    </row>
    <row r="1545" spans="1:7" hidden="1" x14ac:dyDescent="0.25">
      <c r="A1545" s="28">
        <v>43586</v>
      </c>
      <c r="B1545" s="27" t="s">
        <v>34</v>
      </c>
      <c r="C1545" s="27" t="s">
        <v>50</v>
      </c>
      <c r="D1545" s="27" t="s">
        <v>6</v>
      </c>
      <c r="E1545" s="27" t="s">
        <v>21</v>
      </c>
      <c r="F1545" s="29"/>
      <c r="G1545" s="30">
        <v>656.62166666666667</v>
      </c>
    </row>
    <row r="1546" spans="1:7" hidden="1" x14ac:dyDescent="0.25">
      <c r="A1546" s="28">
        <v>43586</v>
      </c>
      <c r="B1546" s="27" t="s">
        <v>34</v>
      </c>
      <c r="C1546" s="27" t="s">
        <v>50</v>
      </c>
      <c r="D1546" s="27" t="s">
        <v>6</v>
      </c>
      <c r="E1546" s="27" t="s">
        <v>10</v>
      </c>
      <c r="F1546" s="29"/>
      <c r="G1546" s="30">
        <v>832.49083333333328</v>
      </c>
    </row>
    <row r="1547" spans="1:7" hidden="1" x14ac:dyDescent="0.25">
      <c r="A1547" s="28">
        <v>43586</v>
      </c>
      <c r="B1547" s="27" t="s">
        <v>34</v>
      </c>
      <c r="C1547" s="27" t="s">
        <v>50</v>
      </c>
      <c r="D1547" s="27" t="s">
        <v>6</v>
      </c>
      <c r="E1547" s="27" t="s">
        <v>11</v>
      </c>
      <c r="F1547" s="29"/>
      <c r="G1547" s="30">
        <v>418.92500000000001</v>
      </c>
    </row>
    <row r="1548" spans="1:7" hidden="1" x14ac:dyDescent="0.25">
      <c r="A1548" s="28">
        <v>43586</v>
      </c>
      <c r="B1548" s="27" t="s">
        <v>34</v>
      </c>
      <c r="C1548" s="27" t="s">
        <v>50</v>
      </c>
      <c r="D1548" s="27" t="s">
        <v>6</v>
      </c>
      <c r="E1548" s="27" t="s">
        <v>12</v>
      </c>
      <c r="F1548" s="29"/>
      <c r="G1548" s="30">
        <v>388.7</v>
      </c>
    </row>
    <row r="1549" spans="1:7" hidden="1" x14ac:dyDescent="0.25">
      <c r="A1549" s="28">
        <v>43586</v>
      </c>
      <c r="B1549" s="27" t="s">
        <v>34</v>
      </c>
      <c r="C1549" s="27" t="s">
        <v>50</v>
      </c>
      <c r="D1549" s="27" t="s">
        <v>6</v>
      </c>
      <c r="E1549" s="27" t="s">
        <v>13</v>
      </c>
      <c r="F1549" s="29"/>
      <c r="G1549" s="30">
        <v>537.06416666666667</v>
      </c>
    </row>
    <row r="1550" spans="1:7" hidden="1" x14ac:dyDescent="0.25">
      <c r="A1550" s="28">
        <v>43586</v>
      </c>
      <c r="B1550" s="27" t="s">
        <v>34</v>
      </c>
      <c r="C1550" s="27" t="s">
        <v>50</v>
      </c>
      <c r="D1550" s="27" t="s">
        <v>6</v>
      </c>
      <c r="E1550" s="27" t="s">
        <v>14</v>
      </c>
      <c r="F1550" s="29"/>
      <c r="G1550" s="30">
        <v>165.58333333333334</v>
      </c>
    </row>
    <row r="1551" spans="1:7" hidden="1" x14ac:dyDescent="0.25">
      <c r="A1551" s="28">
        <v>43586</v>
      </c>
      <c r="B1551" s="27" t="s">
        <v>34</v>
      </c>
      <c r="C1551" s="27" t="s">
        <v>50</v>
      </c>
      <c r="D1551" s="27" t="s">
        <v>6</v>
      </c>
      <c r="E1551" s="27" t="s">
        <v>15</v>
      </c>
      <c r="F1551" s="29"/>
      <c r="G1551" s="30">
        <v>409.28999999999996</v>
      </c>
    </row>
    <row r="1552" spans="1:7" hidden="1" x14ac:dyDescent="0.25">
      <c r="A1552" s="28">
        <v>43586</v>
      </c>
      <c r="B1552" s="27" t="s">
        <v>34</v>
      </c>
      <c r="C1552" s="27" t="s">
        <v>50</v>
      </c>
      <c r="D1552" s="27" t="s">
        <v>6</v>
      </c>
      <c r="E1552" s="27" t="s">
        <v>16</v>
      </c>
      <c r="F1552" s="29"/>
      <c r="G1552" s="30">
        <v>657.78499999999997</v>
      </c>
    </row>
    <row r="1553" spans="1:7" hidden="1" x14ac:dyDescent="0.25">
      <c r="A1553" s="28">
        <v>43586</v>
      </c>
      <c r="B1553" s="27" t="s">
        <v>34</v>
      </c>
      <c r="C1553" s="27" t="s">
        <v>50</v>
      </c>
      <c r="D1553" s="27" t="s">
        <v>6</v>
      </c>
      <c r="E1553" s="27" t="s">
        <v>17</v>
      </c>
      <c r="F1553" s="29"/>
      <c r="G1553" s="30">
        <v>835.00750000000005</v>
      </c>
    </row>
    <row r="1554" spans="1:7" hidden="1" x14ac:dyDescent="0.25">
      <c r="A1554" s="28">
        <v>43586</v>
      </c>
      <c r="B1554" s="27" t="s">
        <v>34</v>
      </c>
      <c r="C1554" s="27" t="s">
        <v>50</v>
      </c>
      <c r="D1554" s="27" t="s">
        <v>6</v>
      </c>
      <c r="E1554" s="27" t="s">
        <v>18</v>
      </c>
      <c r="F1554" s="29"/>
      <c r="G1554" s="30">
        <v>369.30749999999995</v>
      </c>
    </row>
    <row r="1555" spans="1:7" hidden="1" x14ac:dyDescent="0.25">
      <c r="A1555" s="28">
        <v>43586</v>
      </c>
      <c r="B1555" s="27" t="s">
        <v>34</v>
      </c>
      <c r="C1555" s="27" t="s">
        <v>50</v>
      </c>
      <c r="D1555" s="27" t="s">
        <v>6</v>
      </c>
      <c r="E1555" s="27" t="s">
        <v>19</v>
      </c>
      <c r="F1555" s="29"/>
      <c r="G1555" s="30">
        <v>289.51</v>
      </c>
    </row>
    <row r="1556" spans="1:7" hidden="1" x14ac:dyDescent="0.25">
      <c r="A1556" s="28">
        <v>43586</v>
      </c>
      <c r="B1556" s="27" t="s">
        <v>34</v>
      </c>
      <c r="C1556" s="27" t="s">
        <v>50</v>
      </c>
      <c r="D1556" s="27" t="s">
        <v>6</v>
      </c>
      <c r="E1556" s="27" t="s">
        <v>20</v>
      </c>
      <c r="F1556" s="29"/>
      <c r="G1556" s="30">
        <v>550.26900000000001</v>
      </c>
    </row>
    <row r="1557" spans="1:7" hidden="1" x14ac:dyDescent="0.25">
      <c r="A1557" s="28">
        <v>43586</v>
      </c>
      <c r="B1557" s="27" t="s">
        <v>34</v>
      </c>
      <c r="C1557" s="27" t="s">
        <v>50</v>
      </c>
      <c r="D1557" s="27" t="s">
        <v>6</v>
      </c>
      <c r="E1557" s="27" t="s">
        <v>204</v>
      </c>
      <c r="F1557" s="29"/>
      <c r="G1557" s="30">
        <v>164.41666666666666</v>
      </c>
    </row>
    <row r="1558" spans="1:7" hidden="1" x14ac:dyDescent="0.25">
      <c r="A1558" s="28">
        <v>43617</v>
      </c>
      <c r="B1558" s="27" t="s">
        <v>33</v>
      </c>
      <c r="C1558" s="27" t="s">
        <v>50</v>
      </c>
      <c r="D1558" s="27" t="s">
        <v>7</v>
      </c>
      <c r="E1558" s="27" t="s">
        <v>8</v>
      </c>
      <c r="F1558" s="29"/>
      <c r="G1558" s="30">
        <v>2375.8464705882352</v>
      </c>
    </row>
    <row r="1559" spans="1:7" hidden="1" x14ac:dyDescent="0.25">
      <c r="A1559" s="28">
        <v>43617</v>
      </c>
      <c r="B1559" s="27" t="s">
        <v>33</v>
      </c>
      <c r="C1559" s="27" t="s">
        <v>50</v>
      </c>
      <c r="D1559" s="27" t="s">
        <v>7</v>
      </c>
      <c r="E1559" s="27" t="s">
        <v>9</v>
      </c>
      <c r="F1559" s="29"/>
      <c r="G1559" s="30">
        <v>2375.8464705882352</v>
      </c>
    </row>
    <row r="1560" spans="1:7" hidden="1" x14ac:dyDescent="0.25">
      <c r="A1560" s="28">
        <v>43617</v>
      </c>
      <c r="B1560" s="27" t="s">
        <v>33</v>
      </c>
      <c r="C1560" s="27" t="s">
        <v>50</v>
      </c>
      <c r="D1560" s="27" t="s">
        <v>7</v>
      </c>
      <c r="E1560" s="27" t="s">
        <v>64</v>
      </c>
      <c r="F1560" s="29"/>
      <c r="G1560" s="30">
        <v>2375.8464705882352</v>
      </c>
    </row>
    <row r="1561" spans="1:7" hidden="1" x14ac:dyDescent="0.25">
      <c r="A1561" s="28">
        <v>43617</v>
      </c>
      <c r="B1561" s="27" t="s">
        <v>33</v>
      </c>
      <c r="C1561" s="27" t="s">
        <v>50</v>
      </c>
      <c r="D1561" s="27" t="s">
        <v>7</v>
      </c>
      <c r="E1561" s="27" t="s">
        <v>21</v>
      </c>
      <c r="F1561" s="29"/>
      <c r="G1561" s="30">
        <v>2375.8464705882352</v>
      </c>
    </row>
    <row r="1562" spans="1:7" hidden="1" x14ac:dyDescent="0.25">
      <c r="A1562" s="28">
        <v>43617</v>
      </c>
      <c r="B1562" s="27" t="s">
        <v>33</v>
      </c>
      <c r="C1562" s="27" t="s">
        <v>50</v>
      </c>
      <c r="D1562" s="27" t="s">
        <v>7</v>
      </c>
      <c r="E1562" s="27" t="s">
        <v>21</v>
      </c>
      <c r="F1562" s="29"/>
      <c r="G1562" s="30">
        <v>2375.8464705882352</v>
      </c>
    </row>
    <row r="1563" spans="1:7" hidden="1" x14ac:dyDescent="0.25">
      <c r="A1563" s="28">
        <v>43617</v>
      </c>
      <c r="B1563" s="27" t="s">
        <v>33</v>
      </c>
      <c r="C1563" s="27" t="s">
        <v>50</v>
      </c>
      <c r="D1563" s="27" t="s">
        <v>7</v>
      </c>
      <c r="E1563" s="27" t="s">
        <v>10</v>
      </c>
      <c r="F1563" s="29"/>
      <c r="G1563" s="30">
        <v>2375.8464705882352</v>
      </c>
    </row>
    <row r="1564" spans="1:7" hidden="1" x14ac:dyDescent="0.25">
      <c r="A1564" s="28">
        <v>43617</v>
      </c>
      <c r="B1564" s="27" t="s">
        <v>33</v>
      </c>
      <c r="C1564" s="27" t="s">
        <v>50</v>
      </c>
      <c r="D1564" s="27" t="s">
        <v>7</v>
      </c>
      <c r="E1564" s="27" t="s">
        <v>11</v>
      </c>
      <c r="F1564" s="29"/>
      <c r="G1564" s="30">
        <v>2375.8464705882352</v>
      </c>
    </row>
    <row r="1565" spans="1:7" hidden="1" x14ac:dyDescent="0.25">
      <c r="A1565" s="28">
        <v>43617</v>
      </c>
      <c r="B1565" s="27" t="s">
        <v>33</v>
      </c>
      <c r="C1565" s="27" t="s">
        <v>50</v>
      </c>
      <c r="D1565" s="27" t="s">
        <v>7</v>
      </c>
      <c r="E1565" s="27" t="s">
        <v>12</v>
      </c>
      <c r="F1565" s="29"/>
      <c r="G1565" s="30">
        <v>2375.8464705882352</v>
      </c>
    </row>
    <row r="1566" spans="1:7" hidden="1" x14ac:dyDescent="0.25">
      <c r="A1566" s="28">
        <v>43617</v>
      </c>
      <c r="B1566" s="27" t="s">
        <v>33</v>
      </c>
      <c r="C1566" s="27" t="s">
        <v>50</v>
      </c>
      <c r="D1566" s="27" t="s">
        <v>7</v>
      </c>
      <c r="E1566" s="27" t="s">
        <v>13</v>
      </c>
      <c r="F1566" s="29"/>
      <c r="G1566" s="30">
        <v>2375.8464705882352</v>
      </c>
    </row>
    <row r="1567" spans="1:7" hidden="1" x14ac:dyDescent="0.25">
      <c r="A1567" s="28">
        <v>43617</v>
      </c>
      <c r="B1567" s="27" t="s">
        <v>33</v>
      </c>
      <c r="C1567" s="27" t="s">
        <v>50</v>
      </c>
      <c r="D1567" s="27" t="s">
        <v>7</v>
      </c>
      <c r="E1567" s="27" t="s">
        <v>14</v>
      </c>
      <c r="F1567" s="29"/>
      <c r="G1567" s="30">
        <v>2375.8464705882352</v>
      </c>
    </row>
    <row r="1568" spans="1:7" hidden="1" x14ac:dyDescent="0.25">
      <c r="A1568" s="28">
        <v>43617</v>
      </c>
      <c r="B1568" s="27" t="s">
        <v>33</v>
      </c>
      <c r="C1568" s="27" t="s">
        <v>50</v>
      </c>
      <c r="D1568" s="27" t="s">
        <v>7</v>
      </c>
      <c r="E1568" s="27" t="s">
        <v>15</v>
      </c>
      <c r="F1568" s="29"/>
      <c r="G1568" s="30">
        <v>2375.8464705882352</v>
      </c>
    </row>
    <row r="1569" spans="1:7" hidden="1" x14ac:dyDescent="0.25">
      <c r="A1569" s="28">
        <v>43617</v>
      </c>
      <c r="B1569" s="27" t="s">
        <v>33</v>
      </c>
      <c r="C1569" s="27" t="s">
        <v>50</v>
      </c>
      <c r="D1569" s="27" t="s">
        <v>7</v>
      </c>
      <c r="E1569" s="27" t="s">
        <v>16</v>
      </c>
      <c r="F1569" s="29"/>
      <c r="G1569" s="30">
        <v>2375.8464705882352</v>
      </c>
    </row>
    <row r="1570" spans="1:7" hidden="1" x14ac:dyDescent="0.25">
      <c r="A1570" s="28">
        <v>43617</v>
      </c>
      <c r="B1570" s="27" t="s">
        <v>33</v>
      </c>
      <c r="C1570" s="27" t="s">
        <v>50</v>
      </c>
      <c r="D1570" s="27" t="s">
        <v>7</v>
      </c>
      <c r="E1570" s="27" t="s">
        <v>17</v>
      </c>
      <c r="F1570" s="29"/>
      <c r="G1570" s="30">
        <v>2375.8464705882352</v>
      </c>
    </row>
    <row r="1571" spans="1:7" hidden="1" x14ac:dyDescent="0.25">
      <c r="A1571" s="28">
        <v>43617</v>
      </c>
      <c r="B1571" s="27" t="s">
        <v>33</v>
      </c>
      <c r="C1571" s="27" t="s">
        <v>50</v>
      </c>
      <c r="D1571" s="27" t="s">
        <v>7</v>
      </c>
      <c r="E1571" s="27" t="s">
        <v>18</v>
      </c>
      <c r="F1571" s="29"/>
      <c r="G1571" s="30">
        <v>2375.8464705882352</v>
      </c>
    </row>
    <row r="1572" spans="1:7" hidden="1" x14ac:dyDescent="0.25">
      <c r="A1572" s="28">
        <v>43617</v>
      </c>
      <c r="B1572" s="27" t="s">
        <v>33</v>
      </c>
      <c r="C1572" s="27" t="s">
        <v>50</v>
      </c>
      <c r="D1572" s="27" t="s">
        <v>7</v>
      </c>
      <c r="E1572" s="27" t="s">
        <v>19</v>
      </c>
      <c r="F1572" s="29"/>
      <c r="G1572" s="30">
        <v>2375.8464705882352</v>
      </c>
    </row>
    <row r="1573" spans="1:7" hidden="1" x14ac:dyDescent="0.25">
      <c r="A1573" s="28">
        <v>43617</v>
      </c>
      <c r="B1573" s="27" t="s">
        <v>33</v>
      </c>
      <c r="C1573" s="27" t="s">
        <v>50</v>
      </c>
      <c r="D1573" s="27" t="s">
        <v>7</v>
      </c>
      <c r="E1573" s="27" t="s">
        <v>20</v>
      </c>
      <c r="F1573" s="29"/>
      <c r="G1573" s="30">
        <v>2375.8464705882352</v>
      </c>
    </row>
    <row r="1574" spans="1:7" hidden="1" x14ac:dyDescent="0.25">
      <c r="A1574" s="28">
        <v>43617</v>
      </c>
      <c r="B1574" s="27" t="s">
        <v>33</v>
      </c>
      <c r="C1574" s="27" t="s">
        <v>50</v>
      </c>
      <c r="D1574" s="27" t="s">
        <v>7</v>
      </c>
      <c r="E1574" s="27" t="s">
        <v>37</v>
      </c>
      <c r="F1574" s="29"/>
      <c r="G1574" s="30">
        <v>2375.8464705882352</v>
      </c>
    </row>
    <row r="1575" spans="1:7" hidden="1" x14ac:dyDescent="0.25">
      <c r="A1575" s="28">
        <v>43617</v>
      </c>
      <c r="B1575" s="27" t="s">
        <v>4</v>
      </c>
      <c r="C1575" s="27" t="s">
        <v>50</v>
      </c>
      <c r="D1575" s="27" t="s">
        <v>7</v>
      </c>
      <c r="E1575" s="27" t="s">
        <v>8</v>
      </c>
      <c r="F1575" s="29"/>
      <c r="G1575" s="30">
        <v>3310.58</v>
      </c>
    </row>
    <row r="1576" spans="1:7" hidden="1" x14ac:dyDescent="0.25">
      <c r="A1576" s="28">
        <v>43617</v>
      </c>
      <c r="B1576" s="27" t="s">
        <v>4</v>
      </c>
      <c r="C1576" s="27" t="s">
        <v>50</v>
      </c>
      <c r="D1576" s="27" t="s">
        <v>7</v>
      </c>
      <c r="E1576" s="27" t="s">
        <v>9</v>
      </c>
      <c r="F1576" s="29"/>
      <c r="G1576" s="30">
        <v>3390.33</v>
      </c>
    </row>
    <row r="1577" spans="1:7" hidden="1" x14ac:dyDescent="0.25">
      <c r="A1577" s="28">
        <v>43617</v>
      </c>
      <c r="B1577" s="27" t="s">
        <v>4</v>
      </c>
      <c r="C1577" s="27" t="s">
        <v>50</v>
      </c>
      <c r="D1577" s="27" t="s">
        <v>7</v>
      </c>
      <c r="E1577" s="27" t="s">
        <v>64</v>
      </c>
      <c r="F1577" s="29"/>
      <c r="G1577" s="30">
        <v>2774.46</v>
      </c>
    </row>
    <row r="1578" spans="1:7" hidden="1" x14ac:dyDescent="0.25">
      <c r="A1578" s="28">
        <v>43617</v>
      </c>
      <c r="B1578" s="27" t="s">
        <v>4</v>
      </c>
      <c r="C1578" s="27" t="s">
        <v>50</v>
      </c>
      <c r="D1578" s="27" t="s">
        <v>7</v>
      </c>
      <c r="E1578" s="27" t="s">
        <v>21</v>
      </c>
      <c r="F1578" s="29"/>
      <c r="G1578" s="30">
        <v>3701.5200000000004</v>
      </c>
    </row>
    <row r="1579" spans="1:7" hidden="1" x14ac:dyDescent="0.25">
      <c r="A1579" s="28">
        <v>43617</v>
      </c>
      <c r="B1579" s="27" t="s">
        <v>4</v>
      </c>
      <c r="C1579" s="27" t="s">
        <v>50</v>
      </c>
      <c r="D1579" s="27" t="s">
        <v>7</v>
      </c>
      <c r="E1579" s="27" t="s">
        <v>21</v>
      </c>
      <c r="F1579" s="29"/>
      <c r="G1579" s="30">
        <v>4155.2</v>
      </c>
    </row>
    <row r="1580" spans="1:7" hidden="1" x14ac:dyDescent="0.25">
      <c r="A1580" s="28">
        <v>43617</v>
      </c>
      <c r="B1580" s="27" t="s">
        <v>4</v>
      </c>
      <c r="C1580" s="27" t="s">
        <v>50</v>
      </c>
      <c r="D1580" s="27" t="s">
        <v>7</v>
      </c>
      <c r="E1580" s="27" t="s">
        <v>10</v>
      </c>
      <c r="F1580" s="29"/>
      <c r="G1580" s="30">
        <v>4661.82</v>
      </c>
    </row>
    <row r="1581" spans="1:7" hidden="1" x14ac:dyDescent="0.25">
      <c r="A1581" s="28">
        <v>43617</v>
      </c>
      <c r="B1581" s="27" t="s">
        <v>4</v>
      </c>
      <c r="C1581" s="27" t="s">
        <v>50</v>
      </c>
      <c r="D1581" s="27" t="s">
        <v>7</v>
      </c>
      <c r="E1581" s="27" t="s">
        <v>11</v>
      </c>
      <c r="F1581" s="29"/>
      <c r="G1581" s="30">
        <v>1412.8600000000001</v>
      </c>
    </row>
    <row r="1582" spans="1:7" hidden="1" x14ac:dyDescent="0.25">
      <c r="A1582" s="28">
        <v>43617</v>
      </c>
      <c r="B1582" s="27" t="s">
        <v>4</v>
      </c>
      <c r="C1582" s="27" t="s">
        <v>50</v>
      </c>
      <c r="D1582" s="27" t="s">
        <v>7</v>
      </c>
      <c r="E1582" s="27" t="s">
        <v>12</v>
      </c>
      <c r="F1582" s="29"/>
      <c r="G1582" s="30">
        <v>1167.48</v>
      </c>
    </row>
    <row r="1583" spans="1:7" hidden="1" x14ac:dyDescent="0.25">
      <c r="A1583" s="28">
        <v>43617</v>
      </c>
      <c r="B1583" s="27" t="s">
        <v>4</v>
      </c>
      <c r="C1583" s="27" t="s">
        <v>50</v>
      </c>
      <c r="D1583" s="27" t="s">
        <v>7</v>
      </c>
      <c r="E1583" s="27" t="s">
        <v>13</v>
      </c>
      <c r="F1583" s="29"/>
      <c r="G1583" s="30">
        <v>5001.16</v>
      </c>
    </row>
    <row r="1584" spans="1:7" hidden="1" x14ac:dyDescent="0.25">
      <c r="A1584" s="28">
        <v>43617</v>
      </c>
      <c r="B1584" s="27" t="s">
        <v>4</v>
      </c>
      <c r="C1584" s="27" t="s">
        <v>50</v>
      </c>
      <c r="D1584" s="27" t="s">
        <v>7</v>
      </c>
      <c r="E1584" s="27" t="s">
        <v>14</v>
      </c>
      <c r="F1584" s="29"/>
      <c r="G1584" s="30">
        <v>1123.94</v>
      </c>
    </row>
    <row r="1585" spans="1:7" hidden="1" x14ac:dyDescent="0.25">
      <c r="A1585" s="28">
        <v>43617</v>
      </c>
      <c r="B1585" s="27" t="s">
        <v>4</v>
      </c>
      <c r="C1585" s="27" t="s">
        <v>50</v>
      </c>
      <c r="D1585" s="27" t="s">
        <v>7</v>
      </c>
      <c r="E1585" s="27" t="s">
        <v>15</v>
      </c>
      <c r="F1585" s="29"/>
      <c r="G1585" s="30">
        <v>3305.73</v>
      </c>
    </row>
    <row r="1586" spans="1:7" hidden="1" x14ac:dyDescent="0.25">
      <c r="A1586" s="28">
        <v>43617</v>
      </c>
      <c r="B1586" s="27" t="s">
        <v>4</v>
      </c>
      <c r="C1586" s="27" t="s">
        <v>50</v>
      </c>
      <c r="D1586" s="27" t="s">
        <v>7</v>
      </c>
      <c r="E1586" s="27" t="s">
        <v>16</v>
      </c>
      <c r="F1586" s="29"/>
      <c r="G1586" s="30">
        <v>4178.55</v>
      </c>
    </row>
    <row r="1587" spans="1:7" hidden="1" x14ac:dyDescent="0.25">
      <c r="A1587" s="28">
        <v>43617</v>
      </c>
      <c r="B1587" s="27" t="s">
        <v>4</v>
      </c>
      <c r="C1587" s="27" t="s">
        <v>50</v>
      </c>
      <c r="D1587" s="27" t="s">
        <v>7</v>
      </c>
      <c r="E1587" s="27" t="s">
        <v>17</v>
      </c>
      <c r="F1587" s="29"/>
      <c r="G1587" s="30">
        <v>4030.23</v>
      </c>
    </row>
    <row r="1588" spans="1:7" hidden="1" x14ac:dyDescent="0.25">
      <c r="A1588" s="28">
        <v>43617</v>
      </c>
      <c r="B1588" s="27" t="s">
        <v>4</v>
      </c>
      <c r="C1588" s="27" t="s">
        <v>50</v>
      </c>
      <c r="D1588" s="27" t="s">
        <v>7</v>
      </c>
      <c r="E1588" s="27" t="s">
        <v>18</v>
      </c>
      <c r="F1588" s="29"/>
      <c r="G1588" s="30">
        <v>2085.91</v>
      </c>
    </row>
    <row r="1589" spans="1:7" hidden="1" x14ac:dyDescent="0.25">
      <c r="A1589" s="28">
        <v>43617</v>
      </c>
      <c r="B1589" s="27" t="s">
        <v>4</v>
      </c>
      <c r="C1589" s="27" t="s">
        <v>50</v>
      </c>
      <c r="D1589" s="27" t="s">
        <v>7</v>
      </c>
      <c r="E1589" s="27" t="s">
        <v>19</v>
      </c>
      <c r="F1589" s="29"/>
      <c r="G1589" s="30">
        <v>2782.1499999999996</v>
      </c>
    </row>
    <row r="1590" spans="1:7" hidden="1" x14ac:dyDescent="0.25">
      <c r="A1590" s="28">
        <v>43617</v>
      </c>
      <c r="B1590" s="27" t="s">
        <v>4</v>
      </c>
      <c r="C1590" s="27" t="s">
        <v>50</v>
      </c>
      <c r="D1590" s="27" t="s">
        <v>7</v>
      </c>
      <c r="E1590" s="27" t="s">
        <v>20</v>
      </c>
      <c r="F1590" s="29"/>
      <c r="G1590" s="30">
        <v>1435.25</v>
      </c>
    </row>
    <row r="1591" spans="1:7" hidden="1" x14ac:dyDescent="0.25">
      <c r="A1591" s="28">
        <v>43617</v>
      </c>
      <c r="B1591" s="27" t="s">
        <v>4</v>
      </c>
      <c r="C1591" s="27" t="s">
        <v>50</v>
      </c>
      <c r="D1591" s="27" t="s">
        <v>7</v>
      </c>
      <c r="E1591" s="27" t="s">
        <v>204</v>
      </c>
      <c r="F1591" s="29"/>
      <c r="G1591" s="30">
        <v>1597.46</v>
      </c>
    </row>
    <row r="1592" spans="1:7" hidden="1" x14ac:dyDescent="0.25">
      <c r="A1592" s="28">
        <v>43617</v>
      </c>
      <c r="B1592" s="27" t="s">
        <v>4</v>
      </c>
      <c r="C1592" s="27" t="s">
        <v>50</v>
      </c>
      <c r="D1592" s="27" t="s">
        <v>7</v>
      </c>
      <c r="E1592" s="27" t="s">
        <v>37</v>
      </c>
      <c r="F1592" s="29"/>
      <c r="G1592" s="30">
        <v>315</v>
      </c>
    </row>
    <row r="1593" spans="1:7" hidden="1" x14ac:dyDescent="0.25">
      <c r="A1593" s="28">
        <v>43617</v>
      </c>
      <c r="B1593" s="27" t="s">
        <v>26</v>
      </c>
      <c r="C1593" s="27" t="s">
        <v>50</v>
      </c>
      <c r="D1593" s="27" t="s">
        <v>6</v>
      </c>
      <c r="E1593" s="27" t="s">
        <v>8</v>
      </c>
      <c r="F1593" s="29"/>
      <c r="G1593" s="30">
        <v>1194.25</v>
      </c>
    </row>
    <row r="1594" spans="1:7" hidden="1" x14ac:dyDescent="0.25">
      <c r="A1594" s="28">
        <v>43617</v>
      </c>
      <c r="B1594" s="27" t="s">
        <v>26</v>
      </c>
      <c r="C1594" s="27" t="s">
        <v>50</v>
      </c>
      <c r="D1594" s="27" t="s">
        <v>6</v>
      </c>
      <c r="E1594" s="27" t="s">
        <v>9</v>
      </c>
      <c r="F1594" s="29"/>
      <c r="G1594" s="30">
        <v>1550.9166666666667</v>
      </c>
    </row>
    <row r="1595" spans="1:7" hidden="1" x14ac:dyDescent="0.25">
      <c r="A1595" s="28">
        <v>43617</v>
      </c>
      <c r="B1595" s="27" t="s">
        <v>26</v>
      </c>
      <c r="C1595" s="27" t="s">
        <v>50</v>
      </c>
      <c r="D1595" s="27" t="s">
        <v>6</v>
      </c>
      <c r="E1595" s="27" t="s">
        <v>64</v>
      </c>
      <c r="F1595" s="29"/>
      <c r="G1595" s="30">
        <v>1270.3500000000001</v>
      </c>
    </row>
    <row r="1596" spans="1:7" hidden="1" x14ac:dyDescent="0.25">
      <c r="A1596" s="28">
        <v>43617</v>
      </c>
      <c r="B1596" s="27" t="s">
        <v>26</v>
      </c>
      <c r="C1596" s="27" t="s">
        <v>50</v>
      </c>
      <c r="D1596" s="27" t="s">
        <v>6</v>
      </c>
      <c r="E1596" s="27" t="s">
        <v>21</v>
      </c>
      <c r="F1596" s="29"/>
      <c r="G1596" s="30">
        <v>1359.4166666666667</v>
      </c>
    </row>
    <row r="1597" spans="1:7" hidden="1" x14ac:dyDescent="0.25">
      <c r="A1597" s="28">
        <v>43617</v>
      </c>
      <c r="B1597" s="27" t="s">
        <v>26</v>
      </c>
      <c r="C1597" s="27" t="s">
        <v>50</v>
      </c>
      <c r="D1597" s="27" t="s">
        <v>6</v>
      </c>
      <c r="E1597" s="27" t="s">
        <v>21</v>
      </c>
      <c r="F1597" s="29"/>
      <c r="G1597" s="30">
        <v>1359.4166666666667</v>
      </c>
    </row>
    <row r="1598" spans="1:7" hidden="1" x14ac:dyDescent="0.25">
      <c r="A1598" s="28">
        <v>43617</v>
      </c>
      <c r="B1598" s="27" t="s">
        <v>26</v>
      </c>
      <c r="C1598" s="27" t="s">
        <v>50</v>
      </c>
      <c r="D1598" s="27" t="s">
        <v>6</v>
      </c>
      <c r="E1598" s="27" t="s">
        <v>10</v>
      </c>
      <c r="F1598" s="29"/>
      <c r="G1598" s="30">
        <v>1998.9666666666669</v>
      </c>
    </row>
    <row r="1599" spans="1:7" hidden="1" x14ac:dyDescent="0.25">
      <c r="A1599" s="28">
        <v>43617</v>
      </c>
      <c r="B1599" s="27" t="s">
        <v>26</v>
      </c>
      <c r="C1599" s="27" t="s">
        <v>50</v>
      </c>
      <c r="D1599" s="27" t="s">
        <v>6</v>
      </c>
      <c r="E1599" s="27" t="s">
        <v>11</v>
      </c>
      <c r="F1599" s="29"/>
      <c r="G1599" s="30">
        <v>1340.7166666666667</v>
      </c>
    </row>
    <row r="1600" spans="1:7" hidden="1" x14ac:dyDescent="0.25">
      <c r="A1600" s="28">
        <v>43617</v>
      </c>
      <c r="B1600" s="27" t="s">
        <v>26</v>
      </c>
      <c r="C1600" s="27" t="s">
        <v>50</v>
      </c>
      <c r="D1600" s="27" t="s">
        <v>6</v>
      </c>
      <c r="E1600" s="27" t="s">
        <v>12</v>
      </c>
      <c r="F1600" s="29"/>
      <c r="G1600" s="30">
        <v>1350.1166666666668</v>
      </c>
    </row>
    <row r="1601" spans="1:7" hidden="1" x14ac:dyDescent="0.25">
      <c r="A1601" s="28">
        <v>43617</v>
      </c>
      <c r="B1601" s="27" t="s">
        <v>26</v>
      </c>
      <c r="C1601" s="27" t="s">
        <v>50</v>
      </c>
      <c r="D1601" s="27" t="s">
        <v>6</v>
      </c>
      <c r="E1601" s="27" t="s">
        <v>13</v>
      </c>
      <c r="F1601" s="29"/>
      <c r="G1601" s="30">
        <v>1901.5</v>
      </c>
    </row>
    <row r="1602" spans="1:7" hidden="1" x14ac:dyDescent="0.25">
      <c r="A1602" s="28">
        <v>43617</v>
      </c>
      <c r="B1602" s="27" t="s">
        <v>26</v>
      </c>
      <c r="C1602" s="27" t="s">
        <v>50</v>
      </c>
      <c r="D1602" s="27" t="s">
        <v>6</v>
      </c>
      <c r="E1602" s="27" t="s">
        <v>14</v>
      </c>
      <c r="F1602" s="29"/>
      <c r="G1602" s="30">
        <v>701.7833333333333</v>
      </c>
    </row>
    <row r="1603" spans="1:7" hidden="1" x14ac:dyDescent="0.25">
      <c r="A1603" s="28">
        <v>43617</v>
      </c>
      <c r="B1603" s="27" t="s">
        <v>26</v>
      </c>
      <c r="C1603" s="27" t="s">
        <v>50</v>
      </c>
      <c r="D1603" s="27" t="s">
        <v>6</v>
      </c>
      <c r="E1603" s="27" t="s">
        <v>15</v>
      </c>
      <c r="F1603" s="29"/>
      <c r="G1603" s="30">
        <v>1820.5500000000002</v>
      </c>
    </row>
    <row r="1604" spans="1:7" hidden="1" x14ac:dyDescent="0.25">
      <c r="A1604" s="28">
        <v>43617</v>
      </c>
      <c r="B1604" s="27" t="s">
        <v>26</v>
      </c>
      <c r="C1604" s="27" t="s">
        <v>50</v>
      </c>
      <c r="D1604" s="27" t="s">
        <v>6</v>
      </c>
      <c r="E1604" s="27" t="s">
        <v>16</v>
      </c>
      <c r="F1604" s="29"/>
      <c r="G1604" s="30">
        <v>1992.5833333333333</v>
      </c>
    </row>
    <row r="1605" spans="1:7" hidden="1" x14ac:dyDescent="0.25">
      <c r="A1605" s="28">
        <v>43617</v>
      </c>
      <c r="B1605" s="27" t="s">
        <v>26</v>
      </c>
      <c r="C1605" s="27" t="s">
        <v>50</v>
      </c>
      <c r="D1605" s="27" t="s">
        <v>6</v>
      </c>
      <c r="E1605" s="27" t="s">
        <v>17</v>
      </c>
      <c r="F1605" s="29"/>
      <c r="G1605" s="30">
        <v>2822.1166666666668</v>
      </c>
    </row>
    <row r="1606" spans="1:7" hidden="1" x14ac:dyDescent="0.25">
      <c r="A1606" s="28">
        <v>43617</v>
      </c>
      <c r="B1606" s="27" t="s">
        <v>26</v>
      </c>
      <c r="C1606" s="27" t="s">
        <v>50</v>
      </c>
      <c r="D1606" s="27" t="s">
        <v>6</v>
      </c>
      <c r="E1606" s="27" t="s">
        <v>18</v>
      </c>
      <c r="F1606" s="29"/>
      <c r="G1606" s="30">
        <v>1488.6666666666667</v>
      </c>
    </row>
    <row r="1607" spans="1:7" hidden="1" x14ac:dyDescent="0.25">
      <c r="A1607" s="28">
        <v>43617</v>
      </c>
      <c r="B1607" s="27" t="s">
        <v>26</v>
      </c>
      <c r="C1607" s="27" t="s">
        <v>50</v>
      </c>
      <c r="D1607" s="27" t="s">
        <v>6</v>
      </c>
      <c r="E1607" s="27" t="s">
        <v>19</v>
      </c>
      <c r="F1607" s="29"/>
      <c r="G1607" s="30">
        <v>2454.8833333333337</v>
      </c>
    </row>
    <row r="1608" spans="1:7" hidden="1" x14ac:dyDescent="0.25">
      <c r="A1608" s="28">
        <v>43617</v>
      </c>
      <c r="B1608" s="27" t="s">
        <v>26</v>
      </c>
      <c r="C1608" s="27" t="s">
        <v>50</v>
      </c>
      <c r="D1608" s="27" t="s">
        <v>6</v>
      </c>
      <c r="E1608" s="27" t="s">
        <v>20</v>
      </c>
      <c r="F1608" s="29"/>
      <c r="G1608" s="30">
        <v>1590.3833333333334</v>
      </c>
    </row>
    <row r="1609" spans="1:7" hidden="1" x14ac:dyDescent="0.25">
      <c r="A1609" s="28">
        <v>43617</v>
      </c>
      <c r="B1609" s="27" t="s">
        <v>26</v>
      </c>
      <c r="C1609" s="27" t="s">
        <v>50</v>
      </c>
      <c r="D1609" s="27" t="s">
        <v>6</v>
      </c>
      <c r="E1609" s="27" t="s">
        <v>204</v>
      </c>
      <c r="F1609" s="29"/>
      <c r="G1609" s="30">
        <v>316.66666666666669</v>
      </c>
    </row>
    <row r="1610" spans="1:7" hidden="1" x14ac:dyDescent="0.25">
      <c r="A1610" s="28">
        <v>43617</v>
      </c>
      <c r="B1610" s="27" t="s">
        <v>26</v>
      </c>
      <c r="C1610" s="27" t="s">
        <v>50</v>
      </c>
      <c r="D1610" s="27" t="s">
        <v>6</v>
      </c>
      <c r="E1610" s="27" t="s">
        <v>205</v>
      </c>
      <c r="F1610" s="29"/>
      <c r="G1610" s="30">
        <v>1200</v>
      </c>
    </row>
    <row r="1611" spans="1:7" hidden="1" x14ac:dyDescent="0.25">
      <c r="A1611" s="28">
        <v>43617</v>
      </c>
      <c r="B1611" s="27" t="s">
        <v>26</v>
      </c>
      <c r="C1611" s="27" t="s">
        <v>50</v>
      </c>
      <c r="D1611" s="27" t="s">
        <v>6</v>
      </c>
      <c r="E1611" s="27" t="s">
        <v>37</v>
      </c>
      <c r="F1611" s="29"/>
      <c r="G1611" s="30">
        <v>250</v>
      </c>
    </row>
    <row r="1612" spans="1:7" hidden="1" x14ac:dyDescent="0.25">
      <c r="A1612" s="28">
        <v>43617</v>
      </c>
      <c r="B1612" s="27" t="s">
        <v>3</v>
      </c>
      <c r="C1612" s="27" t="s">
        <v>50</v>
      </c>
      <c r="D1612" s="27" t="s">
        <v>7</v>
      </c>
      <c r="E1612" s="27" t="s">
        <v>8</v>
      </c>
      <c r="F1612" s="29"/>
      <c r="G1612" s="30">
        <v>662.15666666666664</v>
      </c>
    </row>
    <row r="1613" spans="1:7" hidden="1" x14ac:dyDescent="0.25">
      <c r="A1613" s="28">
        <v>43617</v>
      </c>
      <c r="B1613" s="27" t="s">
        <v>3</v>
      </c>
      <c r="C1613" s="27" t="s">
        <v>50</v>
      </c>
      <c r="D1613" s="27" t="s">
        <v>7</v>
      </c>
      <c r="E1613" s="27" t="s">
        <v>9</v>
      </c>
      <c r="F1613" s="29"/>
      <c r="G1613" s="30">
        <v>662.15666666666664</v>
      </c>
    </row>
    <row r="1614" spans="1:7" hidden="1" x14ac:dyDescent="0.25">
      <c r="A1614" s="28">
        <v>43617</v>
      </c>
      <c r="B1614" s="27" t="s">
        <v>3</v>
      </c>
      <c r="C1614" s="27" t="s">
        <v>50</v>
      </c>
      <c r="D1614" s="27" t="s">
        <v>7</v>
      </c>
      <c r="E1614" s="27" t="s">
        <v>64</v>
      </c>
      <c r="F1614" s="29"/>
      <c r="G1614" s="30">
        <v>662.15666666666664</v>
      </c>
    </row>
    <row r="1615" spans="1:7" hidden="1" x14ac:dyDescent="0.25">
      <c r="A1615" s="28">
        <v>43617</v>
      </c>
      <c r="B1615" s="27" t="s">
        <v>3</v>
      </c>
      <c r="C1615" s="27" t="s">
        <v>50</v>
      </c>
      <c r="D1615" s="27" t="s">
        <v>7</v>
      </c>
      <c r="E1615" s="27" t="s">
        <v>21</v>
      </c>
      <c r="F1615" s="29"/>
      <c r="G1615" s="30">
        <v>662.15666666666664</v>
      </c>
    </row>
    <row r="1616" spans="1:7" hidden="1" x14ac:dyDescent="0.25">
      <c r="A1616" s="28">
        <v>43617</v>
      </c>
      <c r="B1616" s="27" t="s">
        <v>3</v>
      </c>
      <c r="C1616" s="27" t="s">
        <v>50</v>
      </c>
      <c r="D1616" s="27" t="s">
        <v>7</v>
      </c>
      <c r="E1616" s="27" t="s">
        <v>21</v>
      </c>
      <c r="F1616" s="29"/>
      <c r="G1616" s="30">
        <v>662.15666666666664</v>
      </c>
    </row>
    <row r="1617" spans="1:7" hidden="1" x14ac:dyDescent="0.25">
      <c r="A1617" s="28">
        <v>43617</v>
      </c>
      <c r="B1617" s="27" t="s">
        <v>3</v>
      </c>
      <c r="C1617" s="27" t="s">
        <v>50</v>
      </c>
      <c r="D1617" s="27" t="s">
        <v>7</v>
      </c>
      <c r="E1617" s="27" t="s">
        <v>10</v>
      </c>
      <c r="F1617" s="29"/>
      <c r="G1617" s="30">
        <v>662.15666666666664</v>
      </c>
    </row>
    <row r="1618" spans="1:7" hidden="1" x14ac:dyDescent="0.25">
      <c r="A1618" s="28">
        <v>43617</v>
      </c>
      <c r="B1618" s="27" t="s">
        <v>3</v>
      </c>
      <c r="C1618" s="27" t="s">
        <v>50</v>
      </c>
      <c r="D1618" s="27" t="s">
        <v>7</v>
      </c>
      <c r="E1618" s="27" t="s">
        <v>11</v>
      </c>
      <c r="F1618" s="29"/>
      <c r="G1618" s="30">
        <v>662.15666666666664</v>
      </c>
    </row>
    <row r="1619" spans="1:7" hidden="1" x14ac:dyDescent="0.25">
      <c r="A1619" s="28">
        <v>43617</v>
      </c>
      <c r="B1619" s="27" t="s">
        <v>3</v>
      </c>
      <c r="C1619" s="27" t="s">
        <v>50</v>
      </c>
      <c r="D1619" s="27" t="s">
        <v>7</v>
      </c>
      <c r="E1619" s="27" t="s">
        <v>12</v>
      </c>
      <c r="F1619" s="29"/>
      <c r="G1619" s="30">
        <v>662.15666666666664</v>
      </c>
    </row>
    <row r="1620" spans="1:7" hidden="1" x14ac:dyDescent="0.25">
      <c r="A1620" s="28">
        <v>43617</v>
      </c>
      <c r="B1620" s="27" t="s">
        <v>3</v>
      </c>
      <c r="C1620" s="27" t="s">
        <v>50</v>
      </c>
      <c r="D1620" s="27" t="s">
        <v>7</v>
      </c>
      <c r="E1620" s="27" t="s">
        <v>13</v>
      </c>
      <c r="F1620" s="29"/>
      <c r="G1620" s="30">
        <v>662.15666666666664</v>
      </c>
    </row>
    <row r="1621" spans="1:7" hidden="1" x14ac:dyDescent="0.25">
      <c r="A1621" s="28">
        <v>43617</v>
      </c>
      <c r="B1621" s="27" t="s">
        <v>3</v>
      </c>
      <c r="C1621" s="27" t="s">
        <v>50</v>
      </c>
      <c r="D1621" s="27" t="s">
        <v>7</v>
      </c>
      <c r="E1621" s="27" t="s">
        <v>14</v>
      </c>
      <c r="F1621" s="29"/>
      <c r="G1621" s="30">
        <v>662.15666666666664</v>
      </c>
    </row>
    <row r="1622" spans="1:7" hidden="1" x14ac:dyDescent="0.25">
      <c r="A1622" s="28">
        <v>43617</v>
      </c>
      <c r="B1622" s="27" t="s">
        <v>3</v>
      </c>
      <c r="C1622" s="27" t="s">
        <v>50</v>
      </c>
      <c r="D1622" s="27" t="s">
        <v>7</v>
      </c>
      <c r="E1622" s="27" t="s">
        <v>15</v>
      </c>
      <c r="F1622" s="29"/>
      <c r="G1622" s="30">
        <v>662.15666666666664</v>
      </c>
    </row>
    <row r="1623" spans="1:7" hidden="1" x14ac:dyDescent="0.25">
      <c r="A1623" s="28">
        <v>43617</v>
      </c>
      <c r="B1623" s="27" t="s">
        <v>3</v>
      </c>
      <c r="C1623" s="27" t="s">
        <v>50</v>
      </c>
      <c r="D1623" s="27" t="s">
        <v>7</v>
      </c>
      <c r="E1623" s="27" t="s">
        <v>16</v>
      </c>
      <c r="F1623" s="29"/>
      <c r="G1623" s="30">
        <v>662.15666666666664</v>
      </c>
    </row>
    <row r="1624" spans="1:7" hidden="1" x14ac:dyDescent="0.25">
      <c r="A1624" s="28">
        <v>43617</v>
      </c>
      <c r="B1624" s="27" t="s">
        <v>3</v>
      </c>
      <c r="C1624" s="27" t="s">
        <v>50</v>
      </c>
      <c r="D1624" s="27" t="s">
        <v>7</v>
      </c>
      <c r="E1624" s="27" t="s">
        <v>17</v>
      </c>
      <c r="F1624" s="29"/>
      <c r="G1624" s="30">
        <v>662.15666666666664</v>
      </c>
    </row>
    <row r="1625" spans="1:7" hidden="1" x14ac:dyDescent="0.25">
      <c r="A1625" s="28">
        <v>43617</v>
      </c>
      <c r="B1625" s="27" t="s">
        <v>3</v>
      </c>
      <c r="C1625" s="27" t="s">
        <v>50</v>
      </c>
      <c r="D1625" s="27" t="s">
        <v>7</v>
      </c>
      <c r="E1625" s="27" t="s">
        <v>18</v>
      </c>
      <c r="F1625" s="29"/>
      <c r="G1625" s="30">
        <v>662.15666666666664</v>
      </c>
    </row>
    <row r="1626" spans="1:7" hidden="1" x14ac:dyDescent="0.25">
      <c r="A1626" s="28">
        <v>43617</v>
      </c>
      <c r="B1626" s="27" t="s">
        <v>3</v>
      </c>
      <c r="C1626" s="27" t="s">
        <v>50</v>
      </c>
      <c r="D1626" s="27" t="s">
        <v>7</v>
      </c>
      <c r="E1626" s="27" t="s">
        <v>19</v>
      </c>
      <c r="F1626" s="29"/>
      <c r="G1626" s="30">
        <v>662.15666666666664</v>
      </c>
    </row>
    <row r="1627" spans="1:7" hidden="1" x14ac:dyDescent="0.25">
      <c r="A1627" s="28">
        <v>43617</v>
      </c>
      <c r="B1627" s="27" t="s">
        <v>3</v>
      </c>
      <c r="C1627" s="27" t="s">
        <v>50</v>
      </c>
      <c r="D1627" s="27" t="s">
        <v>7</v>
      </c>
      <c r="E1627" s="27" t="s">
        <v>20</v>
      </c>
      <c r="F1627" s="29"/>
      <c r="G1627" s="30">
        <v>662.15666666666664</v>
      </c>
    </row>
    <row r="1628" spans="1:7" hidden="1" x14ac:dyDescent="0.25">
      <c r="A1628" s="28">
        <v>43617</v>
      </c>
      <c r="B1628" s="27" t="s">
        <v>3</v>
      </c>
      <c r="C1628" s="27" t="s">
        <v>50</v>
      </c>
      <c r="D1628" s="27" t="s">
        <v>7</v>
      </c>
      <c r="E1628" s="27" t="s">
        <v>204</v>
      </c>
      <c r="F1628" s="29"/>
      <c r="G1628" s="30">
        <v>662.15666666666664</v>
      </c>
    </row>
    <row r="1629" spans="1:7" hidden="1" x14ac:dyDescent="0.25">
      <c r="A1629" s="28">
        <v>43617</v>
      </c>
      <c r="B1629" s="27" t="s">
        <v>3</v>
      </c>
      <c r="C1629" s="27" t="s">
        <v>50</v>
      </c>
      <c r="D1629" s="27" t="s">
        <v>7</v>
      </c>
      <c r="E1629" s="27" t="s">
        <v>205</v>
      </c>
      <c r="F1629" s="29"/>
      <c r="G1629" s="30">
        <v>662.15666666666664</v>
      </c>
    </row>
    <row r="1630" spans="1:7" hidden="1" x14ac:dyDescent="0.25">
      <c r="A1630" s="28">
        <v>43617</v>
      </c>
      <c r="B1630" s="27" t="s">
        <v>179</v>
      </c>
      <c r="C1630" s="27" t="s">
        <v>50</v>
      </c>
      <c r="D1630" s="27" t="s">
        <v>6</v>
      </c>
      <c r="E1630" s="27" t="s">
        <v>8</v>
      </c>
      <c r="F1630" s="29"/>
      <c r="G1630" s="30">
        <v>82.027500000000003</v>
      </c>
    </row>
    <row r="1631" spans="1:7" hidden="1" x14ac:dyDescent="0.25">
      <c r="A1631" s="28">
        <v>43617</v>
      </c>
      <c r="B1631" s="27" t="s">
        <v>179</v>
      </c>
      <c r="C1631" s="27" t="s">
        <v>50</v>
      </c>
      <c r="D1631" s="27" t="s">
        <v>6</v>
      </c>
      <c r="E1631" s="27" t="s">
        <v>9</v>
      </c>
      <c r="F1631" s="29"/>
      <c r="G1631" s="30">
        <v>80.430833333333325</v>
      </c>
    </row>
    <row r="1632" spans="1:7" hidden="1" x14ac:dyDescent="0.25">
      <c r="A1632" s="28">
        <v>43617</v>
      </c>
      <c r="B1632" s="27" t="s">
        <v>179</v>
      </c>
      <c r="C1632" s="27" t="s">
        <v>50</v>
      </c>
      <c r="D1632" s="27" t="s">
        <v>6</v>
      </c>
      <c r="E1632" s="27" t="s">
        <v>64</v>
      </c>
      <c r="F1632" s="29"/>
      <c r="G1632" s="30">
        <v>99.683333333333337</v>
      </c>
    </row>
    <row r="1633" spans="1:7" hidden="1" x14ac:dyDescent="0.25">
      <c r="A1633" s="28">
        <v>43617</v>
      </c>
      <c r="B1633" s="27" t="s">
        <v>179</v>
      </c>
      <c r="C1633" s="27" t="s">
        <v>50</v>
      </c>
      <c r="D1633" s="27" t="s">
        <v>6</v>
      </c>
      <c r="E1633" s="27" t="s">
        <v>21</v>
      </c>
      <c r="F1633" s="29"/>
      <c r="G1633" s="30">
        <v>101.87</v>
      </c>
    </row>
    <row r="1634" spans="1:7" hidden="1" x14ac:dyDescent="0.25">
      <c r="A1634" s="28">
        <v>43617</v>
      </c>
      <c r="B1634" s="27" t="s">
        <v>179</v>
      </c>
      <c r="C1634" s="27" t="s">
        <v>50</v>
      </c>
      <c r="D1634" s="27" t="s">
        <v>6</v>
      </c>
      <c r="E1634" s="27" t="s">
        <v>21</v>
      </c>
      <c r="F1634" s="29"/>
      <c r="G1634" s="30">
        <v>75.420833333333334</v>
      </c>
    </row>
    <row r="1635" spans="1:7" hidden="1" x14ac:dyDescent="0.25">
      <c r="A1635" s="28">
        <v>43617</v>
      </c>
      <c r="B1635" s="27" t="s">
        <v>179</v>
      </c>
      <c r="C1635" s="27" t="s">
        <v>50</v>
      </c>
      <c r="D1635" s="27" t="s">
        <v>6</v>
      </c>
      <c r="E1635" s="27" t="s">
        <v>10</v>
      </c>
      <c r="F1635" s="29"/>
      <c r="G1635" s="30">
        <v>94.975833333333341</v>
      </c>
    </row>
    <row r="1636" spans="1:7" hidden="1" x14ac:dyDescent="0.25">
      <c r="A1636" s="28">
        <v>43617</v>
      </c>
      <c r="B1636" s="27" t="s">
        <v>179</v>
      </c>
      <c r="C1636" s="27" t="s">
        <v>50</v>
      </c>
      <c r="D1636" s="27" t="s">
        <v>6</v>
      </c>
      <c r="E1636" s="27" t="s">
        <v>11</v>
      </c>
      <c r="F1636" s="29"/>
      <c r="G1636" s="30">
        <v>99.024999999999991</v>
      </c>
    </row>
    <row r="1637" spans="1:7" hidden="1" x14ac:dyDescent="0.25">
      <c r="A1637" s="28">
        <v>43617</v>
      </c>
      <c r="B1637" s="27" t="s">
        <v>179</v>
      </c>
      <c r="C1637" s="27" t="s">
        <v>50</v>
      </c>
      <c r="D1637" s="27" t="s">
        <v>6</v>
      </c>
      <c r="E1637" s="27" t="s">
        <v>12</v>
      </c>
      <c r="F1637" s="29"/>
      <c r="G1637" s="30">
        <v>75.82083333333334</v>
      </c>
    </row>
    <row r="1638" spans="1:7" hidden="1" x14ac:dyDescent="0.25">
      <c r="A1638" s="28">
        <v>43617</v>
      </c>
      <c r="B1638" s="27" t="s">
        <v>179</v>
      </c>
      <c r="C1638" s="27" t="s">
        <v>50</v>
      </c>
      <c r="D1638" s="27" t="s">
        <v>6</v>
      </c>
      <c r="E1638" s="27" t="s">
        <v>13</v>
      </c>
      <c r="F1638" s="29"/>
      <c r="G1638" s="30">
        <v>100.41500000000001</v>
      </c>
    </row>
    <row r="1639" spans="1:7" hidden="1" x14ac:dyDescent="0.25">
      <c r="A1639" s="28">
        <v>43617</v>
      </c>
      <c r="B1639" s="27" t="s">
        <v>179</v>
      </c>
      <c r="C1639" s="27" t="s">
        <v>50</v>
      </c>
      <c r="D1639" s="27" t="s">
        <v>6</v>
      </c>
      <c r="E1639" s="27" t="s">
        <v>14</v>
      </c>
      <c r="F1639" s="29"/>
      <c r="G1639" s="30">
        <v>84.427499999999995</v>
      </c>
    </row>
    <row r="1640" spans="1:7" hidden="1" x14ac:dyDescent="0.25">
      <c r="A1640" s="28">
        <v>43617</v>
      </c>
      <c r="B1640" s="27" t="s">
        <v>179</v>
      </c>
      <c r="C1640" s="27" t="s">
        <v>50</v>
      </c>
      <c r="D1640" s="27" t="s">
        <v>6</v>
      </c>
      <c r="E1640" s="27" t="s">
        <v>15</v>
      </c>
      <c r="F1640" s="29"/>
      <c r="G1640" s="30">
        <v>97.932500000000005</v>
      </c>
    </row>
    <row r="1641" spans="1:7" hidden="1" x14ac:dyDescent="0.25">
      <c r="A1641" s="28">
        <v>43617</v>
      </c>
      <c r="B1641" s="27" t="s">
        <v>179</v>
      </c>
      <c r="C1641" s="27" t="s">
        <v>50</v>
      </c>
      <c r="D1641" s="27" t="s">
        <v>6</v>
      </c>
      <c r="E1641" s="27" t="s">
        <v>16</v>
      </c>
      <c r="F1641" s="29"/>
      <c r="G1641" s="30">
        <v>99.579166666666666</v>
      </c>
    </row>
    <row r="1642" spans="1:7" hidden="1" x14ac:dyDescent="0.25">
      <c r="A1642" s="28">
        <v>43617</v>
      </c>
      <c r="B1642" s="27" t="s">
        <v>179</v>
      </c>
      <c r="C1642" s="27" t="s">
        <v>50</v>
      </c>
      <c r="D1642" s="27" t="s">
        <v>6</v>
      </c>
      <c r="E1642" s="27" t="s">
        <v>17</v>
      </c>
      <c r="F1642" s="29"/>
      <c r="G1642" s="30">
        <v>163.58583333333334</v>
      </c>
    </row>
    <row r="1643" spans="1:7" hidden="1" x14ac:dyDescent="0.25">
      <c r="A1643" s="28">
        <v>43617</v>
      </c>
      <c r="B1643" s="27" t="s">
        <v>179</v>
      </c>
      <c r="C1643" s="27" t="s">
        <v>50</v>
      </c>
      <c r="D1643" s="27" t="s">
        <v>6</v>
      </c>
      <c r="E1643" s="27" t="s">
        <v>18</v>
      </c>
      <c r="F1643" s="29"/>
      <c r="G1643" s="30">
        <v>189.72083333333333</v>
      </c>
    </row>
    <row r="1644" spans="1:7" hidden="1" x14ac:dyDescent="0.25">
      <c r="A1644" s="28">
        <v>43617</v>
      </c>
      <c r="B1644" s="27" t="s">
        <v>179</v>
      </c>
      <c r="C1644" s="27" t="s">
        <v>50</v>
      </c>
      <c r="D1644" s="27" t="s">
        <v>6</v>
      </c>
      <c r="E1644" s="27" t="s">
        <v>19</v>
      </c>
      <c r="F1644" s="29"/>
      <c r="G1644" s="30">
        <v>132.03083333333333</v>
      </c>
    </row>
    <row r="1645" spans="1:7" hidden="1" x14ac:dyDescent="0.25">
      <c r="A1645" s="28">
        <v>43617</v>
      </c>
      <c r="B1645" s="27" t="s">
        <v>179</v>
      </c>
      <c r="C1645" s="27" t="s">
        <v>50</v>
      </c>
      <c r="D1645" s="27" t="s">
        <v>6</v>
      </c>
      <c r="E1645" s="27" t="s">
        <v>20</v>
      </c>
      <c r="F1645" s="29"/>
      <c r="G1645" s="30">
        <v>408.15999999999997</v>
      </c>
    </row>
    <row r="1646" spans="1:7" hidden="1" x14ac:dyDescent="0.25">
      <c r="A1646" s="28">
        <v>43617</v>
      </c>
      <c r="B1646" s="27" t="s">
        <v>179</v>
      </c>
      <c r="C1646" s="27" t="s">
        <v>50</v>
      </c>
      <c r="D1646" s="27" t="s">
        <v>6</v>
      </c>
      <c r="E1646" s="27" t="s">
        <v>204</v>
      </c>
      <c r="F1646" s="29"/>
      <c r="G1646" s="30">
        <v>62.408333333333331</v>
      </c>
    </row>
    <row r="1647" spans="1:7" hidden="1" x14ac:dyDescent="0.25">
      <c r="A1647" s="28">
        <v>43617</v>
      </c>
      <c r="B1647" s="27" t="s">
        <v>179</v>
      </c>
      <c r="C1647" s="27" t="s">
        <v>50</v>
      </c>
      <c r="D1647" s="27" t="s">
        <v>6</v>
      </c>
      <c r="E1647" s="27" t="s">
        <v>205</v>
      </c>
      <c r="F1647" s="29"/>
      <c r="G1647" s="30">
        <v>136.51666666666668</v>
      </c>
    </row>
    <row r="1648" spans="1:7" hidden="1" x14ac:dyDescent="0.25">
      <c r="A1648" s="28">
        <v>43617</v>
      </c>
      <c r="B1648" s="27" t="s">
        <v>32</v>
      </c>
      <c r="C1648" s="27" t="s">
        <v>50</v>
      </c>
      <c r="D1648" s="27" t="s">
        <v>7</v>
      </c>
      <c r="E1648" s="27" t="s">
        <v>10</v>
      </c>
      <c r="F1648" s="29"/>
      <c r="G1648" s="30">
        <v>50</v>
      </c>
    </row>
    <row r="1649" spans="1:7" hidden="1" x14ac:dyDescent="0.25">
      <c r="A1649" s="28">
        <v>43617</v>
      </c>
      <c r="B1649" s="27" t="s">
        <v>32</v>
      </c>
      <c r="C1649" s="27" t="s">
        <v>50</v>
      </c>
      <c r="D1649" s="27" t="s">
        <v>7</v>
      </c>
      <c r="E1649" s="27" t="s">
        <v>17</v>
      </c>
      <c r="F1649" s="29"/>
      <c r="G1649" s="30">
        <v>50</v>
      </c>
    </row>
    <row r="1650" spans="1:7" hidden="1" x14ac:dyDescent="0.25">
      <c r="A1650" s="28">
        <v>43617</v>
      </c>
      <c r="B1650" s="27" t="s">
        <v>5</v>
      </c>
      <c r="C1650" s="27" t="s">
        <v>51</v>
      </c>
      <c r="D1650" s="27" t="s">
        <v>51</v>
      </c>
      <c r="E1650" s="27" t="s">
        <v>8</v>
      </c>
      <c r="F1650" s="29">
        <v>1620</v>
      </c>
      <c r="G1650" s="30">
        <v>9.4635434585873277</v>
      </c>
    </row>
    <row r="1651" spans="1:7" hidden="1" x14ac:dyDescent="0.25">
      <c r="A1651" s="28">
        <v>43617</v>
      </c>
      <c r="B1651" s="27" t="s">
        <v>5</v>
      </c>
      <c r="C1651" s="27" t="s">
        <v>51</v>
      </c>
      <c r="D1651" s="27" t="s">
        <v>51</v>
      </c>
      <c r="E1651" s="27" t="s">
        <v>9</v>
      </c>
      <c r="F1651" s="29">
        <v>4259</v>
      </c>
      <c r="G1651" s="30">
        <v>3.3625861867992799</v>
      </c>
    </row>
    <row r="1652" spans="1:7" hidden="1" x14ac:dyDescent="0.25">
      <c r="A1652" s="28">
        <v>43617</v>
      </c>
      <c r="B1652" s="27" t="s">
        <v>5</v>
      </c>
      <c r="C1652" s="27" t="s">
        <v>51</v>
      </c>
      <c r="D1652" s="27" t="s">
        <v>51</v>
      </c>
      <c r="E1652" s="27" t="s">
        <v>64</v>
      </c>
      <c r="F1652" s="29">
        <v>1390</v>
      </c>
      <c r="G1652" s="30">
        <v>9.0258324241569312</v>
      </c>
    </row>
    <row r="1653" spans="1:7" hidden="1" x14ac:dyDescent="0.25">
      <c r="A1653" s="28">
        <v>43617</v>
      </c>
      <c r="B1653" s="27" t="s">
        <v>5</v>
      </c>
      <c r="C1653" s="27" t="s">
        <v>51</v>
      </c>
      <c r="D1653" s="27" t="s">
        <v>51</v>
      </c>
      <c r="E1653" s="27" t="s">
        <v>21</v>
      </c>
      <c r="F1653" s="29">
        <v>3795</v>
      </c>
      <c r="G1653" s="30">
        <v>3.9793362941356527</v>
      </c>
    </row>
    <row r="1654" spans="1:7" hidden="1" x14ac:dyDescent="0.25">
      <c r="A1654" s="28">
        <v>43617</v>
      </c>
      <c r="B1654" s="27" t="s">
        <v>5</v>
      </c>
      <c r="C1654" s="27" t="s">
        <v>51</v>
      </c>
      <c r="D1654" s="27" t="s">
        <v>51</v>
      </c>
      <c r="E1654" s="27" t="s">
        <v>21</v>
      </c>
      <c r="F1654" s="29">
        <v>3826</v>
      </c>
      <c r="G1654" s="30">
        <v>3.6557105949411399</v>
      </c>
    </row>
    <row r="1655" spans="1:7" hidden="1" x14ac:dyDescent="0.25">
      <c r="A1655" s="28">
        <v>43617</v>
      </c>
      <c r="B1655" s="27" t="s">
        <v>5</v>
      </c>
      <c r="C1655" s="27" t="s">
        <v>51</v>
      </c>
      <c r="D1655" s="27" t="s">
        <v>51</v>
      </c>
      <c r="E1655" s="27" t="s">
        <v>10</v>
      </c>
      <c r="F1655" s="29">
        <v>3500</v>
      </c>
      <c r="G1655" s="30">
        <v>4.6846808294032769</v>
      </c>
    </row>
    <row r="1656" spans="1:7" hidden="1" x14ac:dyDescent="0.25">
      <c r="A1656" s="28">
        <v>43617</v>
      </c>
      <c r="B1656" s="27" t="s">
        <v>5</v>
      </c>
      <c r="C1656" s="27" t="s">
        <v>51</v>
      </c>
      <c r="D1656" s="27" t="s">
        <v>51</v>
      </c>
      <c r="E1656" s="27" t="s">
        <v>11</v>
      </c>
      <c r="F1656" s="29">
        <v>3080</v>
      </c>
      <c r="G1656" s="30">
        <v>3.7796481286509098</v>
      </c>
    </row>
    <row r="1657" spans="1:7" hidden="1" x14ac:dyDescent="0.25">
      <c r="A1657" s="28">
        <v>43617</v>
      </c>
      <c r="B1657" s="27" t="s">
        <v>5</v>
      </c>
      <c r="C1657" s="27" t="s">
        <v>51</v>
      </c>
      <c r="D1657" s="27" t="s">
        <v>51</v>
      </c>
      <c r="E1657" s="27" t="s">
        <v>12</v>
      </c>
      <c r="F1657" s="29">
        <v>3080</v>
      </c>
      <c r="G1657" s="30">
        <v>3.2615607368760178</v>
      </c>
    </row>
    <row r="1658" spans="1:7" hidden="1" x14ac:dyDescent="0.25">
      <c r="A1658" s="28">
        <v>43617</v>
      </c>
      <c r="B1658" s="27" t="s">
        <v>5</v>
      </c>
      <c r="C1658" s="27" t="s">
        <v>51</v>
      </c>
      <c r="D1658" s="27" t="s">
        <v>51</v>
      </c>
      <c r="E1658" s="27" t="s">
        <v>13</v>
      </c>
      <c r="F1658" s="29">
        <v>4782</v>
      </c>
      <c r="G1658" s="30">
        <v>3.3506040853711427</v>
      </c>
    </row>
    <row r="1659" spans="1:7" hidden="1" x14ac:dyDescent="0.25">
      <c r="A1659" s="28">
        <v>43617</v>
      </c>
      <c r="B1659" s="27" t="s">
        <v>5</v>
      </c>
      <c r="C1659" s="27" t="s">
        <v>51</v>
      </c>
      <c r="D1659" s="27" t="s">
        <v>51</v>
      </c>
      <c r="E1659" s="27" t="s">
        <v>14</v>
      </c>
      <c r="F1659" s="29">
        <v>1816</v>
      </c>
      <c r="G1659" s="30">
        <v>4.9860868591656393</v>
      </c>
    </row>
    <row r="1660" spans="1:7" hidden="1" x14ac:dyDescent="0.25">
      <c r="A1660" s="28">
        <v>43617</v>
      </c>
      <c r="B1660" s="27" t="s">
        <v>5</v>
      </c>
      <c r="C1660" s="27" t="s">
        <v>51</v>
      </c>
      <c r="D1660" s="27" t="s">
        <v>51</v>
      </c>
      <c r="E1660" s="27" t="s">
        <v>15</v>
      </c>
      <c r="F1660" s="29">
        <v>4042</v>
      </c>
      <c r="G1660" s="30">
        <v>3.5727540993513447</v>
      </c>
    </row>
    <row r="1661" spans="1:7" hidden="1" x14ac:dyDescent="0.25">
      <c r="A1661" s="28">
        <v>43617</v>
      </c>
      <c r="B1661" s="27" t="s">
        <v>5</v>
      </c>
      <c r="C1661" s="27" t="s">
        <v>51</v>
      </c>
      <c r="D1661" s="27" t="s">
        <v>51</v>
      </c>
      <c r="E1661" s="27" t="s">
        <v>16</v>
      </c>
      <c r="F1661" s="29">
        <v>3576</v>
      </c>
      <c r="G1661" s="30">
        <v>4.582876697309322</v>
      </c>
    </row>
    <row r="1662" spans="1:7" hidden="1" x14ac:dyDescent="0.25">
      <c r="A1662" s="28">
        <v>43617</v>
      </c>
      <c r="B1662" s="27" t="s">
        <v>5</v>
      </c>
      <c r="C1662" s="27" t="s">
        <v>51</v>
      </c>
      <c r="D1662" s="27" t="s">
        <v>51</v>
      </c>
      <c r="E1662" s="27" t="s">
        <v>17</v>
      </c>
      <c r="F1662" s="29">
        <v>4303</v>
      </c>
      <c r="G1662" s="30">
        <v>3.6914082197485794</v>
      </c>
    </row>
    <row r="1663" spans="1:7" hidden="1" x14ac:dyDescent="0.25">
      <c r="A1663" s="28">
        <v>43617</v>
      </c>
      <c r="B1663" s="27" t="s">
        <v>5</v>
      </c>
      <c r="C1663" s="27" t="s">
        <v>51</v>
      </c>
      <c r="D1663" s="27" t="s">
        <v>51</v>
      </c>
      <c r="E1663" s="27" t="s">
        <v>18</v>
      </c>
      <c r="F1663" s="29">
        <v>1126</v>
      </c>
      <c r="G1663" s="30">
        <v>9.9995777704956783</v>
      </c>
    </row>
    <row r="1664" spans="1:7" hidden="1" x14ac:dyDescent="0.25">
      <c r="A1664" s="28">
        <v>43617</v>
      </c>
      <c r="B1664" s="27" t="s">
        <v>5</v>
      </c>
      <c r="C1664" s="27" t="s">
        <v>51</v>
      </c>
      <c r="D1664" s="27" t="s">
        <v>51</v>
      </c>
      <c r="E1664" s="27" t="s">
        <v>19</v>
      </c>
      <c r="F1664" s="29">
        <v>4467</v>
      </c>
      <c r="G1664" s="30">
        <v>2.9514492357834792</v>
      </c>
    </row>
    <row r="1665" spans="1:7" hidden="1" x14ac:dyDescent="0.25">
      <c r="A1665" s="28">
        <v>43617</v>
      </c>
      <c r="B1665" s="27" t="s">
        <v>5</v>
      </c>
      <c r="C1665" s="27" t="s">
        <v>51</v>
      </c>
      <c r="D1665" s="27" t="s">
        <v>51</v>
      </c>
      <c r="E1665" s="27" t="s">
        <v>20</v>
      </c>
      <c r="F1665" s="29">
        <v>594</v>
      </c>
      <c r="G1665" s="30">
        <v>19.699464483015941</v>
      </c>
    </row>
    <row r="1666" spans="1:7" hidden="1" x14ac:dyDescent="0.25">
      <c r="A1666" s="28">
        <v>43617</v>
      </c>
      <c r="B1666" s="27" t="s">
        <v>180</v>
      </c>
      <c r="C1666" s="27" t="s">
        <v>50</v>
      </c>
      <c r="D1666" s="27" t="s">
        <v>7</v>
      </c>
      <c r="E1666" s="27" t="s">
        <v>8</v>
      </c>
      <c r="F1666" s="29"/>
      <c r="G1666" s="30">
        <v>2717</v>
      </c>
    </row>
    <row r="1667" spans="1:7" hidden="1" x14ac:dyDescent="0.25">
      <c r="A1667" s="28">
        <v>43617</v>
      </c>
      <c r="B1667" s="27" t="s">
        <v>180</v>
      </c>
      <c r="C1667" s="27" t="s">
        <v>50</v>
      </c>
      <c r="D1667" s="27" t="s">
        <v>7</v>
      </c>
      <c r="E1667" s="27" t="s">
        <v>9</v>
      </c>
      <c r="F1667" s="29"/>
      <c r="G1667" s="30">
        <v>919.51</v>
      </c>
    </row>
    <row r="1668" spans="1:7" hidden="1" x14ac:dyDescent="0.25">
      <c r="A1668" s="28">
        <v>43617</v>
      </c>
      <c r="B1668" s="27" t="s">
        <v>180</v>
      </c>
      <c r="C1668" s="27" t="s">
        <v>50</v>
      </c>
      <c r="D1668" s="27" t="s">
        <v>7</v>
      </c>
      <c r="E1668" s="27" t="s">
        <v>64</v>
      </c>
      <c r="F1668" s="29"/>
      <c r="G1668" s="30">
        <v>415</v>
      </c>
    </row>
    <row r="1669" spans="1:7" hidden="1" x14ac:dyDescent="0.25">
      <c r="A1669" s="28">
        <v>43617</v>
      </c>
      <c r="B1669" s="27" t="s">
        <v>180</v>
      </c>
      <c r="C1669" s="27" t="s">
        <v>50</v>
      </c>
      <c r="D1669" s="27" t="s">
        <v>7</v>
      </c>
      <c r="E1669" s="27" t="s">
        <v>21</v>
      </c>
      <c r="F1669" s="29"/>
      <c r="G1669" s="30">
        <v>1078</v>
      </c>
    </row>
    <row r="1670" spans="1:7" hidden="1" x14ac:dyDescent="0.25">
      <c r="A1670" s="28">
        <v>43617</v>
      </c>
      <c r="B1670" s="27" t="s">
        <v>180</v>
      </c>
      <c r="C1670" s="27" t="s">
        <v>50</v>
      </c>
      <c r="D1670" s="27" t="s">
        <v>7</v>
      </c>
      <c r="E1670" s="27" t="s">
        <v>21</v>
      </c>
      <c r="F1670" s="29"/>
      <c r="G1670" s="30">
        <v>174</v>
      </c>
    </row>
    <row r="1671" spans="1:7" hidden="1" x14ac:dyDescent="0.25">
      <c r="A1671" s="28">
        <v>43617</v>
      </c>
      <c r="B1671" s="27" t="s">
        <v>180</v>
      </c>
      <c r="C1671" s="27" t="s">
        <v>50</v>
      </c>
      <c r="D1671" s="27" t="s">
        <v>7</v>
      </c>
      <c r="E1671" s="27" t="s">
        <v>10</v>
      </c>
      <c r="F1671" s="29"/>
      <c r="G1671" s="30">
        <v>468</v>
      </c>
    </row>
    <row r="1672" spans="1:7" hidden="1" x14ac:dyDescent="0.25">
      <c r="A1672" s="28">
        <v>43617</v>
      </c>
      <c r="B1672" s="27" t="s">
        <v>180</v>
      </c>
      <c r="C1672" s="27" t="s">
        <v>50</v>
      </c>
      <c r="D1672" s="27" t="s">
        <v>7</v>
      </c>
      <c r="E1672" s="27" t="s">
        <v>11</v>
      </c>
      <c r="F1672" s="29"/>
      <c r="G1672" s="30">
        <v>1225</v>
      </c>
    </row>
    <row r="1673" spans="1:7" hidden="1" x14ac:dyDescent="0.25">
      <c r="A1673" s="28">
        <v>43617</v>
      </c>
      <c r="B1673" s="27" t="s">
        <v>180</v>
      </c>
      <c r="C1673" s="27" t="s">
        <v>50</v>
      </c>
      <c r="D1673" s="27" t="s">
        <v>7</v>
      </c>
      <c r="E1673" s="27" t="s">
        <v>13</v>
      </c>
      <c r="F1673" s="29"/>
      <c r="G1673" s="30">
        <v>258.94</v>
      </c>
    </row>
    <row r="1674" spans="1:7" hidden="1" x14ac:dyDescent="0.25">
      <c r="A1674" s="28">
        <v>43617</v>
      </c>
      <c r="B1674" s="27" t="s">
        <v>180</v>
      </c>
      <c r="C1674" s="27" t="s">
        <v>50</v>
      </c>
      <c r="D1674" s="27" t="s">
        <v>7</v>
      </c>
      <c r="E1674" s="27" t="s">
        <v>16</v>
      </c>
      <c r="F1674" s="29"/>
      <c r="G1674" s="30">
        <v>1073.8999999999999</v>
      </c>
    </row>
    <row r="1675" spans="1:7" hidden="1" x14ac:dyDescent="0.25">
      <c r="A1675" s="28">
        <v>43617</v>
      </c>
      <c r="B1675" s="27" t="s">
        <v>180</v>
      </c>
      <c r="C1675" s="27" t="s">
        <v>50</v>
      </c>
      <c r="D1675" s="27" t="s">
        <v>7</v>
      </c>
      <c r="E1675" s="27" t="s">
        <v>17</v>
      </c>
      <c r="F1675" s="29"/>
      <c r="G1675" s="30">
        <v>167.52</v>
      </c>
    </row>
    <row r="1676" spans="1:7" hidden="1" x14ac:dyDescent="0.25">
      <c r="A1676" s="28">
        <v>43617</v>
      </c>
      <c r="B1676" s="27" t="s">
        <v>180</v>
      </c>
      <c r="C1676" s="27" t="s">
        <v>50</v>
      </c>
      <c r="D1676" s="27" t="s">
        <v>7</v>
      </c>
      <c r="E1676" s="27" t="s">
        <v>19</v>
      </c>
      <c r="F1676" s="29"/>
      <c r="G1676" s="30">
        <v>163.98</v>
      </c>
    </row>
    <row r="1677" spans="1:7" hidden="1" x14ac:dyDescent="0.25">
      <c r="A1677" s="28">
        <v>43617</v>
      </c>
      <c r="B1677" s="27" t="s">
        <v>180</v>
      </c>
      <c r="C1677" s="27" t="s">
        <v>50</v>
      </c>
      <c r="D1677" s="27" t="s">
        <v>7</v>
      </c>
      <c r="E1677" s="27" t="s">
        <v>20</v>
      </c>
      <c r="F1677" s="29"/>
      <c r="G1677" s="30">
        <v>750</v>
      </c>
    </row>
    <row r="1678" spans="1:7" hidden="1" x14ac:dyDescent="0.25">
      <c r="A1678" s="28">
        <v>43617</v>
      </c>
      <c r="B1678" s="27" t="s">
        <v>180</v>
      </c>
      <c r="C1678" s="27" t="s">
        <v>50</v>
      </c>
      <c r="D1678" s="27" t="s">
        <v>7</v>
      </c>
      <c r="E1678" s="27" t="s">
        <v>204</v>
      </c>
      <c r="F1678" s="29"/>
      <c r="G1678" s="30">
        <v>300</v>
      </c>
    </row>
    <row r="1679" spans="1:7" hidden="1" x14ac:dyDescent="0.25">
      <c r="A1679" s="28">
        <v>43617</v>
      </c>
      <c r="B1679" s="27" t="s">
        <v>180</v>
      </c>
      <c r="C1679" s="27" t="s">
        <v>50</v>
      </c>
      <c r="D1679" s="27" t="s">
        <v>7</v>
      </c>
      <c r="E1679" s="27" t="s">
        <v>37</v>
      </c>
      <c r="F1679" s="29"/>
      <c r="G1679" s="30">
        <v>600</v>
      </c>
    </row>
    <row r="1680" spans="1:7" hidden="1" x14ac:dyDescent="0.25">
      <c r="A1680" s="28">
        <v>43617</v>
      </c>
      <c r="B1680" s="27" t="s">
        <v>181</v>
      </c>
      <c r="C1680" s="27" t="s">
        <v>50</v>
      </c>
      <c r="D1680" s="27" t="s">
        <v>6</v>
      </c>
      <c r="E1680" s="27" t="s">
        <v>15</v>
      </c>
      <c r="F1680" s="29"/>
      <c r="G1680" s="30">
        <v>1258</v>
      </c>
    </row>
    <row r="1681" spans="1:7" hidden="1" x14ac:dyDescent="0.25">
      <c r="A1681" s="28">
        <v>43617</v>
      </c>
      <c r="B1681" s="27" t="s">
        <v>181</v>
      </c>
      <c r="C1681" s="27" t="s">
        <v>50</v>
      </c>
      <c r="D1681" s="27" t="s">
        <v>6</v>
      </c>
      <c r="E1681" s="27" t="s">
        <v>16</v>
      </c>
      <c r="F1681" s="29"/>
      <c r="G1681" s="30">
        <v>850.2</v>
      </c>
    </row>
    <row r="1682" spans="1:7" hidden="1" x14ac:dyDescent="0.25">
      <c r="A1682" s="28">
        <v>43617</v>
      </c>
      <c r="B1682" s="27" t="s">
        <v>25</v>
      </c>
      <c r="C1682" s="27" t="s">
        <v>50</v>
      </c>
      <c r="D1682" s="27" t="s">
        <v>7</v>
      </c>
      <c r="E1682" s="27" t="s">
        <v>8</v>
      </c>
      <c r="F1682" s="29"/>
      <c r="G1682" s="30">
        <v>29.713888888888885</v>
      </c>
    </row>
    <row r="1683" spans="1:7" hidden="1" x14ac:dyDescent="0.25">
      <c r="A1683" s="28">
        <v>43617</v>
      </c>
      <c r="B1683" s="27" t="s">
        <v>25</v>
      </c>
      <c r="C1683" s="27" t="s">
        <v>50</v>
      </c>
      <c r="D1683" s="27" t="s">
        <v>7</v>
      </c>
      <c r="E1683" s="27" t="s">
        <v>9</v>
      </c>
      <c r="F1683" s="29"/>
      <c r="G1683" s="30">
        <v>29.713888888888885</v>
      </c>
    </row>
    <row r="1684" spans="1:7" hidden="1" x14ac:dyDescent="0.25">
      <c r="A1684" s="28">
        <v>43617</v>
      </c>
      <c r="B1684" s="27" t="s">
        <v>25</v>
      </c>
      <c r="C1684" s="27" t="s">
        <v>50</v>
      </c>
      <c r="D1684" s="27" t="s">
        <v>7</v>
      </c>
      <c r="E1684" s="27" t="s">
        <v>64</v>
      </c>
      <c r="F1684" s="29"/>
      <c r="G1684" s="30">
        <v>29.713888888888885</v>
      </c>
    </row>
    <row r="1685" spans="1:7" hidden="1" x14ac:dyDescent="0.25">
      <c r="A1685" s="28">
        <v>43617</v>
      </c>
      <c r="B1685" s="27" t="s">
        <v>25</v>
      </c>
      <c r="C1685" s="27" t="s">
        <v>50</v>
      </c>
      <c r="D1685" s="27" t="s">
        <v>7</v>
      </c>
      <c r="E1685" s="27" t="s">
        <v>21</v>
      </c>
      <c r="F1685" s="29"/>
      <c r="G1685" s="30">
        <v>29.713888888888885</v>
      </c>
    </row>
    <row r="1686" spans="1:7" hidden="1" x14ac:dyDescent="0.25">
      <c r="A1686" s="28">
        <v>43617</v>
      </c>
      <c r="B1686" s="27" t="s">
        <v>25</v>
      </c>
      <c r="C1686" s="27" t="s">
        <v>50</v>
      </c>
      <c r="D1686" s="27" t="s">
        <v>7</v>
      </c>
      <c r="E1686" s="27" t="s">
        <v>21</v>
      </c>
      <c r="F1686" s="29"/>
      <c r="G1686" s="30">
        <v>29.713888888888885</v>
      </c>
    </row>
    <row r="1687" spans="1:7" hidden="1" x14ac:dyDescent="0.25">
      <c r="A1687" s="28">
        <v>43617</v>
      </c>
      <c r="B1687" s="27" t="s">
        <v>25</v>
      </c>
      <c r="C1687" s="27" t="s">
        <v>50</v>
      </c>
      <c r="D1687" s="27" t="s">
        <v>7</v>
      </c>
      <c r="E1687" s="27" t="s">
        <v>10</v>
      </c>
      <c r="F1687" s="29"/>
      <c r="G1687" s="30">
        <v>29.713888888888885</v>
      </c>
    </row>
    <row r="1688" spans="1:7" hidden="1" x14ac:dyDescent="0.25">
      <c r="A1688" s="28">
        <v>43617</v>
      </c>
      <c r="B1688" s="27" t="s">
        <v>25</v>
      </c>
      <c r="C1688" s="27" t="s">
        <v>50</v>
      </c>
      <c r="D1688" s="27" t="s">
        <v>7</v>
      </c>
      <c r="E1688" s="27" t="s">
        <v>11</v>
      </c>
      <c r="F1688" s="29"/>
      <c r="G1688" s="30">
        <v>29.713888888888885</v>
      </c>
    </row>
    <row r="1689" spans="1:7" hidden="1" x14ac:dyDescent="0.25">
      <c r="A1689" s="28">
        <v>43617</v>
      </c>
      <c r="B1689" s="27" t="s">
        <v>25</v>
      </c>
      <c r="C1689" s="27" t="s">
        <v>50</v>
      </c>
      <c r="D1689" s="27" t="s">
        <v>7</v>
      </c>
      <c r="E1689" s="27" t="s">
        <v>12</v>
      </c>
      <c r="F1689" s="29"/>
      <c r="G1689" s="30">
        <v>29.713888888888885</v>
      </c>
    </row>
    <row r="1690" spans="1:7" hidden="1" x14ac:dyDescent="0.25">
      <c r="A1690" s="28">
        <v>43617</v>
      </c>
      <c r="B1690" s="27" t="s">
        <v>25</v>
      </c>
      <c r="C1690" s="27" t="s">
        <v>50</v>
      </c>
      <c r="D1690" s="27" t="s">
        <v>7</v>
      </c>
      <c r="E1690" s="27" t="s">
        <v>13</v>
      </c>
      <c r="F1690" s="29"/>
      <c r="G1690" s="30">
        <v>29.713888888888885</v>
      </c>
    </row>
    <row r="1691" spans="1:7" hidden="1" x14ac:dyDescent="0.25">
      <c r="A1691" s="28">
        <v>43617</v>
      </c>
      <c r="B1691" s="27" t="s">
        <v>25</v>
      </c>
      <c r="C1691" s="27" t="s">
        <v>50</v>
      </c>
      <c r="D1691" s="27" t="s">
        <v>7</v>
      </c>
      <c r="E1691" s="27" t="s">
        <v>14</v>
      </c>
      <c r="F1691" s="29"/>
      <c r="G1691" s="30">
        <v>29.713888888888885</v>
      </c>
    </row>
    <row r="1692" spans="1:7" hidden="1" x14ac:dyDescent="0.25">
      <c r="A1692" s="28">
        <v>43617</v>
      </c>
      <c r="B1692" s="27" t="s">
        <v>25</v>
      </c>
      <c r="C1692" s="27" t="s">
        <v>50</v>
      </c>
      <c r="D1692" s="27" t="s">
        <v>7</v>
      </c>
      <c r="E1692" s="27" t="s">
        <v>15</v>
      </c>
      <c r="F1692" s="29"/>
      <c r="G1692" s="30">
        <v>29.713888888888885</v>
      </c>
    </row>
    <row r="1693" spans="1:7" hidden="1" x14ac:dyDescent="0.25">
      <c r="A1693" s="28">
        <v>43617</v>
      </c>
      <c r="B1693" s="27" t="s">
        <v>25</v>
      </c>
      <c r="C1693" s="27" t="s">
        <v>50</v>
      </c>
      <c r="D1693" s="27" t="s">
        <v>7</v>
      </c>
      <c r="E1693" s="27" t="s">
        <v>16</v>
      </c>
      <c r="F1693" s="29"/>
      <c r="G1693" s="30">
        <v>29.713888888888885</v>
      </c>
    </row>
    <row r="1694" spans="1:7" hidden="1" x14ac:dyDescent="0.25">
      <c r="A1694" s="28">
        <v>43617</v>
      </c>
      <c r="B1694" s="27" t="s">
        <v>25</v>
      </c>
      <c r="C1694" s="27" t="s">
        <v>50</v>
      </c>
      <c r="D1694" s="27" t="s">
        <v>7</v>
      </c>
      <c r="E1694" s="27" t="s">
        <v>17</v>
      </c>
      <c r="F1694" s="29"/>
      <c r="G1694" s="30">
        <v>29.713888888888885</v>
      </c>
    </row>
    <row r="1695" spans="1:7" hidden="1" x14ac:dyDescent="0.25">
      <c r="A1695" s="28">
        <v>43617</v>
      </c>
      <c r="B1695" s="27" t="s">
        <v>25</v>
      </c>
      <c r="C1695" s="27" t="s">
        <v>50</v>
      </c>
      <c r="D1695" s="27" t="s">
        <v>7</v>
      </c>
      <c r="E1695" s="27" t="s">
        <v>18</v>
      </c>
      <c r="F1695" s="29"/>
      <c r="G1695" s="30">
        <v>29.713888888888885</v>
      </c>
    </row>
    <row r="1696" spans="1:7" hidden="1" x14ac:dyDescent="0.25">
      <c r="A1696" s="28">
        <v>43617</v>
      </c>
      <c r="B1696" s="27" t="s">
        <v>25</v>
      </c>
      <c r="C1696" s="27" t="s">
        <v>50</v>
      </c>
      <c r="D1696" s="27" t="s">
        <v>7</v>
      </c>
      <c r="E1696" s="27" t="s">
        <v>19</v>
      </c>
      <c r="F1696" s="29"/>
      <c r="G1696" s="30">
        <v>29.713888888888885</v>
      </c>
    </row>
    <row r="1697" spans="1:7" hidden="1" x14ac:dyDescent="0.25">
      <c r="A1697" s="28">
        <v>43617</v>
      </c>
      <c r="B1697" s="27" t="s">
        <v>25</v>
      </c>
      <c r="C1697" s="27" t="s">
        <v>50</v>
      </c>
      <c r="D1697" s="27" t="s">
        <v>7</v>
      </c>
      <c r="E1697" s="27" t="s">
        <v>20</v>
      </c>
      <c r="F1697" s="29"/>
      <c r="G1697" s="30">
        <v>29.713888888888885</v>
      </c>
    </row>
    <row r="1698" spans="1:7" hidden="1" x14ac:dyDescent="0.25">
      <c r="A1698" s="28">
        <v>43617</v>
      </c>
      <c r="B1698" s="27" t="s">
        <v>25</v>
      </c>
      <c r="C1698" s="27" t="s">
        <v>50</v>
      </c>
      <c r="D1698" s="27" t="s">
        <v>7</v>
      </c>
      <c r="E1698" s="27" t="s">
        <v>204</v>
      </c>
      <c r="F1698" s="29"/>
      <c r="G1698" s="30">
        <v>29.713888888888885</v>
      </c>
    </row>
    <row r="1699" spans="1:7" hidden="1" x14ac:dyDescent="0.25">
      <c r="A1699" s="28">
        <v>43617</v>
      </c>
      <c r="B1699" s="27" t="s">
        <v>25</v>
      </c>
      <c r="C1699" s="27" t="s">
        <v>50</v>
      </c>
      <c r="D1699" s="27" t="s">
        <v>7</v>
      </c>
      <c r="E1699" s="27" t="s">
        <v>205</v>
      </c>
      <c r="F1699" s="29"/>
      <c r="G1699" s="30">
        <v>29.713888888888885</v>
      </c>
    </row>
    <row r="1700" spans="1:7" hidden="1" x14ac:dyDescent="0.25">
      <c r="A1700" s="28">
        <v>43617</v>
      </c>
      <c r="B1700" s="27" t="s">
        <v>2</v>
      </c>
      <c r="C1700" s="27" t="s">
        <v>50</v>
      </c>
      <c r="D1700" s="27" t="s">
        <v>7</v>
      </c>
      <c r="E1700" s="27" t="s">
        <v>8</v>
      </c>
      <c r="F1700" s="29"/>
      <c r="G1700" s="30">
        <v>307.76</v>
      </c>
    </row>
    <row r="1701" spans="1:7" hidden="1" x14ac:dyDescent="0.25">
      <c r="A1701" s="28">
        <v>43617</v>
      </c>
      <c r="B1701" s="27" t="s">
        <v>2</v>
      </c>
      <c r="C1701" s="27" t="s">
        <v>50</v>
      </c>
      <c r="D1701" s="27" t="s">
        <v>7</v>
      </c>
      <c r="E1701" s="27" t="s">
        <v>9</v>
      </c>
      <c r="F1701" s="29"/>
      <c r="G1701" s="30">
        <v>730.42</v>
      </c>
    </row>
    <row r="1702" spans="1:7" hidden="1" x14ac:dyDescent="0.25">
      <c r="A1702" s="28">
        <v>43617</v>
      </c>
      <c r="B1702" s="27" t="s">
        <v>2</v>
      </c>
      <c r="C1702" s="27" t="s">
        <v>50</v>
      </c>
      <c r="D1702" s="27" t="s">
        <v>7</v>
      </c>
      <c r="E1702" s="27" t="s">
        <v>64</v>
      </c>
      <c r="F1702" s="29"/>
      <c r="G1702" s="30">
        <v>503.16</v>
      </c>
    </row>
    <row r="1703" spans="1:7" hidden="1" x14ac:dyDescent="0.25">
      <c r="A1703" s="28">
        <v>43617</v>
      </c>
      <c r="B1703" s="27" t="s">
        <v>2</v>
      </c>
      <c r="C1703" s="27" t="s">
        <v>50</v>
      </c>
      <c r="D1703" s="27" t="s">
        <v>7</v>
      </c>
      <c r="E1703" s="27" t="s">
        <v>21</v>
      </c>
      <c r="F1703" s="29"/>
      <c r="G1703" s="30">
        <v>1052.3599999999999</v>
      </c>
    </row>
    <row r="1704" spans="1:7" hidden="1" x14ac:dyDescent="0.25">
      <c r="A1704" s="28">
        <v>43617</v>
      </c>
      <c r="B1704" s="27" t="s">
        <v>2</v>
      </c>
      <c r="C1704" s="27" t="s">
        <v>50</v>
      </c>
      <c r="D1704" s="27" t="s">
        <v>7</v>
      </c>
      <c r="E1704" s="27" t="s">
        <v>21</v>
      </c>
      <c r="F1704" s="29"/>
      <c r="G1704" s="30">
        <v>743.16</v>
      </c>
    </row>
    <row r="1705" spans="1:7" hidden="1" x14ac:dyDescent="0.25">
      <c r="A1705" s="28">
        <v>43617</v>
      </c>
      <c r="B1705" s="27" t="s">
        <v>2</v>
      </c>
      <c r="C1705" s="27" t="s">
        <v>50</v>
      </c>
      <c r="D1705" s="27" t="s">
        <v>7</v>
      </c>
      <c r="E1705" s="27" t="s">
        <v>10</v>
      </c>
      <c r="F1705" s="29"/>
      <c r="G1705" s="30">
        <v>1122.8599999999999</v>
      </c>
    </row>
    <row r="1706" spans="1:7" hidden="1" x14ac:dyDescent="0.25">
      <c r="A1706" s="28">
        <v>43617</v>
      </c>
      <c r="B1706" s="27" t="s">
        <v>2</v>
      </c>
      <c r="C1706" s="27" t="s">
        <v>50</v>
      </c>
      <c r="D1706" s="27" t="s">
        <v>7</v>
      </c>
      <c r="E1706" s="27" t="s">
        <v>11</v>
      </c>
      <c r="F1706" s="29"/>
      <c r="G1706" s="30">
        <v>340.26</v>
      </c>
    </row>
    <row r="1707" spans="1:7" hidden="1" x14ac:dyDescent="0.25">
      <c r="A1707" s="28">
        <v>43617</v>
      </c>
      <c r="B1707" s="27" t="s">
        <v>2</v>
      </c>
      <c r="C1707" s="27" t="s">
        <v>50</v>
      </c>
      <c r="D1707" s="27" t="s">
        <v>7</v>
      </c>
      <c r="E1707" s="27" t="s">
        <v>12</v>
      </c>
      <c r="F1707" s="29"/>
      <c r="G1707" s="30">
        <v>258.95999999999998</v>
      </c>
    </row>
    <row r="1708" spans="1:7" hidden="1" x14ac:dyDescent="0.25">
      <c r="A1708" s="28">
        <v>43617</v>
      </c>
      <c r="B1708" s="27" t="s">
        <v>2</v>
      </c>
      <c r="C1708" s="27" t="s">
        <v>50</v>
      </c>
      <c r="D1708" s="27" t="s">
        <v>7</v>
      </c>
      <c r="E1708" s="27" t="s">
        <v>13</v>
      </c>
      <c r="F1708" s="29"/>
      <c r="G1708" s="30">
        <v>1438.36</v>
      </c>
    </row>
    <row r="1709" spans="1:7" hidden="1" x14ac:dyDescent="0.25">
      <c r="A1709" s="28">
        <v>43617</v>
      </c>
      <c r="B1709" s="27" t="s">
        <v>2</v>
      </c>
      <c r="C1709" s="27" t="s">
        <v>50</v>
      </c>
      <c r="D1709" s="27" t="s">
        <v>7</v>
      </c>
      <c r="E1709" s="27" t="s">
        <v>14</v>
      </c>
      <c r="F1709" s="29"/>
      <c r="G1709" s="30">
        <v>174.47</v>
      </c>
    </row>
    <row r="1710" spans="1:7" hidden="1" x14ac:dyDescent="0.25">
      <c r="A1710" s="28">
        <v>43617</v>
      </c>
      <c r="B1710" s="27" t="s">
        <v>2</v>
      </c>
      <c r="C1710" s="27" t="s">
        <v>50</v>
      </c>
      <c r="D1710" s="27" t="s">
        <v>7</v>
      </c>
      <c r="E1710" s="27" t="s">
        <v>15</v>
      </c>
      <c r="F1710" s="29"/>
      <c r="G1710" s="30">
        <v>764.42</v>
      </c>
    </row>
    <row r="1711" spans="1:7" hidden="1" x14ac:dyDescent="0.25">
      <c r="A1711" s="28">
        <v>43617</v>
      </c>
      <c r="B1711" s="27" t="s">
        <v>2</v>
      </c>
      <c r="C1711" s="27" t="s">
        <v>50</v>
      </c>
      <c r="D1711" s="27" t="s">
        <v>7</v>
      </c>
      <c r="E1711" s="27" t="s">
        <v>16</v>
      </c>
      <c r="F1711" s="29"/>
      <c r="G1711" s="30">
        <v>750.62</v>
      </c>
    </row>
    <row r="1712" spans="1:7" hidden="1" x14ac:dyDescent="0.25">
      <c r="A1712" s="28">
        <v>43617</v>
      </c>
      <c r="B1712" s="27" t="s">
        <v>2</v>
      </c>
      <c r="C1712" s="27" t="s">
        <v>50</v>
      </c>
      <c r="D1712" s="27" t="s">
        <v>7</v>
      </c>
      <c r="E1712" s="27" t="s">
        <v>17</v>
      </c>
      <c r="F1712" s="29"/>
      <c r="G1712" s="30">
        <v>933.02</v>
      </c>
    </row>
    <row r="1713" spans="1:7" hidden="1" x14ac:dyDescent="0.25">
      <c r="A1713" s="28">
        <v>43617</v>
      </c>
      <c r="B1713" s="27" t="s">
        <v>2</v>
      </c>
      <c r="C1713" s="27" t="s">
        <v>50</v>
      </c>
      <c r="D1713" s="27" t="s">
        <v>7</v>
      </c>
      <c r="E1713" s="27" t="s">
        <v>18</v>
      </c>
      <c r="F1713" s="29"/>
      <c r="G1713" s="30">
        <v>340.77</v>
      </c>
    </row>
    <row r="1714" spans="1:7" hidden="1" x14ac:dyDescent="0.25">
      <c r="A1714" s="28">
        <v>43617</v>
      </c>
      <c r="B1714" s="27" t="s">
        <v>2</v>
      </c>
      <c r="C1714" s="27" t="s">
        <v>50</v>
      </c>
      <c r="D1714" s="27" t="s">
        <v>7</v>
      </c>
      <c r="E1714" s="27" t="s">
        <v>19</v>
      </c>
      <c r="F1714" s="29"/>
      <c r="G1714" s="30">
        <v>576.41999999999996</v>
      </c>
    </row>
    <row r="1715" spans="1:7" hidden="1" x14ac:dyDescent="0.25">
      <c r="A1715" s="28">
        <v>43617</v>
      </c>
      <c r="B1715" s="27" t="s">
        <v>2</v>
      </c>
      <c r="C1715" s="27" t="s">
        <v>50</v>
      </c>
      <c r="D1715" s="27" t="s">
        <v>7</v>
      </c>
      <c r="E1715" s="27" t="s">
        <v>20</v>
      </c>
      <c r="F1715" s="29"/>
      <c r="G1715" s="30">
        <v>180.77</v>
      </c>
    </row>
    <row r="1716" spans="1:7" hidden="1" x14ac:dyDescent="0.25">
      <c r="A1716" s="28">
        <v>43617</v>
      </c>
      <c r="B1716" s="27" t="s">
        <v>2</v>
      </c>
      <c r="C1716" s="27" t="s">
        <v>50</v>
      </c>
      <c r="D1716" s="27" t="s">
        <v>7</v>
      </c>
      <c r="E1716" s="27" t="s">
        <v>204</v>
      </c>
      <c r="F1716" s="29"/>
      <c r="G1716" s="30">
        <v>24.17</v>
      </c>
    </row>
    <row r="1717" spans="1:7" hidden="1" x14ac:dyDescent="0.25">
      <c r="A1717" s="28">
        <v>43617</v>
      </c>
      <c r="B1717" s="27" t="s">
        <v>36</v>
      </c>
      <c r="C1717" s="27" t="s">
        <v>50</v>
      </c>
      <c r="D1717" s="27" t="s">
        <v>6</v>
      </c>
      <c r="E1717" s="27" t="s">
        <v>8</v>
      </c>
      <c r="F1717" s="29"/>
      <c r="G1717" s="30">
        <v>436.62</v>
      </c>
    </row>
    <row r="1718" spans="1:7" hidden="1" x14ac:dyDescent="0.25">
      <c r="A1718" s="28">
        <v>43617</v>
      </c>
      <c r="B1718" s="27" t="s">
        <v>36</v>
      </c>
      <c r="C1718" s="27" t="s">
        <v>50</v>
      </c>
      <c r="D1718" s="27" t="s">
        <v>6</v>
      </c>
      <c r="E1718" s="27" t="s">
        <v>9</v>
      </c>
      <c r="F1718" s="29"/>
      <c r="G1718" s="30">
        <v>54.5</v>
      </c>
    </row>
    <row r="1719" spans="1:7" hidden="1" x14ac:dyDescent="0.25">
      <c r="A1719" s="28">
        <v>43617</v>
      </c>
      <c r="B1719" s="27" t="s">
        <v>36</v>
      </c>
      <c r="C1719" s="27" t="s">
        <v>50</v>
      </c>
      <c r="D1719" s="27" t="s">
        <v>6</v>
      </c>
      <c r="E1719" s="27" t="s">
        <v>64</v>
      </c>
      <c r="F1719" s="29"/>
      <c r="G1719" s="30">
        <v>54.5</v>
      </c>
    </row>
    <row r="1720" spans="1:7" hidden="1" x14ac:dyDescent="0.25">
      <c r="A1720" s="28">
        <v>43617</v>
      </c>
      <c r="B1720" s="27" t="s">
        <v>36</v>
      </c>
      <c r="C1720" s="27" t="s">
        <v>50</v>
      </c>
      <c r="D1720" s="27" t="s">
        <v>6</v>
      </c>
      <c r="E1720" s="27" t="s">
        <v>21</v>
      </c>
      <c r="F1720" s="29"/>
      <c r="G1720" s="30">
        <v>92.28</v>
      </c>
    </row>
    <row r="1721" spans="1:7" hidden="1" x14ac:dyDescent="0.25">
      <c r="A1721" s="28">
        <v>43617</v>
      </c>
      <c r="B1721" s="27" t="s">
        <v>36</v>
      </c>
      <c r="C1721" s="27" t="s">
        <v>50</v>
      </c>
      <c r="D1721" s="27" t="s">
        <v>6</v>
      </c>
      <c r="E1721" s="27" t="s">
        <v>21</v>
      </c>
      <c r="F1721" s="29"/>
      <c r="G1721" s="30">
        <v>92.28</v>
      </c>
    </row>
    <row r="1722" spans="1:7" hidden="1" x14ac:dyDescent="0.25">
      <c r="A1722" s="28">
        <v>43617</v>
      </c>
      <c r="B1722" s="27" t="s">
        <v>36</v>
      </c>
      <c r="C1722" s="27" t="s">
        <v>50</v>
      </c>
      <c r="D1722" s="27" t="s">
        <v>6</v>
      </c>
      <c r="E1722" s="27" t="s">
        <v>10</v>
      </c>
      <c r="F1722" s="29"/>
      <c r="G1722" s="30">
        <v>436.62</v>
      </c>
    </row>
    <row r="1723" spans="1:7" hidden="1" x14ac:dyDescent="0.25">
      <c r="A1723" s="28">
        <v>43617</v>
      </c>
      <c r="B1723" s="27" t="s">
        <v>36</v>
      </c>
      <c r="C1723" s="27" t="s">
        <v>50</v>
      </c>
      <c r="D1723" s="27" t="s">
        <v>6</v>
      </c>
      <c r="E1723" s="27" t="s">
        <v>11</v>
      </c>
      <c r="F1723" s="29"/>
      <c r="G1723" s="30">
        <v>73.88</v>
      </c>
    </row>
    <row r="1724" spans="1:7" hidden="1" x14ac:dyDescent="0.25">
      <c r="A1724" s="28">
        <v>43617</v>
      </c>
      <c r="B1724" s="27" t="s">
        <v>36</v>
      </c>
      <c r="C1724" s="27" t="s">
        <v>50</v>
      </c>
      <c r="D1724" s="27" t="s">
        <v>6</v>
      </c>
      <c r="E1724" s="27" t="s">
        <v>12</v>
      </c>
      <c r="F1724" s="29"/>
      <c r="G1724" s="30">
        <v>73.88</v>
      </c>
    </row>
    <row r="1725" spans="1:7" hidden="1" x14ac:dyDescent="0.25">
      <c r="A1725" s="28">
        <v>43617</v>
      </c>
      <c r="B1725" s="27" t="s">
        <v>36</v>
      </c>
      <c r="C1725" s="27" t="s">
        <v>50</v>
      </c>
      <c r="D1725" s="27" t="s">
        <v>6</v>
      </c>
      <c r="E1725" s="27" t="s">
        <v>13</v>
      </c>
      <c r="F1725" s="29"/>
      <c r="G1725" s="30">
        <v>54.5</v>
      </c>
    </row>
    <row r="1726" spans="1:7" hidden="1" x14ac:dyDescent="0.25">
      <c r="A1726" s="28">
        <v>43617</v>
      </c>
      <c r="B1726" s="27" t="s">
        <v>36</v>
      </c>
      <c r="C1726" s="27" t="s">
        <v>50</v>
      </c>
      <c r="D1726" s="27" t="s">
        <v>6</v>
      </c>
      <c r="E1726" s="27" t="s">
        <v>14</v>
      </c>
      <c r="F1726" s="29"/>
      <c r="G1726" s="30">
        <v>73.88</v>
      </c>
    </row>
    <row r="1727" spans="1:7" hidden="1" x14ac:dyDescent="0.25">
      <c r="A1727" s="28">
        <v>43617</v>
      </c>
      <c r="B1727" s="27" t="s">
        <v>36</v>
      </c>
      <c r="C1727" s="27" t="s">
        <v>50</v>
      </c>
      <c r="D1727" s="27" t="s">
        <v>6</v>
      </c>
      <c r="E1727" s="27" t="s">
        <v>15</v>
      </c>
      <c r="F1727" s="29"/>
      <c r="G1727" s="30">
        <v>54.5</v>
      </c>
    </row>
    <row r="1728" spans="1:7" hidden="1" x14ac:dyDescent="0.25">
      <c r="A1728" s="28">
        <v>43617</v>
      </c>
      <c r="B1728" s="27" t="s">
        <v>36</v>
      </c>
      <c r="C1728" s="27" t="s">
        <v>50</v>
      </c>
      <c r="D1728" s="27" t="s">
        <v>6</v>
      </c>
      <c r="E1728" s="27" t="s">
        <v>16</v>
      </c>
      <c r="F1728" s="29"/>
      <c r="G1728" s="30">
        <v>54.5</v>
      </c>
    </row>
    <row r="1729" spans="1:7" hidden="1" x14ac:dyDescent="0.25">
      <c r="A1729" s="28">
        <v>43617</v>
      </c>
      <c r="B1729" s="27" t="s">
        <v>36</v>
      </c>
      <c r="C1729" s="27" t="s">
        <v>50</v>
      </c>
      <c r="D1729" s="27" t="s">
        <v>6</v>
      </c>
      <c r="E1729" s="27" t="s">
        <v>17</v>
      </c>
      <c r="F1729" s="29"/>
      <c r="G1729" s="30">
        <v>152</v>
      </c>
    </row>
    <row r="1730" spans="1:7" hidden="1" x14ac:dyDescent="0.25">
      <c r="A1730" s="28">
        <v>43617</v>
      </c>
      <c r="B1730" s="27" t="s">
        <v>36</v>
      </c>
      <c r="C1730" s="27" t="s">
        <v>50</v>
      </c>
      <c r="D1730" s="27" t="s">
        <v>6</v>
      </c>
      <c r="E1730" s="27" t="s">
        <v>18</v>
      </c>
      <c r="F1730" s="29"/>
      <c r="G1730" s="30">
        <v>54.5</v>
      </c>
    </row>
    <row r="1731" spans="1:7" hidden="1" x14ac:dyDescent="0.25">
      <c r="A1731" s="28">
        <v>43617</v>
      </c>
      <c r="B1731" s="27" t="s">
        <v>36</v>
      </c>
      <c r="C1731" s="27" t="s">
        <v>50</v>
      </c>
      <c r="D1731" s="27" t="s">
        <v>6</v>
      </c>
      <c r="E1731" s="27" t="s">
        <v>19</v>
      </c>
      <c r="F1731" s="29"/>
      <c r="G1731" s="30">
        <v>54.5</v>
      </c>
    </row>
    <row r="1732" spans="1:7" hidden="1" x14ac:dyDescent="0.25">
      <c r="A1732" s="28">
        <v>43617</v>
      </c>
      <c r="B1732" s="27" t="s">
        <v>36</v>
      </c>
      <c r="C1732" s="27" t="s">
        <v>50</v>
      </c>
      <c r="D1732" s="27" t="s">
        <v>6</v>
      </c>
      <c r="E1732" s="27" t="s">
        <v>20</v>
      </c>
      <c r="F1732" s="29"/>
      <c r="G1732" s="30">
        <v>56</v>
      </c>
    </row>
    <row r="1733" spans="1:7" hidden="1" x14ac:dyDescent="0.25">
      <c r="A1733" s="28">
        <v>43617</v>
      </c>
      <c r="B1733" s="27" t="s">
        <v>200</v>
      </c>
      <c r="C1733" s="27" t="s">
        <v>53</v>
      </c>
      <c r="D1733" s="27" t="s">
        <v>6</v>
      </c>
      <c r="E1733" s="27" t="s">
        <v>8</v>
      </c>
      <c r="F1733" s="29"/>
      <c r="G1733" s="30">
        <f t="shared" ref="G1733:G1750" si="30">7847.77777777778/18</f>
        <v>435.98765432098776</v>
      </c>
    </row>
    <row r="1734" spans="1:7" hidden="1" x14ac:dyDescent="0.25">
      <c r="A1734" s="28">
        <v>43617</v>
      </c>
      <c r="B1734" s="27" t="s">
        <v>200</v>
      </c>
      <c r="C1734" s="27" t="s">
        <v>53</v>
      </c>
      <c r="D1734" s="27" t="s">
        <v>6</v>
      </c>
      <c r="E1734" s="27" t="s">
        <v>9</v>
      </c>
      <c r="F1734" s="29"/>
      <c r="G1734" s="30">
        <f t="shared" si="30"/>
        <v>435.98765432098776</v>
      </c>
    </row>
    <row r="1735" spans="1:7" hidden="1" x14ac:dyDescent="0.25">
      <c r="A1735" s="28">
        <v>43617</v>
      </c>
      <c r="B1735" s="27" t="s">
        <v>200</v>
      </c>
      <c r="C1735" s="27" t="s">
        <v>53</v>
      </c>
      <c r="D1735" s="27" t="s">
        <v>6</v>
      </c>
      <c r="E1735" s="27" t="s">
        <v>64</v>
      </c>
      <c r="F1735" s="29"/>
      <c r="G1735" s="30">
        <f t="shared" si="30"/>
        <v>435.98765432098776</v>
      </c>
    </row>
    <row r="1736" spans="1:7" hidden="1" x14ac:dyDescent="0.25">
      <c r="A1736" s="28">
        <v>43617</v>
      </c>
      <c r="B1736" s="27" t="s">
        <v>200</v>
      </c>
      <c r="C1736" s="27" t="s">
        <v>53</v>
      </c>
      <c r="D1736" s="27" t="s">
        <v>6</v>
      </c>
      <c r="E1736" s="27" t="s">
        <v>21</v>
      </c>
      <c r="F1736" s="29"/>
      <c r="G1736" s="30">
        <f t="shared" si="30"/>
        <v>435.98765432098776</v>
      </c>
    </row>
    <row r="1737" spans="1:7" hidden="1" x14ac:dyDescent="0.25">
      <c r="A1737" s="28">
        <v>43617</v>
      </c>
      <c r="B1737" s="27" t="s">
        <v>200</v>
      </c>
      <c r="C1737" s="27" t="s">
        <v>53</v>
      </c>
      <c r="D1737" s="27" t="s">
        <v>6</v>
      </c>
      <c r="E1737" s="27" t="s">
        <v>21</v>
      </c>
      <c r="F1737" s="29"/>
      <c r="G1737" s="30">
        <f t="shared" si="30"/>
        <v>435.98765432098776</v>
      </c>
    </row>
    <row r="1738" spans="1:7" hidden="1" x14ac:dyDescent="0.25">
      <c r="A1738" s="28">
        <v>43617</v>
      </c>
      <c r="B1738" s="27" t="s">
        <v>200</v>
      </c>
      <c r="C1738" s="27" t="s">
        <v>53</v>
      </c>
      <c r="D1738" s="27" t="s">
        <v>6</v>
      </c>
      <c r="E1738" s="27" t="s">
        <v>10</v>
      </c>
      <c r="F1738" s="29"/>
      <c r="G1738" s="30">
        <f t="shared" si="30"/>
        <v>435.98765432098776</v>
      </c>
    </row>
    <row r="1739" spans="1:7" hidden="1" x14ac:dyDescent="0.25">
      <c r="A1739" s="28">
        <v>43617</v>
      </c>
      <c r="B1739" s="27" t="s">
        <v>200</v>
      </c>
      <c r="C1739" s="27" t="s">
        <v>53</v>
      </c>
      <c r="D1739" s="27" t="s">
        <v>6</v>
      </c>
      <c r="E1739" s="27" t="s">
        <v>11</v>
      </c>
      <c r="F1739" s="29"/>
      <c r="G1739" s="30">
        <f t="shared" si="30"/>
        <v>435.98765432098776</v>
      </c>
    </row>
    <row r="1740" spans="1:7" hidden="1" x14ac:dyDescent="0.25">
      <c r="A1740" s="28">
        <v>43617</v>
      </c>
      <c r="B1740" s="27" t="s">
        <v>200</v>
      </c>
      <c r="C1740" s="27" t="s">
        <v>53</v>
      </c>
      <c r="D1740" s="27" t="s">
        <v>6</v>
      </c>
      <c r="E1740" s="27" t="s">
        <v>12</v>
      </c>
      <c r="F1740" s="29"/>
      <c r="G1740" s="30">
        <f t="shared" si="30"/>
        <v>435.98765432098776</v>
      </c>
    </row>
    <row r="1741" spans="1:7" hidden="1" x14ac:dyDescent="0.25">
      <c r="A1741" s="28">
        <v>43617</v>
      </c>
      <c r="B1741" s="27" t="s">
        <v>200</v>
      </c>
      <c r="C1741" s="27" t="s">
        <v>53</v>
      </c>
      <c r="D1741" s="27" t="s">
        <v>6</v>
      </c>
      <c r="E1741" s="27" t="s">
        <v>13</v>
      </c>
      <c r="F1741" s="29"/>
      <c r="G1741" s="30">
        <f t="shared" si="30"/>
        <v>435.98765432098776</v>
      </c>
    </row>
    <row r="1742" spans="1:7" hidden="1" x14ac:dyDescent="0.25">
      <c r="A1742" s="28">
        <v>43617</v>
      </c>
      <c r="B1742" s="27" t="s">
        <v>200</v>
      </c>
      <c r="C1742" s="27" t="s">
        <v>53</v>
      </c>
      <c r="D1742" s="27" t="s">
        <v>6</v>
      </c>
      <c r="E1742" s="27" t="s">
        <v>14</v>
      </c>
      <c r="F1742" s="29"/>
      <c r="G1742" s="30">
        <f t="shared" si="30"/>
        <v>435.98765432098776</v>
      </c>
    </row>
    <row r="1743" spans="1:7" hidden="1" x14ac:dyDescent="0.25">
      <c r="A1743" s="28">
        <v>43617</v>
      </c>
      <c r="B1743" s="27" t="s">
        <v>200</v>
      </c>
      <c r="C1743" s="27" t="s">
        <v>53</v>
      </c>
      <c r="D1743" s="27" t="s">
        <v>6</v>
      </c>
      <c r="E1743" s="27" t="s">
        <v>15</v>
      </c>
      <c r="F1743" s="29"/>
      <c r="G1743" s="30">
        <f t="shared" si="30"/>
        <v>435.98765432098776</v>
      </c>
    </row>
    <row r="1744" spans="1:7" hidden="1" x14ac:dyDescent="0.25">
      <c r="A1744" s="28">
        <v>43617</v>
      </c>
      <c r="B1744" s="27" t="s">
        <v>200</v>
      </c>
      <c r="C1744" s="27" t="s">
        <v>53</v>
      </c>
      <c r="D1744" s="27" t="s">
        <v>6</v>
      </c>
      <c r="E1744" s="27" t="s">
        <v>16</v>
      </c>
      <c r="F1744" s="29"/>
      <c r="G1744" s="30">
        <f t="shared" si="30"/>
        <v>435.98765432098776</v>
      </c>
    </row>
    <row r="1745" spans="1:7" hidden="1" x14ac:dyDescent="0.25">
      <c r="A1745" s="28">
        <v>43617</v>
      </c>
      <c r="B1745" s="27" t="s">
        <v>200</v>
      </c>
      <c r="C1745" s="27" t="s">
        <v>53</v>
      </c>
      <c r="D1745" s="27" t="s">
        <v>6</v>
      </c>
      <c r="E1745" s="27" t="s">
        <v>17</v>
      </c>
      <c r="F1745" s="29"/>
      <c r="G1745" s="30">
        <f t="shared" si="30"/>
        <v>435.98765432098776</v>
      </c>
    </row>
    <row r="1746" spans="1:7" hidden="1" x14ac:dyDescent="0.25">
      <c r="A1746" s="28">
        <v>43617</v>
      </c>
      <c r="B1746" s="27" t="s">
        <v>200</v>
      </c>
      <c r="C1746" s="27" t="s">
        <v>53</v>
      </c>
      <c r="D1746" s="27" t="s">
        <v>6</v>
      </c>
      <c r="E1746" s="27" t="s">
        <v>18</v>
      </c>
      <c r="F1746" s="29"/>
      <c r="G1746" s="30">
        <f t="shared" si="30"/>
        <v>435.98765432098776</v>
      </c>
    </row>
    <row r="1747" spans="1:7" hidden="1" x14ac:dyDescent="0.25">
      <c r="A1747" s="28">
        <v>43617</v>
      </c>
      <c r="B1747" s="27" t="s">
        <v>200</v>
      </c>
      <c r="C1747" s="27" t="s">
        <v>53</v>
      </c>
      <c r="D1747" s="27" t="s">
        <v>6</v>
      </c>
      <c r="E1747" s="27" t="s">
        <v>19</v>
      </c>
      <c r="F1747" s="29"/>
      <c r="G1747" s="30">
        <f t="shared" si="30"/>
        <v>435.98765432098776</v>
      </c>
    </row>
    <row r="1748" spans="1:7" hidden="1" x14ac:dyDescent="0.25">
      <c r="A1748" s="28">
        <v>43617</v>
      </c>
      <c r="B1748" s="27" t="s">
        <v>200</v>
      </c>
      <c r="C1748" s="27" t="s">
        <v>53</v>
      </c>
      <c r="D1748" s="27" t="s">
        <v>6</v>
      </c>
      <c r="E1748" s="27" t="s">
        <v>20</v>
      </c>
      <c r="F1748" s="29"/>
      <c r="G1748" s="30">
        <f t="shared" si="30"/>
        <v>435.98765432098776</v>
      </c>
    </row>
    <row r="1749" spans="1:7" hidden="1" x14ac:dyDescent="0.25">
      <c r="A1749" s="28">
        <v>43617</v>
      </c>
      <c r="B1749" s="27" t="s">
        <v>200</v>
      </c>
      <c r="C1749" s="27" t="s">
        <v>53</v>
      </c>
      <c r="D1749" s="27" t="s">
        <v>6</v>
      </c>
      <c r="E1749" s="27" t="s">
        <v>204</v>
      </c>
      <c r="F1749" s="29"/>
      <c r="G1749" s="30">
        <f t="shared" si="30"/>
        <v>435.98765432098776</v>
      </c>
    </row>
    <row r="1750" spans="1:7" hidden="1" x14ac:dyDescent="0.25">
      <c r="A1750" s="28">
        <v>43617</v>
      </c>
      <c r="B1750" s="27" t="s">
        <v>200</v>
      </c>
      <c r="C1750" s="27" t="s">
        <v>53</v>
      </c>
      <c r="D1750" s="27" t="s">
        <v>6</v>
      </c>
      <c r="E1750" s="27" t="s">
        <v>205</v>
      </c>
      <c r="F1750" s="29"/>
      <c r="G1750" s="30">
        <f t="shared" si="30"/>
        <v>435.98765432098776</v>
      </c>
    </row>
    <row r="1751" spans="1:7" hidden="1" x14ac:dyDescent="0.25">
      <c r="A1751" s="28">
        <v>43617</v>
      </c>
      <c r="B1751" s="27" t="s">
        <v>200</v>
      </c>
      <c r="C1751" s="27" t="s">
        <v>54</v>
      </c>
      <c r="D1751" s="27" t="s">
        <v>7</v>
      </c>
      <c r="E1751" s="27" t="s">
        <v>8</v>
      </c>
      <c r="F1751" s="29"/>
      <c r="G1751" s="30">
        <f t="shared" ref="G1751:G1768" si="31">1520.03/18</f>
        <v>84.446111111111108</v>
      </c>
    </row>
    <row r="1752" spans="1:7" hidden="1" x14ac:dyDescent="0.25">
      <c r="A1752" s="28">
        <v>43617</v>
      </c>
      <c r="B1752" s="27" t="s">
        <v>200</v>
      </c>
      <c r="C1752" s="27" t="s">
        <v>54</v>
      </c>
      <c r="D1752" s="27" t="s">
        <v>7</v>
      </c>
      <c r="E1752" s="27" t="s">
        <v>9</v>
      </c>
      <c r="F1752" s="29"/>
      <c r="G1752" s="30">
        <f t="shared" si="31"/>
        <v>84.446111111111108</v>
      </c>
    </row>
    <row r="1753" spans="1:7" hidden="1" x14ac:dyDescent="0.25">
      <c r="A1753" s="28">
        <v>43617</v>
      </c>
      <c r="B1753" s="27" t="s">
        <v>200</v>
      </c>
      <c r="C1753" s="27" t="s">
        <v>54</v>
      </c>
      <c r="D1753" s="27" t="s">
        <v>7</v>
      </c>
      <c r="E1753" s="27" t="s">
        <v>64</v>
      </c>
      <c r="F1753" s="29"/>
      <c r="G1753" s="30">
        <f t="shared" si="31"/>
        <v>84.446111111111108</v>
      </c>
    </row>
    <row r="1754" spans="1:7" hidden="1" x14ac:dyDescent="0.25">
      <c r="A1754" s="28">
        <v>43617</v>
      </c>
      <c r="B1754" s="27" t="s">
        <v>200</v>
      </c>
      <c r="C1754" s="27" t="s">
        <v>54</v>
      </c>
      <c r="D1754" s="27" t="s">
        <v>7</v>
      </c>
      <c r="E1754" s="27" t="s">
        <v>21</v>
      </c>
      <c r="F1754" s="29"/>
      <c r="G1754" s="30">
        <f t="shared" si="31"/>
        <v>84.446111111111108</v>
      </c>
    </row>
    <row r="1755" spans="1:7" hidden="1" x14ac:dyDescent="0.25">
      <c r="A1755" s="28">
        <v>43617</v>
      </c>
      <c r="B1755" s="27" t="s">
        <v>200</v>
      </c>
      <c r="C1755" s="27" t="s">
        <v>54</v>
      </c>
      <c r="D1755" s="27" t="s">
        <v>7</v>
      </c>
      <c r="E1755" s="27" t="s">
        <v>21</v>
      </c>
      <c r="F1755" s="29"/>
      <c r="G1755" s="30">
        <f t="shared" si="31"/>
        <v>84.446111111111108</v>
      </c>
    </row>
    <row r="1756" spans="1:7" hidden="1" x14ac:dyDescent="0.25">
      <c r="A1756" s="28">
        <v>43617</v>
      </c>
      <c r="B1756" s="27" t="s">
        <v>200</v>
      </c>
      <c r="C1756" s="27" t="s">
        <v>54</v>
      </c>
      <c r="D1756" s="27" t="s">
        <v>7</v>
      </c>
      <c r="E1756" s="27" t="s">
        <v>10</v>
      </c>
      <c r="F1756" s="29"/>
      <c r="G1756" s="30">
        <f t="shared" si="31"/>
        <v>84.446111111111108</v>
      </c>
    </row>
    <row r="1757" spans="1:7" hidden="1" x14ac:dyDescent="0.25">
      <c r="A1757" s="28">
        <v>43617</v>
      </c>
      <c r="B1757" s="27" t="s">
        <v>200</v>
      </c>
      <c r="C1757" s="27" t="s">
        <v>54</v>
      </c>
      <c r="D1757" s="27" t="s">
        <v>7</v>
      </c>
      <c r="E1757" s="27" t="s">
        <v>11</v>
      </c>
      <c r="F1757" s="29"/>
      <c r="G1757" s="30">
        <f t="shared" si="31"/>
        <v>84.446111111111108</v>
      </c>
    </row>
    <row r="1758" spans="1:7" hidden="1" x14ac:dyDescent="0.25">
      <c r="A1758" s="28">
        <v>43617</v>
      </c>
      <c r="B1758" s="27" t="s">
        <v>200</v>
      </c>
      <c r="C1758" s="27" t="s">
        <v>54</v>
      </c>
      <c r="D1758" s="27" t="s">
        <v>7</v>
      </c>
      <c r="E1758" s="27" t="s">
        <v>12</v>
      </c>
      <c r="F1758" s="29"/>
      <c r="G1758" s="30">
        <f t="shared" si="31"/>
        <v>84.446111111111108</v>
      </c>
    </row>
    <row r="1759" spans="1:7" hidden="1" x14ac:dyDescent="0.25">
      <c r="A1759" s="28">
        <v>43617</v>
      </c>
      <c r="B1759" s="27" t="s">
        <v>200</v>
      </c>
      <c r="C1759" s="27" t="s">
        <v>54</v>
      </c>
      <c r="D1759" s="27" t="s">
        <v>7</v>
      </c>
      <c r="E1759" s="27" t="s">
        <v>13</v>
      </c>
      <c r="F1759" s="29"/>
      <c r="G1759" s="30">
        <f t="shared" si="31"/>
        <v>84.446111111111108</v>
      </c>
    </row>
    <row r="1760" spans="1:7" hidden="1" x14ac:dyDescent="0.25">
      <c r="A1760" s="28">
        <v>43617</v>
      </c>
      <c r="B1760" s="27" t="s">
        <v>200</v>
      </c>
      <c r="C1760" s="27" t="s">
        <v>54</v>
      </c>
      <c r="D1760" s="27" t="s">
        <v>7</v>
      </c>
      <c r="E1760" s="27" t="s">
        <v>14</v>
      </c>
      <c r="F1760" s="29"/>
      <c r="G1760" s="30">
        <f t="shared" si="31"/>
        <v>84.446111111111108</v>
      </c>
    </row>
    <row r="1761" spans="1:7" hidden="1" x14ac:dyDescent="0.25">
      <c r="A1761" s="28">
        <v>43617</v>
      </c>
      <c r="B1761" s="27" t="s">
        <v>200</v>
      </c>
      <c r="C1761" s="27" t="s">
        <v>54</v>
      </c>
      <c r="D1761" s="27" t="s">
        <v>7</v>
      </c>
      <c r="E1761" s="27" t="s">
        <v>15</v>
      </c>
      <c r="F1761" s="29"/>
      <c r="G1761" s="30">
        <f t="shared" si="31"/>
        <v>84.446111111111108</v>
      </c>
    </row>
    <row r="1762" spans="1:7" hidden="1" x14ac:dyDescent="0.25">
      <c r="A1762" s="28">
        <v>43617</v>
      </c>
      <c r="B1762" s="27" t="s">
        <v>200</v>
      </c>
      <c r="C1762" s="27" t="s">
        <v>54</v>
      </c>
      <c r="D1762" s="27" t="s">
        <v>7</v>
      </c>
      <c r="E1762" s="27" t="s">
        <v>16</v>
      </c>
      <c r="F1762" s="29"/>
      <c r="G1762" s="30">
        <f t="shared" si="31"/>
        <v>84.446111111111108</v>
      </c>
    </row>
    <row r="1763" spans="1:7" hidden="1" x14ac:dyDescent="0.25">
      <c r="A1763" s="28">
        <v>43617</v>
      </c>
      <c r="B1763" s="27" t="s">
        <v>200</v>
      </c>
      <c r="C1763" s="27" t="s">
        <v>54</v>
      </c>
      <c r="D1763" s="27" t="s">
        <v>7</v>
      </c>
      <c r="E1763" s="27" t="s">
        <v>17</v>
      </c>
      <c r="F1763" s="29"/>
      <c r="G1763" s="30">
        <f t="shared" si="31"/>
        <v>84.446111111111108</v>
      </c>
    </row>
    <row r="1764" spans="1:7" hidden="1" x14ac:dyDescent="0.25">
      <c r="A1764" s="28">
        <v>43617</v>
      </c>
      <c r="B1764" s="27" t="s">
        <v>200</v>
      </c>
      <c r="C1764" s="27" t="s">
        <v>54</v>
      </c>
      <c r="D1764" s="27" t="s">
        <v>7</v>
      </c>
      <c r="E1764" s="27" t="s">
        <v>18</v>
      </c>
      <c r="F1764" s="29"/>
      <c r="G1764" s="30">
        <f t="shared" si="31"/>
        <v>84.446111111111108</v>
      </c>
    </row>
    <row r="1765" spans="1:7" hidden="1" x14ac:dyDescent="0.25">
      <c r="A1765" s="28">
        <v>43617</v>
      </c>
      <c r="B1765" s="27" t="s">
        <v>200</v>
      </c>
      <c r="C1765" s="27" t="s">
        <v>54</v>
      </c>
      <c r="D1765" s="27" t="s">
        <v>7</v>
      </c>
      <c r="E1765" s="27" t="s">
        <v>19</v>
      </c>
      <c r="F1765" s="29"/>
      <c r="G1765" s="30">
        <f t="shared" si="31"/>
        <v>84.446111111111108</v>
      </c>
    </row>
    <row r="1766" spans="1:7" hidden="1" x14ac:dyDescent="0.25">
      <c r="A1766" s="28">
        <v>43617</v>
      </c>
      <c r="B1766" s="27" t="s">
        <v>200</v>
      </c>
      <c r="C1766" s="27" t="s">
        <v>54</v>
      </c>
      <c r="D1766" s="27" t="s">
        <v>7</v>
      </c>
      <c r="E1766" s="27" t="s">
        <v>20</v>
      </c>
      <c r="F1766" s="29"/>
      <c r="G1766" s="30">
        <f t="shared" si="31"/>
        <v>84.446111111111108</v>
      </c>
    </row>
    <row r="1767" spans="1:7" hidden="1" x14ac:dyDescent="0.25">
      <c r="A1767" s="28">
        <v>43617</v>
      </c>
      <c r="B1767" s="27" t="s">
        <v>200</v>
      </c>
      <c r="C1767" s="27" t="s">
        <v>54</v>
      </c>
      <c r="D1767" s="27" t="s">
        <v>7</v>
      </c>
      <c r="E1767" s="27" t="s">
        <v>204</v>
      </c>
      <c r="F1767" s="29"/>
      <c r="G1767" s="30">
        <f t="shared" si="31"/>
        <v>84.446111111111108</v>
      </c>
    </row>
    <row r="1768" spans="1:7" hidden="1" x14ac:dyDescent="0.25">
      <c r="A1768" s="28">
        <v>43617</v>
      </c>
      <c r="B1768" s="27" t="s">
        <v>200</v>
      </c>
      <c r="C1768" s="27" t="s">
        <v>54</v>
      </c>
      <c r="D1768" s="27" t="s">
        <v>7</v>
      </c>
      <c r="E1768" s="27" t="s">
        <v>37</v>
      </c>
      <c r="F1768" s="29"/>
      <c r="G1768" s="30">
        <f t="shared" si="31"/>
        <v>84.446111111111108</v>
      </c>
    </row>
    <row r="1769" spans="1:7" hidden="1" x14ac:dyDescent="0.25">
      <c r="A1769" s="28">
        <v>43617</v>
      </c>
      <c r="B1769" s="27" t="s">
        <v>200</v>
      </c>
      <c r="C1769" s="27" t="s">
        <v>55</v>
      </c>
      <c r="D1769" s="27" t="s">
        <v>6</v>
      </c>
      <c r="E1769" s="27" t="s">
        <v>8</v>
      </c>
      <c r="F1769" s="29"/>
      <c r="G1769" s="30">
        <f t="shared" ref="G1769:G1786" si="32">24102.7417777778/18</f>
        <v>1339.0412098765444</v>
      </c>
    </row>
    <row r="1770" spans="1:7" hidden="1" x14ac:dyDescent="0.25">
      <c r="A1770" s="28">
        <v>43617</v>
      </c>
      <c r="B1770" s="27" t="s">
        <v>200</v>
      </c>
      <c r="C1770" s="27" t="s">
        <v>55</v>
      </c>
      <c r="D1770" s="27" t="s">
        <v>6</v>
      </c>
      <c r="E1770" s="27" t="s">
        <v>9</v>
      </c>
      <c r="F1770" s="29"/>
      <c r="G1770" s="30">
        <f t="shared" si="32"/>
        <v>1339.0412098765444</v>
      </c>
    </row>
    <row r="1771" spans="1:7" hidden="1" x14ac:dyDescent="0.25">
      <c r="A1771" s="28">
        <v>43617</v>
      </c>
      <c r="B1771" s="27" t="s">
        <v>200</v>
      </c>
      <c r="C1771" s="27" t="s">
        <v>55</v>
      </c>
      <c r="D1771" s="27" t="s">
        <v>6</v>
      </c>
      <c r="E1771" s="27" t="s">
        <v>64</v>
      </c>
      <c r="F1771" s="29"/>
      <c r="G1771" s="30">
        <f t="shared" si="32"/>
        <v>1339.0412098765444</v>
      </c>
    </row>
    <row r="1772" spans="1:7" hidden="1" x14ac:dyDescent="0.25">
      <c r="A1772" s="28">
        <v>43617</v>
      </c>
      <c r="B1772" s="27" t="s">
        <v>200</v>
      </c>
      <c r="C1772" s="27" t="s">
        <v>55</v>
      </c>
      <c r="D1772" s="27" t="s">
        <v>6</v>
      </c>
      <c r="E1772" s="27" t="s">
        <v>21</v>
      </c>
      <c r="F1772" s="29"/>
      <c r="G1772" s="30">
        <f t="shared" si="32"/>
        <v>1339.0412098765444</v>
      </c>
    </row>
    <row r="1773" spans="1:7" hidden="1" x14ac:dyDescent="0.25">
      <c r="A1773" s="28">
        <v>43617</v>
      </c>
      <c r="B1773" s="27" t="s">
        <v>200</v>
      </c>
      <c r="C1773" s="27" t="s">
        <v>55</v>
      </c>
      <c r="D1773" s="27" t="s">
        <v>6</v>
      </c>
      <c r="E1773" s="27" t="s">
        <v>21</v>
      </c>
      <c r="F1773" s="29"/>
      <c r="G1773" s="30">
        <f t="shared" si="32"/>
        <v>1339.0412098765444</v>
      </c>
    </row>
    <row r="1774" spans="1:7" hidden="1" x14ac:dyDescent="0.25">
      <c r="A1774" s="28">
        <v>43617</v>
      </c>
      <c r="B1774" s="27" t="s">
        <v>200</v>
      </c>
      <c r="C1774" s="27" t="s">
        <v>55</v>
      </c>
      <c r="D1774" s="27" t="s">
        <v>6</v>
      </c>
      <c r="E1774" s="27" t="s">
        <v>10</v>
      </c>
      <c r="F1774" s="29"/>
      <c r="G1774" s="30">
        <f t="shared" si="32"/>
        <v>1339.0412098765444</v>
      </c>
    </row>
    <row r="1775" spans="1:7" hidden="1" x14ac:dyDescent="0.25">
      <c r="A1775" s="28">
        <v>43617</v>
      </c>
      <c r="B1775" s="27" t="s">
        <v>200</v>
      </c>
      <c r="C1775" s="27" t="s">
        <v>55</v>
      </c>
      <c r="D1775" s="27" t="s">
        <v>6</v>
      </c>
      <c r="E1775" s="27" t="s">
        <v>11</v>
      </c>
      <c r="F1775" s="29"/>
      <c r="G1775" s="30">
        <f t="shared" si="32"/>
        <v>1339.0412098765444</v>
      </c>
    </row>
    <row r="1776" spans="1:7" hidden="1" x14ac:dyDescent="0.25">
      <c r="A1776" s="28">
        <v>43617</v>
      </c>
      <c r="B1776" s="27" t="s">
        <v>200</v>
      </c>
      <c r="C1776" s="27" t="s">
        <v>55</v>
      </c>
      <c r="D1776" s="27" t="s">
        <v>6</v>
      </c>
      <c r="E1776" s="27" t="s">
        <v>12</v>
      </c>
      <c r="F1776" s="29"/>
      <c r="G1776" s="30">
        <f t="shared" si="32"/>
        <v>1339.0412098765444</v>
      </c>
    </row>
    <row r="1777" spans="1:7" hidden="1" x14ac:dyDescent="0.25">
      <c r="A1777" s="28">
        <v>43617</v>
      </c>
      <c r="B1777" s="27" t="s">
        <v>200</v>
      </c>
      <c r="C1777" s="27" t="s">
        <v>55</v>
      </c>
      <c r="D1777" s="27" t="s">
        <v>6</v>
      </c>
      <c r="E1777" s="27" t="s">
        <v>13</v>
      </c>
      <c r="F1777" s="29"/>
      <c r="G1777" s="30">
        <f t="shared" si="32"/>
        <v>1339.0412098765444</v>
      </c>
    </row>
    <row r="1778" spans="1:7" hidden="1" x14ac:dyDescent="0.25">
      <c r="A1778" s="28">
        <v>43617</v>
      </c>
      <c r="B1778" s="27" t="s">
        <v>200</v>
      </c>
      <c r="C1778" s="27" t="s">
        <v>55</v>
      </c>
      <c r="D1778" s="27" t="s">
        <v>6</v>
      </c>
      <c r="E1778" s="27" t="s">
        <v>14</v>
      </c>
      <c r="F1778" s="29"/>
      <c r="G1778" s="30">
        <f t="shared" si="32"/>
        <v>1339.0412098765444</v>
      </c>
    </row>
    <row r="1779" spans="1:7" hidden="1" x14ac:dyDescent="0.25">
      <c r="A1779" s="28">
        <v>43617</v>
      </c>
      <c r="B1779" s="27" t="s">
        <v>200</v>
      </c>
      <c r="C1779" s="27" t="s">
        <v>55</v>
      </c>
      <c r="D1779" s="27" t="s">
        <v>6</v>
      </c>
      <c r="E1779" s="27" t="s">
        <v>15</v>
      </c>
      <c r="F1779" s="29"/>
      <c r="G1779" s="30">
        <f t="shared" si="32"/>
        <v>1339.0412098765444</v>
      </c>
    </row>
    <row r="1780" spans="1:7" hidden="1" x14ac:dyDescent="0.25">
      <c r="A1780" s="28">
        <v>43617</v>
      </c>
      <c r="B1780" s="27" t="s">
        <v>200</v>
      </c>
      <c r="C1780" s="27" t="s">
        <v>55</v>
      </c>
      <c r="D1780" s="27" t="s">
        <v>6</v>
      </c>
      <c r="E1780" s="27" t="s">
        <v>16</v>
      </c>
      <c r="F1780" s="29"/>
      <c r="G1780" s="30">
        <f t="shared" si="32"/>
        <v>1339.0412098765444</v>
      </c>
    </row>
    <row r="1781" spans="1:7" hidden="1" x14ac:dyDescent="0.25">
      <c r="A1781" s="28">
        <v>43617</v>
      </c>
      <c r="B1781" s="27" t="s">
        <v>200</v>
      </c>
      <c r="C1781" s="27" t="s">
        <v>55</v>
      </c>
      <c r="D1781" s="27" t="s">
        <v>6</v>
      </c>
      <c r="E1781" s="27" t="s">
        <v>17</v>
      </c>
      <c r="F1781" s="29"/>
      <c r="G1781" s="30">
        <f t="shared" si="32"/>
        <v>1339.0412098765444</v>
      </c>
    </row>
    <row r="1782" spans="1:7" hidden="1" x14ac:dyDescent="0.25">
      <c r="A1782" s="28">
        <v>43617</v>
      </c>
      <c r="B1782" s="27" t="s">
        <v>200</v>
      </c>
      <c r="C1782" s="27" t="s">
        <v>55</v>
      </c>
      <c r="D1782" s="27" t="s">
        <v>6</v>
      </c>
      <c r="E1782" s="27" t="s">
        <v>18</v>
      </c>
      <c r="F1782" s="29"/>
      <c r="G1782" s="30">
        <f t="shared" si="32"/>
        <v>1339.0412098765444</v>
      </c>
    </row>
    <row r="1783" spans="1:7" hidden="1" x14ac:dyDescent="0.25">
      <c r="A1783" s="28">
        <v>43617</v>
      </c>
      <c r="B1783" s="27" t="s">
        <v>200</v>
      </c>
      <c r="C1783" s="27" t="s">
        <v>55</v>
      </c>
      <c r="D1783" s="27" t="s">
        <v>6</v>
      </c>
      <c r="E1783" s="27" t="s">
        <v>19</v>
      </c>
      <c r="F1783" s="29"/>
      <c r="G1783" s="30">
        <f t="shared" si="32"/>
        <v>1339.0412098765444</v>
      </c>
    </row>
    <row r="1784" spans="1:7" hidden="1" x14ac:dyDescent="0.25">
      <c r="A1784" s="28">
        <v>43617</v>
      </c>
      <c r="B1784" s="27" t="s">
        <v>200</v>
      </c>
      <c r="C1784" s="27" t="s">
        <v>55</v>
      </c>
      <c r="D1784" s="27" t="s">
        <v>6</v>
      </c>
      <c r="E1784" s="27" t="s">
        <v>20</v>
      </c>
      <c r="F1784" s="29"/>
      <c r="G1784" s="30">
        <f t="shared" si="32"/>
        <v>1339.0412098765444</v>
      </c>
    </row>
    <row r="1785" spans="1:7" hidden="1" x14ac:dyDescent="0.25">
      <c r="A1785" s="28">
        <v>43617</v>
      </c>
      <c r="B1785" s="27" t="s">
        <v>200</v>
      </c>
      <c r="C1785" s="27" t="s">
        <v>55</v>
      </c>
      <c r="D1785" s="27" t="s">
        <v>6</v>
      </c>
      <c r="E1785" s="27" t="s">
        <v>204</v>
      </c>
      <c r="F1785" s="29"/>
      <c r="G1785" s="30">
        <f t="shared" si="32"/>
        <v>1339.0412098765444</v>
      </c>
    </row>
    <row r="1786" spans="1:7" hidden="1" x14ac:dyDescent="0.25">
      <c r="A1786" s="28">
        <v>43617</v>
      </c>
      <c r="B1786" s="27" t="s">
        <v>200</v>
      </c>
      <c r="C1786" s="27" t="s">
        <v>55</v>
      </c>
      <c r="D1786" s="27" t="s">
        <v>6</v>
      </c>
      <c r="E1786" s="27" t="s">
        <v>205</v>
      </c>
      <c r="F1786" s="29"/>
      <c r="G1786" s="30">
        <f t="shared" si="32"/>
        <v>1339.0412098765444</v>
      </c>
    </row>
    <row r="1787" spans="1:7" hidden="1" x14ac:dyDescent="0.25">
      <c r="A1787" s="28">
        <v>43617</v>
      </c>
      <c r="B1787" s="27" t="s">
        <v>200</v>
      </c>
      <c r="C1787" s="27" t="s">
        <v>183</v>
      </c>
      <c r="D1787" s="27" t="s">
        <v>7</v>
      </c>
      <c r="E1787" s="27" t="s">
        <v>8</v>
      </c>
      <c r="F1787" s="29"/>
      <c r="G1787" s="30">
        <f t="shared" ref="G1787:G1804" si="33">2478.18/18</f>
        <v>137.67666666666665</v>
      </c>
    </row>
    <row r="1788" spans="1:7" hidden="1" x14ac:dyDescent="0.25">
      <c r="A1788" s="28">
        <v>43617</v>
      </c>
      <c r="B1788" s="27" t="s">
        <v>200</v>
      </c>
      <c r="C1788" s="27" t="s">
        <v>183</v>
      </c>
      <c r="D1788" s="27" t="s">
        <v>7</v>
      </c>
      <c r="E1788" s="27" t="s">
        <v>9</v>
      </c>
      <c r="F1788" s="29"/>
      <c r="G1788" s="30">
        <f t="shared" si="33"/>
        <v>137.67666666666665</v>
      </c>
    </row>
    <row r="1789" spans="1:7" hidden="1" x14ac:dyDescent="0.25">
      <c r="A1789" s="28">
        <v>43617</v>
      </c>
      <c r="B1789" s="27" t="s">
        <v>200</v>
      </c>
      <c r="C1789" s="27" t="s">
        <v>183</v>
      </c>
      <c r="D1789" s="27" t="s">
        <v>7</v>
      </c>
      <c r="E1789" s="27" t="s">
        <v>64</v>
      </c>
      <c r="F1789" s="29"/>
      <c r="G1789" s="30">
        <f t="shared" si="33"/>
        <v>137.67666666666665</v>
      </c>
    </row>
    <row r="1790" spans="1:7" hidden="1" x14ac:dyDescent="0.25">
      <c r="A1790" s="28">
        <v>43617</v>
      </c>
      <c r="B1790" s="27" t="s">
        <v>200</v>
      </c>
      <c r="C1790" s="27" t="s">
        <v>183</v>
      </c>
      <c r="D1790" s="27" t="s">
        <v>7</v>
      </c>
      <c r="E1790" s="27" t="s">
        <v>21</v>
      </c>
      <c r="F1790" s="29"/>
      <c r="G1790" s="30">
        <f t="shared" si="33"/>
        <v>137.67666666666665</v>
      </c>
    </row>
    <row r="1791" spans="1:7" hidden="1" x14ac:dyDescent="0.25">
      <c r="A1791" s="28">
        <v>43617</v>
      </c>
      <c r="B1791" s="27" t="s">
        <v>200</v>
      </c>
      <c r="C1791" s="27" t="s">
        <v>183</v>
      </c>
      <c r="D1791" s="27" t="s">
        <v>7</v>
      </c>
      <c r="E1791" s="27" t="s">
        <v>21</v>
      </c>
      <c r="F1791" s="29"/>
      <c r="G1791" s="30">
        <f t="shared" si="33"/>
        <v>137.67666666666665</v>
      </c>
    </row>
    <row r="1792" spans="1:7" hidden="1" x14ac:dyDescent="0.25">
      <c r="A1792" s="28">
        <v>43617</v>
      </c>
      <c r="B1792" s="27" t="s">
        <v>200</v>
      </c>
      <c r="C1792" s="27" t="s">
        <v>183</v>
      </c>
      <c r="D1792" s="27" t="s">
        <v>7</v>
      </c>
      <c r="E1792" s="27" t="s">
        <v>10</v>
      </c>
      <c r="F1792" s="29"/>
      <c r="G1792" s="30">
        <f t="shared" si="33"/>
        <v>137.67666666666665</v>
      </c>
    </row>
    <row r="1793" spans="1:7" hidden="1" x14ac:dyDescent="0.25">
      <c r="A1793" s="28">
        <v>43617</v>
      </c>
      <c r="B1793" s="27" t="s">
        <v>200</v>
      </c>
      <c r="C1793" s="27" t="s">
        <v>183</v>
      </c>
      <c r="D1793" s="27" t="s">
        <v>7</v>
      </c>
      <c r="E1793" s="27" t="s">
        <v>11</v>
      </c>
      <c r="F1793" s="29"/>
      <c r="G1793" s="30">
        <f t="shared" si="33"/>
        <v>137.67666666666665</v>
      </c>
    </row>
    <row r="1794" spans="1:7" hidden="1" x14ac:dyDescent="0.25">
      <c r="A1794" s="28">
        <v>43617</v>
      </c>
      <c r="B1794" s="27" t="s">
        <v>200</v>
      </c>
      <c r="C1794" s="27" t="s">
        <v>183</v>
      </c>
      <c r="D1794" s="27" t="s">
        <v>7</v>
      </c>
      <c r="E1794" s="27" t="s">
        <v>12</v>
      </c>
      <c r="F1794" s="29"/>
      <c r="G1794" s="30">
        <f t="shared" si="33"/>
        <v>137.67666666666665</v>
      </c>
    </row>
    <row r="1795" spans="1:7" hidden="1" x14ac:dyDescent="0.25">
      <c r="A1795" s="28">
        <v>43617</v>
      </c>
      <c r="B1795" s="27" t="s">
        <v>200</v>
      </c>
      <c r="C1795" s="27" t="s">
        <v>183</v>
      </c>
      <c r="D1795" s="27" t="s">
        <v>7</v>
      </c>
      <c r="E1795" s="27" t="s">
        <v>13</v>
      </c>
      <c r="F1795" s="29"/>
      <c r="G1795" s="30">
        <f t="shared" si="33"/>
        <v>137.67666666666665</v>
      </c>
    </row>
    <row r="1796" spans="1:7" hidden="1" x14ac:dyDescent="0.25">
      <c r="A1796" s="28">
        <v>43617</v>
      </c>
      <c r="B1796" s="27" t="s">
        <v>200</v>
      </c>
      <c r="C1796" s="27" t="s">
        <v>183</v>
      </c>
      <c r="D1796" s="27" t="s">
        <v>7</v>
      </c>
      <c r="E1796" s="27" t="s">
        <v>14</v>
      </c>
      <c r="F1796" s="29"/>
      <c r="G1796" s="30">
        <f t="shared" si="33"/>
        <v>137.67666666666665</v>
      </c>
    </row>
    <row r="1797" spans="1:7" hidden="1" x14ac:dyDescent="0.25">
      <c r="A1797" s="28">
        <v>43617</v>
      </c>
      <c r="B1797" s="27" t="s">
        <v>200</v>
      </c>
      <c r="C1797" s="27" t="s">
        <v>183</v>
      </c>
      <c r="D1797" s="27" t="s">
        <v>7</v>
      </c>
      <c r="E1797" s="27" t="s">
        <v>15</v>
      </c>
      <c r="F1797" s="29"/>
      <c r="G1797" s="30">
        <f t="shared" si="33"/>
        <v>137.67666666666665</v>
      </c>
    </row>
    <row r="1798" spans="1:7" hidden="1" x14ac:dyDescent="0.25">
      <c r="A1798" s="28">
        <v>43617</v>
      </c>
      <c r="B1798" s="27" t="s">
        <v>200</v>
      </c>
      <c r="C1798" s="27" t="s">
        <v>183</v>
      </c>
      <c r="D1798" s="27" t="s">
        <v>7</v>
      </c>
      <c r="E1798" s="27" t="s">
        <v>16</v>
      </c>
      <c r="F1798" s="29"/>
      <c r="G1798" s="30">
        <f t="shared" si="33"/>
        <v>137.67666666666665</v>
      </c>
    </row>
    <row r="1799" spans="1:7" hidden="1" x14ac:dyDescent="0.25">
      <c r="A1799" s="28">
        <v>43617</v>
      </c>
      <c r="B1799" s="27" t="s">
        <v>200</v>
      </c>
      <c r="C1799" s="27" t="s">
        <v>183</v>
      </c>
      <c r="D1799" s="27" t="s">
        <v>7</v>
      </c>
      <c r="E1799" s="27" t="s">
        <v>17</v>
      </c>
      <c r="F1799" s="29"/>
      <c r="G1799" s="30">
        <f t="shared" si="33"/>
        <v>137.67666666666665</v>
      </c>
    </row>
    <row r="1800" spans="1:7" hidden="1" x14ac:dyDescent="0.25">
      <c r="A1800" s="28">
        <v>43617</v>
      </c>
      <c r="B1800" s="27" t="s">
        <v>200</v>
      </c>
      <c r="C1800" s="27" t="s">
        <v>183</v>
      </c>
      <c r="D1800" s="27" t="s">
        <v>7</v>
      </c>
      <c r="E1800" s="27" t="s">
        <v>18</v>
      </c>
      <c r="F1800" s="29"/>
      <c r="G1800" s="30">
        <f t="shared" si="33"/>
        <v>137.67666666666665</v>
      </c>
    </row>
    <row r="1801" spans="1:7" hidden="1" x14ac:dyDescent="0.25">
      <c r="A1801" s="28">
        <v>43617</v>
      </c>
      <c r="B1801" s="27" t="s">
        <v>200</v>
      </c>
      <c r="C1801" s="27" t="s">
        <v>183</v>
      </c>
      <c r="D1801" s="27" t="s">
        <v>7</v>
      </c>
      <c r="E1801" s="27" t="s">
        <v>19</v>
      </c>
      <c r="F1801" s="29"/>
      <c r="G1801" s="30">
        <f t="shared" si="33"/>
        <v>137.67666666666665</v>
      </c>
    </row>
    <row r="1802" spans="1:7" hidden="1" x14ac:dyDescent="0.25">
      <c r="A1802" s="28">
        <v>43617</v>
      </c>
      <c r="B1802" s="27" t="s">
        <v>200</v>
      </c>
      <c r="C1802" s="27" t="s">
        <v>183</v>
      </c>
      <c r="D1802" s="27" t="s">
        <v>7</v>
      </c>
      <c r="E1802" s="27" t="s">
        <v>20</v>
      </c>
      <c r="F1802" s="29"/>
      <c r="G1802" s="30">
        <f t="shared" si="33"/>
        <v>137.67666666666665</v>
      </c>
    </row>
    <row r="1803" spans="1:7" hidden="1" x14ac:dyDescent="0.25">
      <c r="A1803" s="28">
        <v>43617</v>
      </c>
      <c r="B1803" s="27" t="s">
        <v>200</v>
      </c>
      <c r="C1803" s="27" t="s">
        <v>183</v>
      </c>
      <c r="D1803" s="27" t="s">
        <v>7</v>
      </c>
      <c r="E1803" s="27" t="s">
        <v>204</v>
      </c>
      <c r="F1803" s="29"/>
      <c r="G1803" s="30">
        <f t="shared" si="33"/>
        <v>137.67666666666665</v>
      </c>
    </row>
    <row r="1804" spans="1:7" hidden="1" x14ac:dyDescent="0.25">
      <c r="A1804" s="28">
        <v>43617</v>
      </c>
      <c r="B1804" s="27" t="s">
        <v>200</v>
      </c>
      <c r="C1804" s="27" t="s">
        <v>183</v>
      </c>
      <c r="D1804" s="27" t="s">
        <v>7</v>
      </c>
      <c r="E1804" s="27" t="s">
        <v>37</v>
      </c>
      <c r="F1804" s="29"/>
      <c r="G1804" s="30">
        <f t="shared" si="33"/>
        <v>137.67666666666665</v>
      </c>
    </row>
    <row r="1805" spans="1:7" hidden="1" x14ac:dyDescent="0.25">
      <c r="A1805" s="28">
        <v>43617</v>
      </c>
      <c r="B1805" s="27" t="s">
        <v>200</v>
      </c>
      <c r="C1805" s="27" t="s">
        <v>56</v>
      </c>
      <c r="D1805" s="27" t="s">
        <v>6</v>
      </c>
      <c r="E1805" s="27" t="s">
        <v>8</v>
      </c>
      <c r="F1805" s="29"/>
      <c r="G1805" s="30">
        <f t="shared" ref="G1805:G1822" si="34">31373.3264/18</f>
        <v>1742.9625777777778</v>
      </c>
    </row>
    <row r="1806" spans="1:7" hidden="1" x14ac:dyDescent="0.25">
      <c r="A1806" s="28">
        <v>43617</v>
      </c>
      <c r="B1806" s="27" t="s">
        <v>200</v>
      </c>
      <c r="C1806" s="27" t="s">
        <v>56</v>
      </c>
      <c r="D1806" s="27" t="s">
        <v>6</v>
      </c>
      <c r="E1806" s="27" t="s">
        <v>9</v>
      </c>
      <c r="F1806" s="29"/>
      <c r="G1806" s="30">
        <f t="shared" si="34"/>
        <v>1742.9625777777778</v>
      </c>
    </row>
    <row r="1807" spans="1:7" hidden="1" x14ac:dyDescent="0.25">
      <c r="A1807" s="28">
        <v>43617</v>
      </c>
      <c r="B1807" s="27" t="s">
        <v>200</v>
      </c>
      <c r="C1807" s="27" t="s">
        <v>56</v>
      </c>
      <c r="D1807" s="27" t="s">
        <v>6</v>
      </c>
      <c r="E1807" s="27" t="s">
        <v>64</v>
      </c>
      <c r="F1807" s="29"/>
      <c r="G1807" s="30">
        <f t="shared" si="34"/>
        <v>1742.9625777777778</v>
      </c>
    </row>
    <row r="1808" spans="1:7" hidden="1" x14ac:dyDescent="0.25">
      <c r="A1808" s="28">
        <v>43617</v>
      </c>
      <c r="B1808" s="27" t="s">
        <v>200</v>
      </c>
      <c r="C1808" s="27" t="s">
        <v>56</v>
      </c>
      <c r="D1808" s="27" t="s">
        <v>6</v>
      </c>
      <c r="E1808" s="27" t="s">
        <v>21</v>
      </c>
      <c r="F1808" s="29"/>
      <c r="G1808" s="30">
        <f t="shared" si="34"/>
        <v>1742.9625777777778</v>
      </c>
    </row>
    <row r="1809" spans="1:7" hidden="1" x14ac:dyDescent="0.25">
      <c r="A1809" s="28">
        <v>43617</v>
      </c>
      <c r="B1809" s="27" t="s">
        <v>200</v>
      </c>
      <c r="C1809" s="27" t="s">
        <v>56</v>
      </c>
      <c r="D1809" s="27" t="s">
        <v>6</v>
      </c>
      <c r="E1809" s="27" t="s">
        <v>21</v>
      </c>
      <c r="F1809" s="29"/>
      <c r="G1809" s="30">
        <f t="shared" si="34"/>
        <v>1742.9625777777778</v>
      </c>
    </row>
    <row r="1810" spans="1:7" hidden="1" x14ac:dyDescent="0.25">
      <c r="A1810" s="28">
        <v>43617</v>
      </c>
      <c r="B1810" s="27" t="s">
        <v>200</v>
      </c>
      <c r="C1810" s="27" t="s">
        <v>56</v>
      </c>
      <c r="D1810" s="27" t="s">
        <v>6</v>
      </c>
      <c r="E1810" s="27" t="s">
        <v>10</v>
      </c>
      <c r="F1810" s="29"/>
      <c r="G1810" s="30">
        <f t="shared" si="34"/>
        <v>1742.9625777777778</v>
      </c>
    </row>
    <row r="1811" spans="1:7" hidden="1" x14ac:dyDescent="0.25">
      <c r="A1811" s="28">
        <v>43617</v>
      </c>
      <c r="B1811" s="27" t="s">
        <v>200</v>
      </c>
      <c r="C1811" s="27" t="s">
        <v>56</v>
      </c>
      <c r="D1811" s="27" t="s">
        <v>6</v>
      </c>
      <c r="E1811" s="27" t="s">
        <v>11</v>
      </c>
      <c r="F1811" s="29"/>
      <c r="G1811" s="30">
        <f t="shared" si="34"/>
        <v>1742.9625777777778</v>
      </c>
    </row>
    <row r="1812" spans="1:7" hidden="1" x14ac:dyDescent="0.25">
      <c r="A1812" s="28">
        <v>43617</v>
      </c>
      <c r="B1812" s="27" t="s">
        <v>200</v>
      </c>
      <c r="C1812" s="27" t="s">
        <v>56</v>
      </c>
      <c r="D1812" s="27" t="s">
        <v>6</v>
      </c>
      <c r="E1812" s="27" t="s">
        <v>12</v>
      </c>
      <c r="F1812" s="29"/>
      <c r="G1812" s="30">
        <f t="shared" si="34"/>
        <v>1742.9625777777778</v>
      </c>
    </row>
    <row r="1813" spans="1:7" hidden="1" x14ac:dyDescent="0.25">
      <c r="A1813" s="28">
        <v>43617</v>
      </c>
      <c r="B1813" s="27" t="s">
        <v>200</v>
      </c>
      <c r="C1813" s="27" t="s">
        <v>56</v>
      </c>
      <c r="D1813" s="27" t="s">
        <v>6</v>
      </c>
      <c r="E1813" s="27" t="s">
        <v>13</v>
      </c>
      <c r="F1813" s="29"/>
      <c r="G1813" s="30">
        <f t="shared" si="34"/>
        <v>1742.9625777777778</v>
      </c>
    </row>
    <row r="1814" spans="1:7" hidden="1" x14ac:dyDescent="0.25">
      <c r="A1814" s="28">
        <v>43617</v>
      </c>
      <c r="B1814" s="27" t="s">
        <v>200</v>
      </c>
      <c r="C1814" s="27" t="s">
        <v>56</v>
      </c>
      <c r="D1814" s="27" t="s">
        <v>6</v>
      </c>
      <c r="E1814" s="27" t="s">
        <v>14</v>
      </c>
      <c r="F1814" s="29"/>
      <c r="G1814" s="30">
        <f t="shared" si="34"/>
        <v>1742.9625777777778</v>
      </c>
    </row>
    <row r="1815" spans="1:7" hidden="1" x14ac:dyDescent="0.25">
      <c r="A1815" s="28">
        <v>43617</v>
      </c>
      <c r="B1815" s="27" t="s">
        <v>200</v>
      </c>
      <c r="C1815" s="27" t="s">
        <v>56</v>
      </c>
      <c r="D1815" s="27" t="s">
        <v>6</v>
      </c>
      <c r="E1815" s="27" t="s">
        <v>15</v>
      </c>
      <c r="F1815" s="29"/>
      <c r="G1815" s="30">
        <f t="shared" si="34"/>
        <v>1742.9625777777778</v>
      </c>
    </row>
    <row r="1816" spans="1:7" hidden="1" x14ac:dyDescent="0.25">
      <c r="A1816" s="28">
        <v>43617</v>
      </c>
      <c r="B1816" s="27" t="s">
        <v>200</v>
      </c>
      <c r="C1816" s="27" t="s">
        <v>56</v>
      </c>
      <c r="D1816" s="27" t="s">
        <v>6</v>
      </c>
      <c r="E1816" s="27" t="s">
        <v>16</v>
      </c>
      <c r="F1816" s="29"/>
      <c r="G1816" s="30">
        <f t="shared" si="34"/>
        <v>1742.9625777777778</v>
      </c>
    </row>
    <row r="1817" spans="1:7" hidden="1" x14ac:dyDescent="0.25">
      <c r="A1817" s="28">
        <v>43617</v>
      </c>
      <c r="B1817" s="27" t="s">
        <v>200</v>
      </c>
      <c r="C1817" s="27" t="s">
        <v>56</v>
      </c>
      <c r="D1817" s="27" t="s">
        <v>6</v>
      </c>
      <c r="E1817" s="27" t="s">
        <v>17</v>
      </c>
      <c r="F1817" s="29"/>
      <c r="G1817" s="30">
        <f t="shared" si="34"/>
        <v>1742.9625777777778</v>
      </c>
    </row>
    <row r="1818" spans="1:7" hidden="1" x14ac:dyDescent="0.25">
      <c r="A1818" s="28">
        <v>43617</v>
      </c>
      <c r="B1818" s="27" t="s">
        <v>200</v>
      </c>
      <c r="C1818" s="27" t="s">
        <v>56</v>
      </c>
      <c r="D1818" s="27" t="s">
        <v>6</v>
      </c>
      <c r="E1818" s="27" t="s">
        <v>18</v>
      </c>
      <c r="F1818" s="29"/>
      <c r="G1818" s="30">
        <f t="shared" si="34"/>
        <v>1742.9625777777778</v>
      </c>
    </row>
    <row r="1819" spans="1:7" hidden="1" x14ac:dyDescent="0.25">
      <c r="A1819" s="28">
        <v>43617</v>
      </c>
      <c r="B1819" s="27" t="s">
        <v>200</v>
      </c>
      <c r="C1819" s="27" t="s">
        <v>56</v>
      </c>
      <c r="D1819" s="27" t="s">
        <v>6</v>
      </c>
      <c r="E1819" s="27" t="s">
        <v>19</v>
      </c>
      <c r="F1819" s="29"/>
      <c r="G1819" s="30">
        <f t="shared" si="34"/>
        <v>1742.9625777777778</v>
      </c>
    </row>
    <row r="1820" spans="1:7" hidden="1" x14ac:dyDescent="0.25">
      <c r="A1820" s="28">
        <v>43617</v>
      </c>
      <c r="B1820" s="27" t="s">
        <v>200</v>
      </c>
      <c r="C1820" s="27" t="s">
        <v>56</v>
      </c>
      <c r="D1820" s="27" t="s">
        <v>6</v>
      </c>
      <c r="E1820" s="27" t="s">
        <v>20</v>
      </c>
      <c r="F1820" s="29"/>
      <c r="G1820" s="30">
        <f t="shared" si="34"/>
        <v>1742.9625777777778</v>
      </c>
    </row>
    <row r="1821" spans="1:7" hidden="1" x14ac:dyDescent="0.25">
      <c r="A1821" s="28">
        <v>43617</v>
      </c>
      <c r="B1821" s="27" t="s">
        <v>200</v>
      </c>
      <c r="C1821" s="27" t="s">
        <v>56</v>
      </c>
      <c r="D1821" s="27" t="s">
        <v>6</v>
      </c>
      <c r="E1821" s="27" t="s">
        <v>204</v>
      </c>
      <c r="F1821" s="29"/>
      <c r="G1821" s="30">
        <f t="shared" si="34"/>
        <v>1742.9625777777778</v>
      </c>
    </row>
    <row r="1822" spans="1:7" hidden="1" x14ac:dyDescent="0.25">
      <c r="A1822" s="28">
        <v>43617</v>
      </c>
      <c r="B1822" s="27" t="s">
        <v>200</v>
      </c>
      <c r="C1822" s="27" t="s">
        <v>56</v>
      </c>
      <c r="D1822" s="27" t="s">
        <v>6</v>
      </c>
      <c r="E1822" s="27" t="s">
        <v>205</v>
      </c>
      <c r="F1822" s="29"/>
      <c r="G1822" s="30">
        <f t="shared" si="34"/>
        <v>1742.9625777777778</v>
      </c>
    </row>
    <row r="1823" spans="1:7" hidden="1" x14ac:dyDescent="0.25">
      <c r="A1823" s="28">
        <v>43617</v>
      </c>
      <c r="B1823" s="27" t="s">
        <v>200</v>
      </c>
      <c r="C1823" s="27" t="s">
        <v>182</v>
      </c>
      <c r="D1823" s="27" t="s">
        <v>7</v>
      </c>
      <c r="E1823" s="27" t="s">
        <v>8</v>
      </c>
      <c r="F1823" s="29"/>
      <c r="G1823" s="30">
        <f t="shared" ref="G1823:G1840" si="35">2887.81/18</f>
        <v>160.43388888888887</v>
      </c>
    </row>
    <row r="1824" spans="1:7" hidden="1" x14ac:dyDescent="0.25">
      <c r="A1824" s="28">
        <v>43617</v>
      </c>
      <c r="B1824" s="27" t="s">
        <v>200</v>
      </c>
      <c r="C1824" s="27" t="s">
        <v>182</v>
      </c>
      <c r="D1824" s="27" t="s">
        <v>7</v>
      </c>
      <c r="E1824" s="27" t="s">
        <v>9</v>
      </c>
      <c r="F1824" s="29"/>
      <c r="G1824" s="30">
        <f t="shared" si="35"/>
        <v>160.43388888888887</v>
      </c>
    </row>
    <row r="1825" spans="1:7" hidden="1" x14ac:dyDescent="0.25">
      <c r="A1825" s="28">
        <v>43617</v>
      </c>
      <c r="B1825" s="27" t="s">
        <v>200</v>
      </c>
      <c r="C1825" s="27" t="s">
        <v>182</v>
      </c>
      <c r="D1825" s="27" t="s">
        <v>7</v>
      </c>
      <c r="E1825" s="27" t="s">
        <v>64</v>
      </c>
      <c r="F1825" s="29"/>
      <c r="G1825" s="30">
        <f t="shared" si="35"/>
        <v>160.43388888888887</v>
      </c>
    </row>
    <row r="1826" spans="1:7" hidden="1" x14ac:dyDescent="0.25">
      <c r="A1826" s="28">
        <v>43617</v>
      </c>
      <c r="B1826" s="27" t="s">
        <v>200</v>
      </c>
      <c r="C1826" s="27" t="s">
        <v>182</v>
      </c>
      <c r="D1826" s="27" t="s">
        <v>7</v>
      </c>
      <c r="E1826" s="27" t="s">
        <v>21</v>
      </c>
      <c r="F1826" s="29"/>
      <c r="G1826" s="30">
        <f t="shared" si="35"/>
        <v>160.43388888888887</v>
      </c>
    </row>
    <row r="1827" spans="1:7" hidden="1" x14ac:dyDescent="0.25">
      <c r="A1827" s="28">
        <v>43617</v>
      </c>
      <c r="B1827" s="27" t="s">
        <v>200</v>
      </c>
      <c r="C1827" s="27" t="s">
        <v>182</v>
      </c>
      <c r="D1827" s="27" t="s">
        <v>7</v>
      </c>
      <c r="E1827" s="27" t="s">
        <v>21</v>
      </c>
      <c r="F1827" s="29"/>
      <c r="G1827" s="30">
        <f t="shared" si="35"/>
        <v>160.43388888888887</v>
      </c>
    </row>
    <row r="1828" spans="1:7" hidden="1" x14ac:dyDescent="0.25">
      <c r="A1828" s="28">
        <v>43617</v>
      </c>
      <c r="B1828" s="27" t="s">
        <v>200</v>
      </c>
      <c r="C1828" s="27" t="s">
        <v>182</v>
      </c>
      <c r="D1828" s="27" t="s">
        <v>7</v>
      </c>
      <c r="E1828" s="27" t="s">
        <v>10</v>
      </c>
      <c r="F1828" s="29"/>
      <c r="G1828" s="30">
        <f t="shared" si="35"/>
        <v>160.43388888888887</v>
      </c>
    </row>
    <row r="1829" spans="1:7" hidden="1" x14ac:dyDescent="0.25">
      <c r="A1829" s="28">
        <v>43617</v>
      </c>
      <c r="B1829" s="27" t="s">
        <v>200</v>
      </c>
      <c r="C1829" s="27" t="s">
        <v>182</v>
      </c>
      <c r="D1829" s="27" t="s">
        <v>7</v>
      </c>
      <c r="E1829" s="27" t="s">
        <v>11</v>
      </c>
      <c r="F1829" s="29"/>
      <c r="G1829" s="30">
        <f t="shared" si="35"/>
        <v>160.43388888888887</v>
      </c>
    </row>
    <row r="1830" spans="1:7" hidden="1" x14ac:dyDescent="0.25">
      <c r="A1830" s="28">
        <v>43617</v>
      </c>
      <c r="B1830" s="27" t="s">
        <v>200</v>
      </c>
      <c r="C1830" s="27" t="s">
        <v>182</v>
      </c>
      <c r="D1830" s="27" t="s">
        <v>7</v>
      </c>
      <c r="E1830" s="27" t="s">
        <v>12</v>
      </c>
      <c r="F1830" s="29"/>
      <c r="G1830" s="30">
        <f t="shared" si="35"/>
        <v>160.43388888888887</v>
      </c>
    </row>
    <row r="1831" spans="1:7" hidden="1" x14ac:dyDescent="0.25">
      <c r="A1831" s="28">
        <v>43617</v>
      </c>
      <c r="B1831" s="27" t="s">
        <v>200</v>
      </c>
      <c r="C1831" s="27" t="s">
        <v>182</v>
      </c>
      <c r="D1831" s="27" t="s">
        <v>7</v>
      </c>
      <c r="E1831" s="27" t="s">
        <v>13</v>
      </c>
      <c r="F1831" s="29"/>
      <c r="G1831" s="30">
        <f t="shared" si="35"/>
        <v>160.43388888888887</v>
      </c>
    </row>
    <row r="1832" spans="1:7" hidden="1" x14ac:dyDescent="0.25">
      <c r="A1832" s="28">
        <v>43617</v>
      </c>
      <c r="B1832" s="27" t="s">
        <v>200</v>
      </c>
      <c r="C1832" s="27" t="s">
        <v>182</v>
      </c>
      <c r="D1832" s="27" t="s">
        <v>7</v>
      </c>
      <c r="E1832" s="27" t="s">
        <v>14</v>
      </c>
      <c r="F1832" s="29"/>
      <c r="G1832" s="30">
        <f t="shared" si="35"/>
        <v>160.43388888888887</v>
      </c>
    </row>
    <row r="1833" spans="1:7" hidden="1" x14ac:dyDescent="0.25">
      <c r="A1833" s="28">
        <v>43617</v>
      </c>
      <c r="B1833" s="27" t="s">
        <v>200</v>
      </c>
      <c r="C1833" s="27" t="s">
        <v>182</v>
      </c>
      <c r="D1833" s="27" t="s">
        <v>7</v>
      </c>
      <c r="E1833" s="27" t="s">
        <v>15</v>
      </c>
      <c r="F1833" s="29"/>
      <c r="G1833" s="30">
        <f t="shared" si="35"/>
        <v>160.43388888888887</v>
      </c>
    </row>
    <row r="1834" spans="1:7" hidden="1" x14ac:dyDescent="0.25">
      <c r="A1834" s="28">
        <v>43617</v>
      </c>
      <c r="B1834" s="27" t="s">
        <v>200</v>
      </c>
      <c r="C1834" s="27" t="s">
        <v>182</v>
      </c>
      <c r="D1834" s="27" t="s">
        <v>7</v>
      </c>
      <c r="E1834" s="27" t="s">
        <v>16</v>
      </c>
      <c r="F1834" s="29"/>
      <c r="G1834" s="30">
        <f t="shared" si="35"/>
        <v>160.43388888888887</v>
      </c>
    </row>
    <row r="1835" spans="1:7" hidden="1" x14ac:dyDescent="0.25">
      <c r="A1835" s="28">
        <v>43617</v>
      </c>
      <c r="B1835" s="27" t="s">
        <v>200</v>
      </c>
      <c r="C1835" s="27" t="s">
        <v>182</v>
      </c>
      <c r="D1835" s="27" t="s">
        <v>7</v>
      </c>
      <c r="E1835" s="27" t="s">
        <v>17</v>
      </c>
      <c r="F1835" s="29"/>
      <c r="G1835" s="30">
        <f t="shared" si="35"/>
        <v>160.43388888888887</v>
      </c>
    </row>
    <row r="1836" spans="1:7" hidden="1" x14ac:dyDescent="0.25">
      <c r="A1836" s="28">
        <v>43617</v>
      </c>
      <c r="B1836" s="27" t="s">
        <v>200</v>
      </c>
      <c r="C1836" s="27" t="s">
        <v>182</v>
      </c>
      <c r="D1836" s="27" t="s">
        <v>7</v>
      </c>
      <c r="E1836" s="27" t="s">
        <v>18</v>
      </c>
      <c r="F1836" s="29"/>
      <c r="G1836" s="30">
        <f t="shared" si="35"/>
        <v>160.43388888888887</v>
      </c>
    </row>
    <row r="1837" spans="1:7" hidden="1" x14ac:dyDescent="0.25">
      <c r="A1837" s="28">
        <v>43617</v>
      </c>
      <c r="B1837" s="27" t="s">
        <v>200</v>
      </c>
      <c r="C1837" s="27" t="s">
        <v>182</v>
      </c>
      <c r="D1837" s="27" t="s">
        <v>7</v>
      </c>
      <c r="E1837" s="27" t="s">
        <v>19</v>
      </c>
      <c r="F1837" s="29"/>
      <c r="G1837" s="30">
        <f t="shared" si="35"/>
        <v>160.43388888888887</v>
      </c>
    </row>
    <row r="1838" spans="1:7" hidden="1" x14ac:dyDescent="0.25">
      <c r="A1838" s="28">
        <v>43617</v>
      </c>
      <c r="B1838" s="27" t="s">
        <v>200</v>
      </c>
      <c r="C1838" s="27" t="s">
        <v>182</v>
      </c>
      <c r="D1838" s="27" t="s">
        <v>7</v>
      </c>
      <c r="E1838" s="27" t="s">
        <v>20</v>
      </c>
      <c r="F1838" s="29"/>
      <c r="G1838" s="30">
        <f t="shared" si="35"/>
        <v>160.43388888888887</v>
      </c>
    </row>
    <row r="1839" spans="1:7" hidden="1" x14ac:dyDescent="0.25">
      <c r="A1839" s="28">
        <v>43617</v>
      </c>
      <c r="B1839" s="27" t="s">
        <v>200</v>
      </c>
      <c r="C1839" s="27" t="s">
        <v>182</v>
      </c>
      <c r="D1839" s="27" t="s">
        <v>7</v>
      </c>
      <c r="E1839" s="27" t="s">
        <v>204</v>
      </c>
      <c r="F1839" s="29"/>
      <c r="G1839" s="30">
        <f t="shared" si="35"/>
        <v>160.43388888888887</v>
      </c>
    </row>
    <row r="1840" spans="1:7" hidden="1" x14ac:dyDescent="0.25">
      <c r="A1840" s="28">
        <v>43617</v>
      </c>
      <c r="B1840" s="27" t="s">
        <v>200</v>
      </c>
      <c r="C1840" s="27" t="s">
        <v>182</v>
      </c>
      <c r="D1840" s="27" t="s">
        <v>7</v>
      </c>
      <c r="E1840" s="27" t="s">
        <v>37</v>
      </c>
      <c r="F1840" s="29"/>
      <c r="G1840" s="30">
        <f t="shared" si="35"/>
        <v>160.43388888888887</v>
      </c>
    </row>
    <row r="1841" spans="1:7" hidden="1" x14ac:dyDescent="0.25">
      <c r="A1841" s="28">
        <v>43617</v>
      </c>
      <c r="B1841" s="27" t="s">
        <v>35</v>
      </c>
      <c r="C1841" s="27" t="s">
        <v>50</v>
      </c>
      <c r="D1841" s="27" t="s">
        <v>6</v>
      </c>
      <c r="E1841" s="27" t="s">
        <v>8</v>
      </c>
      <c r="F1841" s="29"/>
      <c r="G1841" s="30">
        <v>471.57499999999999</v>
      </c>
    </row>
    <row r="1842" spans="1:7" hidden="1" x14ac:dyDescent="0.25">
      <c r="A1842" s="28">
        <v>43617</v>
      </c>
      <c r="B1842" s="27" t="s">
        <v>35</v>
      </c>
      <c r="C1842" s="27" t="s">
        <v>50</v>
      </c>
      <c r="D1842" s="27" t="s">
        <v>6</v>
      </c>
      <c r="E1842" s="27" t="s">
        <v>9</v>
      </c>
      <c r="F1842" s="29"/>
      <c r="G1842" s="30">
        <v>471.57499999999999</v>
      </c>
    </row>
    <row r="1843" spans="1:7" hidden="1" x14ac:dyDescent="0.25">
      <c r="A1843" s="28">
        <v>43617</v>
      </c>
      <c r="B1843" s="27" t="s">
        <v>35</v>
      </c>
      <c r="C1843" s="27" t="s">
        <v>50</v>
      </c>
      <c r="D1843" s="27" t="s">
        <v>6</v>
      </c>
      <c r="E1843" s="27" t="s">
        <v>64</v>
      </c>
      <c r="F1843" s="29"/>
      <c r="G1843" s="30">
        <v>471.57499999999999</v>
      </c>
    </row>
    <row r="1844" spans="1:7" hidden="1" x14ac:dyDescent="0.25">
      <c r="A1844" s="28">
        <v>43617</v>
      </c>
      <c r="B1844" s="27" t="s">
        <v>35</v>
      </c>
      <c r="C1844" s="27" t="s">
        <v>50</v>
      </c>
      <c r="D1844" s="27" t="s">
        <v>6</v>
      </c>
      <c r="E1844" s="27" t="s">
        <v>21</v>
      </c>
      <c r="F1844" s="29"/>
      <c r="G1844" s="30">
        <v>471.57499999999999</v>
      </c>
    </row>
    <row r="1845" spans="1:7" hidden="1" x14ac:dyDescent="0.25">
      <c r="A1845" s="28">
        <v>43617</v>
      </c>
      <c r="B1845" s="27" t="s">
        <v>35</v>
      </c>
      <c r="C1845" s="27" t="s">
        <v>50</v>
      </c>
      <c r="D1845" s="27" t="s">
        <v>6</v>
      </c>
      <c r="E1845" s="27" t="s">
        <v>21</v>
      </c>
      <c r="F1845" s="29"/>
      <c r="G1845" s="30">
        <v>471.57499999999999</v>
      </c>
    </row>
    <row r="1846" spans="1:7" hidden="1" x14ac:dyDescent="0.25">
      <c r="A1846" s="28">
        <v>43617</v>
      </c>
      <c r="B1846" s="27" t="s">
        <v>35</v>
      </c>
      <c r="C1846" s="27" t="s">
        <v>50</v>
      </c>
      <c r="D1846" s="27" t="s">
        <v>6</v>
      </c>
      <c r="E1846" s="27" t="s">
        <v>10</v>
      </c>
      <c r="F1846" s="29"/>
      <c r="G1846" s="30">
        <v>471.57499999999999</v>
      </c>
    </row>
    <row r="1847" spans="1:7" hidden="1" x14ac:dyDescent="0.25">
      <c r="A1847" s="28">
        <v>43617</v>
      </c>
      <c r="B1847" s="27" t="s">
        <v>35</v>
      </c>
      <c r="C1847" s="27" t="s">
        <v>50</v>
      </c>
      <c r="D1847" s="27" t="s">
        <v>6</v>
      </c>
      <c r="E1847" s="27" t="s">
        <v>11</v>
      </c>
      <c r="F1847" s="29"/>
      <c r="G1847" s="30">
        <v>471.57499999999999</v>
      </c>
    </row>
    <row r="1848" spans="1:7" hidden="1" x14ac:dyDescent="0.25">
      <c r="A1848" s="28">
        <v>43617</v>
      </c>
      <c r="B1848" s="27" t="s">
        <v>35</v>
      </c>
      <c r="C1848" s="27" t="s">
        <v>50</v>
      </c>
      <c r="D1848" s="27" t="s">
        <v>6</v>
      </c>
      <c r="E1848" s="27" t="s">
        <v>12</v>
      </c>
      <c r="F1848" s="29"/>
      <c r="G1848" s="30">
        <v>471.57499999999999</v>
      </c>
    </row>
    <row r="1849" spans="1:7" hidden="1" x14ac:dyDescent="0.25">
      <c r="A1849" s="28">
        <v>43617</v>
      </c>
      <c r="B1849" s="27" t="s">
        <v>35</v>
      </c>
      <c r="C1849" s="27" t="s">
        <v>50</v>
      </c>
      <c r="D1849" s="27" t="s">
        <v>6</v>
      </c>
      <c r="E1849" s="27" t="s">
        <v>13</v>
      </c>
      <c r="F1849" s="29"/>
      <c r="G1849" s="30">
        <v>471.57499999999999</v>
      </c>
    </row>
    <row r="1850" spans="1:7" hidden="1" x14ac:dyDescent="0.25">
      <c r="A1850" s="28">
        <v>43617</v>
      </c>
      <c r="B1850" s="27" t="s">
        <v>35</v>
      </c>
      <c r="C1850" s="27" t="s">
        <v>50</v>
      </c>
      <c r="D1850" s="27" t="s">
        <v>6</v>
      </c>
      <c r="E1850" s="27" t="s">
        <v>14</v>
      </c>
      <c r="F1850" s="29"/>
      <c r="G1850" s="30">
        <v>471.57499999999999</v>
      </c>
    </row>
    <row r="1851" spans="1:7" hidden="1" x14ac:dyDescent="0.25">
      <c r="A1851" s="28">
        <v>43617</v>
      </c>
      <c r="B1851" s="27" t="s">
        <v>35</v>
      </c>
      <c r="C1851" s="27" t="s">
        <v>50</v>
      </c>
      <c r="D1851" s="27" t="s">
        <v>6</v>
      </c>
      <c r="E1851" s="27" t="s">
        <v>15</v>
      </c>
      <c r="F1851" s="29"/>
      <c r="G1851" s="30">
        <v>471.57499999999999</v>
      </c>
    </row>
    <row r="1852" spans="1:7" hidden="1" x14ac:dyDescent="0.25">
      <c r="A1852" s="28">
        <v>43617</v>
      </c>
      <c r="B1852" s="27" t="s">
        <v>35</v>
      </c>
      <c r="C1852" s="27" t="s">
        <v>50</v>
      </c>
      <c r="D1852" s="27" t="s">
        <v>6</v>
      </c>
      <c r="E1852" s="27" t="s">
        <v>16</v>
      </c>
      <c r="F1852" s="29"/>
      <c r="G1852" s="30">
        <v>471.57499999999999</v>
      </c>
    </row>
    <row r="1853" spans="1:7" hidden="1" x14ac:dyDescent="0.25">
      <c r="A1853" s="28">
        <v>43617</v>
      </c>
      <c r="B1853" s="27" t="s">
        <v>35</v>
      </c>
      <c r="C1853" s="27" t="s">
        <v>50</v>
      </c>
      <c r="D1853" s="27" t="s">
        <v>6</v>
      </c>
      <c r="E1853" s="27" t="s">
        <v>17</v>
      </c>
      <c r="F1853" s="29"/>
      <c r="G1853" s="30">
        <v>471.57499999999999</v>
      </c>
    </row>
    <row r="1854" spans="1:7" hidden="1" x14ac:dyDescent="0.25">
      <c r="A1854" s="28">
        <v>43617</v>
      </c>
      <c r="B1854" s="27" t="s">
        <v>35</v>
      </c>
      <c r="C1854" s="27" t="s">
        <v>50</v>
      </c>
      <c r="D1854" s="27" t="s">
        <v>6</v>
      </c>
      <c r="E1854" s="27" t="s">
        <v>18</v>
      </c>
      <c r="F1854" s="29"/>
      <c r="G1854" s="30">
        <v>471.57499999999999</v>
      </c>
    </row>
    <row r="1855" spans="1:7" hidden="1" x14ac:dyDescent="0.25">
      <c r="A1855" s="28">
        <v>43617</v>
      </c>
      <c r="B1855" s="27" t="s">
        <v>35</v>
      </c>
      <c r="C1855" s="27" t="s">
        <v>50</v>
      </c>
      <c r="D1855" s="27" t="s">
        <v>6</v>
      </c>
      <c r="E1855" s="27" t="s">
        <v>19</v>
      </c>
      <c r="F1855" s="29"/>
      <c r="G1855" s="30">
        <v>471.57499999999999</v>
      </c>
    </row>
    <row r="1856" spans="1:7" hidden="1" x14ac:dyDescent="0.25">
      <c r="A1856" s="28">
        <v>43617</v>
      </c>
      <c r="B1856" s="27" t="s">
        <v>35</v>
      </c>
      <c r="C1856" s="27" t="s">
        <v>50</v>
      </c>
      <c r="D1856" s="27" t="s">
        <v>6</v>
      </c>
      <c r="E1856" s="27" t="s">
        <v>20</v>
      </c>
      <c r="F1856" s="29"/>
      <c r="G1856" s="30">
        <v>471.57499999999999</v>
      </c>
    </row>
    <row r="1857" spans="1:7" hidden="1" x14ac:dyDescent="0.25">
      <c r="A1857" s="28">
        <v>43617</v>
      </c>
      <c r="B1857" s="27" t="s">
        <v>34</v>
      </c>
      <c r="C1857" s="27" t="s">
        <v>50</v>
      </c>
      <c r="D1857" s="27" t="s">
        <v>6</v>
      </c>
      <c r="E1857" s="27" t="s">
        <v>8</v>
      </c>
      <c r="F1857" s="29"/>
      <c r="G1857" s="30">
        <v>552.0533333333334</v>
      </c>
    </row>
    <row r="1858" spans="1:7" hidden="1" x14ac:dyDescent="0.25">
      <c r="A1858" s="28">
        <v>43617</v>
      </c>
      <c r="B1858" s="27" t="s">
        <v>34</v>
      </c>
      <c r="C1858" s="27" t="s">
        <v>50</v>
      </c>
      <c r="D1858" s="27" t="s">
        <v>6</v>
      </c>
      <c r="E1858" s="27" t="s">
        <v>9</v>
      </c>
      <c r="F1858" s="29"/>
      <c r="G1858" s="30">
        <v>864.49749999999995</v>
      </c>
    </row>
    <row r="1859" spans="1:7" hidden="1" x14ac:dyDescent="0.25">
      <c r="A1859" s="28">
        <v>43617</v>
      </c>
      <c r="B1859" s="27" t="s">
        <v>34</v>
      </c>
      <c r="C1859" s="27" t="s">
        <v>50</v>
      </c>
      <c r="D1859" s="27" t="s">
        <v>6</v>
      </c>
      <c r="E1859" s="27" t="s">
        <v>64</v>
      </c>
      <c r="F1859" s="29"/>
      <c r="G1859" s="30">
        <v>698.10416666666663</v>
      </c>
    </row>
    <row r="1860" spans="1:7" hidden="1" x14ac:dyDescent="0.25">
      <c r="A1860" s="28">
        <v>43617</v>
      </c>
      <c r="B1860" s="27" t="s">
        <v>34</v>
      </c>
      <c r="C1860" s="27" t="s">
        <v>50</v>
      </c>
      <c r="D1860" s="27" t="s">
        <v>6</v>
      </c>
      <c r="E1860" s="27" t="s">
        <v>21</v>
      </c>
      <c r="F1860" s="29"/>
      <c r="G1860" s="30">
        <v>985.48500000000001</v>
      </c>
    </row>
    <row r="1861" spans="1:7" hidden="1" x14ac:dyDescent="0.25">
      <c r="A1861" s="28">
        <v>43617</v>
      </c>
      <c r="B1861" s="27" t="s">
        <v>34</v>
      </c>
      <c r="C1861" s="27" t="s">
        <v>50</v>
      </c>
      <c r="D1861" s="27" t="s">
        <v>6</v>
      </c>
      <c r="E1861" s="27" t="s">
        <v>21</v>
      </c>
      <c r="F1861" s="29"/>
      <c r="G1861" s="30">
        <v>656.62166666666667</v>
      </c>
    </row>
    <row r="1862" spans="1:7" hidden="1" x14ac:dyDescent="0.25">
      <c r="A1862" s="28">
        <v>43617</v>
      </c>
      <c r="B1862" s="27" t="s">
        <v>34</v>
      </c>
      <c r="C1862" s="27" t="s">
        <v>50</v>
      </c>
      <c r="D1862" s="27" t="s">
        <v>6</v>
      </c>
      <c r="E1862" s="27" t="s">
        <v>10</v>
      </c>
      <c r="F1862" s="29"/>
      <c r="G1862" s="30">
        <v>832.49083333333328</v>
      </c>
    </row>
    <row r="1863" spans="1:7" hidden="1" x14ac:dyDescent="0.25">
      <c r="A1863" s="28">
        <v>43617</v>
      </c>
      <c r="B1863" s="27" t="s">
        <v>34</v>
      </c>
      <c r="C1863" s="27" t="s">
        <v>50</v>
      </c>
      <c r="D1863" s="27" t="s">
        <v>6</v>
      </c>
      <c r="E1863" s="27" t="s">
        <v>11</v>
      </c>
      <c r="F1863" s="29"/>
      <c r="G1863" s="30">
        <v>418.92500000000001</v>
      </c>
    </row>
    <row r="1864" spans="1:7" hidden="1" x14ac:dyDescent="0.25">
      <c r="A1864" s="28">
        <v>43617</v>
      </c>
      <c r="B1864" s="27" t="s">
        <v>34</v>
      </c>
      <c r="C1864" s="27" t="s">
        <v>50</v>
      </c>
      <c r="D1864" s="27" t="s">
        <v>6</v>
      </c>
      <c r="E1864" s="27" t="s">
        <v>12</v>
      </c>
      <c r="F1864" s="29"/>
      <c r="G1864" s="30">
        <v>388.7</v>
      </c>
    </row>
    <row r="1865" spans="1:7" hidden="1" x14ac:dyDescent="0.25">
      <c r="A1865" s="28">
        <v>43617</v>
      </c>
      <c r="B1865" s="27" t="s">
        <v>34</v>
      </c>
      <c r="C1865" s="27" t="s">
        <v>50</v>
      </c>
      <c r="D1865" s="27" t="s">
        <v>6</v>
      </c>
      <c r="E1865" s="27" t="s">
        <v>13</v>
      </c>
      <c r="F1865" s="29"/>
      <c r="G1865" s="30">
        <v>537.06416666666667</v>
      </c>
    </row>
    <row r="1866" spans="1:7" hidden="1" x14ac:dyDescent="0.25">
      <c r="A1866" s="28">
        <v>43617</v>
      </c>
      <c r="B1866" s="27" t="s">
        <v>34</v>
      </c>
      <c r="C1866" s="27" t="s">
        <v>50</v>
      </c>
      <c r="D1866" s="27" t="s">
        <v>6</v>
      </c>
      <c r="E1866" s="27" t="s">
        <v>14</v>
      </c>
      <c r="F1866" s="29"/>
      <c r="G1866" s="30">
        <v>165.58333333333334</v>
      </c>
    </row>
    <row r="1867" spans="1:7" hidden="1" x14ac:dyDescent="0.25">
      <c r="A1867" s="28">
        <v>43617</v>
      </c>
      <c r="B1867" s="27" t="s">
        <v>34</v>
      </c>
      <c r="C1867" s="27" t="s">
        <v>50</v>
      </c>
      <c r="D1867" s="27" t="s">
        <v>6</v>
      </c>
      <c r="E1867" s="27" t="s">
        <v>15</v>
      </c>
      <c r="F1867" s="29"/>
      <c r="G1867" s="30">
        <v>409.28999999999996</v>
      </c>
    </row>
    <row r="1868" spans="1:7" hidden="1" x14ac:dyDescent="0.25">
      <c r="A1868" s="28">
        <v>43617</v>
      </c>
      <c r="B1868" s="27" t="s">
        <v>34</v>
      </c>
      <c r="C1868" s="27" t="s">
        <v>50</v>
      </c>
      <c r="D1868" s="27" t="s">
        <v>6</v>
      </c>
      <c r="E1868" s="27" t="s">
        <v>16</v>
      </c>
      <c r="F1868" s="29"/>
      <c r="G1868" s="30">
        <v>657.78499999999997</v>
      </c>
    </row>
    <row r="1869" spans="1:7" hidden="1" x14ac:dyDescent="0.25">
      <c r="A1869" s="28">
        <v>43617</v>
      </c>
      <c r="B1869" s="27" t="s">
        <v>34</v>
      </c>
      <c r="C1869" s="27" t="s">
        <v>50</v>
      </c>
      <c r="D1869" s="27" t="s">
        <v>6</v>
      </c>
      <c r="E1869" s="27" t="s">
        <v>17</v>
      </c>
      <c r="F1869" s="29"/>
      <c r="G1869" s="30">
        <v>835.00750000000005</v>
      </c>
    </row>
    <row r="1870" spans="1:7" hidden="1" x14ac:dyDescent="0.25">
      <c r="A1870" s="28">
        <v>43617</v>
      </c>
      <c r="B1870" s="27" t="s">
        <v>34</v>
      </c>
      <c r="C1870" s="27" t="s">
        <v>50</v>
      </c>
      <c r="D1870" s="27" t="s">
        <v>6</v>
      </c>
      <c r="E1870" s="27" t="s">
        <v>18</v>
      </c>
      <c r="F1870" s="29"/>
      <c r="G1870" s="30">
        <v>369.30749999999995</v>
      </c>
    </row>
    <row r="1871" spans="1:7" hidden="1" x14ac:dyDescent="0.25">
      <c r="A1871" s="28">
        <v>43617</v>
      </c>
      <c r="B1871" s="27" t="s">
        <v>34</v>
      </c>
      <c r="C1871" s="27" t="s">
        <v>50</v>
      </c>
      <c r="D1871" s="27" t="s">
        <v>6</v>
      </c>
      <c r="E1871" s="27" t="s">
        <v>19</v>
      </c>
      <c r="F1871" s="29"/>
      <c r="G1871" s="30">
        <v>289.51</v>
      </c>
    </row>
    <row r="1872" spans="1:7" hidden="1" x14ac:dyDescent="0.25">
      <c r="A1872" s="28">
        <v>43617</v>
      </c>
      <c r="B1872" s="27" t="s">
        <v>34</v>
      </c>
      <c r="C1872" s="27" t="s">
        <v>50</v>
      </c>
      <c r="D1872" s="27" t="s">
        <v>6</v>
      </c>
      <c r="E1872" s="27" t="s">
        <v>20</v>
      </c>
      <c r="F1872" s="29"/>
      <c r="G1872" s="30">
        <v>550.26900000000001</v>
      </c>
    </row>
    <row r="1873" spans="1:7" hidden="1" x14ac:dyDescent="0.25">
      <c r="A1873" s="28">
        <v>43617</v>
      </c>
      <c r="B1873" s="27" t="s">
        <v>34</v>
      </c>
      <c r="C1873" s="27" t="s">
        <v>50</v>
      </c>
      <c r="D1873" s="27" t="s">
        <v>6</v>
      </c>
      <c r="E1873" s="27" t="s">
        <v>204</v>
      </c>
      <c r="F1873" s="29"/>
      <c r="G1873" s="30">
        <v>164.41666666666666</v>
      </c>
    </row>
    <row r="1874" spans="1:7" hidden="1" x14ac:dyDescent="0.25">
      <c r="A1874" s="28">
        <v>43647</v>
      </c>
      <c r="B1874" s="27" t="s">
        <v>33</v>
      </c>
      <c r="C1874" s="27" t="s">
        <v>50</v>
      </c>
      <c r="D1874" s="27" t="s">
        <v>7</v>
      </c>
      <c r="E1874" s="27" t="s">
        <v>8</v>
      </c>
      <c r="F1874" s="29"/>
      <c r="G1874" s="30">
        <v>2509.1105882352945</v>
      </c>
    </row>
    <row r="1875" spans="1:7" hidden="1" x14ac:dyDescent="0.25">
      <c r="A1875" s="28">
        <v>43647</v>
      </c>
      <c r="B1875" s="27" t="s">
        <v>33</v>
      </c>
      <c r="C1875" s="27" t="s">
        <v>50</v>
      </c>
      <c r="D1875" s="27" t="s">
        <v>7</v>
      </c>
      <c r="E1875" s="27" t="s">
        <v>9</v>
      </c>
      <c r="F1875" s="29"/>
      <c r="G1875" s="30">
        <v>2509.1105882352945</v>
      </c>
    </row>
    <row r="1876" spans="1:7" hidden="1" x14ac:dyDescent="0.25">
      <c r="A1876" s="28">
        <v>43647</v>
      </c>
      <c r="B1876" s="27" t="s">
        <v>33</v>
      </c>
      <c r="C1876" s="27" t="s">
        <v>50</v>
      </c>
      <c r="D1876" s="27" t="s">
        <v>7</v>
      </c>
      <c r="E1876" s="27" t="s">
        <v>64</v>
      </c>
      <c r="F1876" s="29"/>
      <c r="G1876" s="30">
        <v>2509.1105882352945</v>
      </c>
    </row>
    <row r="1877" spans="1:7" hidden="1" x14ac:dyDescent="0.25">
      <c r="A1877" s="28">
        <v>43647</v>
      </c>
      <c r="B1877" s="27" t="s">
        <v>33</v>
      </c>
      <c r="C1877" s="27" t="s">
        <v>50</v>
      </c>
      <c r="D1877" s="27" t="s">
        <v>7</v>
      </c>
      <c r="E1877" s="27" t="s">
        <v>21</v>
      </c>
      <c r="F1877" s="29"/>
      <c r="G1877" s="30">
        <v>2509.1105882352945</v>
      </c>
    </row>
    <row r="1878" spans="1:7" hidden="1" x14ac:dyDescent="0.25">
      <c r="A1878" s="28">
        <v>43647</v>
      </c>
      <c r="B1878" s="27" t="s">
        <v>33</v>
      </c>
      <c r="C1878" s="27" t="s">
        <v>50</v>
      </c>
      <c r="D1878" s="27" t="s">
        <v>7</v>
      </c>
      <c r="E1878" s="27" t="s">
        <v>21</v>
      </c>
      <c r="F1878" s="29"/>
      <c r="G1878" s="30">
        <v>2509.1105882352945</v>
      </c>
    </row>
    <row r="1879" spans="1:7" hidden="1" x14ac:dyDescent="0.25">
      <c r="A1879" s="28">
        <v>43647</v>
      </c>
      <c r="B1879" s="27" t="s">
        <v>33</v>
      </c>
      <c r="C1879" s="27" t="s">
        <v>50</v>
      </c>
      <c r="D1879" s="27" t="s">
        <v>7</v>
      </c>
      <c r="E1879" s="27" t="s">
        <v>10</v>
      </c>
      <c r="F1879" s="29"/>
      <c r="G1879" s="30">
        <v>2509.1105882352945</v>
      </c>
    </row>
    <row r="1880" spans="1:7" hidden="1" x14ac:dyDescent="0.25">
      <c r="A1880" s="28">
        <v>43647</v>
      </c>
      <c r="B1880" s="27" t="s">
        <v>33</v>
      </c>
      <c r="C1880" s="27" t="s">
        <v>50</v>
      </c>
      <c r="D1880" s="27" t="s">
        <v>7</v>
      </c>
      <c r="E1880" s="27" t="s">
        <v>11</v>
      </c>
      <c r="F1880" s="29"/>
      <c r="G1880" s="30">
        <v>2509.1105882352945</v>
      </c>
    </row>
    <row r="1881" spans="1:7" hidden="1" x14ac:dyDescent="0.25">
      <c r="A1881" s="28">
        <v>43647</v>
      </c>
      <c r="B1881" s="27" t="s">
        <v>33</v>
      </c>
      <c r="C1881" s="27" t="s">
        <v>50</v>
      </c>
      <c r="D1881" s="27" t="s">
        <v>7</v>
      </c>
      <c r="E1881" s="27" t="s">
        <v>12</v>
      </c>
      <c r="F1881" s="29"/>
      <c r="G1881" s="30">
        <v>2509.1105882352945</v>
      </c>
    </row>
    <row r="1882" spans="1:7" hidden="1" x14ac:dyDescent="0.25">
      <c r="A1882" s="28">
        <v>43647</v>
      </c>
      <c r="B1882" s="27" t="s">
        <v>33</v>
      </c>
      <c r="C1882" s="27" t="s">
        <v>50</v>
      </c>
      <c r="D1882" s="27" t="s">
        <v>7</v>
      </c>
      <c r="E1882" s="27" t="s">
        <v>13</v>
      </c>
      <c r="F1882" s="29"/>
      <c r="G1882" s="30">
        <v>2509.1105882352945</v>
      </c>
    </row>
    <row r="1883" spans="1:7" hidden="1" x14ac:dyDescent="0.25">
      <c r="A1883" s="28">
        <v>43647</v>
      </c>
      <c r="B1883" s="27" t="s">
        <v>33</v>
      </c>
      <c r="C1883" s="27" t="s">
        <v>50</v>
      </c>
      <c r="D1883" s="27" t="s">
        <v>7</v>
      </c>
      <c r="E1883" s="27" t="s">
        <v>14</v>
      </c>
      <c r="F1883" s="29"/>
      <c r="G1883" s="30">
        <v>2509.1105882352945</v>
      </c>
    </row>
    <row r="1884" spans="1:7" hidden="1" x14ac:dyDescent="0.25">
      <c r="A1884" s="28">
        <v>43647</v>
      </c>
      <c r="B1884" s="27" t="s">
        <v>33</v>
      </c>
      <c r="C1884" s="27" t="s">
        <v>50</v>
      </c>
      <c r="D1884" s="27" t="s">
        <v>7</v>
      </c>
      <c r="E1884" s="27" t="s">
        <v>15</v>
      </c>
      <c r="F1884" s="29"/>
      <c r="G1884" s="30">
        <v>2509.1105882352945</v>
      </c>
    </row>
    <row r="1885" spans="1:7" hidden="1" x14ac:dyDescent="0.25">
      <c r="A1885" s="28">
        <v>43647</v>
      </c>
      <c r="B1885" s="27" t="s">
        <v>33</v>
      </c>
      <c r="C1885" s="27" t="s">
        <v>50</v>
      </c>
      <c r="D1885" s="27" t="s">
        <v>7</v>
      </c>
      <c r="E1885" s="27" t="s">
        <v>16</v>
      </c>
      <c r="F1885" s="29"/>
      <c r="G1885" s="30">
        <v>2509.1105882352945</v>
      </c>
    </row>
    <row r="1886" spans="1:7" hidden="1" x14ac:dyDescent="0.25">
      <c r="A1886" s="28">
        <v>43647</v>
      </c>
      <c r="B1886" s="27" t="s">
        <v>33</v>
      </c>
      <c r="C1886" s="27" t="s">
        <v>50</v>
      </c>
      <c r="D1886" s="27" t="s">
        <v>7</v>
      </c>
      <c r="E1886" s="27" t="s">
        <v>17</v>
      </c>
      <c r="F1886" s="29"/>
      <c r="G1886" s="30">
        <v>2509.1105882352945</v>
      </c>
    </row>
    <row r="1887" spans="1:7" hidden="1" x14ac:dyDescent="0.25">
      <c r="A1887" s="28">
        <v>43647</v>
      </c>
      <c r="B1887" s="27" t="s">
        <v>33</v>
      </c>
      <c r="C1887" s="27" t="s">
        <v>50</v>
      </c>
      <c r="D1887" s="27" t="s">
        <v>7</v>
      </c>
      <c r="E1887" s="27" t="s">
        <v>18</v>
      </c>
      <c r="F1887" s="29"/>
      <c r="G1887" s="30">
        <v>2509.1105882352945</v>
      </c>
    </row>
    <row r="1888" spans="1:7" hidden="1" x14ac:dyDescent="0.25">
      <c r="A1888" s="28">
        <v>43647</v>
      </c>
      <c r="B1888" s="27" t="s">
        <v>33</v>
      </c>
      <c r="C1888" s="27" t="s">
        <v>50</v>
      </c>
      <c r="D1888" s="27" t="s">
        <v>7</v>
      </c>
      <c r="E1888" s="27" t="s">
        <v>19</v>
      </c>
      <c r="F1888" s="29"/>
      <c r="G1888" s="30">
        <v>2509.1105882352945</v>
      </c>
    </row>
    <row r="1889" spans="1:7" hidden="1" x14ac:dyDescent="0.25">
      <c r="A1889" s="28">
        <v>43647</v>
      </c>
      <c r="B1889" s="27" t="s">
        <v>33</v>
      </c>
      <c r="C1889" s="27" t="s">
        <v>50</v>
      </c>
      <c r="D1889" s="27" t="s">
        <v>7</v>
      </c>
      <c r="E1889" s="27" t="s">
        <v>20</v>
      </c>
      <c r="F1889" s="29"/>
      <c r="G1889" s="30">
        <v>2509.1105882352945</v>
      </c>
    </row>
    <row r="1890" spans="1:7" hidden="1" x14ac:dyDescent="0.25">
      <c r="A1890" s="28">
        <v>43647</v>
      </c>
      <c r="B1890" s="27" t="s">
        <v>33</v>
      </c>
      <c r="C1890" s="27" t="s">
        <v>50</v>
      </c>
      <c r="D1890" s="27" t="s">
        <v>7</v>
      </c>
      <c r="E1890" s="27" t="s">
        <v>37</v>
      </c>
      <c r="F1890" s="29"/>
      <c r="G1890" s="30">
        <v>2509.1105882352945</v>
      </c>
    </row>
    <row r="1891" spans="1:7" hidden="1" x14ac:dyDescent="0.25">
      <c r="A1891" s="28">
        <v>43647</v>
      </c>
      <c r="B1891" s="27" t="s">
        <v>4</v>
      </c>
      <c r="C1891" s="27" t="s">
        <v>50</v>
      </c>
      <c r="D1891" s="27" t="s">
        <v>7</v>
      </c>
      <c r="E1891" s="27" t="s">
        <v>8</v>
      </c>
      <c r="F1891" s="29"/>
      <c r="G1891" s="30">
        <v>2919.63</v>
      </c>
    </row>
    <row r="1892" spans="1:7" hidden="1" x14ac:dyDescent="0.25">
      <c r="A1892" s="28">
        <v>43647</v>
      </c>
      <c r="B1892" s="27" t="s">
        <v>4</v>
      </c>
      <c r="C1892" s="27" t="s">
        <v>50</v>
      </c>
      <c r="D1892" s="27" t="s">
        <v>7</v>
      </c>
      <c r="E1892" s="27" t="s">
        <v>9</v>
      </c>
      <c r="F1892" s="29"/>
      <c r="G1892" s="30">
        <v>3870.39</v>
      </c>
    </row>
    <row r="1893" spans="1:7" hidden="1" x14ac:dyDescent="0.25">
      <c r="A1893" s="28">
        <v>43647</v>
      </c>
      <c r="B1893" s="27" t="s">
        <v>4</v>
      </c>
      <c r="C1893" s="27" t="s">
        <v>50</v>
      </c>
      <c r="D1893" s="27" t="s">
        <v>7</v>
      </c>
      <c r="E1893" s="27" t="s">
        <v>64</v>
      </c>
      <c r="F1893" s="29"/>
      <c r="G1893" s="30">
        <v>4869.6499999999996</v>
      </c>
    </row>
    <row r="1894" spans="1:7" hidden="1" x14ac:dyDescent="0.25">
      <c r="A1894" s="28">
        <v>43647</v>
      </c>
      <c r="B1894" s="27" t="s">
        <v>4</v>
      </c>
      <c r="C1894" s="27" t="s">
        <v>50</v>
      </c>
      <c r="D1894" s="27" t="s">
        <v>7</v>
      </c>
      <c r="E1894" s="27" t="s">
        <v>21</v>
      </c>
      <c r="F1894" s="29"/>
      <c r="G1894" s="30">
        <v>1416.62</v>
      </c>
    </row>
    <row r="1895" spans="1:7" hidden="1" x14ac:dyDescent="0.25">
      <c r="A1895" s="28">
        <v>43647</v>
      </c>
      <c r="B1895" s="27" t="s">
        <v>4</v>
      </c>
      <c r="C1895" s="27" t="s">
        <v>50</v>
      </c>
      <c r="D1895" s="27" t="s">
        <v>7</v>
      </c>
      <c r="E1895" s="27" t="s">
        <v>21</v>
      </c>
      <c r="F1895" s="29"/>
      <c r="G1895" s="30">
        <v>5938.27</v>
      </c>
    </row>
    <row r="1896" spans="1:7" hidden="1" x14ac:dyDescent="0.25">
      <c r="A1896" s="28">
        <v>43647</v>
      </c>
      <c r="B1896" s="27" t="s">
        <v>4</v>
      </c>
      <c r="C1896" s="27" t="s">
        <v>50</v>
      </c>
      <c r="D1896" s="27" t="s">
        <v>7</v>
      </c>
      <c r="E1896" s="27" t="s">
        <v>10</v>
      </c>
      <c r="F1896" s="29"/>
      <c r="G1896" s="30">
        <v>4618.9699999999993</v>
      </c>
    </row>
    <row r="1897" spans="1:7" hidden="1" x14ac:dyDescent="0.25">
      <c r="A1897" s="28">
        <v>43647</v>
      </c>
      <c r="B1897" s="27" t="s">
        <v>4</v>
      </c>
      <c r="C1897" s="27" t="s">
        <v>50</v>
      </c>
      <c r="D1897" s="27" t="s">
        <v>7</v>
      </c>
      <c r="E1897" s="27" t="s">
        <v>11</v>
      </c>
      <c r="F1897" s="29"/>
      <c r="G1897" s="30">
        <v>2287.35</v>
      </c>
    </row>
    <row r="1898" spans="1:7" hidden="1" x14ac:dyDescent="0.25">
      <c r="A1898" s="28">
        <v>43647</v>
      </c>
      <c r="B1898" s="27" t="s">
        <v>4</v>
      </c>
      <c r="C1898" s="27" t="s">
        <v>50</v>
      </c>
      <c r="D1898" s="27" t="s">
        <v>7</v>
      </c>
      <c r="E1898" s="27" t="s">
        <v>12</v>
      </c>
      <c r="F1898" s="29"/>
      <c r="G1898" s="30">
        <v>1561.92</v>
      </c>
    </row>
    <row r="1899" spans="1:7" hidden="1" x14ac:dyDescent="0.25">
      <c r="A1899" s="28">
        <v>43647</v>
      </c>
      <c r="B1899" s="27" t="s">
        <v>4</v>
      </c>
      <c r="C1899" s="27" t="s">
        <v>50</v>
      </c>
      <c r="D1899" s="27" t="s">
        <v>7</v>
      </c>
      <c r="E1899" s="27" t="s">
        <v>13</v>
      </c>
      <c r="F1899" s="29"/>
      <c r="G1899" s="30">
        <v>5469.45</v>
      </c>
    </row>
    <row r="1900" spans="1:7" hidden="1" x14ac:dyDescent="0.25">
      <c r="A1900" s="28">
        <v>43647</v>
      </c>
      <c r="B1900" s="27" t="s">
        <v>4</v>
      </c>
      <c r="C1900" s="27" t="s">
        <v>50</v>
      </c>
      <c r="D1900" s="27" t="s">
        <v>7</v>
      </c>
      <c r="E1900" s="27" t="s">
        <v>14</v>
      </c>
      <c r="F1900" s="29"/>
      <c r="G1900" s="30">
        <v>1726.7799999999997</v>
      </c>
    </row>
    <row r="1901" spans="1:7" hidden="1" x14ac:dyDescent="0.25">
      <c r="A1901" s="28">
        <v>43647</v>
      </c>
      <c r="B1901" s="27" t="s">
        <v>4</v>
      </c>
      <c r="C1901" s="27" t="s">
        <v>50</v>
      </c>
      <c r="D1901" s="27" t="s">
        <v>7</v>
      </c>
      <c r="E1901" s="27" t="s">
        <v>15</v>
      </c>
      <c r="F1901" s="29"/>
      <c r="G1901" s="30">
        <v>3631.1400000000003</v>
      </c>
    </row>
    <row r="1902" spans="1:7" hidden="1" x14ac:dyDescent="0.25">
      <c r="A1902" s="28">
        <v>43647</v>
      </c>
      <c r="B1902" s="27" t="s">
        <v>4</v>
      </c>
      <c r="C1902" s="27" t="s">
        <v>50</v>
      </c>
      <c r="D1902" s="27" t="s">
        <v>7</v>
      </c>
      <c r="E1902" s="27" t="s">
        <v>16</v>
      </c>
      <c r="F1902" s="29"/>
      <c r="G1902" s="30">
        <v>4524.76</v>
      </c>
    </row>
    <row r="1903" spans="1:7" hidden="1" x14ac:dyDescent="0.25">
      <c r="A1903" s="28">
        <v>43647</v>
      </c>
      <c r="B1903" s="27" t="s">
        <v>4</v>
      </c>
      <c r="C1903" s="27" t="s">
        <v>50</v>
      </c>
      <c r="D1903" s="27" t="s">
        <v>7</v>
      </c>
      <c r="E1903" s="27" t="s">
        <v>17</v>
      </c>
      <c r="F1903" s="29"/>
      <c r="G1903" s="30">
        <v>5302.73</v>
      </c>
    </row>
    <row r="1904" spans="1:7" hidden="1" x14ac:dyDescent="0.25">
      <c r="A1904" s="28">
        <v>43647</v>
      </c>
      <c r="B1904" s="27" t="s">
        <v>4</v>
      </c>
      <c r="C1904" s="27" t="s">
        <v>50</v>
      </c>
      <c r="D1904" s="27" t="s">
        <v>7</v>
      </c>
      <c r="E1904" s="27" t="s">
        <v>18</v>
      </c>
      <c r="F1904" s="29"/>
      <c r="G1904" s="30">
        <v>2047.35</v>
      </c>
    </row>
    <row r="1905" spans="1:7" hidden="1" x14ac:dyDescent="0.25">
      <c r="A1905" s="28">
        <v>43647</v>
      </c>
      <c r="B1905" s="27" t="s">
        <v>4</v>
      </c>
      <c r="C1905" s="27" t="s">
        <v>50</v>
      </c>
      <c r="D1905" s="27" t="s">
        <v>7</v>
      </c>
      <c r="E1905" s="27" t="s">
        <v>19</v>
      </c>
      <c r="F1905" s="29"/>
      <c r="G1905" s="30">
        <v>3946.15</v>
      </c>
    </row>
    <row r="1906" spans="1:7" hidden="1" x14ac:dyDescent="0.25">
      <c r="A1906" s="28">
        <v>43647</v>
      </c>
      <c r="B1906" s="27" t="s">
        <v>4</v>
      </c>
      <c r="C1906" s="27" t="s">
        <v>50</v>
      </c>
      <c r="D1906" s="27" t="s">
        <v>7</v>
      </c>
      <c r="E1906" s="27" t="s">
        <v>20</v>
      </c>
      <c r="F1906" s="29"/>
      <c r="G1906" s="30">
        <v>1999.8400000000001</v>
      </c>
    </row>
    <row r="1907" spans="1:7" hidden="1" x14ac:dyDescent="0.25">
      <c r="A1907" s="28">
        <v>43647</v>
      </c>
      <c r="B1907" s="27" t="s">
        <v>4</v>
      </c>
      <c r="C1907" s="27" t="s">
        <v>50</v>
      </c>
      <c r="D1907" s="27" t="s">
        <v>7</v>
      </c>
      <c r="E1907" s="27" t="s">
        <v>204</v>
      </c>
      <c r="F1907" s="29"/>
      <c r="G1907" s="30">
        <v>1782.25</v>
      </c>
    </row>
    <row r="1908" spans="1:7" hidden="1" x14ac:dyDescent="0.25">
      <c r="A1908" s="28">
        <v>43647</v>
      </c>
      <c r="B1908" s="27" t="s">
        <v>4</v>
      </c>
      <c r="C1908" s="27" t="s">
        <v>50</v>
      </c>
      <c r="D1908" s="27" t="s">
        <v>7</v>
      </c>
      <c r="E1908" s="27" t="s">
        <v>37</v>
      </c>
      <c r="F1908" s="29"/>
      <c r="G1908" s="30">
        <v>210</v>
      </c>
    </row>
    <row r="1909" spans="1:7" hidden="1" x14ac:dyDescent="0.25">
      <c r="A1909" s="28">
        <v>43647</v>
      </c>
      <c r="B1909" s="27" t="s">
        <v>26</v>
      </c>
      <c r="C1909" s="27" t="s">
        <v>50</v>
      </c>
      <c r="D1909" s="27" t="s">
        <v>6</v>
      </c>
      <c r="E1909" s="27" t="s">
        <v>8</v>
      </c>
      <c r="F1909" s="29"/>
      <c r="G1909" s="30">
        <v>1194.25</v>
      </c>
    </row>
    <row r="1910" spans="1:7" hidden="1" x14ac:dyDescent="0.25">
      <c r="A1910" s="28">
        <v>43647</v>
      </c>
      <c r="B1910" s="27" t="s">
        <v>26</v>
      </c>
      <c r="C1910" s="27" t="s">
        <v>50</v>
      </c>
      <c r="D1910" s="27" t="s">
        <v>6</v>
      </c>
      <c r="E1910" s="27" t="s">
        <v>9</v>
      </c>
      <c r="F1910" s="29"/>
      <c r="G1910" s="30">
        <v>1550.9166666666667</v>
      </c>
    </row>
    <row r="1911" spans="1:7" hidden="1" x14ac:dyDescent="0.25">
      <c r="A1911" s="28">
        <v>43647</v>
      </c>
      <c r="B1911" s="27" t="s">
        <v>26</v>
      </c>
      <c r="C1911" s="27" t="s">
        <v>50</v>
      </c>
      <c r="D1911" s="27" t="s">
        <v>6</v>
      </c>
      <c r="E1911" s="27" t="s">
        <v>64</v>
      </c>
      <c r="F1911" s="29"/>
      <c r="G1911" s="30">
        <v>1270.3500000000001</v>
      </c>
    </row>
    <row r="1912" spans="1:7" hidden="1" x14ac:dyDescent="0.25">
      <c r="A1912" s="28">
        <v>43647</v>
      </c>
      <c r="B1912" s="27" t="s">
        <v>26</v>
      </c>
      <c r="C1912" s="27" t="s">
        <v>50</v>
      </c>
      <c r="D1912" s="27" t="s">
        <v>6</v>
      </c>
      <c r="E1912" s="27" t="s">
        <v>21</v>
      </c>
      <c r="F1912" s="29"/>
      <c r="G1912" s="30">
        <v>1359.4166666666667</v>
      </c>
    </row>
    <row r="1913" spans="1:7" hidden="1" x14ac:dyDescent="0.25">
      <c r="A1913" s="28">
        <v>43647</v>
      </c>
      <c r="B1913" s="27" t="s">
        <v>26</v>
      </c>
      <c r="C1913" s="27" t="s">
        <v>50</v>
      </c>
      <c r="D1913" s="27" t="s">
        <v>6</v>
      </c>
      <c r="E1913" s="27" t="s">
        <v>21</v>
      </c>
      <c r="F1913" s="29"/>
      <c r="G1913" s="30">
        <v>1359.4166666666667</v>
      </c>
    </row>
    <row r="1914" spans="1:7" hidden="1" x14ac:dyDescent="0.25">
      <c r="A1914" s="28">
        <v>43647</v>
      </c>
      <c r="B1914" s="27" t="s">
        <v>26</v>
      </c>
      <c r="C1914" s="27" t="s">
        <v>50</v>
      </c>
      <c r="D1914" s="27" t="s">
        <v>6</v>
      </c>
      <c r="E1914" s="27" t="s">
        <v>10</v>
      </c>
      <c r="F1914" s="29"/>
      <c r="G1914" s="30">
        <v>1998.9666666666669</v>
      </c>
    </row>
    <row r="1915" spans="1:7" hidden="1" x14ac:dyDescent="0.25">
      <c r="A1915" s="28">
        <v>43647</v>
      </c>
      <c r="B1915" s="27" t="s">
        <v>26</v>
      </c>
      <c r="C1915" s="27" t="s">
        <v>50</v>
      </c>
      <c r="D1915" s="27" t="s">
        <v>6</v>
      </c>
      <c r="E1915" s="27" t="s">
        <v>11</v>
      </c>
      <c r="F1915" s="29"/>
      <c r="G1915" s="30">
        <v>1340.7166666666667</v>
      </c>
    </row>
    <row r="1916" spans="1:7" hidden="1" x14ac:dyDescent="0.25">
      <c r="A1916" s="28">
        <v>43647</v>
      </c>
      <c r="B1916" s="27" t="s">
        <v>26</v>
      </c>
      <c r="C1916" s="27" t="s">
        <v>50</v>
      </c>
      <c r="D1916" s="27" t="s">
        <v>6</v>
      </c>
      <c r="E1916" s="27" t="s">
        <v>12</v>
      </c>
      <c r="F1916" s="29"/>
      <c r="G1916" s="30">
        <v>1350.1166666666668</v>
      </c>
    </row>
    <row r="1917" spans="1:7" hidden="1" x14ac:dyDescent="0.25">
      <c r="A1917" s="28">
        <v>43647</v>
      </c>
      <c r="B1917" s="27" t="s">
        <v>26</v>
      </c>
      <c r="C1917" s="27" t="s">
        <v>50</v>
      </c>
      <c r="D1917" s="27" t="s">
        <v>6</v>
      </c>
      <c r="E1917" s="27" t="s">
        <v>13</v>
      </c>
      <c r="F1917" s="29"/>
      <c r="G1917" s="30">
        <v>1901.5</v>
      </c>
    </row>
    <row r="1918" spans="1:7" hidden="1" x14ac:dyDescent="0.25">
      <c r="A1918" s="28">
        <v>43647</v>
      </c>
      <c r="B1918" s="27" t="s">
        <v>26</v>
      </c>
      <c r="C1918" s="27" t="s">
        <v>50</v>
      </c>
      <c r="D1918" s="27" t="s">
        <v>6</v>
      </c>
      <c r="E1918" s="27" t="s">
        <v>14</v>
      </c>
      <c r="F1918" s="29"/>
      <c r="G1918" s="30">
        <v>701.7833333333333</v>
      </c>
    </row>
    <row r="1919" spans="1:7" hidden="1" x14ac:dyDescent="0.25">
      <c r="A1919" s="28">
        <v>43647</v>
      </c>
      <c r="B1919" s="27" t="s">
        <v>26</v>
      </c>
      <c r="C1919" s="27" t="s">
        <v>50</v>
      </c>
      <c r="D1919" s="27" t="s">
        <v>6</v>
      </c>
      <c r="E1919" s="27" t="s">
        <v>15</v>
      </c>
      <c r="F1919" s="29"/>
      <c r="G1919" s="30">
        <v>1820.5500000000002</v>
      </c>
    </row>
    <row r="1920" spans="1:7" hidden="1" x14ac:dyDescent="0.25">
      <c r="A1920" s="28">
        <v>43647</v>
      </c>
      <c r="B1920" s="27" t="s">
        <v>26</v>
      </c>
      <c r="C1920" s="27" t="s">
        <v>50</v>
      </c>
      <c r="D1920" s="27" t="s">
        <v>6</v>
      </c>
      <c r="E1920" s="27" t="s">
        <v>16</v>
      </c>
      <c r="F1920" s="29"/>
      <c r="G1920" s="30">
        <v>1992.5833333333333</v>
      </c>
    </row>
    <row r="1921" spans="1:7" hidden="1" x14ac:dyDescent="0.25">
      <c r="A1921" s="28">
        <v>43647</v>
      </c>
      <c r="B1921" s="27" t="s">
        <v>26</v>
      </c>
      <c r="C1921" s="27" t="s">
        <v>50</v>
      </c>
      <c r="D1921" s="27" t="s">
        <v>6</v>
      </c>
      <c r="E1921" s="27" t="s">
        <v>17</v>
      </c>
      <c r="F1921" s="29"/>
      <c r="G1921" s="30">
        <v>2822.1166666666668</v>
      </c>
    </row>
    <row r="1922" spans="1:7" hidden="1" x14ac:dyDescent="0.25">
      <c r="A1922" s="28">
        <v>43647</v>
      </c>
      <c r="B1922" s="27" t="s">
        <v>26</v>
      </c>
      <c r="C1922" s="27" t="s">
        <v>50</v>
      </c>
      <c r="D1922" s="27" t="s">
        <v>6</v>
      </c>
      <c r="E1922" s="27" t="s">
        <v>18</v>
      </c>
      <c r="F1922" s="29"/>
      <c r="G1922" s="30">
        <v>1488.6666666666667</v>
      </c>
    </row>
    <row r="1923" spans="1:7" hidden="1" x14ac:dyDescent="0.25">
      <c r="A1923" s="28">
        <v>43647</v>
      </c>
      <c r="B1923" s="27" t="s">
        <v>26</v>
      </c>
      <c r="C1923" s="27" t="s">
        <v>50</v>
      </c>
      <c r="D1923" s="27" t="s">
        <v>6</v>
      </c>
      <c r="E1923" s="27" t="s">
        <v>19</v>
      </c>
      <c r="F1923" s="29"/>
      <c r="G1923" s="30">
        <v>2454.8833333333337</v>
      </c>
    </row>
    <row r="1924" spans="1:7" hidden="1" x14ac:dyDescent="0.25">
      <c r="A1924" s="28">
        <v>43647</v>
      </c>
      <c r="B1924" s="27" t="s">
        <v>26</v>
      </c>
      <c r="C1924" s="27" t="s">
        <v>50</v>
      </c>
      <c r="D1924" s="27" t="s">
        <v>6</v>
      </c>
      <c r="E1924" s="27" t="s">
        <v>20</v>
      </c>
      <c r="F1924" s="29"/>
      <c r="G1924" s="30">
        <v>1590.3833333333334</v>
      </c>
    </row>
    <row r="1925" spans="1:7" hidden="1" x14ac:dyDescent="0.25">
      <c r="A1925" s="28">
        <v>43647</v>
      </c>
      <c r="B1925" s="27" t="s">
        <v>26</v>
      </c>
      <c r="C1925" s="27" t="s">
        <v>50</v>
      </c>
      <c r="D1925" s="27" t="s">
        <v>6</v>
      </c>
      <c r="E1925" s="27" t="s">
        <v>204</v>
      </c>
      <c r="F1925" s="29"/>
      <c r="G1925" s="30">
        <v>316.66666666666669</v>
      </c>
    </row>
    <row r="1926" spans="1:7" hidden="1" x14ac:dyDescent="0.25">
      <c r="A1926" s="28">
        <v>43647</v>
      </c>
      <c r="B1926" s="27" t="s">
        <v>26</v>
      </c>
      <c r="C1926" s="27" t="s">
        <v>50</v>
      </c>
      <c r="D1926" s="27" t="s">
        <v>6</v>
      </c>
      <c r="E1926" s="27" t="s">
        <v>205</v>
      </c>
      <c r="F1926" s="29"/>
      <c r="G1926" s="30">
        <v>1200</v>
      </c>
    </row>
    <row r="1927" spans="1:7" hidden="1" x14ac:dyDescent="0.25">
      <c r="A1927" s="28">
        <v>43647</v>
      </c>
      <c r="B1927" s="27" t="s">
        <v>26</v>
      </c>
      <c r="C1927" s="27" t="s">
        <v>50</v>
      </c>
      <c r="D1927" s="27" t="s">
        <v>6</v>
      </c>
      <c r="E1927" s="27" t="s">
        <v>37</v>
      </c>
      <c r="F1927" s="29"/>
      <c r="G1927" s="30">
        <v>250</v>
      </c>
    </row>
    <row r="1928" spans="1:7" hidden="1" x14ac:dyDescent="0.25">
      <c r="A1928" s="28">
        <v>43647</v>
      </c>
      <c r="B1928" s="27" t="s">
        <v>3</v>
      </c>
      <c r="C1928" s="27" t="s">
        <v>50</v>
      </c>
      <c r="D1928" s="27" t="s">
        <v>7</v>
      </c>
      <c r="E1928" s="27" t="s">
        <v>8</v>
      </c>
      <c r="F1928" s="29"/>
      <c r="G1928" s="30">
        <v>697.87722222222226</v>
      </c>
    </row>
    <row r="1929" spans="1:7" hidden="1" x14ac:dyDescent="0.25">
      <c r="A1929" s="28">
        <v>43647</v>
      </c>
      <c r="B1929" s="27" t="s">
        <v>3</v>
      </c>
      <c r="C1929" s="27" t="s">
        <v>50</v>
      </c>
      <c r="D1929" s="27" t="s">
        <v>7</v>
      </c>
      <c r="E1929" s="27" t="s">
        <v>9</v>
      </c>
      <c r="F1929" s="29"/>
      <c r="G1929" s="30">
        <v>697.87722222222226</v>
      </c>
    </row>
    <row r="1930" spans="1:7" hidden="1" x14ac:dyDescent="0.25">
      <c r="A1930" s="28">
        <v>43647</v>
      </c>
      <c r="B1930" s="27" t="s">
        <v>3</v>
      </c>
      <c r="C1930" s="27" t="s">
        <v>50</v>
      </c>
      <c r="D1930" s="27" t="s">
        <v>7</v>
      </c>
      <c r="E1930" s="27" t="s">
        <v>64</v>
      </c>
      <c r="F1930" s="29"/>
      <c r="G1930" s="30">
        <v>697.87722222222226</v>
      </c>
    </row>
    <row r="1931" spans="1:7" hidden="1" x14ac:dyDescent="0.25">
      <c r="A1931" s="28">
        <v>43647</v>
      </c>
      <c r="B1931" s="27" t="s">
        <v>3</v>
      </c>
      <c r="C1931" s="27" t="s">
        <v>50</v>
      </c>
      <c r="D1931" s="27" t="s">
        <v>7</v>
      </c>
      <c r="E1931" s="27" t="s">
        <v>21</v>
      </c>
      <c r="F1931" s="29"/>
      <c r="G1931" s="30">
        <v>697.87722222222226</v>
      </c>
    </row>
    <row r="1932" spans="1:7" hidden="1" x14ac:dyDescent="0.25">
      <c r="A1932" s="28">
        <v>43647</v>
      </c>
      <c r="B1932" s="27" t="s">
        <v>3</v>
      </c>
      <c r="C1932" s="27" t="s">
        <v>50</v>
      </c>
      <c r="D1932" s="27" t="s">
        <v>7</v>
      </c>
      <c r="E1932" s="27" t="s">
        <v>21</v>
      </c>
      <c r="F1932" s="29"/>
      <c r="G1932" s="30">
        <v>697.87722222222226</v>
      </c>
    </row>
    <row r="1933" spans="1:7" hidden="1" x14ac:dyDescent="0.25">
      <c r="A1933" s="28">
        <v>43647</v>
      </c>
      <c r="B1933" s="27" t="s">
        <v>3</v>
      </c>
      <c r="C1933" s="27" t="s">
        <v>50</v>
      </c>
      <c r="D1933" s="27" t="s">
        <v>7</v>
      </c>
      <c r="E1933" s="27" t="s">
        <v>10</v>
      </c>
      <c r="F1933" s="29"/>
      <c r="G1933" s="30">
        <v>697.87722222222226</v>
      </c>
    </row>
    <row r="1934" spans="1:7" hidden="1" x14ac:dyDescent="0.25">
      <c r="A1934" s="28">
        <v>43647</v>
      </c>
      <c r="B1934" s="27" t="s">
        <v>3</v>
      </c>
      <c r="C1934" s="27" t="s">
        <v>50</v>
      </c>
      <c r="D1934" s="27" t="s">
        <v>7</v>
      </c>
      <c r="E1934" s="27" t="s">
        <v>11</v>
      </c>
      <c r="F1934" s="29"/>
      <c r="G1934" s="30">
        <v>697.87722222222226</v>
      </c>
    </row>
    <row r="1935" spans="1:7" hidden="1" x14ac:dyDescent="0.25">
      <c r="A1935" s="28">
        <v>43647</v>
      </c>
      <c r="B1935" s="27" t="s">
        <v>3</v>
      </c>
      <c r="C1935" s="27" t="s">
        <v>50</v>
      </c>
      <c r="D1935" s="27" t="s">
        <v>7</v>
      </c>
      <c r="E1935" s="27" t="s">
        <v>12</v>
      </c>
      <c r="F1935" s="29"/>
      <c r="G1935" s="30">
        <v>697.87722222222226</v>
      </c>
    </row>
    <row r="1936" spans="1:7" hidden="1" x14ac:dyDescent="0.25">
      <c r="A1936" s="28">
        <v>43647</v>
      </c>
      <c r="B1936" s="27" t="s">
        <v>3</v>
      </c>
      <c r="C1936" s="27" t="s">
        <v>50</v>
      </c>
      <c r="D1936" s="27" t="s">
        <v>7</v>
      </c>
      <c r="E1936" s="27" t="s">
        <v>13</v>
      </c>
      <c r="F1936" s="29"/>
      <c r="G1936" s="30">
        <v>697.87722222222226</v>
      </c>
    </row>
    <row r="1937" spans="1:7" hidden="1" x14ac:dyDescent="0.25">
      <c r="A1937" s="28">
        <v>43647</v>
      </c>
      <c r="B1937" s="27" t="s">
        <v>3</v>
      </c>
      <c r="C1937" s="27" t="s">
        <v>50</v>
      </c>
      <c r="D1937" s="27" t="s">
        <v>7</v>
      </c>
      <c r="E1937" s="27" t="s">
        <v>14</v>
      </c>
      <c r="F1937" s="29"/>
      <c r="G1937" s="30">
        <v>697.87722222222226</v>
      </c>
    </row>
    <row r="1938" spans="1:7" hidden="1" x14ac:dyDescent="0.25">
      <c r="A1938" s="28">
        <v>43647</v>
      </c>
      <c r="B1938" s="27" t="s">
        <v>3</v>
      </c>
      <c r="C1938" s="27" t="s">
        <v>50</v>
      </c>
      <c r="D1938" s="27" t="s">
        <v>7</v>
      </c>
      <c r="E1938" s="27" t="s">
        <v>15</v>
      </c>
      <c r="F1938" s="29"/>
      <c r="G1938" s="30">
        <v>697.87722222222226</v>
      </c>
    </row>
    <row r="1939" spans="1:7" hidden="1" x14ac:dyDescent="0.25">
      <c r="A1939" s="28">
        <v>43647</v>
      </c>
      <c r="B1939" s="27" t="s">
        <v>3</v>
      </c>
      <c r="C1939" s="27" t="s">
        <v>50</v>
      </c>
      <c r="D1939" s="27" t="s">
        <v>7</v>
      </c>
      <c r="E1939" s="27" t="s">
        <v>16</v>
      </c>
      <c r="F1939" s="29"/>
      <c r="G1939" s="30">
        <v>697.87722222222226</v>
      </c>
    </row>
    <row r="1940" spans="1:7" hidden="1" x14ac:dyDescent="0.25">
      <c r="A1940" s="28">
        <v>43647</v>
      </c>
      <c r="B1940" s="27" t="s">
        <v>3</v>
      </c>
      <c r="C1940" s="27" t="s">
        <v>50</v>
      </c>
      <c r="D1940" s="27" t="s">
        <v>7</v>
      </c>
      <c r="E1940" s="27" t="s">
        <v>17</v>
      </c>
      <c r="F1940" s="29"/>
      <c r="G1940" s="30">
        <v>697.87722222222226</v>
      </c>
    </row>
    <row r="1941" spans="1:7" hidden="1" x14ac:dyDescent="0.25">
      <c r="A1941" s="28">
        <v>43647</v>
      </c>
      <c r="B1941" s="27" t="s">
        <v>3</v>
      </c>
      <c r="C1941" s="27" t="s">
        <v>50</v>
      </c>
      <c r="D1941" s="27" t="s">
        <v>7</v>
      </c>
      <c r="E1941" s="27" t="s">
        <v>18</v>
      </c>
      <c r="F1941" s="29"/>
      <c r="G1941" s="30">
        <v>697.87722222222226</v>
      </c>
    </row>
    <row r="1942" spans="1:7" hidden="1" x14ac:dyDescent="0.25">
      <c r="A1942" s="28">
        <v>43647</v>
      </c>
      <c r="B1942" s="27" t="s">
        <v>3</v>
      </c>
      <c r="C1942" s="27" t="s">
        <v>50</v>
      </c>
      <c r="D1942" s="27" t="s">
        <v>7</v>
      </c>
      <c r="E1942" s="27" t="s">
        <v>19</v>
      </c>
      <c r="F1942" s="29"/>
      <c r="G1942" s="30">
        <v>697.87722222222226</v>
      </c>
    </row>
    <row r="1943" spans="1:7" hidden="1" x14ac:dyDescent="0.25">
      <c r="A1943" s="28">
        <v>43647</v>
      </c>
      <c r="B1943" s="27" t="s">
        <v>3</v>
      </c>
      <c r="C1943" s="27" t="s">
        <v>50</v>
      </c>
      <c r="D1943" s="27" t="s">
        <v>7</v>
      </c>
      <c r="E1943" s="27" t="s">
        <v>20</v>
      </c>
      <c r="F1943" s="29"/>
      <c r="G1943" s="30">
        <v>697.87722222222226</v>
      </c>
    </row>
    <row r="1944" spans="1:7" hidden="1" x14ac:dyDescent="0.25">
      <c r="A1944" s="28">
        <v>43647</v>
      </c>
      <c r="B1944" s="27" t="s">
        <v>3</v>
      </c>
      <c r="C1944" s="27" t="s">
        <v>50</v>
      </c>
      <c r="D1944" s="27" t="s">
        <v>7</v>
      </c>
      <c r="E1944" s="27" t="s">
        <v>204</v>
      </c>
      <c r="F1944" s="29"/>
      <c r="G1944" s="30">
        <v>697.87722222222226</v>
      </c>
    </row>
    <row r="1945" spans="1:7" hidden="1" x14ac:dyDescent="0.25">
      <c r="A1945" s="28">
        <v>43647</v>
      </c>
      <c r="B1945" s="27" t="s">
        <v>3</v>
      </c>
      <c r="C1945" s="27" t="s">
        <v>50</v>
      </c>
      <c r="D1945" s="27" t="s">
        <v>7</v>
      </c>
      <c r="E1945" s="27" t="s">
        <v>205</v>
      </c>
      <c r="F1945" s="29"/>
      <c r="G1945" s="30">
        <v>697.87722222222226</v>
      </c>
    </row>
    <row r="1946" spans="1:7" hidden="1" x14ac:dyDescent="0.25">
      <c r="A1946" s="28">
        <v>43647</v>
      </c>
      <c r="B1946" s="27" t="s">
        <v>179</v>
      </c>
      <c r="C1946" s="27" t="s">
        <v>50</v>
      </c>
      <c r="D1946" s="27" t="s">
        <v>6</v>
      </c>
      <c r="E1946" s="27" t="s">
        <v>8</v>
      </c>
      <c r="F1946" s="29"/>
      <c r="G1946" s="30">
        <v>82.027500000000003</v>
      </c>
    </row>
    <row r="1947" spans="1:7" hidden="1" x14ac:dyDescent="0.25">
      <c r="A1947" s="28">
        <v>43647</v>
      </c>
      <c r="B1947" s="27" t="s">
        <v>179</v>
      </c>
      <c r="C1947" s="27" t="s">
        <v>50</v>
      </c>
      <c r="D1947" s="27" t="s">
        <v>6</v>
      </c>
      <c r="E1947" s="27" t="s">
        <v>9</v>
      </c>
      <c r="F1947" s="29"/>
      <c r="G1947" s="30">
        <v>80.430833333333325</v>
      </c>
    </row>
    <row r="1948" spans="1:7" hidden="1" x14ac:dyDescent="0.25">
      <c r="A1948" s="28">
        <v>43647</v>
      </c>
      <c r="B1948" s="27" t="s">
        <v>179</v>
      </c>
      <c r="C1948" s="27" t="s">
        <v>50</v>
      </c>
      <c r="D1948" s="27" t="s">
        <v>6</v>
      </c>
      <c r="E1948" s="27" t="s">
        <v>64</v>
      </c>
      <c r="F1948" s="29"/>
      <c r="G1948" s="30">
        <v>99.683333333333337</v>
      </c>
    </row>
    <row r="1949" spans="1:7" hidden="1" x14ac:dyDescent="0.25">
      <c r="A1949" s="28">
        <v>43647</v>
      </c>
      <c r="B1949" s="27" t="s">
        <v>179</v>
      </c>
      <c r="C1949" s="27" t="s">
        <v>50</v>
      </c>
      <c r="D1949" s="27" t="s">
        <v>6</v>
      </c>
      <c r="E1949" s="27" t="s">
        <v>21</v>
      </c>
      <c r="F1949" s="29"/>
      <c r="G1949" s="30">
        <v>101.87</v>
      </c>
    </row>
    <row r="1950" spans="1:7" hidden="1" x14ac:dyDescent="0.25">
      <c r="A1950" s="28">
        <v>43647</v>
      </c>
      <c r="B1950" s="27" t="s">
        <v>179</v>
      </c>
      <c r="C1950" s="27" t="s">
        <v>50</v>
      </c>
      <c r="D1950" s="27" t="s">
        <v>6</v>
      </c>
      <c r="E1950" s="27" t="s">
        <v>21</v>
      </c>
      <c r="F1950" s="29"/>
      <c r="G1950" s="30">
        <v>75.420833333333334</v>
      </c>
    </row>
    <row r="1951" spans="1:7" hidden="1" x14ac:dyDescent="0.25">
      <c r="A1951" s="28">
        <v>43647</v>
      </c>
      <c r="B1951" s="27" t="s">
        <v>179</v>
      </c>
      <c r="C1951" s="27" t="s">
        <v>50</v>
      </c>
      <c r="D1951" s="27" t="s">
        <v>6</v>
      </c>
      <c r="E1951" s="27" t="s">
        <v>10</v>
      </c>
      <c r="F1951" s="29"/>
      <c r="G1951" s="30">
        <v>94.975833333333341</v>
      </c>
    </row>
    <row r="1952" spans="1:7" hidden="1" x14ac:dyDescent="0.25">
      <c r="A1952" s="28">
        <v>43647</v>
      </c>
      <c r="B1952" s="27" t="s">
        <v>179</v>
      </c>
      <c r="C1952" s="27" t="s">
        <v>50</v>
      </c>
      <c r="D1952" s="27" t="s">
        <v>6</v>
      </c>
      <c r="E1952" s="27" t="s">
        <v>11</v>
      </c>
      <c r="F1952" s="29"/>
      <c r="G1952" s="30">
        <v>99.024999999999991</v>
      </c>
    </row>
    <row r="1953" spans="1:7" hidden="1" x14ac:dyDescent="0.25">
      <c r="A1953" s="28">
        <v>43647</v>
      </c>
      <c r="B1953" s="27" t="s">
        <v>179</v>
      </c>
      <c r="C1953" s="27" t="s">
        <v>50</v>
      </c>
      <c r="D1953" s="27" t="s">
        <v>6</v>
      </c>
      <c r="E1953" s="27" t="s">
        <v>12</v>
      </c>
      <c r="F1953" s="29"/>
      <c r="G1953" s="30">
        <v>75.82083333333334</v>
      </c>
    </row>
    <row r="1954" spans="1:7" hidden="1" x14ac:dyDescent="0.25">
      <c r="A1954" s="28">
        <v>43647</v>
      </c>
      <c r="B1954" s="27" t="s">
        <v>179</v>
      </c>
      <c r="C1954" s="27" t="s">
        <v>50</v>
      </c>
      <c r="D1954" s="27" t="s">
        <v>6</v>
      </c>
      <c r="E1954" s="27" t="s">
        <v>13</v>
      </c>
      <c r="F1954" s="29"/>
      <c r="G1954" s="30">
        <v>100.41500000000001</v>
      </c>
    </row>
    <row r="1955" spans="1:7" hidden="1" x14ac:dyDescent="0.25">
      <c r="A1955" s="28">
        <v>43647</v>
      </c>
      <c r="B1955" s="27" t="s">
        <v>179</v>
      </c>
      <c r="C1955" s="27" t="s">
        <v>50</v>
      </c>
      <c r="D1955" s="27" t="s">
        <v>6</v>
      </c>
      <c r="E1955" s="27" t="s">
        <v>14</v>
      </c>
      <c r="F1955" s="29"/>
      <c r="G1955" s="30">
        <v>84.427499999999995</v>
      </c>
    </row>
    <row r="1956" spans="1:7" hidden="1" x14ac:dyDescent="0.25">
      <c r="A1956" s="28">
        <v>43647</v>
      </c>
      <c r="B1956" s="27" t="s">
        <v>179</v>
      </c>
      <c r="C1956" s="27" t="s">
        <v>50</v>
      </c>
      <c r="D1956" s="27" t="s">
        <v>6</v>
      </c>
      <c r="E1956" s="27" t="s">
        <v>15</v>
      </c>
      <c r="F1956" s="29"/>
      <c r="G1956" s="30">
        <v>97.932500000000005</v>
      </c>
    </row>
    <row r="1957" spans="1:7" hidden="1" x14ac:dyDescent="0.25">
      <c r="A1957" s="28">
        <v>43647</v>
      </c>
      <c r="B1957" s="27" t="s">
        <v>179</v>
      </c>
      <c r="C1957" s="27" t="s">
        <v>50</v>
      </c>
      <c r="D1957" s="27" t="s">
        <v>6</v>
      </c>
      <c r="E1957" s="27" t="s">
        <v>16</v>
      </c>
      <c r="F1957" s="29"/>
      <c r="G1957" s="30">
        <v>99.579166666666666</v>
      </c>
    </row>
    <row r="1958" spans="1:7" hidden="1" x14ac:dyDescent="0.25">
      <c r="A1958" s="28">
        <v>43647</v>
      </c>
      <c r="B1958" s="27" t="s">
        <v>179</v>
      </c>
      <c r="C1958" s="27" t="s">
        <v>50</v>
      </c>
      <c r="D1958" s="27" t="s">
        <v>6</v>
      </c>
      <c r="E1958" s="27" t="s">
        <v>17</v>
      </c>
      <c r="F1958" s="29"/>
      <c r="G1958" s="30">
        <v>163.58583333333334</v>
      </c>
    </row>
    <row r="1959" spans="1:7" hidden="1" x14ac:dyDescent="0.25">
      <c r="A1959" s="28">
        <v>43647</v>
      </c>
      <c r="B1959" s="27" t="s">
        <v>179</v>
      </c>
      <c r="C1959" s="27" t="s">
        <v>50</v>
      </c>
      <c r="D1959" s="27" t="s">
        <v>6</v>
      </c>
      <c r="E1959" s="27" t="s">
        <v>18</v>
      </c>
      <c r="F1959" s="29"/>
      <c r="G1959" s="30">
        <v>189.72083333333333</v>
      </c>
    </row>
    <row r="1960" spans="1:7" hidden="1" x14ac:dyDescent="0.25">
      <c r="A1960" s="28">
        <v>43647</v>
      </c>
      <c r="B1960" s="27" t="s">
        <v>179</v>
      </c>
      <c r="C1960" s="27" t="s">
        <v>50</v>
      </c>
      <c r="D1960" s="27" t="s">
        <v>6</v>
      </c>
      <c r="E1960" s="27" t="s">
        <v>19</v>
      </c>
      <c r="F1960" s="29"/>
      <c r="G1960" s="30">
        <v>132.03083333333333</v>
      </c>
    </row>
    <row r="1961" spans="1:7" hidden="1" x14ac:dyDescent="0.25">
      <c r="A1961" s="28">
        <v>43647</v>
      </c>
      <c r="B1961" s="27" t="s">
        <v>179</v>
      </c>
      <c r="C1961" s="27" t="s">
        <v>50</v>
      </c>
      <c r="D1961" s="27" t="s">
        <v>6</v>
      </c>
      <c r="E1961" s="27" t="s">
        <v>20</v>
      </c>
      <c r="F1961" s="29"/>
      <c r="G1961" s="30">
        <v>408.15999999999997</v>
      </c>
    </row>
    <row r="1962" spans="1:7" hidden="1" x14ac:dyDescent="0.25">
      <c r="A1962" s="28">
        <v>43647</v>
      </c>
      <c r="B1962" s="27" t="s">
        <v>179</v>
      </c>
      <c r="C1962" s="27" t="s">
        <v>50</v>
      </c>
      <c r="D1962" s="27" t="s">
        <v>6</v>
      </c>
      <c r="E1962" s="27" t="s">
        <v>204</v>
      </c>
      <c r="F1962" s="29"/>
      <c r="G1962" s="30">
        <v>62.408333333333331</v>
      </c>
    </row>
    <row r="1963" spans="1:7" hidden="1" x14ac:dyDescent="0.25">
      <c r="A1963" s="28">
        <v>43647</v>
      </c>
      <c r="B1963" s="27" t="s">
        <v>179</v>
      </c>
      <c r="C1963" s="27" t="s">
        <v>50</v>
      </c>
      <c r="D1963" s="27" t="s">
        <v>6</v>
      </c>
      <c r="E1963" s="27" t="s">
        <v>205</v>
      </c>
      <c r="F1963" s="29"/>
      <c r="G1963" s="30">
        <v>136.51666666666668</v>
      </c>
    </row>
    <row r="1964" spans="1:7" hidden="1" x14ac:dyDescent="0.25">
      <c r="A1964" s="28">
        <v>43647</v>
      </c>
      <c r="B1964" s="27" t="s">
        <v>32</v>
      </c>
      <c r="C1964" s="27" t="s">
        <v>50</v>
      </c>
      <c r="D1964" s="27" t="s">
        <v>7</v>
      </c>
      <c r="E1964" s="27" t="s">
        <v>10</v>
      </c>
      <c r="F1964" s="29"/>
      <c r="G1964" s="30">
        <v>25</v>
      </c>
    </row>
    <row r="1965" spans="1:7" hidden="1" x14ac:dyDescent="0.25">
      <c r="A1965" s="28">
        <v>43647</v>
      </c>
      <c r="B1965" s="27" t="s">
        <v>32</v>
      </c>
      <c r="C1965" s="27" t="s">
        <v>50</v>
      </c>
      <c r="D1965" s="27" t="s">
        <v>7</v>
      </c>
      <c r="E1965" s="27" t="s">
        <v>20</v>
      </c>
      <c r="F1965" s="29"/>
      <c r="G1965" s="30">
        <v>6</v>
      </c>
    </row>
    <row r="1966" spans="1:7" hidden="1" x14ac:dyDescent="0.25">
      <c r="A1966" s="28">
        <v>43647</v>
      </c>
      <c r="B1966" s="27" t="s">
        <v>5</v>
      </c>
      <c r="C1966" s="27" t="s">
        <v>51</v>
      </c>
      <c r="D1966" s="27" t="s">
        <v>51</v>
      </c>
      <c r="E1966" s="27" t="s">
        <v>8</v>
      </c>
      <c r="F1966" s="29">
        <v>634</v>
      </c>
      <c r="G1966" s="30">
        <v>24.558434695301504</v>
      </c>
    </row>
    <row r="1967" spans="1:7" hidden="1" x14ac:dyDescent="0.25">
      <c r="A1967" s="28">
        <v>43647</v>
      </c>
      <c r="B1967" s="27" t="s">
        <v>5</v>
      </c>
      <c r="C1967" s="27" t="s">
        <v>51</v>
      </c>
      <c r="D1967" s="27" t="s">
        <v>51</v>
      </c>
      <c r="E1967" s="27" t="s">
        <v>9</v>
      </c>
      <c r="F1967" s="29">
        <v>4949</v>
      </c>
      <c r="G1967" s="30">
        <v>2.9093476992297069</v>
      </c>
    </row>
    <row r="1968" spans="1:7" hidden="1" x14ac:dyDescent="0.25">
      <c r="A1968" s="28">
        <v>43647</v>
      </c>
      <c r="B1968" s="27" t="s">
        <v>5</v>
      </c>
      <c r="C1968" s="27" t="s">
        <v>51</v>
      </c>
      <c r="D1968" s="27" t="s">
        <v>51</v>
      </c>
      <c r="E1968" s="27" t="s">
        <v>64</v>
      </c>
      <c r="F1968" s="29">
        <v>3903</v>
      </c>
      <c r="G1968" s="30">
        <v>4.0494630447060773</v>
      </c>
    </row>
    <row r="1969" spans="1:7" hidden="1" x14ac:dyDescent="0.25">
      <c r="A1969" s="28">
        <v>43647</v>
      </c>
      <c r="B1969" s="27" t="s">
        <v>5</v>
      </c>
      <c r="C1969" s="27" t="s">
        <v>51</v>
      </c>
      <c r="D1969" s="27" t="s">
        <v>51</v>
      </c>
      <c r="E1969" s="27" t="s">
        <v>21</v>
      </c>
      <c r="F1969" s="29">
        <v>4542.875</v>
      </c>
      <c r="G1969" s="30">
        <v>3.537371913194725</v>
      </c>
    </row>
    <row r="1970" spans="1:7" hidden="1" x14ac:dyDescent="0.25">
      <c r="A1970" s="28">
        <v>43647</v>
      </c>
      <c r="B1970" s="27" t="s">
        <v>5</v>
      </c>
      <c r="C1970" s="27" t="s">
        <v>51</v>
      </c>
      <c r="D1970" s="27" t="s">
        <v>51</v>
      </c>
      <c r="E1970" s="27" t="s">
        <v>21</v>
      </c>
      <c r="F1970" s="29">
        <v>3192</v>
      </c>
      <c r="G1970" s="30">
        <v>6.339328298920579</v>
      </c>
    </row>
    <row r="1971" spans="1:7" hidden="1" x14ac:dyDescent="0.25">
      <c r="A1971" s="28">
        <v>43647</v>
      </c>
      <c r="B1971" s="27" t="s">
        <v>5</v>
      </c>
      <c r="C1971" s="27" t="s">
        <v>51</v>
      </c>
      <c r="D1971" s="27" t="s">
        <v>51</v>
      </c>
      <c r="E1971" s="27" t="s">
        <v>10</v>
      </c>
      <c r="F1971" s="29">
        <v>5803</v>
      </c>
      <c r="G1971" s="30">
        <v>3.3581733752922882</v>
      </c>
    </row>
    <row r="1972" spans="1:7" hidden="1" x14ac:dyDescent="0.25">
      <c r="A1972" s="28">
        <v>43647</v>
      </c>
      <c r="B1972" s="27" t="s">
        <v>5</v>
      </c>
      <c r="C1972" s="27" t="s">
        <v>51</v>
      </c>
      <c r="D1972" s="27" t="s">
        <v>51</v>
      </c>
      <c r="E1972" s="27" t="s">
        <v>11</v>
      </c>
      <c r="F1972" s="29">
        <v>3080</v>
      </c>
      <c r="G1972" s="30">
        <v>4.2071666981021059</v>
      </c>
    </row>
    <row r="1973" spans="1:7" hidden="1" x14ac:dyDescent="0.25">
      <c r="A1973" s="28">
        <v>43647</v>
      </c>
      <c r="B1973" s="27" t="s">
        <v>5</v>
      </c>
      <c r="C1973" s="27" t="s">
        <v>51</v>
      </c>
      <c r="D1973" s="27" t="s">
        <v>51</v>
      </c>
      <c r="E1973" s="27" t="s">
        <v>12</v>
      </c>
      <c r="F1973" s="29">
        <v>3080</v>
      </c>
      <c r="G1973" s="30">
        <v>3.8594786569765649</v>
      </c>
    </row>
    <row r="1974" spans="1:7" hidden="1" x14ac:dyDescent="0.25">
      <c r="A1974" s="28">
        <v>43647</v>
      </c>
      <c r="B1974" s="27" t="s">
        <v>5</v>
      </c>
      <c r="C1974" s="27" t="s">
        <v>51</v>
      </c>
      <c r="D1974" s="27" t="s">
        <v>51</v>
      </c>
      <c r="E1974" s="27" t="s">
        <v>13</v>
      </c>
      <c r="F1974" s="29">
        <v>7365</v>
      </c>
      <c r="G1974" s="30">
        <v>2.2690761615959922</v>
      </c>
    </row>
    <row r="1975" spans="1:7" hidden="1" x14ac:dyDescent="0.25">
      <c r="A1975" s="28">
        <v>43647</v>
      </c>
      <c r="B1975" s="27" t="s">
        <v>5</v>
      </c>
      <c r="C1975" s="27" t="s">
        <v>51</v>
      </c>
      <c r="D1975" s="27" t="s">
        <v>51</v>
      </c>
      <c r="E1975" s="27" t="s">
        <v>14</v>
      </c>
      <c r="F1975" s="29">
        <v>694.5</v>
      </c>
      <c r="G1975" s="30">
        <v>15.64224755961769</v>
      </c>
    </row>
    <row r="1976" spans="1:7" hidden="1" x14ac:dyDescent="0.25">
      <c r="A1976" s="28">
        <v>43647</v>
      </c>
      <c r="B1976" s="27" t="s">
        <v>5</v>
      </c>
      <c r="C1976" s="27" t="s">
        <v>51</v>
      </c>
      <c r="D1976" s="27" t="s">
        <v>51</v>
      </c>
      <c r="E1976" s="27" t="s">
        <v>15</v>
      </c>
      <c r="F1976" s="29">
        <v>5375</v>
      </c>
      <c r="G1976" s="30">
        <v>2.6552445141372689</v>
      </c>
    </row>
    <row r="1977" spans="1:7" hidden="1" x14ac:dyDescent="0.25">
      <c r="A1977" s="28">
        <v>43647</v>
      </c>
      <c r="B1977" s="27" t="s">
        <v>5</v>
      </c>
      <c r="C1977" s="27" t="s">
        <v>51</v>
      </c>
      <c r="D1977" s="27" t="s">
        <v>51</v>
      </c>
      <c r="E1977" s="27" t="s">
        <v>16</v>
      </c>
      <c r="F1977" s="29">
        <v>6150</v>
      </c>
      <c r="G1977" s="30">
        <v>2.7233063843069627</v>
      </c>
    </row>
    <row r="1978" spans="1:7" hidden="1" x14ac:dyDescent="0.25">
      <c r="A1978" s="28">
        <v>43647</v>
      </c>
      <c r="B1978" s="27" t="s">
        <v>5</v>
      </c>
      <c r="C1978" s="27" t="s">
        <v>51</v>
      </c>
      <c r="D1978" s="27" t="s">
        <v>51</v>
      </c>
      <c r="E1978" s="27" t="s">
        <v>17</v>
      </c>
      <c r="F1978" s="29">
        <v>7064</v>
      </c>
      <c r="G1978" s="30">
        <v>2.5275278544008803</v>
      </c>
    </row>
    <row r="1979" spans="1:7" hidden="1" x14ac:dyDescent="0.25">
      <c r="A1979" s="28">
        <v>43647</v>
      </c>
      <c r="B1979" s="27" t="s">
        <v>5</v>
      </c>
      <c r="C1979" s="27" t="s">
        <v>51</v>
      </c>
      <c r="D1979" s="27" t="s">
        <v>51</v>
      </c>
      <c r="E1979" s="27" t="s">
        <v>18</v>
      </c>
      <c r="F1979" s="29">
        <v>1494</v>
      </c>
      <c r="G1979" s="30">
        <v>7.8908445538740422</v>
      </c>
    </row>
    <row r="1980" spans="1:7" hidden="1" x14ac:dyDescent="0.25">
      <c r="A1980" s="28">
        <v>43647</v>
      </c>
      <c r="B1980" s="27" t="s">
        <v>5</v>
      </c>
      <c r="C1980" s="27" t="s">
        <v>51</v>
      </c>
      <c r="D1980" s="27" t="s">
        <v>51</v>
      </c>
      <c r="E1980" s="27" t="s">
        <v>19</v>
      </c>
      <c r="F1980" s="29">
        <v>6450</v>
      </c>
      <c r="G1980" s="30">
        <v>2.3478590589386799</v>
      </c>
    </row>
    <row r="1981" spans="1:7" hidden="1" x14ac:dyDescent="0.25">
      <c r="A1981" s="28">
        <v>43647</v>
      </c>
      <c r="B1981" s="27" t="s">
        <v>5</v>
      </c>
      <c r="C1981" s="27" t="s">
        <v>51</v>
      </c>
      <c r="D1981" s="27" t="s">
        <v>51</v>
      </c>
      <c r="E1981" s="27" t="s">
        <v>20</v>
      </c>
      <c r="F1981" s="29">
        <v>3011</v>
      </c>
      <c r="G1981" s="30">
        <v>4.0858283284029069</v>
      </c>
    </row>
    <row r="1982" spans="1:7" hidden="1" x14ac:dyDescent="0.25">
      <c r="A1982" s="28">
        <v>43647</v>
      </c>
      <c r="B1982" s="27" t="s">
        <v>180</v>
      </c>
      <c r="C1982" s="27" t="s">
        <v>50</v>
      </c>
      <c r="D1982" s="27" t="s">
        <v>7</v>
      </c>
      <c r="E1982" s="27" t="s">
        <v>8</v>
      </c>
      <c r="F1982" s="29"/>
      <c r="G1982" s="30">
        <v>2734</v>
      </c>
    </row>
    <row r="1983" spans="1:7" hidden="1" x14ac:dyDescent="0.25">
      <c r="A1983" s="28">
        <v>43647</v>
      </c>
      <c r="B1983" s="27" t="s">
        <v>180</v>
      </c>
      <c r="C1983" s="27" t="s">
        <v>50</v>
      </c>
      <c r="D1983" s="27" t="s">
        <v>7</v>
      </c>
      <c r="E1983" s="27" t="s">
        <v>9</v>
      </c>
      <c r="F1983" s="29"/>
      <c r="G1983" s="30">
        <v>58</v>
      </c>
    </row>
    <row r="1984" spans="1:7" hidden="1" x14ac:dyDescent="0.25">
      <c r="A1984" s="28">
        <v>43647</v>
      </c>
      <c r="B1984" s="27" t="s">
        <v>180</v>
      </c>
      <c r="C1984" s="27" t="s">
        <v>50</v>
      </c>
      <c r="D1984" s="27" t="s">
        <v>7</v>
      </c>
      <c r="E1984" s="27" t="s">
        <v>64</v>
      </c>
      <c r="F1984" s="29"/>
      <c r="G1984" s="30">
        <v>784</v>
      </c>
    </row>
    <row r="1985" spans="1:7" hidden="1" x14ac:dyDescent="0.25">
      <c r="A1985" s="28">
        <v>43647</v>
      </c>
      <c r="B1985" s="27" t="s">
        <v>180</v>
      </c>
      <c r="C1985" s="27" t="s">
        <v>50</v>
      </c>
      <c r="D1985" s="27" t="s">
        <v>7</v>
      </c>
      <c r="E1985" s="27" t="s">
        <v>21</v>
      </c>
      <c r="F1985" s="29"/>
      <c r="G1985" s="30">
        <v>4637</v>
      </c>
    </row>
    <row r="1986" spans="1:7" hidden="1" x14ac:dyDescent="0.25">
      <c r="A1986" s="28">
        <v>43647</v>
      </c>
      <c r="B1986" s="27" t="s">
        <v>180</v>
      </c>
      <c r="C1986" s="27" t="s">
        <v>50</v>
      </c>
      <c r="D1986" s="27" t="s">
        <v>7</v>
      </c>
      <c r="E1986" s="27" t="s">
        <v>21</v>
      </c>
      <c r="F1986" s="29"/>
      <c r="G1986" s="30">
        <v>4001.58</v>
      </c>
    </row>
    <row r="1987" spans="1:7" hidden="1" x14ac:dyDescent="0.25">
      <c r="A1987" s="28">
        <v>43647</v>
      </c>
      <c r="B1987" s="27" t="s">
        <v>180</v>
      </c>
      <c r="C1987" s="27" t="s">
        <v>50</v>
      </c>
      <c r="D1987" s="27" t="s">
        <v>7</v>
      </c>
      <c r="E1987" s="27" t="s">
        <v>10</v>
      </c>
      <c r="F1987" s="29"/>
      <c r="G1987" s="30">
        <v>2990.49</v>
      </c>
    </row>
    <row r="1988" spans="1:7" hidden="1" x14ac:dyDescent="0.25">
      <c r="A1988" s="28">
        <v>43647</v>
      </c>
      <c r="B1988" s="27" t="s">
        <v>180</v>
      </c>
      <c r="C1988" s="27" t="s">
        <v>50</v>
      </c>
      <c r="D1988" s="27" t="s">
        <v>7</v>
      </c>
      <c r="E1988" s="27" t="s">
        <v>11</v>
      </c>
      <c r="F1988" s="29"/>
      <c r="G1988" s="30">
        <v>870</v>
      </c>
    </row>
    <row r="1989" spans="1:7" hidden="1" x14ac:dyDescent="0.25">
      <c r="A1989" s="28">
        <v>43647</v>
      </c>
      <c r="B1989" s="27" t="s">
        <v>180</v>
      </c>
      <c r="C1989" s="27" t="s">
        <v>50</v>
      </c>
      <c r="D1989" s="27" t="s">
        <v>7</v>
      </c>
      <c r="E1989" s="31" t="s">
        <v>12</v>
      </c>
      <c r="F1989" s="29"/>
      <c r="G1989" s="30">
        <v>654.98</v>
      </c>
    </row>
    <row r="1990" spans="1:7" hidden="1" x14ac:dyDescent="0.25">
      <c r="A1990" s="28">
        <v>43647</v>
      </c>
      <c r="B1990" s="27" t="s">
        <v>180</v>
      </c>
      <c r="C1990" s="27" t="s">
        <v>50</v>
      </c>
      <c r="D1990" s="27" t="s">
        <v>7</v>
      </c>
      <c r="E1990" s="31" t="s">
        <v>13</v>
      </c>
      <c r="F1990" s="29"/>
      <c r="G1990" s="30">
        <v>150</v>
      </c>
    </row>
    <row r="1991" spans="1:7" hidden="1" x14ac:dyDescent="0.25">
      <c r="A1991" s="28">
        <v>43647</v>
      </c>
      <c r="B1991" s="27" t="s">
        <v>180</v>
      </c>
      <c r="C1991" s="27" t="s">
        <v>50</v>
      </c>
      <c r="D1991" s="27" t="s">
        <v>7</v>
      </c>
      <c r="E1991" s="27" t="s">
        <v>14</v>
      </c>
      <c r="F1991" s="29"/>
      <c r="G1991" s="30">
        <v>375</v>
      </c>
    </row>
    <row r="1992" spans="1:7" hidden="1" x14ac:dyDescent="0.25">
      <c r="A1992" s="28">
        <v>43647</v>
      </c>
      <c r="B1992" s="27" t="s">
        <v>180</v>
      </c>
      <c r="C1992" s="27" t="s">
        <v>50</v>
      </c>
      <c r="D1992" s="27" t="s">
        <v>7</v>
      </c>
      <c r="E1992" s="27" t="s">
        <v>16</v>
      </c>
      <c r="F1992" s="29"/>
      <c r="G1992" s="30">
        <v>590</v>
      </c>
    </row>
    <row r="1993" spans="1:7" hidden="1" x14ac:dyDescent="0.25">
      <c r="A1993" s="28">
        <v>43647</v>
      </c>
      <c r="B1993" s="27" t="s">
        <v>180</v>
      </c>
      <c r="C1993" s="27" t="s">
        <v>50</v>
      </c>
      <c r="D1993" s="27" t="s">
        <v>7</v>
      </c>
      <c r="E1993" s="27" t="s">
        <v>17</v>
      </c>
      <c r="F1993" s="29"/>
      <c r="G1993" s="30">
        <v>149.99</v>
      </c>
    </row>
    <row r="1994" spans="1:7" hidden="1" x14ac:dyDescent="0.25">
      <c r="A1994" s="28">
        <v>43647</v>
      </c>
      <c r="B1994" s="27" t="s">
        <v>180</v>
      </c>
      <c r="C1994" s="27" t="s">
        <v>50</v>
      </c>
      <c r="D1994" s="27" t="s">
        <v>7</v>
      </c>
      <c r="E1994" s="27" t="s">
        <v>204</v>
      </c>
      <c r="F1994" s="29"/>
      <c r="G1994" s="30">
        <v>707</v>
      </c>
    </row>
    <row r="1995" spans="1:7" hidden="1" x14ac:dyDescent="0.25">
      <c r="A1995" s="28">
        <v>43647</v>
      </c>
      <c r="B1995" s="27" t="s">
        <v>181</v>
      </c>
      <c r="C1995" s="27" t="s">
        <v>50</v>
      </c>
      <c r="D1995" s="27" t="s">
        <v>6</v>
      </c>
      <c r="E1995" s="27" t="s">
        <v>15</v>
      </c>
      <c r="F1995" s="29"/>
      <c r="G1995" s="30">
        <v>126</v>
      </c>
    </row>
    <row r="1996" spans="1:7" hidden="1" x14ac:dyDescent="0.25">
      <c r="A1996" s="28">
        <v>43647</v>
      </c>
      <c r="B1996" s="27" t="s">
        <v>181</v>
      </c>
      <c r="C1996" s="27" t="s">
        <v>50</v>
      </c>
      <c r="D1996" s="27" t="s">
        <v>6</v>
      </c>
      <c r="E1996" s="27" t="s">
        <v>16</v>
      </c>
      <c r="F1996" s="29"/>
      <c r="G1996" s="30">
        <v>1252</v>
      </c>
    </row>
    <row r="1997" spans="1:7" hidden="1" x14ac:dyDescent="0.25">
      <c r="A1997" s="28">
        <v>43647</v>
      </c>
      <c r="B1997" s="27" t="s">
        <v>181</v>
      </c>
      <c r="C1997" s="27" t="s">
        <v>50</v>
      </c>
      <c r="D1997" s="27" t="s">
        <v>6</v>
      </c>
      <c r="E1997" s="27" t="s">
        <v>19</v>
      </c>
      <c r="F1997" s="29"/>
      <c r="G1997" s="30">
        <v>125</v>
      </c>
    </row>
    <row r="1998" spans="1:7" hidden="1" x14ac:dyDescent="0.25">
      <c r="A1998" s="28">
        <v>43647</v>
      </c>
      <c r="B1998" s="27" t="s">
        <v>181</v>
      </c>
      <c r="C1998" s="27" t="s">
        <v>50</v>
      </c>
      <c r="D1998" s="27" t="s">
        <v>6</v>
      </c>
      <c r="E1998" s="27" t="s">
        <v>20</v>
      </c>
      <c r="F1998" s="29"/>
      <c r="G1998" s="30">
        <v>125</v>
      </c>
    </row>
    <row r="1999" spans="1:7" hidden="1" x14ac:dyDescent="0.25">
      <c r="A1999" s="28">
        <v>43647</v>
      </c>
      <c r="B1999" s="27" t="s">
        <v>25</v>
      </c>
      <c r="C1999" s="27" t="s">
        <v>50</v>
      </c>
      <c r="D1999" s="27" t="s">
        <v>7</v>
      </c>
      <c r="E1999" s="27" t="s">
        <v>8</v>
      </c>
      <c r="F1999" s="29"/>
      <c r="G1999" s="30">
        <v>80.523888888888891</v>
      </c>
    </row>
    <row r="2000" spans="1:7" hidden="1" x14ac:dyDescent="0.25">
      <c r="A2000" s="28">
        <v>43647</v>
      </c>
      <c r="B2000" s="27" t="s">
        <v>25</v>
      </c>
      <c r="C2000" s="27" t="s">
        <v>50</v>
      </c>
      <c r="D2000" s="27" t="s">
        <v>7</v>
      </c>
      <c r="E2000" s="27" t="s">
        <v>9</v>
      </c>
      <c r="F2000" s="29"/>
      <c r="G2000" s="30">
        <v>80.523888888888891</v>
      </c>
    </row>
    <row r="2001" spans="1:7" hidden="1" x14ac:dyDescent="0.25">
      <c r="A2001" s="28">
        <v>43647</v>
      </c>
      <c r="B2001" s="27" t="s">
        <v>25</v>
      </c>
      <c r="C2001" s="27" t="s">
        <v>50</v>
      </c>
      <c r="D2001" s="27" t="s">
        <v>7</v>
      </c>
      <c r="E2001" s="27" t="s">
        <v>64</v>
      </c>
      <c r="F2001" s="29"/>
      <c r="G2001" s="30">
        <v>80.523888888888891</v>
      </c>
    </row>
    <row r="2002" spans="1:7" hidden="1" x14ac:dyDescent="0.25">
      <c r="A2002" s="28">
        <v>43647</v>
      </c>
      <c r="B2002" s="27" t="s">
        <v>25</v>
      </c>
      <c r="C2002" s="27" t="s">
        <v>50</v>
      </c>
      <c r="D2002" s="27" t="s">
        <v>7</v>
      </c>
      <c r="E2002" s="27" t="s">
        <v>21</v>
      </c>
      <c r="F2002" s="29"/>
      <c r="G2002" s="30">
        <v>80.523888888888891</v>
      </c>
    </row>
    <row r="2003" spans="1:7" hidden="1" x14ac:dyDescent="0.25">
      <c r="A2003" s="28">
        <v>43647</v>
      </c>
      <c r="B2003" s="27" t="s">
        <v>25</v>
      </c>
      <c r="C2003" s="27" t="s">
        <v>50</v>
      </c>
      <c r="D2003" s="27" t="s">
        <v>7</v>
      </c>
      <c r="E2003" s="27" t="s">
        <v>21</v>
      </c>
      <c r="F2003" s="29"/>
      <c r="G2003" s="30">
        <v>80.523888888888891</v>
      </c>
    </row>
    <row r="2004" spans="1:7" hidden="1" x14ac:dyDescent="0.25">
      <c r="A2004" s="28">
        <v>43647</v>
      </c>
      <c r="B2004" s="27" t="s">
        <v>25</v>
      </c>
      <c r="C2004" s="27" t="s">
        <v>50</v>
      </c>
      <c r="D2004" s="27" t="s">
        <v>7</v>
      </c>
      <c r="E2004" s="27" t="s">
        <v>10</v>
      </c>
      <c r="F2004" s="29"/>
      <c r="G2004" s="30">
        <v>80.523888888888891</v>
      </c>
    </row>
    <row r="2005" spans="1:7" hidden="1" x14ac:dyDescent="0.25">
      <c r="A2005" s="28">
        <v>43647</v>
      </c>
      <c r="B2005" s="27" t="s">
        <v>25</v>
      </c>
      <c r="C2005" s="27" t="s">
        <v>50</v>
      </c>
      <c r="D2005" s="27" t="s">
        <v>7</v>
      </c>
      <c r="E2005" s="27" t="s">
        <v>11</v>
      </c>
      <c r="F2005" s="29"/>
      <c r="G2005" s="30">
        <v>80.523888888888891</v>
      </c>
    </row>
    <row r="2006" spans="1:7" hidden="1" x14ac:dyDescent="0.25">
      <c r="A2006" s="28">
        <v>43647</v>
      </c>
      <c r="B2006" s="27" t="s">
        <v>25</v>
      </c>
      <c r="C2006" s="27" t="s">
        <v>50</v>
      </c>
      <c r="D2006" s="27" t="s">
        <v>7</v>
      </c>
      <c r="E2006" s="27" t="s">
        <v>12</v>
      </c>
      <c r="F2006" s="29"/>
      <c r="G2006" s="30">
        <v>80.523888888888891</v>
      </c>
    </row>
    <row r="2007" spans="1:7" hidden="1" x14ac:dyDescent="0.25">
      <c r="A2007" s="28">
        <v>43647</v>
      </c>
      <c r="B2007" s="27" t="s">
        <v>25</v>
      </c>
      <c r="C2007" s="27" t="s">
        <v>50</v>
      </c>
      <c r="D2007" s="27" t="s">
        <v>7</v>
      </c>
      <c r="E2007" s="27" t="s">
        <v>13</v>
      </c>
      <c r="F2007" s="29"/>
      <c r="G2007" s="30">
        <v>80.523888888888891</v>
      </c>
    </row>
    <row r="2008" spans="1:7" hidden="1" x14ac:dyDescent="0.25">
      <c r="A2008" s="28">
        <v>43647</v>
      </c>
      <c r="B2008" s="27" t="s">
        <v>25</v>
      </c>
      <c r="C2008" s="27" t="s">
        <v>50</v>
      </c>
      <c r="D2008" s="27" t="s">
        <v>7</v>
      </c>
      <c r="E2008" s="27" t="s">
        <v>14</v>
      </c>
      <c r="F2008" s="29"/>
      <c r="G2008" s="30">
        <v>80.523888888888891</v>
      </c>
    </row>
    <row r="2009" spans="1:7" hidden="1" x14ac:dyDescent="0.25">
      <c r="A2009" s="28">
        <v>43647</v>
      </c>
      <c r="B2009" s="27" t="s">
        <v>25</v>
      </c>
      <c r="C2009" s="27" t="s">
        <v>50</v>
      </c>
      <c r="D2009" s="27" t="s">
        <v>7</v>
      </c>
      <c r="E2009" s="27" t="s">
        <v>15</v>
      </c>
      <c r="F2009" s="29"/>
      <c r="G2009" s="30">
        <v>80.523888888888891</v>
      </c>
    </row>
    <row r="2010" spans="1:7" hidden="1" x14ac:dyDescent="0.25">
      <c r="A2010" s="28">
        <v>43647</v>
      </c>
      <c r="B2010" s="27" t="s">
        <v>25</v>
      </c>
      <c r="C2010" s="27" t="s">
        <v>50</v>
      </c>
      <c r="D2010" s="27" t="s">
        <v>7</v>
      </c>
      <c r="E2010" s="27" t="s">
        <v>16</v>
      </c>
      <c r="F2010" s="29"/>
      <c r="G2010" s="30">
        <v>80.523888888888891</v>
      </c>
    </row>
    <row r="2011" spans="1:7" hidden="1" x14ac:dyDescent="0.25">
      <c r="A2011" s="28">
        <v>43647</v>
      </c>
      <c r="B2011" s="27" t="s">
        <v>25</v>
      </c>
      <c r="C2011" s="27" t="s">
        <v>50</v>
      </c>
      <c r="D2011" s="27" t="s">
        <v>7</v>
      </c>
      <c r="E2011" s="27" t="s">
        <v>17</v>
      </c>
      <c r="F2011" s="29"/>
      <c r="G2011" s="30">
        <v>80.523888888888891</v>
      </c>
    </row>
    <row r="2012" spans="1:7" hidden="1" x14ac:dyDescent="0.25">
      <c r="A2012" s="28">
        <v>43647</v>
      </c>
      <c r="B2012" s="27" t="s">
        <v>25</v>
      </c>
      <c r="C2012" s="27" t="s">
        <v>50</v>
      </c>
      <c r="D2012" s="27" t="s">
        <v>7</v>
      </c>
      <c r="E2012" s="27" t="s">
        <v>18</v>
      </c>
      <c r="F2012" s="29"/>
      <c r="G2012" s="30">
        <v>80.523888888888891</v>
      </c>
    </row>
    <row r="2013" spans="1:7" hidden="1" x14ac:dyDescent="0.25">
      <c r="A2013" s="28">
        <v>43647</v>
      </c>
      <c r="B2013" s="27" t="s">
        <v>25</v>
      </c>
      <c r="C2013" s="27" t="s">
        <v>50</v>
      </c>
      <c r="D2013" s="27" t="s">
        <v>7</v>
      </c>
      <c r="E2013" s="31" t="s">
        <v>19</v>
      </c>
      <c r="F2013" s="29"/>
      <c r="G2013" s="30">
        <v>80.523888888888891</v>
      </c>
    </row>
    <row r="2014" spans="1:7" hidden="1" x14ac:dyDescent="0.25">
      <c r="A2014" s="28">
        <v>43647</v>
      </c>
      <c r="B2014" s="27" t="s">
        <v>25</v>
      </c>
      <c r="C2014" s="27" t="s">
        <v>50</v>
      </c>
      <c r="D2014" s="27" t="s">
        <v>7</v>
      </c>
      <c r="E2014" s="27" t="s">
        <v>20</v>
      </c>
      <c r="F2014" s="29"/>
      <c r="G2014" s="30">
        <v>80.523888888888891</v>
      </c>
    </row>
    <row r="2015" spans="1:7" hidden="1" x14ac:dyDescent="0.25">
      <c r="A2015" s="28">
        <v>43647</v>
      </c>
      <c r="B2015" s="27" t="s">
        <v>25</v>
      </c>
      <c r="C2015" s="27" t="s">
        <v>50</v>
      </c>
      <c r="D2015" s="27" t="s">
        <v>7</v>
      </c>
      <c r="E2015" s="27" t="s">
        <v>204</v>
      </c>
      <c r="F2015" s="29"/>
      <c r="G2015" s="30">
        <v>80.523888888888891</v>
      </c>
    </row>
    <row r="2016" spans="1:7" hidden="1" x14ac:dyDescent="0.25">
      <c r="A2016" s="28">
        <v>43647</v>
      </c>
      <c r="B2016" s="27" t="s">
        <v>25</v>
      </c>
      <c r="C2016" s="27" t="s">
        <v>50</v>
      </c>
      <c r="D2016" s="27" t="s">
        <v>7</v>
      </c>
      <c r="E2016" s="27" t="s">
        <v>205</v>
      </c>
      <c r="F2016" s="29"/>
      <c r="G2016" s="30">
        <v>80.523888888888891</v>
      </c>
    </row>
    <row r="2017" spans="1:7" hidden="1" x14ac:dyDescent="0.25">
      <c r="A2017" s="28">
        <v>43647</v>
      </c>
      <c r="B2017" s="27" t="s">
        <v>2</v>
      </c>
      <c r="C2017" s="27" t="s">
        <v>50</v>
      </c>
      <c r="D2017" s="27" t="s">
        <v>7</v>
      </c>
      <c r="E2017" s="27" t="s">
        <v>8</v>
      </c>
      <c r="F2017" s="29"/>
      <c r="G2017" s="30">
        <v>281.06</v>
      </c>
    </row>
    <row r="2018" spans="1:7" hidden="1" x14ac:dyDescent="0.25">
      <c r="A2018" s="28">
        <v>43647</v>
      </c>
      <c r="B2018" s="27" t="s">
        <v>2</v>
      </c>
      <c r="C2018" s="27" t="s">
        <v>50</v>
      </c>
      <c r="D2018" s="27" t="s">
        <v>7</v>
      </c>
      <c r="E2018" s="27" t="s">
        <v>9</v>
      </c>
      <c r="F2018" s="29"/>
      <c r="G2018" s="30">
        <v>548.72</v>
      </c>
    </row>
    <row r="2019" spans="1:7" hidden="1" x14ac:dyDescent="0.25">
      <c r="A2019" s="28">
        <v>43647</v>
      </c>
      <c r="B2019" s="27" t="s">
        <v>2</v>
      </c>
      <c r="C2019" s="27" t="s">
        <v>50</v>
      </c>
      <c r="D2019" s="27" t="s">
        <v>7</v>
      </c>
      <c r="E2019" s="27" t="s">
        <v>64</v>
      </c>
      <c r="F2019" s="29"/>
      <c r="G2019" s="30">
        <v>657.86</v>
      </c>
    </row>
    <row r="2020" spans="1:7" hidden="1" x14ac:dyDescent="0.25">
      <c r="A2020" s="28">
        <v>43647</v>
      </c>
      <c r="B2020" s="27" t="s">
        <v>2</v>
      </c>
      <c r="C2020" s="27" t="s">
        <v>50</v>
      </c>
      <c r="D2020" s="27" t="s">
        <v>7</v>
      </c>
      <c r="E2020" s="27" t="s">
        <v>21</v>
      </c>
      <c r="F2020" s="29"/>
      <c r="G2020" s="30">
        <v>106.76</v>
      </c>
    </row>
    <row r="2021" spans="1:7" hidden="1" x14ac:dyDescent="0.25">
      <c r="A2021" s="28">
        <v>43647</v>
      </c>
      <c r="B2021" s="27" t="s">
        <v>2</v>
      </c>
      <c r="C2021" s="27" t="s">
        <v>50</v>
      </c>
      <c r="D2021" s="27" t="s">
        <v>7</v>
      </c>
      <c r="E2021" s="27" t="s">
        <v>21</v>
      </c>
      <c r="F2021" s="29"/>
      <c r="G2021" s="30">
        <v>741.14</v>
      </c>
    </row>
    <row r="2022" spans="1:7" hidden="1" x14ac:dyDescent="0.25">
      <c r="A2022" s="28">
        <v>43647</v>
      </c>
      <c r="B2022" s="27" t="s">
        <v>2</v>
      </c>
      <c r="C2022" s="27" t="s">
        <v>50</v>
      </c>
      <c r="D2022" s="27" t="s">
        <v>7</v>
      </c>
      <c r="E2022" s="27" t="s">
        <v>10</v>
      </c>
      <c r="F2022" s="29"/>
      <c r="G2022" s="30">
        <v>1119.56</v>
      </c>
    </row>
    <row r="2023" spans="1:7" hidden="1" x14ac:dyDescent="0.25">
      <c r="A2023" s="28">
        <v>43647</v>
      </c>
      <c r="B2023" s="27" t="s">
        <v>2</v>
      </c>
      <c r="C2023" s="27" t="s">
        <v>50</v>
      </c>
      <c r="D2023" s="27" t="s">
        <v>7</v>
      </c>
      <c r="E2023" s="27" t="s">
        <v>11</v>
      </c>
      <c r="F2023" s="29"/>
      <c r="G2023" s="30">
        <v>492.96</v>
      </c>
    </row>
    <row r="2024" spans="1:7" hidden="1" x14ac:dyDescent="0.25">
      <c r="A2024" s="28">
        <v>43647</v>
      </c>
      <c r="B2024" s="27" t="s">
        <v>2</v>
      </c>
      <c r="C2024" s="27" t="s">
        <v>50</v>
      </c>
      <c r="D2024" s="27" t="s">
        <v>7</v>
      </c>
      <c r="E2024" s="27" t="s">
        <v>12</v>
      </c>
      <c r="F2024" s="29"/>
      <c r="G2024" s="30">
        <v>406.56</v>
      </c>
    </row>
    <row r="2025" spans="1:7" hidden="1" x14ac:dyDescent="0.25">
      <c r="A2025" s="28">
        <v>43647</v>
      </c>
      <c r="B2025" s="27" t="s">
        <v>2</v>
      </c>
      <c r="C2025" s="27" t="s">
        <v>50</v>
      </c>
      <c r="D2025" s="27" t="s">
        <v>7</v>
      </c>
      <c r="E2025" s="27" t="s">
        <v>13</v>
      </c>
      <c r="F2025" s="29"/>
      <c r="G2025" s="30">
        <v>1127.9100000000001</v>
      </c>
    </row>
    <row r="2026" spans="1:7" hidden="1" x14ac:dyDescent="0.25">
      <c r="A2026" s="28">
        <v>43647</v>
      </c>
      <c r="B2026" s="27" t="s">
        <v>2</v>
      </c>
      <c r="C2026" s="27" t="s">
        <v>50</v>
      </c>
      <c r="D2026" s="27" t="s">
        <v>7</v>
      </c>
      <c r="E2026" s="27" t="s">
        <v>14</v>
      </c>
      <c r="F2026" s="29"/>
      <c r="G2026" s="30">
        <v>360.87</v>
      </c>
    </row>
    <row r="2027" spans="1:7" hidden="1" x14ac:dyDescent="0.25">
      <c r="A2027" s="28">
        <v>43647</v>
      </c>
      <c r="B2027" s="27" t="s">
        <v>2</v>
      </c>
      <c r="C2027" s="27" t="s">
        <v>50</v>
      </c>
      <c r="D2027" s="27" t="s">
        <v>7</v>
      </c>
      <c r="E2027" s="27" t="s">
        <v>15</v>
      </c>
      <c r="F2027" s="29"/>
      <c r="G2027" s="30">
        <v>761.62</v>
      </c>
    </row>
    <row r="2028" spans="1:7" hidden="1" x14ac:dyDescent="0.25">
      <c r="A2028" s="28">
        <v>43647</v>
      </c>
      <c r="B2028" s="27" t="s">
        <v>2</v>
      </c>
      <c r="C2028" s="27" t="s">
        <v>50</v>
      </c>
      <c r="D2028" s="27" t="s">
        <v>7</v>
      </c>
      <c r="E2028" s="27" t="s">
        <v>16</v>
      </c>
      <c r="F2028" s="29"/>
      <c r="G2028" s="30">
        <v>206.22</v>
      </c>
    </row>
    <row r="2029" spans="1:7" hidden="1" x14ac:dyDescent="0.25">
      <c r="A2029" s="28">
        <v>43647</v>
      </c>
      <c r="B2029" s="27" t="s">
        <v>2</v>
      </c>
      <c r="C2029" s="27" t="s">
        <v>50</v>
      </c>
      <c r="D2029" s="27" t="s">
        <v>7</v>
      </c>
      <c r="E2029" s="27" t="s">
        <v>17</v>
      </c>
      <c r="F2029" s="29"/>
      <c r="G2029" s="30">
        <v>1058.6199999999999</v>
      </c>
    </row>
    <row r="2030" spans="1:7" hidden="1" x14ac:dyDescent="0.25">
      <c r="A2030" s="28">
        <v>43647</v>
      </c>
      <c r="B2030" s="27" t="s">
        <v>2</v>
      </c>
      <c r="C2030" s="27" t="s">
        <v>50</v>
      </c>
      <c r="D2030" s="27" t="s">
        <v>7</v>
      </c>
      <c r="E2030" s="27" t="s">
        <v>18</v>
      </c>
      <c r="F2030" s="29"/>
      <c r="G2030" s="30">
        <v>268.47000000000003</v>
      </c>
    </row>
    <row r="2031" spans="1:7" hidden="1" x14ac:dyDescent="0.25">
      <c r="A2031" s="28">
        <v>43647</v>
      </c>
      <c r="B2031" s="27" t="s">
        <v>2</v>
      </c>
      <c r="C2031" s="27" t="s">
        <v>50</v>
      </c>
      <c r="D2031" s="27" t="s">
        <v>7</v>
      </c>
      <c r="E2031" s="27" t="s">
        <v>19</v>
      </c>
      <c r="F2031" s="29"/>
      <c r="G2031" s="30">
        <v>770.71</v>
      </c>
    </row>
    <row r="2032" spans="1:7" hidden="1" x14ac:dyDescent="0.25">
      <c r="A2032" s="28">
        <v>43647</v>
      </c>
      <c r="B2032" s="27" t="s">
        <v>2</v>
      </c>
      <c r="C2032" s="27" t="s">
        <v>50</v>
      </c>
      <c r="D2032" s="27" t="s">
        <v>7</v>
      </c>
      <c r="E2032" s="27" t="s">
        <v>20</v>
      </c>
      <c r="F2032" s="29"/>
      <c r="G2032" s="30">
        <v>196.37</v>
      </c>
    </row>
    <row r="2033" spans="1:7" hidden="1" x14ac:dyDescent="0.25">
      <c r="A2033" s="28">
        <v>43647</v>
      </c>
      <c r="B2033" s="27" t="s">
        <v>2</v>
      </c>
      <c r="C2033" s="27" t="s">
        <v>50</v>
      </c>
      <c r="D2033" s="27" t="s">
        <v>7</v>
      </c>
      <c r="E2033" s="27" t="s">
        <v>204</v>
      </c>
      <c r="F2033" s="29"/>
      <c r="G2033" s="30">
        <v>43.37</v>
      </c>
    </row>
    <row r="2034" spans="1:7" hidden="1" x14ac:dyDescent="0.25">
      <c r="A2034" s="28">
        <v>43647</v>
      </c>
      <c r="B2034" s="27" t="s">
        <v>36</v>
      </c>
      <c r="C2034" s="27" t="s">
        <v>50</v>
      </c>
      <c r="D2034" s="27" t="s">
        <v>6</v>
      </c>
      <c r="E2034" s="27" t="s">
        <v>8</v>
      </c>
      <c r="F2034" s="29"/>
      <c r="G2034" s="30">
        <v>436.62</v>
      </c>
    </row>
    <row r="2035" spans="1:7" hidden="1" x14ac:dyDescent="0.25">
      <c r="A2035" s="28">
        <v>43647</v>
      </c>
      <c r="B2035" s="27" t="s">
        <v>36</v>
      </c>
      <c r="C2035" s="27" t="s">
        <v>50</v>
      </c>
      <c r="D2035" s="27" t="s">
        <v>6</v>
      </c>
      <c r="E2035" s="31" t="s">
        <v>9</v>
      </c>
      <c r="F2035" s="29"/>
      <c r="G2035" s="30">
        <v>55</v>
      </c>
    </row>
    <row r="2036" spans="1:7" hidden="1" x14ac:dyDescent="0.25">
      <c r="A2036" s="28">
        <v>43647</v>
      </c>
      <c r="B2036" s="27" t="s">
        <v>36</v>
      </c>
      <c r="C2036" s="27" t="s">
        <v>50</v>
      </c>
      <c r="D2036" s="27" t="s">
        <v>6</v>
      </c>
      <c r="E2036" s="31" t="s">
        <v>64</v>
      </c>
      <c r="F2036" s="29"/>
      <c r="G2036" s="30">
        <v>55</v>
      </c>
    </row>
    <row r="2037" spans="1:7" hidden="1" x14ac:dyDescent="0.25">
      <c r="A2037" s="28">
        <v>43647</v>
      </c>
      <c r="B2037" s="27" t="s">
        <v>36</v>
      </c>
      <c r="C2037" s="27" t="s">
        <v>50</v>
      </c>
      <c r="D2037" s="27" t="s">
        <v>6</v>
      </c>
      <c r="E2037" s="27" t="s">
        <v>21</v>
      </c>
      <c r="F2037" s="29"/>
      <c r="G2037" s="30">
        <v>92.28</v>
      </c>
    </row>
    <row r="2038" spans="1:7" hidden="1" x14ac:dyDescent="0.25">
      <c r="A2038" s="28">
        <v>43647</v>
      </c>
      <c r="B2038" s="27" t="s">
        <v>36</v>
      </c>
      <c r="C2038" s="27" t="s">
        <v>50</v>
      </c>
      <c r="D2038" s="27" t="s">
        <v>6</v>
      </c>
      <c r="E2038" s="27" t="s">
        <v>21</v>
      </c>
      <c r="F2038" s="29"/>
      <c r="G2038" s="30">
        <v>92.28</v>
      </c>
    </row>
    <row r="2039" spans="1:7" hidden="1" x14ac:dyDescent="0.25">
      <c r="A2039" s="28">
        <v>43647</v>
      </c>
      <c r="B2039" s="27" t="s">
        <v>36</v>
      </c>
      <c r="C2039" s="27" t="s">
        <v>50</v>
      </c>
      <c r="D2039" s="27" t="s">
        <v>6</v>
      </c>
      <c r="E2039" s="27" t="s">
        <v>10</v>
      </c>
      <c r="F2039" s="29"/>
      <c r="G2039" s="30">
        <v>436.62</v>
      </c>
    </row>
    <row r="2040" spans="1:7" hidden="1" x14ac:dyDescent="0.25">
      <c r="A2040" s="28">
        <v>43647</v>
      </c>
      <c r="B2040" s="27" t="s">
        <v>36</v>
      </c>
      <c r="C2040" s="27" t="s">
        <v>50</v>
      </c>
      <c r="D2040" s="27" t="s">
        <v>6</v>
      </c>
      <c r="E2040" s="27" t="s">
        <v>11</v>
      </c>
      <c r="F2040" s="29"/>
      <c r="G2040" s="30">
        <v>78.69</v>
      </c>
    </row>
    <row r="2041" spans="1:7" hidden="1" x14ac:dyDescent="0.25">
      <c r="A2041" s="28">
        <v>43647</v>
      </c>
      <c r="B2041" s="27" t="s">
        <v>36</v>
      </c>
      <c r="C2041" s="27" t="s">
        <v>50</v>
      </c>
      <c r="D2041" s="27" t="s">
        <v>6</v>
      </c>
      <c r="E2041" s="27" t="s">
        <v>12</v>
      </c>
      <c r="F2041" s="29"/>
      <c r="G2041" s="30">
        <v>78.69</v>
      </c>
    </row>
    <row r="2042" spans="1:7" hidden="1" x14ac:dyDescent="0.25">
      <c r="A2042" s="28">
        <v>43647</v>
      </c>
      <c r="B2042" s="27" t="s">
        <v>36</v>
      </c>
      <c r="C2042" s="27" t="s">
        <v>50</v>
      </c>
      <c r="D2042" s="27" t="s">
        <v>6</v>
      </c>
      <c r="E2042" s="27" t="s">
        <v>13</v>
      </c>
      <c r="F2042" s="29"/>
      <c r="G2042" s="30">
        <v>55</v>
      </c>
    </row>
    <row r="2043" spans="1:7" hidden="1" x14ac:dyDescent="0.25">
      <c r="A2043" s="28">
        <v>43647</v>
      </c>
      <c r="B2043" s="27" t="s">
        <v>36</v>
      </c>
      <c r="C2043" s="27" t="s">
        <v>50</v>
      </c>
      <c r="D2043" s="27" t="s">
        <v>6</v>
      </c>
      <c r="E2043" s="27" t="s">
        <v>14</v>
      </c>
      <c r="F2043" s="29"/>
      <c r="G2043" s="30">
        <v>78.69</v>
      </c>
    </row>
    <row r="2044" spans="1:7" hidden="1" x14ac:dyDescent="0.25">
      <c r="A2044" s="28">
        <v>43647</v>
      </c>
      <c r="B2044" s="27" t="s">
        <v>36</v>
      </c>
      <c r="C2044" s="27" t="s">
        <v>50</v>
      </c>
      <c r="D2044" s="27" t="s">
        <v>6</v>
      </c>
      <c r="E2044" s="27" t="s">
        <v>15</v>
      </c>
      <c r="F2044" s="29"/>
      <c r="G2044" s="30">
        <v>55</v>
      </c>
    </row>
    <row r="2045" spans="1:7" hidden="1" x14ac:dyDescent="0.25">
      <c r="A2045" s="28">
        <v>43647</v>
      </c>
      <c r="B2045" s="27" t="s">
        <v>36</v>
      </c>
      <c r="C2045" s="27" t="s">
        <v>50</v>
      </c>
      <c r="D2045" s="27" t="s">
        <v>6</v>
      </c>
      <c r="E2045" s="27" t="s">
        <v>16</v>
      </c>
      <c r="F2045" s="29"/>
      <c r="G2045" s="30">
        <v>55</v>
      </c>
    </row>
    <row r="2046" spans="1:7" hidden="1" x14ac:dyDescent="0.25">
      <c r="A2046" s="28">
        <v>43647</v>
      </c>
      <c r="B2046" s="27" t="s">
        <v>36</v>
      </c>
      <c r="C2046" s="27" t="s">
        <v>50</v>
      </c>
      <c r="D2046" s="27" t="s">
        <v>6</v>
      </c>
      <c r="E2046" s="27" t="s">
        <v>17</v>
      </c>
      <c r="F2046" s="29"/>
      <c r="G2046" s="30">
        <v>152</v>
      </c>
    </row>
    <row r="2047" spans="1:7" hidden="1" x14ac:dyDescent="0.25">
      <c r="A2047" s="28">
        <v>43647</v>
      </c>
      <c r="B2047" s="27" t="s">
        <v>36</v>
      </c>
      <c r="C2047" s="27" t="s">
        <v>50</v>
      </c>
      <c r="D2047" s="27" t="s">
        <v>6</v>
      </c>
      <c r="E2047" s="27" t="s">
        <v>18</v>
      </c>
      <c r="F2047" s="29"/>
      <c r="G2047" s="30">
        <v>55</v>
      </c>
    </row>
    <row r="2048" spans="1:7" hidden="1" x14ac:dyDescent="0.25">
      <c r="A2048" s="28">
        <v>43647</v>
      </c>
      <c r="B2048" s="27" t="s">
        <v>36</v>
      </c>
      <c r="C2048" s="27" t="s">
        <v>50</v>
      </c>
      <c r="D2048" s="27" t="s">
        <v>6</v>
      </c>
      <c r="E2048" s="27" t="s">
        <v>19</v>
      </c>
      <c r="F2048" s="29"/>
      <c r="G2048" s="30">
        <v>55</v>
      </c>
    </row>
    <row r="2049" spans="1:7" hidden="1" x14ac:dyDescent="0.25">
      <c r="A2049" s="28">
        <v>43647</v>
      </c>
      <c r="B2049" s="27" t="s">
        <v>36</v>
      </c>
      <c r="C2049" s="27" t="s">
        <v>50</v>
      </c>
      <c r="D2049" s="27" t="s">
        <v>6</v>
      </c>
      <c r="E2049" s="27" t="s">
        <v>20</v>
      </c>
      <c r="F2049" s="29"/>
      <c r="G2049" s="30">
        <v>56</v>
      </c>
    </row>
    <row r="2050" spans="1:7" hidden="1" x14ac:dyDescent="0.25">
      <c r="A2050" s="28">
        <v>43647</v>
      </c>
      <c r="B2050" s="27" t="s">
        <v>200</v>
      </c>
      <c r="C2050" s="27" t="s">
        <v>53</v>
      </c>
      <c r="D2050" s="27" t="s">
        <v>6</v>
      </c>
      <c r="E2050" s="27" t="s">
        <v>8</v>
      </c>
      <c r="F2050" s="29"/>
      <c r="G2050" s="30">
        <f t="shared" ref="G2050:G2067" si="36">6481.34604444444/18</f>
        <v>360.07478024691335</v>
      </c>
    </row>
    <row r="2051" spans="1:7" hidden="1" x14ac:dyDescent="0.25">
      <c r="A2051" s="28">
        <v>43647</v>
      </c>
      <c r="B2051" s="27" t="s">
        <v>200</v>
      </c>
      <c r="C2051" s="27" t="s">
        <v>53</v>
      </c>
      <c r="D2051" s="27" t="s">
        <v>6</v>
      </c>
      <c r="E2051" s="27" t="s">
        <v>9</v>
      </c>
      <c r="F2051" s="29"/>
      <c r="G2051" s="30">
        <f t="shared" si="36"/>
        <v>360.07478024691335</v>
      </c>
    </row>
    <row r="2052" spans="1:7" hidden="1" x14ac:dyDescent="0.25">
      <c r="A2052" s="28">
        <v>43647</v>
      </c>
      <c r="B2052" s="27" t="s">
        <v>200</v>
      </c>
      <c r="C2052" s="27" t="s">
        <v>53</v>
      </c>
      <c r="D2052" s="27" t="s">
        <v>6</v>
      </c>
      <c r="E2052" s="27" t="s">
        <v>64</v>
      </c>
      <c r="F2052" s="29"/>
      <c r="G2052" s="30">
        <f t="shared" si="36"/>
        <v>360.07478024691335</v>
      </c>
    </row>
    <row r="2053" spans="1:7" hidden="1" x14ac:dyDescent="0.25">
      <c r="A2053" s="28">
        <v>43647</v>
      </c>
      <c r="B2053" s="27" t="s">
        <v>200</v>
      </c>
      <c r="C2053" s="27" t="s">
        <v>53</v>
      </c>
      <c r="D2053" s="27" t="s">
        <v>6</v>
      </c>
      <c r="E2053" s="27" t="s">
        <v>21</v>
      </c>
      <c r="F2053" s="29"/>
      <c r="G2053" s="30">
        <f t="shared" si="36"/>
        <v>360.07478024691335</v>
      </c>
    </row>
    <row r="2054" spans="1:7" hidden="1" x14ac:dyDescent="0.25">
      <c r="A2054" s="28">
        <v>43647</v>
      </c>
      <c r="B2054" s="27" t="s">
        <v>200</v>
      </c>
      <c r="C2054" s="27" t="s">
        <v>53</v>
      </c>
      <c r="D2054" s="27" t="s">
        <v>6</v>
      </c>
      <c r="E2054" s="27" t="s">
        <v>21</v>
      </c>
      <c r="F2054" s="29"/>
      <c r="G2054" s="30">
        <f t="shared" si="36"/>
        <v>360.07478024691335</v>
      </c>
    </row>
    <row r="2055" spans="1:7" hidden="1" x14ac:dyDescent="0.25">
      <c r="A2055" s="28">
        <v>43647</v>
      </c>
      <c r="B2055" s="27" t="s">
        <v>200</v>
      </c>
      <c r="C2055" s="27" t="s">
        <v>53</v>
      </c>
      <c r="D2055" s="27" t="s">
        <v>6</v>
      </c>
      <c r="E2055" s="27" t="s">
        <v>10</v>
      </c>
      <c r="F2055" s="29"/>
      <c r="G2055" s="30">
        <f t="shared" si="36"/>
        <v>360.07478024691335</v>
      </c>
    </row>
    <row r="2056" spans="1:7" hidden="1" x14ac:dyDescent="0.25">
      <c r="A2056" s="28">
        <v>43647</v>
      </c>
      <c r="B2056" s="27" t="s">
        <v>200</v>
      </c>
      <c r="C2056" s="27" t="s">
        <v>53</v>
      </c>
      <c r="D2056" s="27" t="s">
        <v>6</v>
      </c>
      <c r="E2056" s="27" t="s">
        <v>11</v>
      </c>
      <c r="F2056" s="29"/>
      <c r="G2056" s="30">
        <f t="shared" si="36"/>
        <v>360.07478024691335</v>
      </c>
    </row>
    <row r="2057" spans="1:7" hidden="1" x14ac:dyDescent="0.25">
      <c r="A2057" s="28">
        <v>43647</v>
      </c>
      <c r="B2057" s="27" t="s">
        <v>200</v>
      </c>
      <c r="C2057" s="27" t="s">
        <v>53</v>
      </c>
      <c r="D2057" s="27" t="s">
        <v>6</v>
      </c>
      <c r="E2057" s="27" t="s">
        <v>12</v>
      </c>
      <c r="F2057" s="29"/>
      <c r="G2057" s="30">
        <f t="shared" si="36"/>
        <v>360.07478024691335</v>
      </c>
    </row>
    <row r="2058" spans="1:7" hidden="1" x14ac:dyDescent="0.25">
      <c r="A2058" s="28">
        <v>43647</v>
      </c>
      <c r="B2058" s="27" t="s">
        <v>200</v>
      </c>
      <c r="C2058" s="27" t="s">
        <v>53</v>
      </c>
      <c r="D2058" s="27" t="s">
        <v>6</v>
      </c>
      <c r="E2058" s="27" t="s">
        <v>13</v>
      </c>
      <c r="F2058" s="29"/>
      <c r="G2058" s="30">
        <f t="shared" si="36"/>
        <v>360.07478024691335</v>
      </c>
    </row>
    <row r="2059" spans="1:7" hidden="1" x14ac:dyDescent="0.25">
      <c r="A2059" s="28">
        <v>43647</v>
      </c>
      <c r="B2059" s="27" t="s">
        <v>200</v>
      </c>
      <c r="C2059" s="27" t="s">
        <v>53</v>
      </c>
      <c r="D2059" s="27" t="s">
        <v>6</v>
      </c>
      <c r="E2059" s="27" t="s">
        <v>14</v>
      </c>
      <c r="F2059" s="29"/>
      <c r="G2059" s="30">
        <f t="shared" si="36"/>
        <v>360.07478024691335</v>
      </c>
    </row>
    <row r="2060" spans="1:7" hidden="1" x14ac:dyDescent="0.25">
      <c r="A2060" s="28">
        <v>43647</v>
      </c>
      <c r="B2060" s="27" t="s">
        <v>200</v>
      </c>
      <c r="C2060" s="27" t="s">
        <v>53</v>
      </c>
      <c r="D2060" s="27" t="s">
        <v>6</v>
      </c>
      <c r="E2060" s="27" t="s">
        <v>15</v>
      </c>
      <c r="F2060" s="29"/>
      <c r="G2060" s="30">
        <f t="shared" si="36"/>
        <v>360.07478024691335</v>
      </c>
    </row>
    <row r="2061" spans="1:7" hidden="1" x14ac:dyDescent="0.25">
      <c r="A2061" s="28">
        <v>43647</v>
      </c>
      <c r="B2061" s="27" t="s">
        <v>200</v>
      </c>
      <c r="C2061" s="27" t="s">
        <v>53</v>
      </c>
      <c r="D2061" s="27" t="s">
        <v>6</v>
      </c>
      <c r="E2061" s="27" t="s">
        <v>16</v>
      </c>
      <c r="F2061" s="29"/>
      <c r="G2061" s="30">
        <f t="shared" si="36"/>
        <v>360.07478024691335</v>
      </c>
    </row>
    <row r="2062" spans="1:7" hidden="1" x14ac:dyDescent="0.25">
      <c r="A2062" s="28">
        <v>43647</v>
      </c>
      <c r="B2062" s="27" t="s">
        <v>200</v>
      </c>
      <c r="C2062" s="27" t="s">
        <v>53</v>
      </c>
      <c r="D2062" s="27" t="s">
        <v>6</v>
      </c>
      <c r="E2062" s="27" t="s">
        <v>17</v>
      </c>
      <c r="F2062" s="29"/>
      <c r="G2062" s="30">
        <f t="shared" si="36"/>
        <v>360.07478024691335</v>
      </c>
    </row>
    <row r="2063" spans="1:7" hidden="1" x14ac:dyDescent="0.25">
      <c r="A2063" s="28">
        <v>43647</v>
      </c>
      <c r="B2063" s="27" t="s">
        <v>200</v>
      </c>
      <c r="C2063" s="27" t="s">
        <v>53</v>
      </c>
      <c r="D2063" s="27" t="s">
        <v>6</v>
      </c>
      <c r="E2063" s="27" t="s">
        <v>18</v>
      </c>
      <c r="F2063" s="29"/>
      <c r="G2063" s="30">
        <f t="shared" si="36"/>
        <v>360.07478024691335</v>
      </c>
    </row>
    <row r="2064" spans="1:7" hidden="1" x14ac:dyDescent="0.25">
      <c r="A2064" s="28">
        <v>43647</v>
      </c>
      <c r="B2064" s="27" t="s">
        <v>200</v>
      </c>
      <c r="C2064" s="27" t="s">
        <v>53</v>
      </c>
      <c r="D2064" s="27" t="s">
        <v>6</v>
      </c>
      <c r="E2064" s="27" t="s">
        <v>19</v>
      </c>
      <c r="F2064" s="29"/>
      <c r="G2064" s="30">
        <f t="shared" si="36"/>
        <v>360.07478024691335</v>
      </c>
    </row>
    <row r="2065" spans="1:7" hidden="1" x14ac:dyDescent="0.25">
      <c r="A2065" s="28">
        <v>43647</v>
      </c>
      <c r="B2065" s="27" t="s">
        <v>200</v>
      </c>
      <c r="C2065" s="27" t="s">
        <v>53</v>
      </c>
      <c r="D2065" s="27" t="s">
        <v>6</v>
      </c>
      <c r="E2065" s="27" t="s">
        <v>20</v>
      </c>
      <c r="F2065" s="29"/>
      <c r="G2065" s="30">
        <f t="shared" si="36"/>
        <v>360.07478024691335</v>
      </c>
    </row>
    <row r="2066" spans="1:7" hidden="1" x14ac:dyDescent="0.25">
      <c r="A2066" s="28">
        <v>43647</v>
      </c>
      <c r="B2066" s="27" t="s">
        <v>200</v>
      </c>
      <c r="C2066" s="27" t="s">
        <v>53</v>
      </c>
      <c r="D2066" s="27" t="s">
        <v>6</v>
      </c>
      <c r="E2066" s="27" t="s">
        <v>204</v>
      </c>
      <c r="F2066" s="29"/>
      <c r="G2066" s="30">
        <f t="shared" si="36"/>
        <v>360.07478024691335</v>
      </c>
    </row>
    <row r="2067" spans="1:7" hidden="1" x14ac:dyDescent="0.25">
      <c r="A2067" s="28">
        <v>43647</v>
      </c>
      <c r="B2067" s="27" t="s">
        <v>200</v>
      </c>
      <c r="C2067" s="27" t="s">
        <v>53</v>
      </c>
      <c r="D2067" s="27" t="s">
        <v>6</v>
      </c>
      <c r="E2067" s="27" t="s">
        <v>205</v>
      </c>
      <c r="F2067" s="29"/>
      <c r="G2067" s="30">
        <f t="shared" si="36"/>
        <v>360.07478024691335</v>
      </c>
    </row>
    <row r="2068" spans="1:7" hidden="1" x14ac:dyDescent="0.25">
      <c r="A2068" s="28">
        <v>43647</v>
      </c>
      <c r="B2068" s="27" t="s">
        <v>200</v>
      </c>
      <c r="C2068" s="27" t="s">
        <v>54</v>
      </c>
      <c r="D2068" s="27" t="s">
        <v>7</v>
      </c>
      <c r="E2068" s="27" t="s">
        <v>8</v>
      </c>
      <c r="F2068" s="29"/>
      <c r="G2068" s="30">
        <f t="shared" ref="G2068:G2085" si="37">27.73/18</f>
        <v>1.5405555555555557</v>
      </c>
    </row>
    <row r="2069" spans="1:7" hidden="1" x14ac:dyDescent="0.25">
      <c r="A2069" s="28">
        <v>43647</v>
      </c>
      <c r="B2069" s="27" t="s">
        <v>200</v>
      </c>
      <c r="C2069" s="27" t="s">
        <v>54</v>
      </c>
      <c r="D2069" s="27" t="s">
        <v>7</v>
      </c>
      <c r="E2069" s="27" t="s">
        <v>9</v>
      </c>
      <c r="F2069" s="29"/>
      <c r="G2069" s="30">
        <f t="shared" si="37"/>
        <v>1.5405555555555557</v>
      </c>
    </row>
    <row r="2070" spans="1:7" hidden="1" x14ac:dyDescent="0.25">
      <c r="A2070" s="28">
        <v>43647</v>
      </c>
      <c r="B2070" s="27" t="s">
        <v>200</v>
      </c>
      <c r="C2070" s="27" t="s">
        <v>54</v>
      </c>
      <c r="D2070" s="27" t="s">
        <v>7</v>
      </c>
      <c r="E2070" s="27" t="s">
        <v>64</v>
      </c>
      <c r="F2070" s="29"/>
      <c r="G2070" s="30">
        <f t="shared" si="37"/>
        <v>1.5405555555555557</v>
      </c>
    </row>
    <row r="2071" spans="1:7" hidden="1" x14ac:dyDescent="0.25">
      <c r="A2071" s="28">
        <v>43647</v>
      </c>
      <c r="B2071" s="27" t="s">
        <v>200</v>
      </c>
      <c r="C2071" s="27" t="s">
        <v>54</v>
      </c>
      <c r="D2071" s="27" t="s">
        <v>7</v>
      </c>
      <c r="E2071" s="27" t="s">
        <v>21</v>
      </c>
      <c r="F2071" s="29"/>
      <c r="G2071" s="30">
        <f t="shared" si="37"/>
        <v>1.5405555555555557</v>
      </c>
    </row>
    <row r="2072" spans="1:7" hidden="1" x14ac:dyDescent="0.25">
      <c r="A2072" s="28">
        <v>43647</v>
      </c>
      <c r="B2072" s="27" t="s">
        <v>200</v>
      </c>
      <c r="C2072" s="27" t="s">
        <v>54</v>
      </c>
      <c r="D2072" s="27" t="s">
        <v>7</v>
      </c>
      <c r="E2072" s="27" t="s">
        <v>21</v>
      </c>
      <c r="F2072" s="29"/>
      <c r="G2072" s="30">
        <f t="shared" si="37"/>
        <v>1.5405555555555557</v>
      </c>
    </row>
    <row r="2073" spans="1:7" hidden="1" x14ac:dyDescent="0.25">
      <c r="A2073" s="28">
        <v>43647</v>
      </c>
      <c r="B2073" s="27" t="s">
        <v>200</v>
      </c>
      <c r="C2073" s="27" t="s">
        <v>54</v>
      </c>
      <c r="D2073" s="27" t="s">
        <v>7</v>
      </c>
      <c r="E2073" s="27" t="s">
        <v>10</v>
      </c>
      <c r="F2073" s="29"/>
      <c r="G2073" s="30">
        <f t="shared" si="37"/>
        <v>1.5405555555555557</v>
      </c>
    </row>
    <row r="2074" spans="1:7" hidden="1" x14ac:dyDescent="0.25">
      <c r="A2074" s="28">
        <v>43647</v>
      </c>
      <c r="B2074" s="27" t="s">
        <v>200</v>
      </c>
      <c r="C2074" s="27" t="s">
        <v>54</v>
      </c>
      <c r="D2074" s="27" t="s">
        <v>7</v>
      </c>
      <c r="E2074" s="27" t="s">
        <v>11</v>
      </c>
      <c r="F2074" s="29"/>
      <c r="G2074" s="30">
        <f t="shared" si="37"/>
        <v>1.5405555555555557</v>
      </c>
    </row>
    <row r="2075" spans="1:7" hidden="1" x14ac:dyDescent="0.25">
      <c r="A2075" s="28">
        <v>43647</v>
      </c>
      <c r="B2075" s="27" t="s">
        <v>200</v>
      </c>
      <c r="C2075" s="27" t="s">
        <v>54</v>
      </c>
      <c r="D2075" s="27" t="s">
        <v>7</v>
      </c>
      <c r="E2075" s="27" t="s">
        <v>12</v>
      </c>
      <c r="F2075" s="29"/>
      <c r="G2075" s="30">
        <f t="shared" si="37"/>
        <v>1.5405555555555557</v>
      </c>
    </row>
    <row r="2076" spans="1:7" hidden="1" x14ac:dyDescent="0.25">
      <c r="A2076" s="28">
        <v>43647</v>
      </c>
      <c r="B2076" s="27" t="s">
        <v>200</v>
      </c>
      <c r="C2076" s="27" t="s">
        <v>54</v>
      </c>
      <c r="D2076" s="27" t="s">
        <v>7</v>
      </c>
      <c r="E2076" s="27" t="s">
        <v>13</v>
      </c>
      <c r="F2076" s="29"/>
      <c r="G2076" s="30">
        <f t="shared" si="37"/>
        <v>1.5405555555555557</v>
      </c>
    </row>
    <row r="2077" spans="1:7" hidden="1" x14ac:dyDescent="0.25">
      <c r="A2077" s="28">
        <v>43647</v>
      </c>
      <c r="B2077" s="27" t="s">
        <v>200</v>
      </c>
      <c r="C2077" s="27" t="s">
        <v>54</v>
      </c>
      <c r="D2077" s="27" t="s">
        <v>7</v>
      </c>
      <c r="E2077" s="27" t="s">
        <v>14</v>
      </c>
      <c r="F2077" s="29"/>
      <c r="G2077" s="30">
        <f t="shared" si="37"/>
        <v>1.5405555555555557</v>
      </c>
    </row>
    <row r="2078" spans="1:7" hidden="1" x14ac:dyDescent="0.25">
      <c r="A2078" s="28">
        <v>43647</v>
      </c>
      <c r="B2078" s="27" t="s">
        <v>200</v>
      </c>
      <c r="C2078" s="27" t="s">
        <v>54</v>
      </c>
      <c r="D2078" s="27" t="s">
        <v>7</v>
      </c>
      <c r="E2078" s="27" t="s">
        <v>15</v>
      </c>
      <c r="F2078" s="29"/>
      <c r="G2078" s="30">
        <f t="shared" si="37"/>
        <v>1.5405555555555557</v>
      </c>
    </row>
    <row r="2079" spans="1:7" hidden="1" x14ac:dyDescent="0.25">
      <c r="A2079" s="28">
        <v>43647</v>
      </c>
      <c r="B2079" s="27" t="s">
        <v>200</v>
      </c>
      <c r="C2079" s="27" t="s">
        <v>54</v>
      </c>
      <c r="D2079" s="27" t="s">
        <v>7</v>
      </c>
      <c r="E2079" s="27" t="s">
        <v>16</v>
      </c>
      <c r="F2079" s="29"/>
      <c r="G2079" s="30">
        <f t="shared" si="37"/>
        <v>1.5405555555555557</v>
      </c>
    </row>
    <row r="2080" spans="1:7" hidden="1" x14ac:dyDescent="0.25">
      <c r="A2080" s="28">
        <v>43647</v>
      </c>
      <c r="B2080" s="27" t="s">
        <v>200</v>
      </c>
      <c r="C2080" s="27" t="s">
        <v>54</v>
      </c>
      <c r="D2080" s="27" t="s">
        <v>7</v>
      </c>
      <c r="E2080" s="27" t="s">
        <v>17</v>
      </c>
      <c r="F2080" s="29"/>
      <c r="G2080" s="30">
        <f t="shared" si="37"/>
        <v>1.5405555555555557</v>
      </c>
    </row>
    <row r="2081" spans="1:7" hidden="1" x14ac:dyDescent="0.25">
      <c r="A2081" s="28">
        <v>43647</v>
      </c>
      <c r="B2081" s="27" t="s">
        <v>200</v>
      </c>
      <c r="C2081" s="27" t="s">
        <v>54</v>
      </c>
      <c r="D2081" s="27" t="s">
        <v>7</v>
      </c>
      <c r="E2081" s="27" t="s">
        <v>18</v>
      </c>
      <c r="F2081" s="29"/>
      <c r="G2081" s="30">
        <f t="shared" si="37"/>
        <v>1.5405555555555557</v>
      </c>
    </row>
    <row r="2082" spans="1:7" hidden="1" x14ac:dyDescent="0.25">
      <c r="A2082" s="28">
        <v>43647</v>
      </c>
      <c r="B2082" s="27" t="s">
        <v>200</v>
      </c>
      <c r="C2082" s="27" t="s">
        <v>54</v>
      </c>
      <c r="D2082" s="27" t="s">
        <v>7</v>
      </c>
      <c r="E2082" s="27" t="s">
        <v>19</v>
      </c>
      <c r="F2082" s="29"/>
      <c r="G2082" s="30">
        <f t="shared" si="37"/>
        <v>1.5405555555555557</v>
      </c>
    </row>
    <row r="2083" spans="1:7" hidden="1" x14ac:dyDescent="0.25">
      <c r="A2083" s="28">
        <v>43647</v>
      </c>
      <c r="B2083" s="27" t="s">
        <v>200</v>
      </c>
      <c r="C2083" s="27" t="s">
        <v>54</v>
      </c>
      <c r="D2083" s="27" t="s">
        <v>7</v>
      </c>
      <c r="E2083" s="27" t="s">
        <v>20</v>
      </c>
      <c r="F2083" s="29"/>
      <c r="G2083" s="30">
        <f t="shared" si="37"/>
        <v>1.5405555555555557</v>
      </c>
    </row>
    <row r="2084" spans="1:7" hidden="1" x14ac:dyDescent="0.25">
      <c r="A2084" s="28">
        <v>43647</v>
      </c>
      <c r="B2084" s="27" t="s">
        <v>200</v>
      </c>
      <c r="C2084" s="27" t="s">
        <v>54</v>
      </c>
      <c r="D2084" s="27" t="s">
        <v>7</v>
      </c>
      <c r="E2084" s="27" t="s">
        <v>204</v>
      </c>
      <c r="F2084" s="29"/>
      <c r="G2084" s="30">
        <f t="shared" si="37"/>
        <v>1.5405555555555557</v>
      </c>
    </row>
    <row r="2085" spans="1:7" hidden="1" x14ac:dyDescent="0.25">
      <c r="A2085" s="28">
        <v>43647</v>
      </c>
      <c r="B2085" s="27" t="s">
        <v>200</v>
      </c>
      <c r="C2085" s="27" t="s">
        <v>54</v>
      </c>
      <c r="D2085" s="27" t="s">
        <v>7</v>
      </c>
      <c r="E2085" s="27" t="s">
        <v>37</v>
      </c>
      <c r="F2085" s="29"/>
      <c r="G2085" s="30">
        <f t="shared" si="37"/>
        <v>1.5405555555555557</v>
      </c>
    </row>
    <row r="2086" spans="1:7" hidden="1" x14ac:dyDescent="0.25">
      <c r="A2086" s="28">
        <v>43647</v>
      </c>
      <c r="B2086" s="27" t="s">
        <v>200</v>
      </c>
      <c r="C2086" s="27" t="s">
        <v>55</v>
      </c>
      <c r="D2086" s="27" t="s">
        <v>6</v>
      </c>
      <c r="E2086" s="27" t="s">
        <v>8</v>
      </c>
      <c r="F2086" s="29"/>
      <c r="G2086" s="30">
        <f t="shared" ref="G2086:G2103" si="38">22206.4091111111/18</f>
        <v>1233.6893950617277</v>
      </c>
    </row>
    <row r="2087" spans="1:7" hidden="1" x14ac:dyDescent="0.25">
      <c r="A2087" s="28">
        <v>43647</v>
      </c>
      <c r="B2087" s="27" t="s">
        <v>200</v>
      </c>
      <c r="C2087" s="27" t="s">
        <v>55</v>
      </c>
      <c r="D2087" s="27" t="s">
        <v>6</v>
      </c>
      <c r="E2087" s="27" t="s">
        <v>9</v>
      </c>
      <c r="F2087" s="29"/>
      <c r="G2087" s="30">
        <f t="shared" si="38"/>
        <v>1233.6893950617277</v>
      </c>
    </row>
    <row r="2088" spans="1:7" hidden="1" x14ac:dyDescent="0.25">
      <c r="A2088" s="28">
        <v>43647</v>
      </c>
      <c r="B2088" s="27" t="s">
        <v>200</v>
      </c>
      <c r="C2088" s="27" t="s">
        <v>55</v>
      </c>
      <c r="D2088" s="27" t="s">
        <v>6</v>
      </c>
      <c r="E2088" s="27" t="s">
        <v>64</v>
      </c>
      <c r="F2088" s="29"/>
      <c r="G2088" s="30">
        <f t="shared" si="38"/>
        <v>1233.6893950617277</v>
      </c>
    </row>
    <row r="2089" spans="1:7" hidden="1" x14ac:dyDescent="0.25">
      <c r="A2089" s="28">
        <v>43647</v>
      </c>
      <c r="B2089" s="27" t="s">
        <v>200</v>
      </c>
      <c r="C2089" s="27" t="s">
        <v>55</v>
      </c>
      <c r="D2089" s="27" t="s">
        <v>6</v>
      </c>
      <c r="E2089" s="27" t="s">
        <v>21</v>
      </c>
      <c r="F2089" s="29"/>
      <c r="G2089" s="30">
        <f t="shared" si="38"/>
        <v>1233.6893950617277</v>
      </c>
    </row>
    <row r="2090" spans="1:7" hidden="1" x14ac:dyDescent="0.25">
      <c r="A2090" s="28">
        <v>43647</v>
      </c>
      <c r="B2090" s="27" t="s">
        <v>200</v>
      </c>
      <c r="C2090" s="27" t="s">
        <v>55</v>
      </c>
      <c r="D2090" s="27" t="s">
        <v>6</v>
      </c>
      <c r="E2090" s="27" t="s">
        <v>21</v>
      </c>
      <c r="F2090" s="29"/>
      <c r="G2090" s="30">
        <f t="shared" si="38"/>
        <v>1233.6893950617277</v>
      </c>
    </row>
    <row r="2091" spans="1:7" hidden="1" x14ac:dyDescent="0.25">
      <c r="A2091" s="28">
        <v>43647</v>
      </c>
      <c r="B2091" s="27" t="s">
        <v>200</v>
      </c>
      <c r="C2091" s="27" t="s">
        <v>55</v>
      </c>
      <c r="D2091" s="27" t="s">
        <v>6</v>
      </c>
      <c r="E2091" s="27" t="s">
        <v>10</v>
      </c>
      <c r="F2091" s="29"/>
      <c r="G2091" s="30">
        <f t="shared" si="38"/>
        <v>1233.6893950617277</v>
      </c>
    </row>
    <row r="2092" spans="1:7" hidden="1" x14ac:dyDescent="0.25">
      <c r="A2092" s="28">
        <v>43647</v>
      </c>
      <c r="B2092" s="27" t="s">
        <v>200</v>
      </c>
      <c r="C2092" s="27" t="s">
        <v>55</v>
      </c>
      <c r="D2092" s="27" t="s">
        <v>6</v>
      </c>
      <c r="E2092" s="27" t="s">
        <v>11</v>
      </c>
      <c r="F2092" s="29"/>
      <c r="G2092" s="30">
        <f t="shared" si="38"/>
        <v>1233.6893950617277</v>
      </c>
    </row>
    <row r="2093" spans="1:7" hidden="1" x14ac:dyDescent="0.25">
      <c r="A2093" s="28">
        <v>43647</v>
      </c>
      <c r="B2093" s="27" t="s">
        <v>200</v>
      </c>
      <c r="C2093" s="27" t="s">
        <v>55</v>
      </c>
      <c r="D2093" s="27" t="s">
        <v>6</v>
      </c>
      <c r="E2093" s="27" t="s">
        <v>12</v>
      </c>
      <c r="F2093" s="29"/>
      <c r="G2093" s="30">
        <f t="shared" si="38"/>
        <v>1233.6893950617277</v>
      </c>
    </row>
    <row r="2094" spans="1:7" hidden="1" x14ac:dyDescent="0.25">
      <c r="A2094" s="28">
        <v>43647</v>
      </c>
      <c r="B2094" s="27" t="s">
        <v>200</v>
      </c>
      <c r="C2094" s="27" t="s">
        <v>55</v>
      </c>
      <c r="D2094" s="27" t="s">
        <v>6</v>
      </c>
      <c r="E2094" s="27" t="s">
        <v>13</v>
      </c>
      <c r="F2094" s="29"/>
      <c r="G2094" s="30">
        <f t="shared" si="38"/>
        <v>1233.6893950617277</v>
      </c>
    </row>
    <row r="2095" spans="1:7" hidden="1" x14ac:dyDescent="0.25">
      <c r="A2095" s="28">
        <v>43647</v>
      </c>
      <c r="B2095" s="27" t="s">
        <v>200</v>
      </c>
      <c r="C2095" s="27" t="s">
        <v>55</v>
      </c>
      <c r="D2095" s="27" t="s">
        <v>6</v>
      </c>
      <c r="E2095" s="27" t="s">
        <v>14</v>
      </c>
      <c r="F2095" s="29"/>
      <c r="G2095" s="30">
        <f t="shared" si="38"/>
        <v>1233.6893950617277</v>
      </c>
    </row>
    <row r="2096" spans="1:7" hidden="1" x14ac:dyDescent="0.25">
      <c r="A2096" s="28">
        <v>43647</v>
      </c>
      <c r="B2096" s="27" t="s">
        <v>200</v>
      </c>
      <c r="C2096" s="27" t="s">
        <v>55</v>
      </c>
      <c r="D2096" s="27" t="s">
        <v>6</v>
      </c>
      <c r="E2096" s="27" t="s">
        <v>15</v>
      </c>
      <c r="F2096" s="29"/>
      <c r="G2096" s="30">
        <f t="shared" si="38"/>
        <v>1233.6893950617277</v>
      </c>
    </row>
    <row r="2097" spans="1:7" hidden="1" x14ac:dyDescent="0.25">
      <c r="A2097" s="28">
        <v>43647</v>
      </c>
      <c r="B2097" s="27" t="s">
        <v>200</v>
      </c>
      <c r="C2097" s="27" t="s">
        <v>55</v>
      </c>
      <c r="D2097" s="27" t="s">
        <v>6</v>
      </c>
      <c r="E2097" s="27" t="s">
        <v>16</v>
      </c>
      <c r="F2097" s="29"/>
      <c r="G2097" s="30">
        <f t="shared" si="38"/>
        <v>1233.6893950617277</v>
      </c>
    </row>
    <row r="2098" spans="1:7" hidden="1" x14ac:dyDescent="0.25">
      <c r="A2098" s="28">
        <v>43647</v>
      </c>
      <c r="B2098" s="27" t="s">
        <v>200</v>
      </c>
      <c r="C2098" s="27" t="s">
        <v>55</v>
      </c>
      <c r="D2098" s="27" t="s">
        <v>6</v>
      </c>
      <c r="E2098" s="27" t="s">
        <v>17</v>
      </c>
      <c r="F2098" s="29"/>
      <c r="G2098" s="30">
        <f t="shared" si="38"/>
        <v>1233.6893950617277</v>
      </c>
    </row>
    <row r="2099" spans="1:7" hidden="1" x14ac:dyDescent="0.25">
      <c r="A2099" s="28">
        <v>43647</v>
      </c>
      <c r="B2099" s="27" t="s">
        <v>200</v>
      </c>
      <c r="C2099" s="27" t="s">
        <v>55</v>
      </c>
      <c r="D2099" s="27" t="s">
        <v>6</v>
      </c>
      <c r="E2099" s="27" t="s">
        <v>18</v>
      </c>
      <c r="F2099" s="29"/>
      <c r="G2099" s="30">
        <f t="shared" si="38"/>
        <v>1233.6893950617277</v>
      </c>
    </row>
    <row r="2100" spans="1:7" hidden="1" x14ac:dyDescent="0.25">
      <c r="A2100" s="28">
        <v>43647</v>
      </c>
      <c r="B2100" s="27" t="s">
        <v>200</v>
      </c>
      <c r="C2100" s="27" t="s">
        <v>55</v>
      </c>
      <c r="D2100" s="27" t="s">
        <v>6</v>
      </c>
      <c r="E2100" s="27" t="s">
        <v>19</v>
      </c>
      <c r="F2100" s="29"/>
      <c r="G2100" s="30">
        <f t="shared" si="38"/>
        <v>1233.6893950617277</v>
      </c>
    </row>
    <row r="2101" spans="1:7" hidden="1" x14ac:dyDescent="0.25">
      <c r="A2101" s="28">
        <v>43647</v>
      </c>
      <c r="B2101" s="27" t="s">
        <v>200</v>
      </c>
      <c r="C2101" s="27" t="s">
        <v>55</v>
      </c>
      <c r="D2101" s="27" t="s">
        <v>6</v>
      </c>
      <c r="E2101" s="27" t="s">
        <v>20</v>
      </c>
      <c r="F2101" s="29"/>
      <c r="G2101" s="30">
        <f t="shared" si="38"/>
        <v>1233.6893950617277</v>
      </c>
    </row>
    <row r="2102" spans="1:7" hidden="1" x14ac:dyDescent="0.25">
      <c r="A2102" s="28">
        <v>43647</v>
      </c>
      <c r="B2102" s="27" t="s">
        <v>200</v>
      </c>
      <c r="C2102" s="27" t="s">
        <v>55</v>
      </c>
      <c r="D2102" s="27" t="s">
        <v>6</v>
      </c>
      <c r="E2102" s="27" t="s">
        <v>204</v>
      </c>
      <c r="F2102" s="29"/>
      <c r="G2102" s="30">
        <f t="shared" si="38"/>
        <v>1233.6893950617277</v>
      </c>
    </row>
    <row r="2103" spans="1:7" hidden="1" x14ac:dyDescent="0.25">
      <c r="A2103" s="28">
        <v>43647</v>
      </c>
      <c r="B2103" s="27" t="s">
        <v>200</v>
      </c>
      <c r="C2103" s="27" t="s">
        <v>55</v>
      </c>
      <c r="D2103" s="27" t="s">
        <v>6</v>
      </c>
      <c r="E2103" s="27" t="s">
        <v>205</v>
      </c>
      <c r="F2103" s="29"/>
      <c r="G2103" s="30">
        <f t="shared" si="38"/>
        <v>1233.6893950617277</v>
      </c>
    </row>
    <row r="2104" spans="1:7" hidden="1" x14ac:dyDescent="0.25">
      <c r="A2104" s="28">
        <v>43647</v>
      </c>
      <c r="B2104" s="27" t="s">
        <v>200</v>
      </c>
      <c r="C2104" s="27" t="s">
        <v>183</v>
      </c>
      <c r="D2104" s="27" t="s">
        <v>7</v>
      </c>
      <c r="E2104" s="27" t="s">
        <v>8</v>
      </c>
      <c r="F2104" s="29"/>
      <c r="G2104" s="30">
        <f t="shared" ref="G2104:G2121" si="39">2102.05/18</f>
        <v>116.78055555555557</v>
      </c>
    </row>
    <row r="2105" spans="1:7" hidden="1" x14ac:dyDescent="0.25">
      <c r="A2105" s="28">
        <v>43647</v>
      </c>
      <c r="B2105" s="27" t="s">
        <v>200</v>
      </c>
      <c r="C2105" s="27" t="s">
        <v>183</v>
      </c>
      <c r="D2105" s="27" t="s">
        <v>7</v>
      </c>
      <c r="E2105" s="27" t="s">
        <v>9</v>
      </c>
      <c r="F2105" s="29"/>
      <c r="G2105" s="30">
        <f t="shared" si="39"/>
        <v>116.78055555555557</v>
      </c>
    </row>
    <row r="2106" spans="1:7" hidden="1" x14ac:dyDescent="0.25">
      <c r="A2106" s="28">
        <v>43647</v>
      </c>
      <c r="B2106" s="27" t="s">
        <v>200</v>
      </c>
      <c r="C2106" s="27" t="s">
        <v>183</v>
      </c>
      <c r="D2106" s="27" t="s">
        <v>7</v>
      </c>
      <c r="E2106" s="27" t="s">
        <v>64</v>
      </c>
      <c r="F2106" s="29"/>
      <c r="G2106" s="30">
        <f t="shared" si="39"/>
        <v>116.78055555555557</v>
      </c>
    </row>
    <row r="2107" spans="1:7" hidden="1" x14ac:dyDescent="0.25">
      <c r="A2107" s="28">
        <v>43647</v>
      </c>
      <c r="B2107" s="27" t="s">
        <v>200</v>
      </c>
      <c r="C2107" s="27" t="s">
        <v>183</v>
      </c>
      <c r="D2107" s="27" t="s">
        <v>7</v>
      </c>
      <c r="E2107" s="27" t="s">
        <v>21</v>
      </c>
      <c r="F2107" s="29"/>
      <c r="G2107" s="30">
        <f t="shared" si="39"/>
        <v>116.78055555555557</v>
      </c>
    </row>
    <row r="2108" spans="1:7" hidden="1" x14ac:dyDescent="0.25">
      <c r="A2108" s="28">
        <v>43647</v>
      </c>
      <c r="B2108" s="27" t="s">
        <v>200</v>
      </c>
      <c r="C2108" s="27" t="s">
        <v>183</v>
      </c>
      <c r="D2108" s="27" t="s">
        <v>7</v>
      </c>
      <c r="E2108" s="27" t="s">
        <v>21</v>
      </c>
      <c r="F2108" s="29"/>
      <c r="G2108" s="30">
        <f t="shared" si="39"/>
        <v>116.78055555555557</v>
      </c>
    </row>
    <row r="2109" spans="1:7" hidden="1" x14ac:dyDescent="0.25">
      <c r="A2109" s="28">
        <v>43647</v>
      </c>
      <c r="B2109" s="27" t="s">
        <v>200</v>
      </c>
      <c r="C2109" s="27" t="s">
        <v>183</v>
      </c>
      <c r="D2109" s="27" t="s">
        <v>7</v>
      </c>
      <c r="E2109" s="27" t="s">
        <v>10</v>
      </c>
      <c r="F2109" s="29"/>
      <c r="G2109" s="30">
        <f t="shared" si="39"/>
        <v>116.78055555555557</v>
      </c>
    </row>
    <row r="2110" spans="1:7" hidden="1" x14ac:dyDescent="0.25">
      <c r="A2110" s="28">
        <v>43647</v>
      </c>
      <c r="B2110" s="27" t="s">
        <v>200</v>
      </c>
      <c r="C2110" s="27" t="s">
        <v>183</v>
      </c>
      <c r="D2110" s="27" t="s">
        <v>7</v>
      </c>
      <c r="E2110" s="27" t="s">
        <v>11</v>
      </c>
      <c r="F2110" s="29"/>
      <c r="G2110" s="30">
        <f t="shared" si="39"/>
        <v>116.78055555555557</v>
      </c>
    </row>
    <row r="2111" spans="1:7" hidden="1" x14ac:dyDescent="0.25">
      <c r="A2111" s="28">
        <v>43647</v>
      </c>
      <c r="B2111" s="27" t="s">
        <v>200</v>
      </c>
      <c r="C2111" s="27" t="s">
        <v>183</v>
      </c>
      <c r="D2111" s="27" t="s">
        <v>7</v>
      </c>
      <c r="E2111" s="27" t="s">
        <v>12</v>
      </c>
      <c r="F2111" s="29"/>
      <c r="G2111" s="30">
        <f t="shared" si="39"/>
        <v>116.78055555555557</v>
      </c>
    </row>
    <row r="2112" spans="1:7" hidden="1" x14ac:dyDescent="0.25">
      <c r="A2112" s="28">
        <v>43647</v>
      </c>
      <c r="B2112" s="27" t="s">
        <v>200</v>
      </c>
      <c r="C2112" s="27" t="s">
        <v>183</v>
      </c>
      <c r="D2112" s="27" t="s">
        <v>7</v>
      </c>
      <c r="E2112" s="27" t="s">
        <v>13</v>
      </c>
      <c r="F2112" s="29"/>
      <c r="G2112" s="30">
        <f t="shared" si="39"/>
        <v>116.78055555555557</v>
      </c>
    </row>
    <row r="2113" spans="1:7" hidden="1" x14ac:dyDescent="0.25">
      <c r="A2113" s="28">
        <v>43647</v>
      </c>
      <c r="B2113" s="27" t="s">
        <v>200</v>
      </c>
      <c r="C2113" s="27" t="s">
        <v>183</v>
      </c>
      <c r="D2113" s="27" t="s">
        <v>7</v>
      </c>
      <c r="E2113" s="27" t="s">
        <v>14</v>
      </c>
      <c r="F2113" s="29"/>
      <c r="G2113" s="30">
        <f t="shared" si="39"/>
        <v>116.78055555555557</v>
      </c>
    </row>
    <row r="2114" spans="1:7" hidden="1" x14ac:dyDescent="0.25">
      <c r="A2114" s="28">
        <v>43647</v>
      </c>
      <c r="B2114" s="27" t="s">
        <v>200</v>
      </c>
      <c r="C2114" s="27" t="s">
        <v>183</v>
      </c>
      <c r="D2114" s="27" t="s">
        <v>7</v>
      </c>
      <c r="E2114" s="27" t="s">
        <v>15</v>
      </c>
      <c r="F2114" s="29"/>
      <c r="G2114" s="30">
        <f t="shared" si="39"/>
        <v>116.78055555555557</v>
      </c>
    </row>
    <row r="2115" spans="1:7" hidden="1" x14ac:dyDescent="0.25">
      <c r="A2115" s="28">
        <v>43647</v>
      </c>
      <c r="B2115" s="27" t="s">
        <v>200</v>
      </c>
      <c r="C2115" s="27" t="s">
        <v>183</v>
      </c>
      <c r="D2115" s="27" t="s">
        <v>7</v>
      </c>
      <c r="E2115" s="27" t="s">
        <v>16</v>
      </c>
      <c r="F2115" s="29"/>
      <c r="G2115" s="30">
        <f t="shared" si="39"/>
        <v>116.78055555555557</v>
      </c>
    </row>
    <row r="2116" spans="1:7" hidden="1" x14ac:dyDescent="0.25">
      <c r="A2116" s="28">
        <v>43647</v>
      </c>
      <c r="B2116" s="27" t="s">
        <v>200</v>
      </c>
      <c r="C2116" s="27" t="s">
        <v>183</v>
      </c>
      <c r="D2116" s="27" t="s">
        <v>7</v>
      </c>
      <c r="E2116" s="27" t="s">
        <v>17</v>
      </c>
      <c r="F2116" s="29"/>
      <c r="G2116" s="30">
        <f t="shared" si="39"/>
        <v>116.78055555555557</v>
      </c>
    </row>
    <row r="2117" spans="1:7" hidden="1" x14ac:dyDescent="0.25">
      <c r="A2117" s="28">
        <v>43647</v>
      </c>
      <c r="B2117" s="27" t="s">
        <v>200</v>
      </c>
      <c r="C2117" s="27" t="s">
        <v>183</v>
      </c>
      <c r="D2117" s="27" t="s">
        <v>7</v>
      </c>
      <c r="E2117" s="27" t="s">
        <v>18</v>
      </c>
      <c r="F2117" s="29"/>
      <c r="G2117" s="30">
        <f t="shared" si="39"/>
        <v>116.78055555555557</v>
      </c>
    </row>
    <row r="2118" spans="1:7" hidden="1" x14ac:dyDescent="0.25">
      <c r="A2118" s="28">
        <v>43647</v>
      </c>
      <c r="B2118" s="27" t="s">
        <v>200</v>
      </c>
      <c r="C2118" s="27" t="s">
        <v>183</v>
      </c>
      <c r="D2118" s="27" t="s">
        <v>7</v>
      </c>
      <c r="E2118" s="27" t="s">
        <v>19</v>
      </c>
      <c r="F2118" s="29"/>
      <c r="G2118" s="30">
        <f t="shared" si="39"/>
        <v>116.78055555555557</v>
      </c>
    </row>
    <row r="2119" spans="1:7" hidden="1" x14ac:dyDescent="0.25">
      <c r="A2119" s="28">
        <v>43647</v>
      </c>
      <c r="B2119" s="27" t="s">
        <v>200</v>
      </c>
      <c r="C2119" s="27" t="s">
        <v>183</v>
      </c>
      <c r="D2119" s="27" t="s">
        <v>7</v>
      </c>
      <c r="E2119" s="27" t="s">
        <v>20</v>
      </c>
      <c r="F2119" s="29"/>
      <c r="G2119" s="30">
        <f t="shared" si="39"/>
        <v>116.78055555555557</v>
      </c>
    </row>
    <row r="2120" spans="1:7" hidden="1" x14ac:dyDescent="0.25">
      <c r="A2120" s="28">
        <v>43647</v>
      </c>
      <c r="B2120" s="27" t="s">
        <v>200</v>
      </c>
      <c r="C2120" s="27" t="s">
        <v>183</v>
      </c>
      <c r="D2120" s="27" t="s">
        <v>7</v>
      </c>
      <c r="E2120" s="27" t="s">
        <v>204</v>
      </c>
      <c r="F2120" s="29"/>
      <c r="G2120" s="30">
        <f t="shared" si="39"/>
        <v>116.78055555555557</v>
      </c>
    </row>
    <row r="2121" spans="1:7" hidden="1" x14ac:dyDescent="0.25">
      <c r="A2121" s="28">
        <v>43647</v>
      </c>
      <c r="B2121" s="27" t="s">
        <v>200</v>
      </c>
      <c r="C2121" s="27" t="s">
        <v>183</v>
      </c>
      <c r="D2121" s="27" t="s">
        <v>7</v>
      </c>
      <c r="E2121" s="27" t="s">
        <v>37</v>
      </c>
      <c r="F2121" s="29"/>
      <c r="G2121" s="30">
        <f t="shared" si="39"/>
        <v>116.78055555555557</v>
      </c>
    </row>
    <row r="2122" spans="1:7" hidden="1" x14ac:dyDescent="0.25">
      <c r="A2122" s="28">
        <v>43647</v>
      </c>
      <c r="B2122" s="27" t="s">
        <v>200</v>
      </c>
      <c r="C2122" s="27" t="s">
        <v>56</v>
      </c>
      <c r="D2122" s="27" t="s">
        <v>6</v>
      </c>
      <c r="E2122" s="27" t="s">
        <v>8</v>
      </c>
      <c r="F2122" s="29"/>
      <c r="G2122" s="30">
        <f t="shared" ref="G2122:G2139" si="40">42197.8187555556/18</f>
        <v>2344.3232641975333</v>
      </c>
    </row>
    <row r="2123" spans="1:7" hidden="1" x14ac:dyDescent="0.25">
      <c r="A2123" s="28">
        <v>43647</v>
      </c>
      <c r="B2123" s="27" t="s">
        <v>200</v>
      </c>
      <c r="C2123" s="27" t="s">
        <v>56</v>
      </c>
      <c r="D2123" s="27" t="s">
        <v>6</v>
      </c>
      <c r="E2123" s="27" t="s">
        <v>9</v>
      </c>
      <c r="F2123" s="29"/>
      <c r="G2123" s="30">
        <f t="shared" si="40"/>
        <v>2344.3232641975333</v>
      </c>
    </row>
    <row r="2124" spans="1:7" hidden="1" x14ac:dyDescent="0.25">
      <c r="A2124" s="28">
        <v>43647</v>
      </c>
      <c r="B2124" s="27" t="s">
        <v>200</v>
      </c>
      <c r="C2124" s="27" t="s">
        <v>56</v>
      </c>
      <c r="D2124" s="27" t="s">
        <v>6</v>
      </c>
      <c r="E2124" s="27" t="s">
        <v>64</v>
      </c>
      <c r="F2124" s="29"/>
      <c r="G2124" s="30">
        <f t="shared" si="40"/>
        <v>2344.3232641975333</v>
      </c>
    </row>
    <row r="2125" spans="1:7" hidden="1" x14ac:dyDescent="0.25">
      <c r="A2125" s="28">
        <v>43647</v>
      </c>
      <c r="B2125" s="27" t="s">
        <v>200</v>
      </c>
      <c r="C2125" s="27" t="s">
        <v>56</v>
      </c>
      <c r="D2125" s="27" t="s">
        <v>6</v>
      </c>
      <c r="E2125" s="27" t="s">
        <v>21</v>
      </c>
      <c r="F2125" s="29"/>
      <c r="G2125" s="30">
        <f t="shared" si="40"/>
        <v>2344.3232641975333</v>
      </c>
    </row>
    <row r="2126" spans="1:7" hidden="1" x14ac:dyDescent="0.25">
      <c r="A2126" s="28">
        <v>43647</v>
      </c>
      <c r="B2126" s="27" t="s">
        <v>200</v>
      </c>
      <c r="C2126" s="27" t="s">
        <v>56</v>
      </c>
      <c r="D2126" s="27" t="s">
        <v>6</v>
      </c>
      <c r="E2126" s="27" t="s">
        <v>21</v>
      </c>
      <c r="F2126" s="29"/>
      <c r="G2126" s="30">
        <f t="shared" si="40"/>
        <v>2344.3232641975333</v>
      </c>
    </row>
    <row r="2127" spans="1:7" hidden="1" x14ac:dyDescent="0.25">
      <c r="A2127" s="28">
        <v>43647</v>
      </c>
      <c r="B2127" s="27" t="s">
        <v>200</v>
      </c>
      <c r="C2127" s="27" t="s">
        <v>56</v>
      </c>
      <c r="D2127" s="27" t="s">
        <v>6</v>
      </c>
      <c r="E2127" s="27" t="s">
        <v>10</v>
      </c>
      <c r="F2127" s="29"/>
      <c r="G2127" s="30">
        <f t="shared" si="40"/>
        <v>2344.3232641975333</v>
      </c>
    </row>
    <row r="2128" spans="1:7" hidden="1" x14ac:dyDescent="0.25">
      <c r="A2128" s="28">
        <v>43647</v>
      </c>
      <c r="B2128" s="27" t="s">
        <v>200</v>
      </c>
      <c r="C2128" s="27" t="s">
        <v>56</v>
      </c>
      <c r="D2128" s="27" t="s">
        <v>6</v>
      </c>
      <c r="E2128" s="27" t="s">
        <v>11</v>
      </c>
      <c r="F2128" s="29"/>
      <c r="G2128" s="30">
        <f t="shared" si="40"/>
        <v>2344.3232641975333</v>
      </c>
    </row>
    <row r="2129" spans="1:7" hidden="1" x14ac:dyDescent="0.25">
      <c r="A2129" s="28">
        <v>43647</v>
      </c>
      <c r="B2129" s="27" t="s">
        <v>200</v>
      </c>
      <c r="C2129" s="27" t="s">
        <v>56</v>
      </c>
      <c r="D2129" s="27" t="s">
        <v>6</v>
      </c>
      <c r="E2129" s="27" t="s">
        <v>12</v>
      </c>
      <c r="F2129" s="29"/>
      <c r="G2129" s="30">
        <f t="shared" si="40"/>
        <v>2344.3232641975333</v>
      </c>
    </row>
    <row r="2130" spans="1:7" hidden="1" x14ac:dyDescent="0.25">
      <c r="A2130" s="28">
        <v>43647</v>
      </c>
      <c r="B2130" s="27" t="s">
        <v>200</v>
      </c>
      <c r="C2130" s="27" t="s">
        <v>56</v>
      </c>
      <c r="D2130" s="27" t="s">
        <v>6</v>
      </c>
      <c r="E2130" s="27" t="s">
        <v>13</v>
      </c>
      <c r="F2130" s="29"/>
      <c r="G2130" s="30">
        <f t="shared" si="40"/>
        <v>2344.3232641975333</v>
      </c>
    </row>
    <row r="2131" spans="1:7" hidden="1" x14ac:dyDescent="0.25">
      <c r="A2131" s="28">
        <v>43647</v>
      </c>
      <c r="B2131" s="27" t="s">
        <v>200</v>
      </c>
      <c r="C2131" s="27" t="s">
        <v>56</v>
      </c>
      <c r="D2131" s="27" t="s">
        <v>6</v>
      </c>
      <c r="E2131" s="27" t="s">
        <v>14</v>
      </c>
      <c r="F2131" s="29"/>
      <c r="G2131" s="30">
        <f t="shared" si="40"/>
        <v>2344.3232641975333</v>
      </c>
    </row>
    <row r="2132" spans="1:7" hidden="1" x14ac:dyDescent="0.25">
      <c r="A2132" s="28">
        <v>43647</v>
      </c>
      <c r="B2132" s="27" t="s">
        <v>200</v>
      </c>
      <c r="C2132" s="27" t="s">
        <v>56</v>
      </c>
      <c r="D2132" s="27" t="s">
        <v>6</v>
      </c>
      <c r="E2132" s="27" t="s">
        <v>15</v>
      </c>
      <c r="F2132" s="29"/>
      <c r="G2132" s="30">
        <f t="shared" si="40"/>
        <v>2344.3232641975333</v>
      </c>
    </row>
    <row r="2133" spans="1:7" hidden="1" x14ac:dyDescent="0.25">
      <c r="A2133" s="28">
        <v>43647</v>
      </c>
      <c r="B2133" s="27" t="s">
        <v>200</v>
      </c>
      <c r="C2133" s="27" t="s">
        <v>56</v>
      </c>
      <c r="D2133" s="27" t="s">
        <v>6</v>
      </c>
      <c r="E2133" s="27" t="s">
        <v>16</v>
      </c>
      <c r="F2133" s="29"/>
      <c r="G2133" s="30">
        <f t="shared" si="40"/>
        <v>2344.3232641975333</v>
      </c>
    </row>
    <row r="2134" spans="1:7" hidden="1" x14ac:dyDescent="0.25">
      <c r="A2134" s="28">
        <v>43647</v>
      </c>
      <c r="B2134" s="27" t="s">
        <v>200</v>
      </c>
      <c r="C2134" s="27" t="s">
        <v>56</v>
      </c>
      <c r="D2134" s="27" t="s">
        <v>6</v>
      </c>
      <c r="E2134" s="27" t="s">
        <v>17</v>
      </c>
      <c r="F2134" s="29"/>
      <c r="G2134" s="30">
        <f t="shared" si="40"/>
        <v>2344.3232641975333</v>
      </c>
    </row>
    <row r="2135" spans="1:7" hidden="1" x14ac:dyDescent="0.25">
      <c r="A2135" s="28">
        <v>43647</v>
      </c>
      <c r="B2135" s="27" t="s">
        <v>200</v>
      </c>
      <c r="C2135" s="27" t="s">
        <v>56</v>
      </c>
      <c r="D2135" s="27" t="s">
        <v>6</v>
      </c>
      <c r="E2135" s="27" t="s">
        <v>18</v>
      </c>
      <c r="F2135" s="29"/>
      <c r="G2135" s="30">
        <f t="shared" si="40"/>
        <v>2344.3232641975333</v>
      </c>
    </row>
    <row r="2136" spans="1:7" hidden="1" x14ac:dyDescent="0.25">
      <c r="A2136" s="28">
        <v>43647</v>
      </c>
      <c r="B2136" s="27" t="s">
        <v>200</v>
      </c>
      <c r="C2136" s="27" t="s">
        <v>56</v>
      </c>
      <c r="D2136" s="27" t="s">
        <v>6</v>
      </c>
      <c r="E2136" s="27" t="s">
        <v>19</v>
      </c>
      <c r="F2136" s="29"/>
      <c r="G2136" s="30">
        <f t="shared" si="40"/>
        <v>2344.3232641975333</v>
      </c>
    </row>
    <row r="2137" spans="1:7" hidden="1" x14ac:dyDescent="0.25">
      <c r="A2137" s="28">
        <v>43647</v>
      </c>
      <c r="B2137" s="27" t="s">
        <v>200</v>
      </c>
      <c r="C2137" s="27" t="s">
        <v>56</v>
      </c>
      <c r="D2137" s="27" t="s">
        <v>6</v>
      </c>
      <c r="E2137" s="27" t="s">
        <v>20</v>
      </c>
      <c r="F2137" s="29"/>
      <c r="G2137" s="30">
        <f t="shared" si="40"/>
        <v>2344.3232641975333</v>
      </c>
    </row>
    <row r="2138" spans="1:7" hidden="1" x14ac:dyDescent="0.25">
      <c r="A2138" s="28">
        <v>43647</v>
      </c>
      <c r="B2138" s="27" t="s">
        <v>200</v>
      </c>
      <c r="C2138" s="27" t="s">
        <v>56</v>
      </c>
      <c r="D2138" s="27" t="s">
        <v>6</v>
      </c>
      <c r="E2138" s="27" t="s">
        <v>204</v>
      </c>
      <c r="F2138" s="29"/>
      <c r="G2138" s="30">
        <f t="shared" si="40"/>
        <v>2344.3232641975333</v>
      </c>
    </row>
    <row r="2139" spans="1:7" hidden="1" x14ac:dyDescent="0.25">
      <c r="A2139" s="28">
        <v>43647</v>
      </c>
      <c r="B2139" s="27" t="s">
        <v>200</v>
      </c>
      <c r="C2139" s="27" t="s">
        <v>56</v>
      </c>
      <c r="D2139" s="27" t="s">
        <v>6</v>
      </c>
      <c r="E2139" s="27" t="s">
        <v>205</v>
      </c>
      <c r="F2139" s="29"/>
      <c r="G2139" s="30">
        <f t="shared" si="40"/>
        <v>2344.3232641975333</v>
      </c>
    </row>
    <row r="2140" spans="1:7" hidden="1" x14ac:dyDescent="0.25">
      <c r="A2140" s="28">
        <v>43647</v>
      </c>
      <c r="B2140" s="27" t="s">
        <v>200</v>
      </c>
      <c r="C2140" s="27" t="s">
        <v>182</v>
      </c>
      <c r="D2140" s="27" t="s">
        <v>7</v>
      </c>
      <c r="E2140" s="27" t="s">
        <v>8</v>
      </c>
      <c r="F2140" s="29"/>
      <c r="G2140" s="30">
        <f t="shared" ref="G2140:G2157" si="41">3859.66/18</f>
        <v>214.42555555555555</v>
      </c>
    </row>
    <row r="2141" spans="1:7" hidden="1" x14ac:dyDescent="0.25">
      <c r="A2141" s="28">
        <v>43647</v>
      </c>
      <c r="B2141" s="27" t="s">
        <v>200</v>
      </c>
      <c r="C2141" s="27" t="s">
        <v>182</v>
      </c>
      <c r="D2141" s="27" t="s">
        <v>7</v>
      </c>
      <c r="E2141" s="27" t="s">
        <v>9</v>
      </c>
      <c r="F2141" s="29"/>
      <c r="G2141" s="30">
        <f t="shared" si="41"/>
        <v>214.42555555555555</v>
      </c>
    </row>
    <row r="2142" spans="1:7" hidden="1" x14ac:dyDescent="0.25">
      <c r="A2142" s="28">
        <v>43647</v>
      </c>
      <c r="B2142" s="27" t="s">
        <v>200</v>
      </c>
      <c r="C2142" s="27" t="s">
        <v>182</v>
      </c>
      <c r="D2142" s="27" t="s">
        <v>7</v>
      </c>
      <c r="E2142" s="27" t="s">
        <v>64</v>
      </c>
      <c r="F2142" s="29"/>
      <c r="G2142" s="30">
        <f t="shared" si="41"/>
        <v>214.42555555555555</v>
      </c>
    </row>
    <row r="2143" spans="1:7" hidden="1" x14ac:dyDescent="0.25">
      <c r="A2143" s="28">
        <v>43647</v>
      </c>
      <c r="B2143" s="27" t="s">
        <v>200</v>
      </c>
      <c r="C2143" s="27" t="s">
        <v>182</v>
      </c>
      <c r="D2143" s="27" t="s">
        <v>7</v>
      </c>
      <c r="E2143" s="27" t="s">
        <v>21</v>
      </c>
      <c r="F2143" s="29"/>
      <c r="G2143" s="30">
        <f t="shared" si="41"/>
        <v>214.42555555555555</v>
      </c>
    </row>
    <row r="2144" spans="1:7" hidden="1" x14ac:dyDescent="0.25">
      <c r="A2144" s="28">
        <v>43647</v>
      </c>
      <c r="B2144" s="27" t="s">
        <v>200</v>
      </c>
      <c r="C2144" s="27" t="s">
        <v>182</v>
      </c>
      <c r="D2144" s="27" t="s">
        <v>7</v>
      </c>
      <c r="E2144" s="27" t="s">
        <v>21</v>
      </c>
      <c r="F2144" s="29"/>
      <c r="G2144" s="30">
        <f t="shared" si="41"/>
        <v>214.42555555555555</v>
      </c>
    </row>
    <row r="2145" spans="1:7" hidden="1" x14ac:dyDescent="0.25">
      <c r="A2145" s="28">
        <v>43647</v>
      </c>
      <c r="B2145" s="27" t="s">
        <v>200</v>
      </c>
      <c r="C2145" s="27" t="s">
        <v>182</v>
      </c>
      <c r="D2145" s="27" t="s">
        <v>7</v>
      </c>
      <c r="E2145" s="27" t="s">
        <v>10</v>
      </c>
      <c r="F2145" s="29"/>
      <c r="G2145" s="30">
        <f t="shared" si="41"/>
        <v>214.42555555555555</v>
      </c>
    </row>
    <row r="2146" spans="1:7" hidden="1" x14ac:dyDescent="0.25">
      <c r="A2146" s="28">
        <v>43647</v>
      </c>
      <c r="B2146" s="27" t="s">
        <v>200</v>
      </c>
      <c r="C2146" s="27" t="s">
        <v>182</v>
      </c>
      <c r="D2146" s="27" t="s">
        <v>7</v>
      </c>
      <c r="E2146" s="27" t="s">
        <v>11</v>
      </c>
      <c r="F2146" s="29"/>
      <c r="G2146" s="30">
        <f t="shared" si="41"/>
        <v>214.42555555555555</v>
      </c>
    </row>
    <row r="2147" spans="1:7" hidden="1" x14ac:dyDescent="0.25">
      <c r="A2147" s="28">
        <v>43647</v>
      </c>
      <c r="B2147" s="27" t="s">
        <v>200</v>
      </c>
      <c r="C2147" s="27" t="s">
        <v>182</v>
      </c>
      <c r="D2147" s="27" t="s">
        <v>7</v>
      </c>
      <c r="E2147" s="27" t="s">
        <v>12</v>
      </c>
      <c r="F2147" s="29"/>
      <c r="G2147" s="30">
        <f t="shared" si="41"/>
        <v>214.42555555555555</v>
      </c>
    </row>
    <row r="2148" spans="1:7" hidden="1" x14ac:dyDescent="0.25">
      <c r="A2148" s="28">
        <v>43647</v>
      </c>
      <c r="B2148" s="27" t="s">
        <v>200</v>
      </c>
      <c r="C2148" s="27" t="s">
        <v>182</v>
      </c>
      <c r="D2148" s="27" t="s">
        <v>7</v>
      </c>
      <c r="E2148" s="27" t="s">
        <v>13</v>
      </c>
      <c r="F2148" s="29"/>
      <c r="G2148" s="30">
        <f t="shared" si="41"/>
        <v>214.42555555555555</v>
      </c>
    </row>
    <row r="2149" spans="1:7" hidden="1" x14ac:dyDescent="0.25">
      <c r="A2149" s="28">
        <v>43647</v>
      </c>
      <c r="B2149" s="27" t="s">
        <v>200</v>
      </c>
      <c r="C2149" s="27" t="s">
        <v>182</v>
      </c>
      <c r="D2149" s="27" t="s">
        <v>7</v>
      </c>
      <c r="E2149" s="27" t="s">
        <v>14</v>
      </c>
      <c r="F2149" s="29"/>
      <c r="G2149" s="30">
        <f t="shared" si="41"/>
        <v>214.42555555555555</v>
      </c>
    </row>
    <row r="2150" spans="1:7" hidden="1" x14ac:dyDescent="0.25">
      <c r="A2150" s="28">
        <v>43647</v>
      </c>
      <c r="B2150" s="27" t="s">
        <v>200</v>
      </c>
      <c r="C2150" s="27" t="s">
        <v>182</v>
      </c>
      <c r="D2150" s="27" t="s">
        <v>7</v>
      </c>
      <c r="E2150" s="27" t="s">
        <v>15</v>
      </c>
      <c r="F2150" s="29"/>
      <c r="G2150" s="30">
        <f t="shared" si="41"/>
        <v>214.42555555555555</v>
      </c>
    </row>
    <row r="2151" spans="1:7" hidden="1" x14ac:dyDescent="0.25">
      <c r="A2151" s="28">
        <v>43647</v>
      </c>
      <c r="B2151" s="27" t="s">
        <v>200</v>
      </c>
      <c r="C2151" s="27" t="s">
        <v>182</v>
      </c>
      <c r="D2151" s="27" t="s">
        <v>7</v>
      </c>
      <c r="E2151" s="27" t="s">
        <v>16</v>
      </c>
      <c r="F2151" s="29"/>
      <c r="G2151" s="30">
        <f t="shared" si="41"/>
        <v>214.42555555555555</v>
      </c>
    </row>
    <row r="2152" spans="1:7" hidden="1" x14ac:dyDescent="0.25">
      <c r="A2152" s="28">
        <v>43647</v>
      </c>
      <c r="B2152" s="27" t="s">
        <v>200</v>
      </c>
      <c r="C2152" s="27" t="s">
        <v>182</v>
      </c>
      <c r="D2152" s="27" t="s">
        <v>7</v>
      </c>
      <c r="E2152" s="27" t="s">
        <v>17</v>
      </c>
      <c r="F2152" s="29"/>
      <c r="G2152" s="30">
        <f t="shared" si="41"/>
        <v>214.42555555555555</v>
      </c>
    </row>
    <row r="2153" spans="1:7" hidden="1" x14ac:dyDescent="0.25">
      <c r="A2153" s="28">
        <v>43647</v>
      </c>
      <c r="B2153" s="27" t="s">
        <v>200</v>
      </c>
      <c r="C2153" s="27" t="s">
        <v>182</v>
      </c>
      <c r="D2153" s="27" t="s">
        <v>7</v>
      </c>
      <c r="E2153" s="27" t="s">
        <v>18</v>
      </c>
      <c r="F2153" s="29"/>
      <c r="G2153" s="30">
        <f t="shared" si="41"/>
        <v>214.42555555555555</v>
      </c>
    </row>
    <row r="2154" spans="1:7" hidden="1" x14ac:dyDescent="0.25">
      <c r="A2154" s="28">
        <v>43647</v>
      </c>
      <c r="B2154" s="27" t="s">
        <v>200</v>
      </c>
      <c r="C2154" s="27" t="s">
        <v>182</v>
      </c>
      <c r="D2154" s="27" t="s">
        <v>7</v>
      </c>
      <c r="E2154" s="27" t="s">
        <v>19</v>
      </c>
      <c r="F2154" s="29"/>
      <c r="G2154" s="30">
        <f t="shared" si="41"/>
        <v>214.42555555555555</v>
      </c>
    </row>
    <row r="2155" spans="1:7" hidden="1" x14ac:dyDescent="0.25">
      <c r="A2155" s="28">
        <v>43647</v>
      </c>
      <c r="B2155" s="27" t="s">
        <v>200</v>
      </c>
      <c r="C2155" s="27" t="s">
        <v>182</v>
      </c>
      <c r="D2155" s="27" t="s">
        <v>7</v>
      </c>
      <c r="E2155" s="27" t="s">
        <v>20</v>
      </c>
      <c r="F2155" s="29"/>
      <c r="G2155" s="30">
        <f t="shared" si="41"/>
        <v>214.42555555555555</v>
      </c>
    </row>
    <row r="2156" spans="1:7" hidden="1" x14ac:dyDescent="0.25">
      <c r="A2156" s="28">
        <v>43647</v>
      </c>
      <c r="B2156" s="27" t="s">
        <v>200</v>
      </c>
      <c r="C2156" s="27" t="s">
        <v>182</v>
      </c>
      <c r="D2156" s="27" t="s">
        <v>7</v>
      </c>
      <c r="E2156" s="27" t="s">
        <v>204</v>
      </c>
      <c r="F2156" s="29"/>
      <c r="G2156" s="30">
        <f t="shared" si="41"/>
        <v>214.42555555555555</v>
      </c>
    </row>
    <row r="2157" spans="1:7" hidden="1" x14ac:dyDescent="0.25">
      <c r="A2157" s="28">
        <v>43647</v>
      </c>
      <c r="B2157" s="27" t="s">
        <v>200</v>
      </c>
      <c r="C2157" s="27" t="s">
        <v>182</v>
      </c>
      <c r="D2157" s="27" t="s">
        <v>7</v>
      </c>
      <c r="E2157" s="27" t="s">
        <v>37</v>
      </c>
      <c r="F2157" s="29"/>
      <c r="G2157" s="30">
        <f t="shared" si="41"/>
        <v>214.42555555555555</v>
      </c>
    </row>
    <row r="2158" spans="1:7" hidden="1" x14ac:dyDescent="0.25">
      <c r="A2158" s="28">
        <v>43647</v>
      </c>
      <c r="B2158" s="27" t="s">
        <v>35</v>
      </c>
      <c r="C2158" s="27" t="s">
        <v>50</v>
      </c>
      <c r="D2158" s="27" t="s">
        <v>6</v>
      </c>
      <c r="E2158" s="27" t="s">
        <v>8</v>
      </c>
      <c r="F2158" s="29"/>
      <c r="G2158" s="30">
        <v>588.57624999999996</v>
      </c>
    </row>
    <row r="2159" spans="1:7" hidden="1" x14ac:dyDescent="0.25">
      <c r="A2159" s="28">
        <v>43647</v>
      </c>
      <c r="B2159" s="27" t="s">
        <v>35</v>
      </c>
      <c r="C2159" s="27" t="s">
        <v>50</v>
      </c>
      <c r="D2159" s="27" t="s">
        <v>6</v>
      </c>
      <c r="E2159" s="27" t="s">
        <v>9</v>
      </c>
      <c r="F2159" s="29"/>
      <c r="G2159" s="30">
        <v>588.57624999999996</v>
      </c>
    </row>
    <row r="2160" spans="1:7" hidden="1" x14ac:dyDescent="0.25">
      <c r="A2160" s="28">
        <v>43647</v>
      </c>
      <c r="B2160" s="27" t="s">
        <v>35</v>
      </c>
      <c r="C2160" s="27" t="s">
        <v>50</v>
      </c>
      <c r="D2160" s="27" t="s">
        <v>6</v>
      </c>
      <c r="E2160" s="27" t="s">
        <v>64</v>
      </c>
      <c r="F2160" s="29"/>
      <c r="G2160" s="30">
        <v>588.57624999999996</v>
      </c>
    </row>
    <row r="2161" spans="1:7" hidden="1" x14ac:dyDescent="0.25">
      <c r="A2161" s="28">
        <v>43647</v>
      </c>
      <c r="B2161" s="27" t="s">
        <v>35</v>
      </c>
      <c r="C2161" s="27" t="s">
        <v>50</v>
      </c>
      <c r="D2161" s="27" t="s">
        <v>6</v>
      </c>
      <c r="E2161" s="27" t="s">
        <v>21</v>
      </c>
      <c r="F2161" s="29"/>
      <c r="G2161" s="30">
        <v>588.57624999999996</v>
      </c>
    </row>
    <row r="2162" spans="1:7" hidden="1" x14ac:dyDescent="0.25">
      <c r="A2162" s="28">
        <v>43647</v>
      </c>
      <c r="B2162" s="27" t="s">
        <v>35</v>
      </c>
      <c r="C2162" s="27" t="s">
        <v>50</v>
      </c>
      <c r="D2162" s="27" t="s">
        <v>6</v>
      </c>
      <c r="E2162" s="27" t="s">
        <v>21</v>
      </c>
      <c r="F2162" s="29"/>
      <c r="G2162" s="30">
        <v>588.57624999999996</v>
      </c>
    </row>
    <row r="2163" spans="1:7" hidden="1" x14ac:dyDescent="0.25">
      <c r="A2163" s="28">
        <v>43647</v>
      </c>
      <c r="B2163" s="27" t="s">
        <v>35</v>
      </c>
      <c r="C2163" s="27" t="s">
        <v>50</v>
      </c>
      <c r="D2163" s="27" t="s">
        <v>6</v>
      </c>
      <c r="E2163" s="27" t="s">
        <v>10</v>
      </c>
      <c r="F2163" s="29"/>
      <c r="G2163" s="30">
        <v>588.57624999999996</v>
      </c>
    </row>
    <row r="2164" spans="1:7" hidden="1" x14ac:dyDescent="0.25">
      <c r="A2164" s="28">
        <v>43647</v>
      </c>
      <c r="B2164" s="27" t="s">
        <v>35</v>
      </c>
      <c r="C2164" s="27" t="s">
        <v>50</v>
      </c>
      <c r="D2164" s="27" t="s">
        <v>6</v>
      </c>
      <c r="E2164" s="27" t="s">
        <v>11</v>
      </c>
      <c r="F2164" s="29"/>
      <c r="G2164" s="30">
        <v>588.57624999999996</v>
      </c>
    </row>
    <row r="2165" spans="1:7" hidden="1" x14ac:dyDescent="0.25">
      <c r="A2165" s="28">
        <v>43647</v>
      </c>
      <c r="B2165" s="27" t="s">
        <v>35</v>
      </c>
      <c r="C2165" s="27" t="s">
        <v>50</v>
      </c>
      <c r="D2165" s="27" t="s">
        <v>6</v>
      </c>
      <c r="E2165" s="27" t="s">
        <v>12</v>
      </c>
      <c r="F2165" s="29"/>
      <c r="G2165" s="30">
        <v>588.57624999999996</v>
      </c>
    </row>
    <row r="2166" spans="1:7" hidden="1" x14ac:dyDescent="0.25">
      <c r="A2166" s="28">
        <v>43647</v>
      </c>
      <c r="B2166" s="27" t="s">
        <v>35</v>
      </c>
      <c r="C2166" s="27" t="s">
        <v>50</v>
      </c>
      <c r="D2166" s="27" t="s">
        <v>6</v>
      </c>
      <c r="E2166" s="27" t="s">
        <v>13</v>
      </c>
      <c r="F2166" s="29"/>
      <c r="G2166" s="30">
        <v>588.57624999999996</v>
      </c>
    </row>
    <row r="2167" spans="1:7" hidden="1" x14ac:dyDescent="0.25">
      <c r="A2167" s="28">
        <v>43647</v>
      </c>
      <c r="B2167" s="27" t="s">
        <v>35</v>
      </c>
      <c r="C2167" s="27" t="s">
        <v>50</v>
      </c>
      <c r="D2167" s="27" t="s">
        <v>6</v>
      </c>
      <c r="E2167" s="27" t="s">
        <v>14</v>
      </c>
      <c r="F2167" s="29"/>
      <c r="G2167" s="30">
        <v>588.57624999999996</v>
      </c>
    </row>
    <row r="2168" spans="1:7" hidden="1" x14ac:dyDescent="0.25">
      <c r="A2168" s="28">
        <v>43647</v>
      </c>
      <c r="B2168" s="27" t="s">
        <v>35</v>
      </c>
      <c r="C2168" s="27" t="s">
        <v>50</v>
      </c>
      <c r="D2168" s="27" t="s">
        <v>6</v>
      </c>
      <c r="E2168" s="27" t="s">
        <v>15</v>
      </c>
      <c r="F2168" s="29"/>
      <c r="G2168" s="30">
        <v>588.57624999999996</v>
      </c>
    </row>
    <row r="2169" spans="1:7" hidden="1" x14ac:dyDescent="0.25">
      <c r="A2169" s="28">
        <v>43647</v>
      </c>
      <c r="B2169" s="27" t="s">
        <v>35</v>
      </c>
      <c r="C2169" s="27" t="s">
        <v>50</v>
      </c>
      <c r="D2169" s="27" t="s">
        <v>6</v>
      </c>
      <c r="E2169" s="27" t="s">
        <v>16</v>
      </c>
      <c r="F2169" s="29"/>
      <c r="G2169" s="30">
        <v>588.57624999999996</v>
      </c>
    </row>
    <row r="2170" spans="1:7" hidden="1" x14ac:dyDescent="0.25">
      <c r="A2170" s="28">
        <v>43647</v>
      </c>
      <c r="B2170" s="27" t="s">
        <v>35</v>
      </c>
      <c r="C2170" s="27" t="s">
        <v>50</v>
      </c>
      <c r="D2170" s="27" t="s">
        <v>6</v>
      </c>
      <c r="E2170" s="27" t="s">
        <v>17</v>
      </c>
      <c r="F2170" s="29"/>
      <c r="G2170" s="30">
        <v>588.57624999999996</v>
      </c>
    </row>
    <row r="2171" spans="1:7" hidden="1" x14ac:dyDescent="0.25">
      <c r="A2171" s="28">
        <v>43647</v>
      </c>
      <c r="B2171" s="27" t="s">
        <v>35</v>
      </c>
      <c r="C2171" s="27" t="s">
        <v>50</v>
      </c>
      <c r="D2171" s="27" t="s">
        <v>6</v>
      </c>
      <c r="E2171" s="27" t="s">
        <v>18</v>
      </c>
      <c r="F2171" s="29"/>
      <c r="G2171" s="30">
        <v>588.57624999999996</v>
      </c>
    </row>
    <row r="2172" spans="1:7" hidden="1" x14ac:dyDescent="0.25">
      <c r="A2172" s="28">
        <v>43647</v>
      </c>
      <c r="B2172" s="27" t="s">
        <v>35</v>
      </c>
      <c r="C2172" s="27" t="s">
        <v>50</v>
      </c>
      <c r="D2172" s="27" t="s">
        <v>6</v>
      </c>
      <c r="E2172" s="27" t="s">
        <v>19</v>
      </c>
      <c r="F2172" s="29"/>
      <c r="G2172" s="30">
        <v>588.57624999999996</v>
      </c>
    </row>
    <row r="2173" spans="1:7" hidden="1" x14ac:dyDescent="0.25">
      <c r="A2173" s="28">
        <v>43647</v>
      </c>
      <c r="B2173" s="27" t="s">
        <v>35</v>
      </c>
      <c r="C2173" s="27" t="s">
        <v>50</v>
      </c>
      <c r="D2173" s="27" t="s">
        <v>6</v>
      </c>
      <c r="E2173" s="27" t="s">
        <v>20</v>
      </c>
      <c r="F2173" s="29"/>
      <c r="G2173" s="30">
        <v>588.57624999999996</v>
      </c>
    </row>
    <row r="2174" spans="1:7" hidden="1" x14ac:dyDescent="0.25">
      <c r="A2174" s="28">
        <v>43647</v>
      </c>
      <c r="B2174" s="27" t="s">
        <v>34</v>
      </c>
      <c r="C2174" s="27" t="s">
        <v>50</v>
      </c>
      <c r="D2174" s="27" t="s">
        <v>6</v>
      </c>
      <c r="E2174" s="27" t="s">
        <v>8</v>
      </c>
      <c r="F2174" s="29"/>
      <c r="G2174" s="30">
        <v>552.0533333333334</v>
      </c>
    </row>
    <row r="2175" spans="1:7" hidden="1" x14ac:dyDescent="0.25">
      <c r="A2175" s="28">
        <v>43647</v>
      </c>
      <c r="B2175" s="27" t="s">
        <v>34</v>
      </c>
      <c r="C2175" s="27" t="s">
        <v>50</v>
      </c>
      <c r="D2175" s="27" t="s">
        <v>6</v>
      </c>
      <c r="E2175" s="27" t="s">
        <v>9</v>
      </c>
      <c r="F2175" s="29"/>
      <c r="G2175" s="30">
        <v>864.49749999999995</v>
      </c>
    </row>
    <row r="2176" spans="1:7" hidden="1" x14ac:dyDescent="0.25">
      <c r="A2176" s="28">
        <v>43647</v>
      </c>
      <c r="B2176" s="27" t="s">
        <v>34</v>
      </c>
      <c r="C2176" s="27" t="s">
        <v>50</v>
      </c>
      <c r="D2176" s="27" t="s">
        <v>6</v>
      </c>
      <c r="E2176" s="27" t="s">
        <v>64</v>
      </c>
      <c r="F2176" s="29"/>
      <c r="G2176" s="30">
        <v>698.10416666666663</v>
      </c>
    </row>
    <row r="2177" spans="1:7" hidden="1" x14ac:dyDescent="0.25">
      <c r="A2177" s="28">
        <v>43647</v>
      </c>
      <c r="B2177" s="27" t="s">
        <v>34</v>
      </c>
      <c r="C2177" s="27" t="s">
        <v>50</v>
      </c>
      <c r="D2177" s="27" t="s">
        <v>6</v>
      </c>
      <c r="E2177" s="27" t="s">
        <v>21</v>
      </c>
      <c r="F2177" s="29"/>
      <c r="G2177" s="30">
        <v>985.48500000000001</v>
      </c>
    </row>
    <row r="2178" spans="1:7" hidden="1" x14ac:dyDescent="0.25">
      <c r="A2178" s="28">
        <v>43647</v>
      </c>
      <c r="B2178" s="27" t="s">
        <v>34</v>
      </c>
      <c r="C2178" s="27" t="s">
        <v>50</v>
      </c>
      <c r="D2178" s="27" t="s">
        <v>6</v>
      </c>
      <c r="E2178" s="27" t="s">
        <v>21</v>
      </c>
      <c r="F2178" s="29"/>
      <c r="G2178" s="30">
        <v>656.62166666666667</v>
      </c>
    </row>
    <row r="2179" spans="1:7" hidden="1" x14ac:dyDescent="0.25">
      <c r="A2179" s="28">
        <v>43647</v>
      </c>
      <c r="B2179" s="27" t="s">
        <v>34</v>
      </c>
      <c r="C2179" s="27" t="s">
        <v>50</v>
      </c>
      <c r="D2179" s="27" t="s">
        <v>6</v>
      </c>
      <c r="E2179" s="27" t="s">
        <v>10</v>
      </c>
      <c r="F2179" s="29"/>
      <c r="G2179" s="30">
        <v>832.49083333333328</v>
      </c>
    </row>
    <row r="2180" spans="1:7" hidden="1" x14ac:dyDescent="0.25">
      <c r="A2180" s="28">
        <v>43647</v>
      </c>
      <c r="B2180" s="27" t="s">
        <v>34</v>
      </c>
      <c r="C2180" s="27" t="s">
        <v>50</v>
      </c>
      <c r="D2180" s="27" t="s">
        <v>6</v>
      </c>
      <c r="E2180" s="27" t="s">
        <v>11</v>
      </c>
      <c r="F2180" s="29"/>
      <c r="G2180" s="30">
        <v>418.92500000000001</v>
      </c>
    </row>
    <row r="2181" spans="1:7" hidden="1" x14ac:dyDescent="0.25">
      <c r="A2181" s="28">
        <v>43647</v>
      </c>
      <c r="B2181" s="27" t="s">
        <v>34</v>
      </c>
      <c r="C2181" s="27" t="s">
        <v>50</v>
      </c>
      <c r="D2181" s="27" t="s">
        <v>6</v>
      </c>
      <c r="E2181" s="27" t="s">
        <v>12</v>
      </c>
      <c r="F2181" s="29"/>
      <c r="G2181" s="30">
        <v>388.7</v>
      </c>
    </row>
    <row r="2182" spans="1:7" hidden="1" x14ac:dyDescent="0.25">
      <c r="A2182" s="28">
        <v>43647</v>
      </c>
      <c r="B2182" s="27" t="s">
        <v>34</v>
      </c>
      <c r="C2182" s="27" t="s">
        <v>50</v>
      </c>
      <c r="D2182" s="27" t="s">
        <v>6</v>
      </c>
      <c r="E2182" s="27" t="s">
        <v>13</v>
      </c>
      <c r="F2182" s="29"/>
      <c r="G2182" s="30">
        <v>537.06416666666667</v>
      </c>
    </row>
    <row r="2183" spans="1:7" hidden="1" x14ac:dyDescent="0.25">
      <c r="A2183" s="28">
        <v>43647</v>
      </c>
      <c r="B2183" s="27" t="s">
        <v>34</v>
      </c>
      <c r="C2183" s="27" t="s">
        <v>50</v>
      </c>
      <c r="D2183" s="27" t="s">
        <v>6</v>
      </c>
      <c r="E2183" s="27" t="s">
        <v>14</v>
      </c>
      <c r="F2183" s="29"/>
      <c r="G2183" s="30">
        <v>165.58333333333334</v>
      </c>
    </row>
    <row r="2184" spans="1:7" hidden="1" x14ac:dyDescent="0.25">
      <c r="A2184" s="28">
        <v>43647</v>
      </c>
      <c r="B2184" s="27" t="s">
        <v>34</v>
      </c>
      <c r="C2184" s="27" t="s">
        <v>50</v>
      </c>
      <c r="D2184" s="27" t="s">
        <v>6</v>
      </c>
      <c r="E2184" s="27" t="s">
        <v>15</v>
      </c>
      <c r="F2184" s="29"/>
      <c r="G2184" s="30">
        <v>409.28999999999996</v>
      </c>
    </row>
    <row r="2185" spans="1:7" hidden="1" x14ac:dyDescent="0.25">
      <c r="A2185" s="28">
        <v>43647</v>
      </c>
      <c r="B2185" s="27" t="s">
        <v>34</v>
      </c>
      <c r="C2185" s="27" t="s">
        <v>50</v>
      </c>
      <c r="D2185" s="27" t="s">
        <v>6</v>
      </c>
      <c r="E2185" s="27" t="s">
        <v>16</v>
      </c>
      <c r="F2185" s="29"/>
      <c r="G2185" s="30">
        <v>657.78499999999997</v>
      </c>
    </row>
    <row r="2186" spans="1:7" hidden="1" x14ac:dyDescent="0.25">
      <c r="A2186" s="28">
        <v>43647</v>
      </c>
      <c r="B2186" s="27" t="s">
        <v>34</v>
      </c>
      <c r="C2186" s="27" t="s">
        <v>50</v>
      </c>
      <c r="D2186" s="27" t="s">
        <v>6</v>
      </c>
      <c r="E2186" s="27" t="s">
        <v>17</v>
      </c>
      <c r="F2186" s="29"/>
      <c r="G2186" s="30">
        <v>835.00750000000005</v>
      </c>
    </row>
    <row r="2187" spans="1:7" hidden="1" x14ac:dyDescent="0.25">
      <c r="A2187" s="28">
        <v>43647</v>
      </c>
      <c r="B2187" s="27" t="s">
        <v>34</v>
      </c>
      <c r="C2187" s="27" t="s">
        <v>50</v>
      </c>
      <c r="D2187" s="27" t="s">
        <v>6</v>
      </c>
      <c r="E2187" s="27" t="s">
        <v>18</v>
      </c>
      <c r="F2187" s="29"/>
      <c r="G2187" s="30">
        <v>369.30749999999995</v>
      </c>
    </row>
    <row r="2188" spans="1:7" hidden="1" x14ac:dyDescent="0.25">
      <c r="A2188" s="28">
        <v>43647</v>
      </c>
      <c r="B2188" s="27" t="s">
        <v>34</v>
      </c>
      <c r="C2188" s="27" t="s">
        <v>50</v>
      </c>
      <c r="D2188" s="27" t="s">
        <v>6</v>
      </c>
      <c r="E2188" s="27" t="s">
        <v>19</v>
      </c>
      <c r="F2188" s="29"/>
      <c r="G2188" s="30">
        <v>289.51</v>
      </c>
    </row>
    <row r="2189" spans="1:7" hidden="1" x14ac:dyDescent="0.25">
      <c r="A2189" s="28">
        <v>43647</v>
      </c>
      <c r="B2189" s="27" t="s">
        <v>34</v>
      </c>
      <c r="C2189" s="27" t="s">
        <v>50</v>
      </c>
      <c r="D2189" s="27" t="s">
        <v>6</v>
      </c>
      <c r="E2189" s="27" t="s">
        <v>20</v>
      </c>
      <c r="F2189" s="29"/>
      <c r="G2189" s="30">
        <v>550.26900000000001</v>
      </c>
    </row>
    <row r="2190" spans="1:7" hidden="1" x14ac:dyDescent="0.25">
      <c r="A2190" s="28">
        <v>43647</v>
      </c>
      <c r="B2190" s="27" t="s">
        <v>34</v>
      </c>
      <c r="C2190" s="27" t="s">
        <v>50</v>
      </c>
      <c r="D2190" s="27" t="s">
        <v>6</v>
      </c>
      <c r="E2190" s="27" t="s">
        <v>204</v>
      </c>
      <c r="F2190" s="29"/>
      <c r="G2190" s="30">
        <v>164.41666666666666</v>
      </c>
    </row>
    <row r="2191" spans="1:7" hidden="1" x14ac:dyDescent="0.25">
      <c r="A2191" s="28">
        <v>43678</v>
      </c>
      <c r="B2191" s="27" t="s">
        <v>33</v>
      </c>
      <c r="C2191" s="27" t="s">
        <v>50</v>
      </c>
      <c r="D2191" s="27" t="s">
        <v>7</v>
      </c>
      <c r="E2191" s="27" t="s">
        <v>8</v>
      </c>
      <c r="F2191" s="29"/>
      <c r="G2191" s="30">
        <v>2826.7523529411769</v>
      </c>
    </row>
    <row r="2192" spans="1:7" hidden="1" x14ac:dyDescent="0.25">
      <c r="A2192" s="28">
        <v>43678</v>
      </c>
      <c r="B2192" s="27" t="s">
        <v>33</v>
      </c>
      <c r="C2192" s="27" t="s">
        <v>50</v>
      </c>
      <c r="D2192" s="27" t="s">
        <v>7</v>
      </c>
      <c r="E2192" s="27" t="s">
        <v>9</v>
      </c>
      <c r="F2192" s="29"/>
      <c r="G2192" s="30">
        <v>2826.7523529411769</v>
      </c>
    </row>
    <row r="2193" spans="1:7" hidden="1" x14ac:dyDescent="0.25">
      <c r="A2193" s="28">
        <v>43678</v>
      </c>
      <c r="B2193" s="27" t="s">
        <v>33</v>
      </c>
      <c r="C2193" s="27" t="s">
        <v>50</v>
      </c>
      <c r="D2193" s="27" t="s">
        <v>7</v>
      </c>
      <c r="E2193" s="27" t="s">
        <v>64</v>
      </c>
      <c r="F2193" s="29"/>
      <c r="G2193" s="30">
        <v>2826.7523529411769</v>
      </c>
    </row>
    <row r="2194" spans="1:7" hidden="1" x14ac:dyDescent="0.25">
      <c r="A2194" s="28">
        <v>43678</v>
      </c>
      <c r="B2194" s="27" t="s">
        <v>33</v>
      </c>
      <c r="C2194" s="27" t="s">
        <v>50</v>
      </c>
      <c r="D2194" s="27" t="s">
        <v>7</v>
      </c>
      <c r="E2194" s="27" t="s">
        <v>21</v>
      </c>
      <c r="F2194" s="29"/>
      <c r="G2194" s="30">
        <v>2826.7523529411769</v>
      </c>
    </row>
    <row r="2195" spans="1:7" hidden="1" x14ac:dyDescent="0.25">
      <c r="A2195" s="28">
        <v>43678</v>
      </c>
      <c r="B2195" s="27" t="s">
        <v>33</v>
      </c>
      <c r="C2195" s="27" t="s">
        <v>50</v>
      </c>
      <c r="D2195" s="27" t="s">
        <v>7</v>
      </c>
      <c r="E2195" s="27" t="s">
        <v>21</v>
      </c>
      <c r="F2195" s="29"/>
      <c r="G2195" s="30">
        <v>2826.7523529411769</v>
      </c>
    </row>
    <row r="2196" spans="1:7" hidden="1" x14ac:dyDescent="0.25">
      <c r="A2196" s="28">
        <v>43678</v>
      </c>
      <c r="B2196" s="27" t="s">
        <v>33</v>
      </c>
      <c r="C2196" s="27" t="s">
        <v>50</v>
      </c>
      <c r="D2196" s="27" t="s">
        <v>7</v>
      </c>
      <c r="E2196" s="27" t="s">
        <v>10</v>
      </c>
      <c r="F2196" s="29"/>
      <c r="G2196" s="30">
        <v>2826.7523529411769</v>
      </c>
    </row>
    <row r="2197" spans="1:7" hidden="1" x14ac:dyDescent="0.25">
      <c r="A2197" s="28">
        <v>43678</v>
      </c>
      <c r="B2197" s="27" t="s">
        <v>33</v>
      </c>
      <c r="C2197" s="27" t="s">
        <v>50</v>
      </c>
      <c r="D2197" s="27" t="s">
        <v>7</v>
      </c>
      <c r="E2197" s="27" t="s">
        <v>11</v>
      </c>
      <c r="F2197" s="29"/>
      <c r="G2197" s="30">
        <v>2826.7523529411769</v>
      </c>
    </row>
    <row r="2198" spans="1:7" hidden="1" x14ac:dyDescent="0.25">
      <c r="A2198" s="28">
        <v>43678</v>
      </c>
      <c r="B2198" s="27" t="s">
        <v>33</v>
      </c>
      <c r="C2198" s="27" t="s">
        <v>50</v>
      </c>
      <c r="D2198" s="27" t="s">
        <v>7</v>
      </c>
      <c r="E2198" s="27" t="s">
        <v>12</v>
      </c>
      <c r="F2198" s="29"/>
      <c r="G2198" s="30">
        <v>2826.7523529411769</v>
      </c>
    </row>
    <row r="2199" spans="1:7" hidden="1" x14ac:dyDescent="0.25">
      <c r="A2199" s="28">
        <v>43678</v>
      </c>
      <c r="B2199" s="27" t="s">
        <v>33</v>
      </c>
      <c r="C2199" s="27" t="s">
        <v>50</v>
      </c>
      <c r="D2199" s="27" t="s">
        <v>7</v>
      </c>
      <c r="E2199" s="27" t="s">
        <v>13</v>
      </c>
      <c r="F2199" s="29"/>
      <c r="G2199" s="30">
        <v>2826.7523529411769</v>
      </c>
    </row>
    <row r="2200" spans="1:7" hidden="1" x14ac:dyDescent="0.25">
      <c r="A2200" s="28">
        <v>43678</v>
      </c>
      <c r="B2200" s="27" t="s">
        <v>33</v>
      </c>
      <c r="C2200" s="27" t="s">
        <v>50</v>
      </c>
      <c r="D2200" s="27" t="s">
        <v>7</v>
      </c>
      <c r="E2200" s="27" t="s">
        <v>14</v>
      </c>
      <c r="F2200" s="29"/>
      <c r="G2200" s="30">
        <v>2826.7523529411769</v>
      </c>
    </row>
    <row r="2201" spans="1:7" hidden="1" x14ac:dyDescent="0.25">
      <c r="A2201" s="28">
        <v>43678</v>
      </c>
      <c r="B2201" s="27" t="s">
        <v>33</v>
      </c>
      <c r="C2201" s="27" t="s">
        <v>50</v>
      </c>
      <c r="D2201" s="27" t="s">
        <v>7</v>
      </c>
      <c r="E2201" s="27" t="s">
        <v>15</v>
      </c>
      <c r="F2201" s="29"/>
      <c r="G2201" s="30">
        <v>2826.7523529411769</v>
      </c>
    </row>
    <row r="2202" spans="1:7" hidden="1" x14ac:dyDescent="0.25">
      <c r="A2202" s="28">
        <v>43678</v>
      </c>
      <c r="B2202" s="27" t="s">
        <v>33</v>
      </c>
      <c r="C2202" s="27" t="s">
        <v>50</v>
      </c>
      <c r="D2202" s="27" t="s">
        <v>7</v>
      </c>
      <c r="E2202" s="27" t="s">
        <v>16</v>
      </c>
      <c r="F2202" s="29"/>
      <c r="G2202" s="30">
        <v>2826.7523529411769</v>
      </c>
    </row>
    <row r="2203" spans="1:7" hidden="1" x14ac:dyDescent="0.25">
      <c r="A2203" s="28">
        <v>43678</v>
      </c>
      <c r="B2203" s="27" t="s">
        <v>33</v>
      </c>
      <c r="C2203" s="27" t="s">
        <v>50</v>
      </c>
      <c r="D2203" s="27" t="s">
        <v>7</v>
      </c>
      <c r="E2203" s="27" t="s">
        <v>17</v>
      </c>
      <c r="F2203" s="29"/>
      <c r="G2203" s="30">
        <v>2826.7523529411769</v>
      </c>
    </row>
    <row r="2204" spans="1:7" hidden="1" x14ac:dyDescent="0.25">
      <c r="A2204" s="28">
        <v>43678</v>
      </c>
      <c r="B2204" s="27" t="s">
        <v>33</v>
      </c>
      <c r="C2204" s="27" t="s">
        <v>50</v>
      </c>
      <c r="D2204" s="27" t="s">
        <v>7</v>
      </c>
      <c r="E2204" s="27" t="s">
        <v>18</v>
      </c>
      <c r="F2204" s="29"/>
      <c r="G2204" s="30">
        <v>2826.7523529411769</v>
      </c>
    </row>
    <row r="2205" spans="1:7" hidden="1" x14ac:dyDescent="0.25">
      <c r="A2205" s="28">
        <v>43678</v>
      </c>
      <c r="B2205" s="27" t="s">
        <v>33</v>
      </c>
      <c r="C2205" s="27" t="s">
        <v>50</v>
      </c>
      <c r="D2205" s="27" t="s">
        <v>7</v>
      </c>
      <c r="E2205" s="27" t="s">
        <v>19</v>
      </c>
      <c r="F2205" s="29"/>
      <c r="G2205" s="30">
        <v>2826.7523529411769</v>
      </c>
    </row>
    <row r="2206" spans="1:7" hidden="1" x14ac:dyDescent="0.25">
      <c r="A2206" s="28">
        <v>43678</v>
      </c>
      <c r="B2206" s="27" t="s">
        <v>33</v>
      </c>
      <c r="C2206" s="27" t="s">
        <v>50</v>
      </c>
      <c r="D2206" s="27" t="s">
        <v>7</v>
      </c>
      <c r="E2206" s="27" t="s">
        <v>20</v>
      </c>
      <c r="F2206" s="29"/>
      <c r="G2206" s="30">
        <v>2826.7523529411769</v>
      </c>
    </row>
    <row r="2207" spans="1:7" hidden="1" x14ac:dyDescent="0.25">
      <c r="A2207" s="28">
        <v>43678</v>
      </c>
      <c r="B2207" s="27" t="s">
        <v>33</v>
      </c>
      <c r="C2207" s="27" t="s">
        <v>50</v>
      </c>
      <c r="D2207" s="27" t="s">
        <v>7</v>
      </c>
      <c r="E2207" s="27" t="s">
        <v>37</v>
      </c>
      <c r="F2207" s="29"/>
      <c r="G2207" s="30">
        <v>2826.7523529411769</v>
      </c>
    </row>
    <row r="2208" spans="1:7" hidden="1" x14ac:dyDescent="0.25">
      <c r="A2208" s="28">
        <v>43678</v>
      </c>
      <c r="B2208" s="27" t="s">
        <v>4</v>
      </c>
      <c r="C2208" s="27" t="s">
        <v>50</v>
      </c>
      <c r="D2208" s="27" t="s">
        <v>7</v>
      </c>
      <c r="E2208" s="27" t="s">
        <v>8</v>
      </c>
      <c r="F2208" s="29"/>
      <c r="G2208" s="30">
        <v>6207.87</v>
      </c>
    </row>
    <row r="2209" spans="1:7" hidden="1" x14ac:dyDescent="0.25">
      <c r="A2209" s="28">
        <v>43678</v>
      </c>
      <c r="B2209" s="27" t="s">
        <v>4</v>
      </c>
      <c r="C2209" s="27" t="s">
        <v>50</v>
      </c>
      <c r="D2209" s="27" t="s">
        <v>7</v>
      </c>
      <c r="E2209" s="27" t="s">
        <v>9</v>
      </c>
      <c r="F2209" s="29"/>
      <c r="G2209" s="30">
        <v>4081.94</v>
      </c>
    </row>
    <row r="2210" spans="1:7" hidden="1" x14ac:dyDescent="0.25">
      <c r="A2210" s="28">
        <v>43678</v>
      </c>
      <c r="B2210" s="27" t="s">
        <v>4</v>
      </c>
      <c r="C2210" s="27" t="s">
        <v>50</v>
      </c>
      <c r="D2210" s="27" t="s">
        <v>7</v>
      </c>
      <c r="E2210" s="27" t="s">
        <v>64</v>
      </c>
      <c r="F2210" s="29"/>
      <c r="G2210" s="30">
        <v>4397.97</v>
      </c>
    </row>
    <row r="2211" spans="1:7" hidden="1" x14ac:dyDescent="0.25">
      <c r="A2211" s="28">
        <v>43678</v>
      </c>
      <c r="B2211" s="27" t="s">
        <v>4</v>
      </c>
      <c r="C2211" s="27" t="s">
        <v>50</v>
      </c>
      <c r="D2211" s="27" t="s">
        <v>7</v>
      </c>
      <c r="E2211" s="27" t="s">
        <v>21</v>
      </c>
      <c r="F2211" s="29"/>
      <c r="G2211" s="30">
        <v>2811.91</v>
      </c>
    </row>
    <row r="2212" spans="1:7" hidden="1" x14ac:dyDescent="0.25">
      <c r="A2212" s="28">
        <v>43678</v>
      </c>
      <c r="B2212" s="27" t="s">
        <v>4</v>
      </c>
      <c r="C2212" s="27" t="s">
        <v>50</v>
      </c>
      <c r="D2212" s="27" t="s">
        <v>7</v>
      </c>
      <c r="E2212" s="27" t="s">
        <v>21</v>
      </c>
      <c r="F2212" s="29"/>
      <c r="G2212" s="30">
        <v>4091.92</v>
      </c>
    </row>
    <row r="2213" spans="1:7" hidden="1" x14ac:dyDescent="0.25">
      <c r="A2213" s="28">
        <v>43678</v>
      </c>
      <c r="B2213" s="27" t="s">
        <v>4</v>
      </c>
      <c r="C2213" s="27" t="s">
        <v>50</v>
      </c>
      <c r="D2213" s="27" t="s">
        <v>7</v>
      </c>
      <c r="E2213" s="27" t="s">
        <v>10</v>
      </c>
      <c r="F2213" s="29"/>
      <c r="G2213" s="30">
        <v>8625.869999999999</v>
      </c>
    </row>
    <row r="2214" spans="1:7" hidden="1" x14ac:dyDescent="0.25">
      <c r="A2214" s="28">
        <v>43678</v>
      </c>
      <c r="B2214" s="27" t="s">
        <v>4</v>
      </c>
      <c r="C2214" s="27" t="s">
        <v>50</v>
      </c>
      <c r="D2214" s="27" t="s">
        <v>7</v>
      </c>
      <c r="E2214" s="27" t="s">
        <v>11</v>
      </c>
      <c r="F2214" s="29"/>
      <c r="G2214" s="30">
        <v>2314.04</v>
      </c>
    </row>
    <row r="2215" spans="1:7" hidden="1" x14ac:dyDescent="0.25">
      <c r="A2215" s="28">
        <v>43678</v>
      </c>
      <c r="B2215" s="27" t="s">
        <v>4</v>
      </c>
      <c r="C2215" s="27" t="s">
        <v>50</v>
      </c>
      <c r="D2215" s="27" t="s">
        <v>7</v>
      </c>
      <c r="E2215" s="27" t="s">
        <v>12</v>
      </c>
      <c r="F2215" s="29"/>
      <c r="G2215" s="30">
        <v>1785.0800000000002</v>
      </c>
    </row>
    <row r="2216" spans="1:7" hidden="1" x14ac:dyDescent="0.25">
      <c r="A2216" s="28">
        <v>43678</v>
      </c>
      <c r="B2216" s="27" t="s">
        <v>4</v>
      </c>
      <c r="C2216" s="27" t="s">
        <v>50</v>
      </c>
      <c r="D2216" s="27" t="s">
        <v>7</v>
      </c>
      <c r="E2216" s="27" t="s">
        <v>13</v>
      </c>
      <c r="F2216" s="29"/>
      <c r="G2216" s="30">
        <v>4972.22</v>
      </c>
    </row>
    <row r="2217" spans="1:7" hidden="1" x14ac:dyDescent="0.25">
      <c r="A2217" s="28">
        <v>43678</v>
      </c>
      <c r="B2217" s="27" t="s">
        <v>4</v>
      </c>
      <c r="C2217" s="27" t="s">
        <v>50</v>
      </c>
      <c r="D2217" s="27" t="s">
        <v>7</v>
      </c>
      <c r="E2217" s="27" t="s">
        <v>14</v>
      </c>
      <c r="F2217" s="29"/>
      <c r="G2217" s="30">
        <v>1544.6899999999998</v>
      </c>
    </row>
    <row r="2218" spans="1:7" hidden="1" x14ac:dyDescent="0.25">
      <c r="A2218" s="28">
        <v>43678</v>
      </c>
      <c r="B2218" s="27" t="s">
        <v>4</v>
      </c>
      <c r="C2218" s="27" t="s">
        <v>50</v>
      </c>
      <c r="D2218" s="27" t="s">
        <v>7</v>
      </c>
      <c r="E2218" s="27" t="s">
        <v>15</v>
      </c>
      <c r="F2218" s="29"/>
      <c r="G2218" s="30">
        <v>4539.71</v>
      </c>
    </row>
    <row r="2219" spans="1:7" hidden="1" x14ac:dyDescent="0.25">
      <c r="A2219" s="28">
        <v>43678</v>
      </c>
      <c r="B2219" s="27" t="s">
        <v>4</v>
      </c>
      <c r="C2219" s="27" t="s">
        <v>50</v>
      </c>
      <c r="D2219" s="27" t="s">
        <v>7</v>
      </c>
      <c r="E2219" s="27" t="s">
        <v>16</v>
      </c>
      <c r="F2219" s="29"/>
      <c r="G2219" s="30">
        <v>4850.4800000000005</v>
      </c>
    </row>
    <row r="2220" spans="1:7" hidden="1" x14ac:dyDescent="0.25">
      <c r="A2220" s="28">
        <v>43678</v>
      </c>
      <c r="B2220" s="27" t="s">
        <v>4</v>
      </c>
      <c r="C2220" s="27" t="s">
        <v>50</v>
      </c>
      <c r="D2220" s="27" t="s">
        <v>7</v>
      </c>
      <c r="E2220" s="27" t="s">
        <v>17</v>
      </c>
      <c r="F2220" s="29"/>
      <c r="G2220" s="30">
        <v>5725.1</v>
      </c>
    </row>
    <row r="2221" spans="1:7" hidden="1" x14ac:dyDescent="0.25">
      <c r="A2221" s="28">
        <v>43678</v>
      </c>
      <c r="B2221" s="27" t="s">
        <v>4</v>
      </c>
      <c r="C2221" s="27" t="s">
        <v>50</v>
      </c>
      <c r="D2221" s="27" t="s">
        <v>7</v>
      </c>
      <c r="E2221" s="27" t="s">
        <v>18</v>
      </c>
      <c r="F2221" s="29"/>
      <c r="G2221" s="30">
        <v>2264.6799999999998</v>
      </c>
    </row>
    <row r="2222" spans="1:7" hidden="1" x14ac:dyDescent="0.25">
      <c r="A2222" s="28">
        <v>43678</v>
      </c>
      <c r="B2222" s="27" t="s">
        <v>4</v>
      </c>
      <c r="C2222" s="27" t="s">
        <v>50</v>
      </c>
      <c r="D2222" s="27" t="s">
        <v>7</v>
      </c>
      <c r="E2222" s="27" t="s">
        <v>19</v>
      </c>
      <c r="F2222" s="29"/>
      <c r="G2222" s="30">
        <v>3456.93</v>
      </c>
    </row>
    <row r="2223" spans="1:7" hidden="1" x14ac:dyDescent="0.25">
      <c r="A2223" s="28">
        <v>43678</v>
      </c>
      <c r="B2223" s="27" t="s">
        <v>4</v>
      </c>
      <c r="C2223" s="27" t="s">
        <v>50</v>
      </c>
      <c r="D2223" s="27" t="s">
        <v>7</v>
      </c>
      <c r="E2223" s="27" t="s">
        <v>20</v>
      </c>
      <c r="F2223" s="29"/>
      <c r="G2223" s="30">
        <v>2540.58</v>
      </c>
    </row>
    <row r="2224" spans="1:7" hidden="1" x14ac:dyDescent="0.25">
      <c r="A2224" s="28">
        <v>43678</v>
      </c>
      <c r="B2224" s="27" t="s">
        <v>4</v>
      </c>
      <c r="C2224" s="27" t="s">
        <v>50</v>
      </c>
      <c r="D2224" s="27" t="s">
        <v>7</v>
      </c>
      <c r="E2224" s="27" t="s">
        <v>204</v>
      </c>
      <c r="F2224" s="29"/>
      <c r="G2224" s="30">
        <v>345.48</v>
      </c>
    </row>
    <row r="2225" spans="1:7" hidden="1" x14ac:dyDescent="0.25">
      <c r="A2225" s="28">
        <v>43678</v>
      </c>
      <c r="B2225" s="27" t="s">
        <v>4</v>
      </c>
      <c r="C2225" s="27" t="s">
        <v>50</v>
      </c>
      <c r="D2225" s="27" t="s">
        <v>7</v>
      </c>
      <c r="E2225" s="27" t="s">
        <v>37</v>
      </c>
      <c r="F2225" s="29"/>
      <c r="G2225" s="30">
        <v>315</v>
      </c>
    </row>
    <row r="2226" spans="1:7" hidden="1" x14ac:dyDescent="0.25">
      <c r="A2226" s="28">
        <v>43678</v>
      </c>
      <c r="B2226" s="27" t="s">
        <v>26</v>
      </c>
      <c r="C2226" s="27" t="s">
        <v>50</v>
      </c>
      <c r="D2226" s="27" t="s">
        <v>6</v>
      </c>
      <c r="E2226" s="27" t="s">
        <v>8</v>
      </c>
      <c r="F2226" s="29"/>
      <c r="G2226" s="30">
        <v>1194.25</v>
      </c>
    </row>
    <row r="2227" spans="1:7" hidden="1" x14ac:dyDescent="0.25">
      <c r="A2227" s="28">
        <v>43678</v>
      </c>
      <c r="B2227" s="27" t="s">
        <v>26</v>
      </c>
      <c r="C2227" s="27" t="s">
        <v>50</v>
      </c>
      <c r="D2227" s="27" t="s">
        <v>6</v>
      </c>
      <c r="E2227" s="27" t="s">
        <v>9</v>
      </c>
      <c r="F2227" s="29"/>
      <c r="G2227" s="30">
        <v>1550.9166666666667</v>
      </c>
    </row>
    <row r="2228" spans="1:7" hidden="1" x14ac:dyDescent="0.25">
      <c r="A2228" s="28">
        <v>43678</v>
      </c>
      <c r="B2228" s="27" t="s">
        <v>26</v>
      </c>
      <c r="C2228" s="27" t="s">
        <v>50</v>
      </c>
      <c r="D2228" s="27" t="s">
        <v>6</v>
      </c>
      <c r="E2228" s="27" t="s">
        <v>64</v>
      </c>
      <c r="F2228" s="29"/>
      <c r="G2228" s="30">
        <v>1270.3500000000001</v>
      </c>
    </row>
    <row r="2229" spans="1:7" hidden="1" x14ac:dyDescent="0.25">
      <c r="A2229" s="28">
        <v>43678</v>
      </c>
      <c r="B2229" s="27" t="s">
        <v>26</v>
      </c>
      <c r="C2229" s="27" t="s">
        <v>50</v>
      </c>
      <c r="D2229" s="27" t="s">
        <v>6</v>
      </c>
      <c r="E2229" s="27" t="s">
        <v>21</v>
      </c>
      <c r="F2229" s="29"/>
      <c r="G2229" s="30">
        <v>1359.4166666666667</v>
      </c>
    </row>
    <row r="2230" spans="1:7" hidden="1" x14ac:dyDescent="0.25">
      <c r="A2230" s="28">
        <v>43678</v>
      </c>
      <c r="B2230" s="27" t="s">
        <v>26</v>
      </c>
      <c r="C2230" s="27" t="s">
        <v>50</v>
      </c>
      <c r="D2230" s="27" t="s">
        <v>6</v>
      </c>
      <c r="E2230" s="27" t="s">
        <v>21</v>
      </c>
      <c r="F2230" s="29"/>
      <c r="G2230" s="30">
        <v>1359.4166666666667</v>
      </c>
    </row>
    <row r="2231" spans="1:7" hidden="1" x14ac:dyDescent="0.25">
      <c r="A2231" s="28">
        <v>43678</v>
      </c>
      <c r="B2231" s="27" t="s">
        <v>26</v>
      </c>
      <c r="C2231" s="27" t="s">
        <v>50</v>
      </c>
      <c r="D2231" s="27" t="s">
        <v>6</v>
      </c>
      <c r="E2231" s="27" t="s">
        <v>10</v>
      </c>
      <c r="F2231" s="29"/>
      <c r="G2231" s="30">
        <v>1998.9666666666669</v>
      </c>
    </row>
    <row r="2232" spans="1:7" hidden="1" x14ac:dyDescent="0.25">
      <c r="A2232" s="28">
        <v>43678</v>
      </c>
      <c r="B2232" s="27" t="s">
        <v>26</v>
      </c>
      <c r="C2232" s="27" t="s">
        <v>50</v>
      </c>
      <c r="D2232" s="27" t="s">
        <v>6</v>
      </c>
      <c r="E2232" s="27" t="s">
        <v>11</v>
      </c>
      <c r="F2232" s="29"/>
      <c r="G2232" s="30">
        <v>1340.7166666666667</v>
      </c>
    </row>
    <row r="2233" spans="1:7" hidden="1" x14ac:dyDescent="0.25">
      <c r="A2233" s="28">
        <v>43678</v>
      </c>
      <c r="B2233" s="27" t="s">
        <v>26</v>
      </c>
      <c r="C2233" s="27" t="s">
        <v>50</v>
      </c>
      <c r="D2233" s="27" t="s">
        <v>6</v>
      </c>
      <c r="E2233" s="27" t="s">
        <v>12</v>
      </c>
      <c r="F2233" s="29"/>
      <c r="G2233" s="30">
        <v>1350.1166666666668</v>
      </c>
    </row>
    <row r="2234" spans="1:7" hidden="1" x14ac:dyDescent="0.25">
      <c r="A2234" s="28">
        <v>43678</v>
      </c>
      <c r="B2234" s="27" t="s">
        <v>26</v>
      </c>
      <c r="C2234" s="27" t="s">
        <v>50</v>
      </c>
      <c r="D2234" s="27" t="s">
        <v>6</v>
      </c>
      <c r="E2234" s="27" t="s">
        <v>13</v>
      </c>
      <c r="F2234" s="29"/>
      <c r="G2234" s="30">
        <v>1901.5</v>
      </c>
    </row>
    <row r="2235" spans="1:7" hidden="1" x14ac:dyDescent="0.25">
      <c r="A2235" s="28">
        <v>43678</v>
      </c>
      <c r="B2235" s="27" t="s">
        <v>26</v>
      </c>
      <c r="C2235" s="27" t="s">
        <v>50</v>
      </c>
      <c r="D2235" s="27" t="s">
        <v>6</v>
      </c>
      <c r="E2235" s="27" t="s">
        <v>14</v>
      </c>
      <c r="F2235" s="29"/>
      <c r="G2235" s="30">
        <v>701.7833333333333</v>
      </c>
    </row>
    <row r="2236" spans="1:7" hidden="1" x14ac:dyDescent="0.25">
      <c r="A2236" s="28">
        <v>43678</v>
      </c>
      <c r="B2236" s="27" t="s">
        <v>26</v>
      </c>
      <c r="C2236" s="27" t="s">
        <v>50</v>
      </c>
      <c r="D2236" s="27" t="s">
        <v>6</v>
      </c>
      <c r="E2236" s="27" t="s">
        <v>15</v>
      </c>
      <c r="F2236" s="29"/>
      <c r="G2236" s="30">
        <v>1820.5500000000002</v>
      </c>
    </row>
    <row r="2237" spans="1:7" hidden="1" x14ac:dyDescent="0.25">
      <c r="A2237" s="28">
        <v>43678</v>
      </c>
      <c r="B2237" s="27" t="s">
        <v>26</v>
      </c>
      <c r="C2237" s="27" t="s">
        <v>50</v>
      </c>
      <c r="D2237" s="27" t="s">
        <v>6</v>
      </c>
      <c r="E2237" s="27" t="s">
        <v>16</v>
      </c>
      <c r="F2237" s="29"/>
      <c r="G2237" s="30">
        <v>1992.5833333333333</v>
      </c>
    </row>
    <row r="2238" spans="1:7" hidden="1" x14ac:dyDescent="0.25">
      <c r="A2238" s="28">
        <v>43678</v>
      </c>
      <c r="B2238" s="27" t="s">
        <v>26</v>
      </c>
      <c r="C2238" s="27" t="s">
        <v>50</v>
      </c>
      <c r="D2238" s="27" t="s">
        <v>6</v>
      </c>
      <c r="E2238" s="27" t="s">
        <v>17</v>
      </c>
      <c r="F2238" s="29"/>
      <c r="G2238" s="30">
        <v>2822.1166666666668</v>
      </c>
    </row>
    <row r="2239" spans="1:7" hidden="1" x14ac:dyDescent="0.25">
      <c r="A2239" s="28">
        <v>43678</v>
      </c>
      <c r="B2239" s="27" t="s">
        <v>26</v>
      </c>
      <c r="C2239" s="27" t="s">
        <v>50</v>
      </c>
      <c r="D2239" s="27" t="s">
        <v>6</v>
      </c>
      <c r="E2239" s="27" t="s">
        <v>18</v>
      </c>
      <c r="F2239" s="29"/>
      <c r="G2239" s="30">
        <v>1488.6666666666667</v>
      </c>
    </row>
    <row r="2240" spans="1:7" hidden="1" x14ac:dyDescent="0.25">
      <c r="A2240" s="28">
        <v>43678</v>
      </c>
      <c r="B2240" s="27" t="s">
        <v>26</v>
      </c>
      <c r="C2240" s="27" t="s">
        <v>50</v>
      </c>
      <c r="D2240" s="27" t="s">
        <v>6</v>
      </c>
      <c r="E2240" s="27" t="s">
        <v>19</v>
      </c>
      <c r="F2240" s="29"/>
      <c r="G2240" s="30">
        <v>2454.8833333333337</v>
      </c>
    </row>
    <row r="2241" spans="1:7" hidden="1" x14ac:dyDescent="0.25">
      <c r="A2241" s="28">
        <v>43678</v>
      </c>
      <c r="B2241" s="27" t="s">
        <v>26</v>
      </c>
      <c r="C2241" s="27" t="s">
        <v>50</v>
      </c>
      <c r="D2241" s="27" t="s">
        <v>6</v>
      </c>
      <c r="E2241" s="27" t="s">
        <v>20</v>
      </c>
      <c r="F2241" s="29"/>
      <c r="G2241" s="30">
        <v>1590.3833333333334</v>
      </c>
    </row>
    <row r="2242" spans="1:7" hidden="1" x14ac:dyDescent="0.25">
      <c r="A2242" s="28">
        <v>43678</v>
      </c>
      <c r="B2242" s="27" t="s">
        <v>26</v>
      </c>
      <c r="C2242" s="27" t="s">
        <v>50</v>
      </c>
      <c r="D2242" s="27" t="s">
        <v>6</v>
      </c>
      <c r="E2242" s="27" t="s">
        <v>204</v>
      </c>
      <c r="F2242" s="29"/>
      <c r="G2242" s="30">
        <v>316.66666666666669</v>
      </c>
    </row>
    <row r="2243" spans="1:7" hidden="1" x14ac:dyDescent="0.25">
      <c r="A2243" s="28">
        <v>43678</v>
      </c>
      <c r="B2243" s="27" t="s">
        <v>26</v>
      </c>
      <c r="C2243" s="27" t="s">
        <v>50</v>
      </c>
      <c r="D2243" s="27" t="s">
        <v>6</v>
      </c>
      <c r="E2243" s="27" t="s">
        <v>205</v>
      </c>
      <c r="F2243" s="29"/>
      <c r="G2243" s="30">
        <v>1200</v>
      </c>
    </row>
    <row r="2244" spans="1:7" hidden="1" x14ac:dyDescent="0.25">
      <c r="A2244" s="28">
        <v>43678</v>
      </c>
      <c r="B2244" s="27" t="s">
        <v>26</v>
      </c>
      <c r="C2244" s="27" t="s">
        <v>50</v>
      </c>
      <c r="D2244" s="27" t="s">
        <v>6</v>
      </c>
      <c r="E2244" s="27" t="s">
        <v>37</v>
      </c>
      <c r="F2244" s="29"/>
      <c r="G2244" s="30">
        <v>250</v>
      </c>
    </row>
    <row r="2245" spans="1:7" hidden="1" x14ac:dyDescent="0.25">
      <c r="A2245" s="28">
        <v>43678</v>
      </c>
      <c r="B2245" s="27" t="s">
        <v>3</v>
      </c>
      <c r="C2245" s="27" t="s">
        <v>50</v>
      </c>
      <c r="D2245" s="27" t="s">
        <v>7</v>
      </c>
      <c r="E2245" s="27" t="s">
        <v>8</v>
      </c>
      <c r="F2245" s="29"/>
      <c r="G2245" s="30">
        <v>569.63111111111118</v>
      </c>
    </row>
    <row r="2246" spans="1:7" hidden="1" x14ac:dyDescent="0.25">
      <c r="A2246" s="28">
        <v>43678</v>
      </c>
      <c r="B2246" s="27" t="s">
        <v>3</v>
      </c>
      <c r="C2246" s="27" t="s">
        <v>50</v>
      </c>
      <c r="D2246" s="27" t="s">
        <v>7</v>
      </c>
      <c r="E2246" s="27" t="s">
        <v>9</v>
      </c>
      <c r="F2246" s="29"/>
      <c r="G2246" s="30">
        <v>569.63111111111118</v>
      </c>
    </row>
    <row r="2247" spans="1:7" hidden="1" x14ac:dyDescent="0.25">
      <c r="A2247" s="28">
        <v>43678</v>
      </c>
      <c r="B2247" s="27" t="s">
        <v>3</v>
      </c>
      <c r="C2247" s="27" t="s">
        <v>50</v>
      </c>
      <c r="D2247" s="27" t="s">
        <v>7</v>
      </c>
      <c r="E2247" s="27" t="s">
        <v>64</v>
      </c>
      <c r="F2247" s="29"/>
      <c r="G2247" s="30">
        <v>569.63111111111118</v>
      </c>
    </row>
    <row r="2248" spans="1:7" hidden="1" x14ac:dyDescent="0.25">
      <c r="A2248" s="28">
        <v>43678</v>
      </c>
      <c r="B2248" s="27" t="s">
        <v>3</v>
      </c>
      <c r="C2248" s="27" t="s">
        <v>50</v>
      </c>
      <c r="D2248" s="27" t="s">
        <v>7</v>
      </c>
      <c r="E2248" s="27" t="s">
        <v>21</v>
      </c>
      <c r="F2248" s="29"/>
      <c r="G2248" s="30">
        <v>569.63111111111118</v>
      </c>
    </row>
    <row r="2249" spans="1:7" hidden="1" x14ac:dyDescent="0.25">
      <c r="A2249" s="28">
        <v>43678</v>
      </c>
      <c r="B2249" s="27" t="s">
        <v>3</v>
      </c>
      <c r="C2249" s="27" t="s">
        <v>50</v>
      </c>
      <c r="D2249" s="27" t="s">
        <v>7</v>
      </c>
      <c r="E2249" s="27" t="s">
        <v>21</v>
      </c>
      <c r="F2249" s="29"/>
      <c r="G2249" s="30">
        <v>569.63111111111118</v>
      </c>
    </row>
    <row r="2250" spans="1:7" hidden="1" x14ac:dyDescent="0.25">
      <c r="A2250" s="28">
        <v>43678</v>
      </c>
      <c r="B2250" s="27" t="s">
        <v>3</v>
      </c>
      <c r="C2250" s="27" t="s">
        <v>50</v>
      </c>
      <c r="D2250" s="27" t="s">
        <v>7</v>
      </c>
      <c r="E2250" s="27" t="s">
        <v>10</v>
      </c>
      <c r="F2250" s="29"/>
      <c r="G2250" s="30">
        <v>569.63111111111118</v>
      </c>
    </row>
    <row r="2251" spans="1:7" hidden="1" x14ac:dyDescent="0.25">
      <c r="A2251" s="28">
        <v>43678</v>
      </c>
      <c r="B2251" s="27" t="s">
        <v>3</v>
      </c>
      <c r="C2251" s="27" t="s">
        <v>50</v>
      </c>
      <c r="D2251" s="27" t="s">
        <v>7</v>
      </c>
      <c r="E2251" s="27" t="s">
        <v>11</v>
      </c>
      <c r="F2251" s="29"/>
      <c r="G2251" s="30">
        <v>569.63111111111118</v>
      </c>
    </row>
    <row r="2252" spans="1:7" hidden="1" x14ac:dyDescent="0.25">
      <c r="A2252" s="28">
        <v>43678</v>
      </c>
      <c r="B2252" s="27" t="s">
        <v>3</v>
      </c>
      <c r="C2252" s="27" t="s">
        <v>50</v>
      </c>
      <c r="D2252" s="27" t="s">
        <v>7</v>
      </c>
      <c r="E2252" s="27" t="s">
        <v>12</v>
      </c>
      <c r="F2252" s="29"/>
      <c r="G2252" s="30">
        <v>569.63111111111118</v>
      </c>
    </row>
    <row r="2253" spans="1:7" hidden="1" x14ac:dyDescent="0.25">
      <c r="A2253" s="28">
        <v>43678</v>
      </c>
      <c r="B2253" s="27" t="s">
        <v>3</v>
      </c>
      <c r="C2253" s="27" t="s">
        <v>50</v>
      </c>
      <c r="D2253" s="27" t="s">
        <v>7</v>
      </c>
      <c r="E2253" s="27" t="s">
        <v>13</v>
      </c>
      <c r="F2253" s="29"/>
      <c r="G2253" s="30">
        <v>569.63111111111118</v>
      </c>
    </row>
    <row r="2254" spans="1:7" hidden="1" x14ac:dyDescent="0.25">
      <c r="A2254" s="28">
        <v>43678</v>
      </c>
      <c r="B2254" s="27" t="s">
        <v>3</v>
      </c>
      <c r="C2254" s="27" t="s">
        <v>50</v>
      </c>
      <c r="D2254" s="27" t="s">
        <v>7</v>
      </c>
      <c r="E2254" s="27" t="s">
        <v>14</v>
      </c>
      <c r="F2254" s="29"/>
      <c r="G2254" s="30">
        <v>569.63111111111118</v>
      </c>
    </row>
    <row r="2255" spans="1:7" hidden="1" x14ac:dyDescent="0.25">
      <c r="A2255" s="28">
        <v>43678</v>
      </c>
      <c r="B2255" s="27" t="s">
        <v>3</v>
      </c>
      <c r="C2255" s="27" t="s">
        <v>50</v>
      </c>
      <c r="D2255" s="27" t="s">
        <v>7</v>
      </c>
      <c r="E2255" s="27" t="s">
        <v>15</v>
      </c>
      <c r="F2255" s="29"/>
      <c r="G2255" s="30">
        <v>569.63111111111118</v>
      </c>
    </row>
    <row r="2256" spans="1:7" hidden="1" x14ac:dyDescent="0.25">
      <c r="A2256" s="28">
        <v>43678</v>
      </c>
      <c r="B2256" s="27" t="s">
        <v>3</v>
      </c>
      <c r="C2256" s="27" t="s">
        <v>50</v>
      </c>
      <c r="D2256" s="27" t="s">
        <v>7</v>
      </c>
      <c r="E2256" s="27" t="s">
        <v>16</v>
      </c>
      <c r="F2256" s="29"/>
      <c r="G2256" s="30">
        <v>569.63111111111118</v>
      </c>
    </row>
    <row r="2257" spans="1:7" hidden="1" x14ac:dyDescent="0.25">
      <c r="A2257" s="28">
        <v>43678</v>
      </c>
      <c r="B2257" s="27" t="s">
        <v>3</v>
      </c>
      <c r="C2257" s="27" t="s">
        <v>50</v>
      </c>
      <c r="D2257" s="27" t="s">
        <v>7</v>
      </c>
      <c r="E2257" s="27" t="s">
        <v>17</v>
      </c>
      <c r="F2257" s="29"/>
      <c r="G2257" s="30">
        <v>569.63111111111118</v>
      </c>
    </row>
    <row r="2258" spans="1:7" hidden="1" x14ac:dyDescent="0.25">
      <c r="A2258" s="28">
        <v>43678</v>
      </c>
      <c r="B2258" s="27" t="s">
        <v>3</v>
      </c>
      <c r="C2258" s="27" t="s">
        <v>50</v>
      </c>
      <c r="D2258" s="27" t="s">
        <v>7</v>
      </c>
      <c r="E2258" s="27" t="s">
        <v>18</v>
      </c>
      <c r="F2258" s="29"/>
      <c r="G2258" s="30">
        <v>569.63111111111118</v>
      </c>
    </row>
    <row r="2259" spans="1:7" hidden="1" x14ac:dyDescent="0.25">
      <c r="A2259" s="28">
        <v>43678</v>
      </c>
      <c r="B2259" s="27" t="s">
        <v>3</v>
      </c>
      <c r="C2259" s="27" t="s">
        <v>50</v>
      </c>
      <c r="D2259" s="27" t="s">
        <v>7</v>
      </c>
      <c r="E2259" s="27" t="s">
        <v>19</v>
      </c>
      <c r="F2259" s="29"/>
      <c r="G2259" s="30">
        <v>569.63111111111118</v>
      </c>
    </row>
    <row r="2260" spans="1:7" hidden="1" x14ac:dyDescent="0.25">
      <c r="A2260" s="28">
        <v>43678</v>
      </c>
      <c r="B2260" s="27" t="s">
        <v>3</v>
      </c>
      <c r="C2260" s="27" t="s">
        <v>50</v>
      </c>
      <c r="D2260" s="27" t="s">
        <v>7</v>
      </c>
      <c r="E2260" s="27" t="s">
        <v>20</v>
      </c>
      <c r="F2260" s="29"/>
      <c r="G2260" s="30">
        <v>569.63111111111118</v>
      </c>
    </row>
    <row r="2261" spans="1:7" hidden="1" x14ac:dyDescent="0.25">
      <c r="A2261" s="28">
        <v>43678</v>
      </c>
      <c r="B2261" s="27" t="s">
        <v>3</v>
      </c>
      <c r="C2261" s="27" t="s">
        <v>50</v>
      </c>
      <c r="D2261" s="27" t="s">
        <v>7</v>
      </c>
      <c r="E2261" s="27" t="s">
        <v>204</v>
      </c>
      <c r="F2261" s="29"/>
      <c r="G2261" s="30">
        <v>569.63111111111118</v>
      </c>
    </row>
    <row r="2262" spans="1:7" hidden="1" x14ac:dyDescent="0.25">
      <c r="A2262" s="28">
        <v>43678</v>
      </c>
      <c r="B2262" s="27" t="s">
        <v>3</v>
      </c>
      <c r="C2262" s="27" t="s">
        <v>50</v>
      </c>
      <c r="D2262" s="27" t="s">
        <v>7</v>
      </c>
      <c r="E2262" s="27" t="s">
        <v>205</v>
      </c>
      <c r="F2262" s="29"/>
      <c r="G2262" s="30">
        <v>569.63111111111118</v>
      </c>
    </row>
    <row r="2263" spans="1:7" hidden="1" x14ac:dyDescent="0.25">
      <c r="A2263" s="28">
        <v>43678</v>
      </c>
      <c r="B2263" s="27" t="s">
        <v>179</v>
      </c>
      <c r="C2263" s="27" t="s">
        <v>50</v>
      </c>
      <c r="D2263" s="27" t="s">
        <v>6</v>
      </c>
      <c r="E2263" s="27" t="s">
        <v>8</v>
      </c>
      <c r="F2263" s="29"/>
      <c r="G2263" s="30">
        <v>82.027500000000003</v>
      </c>
    </row>
    <row r="2264" spans="1:7" hidden="1" x14ac:dyDescent="0.25">
      <c r="A2264" s="28">
        <v>43678</v>
      </c>
      <c r="B2264" s="27" t="s">
        <v>179</v>
      </c>
      <c r="C2264" s="27" t="s">
        <v>50</v>
      </c>
      <c r="D2264" s="27" t="s">
        <v>6</v>
      </c>
      <c r="E2264" s="27" t="s">
        <v>9</v>
      </c>
      <c r="F2264" s="29"/>
      <c r="G2264" s="30">
        <v>80.430833333333325</v>
      </c>
    </row>
    <row r="2265" spans="1:7" hidden="1" x14ac:dyDescent="0.25">
      <c r="A2265" s="28">
        <v>43678</v>
      </c>
      <c r="B2265" s="27" t="s">
        <v>179</v>
      </c>
      <c r="C2265" s="27" t="s">
        <v>50</v>
      </c>
      <c r="D2265" s="27" t="s">
        <v>6</v>
      </c>
      <c r="E2265" s="27" t="s">
        <v>64</v>
      </c>
      <c r="F2265" s="29"/>
      <c r="G2265" s="30">
        <v>99.683333333333337</v>
      </c>
    </row>
    <row r="2266" spans="1:7" hidden="1" x14ac:dyDescent="0.25">
      <c r="A2266" s="28">
        <v>43678</v>
      </c>
      <c r="B2266" s="27" t="s">
        <v>179</v>
      </c>
      <c r="C2266" s="27" t="s">
        <v>50</v>
      </c>
      <c r="D2266" s="27" t="s">
        <v>6</v>
      </c>
      <c r="E2266" s="27" t="s">
        <v>21</v>
      </c>
      <c r="F2266" s="29"/>
      <c r="G2266" s="30">
        <v>101.87</v>
      </c>
    </row>
    <row r="2267" spans="1:7" hidden="1" x14ac:dyDescent="0.25">
      <c r="A2267" s="28">
        <v>43678</v>
      </c>
      <c r="B2267" s="27" t="s">
        <v>179</v>
      </c>
      <c r="C2267" s="27" t="s">
        <v>50</v>
      </c>
      <c r="D2267" s="27" t="s">
        <v>6</v>
      </c>
      <c r="E2267" s="27" t="s">
        <v>21</v>
      </c>
      <c r="F2267" s="29"/>
      <c r="G2267" s="30">
        <v>75.420833333333334</v>
      </c>
    </row>
    <row r="2268" spans="1:7" hidden="1" x14ac:dyDescent="0.25">
      <c r="A2268" s="28">
        <v>43678</v>
      </c>
      <c r="B2268" s="27" t="s">
        <v>179</v>
      </c>
      <c r="C2268" s="27" t="s">
        <v>50</v>
      </c>
      <c r="D2268" s="27" t="s">
        <v>6</v>
      </c>
      <c r="E2268" s="27" t="s">
        <v>10</v>
      </c>
      <c r="F2268" s="29"/>
      <c r="G2268" s="30">
        <v>94.975833333333341</v>
      </c>
    </row>
    <row r="2269" spans="1:7" hidden="1" x14ac:dyDescent="0.25">
      <c r="A2269" s="28">
        <v>43678</v>
      </c>
      <c r="B2269" s="27" t="s">
        <v>179</v>
      </c>
      <c r="C2269" s="27" t="s">
        <v>50</v>
      </c>
      <c r="D2269" s="27" t="s">
        <v>6</v>
      </c>
      <c r="E2269" s="27" t="s">
        <v>11</v>
      </c>
      <c r="F2269" s="29"/>
      <c r="G2269" s="30">
        <v>99.024999999999991</v>
      </c>
    </row>
    <row r="2270" spans="1:7" hidden="1" x14ac:dyDescent="0.25">
      <c r="A2270" s="28">
        <v>43678</v>
      </c>
      <c r="B2270" s="27" t="s">
        <v>179</v>
      </c>
      <c r="C2270" s="27" t="s">
        <v>50</v>
      </c>
      <c r="D2270" s="27" t="s">
        <v>6</v>
      </c>
      <c r="E2270" s="27" t="s">
        <v>12</v>
      </c>
      <c r="F2270" s="29"/>
      <c r="G2270" s="30">
        <v>75.82083333333334</v>
      </c>
    </row>
    <row r="2271" spans="1:7" hidden="1" x14ac:dyDescent="0.25">
      <c r="A2271" s="28">
        <v>43678</v>
      </c>
      <c r="B2271" s="27" t="s">
        <v>179</v>
      </c>
      <c r="C2271" s="27" t="s">
        <v>50</v>
      </c>
      <c r="D2271" s="27" t="s">
        <v>6</v>
      </c>
      <c r="E2271" s="27" t="s">
        <v>13</v>
      </c>
      <c r="F2271" s="29"/>
      <c r="G2271" s="30">
        <v>100.41500000000001</v>
      </c>
    </row>
    <row r="2272" spans="1:7" hidden="1" x14ac:dyDescent="0.25">
      <c r="A2272" s="28">
        <v>43678</v>
      </c>
      <c r="B2272" s="27" t="s">
        <v>179</v>
      </c>
      <c r="C2272" s="27" t="s">
        <v>50</v>
      </c>
      <c r="D2272" s="27" t="s">
        <v>6</v>
      </c>
      <c r="E2272" s="27" t="s">
        <v>14</v>
      </c>
      <c r="F2272" s="29"/>
      <c r="G2272" s="30">
        <v>84.427499999999995</v>
      </c>
    </row>
    <row r="2273" spans="1:7" hidden="1" x14ac:dyDescent="0.25">
      <c r="A2273" s="28">
        <v>43678</v>
      </c>
      <c r="B2273" s="27" t="s">
        <v>179</v>
      </c>
      <c r="C2273" s="27" t="s">
        <v>50</v>
      </c>
      <c r="D2273" s="27" t="s">
        <v>6</v>
      </c>
      <c r="E2273" s="27" t="s">
        <v>15</v>
      </c>
      <c r="F2273" s="29"/>
      <c r="G2273" s="30">
        <v>97.932500000000005</v>
      </c>
    </row>
    <row r="2274" spans="1:7" hidden="1" x14ac:dyDescent="0.25">
      <c r="A2274" s="28">
        <v>43678</v>
      </c>
      <c r="B2274" s="27" t="s">
        <v>179</v>
      </c>
      <c r="C2274" s="27" t="s">
        <v>50</v>
      </c>
      <c r="D2274" s="27" t="s">
        <v>6</v>
      </c>
      <c r="E2274" s="27" t="s">
        <v>16</v>
      </c>
      <c r="F2274" s="29"/>
      <c r="G2274" s="30">
        <v>99.579166666666666</v>
      </c>
    </row>
    <row r="2275" spans="1:7" hidden="1" x14ac:dyDescent="0.25">
      <c r="A2275" s="28">
        <v>43678</v>
      </c>
      <c r="B2275" s="27" t="s">
        <v>179</v>
      </c>
      <c r="C2275" s="27" t="s">
        <v>50</v>
      </c>
      <c r="D2275" s="27" t="s">
        <v>6</v>
      </c>
      <c r="E2275" s="27" t="s">
        <v>17</v>
      </c>
      <c r="F2275" s="29"/>
      <c r="G2275" s="30">
        <v>163.58583333333334</v>
      </c>
    </row>
    <row r="2276" spans="1:7" hidden="1" x14ac:dyDescent="0.25">
      <c r="A2276" s="28">
        <v>43678</v>
      </c>
      <c r="B2276" s="27" t="s">
        <v>179</v>
      </c>
      <c r="C2276" s="27" t="s">
        <v>50</v>
      </c>
      <c r="D2276" s="27" t="s">
        <v>6</v>
      </c>
      <c r="E2276" s="27" t="s">
        <v>18</v>
      </c>
      <c r="F2276" s="29"/>
      <c r="G2276" s="30">
        <v>189.72083333333333</v>
      </c>
    </row>
    <row r="2277" spans="1:7" hidden="1" x14ac:dyDescent="0.25">
      <c r="A2277" s="28">
        <v>43678</v>
      </c>
      <c r="B2277" s="27" t="s">
        <v>179</v>
      </c>
      <c r="C2277" s="27" t="s">
        <v>50</v>
      </c>
      <c r="D2277" s="27" t="s">
        <v>6</v>
      </c>
      <c r="E2277" s="27" t="s">
        <v>19</v>
      </c>
      <c r="F2277" s="29"/>
      <c r="G2277" s="30">
        <v>132.03083333333333</v>
      </c>
    </row>
    <row r="2278" spans="1:7" hidden="1" x14ac:dyDescent="0.25">
      <c r="A2278" s="28">
        <v>43678</v>
      </c>
      <c r="B2278" s="27" t="s">
        <v>179</v>
      </c>
      <c r="C2278" s="27" t="s">
        <v>50</v>
      </c>
      <c r="D2278" s="27" t="s">
        <v>6</v>
      </c>
      <c r="E2278" s="27" t="s">
        <v>20</v>
      </c>
      <c r="F2278" s="29"/>
      <c r="G2278" s="30">
        <v>408.15999999999997</v>
      </c>
    </row>
    <row r="2279" spans="1:7" hidden="1" x14ac:dyDescent="0.25">
      <c r="A2279" s="28">
        <v>43678</v>
      </c>
      <c r="B2279" s="27" t="s">
        <v>179</v>
      </c>
      <c r="C2279" s="27" t="s">
        <v>50</v>
      </c>
      <c r="D2279" s="27" t="s">
        <v>6</v>
      </c>
      <c r="E2279" s="27" t="s">
        <v>38</v>
      </c>
      <c r="F2279" s="29"/>
      <c r="G2279" s="30">
        <v>300.31</v>
      </c>
    </row>
    <row r="2280" spans="1:7" hidden="1" x14ac:dyDescent="0.25">
      <c r="A2280" s="28">
        <v>43678</v>
      </c>
      <c r="B2280" s="27" t="s">
        <v>179</v>
      </c>
      <c r="C2280" s="27" t="s">
        <v>50</v>
      </c>
      <c r="D2280" s="27" t="s">
        <v>6</v>
      </c>
      <c r="E2280" s="27" t="s">
        <v>204</v>
      </c>
      <c r="F2280" s="29"/>
      <c r="G2280" s="30">
        <v>62.408333333333331</v>
      </c>
    </row>
    <row r="2281" spans="1:7" hidden="1" x14ac:dyDescent="0.25">
      <c r="A2281" s="28">
        <v>43678</v>
      </c>
      <c r="B2281" s="27" t="s">
        <v>179</v>
      </c>
      <c r="C2281" s="27" t="s">
        <v>50</v>
      </c>
      <c r="D2281" s="27" t="s">
        <v>6</v>
      </c>
      <c r="E2281" s="27" t="s">
        <v>205</v>
      </c>
      <c r="F2281" s="29"/>
      <c r="G2281" s="30">
        <v>136.51666666666668</v>
      </c>
    </row>
    <row r="2282" spans="1:7" hidden="1" x14ac:dyDescent="0.25">
      <c r="A2282" s="28">
        <v>43678</v>
      </c>
      <c r="B2282" s="27" t="s">
        <v>32</v>
      </c>
      <c r="C2282" s="27" t="s">
        <v>50</v>
      </c>
      <c r="D2282" s="27" t="s">
        <v>7</v>
      </c>
      <c r="E2282" s="27" t="s">
        <v>17</v>
      </c>
      <c r="F2282" s="29"/>
      <c r="G2282" s="30">
        <v>50</v>
      </c>
    </row>
    <row r="2283" spans="1:7" hidden="1" x14ac:dyDescent="0.25">
      <c r="A2283" s="28">
        <v>43678</v>
      </c>
      <c r="B2283" s="27" t="s">
        <v>32</v>
      </c>
      <c r="C2283" s="27" t="s">
        <v>50</v>
      </c>
      <c r="D2283" s="27" t="s">
        <v>7</v>
      </c>
      <c r="E2283" s="27" t="s">
        <v>20</v>
      </c>
      <c r="F2283" s="29"/>
      <c r="G2283" s="30">
        <v>2.2000000000000002</v>
      </c>
    </row>
    <row r="2284" spans="1:7" hidden="1" x14ac:dyDescent="0.25">
      <c r="A2284" s="28">
        <v>43678</v>
      </c>
      <c r="B2284" s="27" t="s">
        <v>5</v>
      </c>
      <c r="C2284" s="27" t="s">
        <v>51</v>
      </c>
      <c r="D2284" s="27" t="s">
        <v>51</v>
      </c>
      <c r="E2284" s="27" t="s">
        <v>8</v>
      </c>
      <c r="F2284" s="29">
        <v>5590</v>
      </c>
      <c r="G2284" s="30">
        <v>3.8677274670066977</v>
      </c>
    </row>
    <row r="2285" spans="1:7" hidden="1" x14ac:dyDescent="0.25">
      <c r="A2285" s="28">
        <v>43678</v>
      </c>
      <c r="B2285" s="27" t="s">
        <v>5</v>
      </c>
      <c r="C2285" s="27" t="s">
        <v>51</v>
      </c>
      <c r="D2285" s="27" t="s">
        <v>51</v>
      </c>
      <c r="E2285" s="27" t="s">
        <v>9</v>
      </c>
      <c r="F2285" s="29">
        <v>5284</v>
      </c>
      <c r="G2285" s="30">
        <v>2.9378710649572497</v>
      </c>
    </row>
    <row r="2286" spans="1:7" hidden="1" x14ac:dyDescent="0.25">
      <c r="A2286" s="28">
        <v>43678</v>
      </c>
      <c r="B2286" s="27" t="s">
        <v>5</v>
      </c>
      <c r="C2286" s="27" t="s">
        <v>51</v>
      </c>
      <c r="D2286" s="27" t="s">
        <v>51</v>
      </c>
      <c r="E2286" s="27" t="s">
        <v>64</v>
      </c>
      <c r="F2286" s="29">
        <v>4409</v>
      </c>
      <c r="G2286" s="30">
        <v>4.2779866652833087</v>
      </c>
    </row>
    <row r="2287" spans="1:7" hidden="1" x14ac:dyDescent="0.25">
      <c r="A2287" s="28">
        <v>43678</v>
      </c>
      <c r="B2287" s="27" t="s">
        <v>5</v>
      </c>
      <c r="C2287" s="27" t="s">
        <v>51</v>
      </c>
      <c r="D2287" s="27" t="s">
        <v>51</v>
      </c>
      <c r="E2287" s="27" t="s">
        <v>21</v>
      </c>
      <c r="F2287" s="29">
        <v>4542.875</v>
      </c>
      <c r="G2287" s="30">
        <v>3.2556470019317665</v>
      </c>
    </row>
    <row r="2288" spans="1:7" hidden="1" x14ac:dyDescent="0.25">
      <c r="A2288" s="28">
        <v>43678</v>
      </c>
      <c r="B2288" s="27" t="s">
        <v>5</v>
      </c>
      <c r="C2288" s="27" t="s">
        <v>51</v>
      </c>
      <c r="D2288" s="27" t="s">
        <v>51</v>
      </c>
      <c r="E2288" s="27" t="s">
        <v>21</v>
      </c>
      <c r="F2288" s="29">
        <v>2828</v>
      </c>
      <c r="G2288" s="30">
        <v>5.582289559370853</v>
      </c>
    </row>
    <row r="2289" spans="1:7" hidden="1" x14ac:dyDescent="0.25">
      <c r="A2289" s="28">
        <v>43678</v>
      </c>
      <c r="B2289" s="27" t="s">
        <v>5</v>
      </c>
      <c r="C2289" s="27" t="s">
        <v>51</v>
      </c>
      <c r="D2289" s="27" t="s">
        <v>51</v>
      </c>
      <c r="E2289" s="27" t="s">
        <v>10</v>
      </c>
      <c r="F2289" s="29">
        <v>9112</v>
      </c>
      <c r="G2289" s="30">
        <v>2.4522024846979193</v>
      </c>
    </row>
    <row r="2290" spans="1:7" hidden="1" x14ac:dyDescent="0.25">
      <c r="A2290" s="28">
        <v>43678</v>
      </c>
      <c r="B2290" s="27" t="s">
        <v>5</v>
      </c>
      <c r="C2290" s="27" t="s">
        <v>51</v>
      </c>
      <c r="D2290" s="27" t="s">
        <v>51</v>
      </c>
      <c r="E2290" s="27" t="s">
        <v>11</v>
      </c>
      <c r="F2290" s="29">
        <v>3080</v>
      </c>
      <c r="G2290" s="30">
        <v>4.2913351863314206</v>
      </c>
    </row>
    <row r="2291" spans="1:7" hidden="1" x14ac:dyDescent="0.25">
      <c r="A2291" s="28">
        <v>43678</v>
      </c>
      <c r="B2291" s="27" t="s">
        <v>5</v>
      </c>
      <c r="C2291" s="27" t="s">
        <v>51</v>
      </c>
      <c r="D2291" s="27" t="s">
        <v>51</v>
      </c>
      <c r="E2291" s="27" t="s">
        <v>12</v>
      </c>
      <c r="F2291" s="29">
        <v>3080</v>
      </c>
      <c r="G2291" s="30">
        <v>3.8927705218292554</v>
      </c>
    </row>
    <row r="2292" spans="1:7" hidden="1" x14ac:dyDescent="0.25">
      <c r="A2292" s="28">
        <v>43678</v>
      </c>
      <c r="B2292" s="27" t="s">
        <v>5</v>
      </c>
      <c r="C2292" s="27" t="s">
        <v>51</v>
      </c>
      <c r="D2292" s="27" t="s">
        <v>51</v>
      </c>
      <c r="E2292" s="27" t="s">
        <v>13</v>
      </c>
      <c r="F2292" s="29">
        <v>7199</v>
      </c>
      <c r="G2292" s="30">
        <v>2.517826763981216</v>
      </c>
    </row>
    <row r="2293" spans="1:7" hidden="1" x14ac:dyDescent="0.25">
      <c r="A2293" s="28">
        <v>43678</v>
      </c>
      <c r="B2293" s="27" t="s">
        <v>5</v>
      </c>
      <c r="C2293" s="27" t="s">
        <v>51</v>
      </c>
      <c r="D2293" s="27" t="s">
        <v>51</v>
      </c>
      <c r="E2293" s="27" t="s">
        <v>14</v>
      </c>
      <c r="F2293" s="29">
        <v>1854</v>
      </c>
      <c r="G2293" s="30">
        <v>5.5522868791266289</v>
      </c>
    </row>
    <row r="2294" spans="1:7" hidden="1" x14ac:dyDescent="0.25">
      <c r="A2294" s="28">
        <v>43678</v>
      </c>
      <c r="B2294" s="27" t="s">
        <v>5</v>
      </c>
      <c r="C2294" s="27" t="s">
        <v>51</v>
      </c>
      <c r="D2294" s="27" t="s">
        <v>51</v>
      </c>
      <c r="E2294" s="27" t="s">
        <v>15</v>
      </c>
      <c r="F2294" s="29">
        <v>4908</v>
      </c>
      <c r="G2294" s="30">
        <v>3.2390114521666886</v>
      </c>
    </row>
    <row r="2295" spans="1:7" hidden="1" x14ac:dyDescent="0.25">
      <c r="A2295" s="28">
        <v>43678</v>
      </c>
      <c r="B2295" s="27" t="s">
        <v>5</v>
      </c>
      <c r="C2295" s="27" t="s">
        <v>51</v>
      </c>
      <c r="D2295" s="27" t="s">
        <v>51</v>
      </c>
      <c r="E2295" s="27" t="s">
        <v>16</v>
      </c>
      <c r="F2295" s="29">
        <v>3885</v>
      </c>
      <c r="G2295" s="30">
        <v>4.1720600276020869</v>
      </c>
    </row>
    <row r="2296" spans="1:7" hidden="1" x14ac:dyDescent="0.25">
      <c r="A2296" s="28">
        <v>43678</v>
      </c>
      <c r="B2296" s="27" t="s">
        <v>5</v>
      </c>
      <c r="C2296" s="27" t="s">
        <v>51</v>
      </c>
      <c r="D2296" s="27" t="s">
        <v>51</v>
      </c>
      <c r="E2296" s="27" t="s">
        <v>17</v>
      </c>
      <c r="F2296" s="29">
        <v>8442</v>
      </c>
      <c r="G2296" s="30">
        <v>2.3787391266564919</v>
      </c>
    </row>
    <row r="2297" spans="1:7" hidden="1" x14ac:dyDescent="0.25">
      <c r="A2297" s="28">
        <v>43678</v>
      </c>
      <c r="B2297" s="27" t="s">
        <v>5</v>
      </c>
      <c r="C2297" s="27" t="s">
        <v>51</v>
      </c>
      <c r="D2297" s="27" t="s">
        <v>51</v>
      </c>
      <c r="E2297" s="27" t="s">
        <v>18</v>
      </c>
      <c r="F2297" s="29">
        <v>5444</v>
      </c>
      <c r="G2297" s="30">
        <v>2.2781118124970807</v>
      </c>
    </row>
    <row r="2298" spans="1:7" hidden="1" x14ac:dyDescent="0.25">
      <c r="A2298" s="28">
        <v>43678</v>
      </c>
      <c r="B2298" s="27" t="s">
        <v>5</v>
      </c>
      <c r="C2298" s="27" t="s">
        <v>51</v>
      </c>
      <c r="D2298" s="27" t="s">
        <v>51</v>
      </c>
      <c r="E2298" s="27" t="s">
        <v>19</v>
      </c>
      <c r="F2298" s="29">
        <v>4864</v>
      </c>
      <c r="G2298" s="30">
        <v>3.2939884609171002</v>
      </c>
    </row>
    <row r="2299" spans="1:7" hidden="1" x14ac:dyDescent="0.25">
      <c r="A2299" s="28">
        <v>43678</v>
      </c>
      <c r="B2299" s="27" t="s">
        <v>5</v>
      </c>
      <c r="C2299" s="27" t="s">
        <v>51</v>
      </c>
      <c r="D2299" s="27" t="s">
        <v>51</v>
      </c>
      <c r="E2299" s="27" t="s">
        <v>20</v>
      </c>
      <c r="F2299" s="29">
        <v>128</v>
      </c>
      <c r="G2299" s="30">
        <v>102.78170344193313</v>
      </c>
    </row>
    <row r="2300" spans="1:7" hidden="1" x14ac:dyDescent="0.25">
      <c r="A2300" s="28">
        <v>43678</v>
      </c>
      <c r="B2300" s="27" t="s">
        <v>180</v>
      </c>
      <c r="C2300" s="27" t="s">
        <v>50</v>
      </c>
      <c r="D2300" s="27" t="s">
        <v>7</v>
      </c>
      <c r="E2300" s="27" t="s">
        <v>8</v>
      </c>
      <c r="F2300" s="29"/>
      <c r="G2300" s="30">
        <v>4563.33</v>
      </c>
    </row>
    <row r="2301" spans="1:7" hidden="1" x14ac:dyDescent="0.25">
      <c r="A2301" s="28">
        <v>43678</v>
      </c>
      <c r="B2301" s="27" t="s">
        <v>180</v>
      </c>
      <c r="C2301" s="27" t="s">
        <v>50</v>
      </c>
      <c r="D2301" s="27" t="s">
        <v>7</v>
      </c>
      <c r="E2301" s="27" t="s">
        <v>9</v>
      </c>
      <c r="F2301" s="29"/>
      <c r="G2301" s="30">
        <v>182.25</v>
      </c>
    </row>
    <row r="2302" spans="1:7" hidden="1" x14ac:dyDescent="0.25">
      <c r="A2302" s="28">
        <v>43678</v>
      </c>
      <c r="B2302" s="27" t="s">
        <v>180</v>
      </c>
      <c r="C2302" s="27" t="s">
        <v>50</v>
      </c>
      <c r="D2302" s="27" t="s">
        <v>7</v>
      </c>
      <c r="E2302" s="27" t="s">
        <v>64</v>
      </c>
      <c r="F2302" s="29"/>
      <c r="G2302" s="30">
        <v>3321.09</v>
      </c>
    </row>
    <row r="2303" spans="1:7" hidden="1" x14ac:dyDescent="0.25">
      <c r="A2303" s="28">
        <v>43678</v>
      </c>
      <c r="B2303" s="27" t="s">
        <v>180</v>
      </c>
      <c r="C2303" s="27" t="s">
        <v>50</v>
      </c>
      <c r="D2303" s="27" t="s">
        <v>7</v>
      </c>
      <c r="E2303" s="27" t="s">
        <v>21</v>
      </c>
      <c r="F2303" s="29"/>
      <c r="G2303" s="30">
        <v>1428</v>
      </c>
    </row>
    <row r="2304" spans="1:7" hidden="1" x14ac:dyDescent="0.25">
      <c r="A2304" s="28">
        <v>43678</v>
      </c>
      <c r="B2304" s="27" t="s">
        <v>180</v>
      </c>
      <c r="C2304" s="27" t="s">
        <v>50</v>
      </c>
      <c r="D2304" s="27" t="s">
        <v>7</v>
      </c>
      <c r="E2304" s="27" t="s">
        <v>21</v>
      </c>
      <c r="F2304" s="29"/>
      <c r="G2304" s="30">
        <v>568</v>
      </c>
    </row>
    <row r="2305" spans="1:7" hidden="1" x14ac:dyDescent="0.25">
      <c r="A2305" s="28">
        <v>43678</v>
      </c>
      <c r="B2305" s="27" t="s">
        <v>180</v>
      </c>
      <c r="C2305" s="27" t="s">
        <v>50</v>
      </c>
      <c r="D2305" s="27" t="s">
        <v>7</v>
      </c>
      <c r="E2305" s="27" t="s">
        <v>10</v>
      </c>
      <c r="F2305" s="29"/>
      <c r="G2305" s="30">
        <v>966.99</v>
      </c>
    </row>
    <row r="2306" spans="1:7" hidden="1" x14ac:dyDescent="0.25">
      <c r="A2306" s="28">
        <v>43678</v>
      </c>
      <c r="B2306" s="27" t="s">
        <v>180</v>
      </c>
      <c r="C2306" s="27" t="s">
        <v>50</v>
      </c>
      <c r="D2306" s="27" t="s">
        <v>7</v>
      </c>
      <c r="E2306" s="27" t="s">
        <v>11</v>
      </c>
      <c r="F2306" s="29"/>
      <c r="G2306" s="30">
        <v>1091.6600000000001</v>
      </c>
    </row>
    <row r="2307" spans="1:7" hidden="1" x14ac:dyDescent="0.25">
      <c r="A2307" s="28">
        <v>43678</v>
      </c>
      <c r="B2307" s="27" t="s">
        <v>180</v>
      </c>
      <c r="C2307" s="27" t="s">
        <v>50</v>
      </c>
      <c r="D2307" s="27" t="s">
        <v>7</v>
      </c>
      <c r="E2307" s="27" t="s">
        <v>12</v>
      </c>
      <c r="F2307" s="29"/>
      <c r="G2307" s="30">
        <v>326.27</v>
      </c>
    </row>
    <row r="2308" spans="1:7" hidden="1" x14ac:dyDescent="0.25">
      <c r="A2308" s="28">
        <v>43678</v>
      </c>
      <c r="B2308" s="27" t="s">
        <v>180</v>
      </c>
      <c r="C2308" s="27" t="s">
        <v>50</v>
      </c>
      <c r="D2308" s="27" t="s">
        <v>7</v>
      </c>
      <c r="E2308" s="27" t="s">
        <v>13</v>
      </c>
      <c r="F2308" s="29"/>
      <c r="G2308" s="30">
        <v>1345</v>
      </c>
    </row>
    <row r="2309" spans="1:7" hidden="1" x14ac:dyDescent="0.25">
      <c r="A2309" s="28">
        <v>43678</v>
      </c>
      <c r="B2309" s="27" t="s">
        <v>180</v>
      </c>
      <c r="C2309" s="27" t="s">
        <v>50</v>
      </c>
      <c r="D2309" s="27" t="s">
        <v>7</v>
      </c>
      <c r="E2309" s="27" t="s">
        <v>14</v>
      </c>
      <c r="F2309" s="29"/>
      <c r="G2309" s="30">
        <v>189</v>
      </c>
    </row>
    <row r="2310" spans="1:7" hidden="1" x14ac:dyDescent="0.25">
      <c r="A2310" s="28">
        <v>43678</v>
      </c>
      <c r="B2310" s="27" t="s">
        <v>180</v>
      </c>
      <c r="C2310" s="27" t="s">
        <v>50</v>
      </c>
      <c r="D2310" s="27" t="s">
        <v>7</v>
      </c>
      <c r="E2310" s="27" t="s">
        <v>17</v>
      </c>
      <c r="F2310" s="29"/>
      <c r="G2310" s="30">
        <v>542.01</v>
      </c>
    </row>
    <row r="2311" spans="1:7" hidden="1" x14ac:dyDescent="0.25">
      <c r="A2311" s="28">
        <v>43678</v>
      </c>
      <c r="B2311" s="27" t="s">
        <v>180</v>
      </c>
      <c r="C2311" s="27" t="s">
        <v>50</v>
      </c>
      <c r="D2311" s="27" t="s">
        <v>7</v>
      </c>
      <c r="E2311" s="27" t="s">
        <v>18</v>
      </c>
      <c r="F2311" s="29"/>
      <c r="G2311" s="30">
        <v>74.999999999999986</v>
      </c>
    </row>
    <row r="2312" spans="1:7" hidden="1" x14ac:dyDescent="0.25">
      <c r="A2312" s="28">
        <v>43678</v>
      </c>
      <c r="B2312" s="27" t="s">
        <v>180</v>
      </c>
      <c r="C2312" s="27" t="s">
        <v>50</v>
      </c>
      <c r="D2312" s="27" t="s">
        <v>7</v>
      </c>
      <c r="E2312" s="27" t="s">
        <v>19</v>
      </c>
      <c r="F2312" s="29"/>
      <c r="G2312" s="30">
        <v>1671</v>
      </c>
    </row>
    <row r="2313" spans="1:7" hidden="1" x14ac:dyDescent="0.25">
      <c r="A2313" s="28">
        <v>43678</v>
      </c>
      <c r="B2313" s="27" t="s">
        <v>180</v>
      </c>
      <c r="C2313" s="27" t="s">
        <v>50</v>
      </c>
      <c r="D2313" s="27" t="s">
        <v>7</v>
      </c>
      <c r="E2313" s="27" t="s">
        <v>20</v>
      </c>
      <c r="F2313" s="29"/>
      <c r="G2313" s="30">
        <v>50</v>
      </c>
    </row>
    <row r="2314" spans="1:7" hidden="1" x14ac:dyDescent="0.25">
      <c r="A2314" s="28">
        <v>43678</v>
      </c>
      <c r="B2314" s="27" t="s">
        <v>180</v>
      </c>
      <c r="C2314" s="27" t="s">
        <v>50</v>
      </c>
      <c r="D2314" s="27" t="s">
        <v>7</v>
      </c>
      <c r="E2314" s="27" t="s">
        <v>38</v>
      </c>
      <c r="F2314" s="29"/>
      <c r="G2314" s="30">
        <v>350.5</v>
      </c>
    </row>
    <row r="2315" spans="1:7" hidden="1" x14ac:dyDescent="0.25">
      <c r="A2315" s="28">
        <v>43678</v>
      </c>
      <c r="B2315" s="27" t="s">
        <v>181</v>
      </c>
      <c r="C2315" s="27" t="s">
        <v>50</v>
      </c>
      <c r="D2315" s="27" t="s">
        <v>6</v>
      </c>
      <c r="E2315" s="27" t="s">
        <v>15</v>
      </c>
      <c r="F2315" s="29"/>
      <c r="G2315" s="30">
        <v>161</v>
      </c>
    </row>
    <row r="2316" spans="1:7" hidden="1" x14ac:dyDescent="0.25">
      <c r="A2316" s="28">
        <v>43678</v>
      </c>
      <c r="B2316" s="27" t="s">
        <v>181</v>
      </c>
      <c r="C2316" s="27" t="s">
        <v>50</v>
      </c>
      <c r="D2316" s="27" t="s">
        <v>6</v>
      </c>
      <c r="E2316" s="27" t="s">
        <v>16</v>
      </c>
      <c r="F2316" s="29"/>
      <c r="G2316" s="30">
        <v>270</v>
      </c>
    </row>
    <row r="2317" spans="1:7" hidden="1" x14ac:dyDescent="0.25">
      <c r="A2317" s="28">
        <v>43678</v>
      </c>
      <c r="B2317" s="27" t="s">
        <v>181</v>
      </c>
      <c r="C2317" s="27" t="s">
        <v>50</v>
      </c>
      <c r="D2317" s="27" t="s">
        <v>6</v>
      </c>
      <c r="E2317" s="27" t="s">
        <v>18</v>
      </c>
      <c r="F2317" s="29"/>
      <c r="G2317" s="30">
        <v>86.01</v>
      </c>
    </row>
    <row r="2318" spans="1:7" hidden="1" x14ac:dyDescent="0.25">
      <c r="A2318" s="28">
        <v>43678</v>
      </c>
      <c r="B2318" s="27" t="s">
        <v>181</v>
      </c>
      <c r="C2318" s="27" t="s">
        <v>50</v>
      </c>
      <c r="D2318" s="27" t="s">
        <v>6</v>
      </c>
      <c r="E2318" s="27" t="s">
        <v>19</v>
      </c>
      <c r="F2318" s="29"/>
      <c r="G2318" s="30">
        <v>21.21</v>
      </c>
    </row>
    <row r="2319" spans="1:7" hidden="1" x14ac:dyDescent="0.25">
      <c r="A2319" s="28">
        <v>43678</v>
      </c>
      <c r="B2319" s="27" t="s">
        <v>25</v>
      </c>
      <c r="C2319" s="27" t="s">
        <v>50</v>
      </c>
      <c r="D2319" s="27" t="s">
        <v>7</v>
      </c>
      <c r="E2319" s="27" t="s">
        <v>8</v>
      </c>
      <c r="F2319" s="29"/>
      <c r="G2319" s="30">
        <v>94.633888888888876</v>
      </c>
    </row>
    <row r="2320" spans="1:7" hidden="1" x14ac:dyDescent="0.25">
      <c r="A2320" s="28">
        <v>43678</v>
      </c>
      <c r="B2320" s="27" t="s">
        <v>25</v>
      </c>
      <c r="C2320" s="27" t="s">
        <v>50</v>
      </c>
      <c r="D2320" s="27" t="s">
        <v>7</v>
      </c>
      <c r="E2320" s="27" t="s">
        <v>9</v>
      </c>
      <c r="F2320" s="29"/>
      <c r="G2320" s="30">
        <v>94.633888888888876</v>
      </c>
    </row>
    <row r="2321" spans="1:7" hidden="1" x14ac:dyDescent="0.25">
      <c r="A2321" s="28">
        <v>43678</v>
      </c>
      <c r="B2321" s="27" t="s">
        <v>25</v>
      </c>
      <c r="C2321" s="27" t="s">
        <v>50</v>
      </c>
      <c r="D2321" s="27" t="s">
        <v>7</v>
      </c>
      <c r="E2321" s="27" t="s">
        <v>64</v>
      </c>
      <c r="F2321" s="29"/>
      <c r="G2321" s="30">
        <v>94.633888888888876</v>
      </c>
    </row>
    <row r="2322" spans="1:7" hidden="1" x14ac:dyDescent="0.25">
      <c r="A2322" s="28">
        <v>43678</v>
      </c>
      <c r="B2322" s="27" t="s">
        <v>25</v>
      </c>
      <c r="C2322" s="27" t="s">
        <v>50</v>
      </c>
      <c r="D2322" s="27" t="s">
        <v>7</v>
      </c>
      <c r="E2322" s="27" t="s">
        <v>21</v>
      </c>
      <c r="F2322" s="29"/>
      <c r="G2322" s="30">
        <v>94.633888888888876</v>
      </c>
    </row>
    <row r="2323" spans="1:7" hidden="1" x14ac:dyDescent="0.25">
      <c r="A2323" s="28">
        <v>43678</v>
      </c>
      <c r="B2323" s="27" t="s">
        <v>25</v>
      </c>
      <c r="C2323" s="27" t="s">
        <v>50</v>
      </c>
      <c r="D2323" s="27" t="s">
        <v>7</v>
      </c>
      <c r="E2323" s="27" t="s">
        <v>21</v>
      </c>
      <c r="F2323" s="29"/>
      <c r="G2323" s="30">
        <v>94.633888888888876</v>
      </c>
    </row>
    <row r="2324" spans="1:7" hidden="1" x14ac:dyDescent="0.25">
      <c r="A2324" s="28">
        <v>43678</v>
      </c>
      <c r="B2324" s="27" t="s">
        <v>25</v>
      </c>
      <c r="C2324" s="27" t="s">
        <v>50</v>
      </c>
      <c r="D2324" s="27" t="s">
        <v>7</v>
      </c>
      <c r="E2324" s="27" t="s">
        <v>10</v>
      </c>
      <c r="F2324" s="29"/>
      <c r="G2324" s="30">
        <v>94.633888888888876</v>
      </c>
    </row>
    <row r="2325" spans="1:7" hidden="1" x14ac:dyDescent="0.25">
      <c r="A2325" s="28">
        <v>43678</v>
      </c>
      <c r="B2325" s="27" t="s">
        <v>25</v>
      </c>
      <c r="C2325" s="27" t="s">
        <v>50</v>
      </c>
      <c r="D2325" s="27" t="s">
        <v>7</v>
      </c>
      <c r="E2325" s="27" t="s">
        <v>11</v>
      </c>
      <c r="F2325" s="29"/>
      <c r="G2325" s="30">
        <v>94.633888888888876</v>
      </c>
    </row>
    <row r="2326" spans="1:7" hidden="1" x14ac:dyDescent="0.25">
      <c r="A2326" s="28">
        <v>43678</v>
      </c>
      <c r="B2326" s="27" t="s">
        <v>25</v>
      </c>
      <c r="C2326" s="27" t="s">
        <v>50</v>
      </c>
      <c r="D2326" s="27" t="s">
        <v>7</v>
      </c>
      <c r="E2326" s="27" t="s">
        <v>12</v>
      </c>
      <c r="F2326" s="29"/>
      <c r="G2326" s="30">
        <v>94.633888888888876</v>
      </c>
    </row>
    <row r="2327" spans="1:7" hidden="1" x14ac:dyDescent="0.25">
      <c r="A2327" s="28">
        <v>43678</v>
      </c>
      <c r="B2327" s="27" t="s">
        <v>25</v>
      </c>
      <c r="C2327" s="27" t="s">
        <v>50</v>
      </c>
      <c r="D2327" s="27" t="s">
        <v>7</v>
      </c>
      <c r="E2327" s="27" t="s">
        <v>13</v>
      </c>
      <c r="F2327" s="29"/>
      <c r="G2327" s="30">
        <v>94.633888888888876</v>
      </c>
    </row>
    <row r="2328" spans="1:7" hidden="1" x14ac:dyDescent="0.25">
      <c r="A2328" s="28">
        <v>43678</v>
      </c>
      <c r="B2328" s="27" t="s">
        <v>25</v>
      </c>
      <c r="C2328" s="27" t="s">
        <v>50</v>
      </c>
      <c r="D2328" s="27" t="s">
        <v>7</v>
      </c>
      <c r="E2328" s="27" t="s">
        <v>14</v>
      </c>
      <c r="F2328" s="29"/>
      <c r="G2328" s="30">
        <v>94.633888888888876</v>
      </c>
    </row>
    <row r="2329" spans="1:7" hidden="1" x14ac:dyDescent="0.25">
      <c r="A2329" s="28">
        <v>43678</v>
      </c>
      <c r="B2329" s="27" t="s">
        <v>25</v>
      </c>
      <c r="C2329" s="27" t="s">
        <v>50</v>
      </c>
      <c r="D2329" s="27" t="s">
        <v>7</v>
      </c>
      <c r="E2329" s="27" t="s">
        <v>15</v>
      </c>
      <c r="F2329" s="29"/>
      <c r="G2329" s="30">
        <v>94.633888888888876</v>
      </c>
    </row>
    <row r="2330" spans="1:7" hidden="1" x14ac:dyDescent="0.25">
      <c r="A2330" s="28">
        <v>43678</v>
      </c>
      <c r="B2330" s="27" t="s">
        <v>25</v>
      </c>
      <c r="C2330" s="27" t="s">
        <v>50</v>
      </c>
      <c r="D2330" s="27" t="s">
        <v>7</v>
      </c>
      <c r="E2330" s="27" t="s">
        <v>16</v>
      </c>
      <c r="F2330" s="29"/>
      <c r="G2330" s="30">
        <v>94.633888888888876</v>
      </c>
    </row>
    <row r="2331" spans="1:7" hidden="1" x14ac:dyDescent="0.25">
      <c r="A2331" s="28">
        <v>43678</v>
      </c>
      <c r="B2331" s="27" t="s">
        <v>25</v>
      </c>
      <c r="C2331" s="27" t="s">
        <v>50</v>
      </c>
      <c r="D2331" s="27" t="s">
        <v>7</v>
      </c>
      <c r="E2331" s="27" t="s">
        <v>17</v>
      </c>
      <c r="F2331" s="29"/>
      <c r="G2331" s="30">
        <v>94.633888888888876</v>
      </c>
    </row>
    <row r="2332" spans="1:7" hidden="1" x14ac:dyDescent="0.25">
      <c r="A2332" s="28">
        <v>43678</v>
      </c>
      <c r="B2332" s="27" t="s">
        <v>25</v>
      </c>
      <c r="C2332" s="27" t="s">
        <v>50</v>
      </c>
      <c r="D2332" s="27" t="s">
        <v>7</v>
      </c>
      <c r="E2332" s="27" t="s">
        <v>18</v>
      </c>
      <c r="F2332" s="29"/>
      <c r="G2332" s="30">
        <v>94.633888888888876</v>
      </c>
    </row>
    <row r="2333" spans="1:7" hidden="1" x14ac:dyDescent="0.25">
      <c r="A2333" s="28">
        <v>43678</v>
      </c>
      <c r="B2333" s="27" t="s">
        <v>25</v>
      </c>
      <c r="C2333" s="27" t="s">
        <v>50</v>
      </c>
      <c r="D2333" s="27" t="s">
        <v>7</v>
      </c>
      <c r="E2333" s="27" t="s">
        <v>19</v>
      </c>
      <c r="F2333" s="29"/>
      <c r="G2333" s="30">
        <v>94.633888888888876</v>
      </c>
    </row>
    <row r="2334" spans="1:7" hidden="1" x14ac:dyDescent="0.25">
      <c r="A2334" s="28">
        <v>43678</v>
      </c>
      <c r="B2334" s="27" t="s">
        <v>25</v>
      </c>
      <c r="C2334" s="27" t="s">
        <v>50</v>
      </c>
      <c r="D2334" s="27" t="s">
        <v>7</v>
      </c>
      <c r="E2334" s="27" t="s">
        <v>20</v>
      </c>
      <c r="F2334" s="29"/>
      <c r="G2334" s="30">
        <v>94.633888888888876</v>
      </c>
    </row>
    <row r="2335" spans="1:7" hidden="1" x14ac:dyDescent="0.25">
      <c r="A2335" s="28">
        <v>43678</v>
      </c>
      <c r="B2335" s="27" t="s">
        <v>25</v>
      </c>
      <c r="C2335" s="27" t="s">
        <v>50</v>
      </c>
      <c r="D2335" s="27" t="s">
        <v>7</v>
      </c>
      <c r="E2335" s="27" t="s">
        <v>204</v>
      </c>
      <c r="F2335" s="29"/>
      <c r="G2335" s="30">
        <v>94.633888888888876</v>
      </c>
    </row>
    <row r="2336" spans="1:7" hidden="1" x14ac:dyDescent="0.25">
      <c r="A2336" s="28">
        <v>43678</v>
      </c>
      <c r="B2336" s="27" t="s">
        <v>25</v>
      </c>
      <c r="C2336" s="27" t="s">
        <v>50</v>
      </c>
      <c r="D2336" s="27" t="s">
        <v>7</v>
      </c>
      <c r="E2336" s="27" t="s">
        <v>205</v>
      </c>
      <c r="F2336" s="29"/>
      <c r="G2336" s="30">
        <v>94.633888888888876</v>
      </c>
    </row>
    <row r="2337" spans="1:7" hidden="1" x14ac:dyDescent="0.25">
      <c r="A2337" s="28">
        <v>43678</v>
      </c>
      <c r="B2337" s="27" t="s">
        <v>2</v>
      </c>
      <c r="C2337" s="27" t="s">
        <v>50</v>
      </c>
      <c r="D2337" s="27" t="s">
        <v>7</v>
      </c>
      <c r="E2337" s="27" t="s">
        <v>8</v>
      </c>
      <c r="F2337" s="29"/>
      <c r="G2337" s="30">
        <v>1101.95</v>
      </c>
    </row>
    <row r="2338" spans="1:7" hidden="1" x14ac:dyDescent="0.25">
      <c r="A2338" s="28">
        <v>43678</v>
      </c>
      <c r="B2338" s="27" t="s">
        <v>2</v>
      </c>
      <c r="C2338" s="27" t="s">
        <v>50</v>
      </c>
      <c r="D2338" s="27" t="s">
        <v>7</v>
      </c>
      <c r="E2338" s="27" t="s">
        <v>9</v>
      </c>
      <c r="F2338" s="29"/>
      <c r="G2338" s="30">
        <v>1230.8699999999999</v>
      </c>
    </row>
    <row r="2339" spans="1:7" hidden="1" x14ac:dyDescent="0.25">
      <c r="A2339" s="28">
        <v>43678</v>
      </c>
      <c r="B2339" s="27" t="s">
        <v>2</v>
      </c>
      <c r="C2339" s="27" t="s">
        <v>50</v>
      </c>
      <c r="D2339" s="27" t="s">
        <v>7</v>
      </c>
      <c r="E2339" s="27" t="s">
        <v>64</v>
      </c>
      <c r="F2339" s="29"/>
      <c r="G2339" s="30">
        <v>1541.6399999999999</v>
      </c>
    </row>
    <row r="2340" spans="1:7" hidden="1" x14ac:dyDescent="0.25">
      <c r="A2340" s="28">
        <v>43678</v>
      </c>
      <c r="B2340" s="27" t="s">
        <v>2</v>
      </c>
      <c r="C2340" s="27" t="s">
        <v>50</v>
      </c>
      <c r="D2340" s="27" t="s">
        <v>7</v>
      </c>
      <c r="E2340" s="27" t="s">
        <v>21</v>
      </c>
      <c r="F2340" s="29"/>
      <c r="G2340" s="30">
        <v>528.54</v>
      </c>
    </row>
    <row r="2341" spans="1:7" hidden="1" x14ac:dyDescent="0.25">
      <c r="A2341" s="28">
        <v>43678</v>
      </c>
      <c r="B2341" s="27" t="s">
        <v>2</v>
      </c>
      <c r="C2341" s="27" t="s">
        <v>50</v>
      </c>
      <c r="D2341" s="27" t="s">
        <v>7</v>
      </c>
      <c r="E2341" s="27" t="s">
        <v>21</v>
      </c>
      <c r="F2341" s="29"/>
      <c r="G2341" s="30">
        <v>1460.56</v>
      </c>
    </row>
    <row r="2342" spans="1:7" hidden="1" x14ac:dyDescent="0.25">
      <c r="A2342" s="28">
        <v>43678</v>
      </c>
      <c r="B2342" s="27" t="s">
        <v>2</v>
      </c>
      <c r="C2342" s="27" t="s">
        <v>50</v>
      </c>
      <c r="D2342" s="27" t="s">
        <v>7</v>
      </c>
      <c r="E2342" s="27" t="s">
        <v>10</v>
      </c>
      <c r="F2342" s="29"/>
      <c r="G2342" s="30">
        <v>1906.06</v>
      </c>
    </row>
    <row r="2343" spans="1:7" hidden="1" x14ac:dyDescent="0.25">
      <c r="A2343" s="28">
        <v>43678</v>
      </c>
      <c r="B2343" s="27" t="s">
        <v>2</v>
      </c>
      <c r="C2343" s="27" t="s">
        <v>50</v>
      </c>
      <c r="D2343" s="27" t="s">
        <v>7</v>
      </c>
      <c r="E2343" s="27" t="s">
        <v>11</v>
      </c>
      <c r="F2343" s="29"/>
      <c r="G2343" s="30">
        <v>391.76</v>
      </c>
    </row>
    <row r="2344" spans="1:7" hidden="1" x14ac:dyDescent="0.25">
      <c r="A2344" s="28">
        <v>43678</v>
      </c>
      <c r="B2344" s="27" t="s">
        <v>2</v>
      </c>
      <c r="C2344" s="27" t="s">
        <v>50</v>
      </c>
      <c r="D2344" s="27" t="s">
        <v>7</v>
      </c>
      <c r="E2344" s="27" t="s">
        <v>12</v>
      </c>
      <c r="F2344" s="29"/>
      <c r="G2344" s="30">
        <v>502.56</v>
      </c>
    </row>
    <row r="2345" spans="1:7" hidden="1" x14ac:dyDescent="0.25">
      <c r="A2345" s="28">
        <v>43678</v>
      </c>
      <c r="B2345" s="27" t="s">
        <v>2</v>
      </c>
      <c r="C2345" s="27" t="s">
        <v>50</v>
      </c>
      <c r="D2345" s="27" t="s">
        <v>7</v>
      </c>
      <c r="E2345" s="27" t="s">
        <v>13</v>
      </c>
      <c r="F2345" s="29"/>
      <c r="G2345" s="30">
        <v>1736.83</v>
      </c>
    </row>
    <row r="2346" spans="1:7" hidden="1" x14ac:dyDescent="0.25">
      <c r="A2346" s="28">
        <v>43678</v>
      </c>
      <c r="B2346" s="27" t="s">
        <v>2</v>
      </c>
      <c r="C2346" s="27" t="s">
        <v>50</v>
      </c>
      <c r="D2346" s="27" t="s">
        <v>7</v>
      </c>
      <c r="E2346" s="27" t="s">
        <v>14</v>
      </c>
      <c r="F2346" s="29"/>
      <c r="G2346" s="30">
        <v>47.27</v>
      </c>
    </row>
    <row r="2347" spans="1:7" hidden="1" x14ac:dyDescent="0.25">
      <c r="A2347" s="28">
        <v>43678</v>
      </c>
      <c r="B2347" s="27" t="s">
        <v>2</v>
      </c>
      <c r="C2347" s="27" t="s">
        <v>50</v>
      </c>
      <c r="D2347" s="27" t="s">
        <v>7</v>
      </c>
      <c r="E2347" s="27" t="s">
        <v>15</v>
      </c>
      <c r="F2347" s="29"/>
      <c r="G2347" s="30">
        <v>1335.78</v>
      </c>
    </row>
    <row r="2348" spans="1:7" hidden="1" x14ac:dyDescent="0.25">
      <c r="A2348" s="28">
        <v>43678</v>
      </c>
      <c r="B2348" s="27" t="s">
        <v>2</v>
      </c>
      <c r="C2348" s="27" t="s">
        <v>50</v>
      </c>
      <c r="D2348" s="27" t="s">
        <v>7</v>
      </c>
      <c r="E2348" s="27" t="s">
        <v>16</v>
      </c>
      <c r="F2348" s="29"/>
      <c r="G2348" s="30">
        <v>805.22</v>
      </c>
    </row>
    <row r="2349" spans="1:7" hidden="1" x14ac:dyDescent="0.25">
      <c r="A2349" s="28">
        <v>43678</v>
      </c>
      <c r="B2349" s="27" t="s">
        <v>2</v>
      </c>
      <c r="C2349" s="27" t="s">
        <v>50</v>
      </c>
      <c r="D2349" s="27" t="s">
        <v>7</v>
      </c>
      <c r="E2349" s="27" t="s">
        <v>17</v>
      </c>
      <c r="F2349" s="29"/>
      <c r="G2349" s="30">
        <v>2271.66</v>
      </c>
    </row>
    <row r="2350" spans="1:7" hidden="1" x14ac:dyDescent="0.25">
      <c r="A2350" s="28">
        <v>43678</v>
      </c>
      <c r="B2350" s="27" t="s">
        <v>2</v>
      </c>
      <c r="C2350" s="27" t="s">
        <v>50</v>
      </c>
      <c r="D2350" s="27" t="s">
        <v>7</v>
      </c>
      <c r="E2350" s="27" t="s">
        <v>18</v>
      </c>
      <c r="F2350" s="29"/>
      <c r="G2350" s="30">
        <v>395.85</v>
      </c>
    </row>
    <row r="2351" spans="1:7" hidden="1" x14ac:dyDescent="0.25">
      <c r="A2351" s="28">
        <v>43678</v>
      </c>
      <c r="B2351" s="27" t="s">
        <v>2</v>
      </c>
      <c r="C2351" s="27" t="s">
        <v>50</v>
      </c>
      <c r="D2351" s="27" t="s">
        <v>7</v>
      </c>
      <c r="E2351" s="27" t="s">
        <v>19</v>
      </c>
      <c r="F2351" s="29"/>
      <c r="G2351" s="30">
        <v>463.62</v>
      </c>
    </row>
    <row r="2352" spans="1:7" hidden="1" x14ac:dyDescent="0.25">
      <c r="A2352" s="28">
        <v>43678</v>
      </c>
      <c r="B2352" s="27" t="s">
        <v>2</v>
      </c>
      <c r="C2352" s="27" t="s">
        <v>50</v>
      </c>
      <c r="D2352" s="27" t="s">
        <v>7</v>
      </c>
      <c r="E2352" s="27" t="s">
        <v>20</v>
      </c>
      <c r="F2352" s="29"/>
      <c r="G2352" s="30">
        <v>475.97</v>
      </c>
    </row>
    <row r="2353" spans="1:7" hidden="1" x14ac:dyDescent="0.25">
      <c r="A2353" s="28">
        <v>43678</v>
      </c>
      <c r="B2353" s="27" t="s">
        <v>2</v>
      </c>
      <c r="C2353" s="27" t="s">
        <v>50</v>
      </c>
      <c r="D2353" s="27" t="s">
        <v>7</v>
      </c>
      <c r="E2353" s="27" t="s">
        <v>38</v>
      </c>
      <c r="F2353" s="29"/>
      <c r="G2353" s="30">
        <v>26.22</v>
      </c>
    </row>
    <row r="2354" spans="1:7" hidden="1" x14ac:dyDescent="0.25">
      <c r="A2354" s="28">
        <v>43678</v>
      </c>
      <c r="B2354" s="27" t="s">
        <v>2</v>
      </c>
      <c r="C2354" s="27" t="s">
        <v>50</v>
      </c>
      <c r="D2354" s="27" t="s">
        <v>7</v>
      </c>
      <c r="E2354" s="27" t="s">
        <v>204</v>
      </c>
      <c r="F2354" s="29"/>
      <c r="G2354" s="30">
        <v>57.77</v>
      </c>
    </row>
    <row r="2355" spans="1:7" hidden="1" x14ac:dyDescent="0.25">
      <c r="A2355" s="28">
        <v>43678</v>
      </c>
      <c r="B2355" s="27" t="s">
        <v>36</v>
      </c>
      <c r="C2355" s="27" t="s">
        <v>50</v>
      </c>
      <c r="D2355" s="27" t="s">
        <v>6</v>
      </c>
      <c r="E2355" s="27" t="s">
        <v>8</v>
      </c>
      <c r="F2355" s="29"/>
      <c r="G2355" s="30">
        <v>436.62</v>
      </c>
    </row>
    <row r="2356" spans="1:7" hidden="1" x14ac:dyDescent="0.25">
      <c r="A2356" s="28">
        <v>43678</v>
      </c>
      <c r="B2356" s="27" t="s">
        <v>36</v>
      </c>
      <c r="C2356" s="27" t="s">
        <v>50</v>
      </c>
      <c r="D2356" s="27" t="s">
        <v>6</v>
      </c>
      <c r="E2356" s="27" t="s">
        <v>9</v>
      </c>
      <c r="F2356" s="29"/>
      <c r="G2356" s="30">
        <v>50.31</v>
      </c>
    </row>
    <row r="2357" spans="1:7" hidden="1" x14ac:dyDescent="0.25">
      <c r="A2357" s="28">
        <v>43678</v>
      </c>
      <c r="B2357" s="27" t="s">
        <v>36</v>
      </c>
      <c r="C2357" s="27" t="s">
        <v>50</v>
      </c>
      <c r="D2357" s="27" t="s">
        <v>6</v>
      </c>
      <c r="E2357" s="27" t="s">
        <v>64</v>
      </c>
      <c r="F2357" s="29"/>
      <c r="G2357" s="30">
        <v>50.31</v>
      </c>
    </row>
    <row r="2358" spans="1:7" hidden="1" x14ac:dyDescent="0.25">
      <c r="A2358" s="28">
        <v>43678</v>
      </c>
      <c r="B2358" s="27" t="s">
        <v>36</v>
      </c>
      <c r="C2358" s="27" t="s">
        <v>50</v>
      </c>
      <c r="D2358" s="27" t="s">
        <v>6</v>
      </c>
      <c r="E2358" s="27" t="s">
        <v>21</v>
      </c>
      <c r="F2358" s="29"/>
      <c r="G2358" s="30">
        <v>92.28</v>
      </c>
    </row>
    <row r="2359" spans="1:7" hidden="1" x14ac:dyDescent="0.25">
      <c r="A2359" s="28">
        <v>43678</v>
      </c>
      <c r="B2359" s="27" t="s">
        <v>36</v>
      </c>
      <c r="C2359" s="27" t="s">
        <v>50</v>
      </c>
      <c r="D2359" s="27" t="s">
        <v>6</v>
      </c>
      <c r="E2359" s="27" t="s">
        <v>21</v>
      </c>
      <c r="F2359" s="29"/>
      <c r="G2359" s="30">
        <v>92.28</v>
      </c>
    </row>
    <row r="2360" spans="1:7" hidden="1" x14ac:dyDescent="0.25">
      <c r="A2360" s="28">
        <v>43678</v>
      </c>
      <c r="B2360" s="27" t="s">
        <v>36</v>
      </c>
      <c r="C2360" s="27" t="s">
        <v>50</v>
      </c>
      <c r="D2360" s="27" t="s">
        <v>6</v>
      </c>
      <c r="E2360" s="27" t="s">
        <v>10</v>
      </c>
      <c r="F2360" s="29"/>
      <c r="G2360" s="30">
        <v>436.62</v>
      </c>
    </row>
    <row r="2361" spans="1:7" hidden="1" x14ac:dyDescent="0.25">
      <c r="A2361" s="28">
        <v>43678</v>
      </c>
      <c r="B2361" s="27" t="s">
        <v>36</v>
      </c>
      <c r="C2361" s="27" t="s">
        <v>50</v>
      </c>
      <c r="D2361" s="27" t="s">
        <v>6</v>
      </c>
      <c r="E2361" s="27" t="s">
        <v>11</v>
      </c>
      <c r="F2361" s="29"/>
      <c r="G2361" s="30">
        <v>78.69</v>
      </c>
    </row>
    <row r="2362" spans="1:7" hidden="1" x14ac:dyDescent="0.25">
      <c r="A2362" s="28">
        <v>43678</v>
      </c>
      <c r="B2362" s="27" t="s">
        <v>36</v>
      </c>
      <c r="C2362" s="27" t="s">
        <v>50</v>
      </c>
      <c r="D2362" s="27" t="s">
        <v>6</v>
      </c>
      <c r="E2362" s="27" t="s">
        <v>12</v>
      </c>
      <c r="F2362" s="29"/>
      <c r="G2362" s="30">
        <v>78.69</v>
      </c>
    </row>
    <row r="2363" spans="1:7" hidden="1" x14ac:dyDescent="0.25">
      <c r="A2363" s="28">
        <v>43678</v>
      </c>
      <c r="B2363" s="27" t="s">
        <v>36</v>
      </c>
      <c r="C2363" s="27" t="s">
        <v>50</v>
      </c>
      <c r="D2363" s="27" t="s">
        <v>6</v>
      </c>
      <c r="E2363" s="27" t="s">
        <v>13</v>
      </c>
      <c r="F2363" s="29"/>
      <c r="G2363" s="30">
        <v>50.31</v>
      </c>
    </row>
    <row r="2364" spans="1:7" hidden="1" x14ac:dyDescent="0.25">
      <c r="A2364" s="28">
        <v>43678</v>
      </c>
      <c r="B2364" s="27" t="s">
        <v>36</v>
      </c>
      <c r="C2364" s="27" t="s">
        <v>50</v>
      </c>
      <c r="D2364" s="27" t="s">
        <v>6</v>
      </c>
      <c r="E2364" s="27" t="s">
        <v>14</v>
      </c>
      <c r="F2364" s="29"/>
      <c r="G2364" s="30">
        <v>78.69</v>
      </c>
    </row>
    <row r="2365" spans="1:7" hidden="1" x14ac:dyDescent="0.25">
      <c r="A2365" s="28">
        <v>43678</v>
      </c>
      <c r="B2365" s="27" t="s">
        <v>36</v>
      </c>
      <c r="C2365" s="27" t="s">
        <v>50</v>
      </c>
      <c r="D2365" s="27" t="s">
        <v>6</v>
      </c>
      <c r="E2365" s="27" t="s">
        <v>15</v>
      </c>
      <c r="F2365" s="29"/>
      <c r="G2365" s="30">
        <v>50.31</v>
      </c>
    </row>
    <row r="2366" spans="1:7" hidden="1" x14ac:dyDescent="0.25">
      <c r="A2366" s="28">
        <v>43678</v>
      </c>
      <c r="B2366" s="27" t="s">
        <v>36</v>
      </c>
      <c r="C2366" s="27" t="s">
        <v>50</v>
      </c>
      <c r="D2366" s="27" t="s">
        <v>6</v>
      </c>
      <c r="E2366" s="27" t="s">
        <v>16</v>
      </c>
      <c r="F2366" s="29"/>
      <c r="G2366" s="30">
        <v>50.31</v>
      </c>
    </row>
    <row r="2367" spans="1:7" hidden="1" x14ac:dyDescent="0.25">
      <c r="A2367" s="28">
        <v>43678</v>
      </c>
      <c r="B2367" s="27" t="s">
        <v>36</v>
      </c>
      <c r="C2367" s="27" t="s">
        <v>50</v>
      </c>
      <c r="D2367" s="27" t="s">
        <v>6</v>
      </c>
      <c r="E2367" s="27" t="s">
        <v>17</v>
      </c>
      <c r="F2367" s="29"/>
      <c r="G2367" s="30">
        <v>189.34</v>
      </c>
    </row>
    <row r="2368" spans="1:7" hidden="1" x14ac:dyDescent="0.25">
      <c r="A2368" s="28">
        <v>43678</v>
      </c>
      <c r="B2368" s="27" t="s">
        <v>36</v>
      </c>
      <c r="C2368" s="27" t="s">
        <v>50</v>
      </c>
      <c r="D2368" s="27" t="s">
        <v>6</v>
      </c>
      <c r="E2368" s="27" t="s">
        <v>18</v>
      </c>
      <c r="F2368" s="29"/>
      <c r="G2368" s="30">
        <v>50.31</v>
      </c>
    </row>
    <row r="2369" spans="1:7" hidden="1" x14ac:dyDescent="0.25">
      <c r="A2369" s="28">
        <v>43678</v>
      </c>
      <c r="B2369" s="27" t="s">
        <v>36</v>
      </c>
      <c r="C2369" s="27" t="s">
        <v>50</v>
      </c>
      <c r="D2369" s="27" t="s">
        <v>6</v>
      </c>
      <c r="E2369" s="27" t="s">
        <v>19</v>
      </c>
      <c r="F2369" s="29"/>
      <c r="G2369" s="30">
        <v>50.28</v>
      </c>
    </row>
    <row r="2370" spans="1:7" hidden="1" x14ac:dyDescent="0.25">
      <c r="A2370" s="28">
        <v>43678</v>
      </c>
      <c r="B2370" s="27" t="s">
        <v>36</v>
      </c>
      <c r="C2370" s="27" t="s">
        <v>50</v>
      </c>
      <c r="D2370" s="27" t="s">
        <v>6</v>
      </c>
      <c r="E2370" s="27" t="s">
        <v>20</v>
      </c>
      <c r="F2370" s="29"/>
      <c r="G2370" s="30">
        <v>56</v>
      </c>
    </row>
    <row r="2371" spans="1:7" hidden="1" x14ac:dyDescent="0.25">
      <c r="A2371" s="28">
        <v>43678</v>
      </c>
      <c r="B2371" s="27" t="s">
        <v>200</v>
      </c>
      <c r="C2371" s="27" t="s">
        <v>53</v>
      </c>
      <c r="D2371" s="27" t="s">
        <v>6</v>
      </c>
      <c r="E2371" s="27" t="s">
        <v>8</v>
      </c>
      <c r="F2371" s="29"/>
      <c r="G2371" s="30">
        <f t="shared" ref="G2371:G2389" si="42">7538.74271111111/19</f>
        <v>396.77593216374265</v>
      </c>
    </row>
    <row r="2372" spans="1:7" hidden="1" x14ac:dyDescent="0.25">
      <c r="A2372" s="28">
        <v>43678</v>
      </c>
      <c r="B2372" s="27" t="s">
        <v>200</v>
      </c>
      <c r="C2372" s="27" t="s">
        <v>53</v>
      </c>
      <c r="D2372" s="27" t="s">
        <v>6</v>
      </c>
      <c r="E2372" s="27" t="s">
        <v>9</v>
      </c>
      <c r="F2372" s="29"/>
      <c r="G2372" s="30">
        <f t="shared" si="42"/>
        <v>396.77593216374265</v>
      </c>
    </row>
    <row r="2373" spans="1:7" hidden="1" x14ac:dyDescent="0.25">
      <c r="A2373" s="28">
        <v>43678</v>
      </c>
      <c r="B2373" s="27" t="s">
        <v>200</v>
      </c>
      <c r="C2373" s="27" t="s">
        <v>53</v>
      </c>
      <c r="D2373" s="27" t="s">
        <v>6</v>
      </c>
      <c r="E2373" s="27" t="s">
        <v>64</v>
      </c>
      <c r="F2373" s="29"/>
      <c r="G2373" s="30">
        <f t="shared" si="42"/>
        <v>396.77593216374265</v>
      </c>
    </row>
    <row r="2374" spans="1:7" hidden="1" x14ac:dyDescent="0.25">
      <c r="A2374" s="28">
        <v>43678</v>
      </c>
      <c r="B2374" s="27" t="s">
        <v>200</v>
      </c>
      <c r="C2374" s="27" t="s">
        <v>53</v>
      </c>
      <c r="D2374" s="27" t="s">
        <v>6</v>
      </c>
      <c r="E2374" s="27" t="s">
        <v>21</v>
      </c>
      <c r="F2374" s="29"/>
      <c r="G2374" s="30">
        <f t="shared" si="42"/>
        <v>396.77593216374265</v>
      </c>
    </row>
    <row r="2375" spans="1:7" hidden="1" x14ac:dyDescent="0.25">
      <c r="A2375" s="28">
        <v>43678</v>
      </c>
      <c r="B2375" s="27" t="s">
        <v>200</v>
      </c>
      <c r="C2375" s="27" t="s">
        <v>53</v>
      </c>
      <c r="D2375" s="27" t="s">
        <v>6</v>
      </c>
      <c r="E2375" s="27" t="s">
        <v>21</v>
      </c>
      <c r="F2375" s="29"/>
      <c r="G2375" s="30">
        <f t="shared" si="42"/>
        <v>396.77593216374265</v>
      </c>
    </row>
    <row r="2376" spans="1:7" hidden="1" x14ac:dyDescent="0.25">
      <c r="A2376" s="28">
        <v>43678</v>
      </c>
      <c r="B2376" s="27" t="s">
        <v>200</v>
      </c>
      <c r="C2376" s="27" t="s">
        <v>53</v>
      </c>
      <c r="D2376" s="27" t="s">
        <v>6</v>
      </c>
      <c r="E2376" s="27" t="s">
        <v>10</v>
      </c>
      <c r="F2376" s="29"/>
      <c r="G2376" s="30">
        <f t="shared" si="42"/>
        <v>396.77593216374265</v>
      </c>
    </row>
    <row r="2377" spans="1:7" hidden="1" x14ac:dyDescent="0.25">
      <c r="A2377" s="28">
        <v>43678</v>
      </c>
      <c r="B2377" s="27" t="s">
        <v>200</v>
      </c>
      <c r="C2377" s="27" t="s">
        <v>53</v>
      </c>
      <c r="D2377" s="27" t="s">
        <v>6</v>
      </c>
      <c r="E2377" s="27" t="s">
        <v>11</v>
      </c>
      <c r="F2377" s="29"/>
      <c r="G2377" s="30">
        <f t="shared" si="42"/>
        <v>396.77593216374265</v>
      </c>
    </row>
    <row r="2378" spans="1:7" hidden="1" x14ac:dyDescent="0.25">
      <c r="A2378" s="28">
        <v>43678</v>
      </c>
      <c r="B2378" s="27" t="s">
        <v>200</v>
      </c>
      <c r="C2378" s="27" t="s">
        <v>53</v>
      </c>
      <c r="D2378" s="27" t="s">
        <v>6</v>
      </c>
      <c r="E2378" s="27" t="s">
        <v>12</v>
      </c>
      <c r="F2378" s="29"/>
      <c r="G2378" s="30">
        <f t="shared" si="42"/>
        <v>396.77593216374265</v>
      </c>
    </row>
    <row r="2379" spans="1:7" hidden="1" x14ac:dyDescent="0.25">
      <c r="A2379" s="28">
        <v>43678</v>
      </c>
      <c r="B2379" s="27" t="s">
        <v>200</v>
      </c>
      <c r="C2379" s="27" t="s">
        <v>53</v>
      </c>
      <c r="D2379" s="27" t="s">
        <v>6</v>
      </c>
      <c r="E2379" s="27" t="s">
        <v>13</v>
      </c>
      <c r="F2379" s="29"/>
      <c r="G2379" s="30">
        <f t="shared" si="42"/>
        <v>396.77593216374265</v>
      </c>
    </row>
    <row r="2380" spans="1:7" hidden="1" x14ac:dyDescent="0.25">
      <c r="A2380" s="28">
        <v>43678</v>
      </c>
      <c r="B2380" s="27" t="s">
        <v>200</v>
      </c>
      <c r="C2380" s="27" t="s">
        <v>53</v>
      </c>
      <c r="D2380" s="27" t="s">
        <v>6</v>
      </c>
      <c r="E2380" s="27" t="s">
        <v>14</v>
      </c>
      <c r="F2380" s="29"/>
      <c r="G2380" s="30">
        <f t="shared" si="42"/>
        <v>396.77593216374265</v>
      </c>
    </row>
    <row r="2381" spans="1:7" hidden="1" x14ac:dyDescent="0.25">
      <c r="A2381" s="28">
        <v>43678</v>
      </c>
      <c r="B2381" s="27" t="s">
        <v>200</v>
      </c>
      <c r="C2381" s="27" t="s">
        <v>53</v>
      </c>
      <c r="D2381" s="27" t="s">
        <v>6</v>
      </c>
      <c r="E2381" s="27" t="s">
        <v>15</v>
      </c>
      <c r="F2381" s="29"/>
      <c r="G2381" s="30">
        <f t="shared" si="42"/>
        <v>396.77593216374265</v>
      </c>
    </row>
    <row r="2382" spans="1:7" hidden="1" x14ac:dyDescent="0.25">
      <c r="A2382" s="28">
        <v>43678</v>
      </c>
      <c r="B2382" s="27" t="s">
        <v>200</v>
      </c>
      <c r="C2382" s="27" t="s">
        <v>53</v>
      </c>
      <c r="D2382" s="27" t="s">
        <v>6</v>
      </c>
      <c r="E2382" s="27" t="s">
        <v>16</v>
      </c>
      <c r="F2382" s="29"/>
      <c r="G2382" s="30">
        <f t="shared" si="42"/>
        <v>396.77593216374265</v>
      </c>
    </row>
    <row r="2383" spans="1:7" hidden="1" x14ac:dyDescent="0.25">
      <c r="A2383" s="28">
        <v>43678</v>
      </c>
      <c r="B2383" s="27" t="s">
        <v>200</v>
      </c>
      <c r="C2383" s="27" t="s">
        <v>53</v>
      </c>
      <c r="D2383" s="27" t="s">
        <v>6</v>
      </c>
      <c r="E2383" s="27" t="s">
        <v>17</v>
      </c>
      <c r="F2383" s="29"/>
      <c r="G2383" s="30">
        <f t="shared" si="42"/>
        <v>396.77593216374265</v>
      </c>
    </row>
    <row r="2384" spans="1:7" hidden="1" x14ac:dyDescent="0.25">
      <c r="A2384" s="28">
        <v>43678</v>
      </c>
      <c r="B2384" s="27" t="s">
        <v>200</v>
      </c>
      <c r="C2384" s="27" t="s">
        <v>53</v>
      </c>
      <c r="D2384" s="27" t="s">
        <v>6</v>
      </c>
      <c r="E2384" s="27" t="s">
        <v>18</v>
      </c>
      <c r="F2384" s="29"/>
      <c r="G2384" s="30">
        <f t="shared" si="42"/>
        <v>396.77593216374265</v>
      </c>
    </row>
    <row r="2385" spans="1:7" hidden="1" x14ac:dyDescent="0.25">
      <c r="A2385" s="28">
        <v>43678</v>
      </c>
      <c r="B2385" s="27" t="s">
        <v>200</v>
      </c>
      <c r="C2385" s="27" t="s">
        <v>53</v>
      </c>
      <c r="D2385" s="27" t="s">
        <v>6</v>
      </c>
      <c r="E2385" s="27" t="s">
        <v>19</v>
      </c>
      <c r="F2385" s="29"/>
      <c r="G2385" s="30">
        <f t="shared" si="42"/>
        <v>396.77593216374265</v>
      </c>
    </row>
    <row r="2386" spans="1:7" hidden="1" x14ac:dyDescent="0.25">
      <c r="A2386" s="28">
        <v>43678</v>
      </c>
      <c r="B2386" s="27" t="s">
        <v>200</v>
      </c>
      <c r="C2386" s="27" t="s">
        <v>53</v>
      </c>
      <c r="D2386" s="27" t="s">
        <v>6</v>
      </c>
      <c r="E2386" s="27" t="s">
        <v>20</v>
      </c>
      <c r="F2386" s="29"/>
      <c r="G2386" s="30">
        <f t="shared" si="42"/>
        <v>396.77593216374265</v>
      </c>
    </row>
    <row r="2387" spans="1:7" hidden="1" x14ac:dyDescent="0.25">
      <c r="A2387" s="28">
        <v>43678</v>
      </c>
      <c r="B2387" s="27" t="s">
        <v>200</v>
      </c>
      <c r="C2387" s="27" t="s">
        <v>53</v>
      </c>
      <c r="D2387" s="27" t="s">
        <v>6</v>
      </c>
      <c r="E2387" s="27" t="s">
        <v>38</v>
      </c>
      <c r="F2387" s="29"/>
      <c r="G2387" s="30">
        <f t="shared" si="42"/>
        <v>396.77593216374265</v>
      </c>
    </row>
    <row r="2388" spans="1:7" hidden="1" x14ac:dyDescent="0.25">
      <c r="A2388" s="28">
        <v>43678</v>
      </c>
      <c r="B2388" s="27" t="s">
        <v>200</v>
      </c>
      <c r="C2388" s="27" t="s">
        <v>53</v>
      </c>
      <c r="D2388" s="27" t="s">
        <v>6</v>
      </c>
      <c r="E2388" s="27" t="s">
        <v>204</v>
      </c>
      <c r="F2388" s="29"/>
      <c r="G2388" s="30">
        <f t="shared" si="42"/>
        <v>396.77593216374265</v>
      </c>
    </row>
    <row r="2389" spans="1:7" hidden="1" x14ac:dyDescent="0.25">
      <c r="A2389" s="28">
        <v>43678</v>
      </c>
      <c r="B2389" s="27" t="s">
        <v>200</v>
      </c>
      <c r="C2389" s="27" t="s">
        <v>53</v>
      </c>
      <c r="D2389" s="27" t="s">
        <v>6</v>
      </c>
      <c r="E2389" s="27" t="s">
        <v>205</v>
      </c>
      <c r="F2389" s="29"/>
      <c r="G2389" s="30">
        <f t="shared" si="42"/>
        <v>396.77593216374265</v>
      </c>
    </row>
    <row r="2390" spans="1:7" hidden="1" x14ac:dyDescent="0.25">
      <c r="A2390" s="28">
        <v>43678</v>
      </c>
      <c r="B2390" s="27" t="s">
        <v>200</v>
      </c>
      <c r="C2390" s="27" t="s">
        <v>54</v>
      </c>
      <c r="D2390" s="27" t="s">
        <v>7</v>
      </c>
      <c r="E2390" s="27" t="s">
        <v>8</v>
      </c>
      <c r="F2390" s="29"/>
      <c r="G2390" s="30">
        <f t="shared" ref="G2390:G2407" si="43">935.72/18</f>
        <v>51.984444444444449</v>
      </c>
    </row>
    <row r="2391" spans="1:7" hidden="1" x14ac:dyDescent="0.25">
      <c r="A2391" s="28">
        <v>43678</v>
      </c>
      <c r="B2391" s="27" t="s">
        <v>200</v>
      </c>
      <c r="C2391" s="27" t="s">
        <v>54</v>
      </c>
      <c r="D2391" s="27" t="s">
        <v>7</v>
      </c>
      <c r="E2391" s="27" t="s">
        <v>9</v>
      </c>
      <c r="F2391" s="29"/>
      <c r="G2391" s="30">
        <f t="shared" si="43"/>
        <v>51.984444444444449</v>
      </c>
    </row>
    <row r="2392" spans="1:7" hidden="1" x14ac:dyDescent="0.25">
      <c r="A2392" s="28">
        <v>43678</v>
      </c>
      <c r="B2392" s="27" t="s">
        <v>200</v>
      </c>
      <c r="C2392" s="27" t="s">
        <v>54</v>
      </c>
      <c r="D2392" s="27" t="s">
        <v>7</v>
      </c>
      <c r="E2392" s="27" t="s">
        <v>64</v>
      </c>
      <c r="F2392" s="29"/>
      <c r="G2392" s="30">
        <f t="shared" si="43"/>
        <v>51.984444444444449</v>
      </c>
    </row>
    <row r="2393" spans="1:7" hidden="1" x14ac:dyDescent="0.25">
      <c r="A2393" s="28">
        <v>43678</v>
      </c>
      <c r="B2393" s="27" t="s">
        <v>200</v>
      </c>
      <c r="C2393" s="27" t="s">
        <v>54</v>
      </c>
      <c r="D2393" s="27" t="s">
        <v>7</v>
      </c>
      <c r="E2393" s="27" t="s">
        <v>21</v>
      </c>
      <c r="F2393" s="29"/>
      <c r="G2393" s="30">
        <f t="shared" si="43"/>
        <v>51.984444444444449</v>
      </c>
    </row>
    <row r="2394" spans="1:7" hidden="1" x14ac:dyDescent="0.25">
      <c r="A2394" s="28">
        <v>43678</v>
      </c>
      <c r="B2394" s="27" t="s">
        <v>200</v>
      </c>
      <c r="C2394" s="27" t="s">
        <v>54</v>
      </c>
      <c r="D2394" s="27" t="s">
        <v>7</v>
      </c>
      <c r="E2394" s="27" t="s">
        <v>21</v>
      </c>
      <c r="F2394" s="29"/>
      <c r="G2394" s="30">
        <f t="shared" si="43"/>
        <v>51.984444444444449</v>
      </c>
    </row>
    <row r="2395" spans="1:7" hidden="1" x14ac:dyDescent="0.25">
      <c r="A2395" s="28">
        <v>43678</v>
      </c>
      <c r="B2395" s="27" t="s">
        <v>200</v>
      </c>
      <c r="C2395" s="27" t="s">
        <v>54</v>
      </c>
      <c r="D2395" s="27" t="s">
        <v>7</v>
      </c>
      <c r="E2395" s="27" t="s">
        <v>10</v>
      </c>
      <c r="F2395" s="29"/>
      <c r="G2395" s="30">
        <f t="shared" si="43"/>
        <v>51.984444444444449</v>
      </c>
    </row>
    <row r="2396" spans="1:7" hidden="1" x14ac:dyDescent="0.25">
      <c r="A2396" s="28">
        <v>43678</v>
      </c>
      <c r="B2396" s="27" t="s">
        <v>200</v>
      </c>
      <c r="C2396" s="27" t="s">
        <v>54</v>
      </c>
      <c r="D2396" s="27" t="s">
        <v>7</v>
      </c>
      <c r="E2396" s="27" t="s">
        <v>11</v>
      </c>
      <c r="F2396" s="29"/>
      <c r="G2396" s="30">
        <f t="shared" si="43"/>
        <v>51.984444444444449</v>
      </c>
    </row>
    <row r="2397" spans="1:7" hidden="1" x14ac:dyDescent="0.25">
      <c r="A2397" s="28">
        <v>43678</v>
      </c>
      <c r="B2397" s="27" t="s">
        <v>200</v>
      </c>
      <c r="C2397" s="27" t="s">
        <v>54</v>
      </c>
      <c r="D2397" s="27" t="s">
        <v>7</v>
      </c>
      <c r="E2397" s="27" t="s">
        <v>12</v>
      </c>
      <c r="F2397" s="29"/>
      <c r="G2397" s="30">
        <f t="shared" si="43"/>
        <v>51.984444444444449</v>
      </c>
    </row>
    <row r="2398" spans="1:7" hidden="1" x14ac:dyDescent="0.25">
      <c r="A2398" s="28">
        <v>43678</v>
      </c>
      <c r="B2398" s="27" t="s">
        <v>200</v>
      </c>
      <c r="C2398" s="27" t="s">
        <v>54</v>
      </c>
      <c r="D2398" s="27" t="s">
        <v>7</v>
      </c>
      <c r="E2398" s="27" t="s">
        <v>13</v>
      </c>
      <c r="F2398" s="29"/>
      <c r="G2398" s="30">
        <f t="shared" si="43"/>
        <v>51.984444444444449</v>
      </c>
    </row>
    <row r="2399" spans="1:7" hidden="1" x14ac:dyDescent="0.25">
      <c r="A2399" s="28">
        <v>43678</v>
      </c>
      <c r="B2399" s="27" t="s">
        <v>200</v>
      </c>
      <c r="C2399" s="27" t="s">
        <v>54</v>
      </c>
      <c r="D2399" s="27" t="s">
        <v>7</v>
      </c>
      <c r="E2399" s="27" t="s">
        <v>14</v>
      </c>
      <c r="F2399" s="29"/>
      <c r="G2399" s="30">
        <f t="shared" si="43"/>
        <v>51.984444444444449</v>
      </c>
    </row>
    <row r="2400" spans="1:7" hidden="1" x14ac:dyDescent="0.25">
      <c r="A2400" s="28">
        <v>43678</v>
      </c>
      <c r="B2400" s="27" t="s">
        <v>200</v>
      </c>
      <c r="C2400" s="27" t="s">
        <v>54</v>
      </c>
      <c r="D2400" s="27" t="s">
        <v>7</v>
      </c>
      <c r="E2400" s="27" t="s">
        <v>15</v>
      </c>
      <c r="F2400" s="29"/>
      <c r="G2400" s="30">
        <f t="shared" si="43"/>
        <v>51.984444444444449</v>
      </c>
    </row>
    <row r="2401" spans="1:7" hidden="1" x14ac:dyDescent="0.25">
      <c r="A2401" s="28">
        <v>43678</v>
      </c>
      <c r="B2401" s="27" t="s">
        <v>200</v>
      </c>
      <c r="C2401" s="27" t="s">
        <v>54</v>
      </c>
      <c r="D2401" s="27" t="s">
        <v>7</v>
      </c>
      <c r="E2401" s="27" t="s">
        <v>16</v>
      </c>
      <c r="F2401" s="29"/>
      <c r="G2401" s="30">
        <f t="shared" si="43"/>
        <v>51.984444444444449</v>
      </c>
    </row>
    <row r="2402" spans="1:7" hidden="1" x14ac:dyDescent="0.25">
      <c r="A2402" s="28">
        <v>43678</v>
      </c>
      <c r="B2402" s="27" t="s">
        <v>200</v>
      </c>
      <c r="C2402" s="27" t="s">
        <v>54</v>
      </c>
      <c r="D2402" s="27" t="s">
        <v>7</v>
      </c>
      <c r="E2402" s="27" t="s">
        <v>17</v>
      </c>
      <c r="F2402" s="29"/>
      <c r="G2402" s="30">
        <f t="shared" si="43"/>
        <v>51.984444444444449</v>
      </c>
    </row>
    <row r="2403" spans="1:7" hidden="1" x14ac:dyDescent="0.25">
      <c r="A2403" s="28">
        <v>43678</v>
      </c>
      <c r="B2403" s="27" t="s">
        <v>200</v>
      </c>
      <c r="C2403" s="27" t="s">
        <v>54</v>
      </c>
      <c r="D2403" s="27" t="s">
        <v>7</v>
      </c>
      <c r="E2403" s="27" t="s">
        <v>18</v>
      </c>
      <c r="F2403" s="29"/>
      <c r="G2403" s="30">
        <f t="shared" si="43"/>
        <v>51.984444444444449</v>
      </c>
    </row>
    <row r="2404" spans="1:7" hidden="1" x14ac:dyDescent="0.25">
      <c r="A2404" s="28">
        <v>43678</v>
      </c>
      <c r="B2404" s="27" t="s">
        <v>200</v>
      </c>
      <c r="C2404" s="27" t="s">
        <v>54</v>
      </c>
      <c r="D2404" s="27" t="s">
        <v>7</v>
      </c>
      <c r="E2404" s="27" t="s">
        <v>19</v>
      </c>
      <c r="F2404" s="29"/>
      <c r="G2404" s="30">
        <f t="shared" si="43"/>
        <v>51.984444444444449</v>
      </c>
    </row>
    <row r="2405" spans="1:7" hidden="1" x14ac:dyDescent="0.25">
      <c r="A2405" s="28">
        <v>43678</v>
      </c>
      <c r="B2405" s="27" t="s">
        <v>200</v>
      </c>
      <c r="C2405" s="27" t="s">
        <v>54</v>
      </c>
      <c r="D2405" s="27" t="s">
        <v>7</v>
      </c>
      <c r="E2405" s="27" t="s">
        <v>20</v>
      </c>
      <c r="F2405" s="29"/>
      <c r="G2405" s="30">
        <f t="shared" si="43"/>
        <v>51.984444444444449</v>
      </c>
    </row>
    <row r="2406" spans="1:7" hidden="1" x14ac:dyDescent="0.25">
      <c r="A2406" s="28">
        <v>43678</v>
      </c>
      <c r="B2406" s="27" t="s">
        <v>200</v>
      </c>
      <c r="C2406" s="27" t="s">
        <v>54</v>
      </c>
      <c r="D2406" s="27" t="s">
        <v>7</v>
      </c>
      <c r="E2406" s="27" t="s">
        <v>204</v>
      </c>
      <c r="F2406" s="29"/>
      <c r="G2406" s="30">
        <f t="shared" si="43"/>
        <v>51.984444444444449</v>
      </c>
    </row>
    <row r="2407" spans="1:7" hidden="1" x14ac:dyDescent="0.25">
      <c r="A2407" s="28">
        <v>43678</v>
      </c>
      <c r="B2407" s="27" t="s">
        <v>200</v>
      </c>
      <c r="C2407" s="27" t="s">
        <v>54</v>
      </c>
      <c r="D2407" s="27" t="s">
        <v>7</v>
      </c>
      <c r="E2407" s="27" t="s">
        <v>37</v>
      </c>
      <c r="F2407" s="29"/>
      <c r="G2407" s="30">
        <f t="shared" si="43"/>
        <v>51.984444444444449</v>
      </c>
    </row>
    <row r="2408" spans="1:7" hidden="1" x14ac:dyDescent="0.25">
      <c r="A2408" s="28">
        <v>43678</v>
      </c>
      <c r="B2408" s="27" t="s">
        <v>200</v>
      </c>
      <c r="C2408" s="27" t="s">
        <v>55</v>
      </c>
      <c r="D2408" s="27" t="s">
        <v>6</v>
      </c>
      <c r="E2408" s="27" t="s">
        <v>8</v>
      </c>
      <c r="F2408" s="29"/>
      <c r="G2408" s="30">
        <f t="shared" ref="G2408:G2426" si="44">20231.3643555556/19</f>
        <v>1064.8086502924</v>
      </c>
    </row>
    <row r="2409" spans="1:7" hidden="1" x14ac:dyDescent="0.25">
      <c r="A2409" s="28">
        <v>43678</v>
      </c>
      <c r="B2409" s="27" t="s">
        <v>200</v>
      </c>
      <c r="C2409" s="27" t="s">
        <v>55</v>
      </c>
      <c r="D2409" s="27" t="s">
        <v>6</v>
      </c>
      <c r="E2409" s="27" t="s">
        <v>9</v>
      </c>
      <c r="F2409" s="29"/>
      <c r="G2409" s="30">
        <f t="shared" si="44"/>
        <v>1064.8086502924</v>
      </c>
    </row>
    <row r="2410" spans="1:7" hidden="1" x14ac:dyDescent="0.25">
      <c r="A2410" s="28">
        <v>43678</v>
      </c>
      <c r="B2410" s="27" t="s">
        <v>200</v>
      </c>
      <c r="C2410" s="27" t="s">
        <v>55</v>
      </c>
      <c r="D2410" s="27" t="s">
        <v>6</v>
      </c>
      <c r="E2410" s="27" t="s">
        <v>64</v>
      </c>
      <c r="F2410" s="29"/>
      <c r="G2410" s="30">
        <f t="shared" si="44"/>
        <v>1064.8086502924</v>
      </c>
    </row>
    <row r="2411" spans="1:7" hidden="1" x14ac:dyDescent="0.25">
      <c r="A2411" s="28">
        <v>43678</v>
      </c>
      <c r="B2411" s="27" t="s">
        <v>200</v>
      </c>
      <c r="C2411" s="27" t="s">
        <v>55</v>
      </c>
      <c r="D2411" s="27" t="s">
        <v>6</v>
      </c>
      <c r="E2411" s="27" t="s">
        <v>21</v>
      </c>
      <c r="F2411" s="29"/>
      <c r="G2411" s="30">
        <f t="shared" si="44"/>
        <v>1064.8086502924</v>
      </c>
    </row>
    <row r="2412" spans="1:7" hidden="1" x14ac:dyDescent="0.25">
      <c r="A2412" s="28">
        <v>43678</v>
      </c>
      <c r="B2412" s="27" t="s">
        <v>200</v>
      </c>
      <c r="C2412" s="27" t="s">
        <v>55</v>
      </c>
      <c r="D2412" s="27" t="s">
        <v>6</v>
      </c>
      <c r="E2412" s="27" t="s">
        <v>21</v>
      </c>
      <c r="F2412" s="29"/>
      <c r="G2412" s="30">
        <f t="shared" si="44"/>
        <v>1064.8086502924</v>
      </c>
    </row>
    <row r="2413" spans="1:7" hidden="1" x14ac:dyDescent="0.25">
      <c r="A2413" s="28">
        <v>43678</v>
      </c>
      <c r="B2413" s="27" t="s">
        <v>200</v>
      </c>
      <c r="C2413" s="27" t="s">
        <v>55</v>
      </c>
      <c r="D2413" s="27" t="s">
        <v>6</v>
      </c>
      <c r="E2413" s="27" t="s">
        <v>10</v>
      </c>
      <c r="F2413" s="29"/>
      <c r="G2413" s="30">
        <f t="shared" si="44"/>
        <v>1064.8086502924</v>
      </c>
    </row>
    <row r="2414" spans="1:7" hidden="1" x14ac:dyDescent="0.25">
      <c r="A2414" s="28">
        <v>43678</v>
      </c>
      <c r="B2414" s="27" t="s">
        <v>200</v>
      </c>
      <c r="C2414" s="27" t="s">
        <v>55</v>
      </c>
      <c r="D2414" s="27" t="s">
        <v>6</v>
      </c>
      <c r="E2414" s="27" t="s">
        <v>11</v>
      </c>
      <c r="F2414" s="29"/>
      <c r="G2414" s="30">
        <f t="shared" si="44"/>
        <v>1064.8086502924</v>
      </c>
    </row>
    <row r="2415" spans="1:7" hidden="1" x14ac:dyDescent="0.25">
      <c r="A2415" s="28">
        <v>43678</v>
      </c>
      <c r="B2415" s="27" t="s">
        <v>200</v>
      </c>
      <c r="C2415" s="27" t="s">
        <v>55</v>
      </c>
      <c r="D2415" s="27" t="s">
        <v>6</v>
      </c>
      <c r="E2415" s="27" t="s">
        <v>12</v>
      </c>
      <c r="F2415" s="29"/>
      <c r="G2415" s="30">
        <f t="shared" si="44"/>
        <v>1064.8086502924</v>
      </c>
    </row>
    <row r="2416" spans="1:7" hidden="1" x14ac:dyDescent="0.25">
      <c r="A2416" s="28">
        <v>43678</v>
      </c>
      <c r="B2416" s="27" t="s">
        <v>200</v>
      </c>
      <c r="C2416" s="27" t="s">
        <v>55</v>
      </c>
      <c r="D2416" s="27" t="s">
        <v>6</v>
      </c>
      <c r="E2416" s="27" t="s">
        <v>13</v>
      </c>
      <c r="F2416" s="29"/>
      <c r="G2416" s="30">
        <f t="shared" si="44"/>
        <v>1064.8086502924</v>
      </c>
    </row>
    <row r="2417" spans="1:7" hidden="1" x14ac:dyDescent="0.25">
      <c r="A2417" s="28">
        <v>43678</v>
      </c>
      <c r="B2417" s="27" t="s">
        <v>200</v>
      </c>
      <c r="C2417" s="27" t="s">
        <v>55</v>
      </c>
      <c r="D2417" s="27" t="s">
        <v>6</v>
      </c>
      <c r="E2417" s="27" t="s">
        <v>14</v>
      </c>
      <c r="F2417" s="29"/>
      <c r="G2417" s="30">
        <f t="shared" si="44"/>
        <v>1064.8086502924</v>
      </c>
    </row>
    <row r="2418" spans="1:7" hidden="1" x14ac:dyDescent="0.25">
      <c r="A2418" s="28">
        <v>43678</v>
      </c>
      <c r="B2418" s="27" t="s">
        <v>200</v>
      </c>
      <c r="C2418" s="27" t="s">
        <v>55</v>
      </c>
      <c r="D2418" s="27" t="s">
        <v>6</v>
      </c>
      <c r="E2418" s="27" t="s">
        <v>15</v>
      </c>
      <c r="F2418" s="29"/>
      <c r="G2418" s="30">
        <f t="shared" si="44"/>
        <v>1064.8086502924</v>
      </c>
    </row>
    <row r="2419" spans="1:7" hidden="1" x14ac:dyDescent="0.25">
      <c r="A2419" s="28">
        <v>43678</v>
      </c>
      <c r="B2419" s="27" t="s">
        <v>200</v>
      </c>
      <c r="C2419" s="27" t="s">
        <v>55</v>
      </c>
      <c r="D2419" s="27" t="s">
        <v>6</v>
      </c>
      <c r="E2419" s="27" t="s">
        <v>16</v>
      </c>
      <c r="F2419" s="29"/>
      <c r="G2419" s="30">
        <f t="shared" si="44"/>
        <v>1064.8086502924</v>
      </c>
    </row>
    <row r="2420" spans="1:7" hidden="1" x14ac:dyDescent="0.25">
      <c r="A2420" s="28">
        <v>43678</v>
      </c>
      <c r="B2420" s="27" t="s">
        <v>200</v>
      </c>
      <c r="C2420" s="27" t="s">
        <v>55</v>
      </c>
      <c r="D2420" s="27" t="s">
        <v>6</v>
      </c>
      <c r="E2420" s="27" t="s">
        <v>17</v>
      </c>
      <c r="F2420" s="29"/>
      <c r="G2420" s="30">
        <f t="shared" si="44"/>
        <v>1064.8086502924</v>
      </c>
    </row>
    <row r="2421" spans="1:7" hidden="1" x14ac:dyDescent="0.25">
      <c r="A2421" s="28">
        <v>43678</v>
      </c>
      <c r="B2421" s="27" t="s">
        <v>200</v>
      </c>
      <c r="C2421" s="27" t="s">
        <v>55</v>
      </c>
      <c r="D2421" s="27" t="s">
        <v>6</v>
      </c>
      <c r="E2421" s="27" t="s">
        <v>18</v>
      </c>
      <c r="F2421" s="29"/>
      <c r="G2421" s="30">
        <f t="shared" si="44"/>
        <v>1064.8086502924</v>
      </c>
    </row>
    <row r="2422" spans="1:7" hidden="1" x14ac:dyDescent="0.25">
      <c r="A2422" s="28">
        <v>43678</v>
      </c>
      <c r="B2422" s="27" t="s">
        <v>200</v>
      </c>
      <c r="C2422" s="27" t="s">
        <v>55</v>
      </c>
      <c r="D2422" s="27" t="s">
        <v>6</v>
      </c>
      <c r="E2422" s="27" t="s">
        <v>19</v>
      </c>
      <c r="F2422" s="29"/>
      <c r="G2422" s="30">
        <f t="shared" si="44"/>
        <v>1064.8086502924</v>
      </c>
    </row>
    <row r="2423" spans="1:7" hidden="1" x14ac:dyDescent="0.25">
      <c r="A2423" s="28">
        <v>43678</v>
      </c>
      <c r="B2423" s="27" t="s">
        <v>200</v>
      </c>
      <c r="C2423" s="27" t="s">
        <v>55</v>
      </c>
      <c r="D2423" s="27" t="s">
        <v>6</v>
      </c>
      <c r="E2423" s="27" t="s">
        <v>20</v>
      </c>
      <c r="F2423" s="29"/>
      <c r="G2423" s="30">
        <f t="shared" si="44"/>
        <v>1064.8086502924</v>
      </c>
    </row>
    <row r="2424" spans="1:7" hidden="1" x14ac:dyDescent="0.25">
      <c r="A2424" s="28">
        <v>43678</v>
      </c>
      <c r="B2424" s="27" t="s">
        <v>200</v>
      </c>
      <c r="C2424" s="27" t="s">
        <v>55</v>
      </c>
      <c r="D2424" s="27" t="s">
        <v>6</v>
      </c>
      <c r="E2424" s="27" t="s">
        <v>38</v>
      </c>
      <c r="F2424" s="29"/>
      <c r="G2424" s="30">
        <f t="shared" si="44"/>
        <v>1064.8086502924</v>
      </c>
    </row>
    <row r="2425" spans="1:7" hidden="1" x14ac:dyDescent="0.25">
      <c r="A2425" s="28">
        <v>43678</v>
      </c>
      <c r="B2425" s="27" t="s">
        <v>200</v>
      </c>
      <c r="C2425" s="27" t="s">
        <v>55</v>
      </c>
      <c r="D2425" s="27" t="s">
        <v>6</v>
      </c>
      <c r="E2425" s="27" t="s">
        <v>204</v>
      </c>
      <c r="F2425" s="29"/>
      <c r="G2425" s="30">
        <f t="shared" si="44"/>
        <v>1064.8086502924</v>
      </c>
    </row>
    <row r="2426" spans="1:7" hidden="1" x14ac:dyDescent="0.25">
      <c r="A2426" s="28">
        <v>43678</v>
      </c>
      <c r="B2426" s="27" t="s">
        <v>200</v>
      </c>
      <c r="C2426" s="27" t="s">
        <v>55</v>
      </c>
      <c r="D2426" s="27" t="s">
        <v>6</v>
      </c>
      <c r="E2426" s="27" t="s">
        <v>205</v>
      </c>
      <c r="F2426" s="29"/>
      <c r="G2426" s="30">
        <f t="shared" si="44"/>
        <v>1064.8086502924</v>
      </c>
    </row>
    <row r="2427" spans="1:7" hidden="1" x14ac:dyDescent="0.25">
      <c r="A2427" s="28">
        <v>43678</v>
      </c>
      <c r="B2427" s="27" t="s">
        <v>200</v>
      </c>
      <c r="C2427" s="27" t="s">
        <v>183</v>
      </c>
      <c r="D2427" s="27" t="s">
        <v>7</v>
      </c>
      <c r="E2427" s="27" t="s">
        <v>8</v>
      </c>
      <c r="F2427" s="29"/>
      <c r="G2427" s="30">
        <f t="shared" ref="G2427:G2444" si="45">4246.53/18</f>
        <v>235.91833333333332</v>
      </c>
    </row>
    <row r="2428" spans="1:7" hidden="1" x14ac:dyDescent="0.25">
      <c r="A2428" s="28">
        <v>43678</v>
      </c>
      <c r="B2428" s="27" t="s">
        <v>200</v>
      </c>
      <c r="C2428" s="27" t="s">
        <v>183</v>
      </c>
      <c r="D2428" s="27" t="s">
        <v>7</v>
      </c>
      <c r="E2428" s="27" t="s">
        <v>9</v>
      </c>
      <c r="F2428" s="29"/>
      <c r="G2428" s="30">
        <f t="shared" si="45"/>
        <v>235.91833333333332</v>
      </c>
    </row>
    <row r="2429" spans="1:7" hidden="1" x14ac:dyDescent="0.25">
      <c r="A2429" s="28">
        <v>43678</v>
      </c>
      <c r="B2429" s="27" t="s">
        <v>200</v>
      </c>
      <c r="C2429" s="27" t="s">
        <v>183</v>
      </c>
      <c r="D2429" s="27" t="s">
        <v>7</v>
      </c>
      <c r="E2429" s="27" t="s">
        <v>64</v>
      </c>
      <c r="F2429" s="29"/>
      <c r="G2429" s="30">
        <f t="shared" si="45"/>
        <v>235.91833333333332</v>
      </c>
    </row>
    <row r="2430" spans="1:7" hidden="1" x14ac:dyDescent="0.25">
      <c r="A2430" s="28">
        <v>43678</v>
      </c>
      <c r="B2430" s="27" t="s">
        <v>200</v>
      </c>
      <c r="C2430" s="27" t="s">
        <v>183</v>
      </c>
      <c r="D2430" s="27" t="s">
        <v>7</v>
      </c>
      <c r="E2430" s="27" t="s">
        <v>21</v>
      </c>
      <c r="F2430" s="29"/>
      <c r="G2430" s="30">
        <f t="shared" si="45"/>
        <v>235.91833333333332</v>
      </c>
    </row>
    <row r="2431" spans="1:7" hidden="1" x14ac:dyDescent="0.25">
      <c r="A2431" s="28">
        <v>43678</v>
      </c>
      <c r="B2431" s="27" t="s">
        <v>200</v>
      </c>
      <c r="C2431" s="27" t="s">
        <v>183</v>
      </c>
      <c r="D2431" s="27" t="s">
        <v>7</v>
      </c>
      <c r="E2431" s="27" t="s">
        <v>21</v>
      </c>
      <c r="F2431" s="29"/>
      <c r="G2431" s="30">
        <f t="shared" si="45"/>
        <v>235.91833333333332</v>
      </c>
    </row>
    <row r="2432" spans="1:7" hidden="1" x14ac:dyDescent="0.25">
      <c r="A2432" s="28">
        <v>43678</v>
      </c>
      <c r="B2432" s="27" t="s">
        <v>200</v>
      </c>
      <c r="C2432" s="27" t="s">
        <v>183</v>
      </c>
      <c r="D2432" s="27" t="s">
        <v>7</v>
      </c>
      <c r="E2432" s="27" t="s">
        <v>10</v>
      </c>
      <c r="F2432" s="29"/>
      <c r="G2432" s="30">
        <f t="shared" si="45"/>
        <v>235.91833333333332</v>
      </c>
    </row>
    <row r="2433" spans="1:7" hidden="1" x14ac:dyDescent="0.25">
      <c r="A2433" s="28">
        <v>43678</v>
      </c>
      <c r="B2433" s="27" t="s">
        <v>200</v>
      </c>
      <c r="C2433" s="27" t="s">
        <v>183</v>
      </c>
      <c r="D2433" s="27" t="s">
        <v>7</v>
      </c>
      <c r="E2433" s="27" t="s">
        <v>11</v>
      </c>
      <c r="F2433" s="29"/>
      <c r="G2433" s="30">
        <f t="shared" si="45"/>
        <v>235.91833333333332</v>
      </c>
    </row>
    <row r="2434" spans="1:7" hidden="1" x14ac:dyDescent="0.25">
      <c r="A2434" s="28">
        <v>43678</v>
      </c>
      <c r="B2434" s="27" t="s">
        <v>200</v>
      </c>
      <c r="C2434" s="27" t="s">
        <v>183</v>
      </c>
      <c r="D2434" s="27" t="s">
        <v>7</v>
      </c>
      <c r="E2434" s="27" t="s">
        <v>12</v>
      </c>
      <c r="F2434" s="29"/>
      <c r="G2434" s="30">
        <f t="shared" si="45"/>
        <v>235.91833333333332</v>
      </c>
    </row>
    <row r="2435" spans="1:7" hidden="1" x14ac:dyDescent="0.25">
      <c r="A2435" s="28">
        <v>43678</v>
      </c>
      <c r="B2435" s="27" t="s">
        <v>200</v>
      </c>
      <c r="C2435" s="27" t="s">
        <v>183</v>
      </c>
      <c r="D2435" s="27" t="s">
        <v>7</v>
      </c>
      <c r="E2435" s="27" t="s">
        <v>13</v>
      </c>
      <c r="F2435" s="29"/>
      <c r="G2435" s="30">
        <f t="shared" si="45"/>
        <v>235.91833333333332</v>
      </c>
    </row>
    <row r="2436" spans="1:7" hidden="1" x14ac:dyDescent="0.25">
      <c r="A2436" s="28">
        <v>43678</v>
      </c>
      <c r="B2436" s="27" t="s">
        <v>200</v>
      </c>
      <c r="C2436" s="27" t="s">
        <v>183</v>
      </c>
      <c r="D2436" s="27" t="s">
        <v>7</v>
      </c>
      <c r="E2436" s="27" t="s">
        <v>14</v>
      </c>
      <c r="F2436" s="29"/>
      <c r="G2436" s="30">
        <f t="shared" si="45"/>
        <v>235.91833333333332</v>
      </c>
    </row>
    <row r="2437" spans="1:7" hidden="1" x14ac:dyDescent="0.25">
      <c r="A2437" s="28">
        <v>43678</v>
      </c>
      <c r="B2437" s="27" t="s">
        <v>200</v>
      </c>
      <c r="C2437" s="27" t="s">
        <v>183</v>
      </c>
      <c r="D2437" s="27" t="s">
        <v>7</v>
      </c>
      <c r="E2437" s="27" t="s">
        <v>15</v>
      </c>
      <c r="F2437" s="29"/>
      <c r="G2437" s="30">
        <f t="shared" si="45"/>
        <v>235.91833333333332</v>
      </c>
    </row>
    <row r="2438" spans="1:7" hidden="1" x14ac:dyDescent="0.25">
      <c r="A2438" s="28">
        <v>43678</v>
      </c>
      <c r="B2438" s="27" t="s">
        <v>200</v>
      </c>
      <c r="C2438" s="27" t="s">
        <v>183</v>
      </c>
      <c r="D2438" s="27" t="s">
        <v>7</v>
      </c>
      <c r="E2438" s="27" t="s">
        <v>16</v>
      </c>
      <c r="F2438" s="29"/>
      <c r="G2438" s="30">
        <f t="shared" si="45"/>
        <v>235.91833333333332</v>
      </c>
    </row>
    <row r="2439" spans="1:7" hidden="1" x14ac:dyDescent="0.25">
      <c r="A2439" s="28">
        <v>43678</v>
      </c>
      <c r="B2439" s="27" t="s">
        <v>200</v>
      </c>
      <c r="C2439" s="27" t="s">
        <v>183</v>
      </c>
      <c r="D2439" s="27" t="s">
        <v>7</v>
      </c>
      <c r="E2439" s="27" t="s">
        <v>17</v>
      </c>
      <c r="F2439" s="29"/>
      <c r="G2439" s="30">
        <f t="shared" si="45"/>
        <v>235.91833333333332</v>
      </c>
    </row>
    <row r="2440" spans="1:7" hidden="1" x14ac:dyDescent="0.25">
      <c r="A2440" s="28">
        <v>43678</v>
      </c>
      <c r="B2440" s="27" t="s">
        <v>200</v>
      </c>
      <c r="C2440" s="27" t="s">
        <v>183</v>
      </c>
      <c r="D2440" s="27" t="s">
        <v>7</v>
      </c>
      <c r="E2440" s="27" t="s">
        <v>18</v>
      </c>
      <c r="F2440" s="29"/>
      <c r="G2440" s="30">
        <f t="shared" si="45"/>
        <v>235.91833333333332</v>
      </c>
    </row>
    <row r="2441" spans="1:7" hidden="1" x14ac:dyDescent="0.25">
      <c r="A2441" s="28">
        <v>43678</v>
      </c>
      <c r="B2441" s="27" t="s">
        <v>200</v>
      </c>
      <c r="C2441" s="27" t="s">
        <v>183</v>
      </c>
      <c r="D2441" s="27" t="s">
        <v>7</v>
      </c>
      <c r="E2441" s="27" t="s">
        <v>19</v>
      </c>
      <c r="F2441" s="29"/>
      <c r="G2441" s="30">
        <f t="shared" si="45"/>
        <v>235.91833333333332</v>
      </c>
    </row>
    <row r="2442" spans="1:7" hidden="1" x14ac:dyDescent="0.25">
      <c r="A2442" s="28">
        <v>43678</v>
      </c>
      <c r="B2442" s="27" t="s">
        <v>200</v>
      </c>
      <c r="C2442" s="27" t="s">
        <v>183</v>
      </c>
      <c r="D2442" s="27" t="s">
        <v>7</v>
      </c>
      <c r="E2442" s="27" t="s">
        <v>20</v>
      </c>
      <c r="F2442" s="29"/>
      <c r="G2442" s="30">
        <f t="shared" si="45"/>
        <v>235.91833333333332</v>
      </c>
    </row>
    <row r="2443" spans="1:7" hidden="1" x14ac:dyDescent="0.25">
      <c r="A2443" s="28">
        <v>43678</v>
      </c>
      <c r="B2443" s="27" t="s">
        <v>200</v>
      </c>
      <c r="C2443" s="27" t="s">
        <v>183</v>
      </c>
      <c r="D2443" s="27" t="s">
        <v>7</v>
      </c>
      <c r="E2443" s="27" t="s">
        <v>204</v>
      </c>
      <c r="F2443" s="29"/>
      <c r="G2443" s="30">
        <f t="shared" si="45"/>
        <v>235.91833333333332</v>
      </c>
    </row>
    <row r="2444" spans="1:7" hidden="1" x14ac:dyDescent="0.25">
      <c r="A2444" s="28">
        <v>43678</v>
      </c>
      <c r="B2444" s="27" t="s">
        <v>200</v>
      </c>
      <c r="C2444" s="27" t="s">
        <v>183</v>
      </c>
      <c r="D2444" s="27" t="s">
        <v>7</v>
      </c>
      <c r="E2444" s="27" t="s">
        <v>37</v>
      </c>
      <c r="F2444" s="29"/>
      <c r="G2444" s="30">
        <f t="shared" si="45"/>
        <v>235.91833333333332</v>
      </c>
    </row>
    <row r="2445" spans="1:7" hidden="1" x14ac:dyDescent="0.25">
      <c r="A2445" s="28">
        <v>43678</v>
      </c>
      <c r="B2445" s="27" t="s">
        <v>200</v>
      </c>
      <c r="C2445" s="27" t="s">
        <v>56</v>
      </c>
      <c r="D2445" s="27" t="s">
        <v>6</v>
      </c>
      <c r="E2445" s="27" t="s">
        <v>8</v>
      </c>
      <c r="F2445" s="29"/>
      <c r="G2445" s="30">
        <f t="shared" ref="G2445:G2463" si="46">38126.5929777778/19</f>
        <v>2006.6627883040946</v>
      </c>
    </row>
    <row r="2446" spans="1:7" hidden="1" x14ac:dyDescent="0.25">
      <c r="A2446" s="28">
        <v>43678</v>
      </c>
      <c r="B2446" s="27" t="s">
        <v>200</v>
      </c>
      <c r="C2446" s="27" t="s">
        <v>56</v>
      </c>
      <c r="D2446" s="27" t="s">
        <v>6</v>
      </c>
      <c r="E2446" s="27" t="s">
        <v>9</v>
      </c>
      <c r="F2446" s="29"/>
      <c r="G2446" s="30">
        <f t="shared" si="46"/>
        <v>2006.6627883040946</v>
      </c>
    </row>
    <row r="2447" spans="1:7" hidden="1" x14ac:dyDescent="0.25">
      <c r="A2447" s="28">
        <v>43678</v>
      </c>
      <c r="B2447" s="27" t="s">
        <v>200</v>
      </c>
      <c r="C2447" s="27" t="s">
        <v>56</v>
      </c>
      <c r="D2447" s="27" t="s">
        <v>6</v>
      </c>
      <c r="E2447" s="27" t="s">
        <v>64</v>
      </c>
      <c r="F2447" s="29"/>
      <c r="G2447" s="30">
        <f t="shared" si="46"/>
        <v>2006.6627883040946</v>
      </c>
    </row>
    <row r="2448" spans="1:7" hidden="1" x14ac:dyDescent="0.25">
      <c r="A2448" s="28">
        <v>43678</v>
      </c>
      <c r="B2448" s="27" t="s">
        <v>200</v>
      </c>
      <c r="C2448" s="27" t="s">
        <v>56</v>
      </c>
      <c r="D2448" s="27" t="s">
        <v>6</v>
      </c>
      <c r="E2448" s="27" t="s">
        <v>21</v>
      </c>
      <c r="F2448" s="29"/>
      <c r="G2448" s="30">
        <f t="shared" si="46"/>
        <v>2006.6627883040946</v>
      </c>
    </row>
    <row r="2449" spans="1:7" hidden="1" x14ac:dyDescent="0.25">
      <c r="A2449" s="28">
        <v>43678</v>
      </c>
      <c r="B2449" s="27" t="s">
        <v>200</v>
      </c>
      <c r="C2449" s="27" t="s">
        <v>56</v>
      </c>
      <c r="D2449" s="27" t="s">
        <v>6</v>
      </c>
      <c r="E2449" s="27" t="s">
        <v>21</v>
      </c>
      <c r="F2449" s="29"/>
      <c r="G2449" s="30">
        <f t="shared" si="46"/>
        <v>2006.6627883040946</v>
      </c>
    </row>
    <row r="2450" spans="1:7" hidden="1" x14ac:dyDescent="0.25">
      <c r="A2450" s="28">
        <v>43678</v>
      </c>
      <c r="B2450" s="27" t="s">
        <v>200</v>
      </c>
      <c r="C2450" s="27" t="s">
        <v>56</v>
      </c>
      <c r="D2450" s="27" t="s">
        <v>6</v>
      </c>
      <c r="E2450" s="27" t="s">
        <v>10</v>
      </c>
      <c r="F2450" s="29"/>
      <c r="G2450" s="30">
        <f t="shared" si="46"/>
        <v>2006.6627883040946</v>
      </c>
    </row>
    <row r="2451" spans="1:7" hidden="1" x14ac:dyDescent="0.25">
      <c r="A2451" s="28">
        <v>43678</v>
      </c>
      <c r="B2451" s="27" t="s">
        <v>200</v>
      </c>
      <c r="C2451" s="27" t="s">
        <v>56</v>
      </c>
      <c r="D2451" s="27" t="s">
        <v>6</v>
      </c>
      <c r="E2451" s="27" t="s">
        <v>11</v>
      </c>
      <c r="F2451" s="29"/>
      <c r="G2451" s="30">
        <f t="shared" si="46"/>
        <v>2006.6627883040946</v>
      </c>
    </row>
    <row r="2452" spans="1:7" hidden="1" x14ac:dyDescent="0.25">
      <c r="A2452" s="28">
        <v>43678</v>
      </c>
      <c r="B2452" s="27" t="s">
        <v>200</v>
      </c>
      <c r="C2452" s="27" t="s">
        <v>56</v>
      </c>
      <c r="D2452" s="27" t="s">
        <v>6</v>
      </c>
      <c r="E2452" s="27" t="s">
        <v>12</v>
      </c>
      <c r="F2452" s="29"/>
      <c r="G2452" s="30">
        <f t="shared" si="46"/>
        <v>2006.6627883040946</v>
      </c>
    </row>
    <row r="2453" spans="1:7" hidden="1" x14ac:dyDescent="0.25">
      <c r="A2453" s="28">
        <v>43678</v>
      </c>
      <c r="B2453" s="27" t="s">
        <v>200</v>
      </c>
      <c r="C2453" s="27" t="s">
        <v>56</v>
      </c>
      <c r="D2453" s="27" t="s">
        <v>6</v>
      </c>
      <c r="E2453" s="27" t="s">
        <v>13</v>
      </c>
      <c r="F2453" s="29"/>
      <c r="G2453" s="30">
        <f t="shared" si="46"/>
        <v>2006.6627883040946</v>
      </c>
    </row>
    <row r="2454" spans="1:7" hidden="1" x14ac:dyDescent="0.25">
      <c r="A2454" s="28">
        <v>43678</v>
      </c>
      <c r="B2454" s="27" t="s">
        <v>200</v>
      </c>
      <c r="C2454" s="27" t="s">
        <v>56</v>
      </c>
      <c r="D2454" s="27" t="s">
        <v>6</v>
      </c>
      <c r="E2454" s="27" t="s">
        <v>14</v>
      </c>
      <c r="F2454" s="29"/>
      <c r="G2454" s="30">
        <f t="shared" si="46"/>
        <v>2006.6627883040946</v>
      </c>
    </row>
    <row r="2455" spans="1:7" hidden="1" x14ac:dyDescent="0.25">
      <c r="A2455" s="28">
        <v>43678</v>
      </c>
      <c r="B2455" s="27" t="s">
        <v>200</v>
      </c>
      <c r="C2455" s="27" t="s">
        <v>56</v>
      </c>
      <c r="D2455" s="27" t="s">
        <v>6</v>
      </c>
      <c r="E2455" s="27" t="s">
        <v>15</v>
      </c>
      <c r="F2455" s="29"/>
      <c r="G2455" s="30">
        <f t="shared" si="46"/>
        <v>2006.6627883040946</v>
      </c>
    </row>
    <row r="2456" spans="1:7" hidden="1" x14ac:dyDescent="0.25">
      <c r="A2456" s="28">
        <v>43678</v>
      </c>
      <c r="B2456" s="27" t="s">
        <v>200</v>
      </c>
      <c r="C2456" s="27" t="s">
        <v>56</v>
      </c>
      <c r="D2456" s="27" t="s">
        <v>6</v>
      </c>
      <c r="E2456" s="27" t="s">
        <v>16</v>
      </c>
      <c r="F2456" s="29"/>
      <c r="G2456" s="30">
        <f t="shared" si="46"/>
        <v>2006.6627883040946</v>
      </c>
    </row>
    <row r="2457" spans="1:7" hidden="1" x14ac:dyDescent="0.25">
      <c r="A2457" s="28">
        <v>43678</v>
      </c>
      <c r="B2457" s="27" t="s">
        <v>200</v>
      </c>
      <c r="C2457" s="27" t="s">
        <v>56</v>
      </c>
      <c r="D2457" s="27" t="s">
        <v>6</v>
      </c>
      <c r="E2457" s="27" t="s">
        <v>17</v>
      </c>
      <c r="F2457" s="29"/>
      <c r="G2457" s="30">
        <f t="shared" si="46"/>
        <v>2006.6627883040946</v>
      </c>
    </row>
    <row r="2458" spans="1:7" hidden="1" x14ac:dyDescent="0.25">
      <c r="A2458" s="28">
        <v>43678</v>
      </c>
      <c r="B2458" s="27" t="s">
        <v>200</v>
      </c>
      <c r="C2458" s="27" t="s">
        <v>56</v>
      </c>
      <c r="D2458" s="27" t="s">
        <v>6</v>
      </c>
      <c r="E2458" s="27" t="s">
        <v>18</v>
      </c>
      <c r="F2458" s="29"/>
      <c r="G2458" s="30">
        <f t="shared" si="46"/>
        <v>2006.6627883040946</v>
      </c>
    </row>
    <row r="2459" spans="1:7" hidden="1" x14ac:dyDescent="0.25">
      <c r="A2459" s="28">
        <v>43678</v>
      </c>
      <c r="B2459" s="27" t="s">
        <v>200</v>
      </c>
      <c r="C2459" s="27" t="s">
        <v>56</v>
      </c>
      <c r="D2459" s="27" t="s">
        <v>6</v>
      </c>
      <c r="E2459" s="27" t="s">
        <v>19</v>
      </c>
      <c r="F2459" s="29"/>
      <c r="G2459" s="30">
        <f t="shared" si="46"/>
        <v>2006.6627883040946</v>
      </c>
    </row>
    <row r="2460" spans="1:7" hidden="1" x14ac:dyDescent="0.25">
      <c r="A2460" s="28">
        <v>43678</v>
      </c>
      <c r="B2460" s="27" t="s">
        <v>200</v>
      </c>
      <c r="C2460" s="27" t="s">
        <v>56</v>
      </c>
      <c r="D2460" s="27" t="s">
        <v>6</v>
      </c>
      <c r="E2460" s="27" t="s">
        <v>20</v>
      </c>
      <c r="F2460" s="29"/>
      <c r="G2460" s="30">
        <f t="shared" si="46"/>
        <v>2006.6627883040946</v>
      </c>
    </row>
    <row r="2461" spans="1:7" hidden="1" x14ac:dyDescent="0.25">
      <c r="A2461" s="28">
        <v>43678</v>
      </c>
      <c r="B2461" s="27" t="s">
        <v>200</v>
      </c>
      <c r="C2461" s="27" t="s">
        <v>56</v>
      </c>
      <c r="D2461" s="27" t="s">
        <v>6</v>
      </c>
      <c r="E2461" s="27" t="s">
        <v>38</v>
      </c>
      <c r="F2461" s="29"/>
      <c r="G2461" s="30">
        <f t="shared" si="46"/>
        <v>2006.6627883040946</v>
      </c>
    </row>
    <row r="2462" spans="1:7" hidden="1" x14ac:dyDescent="0.25">
      <c r="A2462" s="28">
        <v>43678</v>
      </c>
      <c r="B2462" s="27" t="s">
        <v>200</v>
      </c>
      <c r="C2462" s="27" t="s">
        <v>56</v>
      </c>
      <c r="D2462" s="27" t="s">
        <v>6</v>
      </c>
      <c r="E2462" s="27" t="s">
        <v>204</v>
      </c>
      <c r="F2462" s="29"/>
      <c r="G2462" s="30">
        <f t="shared" si="46"/>
        <v>2006.6627883040946</v>
      </c>
    </row>
    <row r="2463" spans="1:7" hidden="1" x14ac:dyDescent="0.25">
      <c r="A2463" s="28">
        <v>43678</v>
      </c>
      <c r="B2463" s="27" t="s">
        <v>200</v>
      </c>
      <c r="C2463" s="27" t="s">
        <v>56</v>
      </c>
      <c r="D2463" s="27" t="s">
        <v>6</v>
      </c>
      <c r="E2463" s="27" t="s">
        <v>205</v>
      </c>
      <c r="F2463" s="29"/>
      <c r="G2463" s="30">
        <f t="shared" si="46"/>
        <v>2006.6627883040946</v>
      </c>
    </row>
    <row r="2464" spans="1:7" hidden="1" x14ac:dyDescent="0.25">
      <c r="A2464" s="28">
        <v>43678</v>
      </c>
      <c r="B2464" s="27" t="s">
        <v>200</v>
      </c>
      <c r="C2464" s="27" t="s">
        <v>182</v>
      </c>
      <c r="D2464" s="27" t="s">
        <v>7</v>
      </c>
      <c r="E2464" s="27" t="s">
        <v>8</v>
      </c>
      <c r="F2464" s="29"/>
      <c r="G2464" s="30">
        <f t="shared" ref="G2464:G2481" si="47">3027.12/18</f>
        <v>168.17333333333332</v>
      </c>
    </row>
    <row r="2465" spans="1:7" hidden="1" x14ac:dyDescent="0.25">
      <c r="A2465" s="28">
        <v>43678</v>
      </c>
      <c r="B2465" s="27" t="s">
        <v>200</v>
      </c>
      <c r="C2465" s="27" t="s">
        <v>182</v>
      </c>
      <c r="D2465" s="27" t="s">
        <v>7</v>
      </c>
      <c r="E2465" s="27" t="s">
        <v>9</v>
      </c>
      <c r="F2465" s="29"/>
      <c r="G2465" s="30">
        <f t="shared" si="47"/>
        <v>168.17333333333332</v>
      </c>
    </row>
    <row r="2466" spans="1:7" hidden="1" x14ac:dyDescent="0.25">
      <c r="A2466" s="28">
        <v>43678</v>
      </c>
      <c r="B2466" s="27" t="s">
        <v>200</v>
      </c>
      <c r="C2466" s="27" t="s">
        <v>182</v>
      </c>
      <c r="D2466" s="27" t="s">
        <v>7</v>
      </c>
      <c r="E2466" s="27" t="s">
        <v>64</v>
      </c>
      <c r="F2466" s="29"/>
      <c r="G2466" s="30">
        <f t="shared" si="47"/>
        <v>168.17333333333332</v>
      </c>
    </row>
    <row r="2467" spans="1:7" hidden="1" x14ac:dyDescent="0.25">
      <c r="A2467" s="28">
        <v>43678</v>
      </c>
      <c r="B2467" s="27" t="s">
        <v>200</v>
      </c>
      <c r="C2467" s="27" t="s">
        <v>182</v>
      </c>
      <c r="D2467" s="27" t="s">
        <v>7</v>
      </c>
      <c r="E2467" s="27" t="s">
        <v>21</v>
      </c>
      <c r="F2467" s="29"/>
      <c r="G2467" s="30">
        <f t="shared" si="47"/>
        <v>168.17333333333332</v>
      </c>
    </row>
    <row r="2468" spans="1:7" hidden="1" x14ac:dyDescent="0.25">
      <c r="A2468" s="28">
        <v>43678</v>
      </c>
      <c r="B2468" s="27" t="s">
        <v>200</v>
      </c>
      <c r="C2468" s="27" t="s">
        <v>182</v>
      </c>
      <c r="D2468" s="27" t="s">
        <v>7</v>
      </c>
      <c r="E2468" s="27" t="s">
        <v>21</v>
      </c>
      <c r="F2468" s="29"/>
      <c r="G2468" s="30">
        <f t="shared" si="47"/>
        <v>168.17333333333332</v>
      </c>
    </row>
    <row r="2469" spans="1:7" hidden="1" x14ac:dyDescent="0.25">
      <c r="A2469" s="28">
        <v>43678</v>
      </c>
      <c r="B2469" s="27" t="s">
        <v>200</v>
      </c>
      <c r="C2469" s="27" t="s">
        <v>182</v>
      </c>
      <c r="D2469" s="27" t="s">
        <v>7</v>
      </c>
      <c r="E2469" s="27" t="s">
        <v>10</v>
      </c>
      <c r="F2469" s="29"/>
      <c r="G2469" s="30">
        <f t="shared" si="47"/>
        <v>168.17333333333332</v>
      </c>
    </row>
    <row r="2470" spans="1:7" hidden="1" x14ac:dyDescent="0.25">
      <c r="A2470" s="28">
        <v>43678</v>
      </c>
      <c r="B2470" s="27" t="s">
        <v>200</v>
      </c>
      <c r="C2470" s="27" t="s">
        <v>182</v>
      </c>
      <c r="D2470" s="27" t="s">
        <v>7</v>
      </c>
      <c r="E2470" s="27" t="s">
        <v>11</v>
      </c>
      <c r="F2470" s="29"/>
      <c r="G2470" s="30">
        <f t="shared" si="47"/>
        <v>168.17333333333332</v>
      </c>
    </row>
    <row r="2471" spans="1:7" hidden="1" x14ac:dyDescent="0.25">
      <c r="A2471" s="28">
        <v>43678</v>
      </c>
      <c r="B2471" s="27" t="s">
        <v>200</v>
      </c>
      <c r="C2471" s="27" t="s">
        <v>182</v>
      </c>
      <c r="D2471" s="27" t="s">
        <v>7</v>
      </c>
      <c r="E2471" s="27" t="s">
        <v>12</v>
      </c>
      <c r="F2471" s="29"/>
      <c r="G2471" s="30">
        <f t="shared" si="47"/>
        <v>168.17333333333332</v>
      </c>
    </row>
    <row r="2472" spans="1:7" hidden="1" x14ac:dyDescent="0.25">
      <c r="A2472" s="28">
        <v>43678</v>
      </c>
      <c r="B2472" s="27" t="s">
        <v>200</v>
      </c>
      <c r="C2472" s="27" t="s">
        <v>182</v>
      </c>
      <c r="D2472" s="27" t="s">
        <v>7</v>
      </c>
      <c r="E2472" s="27" t="s">
        <v>13</v>
      </c>
      <c r="F2472" s="29"/>
      <c r="G2472" s="30">
        <f t="shared" si="47"/>
        <v>168.17333333333332</v>
      </c>
    </row>
    <row r="2473" spans="1:7" hidden="1" x14ac:dyDescent="0.25">
      <c r="A2473" s="28">
        <v>43678</v>
      </c>
      <c r="B2473" s="27" t="s">
        <v>200</v>
      </c>
      <c r="C2473" s="27" t="s">
        <v>182</v>
      </c>
      <c r="D2473" s="27" t="s">
        <v>7</v>
      </c>
      <c r="E2473" s="27" t="s">
        <v>14</v>
      </c>
      <c r="F2473" s="29"/>
      <c r="G2473" s="30">
        <f t="shared" si="47"/>
        <v>168.17333333333332</v>
      </c>
    </row>
    <row r="2474" spans="1:7" hidden="1" x14ac:dyDescent="0.25">
      <c r="A2474" s="28">
        <v>43678</v>
      </c>
      <c r="B2474" s="27" t="s">
        <v>200</v>
      </c>
      <c r="C2474" s="27" t="s">
        <v>182</v>
      </c>
      <c r="D2474" s="27" t="s">
        <v>7</v>
      </c>
      <c r="E2474" s="27" t="s">
        <v>15</v>
      </c>
      <c r="F2474" s="29"/>
      <c r="G2474" s="30">
        <f t="shared" si="47"/>
        <v>168.17333333333332</v>
      </c>
    </row>
    <row r="2475" spans="1:7" hidden="1" x14ac:dyDescent="0.25">
      <c r="A2475" s="28">
        <v>43678</v>
      </c>
      <c r="B2475" s="27" t="s">
        <v>200</v>
      </c>
      <c r="C2475" s="27" t="s">
        <v>182</v>
      </c>
      <c r="D2475" s="27" t="s">
        <v>7</v>
      </c>
      <c r="E2475" s="27" t="s">
        <v>16</v>
      </c>
      <c r="F2475" s="29"/>
      <c r="G2475" s="30">
        <f t="shared" si="47"/>
        <v>168.17333333333332</v>
      </c>
    </row>
    <row r="2476" spans="1:7" hidden="1" x14ac:dyDescent="0.25">
      <c r="A2476" s="28">
        <v>43678</v>
      </c>
      <c r="B2476" s="27" t="s">
        <v>200</v>
      </c>
      <c r="C2476" s="27" t="s">
        <v>182</v>
      </c>
      <c r="D2476" s="27" t="s">
        <v>7</v>
      </c>
      <c r="E2476" s="27" t="s">
        <v>17</v>
      </c>
      <c r="F2476" s="29"/>
      <c r="G2476" s="30">
        <f t="shared" si="47"/>
        <v>168.17333333333332</v>
      </c>
    </row>
    <row r="2477" spans="1:7" hidden="1" x14ac:dyDescent="0.25">
      <c r="A2477" s="28">
        <v>43678</v>
      </c>
      <c r="B2477" s="27" t="s">
        <v>200</v>
      </c>
      <c r="C2477" s="27" t="s">
        <v>182</v>
      </c>
      <c r="D2477" s="27" t="s">
        <v>7</v>
      </c>
      <c r="E2477" s="27" t="s">
        <v>18</v>
      </c>
      <c r="F2477" s="29"/>
      <c r="G2477" s="30">
        <f t="shared" si="47"/>
        <v>168.17333333333332</v>
      </c>
    </row>
    <row r="2478" spans="1:7" hidden="1" x14ac:dyDescent="0.25">
      <c r="A2478" s="28">
        <v>43678</v>
      </c>
      <c r="B2478" s="27" t="s">
        <v>200</v>
      </c>
      <c r="C2478" s="27" t="s">
        <v>182</v>
      </c>
      <c r="D2478" s="27" t="s">
        <v>7</v>
      </c>
      <c r="E2478" s="27" t="s">
        <v>19</v>
      </c>
      <c r="F2478" s="29"/>
      <c r="G2478" s="30">
        <f t="shared" si="47"/>
        <v>168.17333333333332</v>
      </c>
    </row>
    <row r="2479" spans="1:7" hidden="1" x14ac:dyDescent="0.25">
      <c r="A2479" s="28">
        <v>43678</v>
      </c>
      <c r="B2479" s="27" t="s">
        <v>200</v>
      </c>
      <c r="C2479" s="27" t="s">
        <v>182</v>
      </c>
      <c r="D2479" s="27" t="s">
        <v>7</v>
      </c>
      <c r="E2479" s="27" t="s">
        <v>20</v>
      </c>
      <c r="F2479" s="29"/>
      <c r="G2479" s="30">
        <f t="shared" si="47"/>
        <v>168.17333333333332</v>
      </c>
    </row>
    <row r="2480" spans="1:7" hidden="1" x14ac:dyDescent="0.25">
      <c r="A2480" s="28">
        <v>43678</v>
      </c>
      <c r="B2480" s="27" t="s">
        <v>200</v>
      </c>
      <c r="C2480" s="27" t="s">
        <v>182</v>
      </c>
      <c r="D2480" s="27" t="s">
        <v>7</v>
      </c>
      <c r="E2480" s="27" t="s">
        <v>204</v>
      </c>
      <c r="F2480" s="29"/>
      <c r="G2480" s="30">
        <f t="shared" si="47"/>
        <v>168.17333333333332</v>
      </c>
    </row>
    <row r="2481" spans="1:7" hidden="1" x14ac:dyDescent="0.25">
      <c r="A2481" s="28">
        <v>43678</v>
      </c>
      <c r="B2481" s="27" t="s">
        <v>200</v>
      </c>
      <c r="C2481" s="27" t="s">
        <v>182</v>
      </c>
      <c r="D2481" s="27" t="s">
        <v>7</v>
      </c>
      <c r="E2481" s="27" t="s">
        <v>37</v>
      </c>
      <c r="F2481" s="29"/>
      <c r="G2481" s="30">
        <f t="shared" si="47"/>
        <v>168.17333333333332</v>
      </c>
    </row>
    <row r="2482" spans="1:7" hidden="1" x14ac:dyDescent="0.25">
      <c r="A2482" s="28">
        <v>43678</v>
      </c>
      <c r="B2482" s="27" t="s">
        <v>35</v>
      </c>
      <c r="C2482" s="27" t="s">
        <v>50</v>
      </c>
      <c r="D2482" s="27" t="s">
        <v>6</v>
      </c>
      <c r="E2482" s="27" t="s">
        <v>8</v>
      </c>
      <c r="F2482" s="29"/>
      <c r="G2482" s="30">
        <v>623.020625</v>
      </c>
    </row>
    <row r="2483" spans="1:7" hidden="1" x14ac:dyDescent="0.25">
      <c r="A2483" s="28">
        <v>43678</v>
      </c>
      <c r="B2483" s="27" t="s">
        <v>35</v>
      </c>
      <c r="C2483" s="27" t="s">
        <v>50</v>
      </c>
      <c r="D2483" s="27" t="s">
        <v>6</v>
      </c>
      <c r="E2483" s="27" t="s">
        <v>9</v>
      </c>
      <c r="F2483" s="29"/>
      <c r="G2483" s="30">
        <v>623.020625</v>
      </c>
    </row>
    <row r="2484" spans="1:7" hidden="1" x14ac:dyDescent="0.25">
      <c r="A2484" s="28">
        <v>43678</v>
      </c>
      <c r="B2484" s="27" t="s">
        <v>35</v>
      </c>
      <c r="C2484" s="27" t="s">
        <v>50</v>
      </c>
      <c r="D2484" s="27" t="s">
        <v>6</v>
      </c>
      <c r="E2484" s="27" t="s">
        <v>64</v>
      </c>
      <c r="F2484" s="29"/>
      <c r="G2484" s="30">
        <v>623.020625</v>
      </c>
    </row>
    <row r="2485" spans="1:7" hidden="1" x14ac:dyDescent="0.25">
      <c r="A2485" s="28">
        <v>43678</v>
      </c>
      <c r="B2485" s="27" t="s">
        <v>35</v>
      </c>
      <c r="C2485" s="27" t="s">
        <v>50</v>
      </c>
      <c r="D2485" s="27" t="s">
        <v>6</v>
      </c>
      <c r="E2485" s="27" t="s">
        <v>21</v>
      </c>
      <c r="F2485" s="29"/>
      <c r="G2485" s="30">
        <v>623.020625</v>
      </c>
    </row>
    <row r="2486" spans="1:7" hidden="1" x14ac:dyDescent="0.25">
      <c r="A2486" s="28">
        <v>43678</v>
      </c>
      <c r="B2486" s="27" t="s">
        <v>35</v>
      </c>
      <c r="C2486" s="27" t="s">
        <v>50</v>
      </c>
      <c r="D2486" s="27" t="s">
        <v>6</v>
      </c>
      <c r="E2486" s="27" t="s">
        <v>21</v>
      </c>
      <c r="F2486" s="29"/>
      <c r="G2486" s="30">
        <v>623.020625</v>
      </c>
    </row>
    <row r="2487" spans="1:7" hidden="1" x14ac:dyDescent="0.25">
      <c r="A2487" s="28">
        <v>43678</v>
      </c>
      <c r="B2487" s="27" t="s">
        <v>35</v>
      </c>
      <c r="C2487" s="27" t="s">
        <v>50</v>
      </c>
      <c r="D2487" s="27" t="s">
        <v>6</v>
      </c>
      <c r="E2487" s="27" t="s">
        <v>10</v>
      </c>
      <c r="F2487" s="29"/>
      <c r="G2487" s="30">
        <v>623.020625</v>
      </c>
    </row>
    <row r="2488" spans="1:7" hidden="1" x14ac:dyDescent="0.25">
      <c r="A2488" s="28">
        <v>43678</v>
      </c>
      <c r="B2488" s="27" t="s">
        <v>35</v>
      </c>
      <c r="C2488" s="27" t="s">
        <v>50</v>
      </c>
      <c r="D2488" s="27" t="s">
        <v>6</v>
      </c>
      <c r="E2488" s="27" t="s">
        <v>11</v>
      </c>
      <c r="F2488" s="29"/>
      <c r="G2488" s="30">
        <v>623.020625</v>
      </c>
    </row>
    <row r="2489" spans="1:7" hidden="1" x14ac:dyDescent="0.25">
      <c r="A2489" s="28">
        <v>43678</v>
      </c>
      <c r="B2489" s="27" t="s">
        <v>35</v>
      </c>
      <c r="C2489" s="27" t="s">
        <v>50</v>
      </c>
      <c r="D2489" s="27" t="s">
        <v>6</v>
      </c>
      <c r="E2489" s="27" t="s">
        <v>12</v>
      </c>
      <c r="F2489" s="29"/>
      <c r="G2489" s="30">
        <v>623.020625</v>
      </c>
    </row>
    <row r="2490" spans="1:7" hidden="1" x14ac:dyDescent="0.25">
      <c r="A2490" s="28">
        <v>43678</v>
      </c>
      <c r="B2490" s="27" t="s">
        <v>35</v>
      </c>
      <c r="C2490" s="27" t="s">
        <v>50</v>
      </c>
      <c r="D2490" s="27" t="s">
        <v>6</v>
      </c>
      <c r="E2490" s="27" t="s">
        <v>13</v>
      </c>
      <c r="F2490" s="29"/>
      <c r="G2490" s="30">
        <v>623.020625</v>
      </c>
    </row>
    <row r="2491" spans="1:7" hidden="1" x14ac:dyDescent="0.25">
      <c r="A2491" s="28">
        <v>43678</v>
      </c>
      <c r="B2491" s="27" t="s">
        <v>35</v>
      </c>
      <c r="C2491" s="27" t="s">
        <v>50</v>
      </c>
      <c r="D2491" s="27" t="s">
        <v>6</v>
      </c>
      <c r="E2491" s="27" t="s">
        <v>14</v>
      </c>
      <c r="F2491" s="29"/>
      <c r="G2491" s="30">
        <v>623.020625</v>
      </c>
    </row>
    <row r="2492" spans="1:7" hidden="1" x14ac:dyDescent="0.25">
      <c r="A2492" s="28">
        <v>43678</v>
      </c>
      <c r="B2492" s="27" t="s">
        <v>35</v>
      </c>
      <c r="C2492" s="27" t="s">
        <v>50</v>
      </c>
      <c r="D2492" s="27" t="s">
        <v>6</v>
      </c>
      <c r="E2492" s="27" t="s">
        <v>15</v>
      </c>
      <c r="F2492" s="29"/>
      <c r="G2492" s="30">
        <v>623.020625</v>
      </c>
    </row>
    <row r="2493" spans="1:7" hidden="1" x14ac:dyDescent="0.25">
      <c r="A2493" s="28">
        <v>43678</v>
      </c>
      <c r="B2493" s="27" t="s">
        <v>35</v>
      </c>
      <c r="C2493" s="27" t="s">
        <v>50</v>
      </c>
      <c r="D2493" s="27" t="s">
        <v>6</v>
      </c>
      <c r="E2493" s="27" t="s">
        <v>16</v>
      </c>
      <c r="F2493" s="29"/>
      <c r="G2493" s="30">
        <v>623.020625</v>
      </c>
    </row>
    <row r="2494" spans="1:7" hidden="1" x14ac:dyDescent="0.25">
      <c r="A2494" s="28">
        <v>43678</v>
      </c>
      <c r="B2494" s="27" t="s">
        <v>35</v>
      </c>
      <c r="C2494" s="27" t="s">
        <v>50</v>
      </c>
      <c r="D2494" s="27" t="s">
        <v>6</v>
      </c>
      <c r="E2494" s="27" t="s">
        <v>17</v>
      </c>
      <c r="F2494" s="29"/>
      <c r="G2494" s="30">
        <v>623.020625</v>
      </c>
    </row>
    <row r="2495" spans="1:7" hidden="1" x14ac:dyDescent="0.25">
      <c r="A2495" s="28">
        <v>43678</v>
      </c>
      <c r="B2495" s="27" t="s">
        <v>35</v>
      </c>
      <c r="C2495" s="27" t="s">
        <v>50</v>
      </c>
      <c r="D2495" s="27" t="s">
        <v>6</v>
      </c>
      <c r="E2495" s="27" t="s">
        <v>18</v>
      </c>
      <c r="F2495" s="29"/>
      <c r="G2495" s="30">
        <v>623.020625</v>
      </c>
    </row>
    <row r="2496" spans="1:7" hidden="1" x14ac:dyDescent="0.25">
      <c r="A2496" s="28">
        <v>43678</v>
      </c>
      <c r="B2496" s="27" t="s">
        <v>35</v>
      </c>
      <c r="C2496" s="27" t="s">
        <v>50</v>
      </c>
      <c r="D2496" s="27" t="s">
        <v>6</v>
      </c>
      <c r="E2496" s="27" t="s">
        <v>19</v>
      </c>
      <c r="F2496" s="29"/>
      <c r="G2496" s="30">
        <v>623.020625</v>
      </c>
    </row>
    <row r="2497" spans="1:7" hidden="1" x14ac:dyDescent="0.25">
      <c r="A2497" s="28">
        <v>43678</v>
      </c>
      <c r="B2497" s="27" t="s">
        <v>35</v>
      </c>
      <c r="C2497" s="27" t="s">
        <v>50</v>
      </c>
      <c r="D2497" s="27" t="s">
        <v>6</v>
      </c>
      <c r="E2497" s="27" t="s">
        <v>20</v>
      </c>
      <c r="F2497" s="29"/>
      <c r="G2497" s="30">
        <v>623.020625</v>
      </c>
    </row>
    <row r="2498" spans="1:7" hidden="1" x14ac:dyDescent="0.25">
      <c r="A2498" s="28">
        <v>43678</v>
      </c>
      <c r="B2498" s="27" t="s">
        <v>34</v>
      </c>
      <c r="C2498" s="27" t="s">
        <v>50</v>
      </c>
      <c r="D2498" s="27" t="s">
        <v>6</v>
      </c>
      <c r="E2498" s="27" t="s">
        <v>8</v>
      </c>
      <c r="F2498" s="29"/>
      <c r="G2498" s="30">
        <v>552.0533333333334</v>
      </c>
    </row>
    <row r="2499" spans="1:7" hidden="1" x14ac:dyDescent="0.25">
      <c r="A2499" s="28">
        <v>43678</v>
      </c>
      <c r="B2499" s="27" t="s">
        <v>34</v>
      </c>
      <c r="C2499" s="27" t="s">
        <v>50</v>
      </c>
      <c r="D2499" s="27" t="s">
        <v>6</v>
      </c>
      <c r="E2499" s="27" t="s">
        <v>9</v>
      </c>
      <c r="F2499" s="29"/>
      <c r="G2499" s="30">
        <v>864.49749999999995</v>
      </c>
    </row>
    <row r="2500" spans="1:7" hidden="1" x14ac:dyDescent="0.25">
      <c r="A2500" s="28">
        <v>43678</v>
      </c>
      <c r="B2500" s="27" t="s">
        <v>34</v>
      </c>
      <c r="C2500" s="27" t="s">
        <v>50</v>
      </c>
      <c r="D2500" s="27" t="s">
        <v>6</v>
      </c>
      <c r="E2500" s="27" t="s">
        <v>64</v>
      </c>
      <c r="F2500" s="29"/>
      <c r="G2500" s="30">
        <v>698.10416666666663</v>
      </c>
    </row>
    <row r="2501" spans="1:7" hidden="1" x14ac:dyDescent="0.25">
      <c r="A2501" s="28">
        <v>43678</v>
      </c>
      <c r="B2501" s="27" t="s">
        <v>34</v>
      </c>
      <c r="C2501" s="27" t="s">
        <v>50</v>
      </c>
      <c r="D2501" s="27" t="s">
        <v>6</v>
      </c>
      <c r="E2501" s="27" t="s">
        <v>21</v>
      </c>
      <c r="F2501" s="29"/>
      <c r="G2501" s="30">
        <v>985.48500000000001</v>
      </c>
    </row>
    <row r="2502" spans="1:7" hidden="1" x14ac:dyDescent="0.25">
      <c r="A2502" s="28">
        <v>43678</v>
      </c>
      <c r="B2502" s="27" t="s">
        <v>34</v>
      </c>
      <c r="C2502" s="27" t="s">
        <v>50</v>
      </c>
      <c r="D2502" s="27" t="s">
        <v>6</v>
      </c>
      <c r="E2502" s="27" t="s">
        <v>21</v>
      </c>
      <c r="F2502" s="29"/>
      <c r="G2502" s="30">
        <v>656.62166666666667</v>
      </c>
    </row>
    <row r="2503" spans="1:7" hidden="1" x14ac:dyDescent="0.25">
      <c r="A2503" s="28">
        <v>43678</v>
      </c>
      <c r="B2503" s="27" t="s">
        <v>34</v>
      </c>
      <c r="C2503" s="27" t="s">
        <v>50</v>
      </c>
      <c r="D2503" s="27" t="s">
        <v>6</v>
      </c>
      <c r="E2503" s="27" t="s">
        <v>10</v>
      </c>
      <c r="F2503" s="29"/>
      <c r="G2503" s="30">
        <v>832.49083333333328</v>
      </c>
    </row>
    <row r="2504" spans="1:7" hidden="1" x14ac:dyDescent="0.25">
      <c r="A2504" s="28">
        <v>43678</v>
      </c>
      <c r="B2504" s="27" t="s">
        <v>34</v>
      </c>
      <c r="C2504" s="27" t="s">
        <v>50</v>
      </c>
      <c r="D2504" s="27" t="s">
        <v>6</v>
      </c>
      <c r="E2504" s="27" t="s">
        <v>11</v>
      </c>
      <c r="F2504" s="29"/>
      <c r="G2504" s="30">
        <v>418.92500000000001</v>
      </c>
    </row>
    <row r="2505" spans="1:7" hidden="1" x14ac:dyDescent="0.25">
      <c r="A2505" s="28">
        <v>43678</v>
      </c>
      <c r="B2505" s="27" t="s">
        <v>34</v>
      </c>
      <c r="C2505" s="27" t="s">
        <v>50</v>
      </c>
      <c r="D2505" s="27" t="s">
        <v>6</v>
      </c>
      <c r="E2505" s="27" t="s">
        <v>12</v>
      </c>
      <c r="F2505" s="29"/>
      <c r="G2505" s="30">
        <v>388.7</v>
      </c>
    </row>
    <row r="2506" spans="1:7" hidden="1" x14ac:dyDescent="0.25">
      <c r="A2506" s="28">
        <v>43678</v>
      </c>
      <c r="B2506" s="27" t="s">
        <v>34</v>
      </c>
      <c r="C2506" s="27" t="s">
        <v>50</v>
      </c>
      <c r="D2506" s="27" t="s">
        <v>6</v>
      </c>
      <c r="E2506" s="27" t="s">
        <v>13</v>
      </c>
      <c r="F2506" s="29"/>
      <c r="G2506" s="30">
        <v>537.06416666666667</v>
      </c>
    </row>
    <row r="2507" spans="1:7" hidden="1" x14ac:dyDescent="0.25">
      <c r="A2507" s="28">
        <v>43678</v>
      </c>
      <c r="B2507" s="27" t="s">
        <v>34</v>
      </c>
      <c r="C2507" s="27" t="s">
        <v>50</v>
      </c>
      <c r="D2507" s="27" t="s">
        <v>6</v>
      </c>
      <c r="E2507" s="27" t="s">
        <v>14</v>
      </c>
      <c r="F2507" s="29"/>
      <c r="G2507" s="30">
        <v>165.58333333333334</v>
      </c>
    </row>
    <row r="2508" spans="1:7" hidden="1" x14ac:dyDescent="0.25">
      <c r="A2508" s="28">
        <v>43678</v>
      </c>
      <c r="B2508" s="27" t="s">
        <v>34</v>
      </c>
      <c r="C2508" s="27" t="s">
        <v>50</v>
      </c>
      <c r="D2508" s="27" t="s">
        <v>6</v>
      </c>
      <c r="E2508" s="27" t="s">
        <v>15</v>
      </c>
      <c r="F2508" s="29"/>
      <c r="G2508" s="30">
        <v>409.28999999999996</v>
      </c>
    </row>
    <row r="2509" spans="1:7" hidden="1" x14ac:dyDescent="0.25">
      <c r="A2509" s="28">
        <v>43678</v>
      </c>
      <c r="B2509" s="27" t="s">
        <v>34</v>
      </c>
      <c r="C2509" s="27" t="s">
        <v>50</v>
      </c>
      <c r="D2509" s="27" t="s">
        <v>6</v>
      </c>
      <c r="E2509" s="27" t="s">
        <v>16</v>
      </c>
      <c r="F2509" s="29"/>
      <c r="G2509" s="30">
        <v>657.78499999999997</v>
      </c>
    </row>
    <row r="2510" spans="1:7" hidden="1" x14ac:dyDescent="0.25">
      <c r="A2510" s="28">
        <v>43678</v>
      </c>
      <c r="B2510" s="27" t="s">
        <v>34</v>
      </c>
      <c r="C2510" s="27" t="s">
        <v>50</v>
      </c>
      <c r="D2510" s="27" t="s">
        <v>6</v>
      </c>
      <c r="E2510" s="27" t="s">
        <v>17</v>
      </c>
      <c r="F2510" s="29"/>
      <c r="G2510" s="30">
        <v>835.00750000000005</v>
      </c>
    </row>
    <row r="2511" spans="1:7" hidden="1" x14ac:dyDescent="0.25">
      <c r="A2511" s="28">
        <v>43678</v>
      </c>
      <c r="B2511" s="27" t="s">
        <v>34</v>
      </c>
      <c r="C2511" s="27" t="s">
        <v>50</v>
      </c>
      <c r="D2511" s="27" t="s">
        <v>6</v>
      </c>
      <c r="E2511" s="27" t="s">
        <v>18</v>
      </c>
      <c r="F2511" s="29"/>
      <c r="G2511" s="30">
        <v>369.30749999999995</v>
      </c>
    </row>
    <row r="2512" spans="1:7" hidden="1" x14ac:dyDescent="0.25">
      <c r="A2512" s="28">
        <v>43678</v>
      </c>
      <c r="B2512" s="27" t="s">
        <v>34</v>
      </c>
      <c r="C2512" s="27" t="s">
        <v>50</v>
      </c>
      <c r="D2512" s="27" t="s">
        <v>6</v>
      </c>
      <c r="E2512" s="27" t="s">
        <v>19</v>
      </c>
      <c r="F2512" s="29"/>
      <c r="G2512" s="30">
        <v>289.51</v>
      </c>
    </row>
    <row r="2513" spans="1:7" hidden="1" x14ac:dyDescent="0.25">
      <c r="A2513" s="28">
        <v>43678</v>
      </c>
      <c r="B2513" s="27" t="s">
        <v>34</v>
      </c>
      <c r="C2513" s="27" t="s">
        <v>50</v>
      </c>
      <c r="D2513" s="27" t="s">
        <v>6</v>
      </c>
      <c r="E2513" s="27" t="s">
        <v>20</v>
      </c>
      <c r="F2513" s="29"/>
      <c r="G2513" s="30">
        <v>550.26900000000001</v>
      </c>
    </row>
    <row r="2514" spans="1:7" hidden="1" x14ac:dyDescent="0.25">
      <c r="A2514" s="28">
        <v>43678</v>
      </c>
      <c r="B2514" s="27" t="s">
        <v>34</v>
      </c>
      <c r="C2514" s="27" t="s">
        <v>50</v>
      </c>
      <c r="D2514" s="27" t="s">
        <v>6</v>
      </c>
      <c r="E2514" s="27" t="s">
        <v>38</v>
      </c>
      <c r="F2514" s="29"/>
      <c r="G2514" s="30">
        <v>10.922000000000001</v>
      </c>
    </row>
    <row r="2515" spans="1:7" hidden="1" x14ac:dyDescent="0.25">
      <c r="A2515" s="28">
        <v>43678</v>
      </c>
      <c r="B2515" s="27" t="s">
        <v>34</v>
      </c>
      <c r="C2515" s="27" t="s">
        <v>50</v>
      </c>
      <c r="D2515" s="27" t="s">
        <v>6</v>
      </c>
      <c r="E2515" s="27" t="s">
        <v>204</v>
      </c>
      <c r="F2515" s="29"/>
      <c r="G2515" s="30">
        <v>164.41666666666666</v>
      </c>
    </row>
    <row r="2516" spans="1:7" hidden="1" x14ac:dyDescent="0.25">
      <c r="A2516" s="28">
        <v>43709</v>
      </c>
      <c r="B2516" s="27" t="s">
        <v>33</v>
      </c>
      <c r="C2516" s="27" t="s">
        <v>50</v>
      </c>
      <c r="D2516" s="27" t="s">
        <v>7</v>
      </c>
      <c r="E2516" s="27" t="s">
        <v>8</v>
      </c>
      <c r="F2516" s="29"/>
      <c r="G2516" s="30">
        <v>2711.7694444444446</v>
      </c>
    </row>
    <row r="2517" spans="1:7" hidden="1" x14ac:dyDescent="0.25">
      <c r="A2517" s="28">
        <v>43709</v>
      </c>
      <c r="B2517" s="27" t="s">
        <v>33</v>
      </c>
      <c r="C2517" s="27" t="s">
        <v>50</v>
      </c>
      <c r="D2517" s="27" t="s">
        <v>7</v>
      </c>
      <c r="E2517" s="27" t="s">
        <v>9</v>
      </c>
      <c r="F2517" s="29"/>
      <c r="G2517" s="30">
        <v>2711.7694444444446</v>
      </c>
    </row>
    <row r="2518" spans="1:7" hidden="1" x14ac:dyDescent="0.25">
      <c r="A2518" s="28">
        <v>43709</v>
      </c>
      <c r="B2518" s="27" t="s">
        <v>33</v>
      </c>
      <c r="C2518" s="27" t="s">
        <v>50</v>
      </c>
      <c r="D2518" s="27" t="s">
        <v>7</v>
      </c>
      <c r="E2518" s="27" t="s">
        <v>64</v>
      </c>
      <c r="F2518" s="29"/>
      <c r="G2518" s="30">
        <v>2711.7694444444446</v>
      </c>
    </row>
    <row r="2519" spans="1:7" hidden="1" x14ac:dyDescent="0.25">
      <c r="A2519" s="28">
        <v>43709</v>
      </c>
      <c r="B2519" s="27" t="s">
        <v>33</v>
      </c>
      <c r="C2519" s="27" t="s">
        <v>50</v>
      </c>
      <c r="D2519" s="27" t="s">
        <v>7</v>
      </c>
      <c r="E2519" s="27" t="s">
        <v>21</v>
      </c>
      <c r="F2519" s="29"/>
      <c r="G2519" s="30">
        <v>2711.7694444444446</v>
      </c>
    </row>
    <row r="2520" spans="1:7" hidden="1" x14ac:dyDescent="0.25">
      <c r="A2520" s="28">
        <v>43709</v>
      </c>
      <c r="B2520" s="27" t="s">
        <v>33</v>
      </c>
      <c r="C2520" s="27" t="s">
        <v>50</v>
      </c>
      <c r="D2520" s="27" t="s">
        <v>7</v>
      </c>
      <c r="E2520" s="27" t="s">
        <v>10</v>
      </c>
      <c r="F2520" s="29"/>
      <c r="G2520" s="30">
        <v>2711.7694444444446</v>
      </c>
    </row>
    <row r="2521" spans="1:7" hidden="1" x14ac:dyDescent="0.25">
      <c r="A2521" s="28">
        <v>43709</v>
      </c>
      <c r="B2521" s="27" t="s">
        <v>33</v>
      </c>
      <c r="C2521" s="27" t="s">
        <v>50</v>
      </c>
      <c r="D2521" s="27" t="s">
        <v>7</v>
      </c>
      <c r="E2521" s="27" t="s">
        <v>11</v>
      </c>
      <c r="F2521" s="29"/>
      <c r="G2521" s="30">
        <v>2711.7694444444446</v>
      </c>
    </row>
    <row r="2522" spans="1:7" hidden="1" x14ac:dyDescent="0.25">
      <c r="A2522" s="28">
        <v>43709</v>
      </c>
      <c r="B2522" s="27" t="s">
        <v>33</v>
      </c>
      <c r="C2522" s="27" t="s">
        <v>50</v>
      </c>
      <c r="D2522" s="27" t="s">
        <v>7</v>
      </c>
      <c r="E2522" s="27" t="s">
        <v>12</v>
      </c>
      <c r="F2522" s="29"/>
      <c r="G2522" s="30">
        <v>2711.7694444444446</v>
      </c>
    </row>
    <row r="2523" spans="1:7" hidden="1" x14ac:dyDescent="0.25">
      <c r="A2523" s="28">
        <v>43709</v>
      </c>
      <c r="B2523" s="27" t="s">
        <v>33</v>
      </c>
      <c r="C2523" s="27" t="s">
        <v>50</v>
      </c>
      <c r="D2523" s="27" t="s">
        <v>7</v>
      </c>
      <c r="E2523" s="27" t="s">
        <v>13</v>
      </c>
      <c r="F2523" s="29"/>
      <c r="G2523" s="30">
        <v>2711.7694444444446</v>
      </c>
    </row>
    <row r="2524" spans="1:7" hidden="1" x14ac:dyDescent="0.25">
      <c r="A2524" s="28">
        <v>43709</v>
      </c>
      <c r="B2524" s="27" t="s">
        <v>33</v>
      </c>
      <c r="C2524" s="27" t="s">
        <v>50</v>
      </c>
      <c r="D2524" s="27" t="s">
        <v>7</v>
      </c>
      <c r="E2524" s="27" t="s">
        <v>14</v>
      </c>
      <c r="F2524" s="29"/>
      <c r="G2524" s="30">
        <v>2711.7694444444446</v>
      </c>
    </row>
    <row r="2525" spans="1:7" hidden="1" x14ac:dyDescent="0.25">
      <c r="A2525" s="28">
        <v>43709</v>
      </c>
      <c r="B2525" s="27" t="s">
        <v>33</v>
      </c>
      <c r="C2525" s="27" t="s">
        <v>50</v>
      </c>
      <c r="D2525" s="27" t="s">
        <v>7</v>
      </c>
      <c r="E2525" s="27" t="s">
        <v>15</v>
      </c>
      <c r="F2525" s="29"/>
      <c r="G2525" s="30">
        <v>2711.7694444444446</v>
      </c>
    </row>
    <row r="2526" spans="1:7" hidden="1" x14ac:dyDescent="0.25">
      <c r="A2526" s="28">
        <v>43709</v>
      </c>
      <c r="B2526" s="27" t="s">
        <v>33</v>
      </c>
      <c r="C2526" s="27" t="s">
        <v>50</v>
      </c>
      <c r="D2526" s="27" t="s">
        <v>7</v>
      </c>
      <c r="E2526" s="27" t="s">
        <v>16</v>
      </c>
      <c r="F2526" s="29"/>
      <c r="G2526" s="30">
        <v>2711.7694444444446</v>
      </c>
    </row>
    <row r="2527" spans="1:7" hidden="1" x14ac:dyDescent="0.25">
      <c r="A2527" s="28">
        <v>43709</v>
      </c>
      <c r="B2527" s="27" t="s">
        <v>33</v>
      </c>
      <c r="C2527" s="27" t="s">
        <v>50</v>
      </c>
      <c r="D2527" s="27" t="s">
        <v>7</v>
      </c>
      <c r="E2527" s="27" t="s">
        <v>17</v>
      </c>
      <c r="F2527" s="29"/>
      <c r="G2527" s="30">
        <v>2711.7694444444446</v>
      </c>
    </row>
    <row r="2528" spans="1:7" hidden="1" x14ac:dyDescent="0.25">
      <c r="A2528" s="28">
        <v>43709</v>
      </c>
      <c r="B2528" s="27" t="s">
        <v>33</v>
      </c>
      <c r="C2528" s="27" t="s">
        <v>50</v>
      </c>
      <c r="D2528" s="27" t="s">
        <v>7</v>
      </c>
      <c r="E2528" s="27" t="s">
        <v>18</v>
      </c>
      <c r="F2528" s="29"/>
      <c r="G2528" s="30">
        <v>2711.7694444444446</v>
      </c>
    </row>
    <row r="2529" spans="1:7" hidden="1" x14ac:dyDescent="0.25">
      <c r="A2529" s="28">
        <v>43709</v>
      </c>
      <c r="B2529" s="27" t="s">
        <v>33</v>
      </c>
      <c r="C2529" s="27" t="s">
        <v>50</v>
      </c>
      <c r="D2529" s="27" t="s">
        <v>7</v>
      </c>
      <c r="E2529" s="27" t="s">
        <v>19</v>
      </c>
      <c r="F2529" s="29"/>
      <c r="G2529" s="30">
        <v>2711.7694444444446</v>
      </c>
    </row>
    <row r="2530" spans="1:7" hidden="1" x14ac:dyDescent="0.25">
      <c r="A2530" s="28">
        <v>43709</v>
      </c>
      <c r="B2530" s="27" t="s">
        <v>33</v>
      </c>
      <c r="C2530" s="27" t="s">
        <v>50</v>
      </c>
      <c r="D2530" s="27" t="s">
        <v>7</v>
      </c>
      <c r="E2530" s="27" t="s">
        <v>20</v>
      </c>
      <c r="F2530" s="29"/>
      <c r="G2530" s="30">
        <v>2711.7694444444446</v>
      </c>
    </row>
    <row r="2531" spans="1:7" hidden="1" x14ac:dyDescent="0.25">
      <c r="A2531" s="28">
        <v>43709</v>
      </c>
      <c r="B2531" s="27" t="s">
        <v>33</v>
      </c>
      <c r="C2531" s="27" t="s">
        <v>50</v>
      </c>
      <c r="D2531" s="27" t="s">
        <v>7</v>
      </c>
      <c r="E2531" s="27" t="s">
        <v>38</v>
      </c>
      <c r="F2531" s="29"/>
      <c r="G2531" s="30">
        <v>2711.7694444444446</v>
      </c>
    </row>
    <row r="2532" spans="1:7" hidden="1" x14ac:dyDescent="0.25">
      <c r="A2532" s="28">
        <v>43709</v>
      </c>
      <c r="B2532" s="27" t="s">
        <v>33</v>
      </c>
      <c r="C2532" s="27" t="s">
        <v>50</v>
      </c>
      <c r="D2532" s="27" t="s">
        <v>7</v>
      </c>
      <c r="E2532" s="27" t="s">
        <v>22</v>
      </c>
      <c r="F2532" s="29"/>
      <c r="G2532" s="30">
        <v>2711.7694444444446</v>
      </c>
    </row>
    <row r="2533" spans="1:7" hidden="1" x14ac:dyDescent="0.25">
      <c r="A2533" s="28">
        <v>43709</v>
      </c>
      <c r="B2533" s="27" t="s">
        <v>33</v>
      </c>
      <c r="C2533" s="27" t="s">
        <v>50</v>
      </c>
      <c r="D2533" s="27" t="s">
        <v>7</v>
      </c>
      <c r="E2533" s="27" t="s">
        <v>37</v>
      </c>
      <c r="F2533" s="29"/>
      <c r="G2533" s="30">
        <v>2711.7694444444446</v>
      </c>
    </row>
    <row r="2534" spans="1:7" hidden="1" x14ac:dyDescent="0.25">
      <c r="A2534" s="28">
        <v>43709</v>
      </c>
      <c r="B2534" s="27" t="s">
        <v>4</v>
      </c>
      <c r="C2534" s="27" t="s">
        <v>50</v>
      </c>
      <c r="D2534" s="27" t="s">
        <v>7</v>
      </c>
      <c r="E2534" s="27" t="s">
        <v>8</v>
      </c>
      <c r="F2534" s="29"/>
      <c r="G2534" s="30">
        <v>3619.61</v>
      </c>
    </row>
    <row r="2535" spans="1:7" hidden="1" x14ac:dyDescent="0.25">
      <c r="A2535" s="28">
        <v>43709</v>
      </c>
      <c r="B2535" s="27" t="s">
        <v>4</v>
      </c>
      <c r="C2535" s="27" t="s">
        <v>50</v>
      </c>
      <c r="D2535" s="27" t="s">
        <v>7</v>
      </c>
      <c r="E2535" s="27" t="s">
        <v>9</v>
      </c>
      <c r="F2535" s="29"/>
      <c r="G2535" s="30">
        <v>3728.28</v>
      </c>
    </row>
    <row r="2536" spans="1:7" hidden="1" x14ac:dyDescent="0.25">
      <c r="A2536" s="28">
        <v>43709</v>
      </c>
      <c r="B2536" s="27" t="s">
        <v>4</v>
      </c>
      <c r="C2536" s="27" t="s">
        <v>50</v>
      </c>
      <c r="D2536" s="27" t="s">
        <v>7</v>
      </c>
      <c r="E2536" s="27" t="s">
        <v>64</v>
      </c>
      <c r="F2536" s="29"/>
      <c r="G2536" s="30">
        <v>3972.63</v>
      </c>
    </row>
    <row r="2537" spans="1:7" hidden="1" x14ac:dyDescent="0.25">
      <c r="A2537" s="28">
        <v>43709</v>
      </c>
      <c r="B2537" s="27" t="s">
        <v>4</v>
      </c>
      <c r="C2537" s="27" t="s">
        <v>50</v>
      </c>
      <c r="D2537" s="27" t="s">
        <v>7</v>
      </c>
      <c r="E2537" s="27" t="s">
        <v>21</v>
      </c>
      <c r="F2537" s="29"/>
      <c r="G2537" s="30">
        <v>4849.5200000000004</v>
      </c>
    </row>
    <row r="2538" spans="1:7" hidden="1" x14ac:dyDescent="0.25">
      <c r="A2538" s="28">
        <v>43709</v>
      </c>
      <c r="B2538" s="27" t="s">
        <v>4</v>
      </c>
      <c r="C2538" s="27" t="s">
        <v>50</v>
      </c>
      <c r="D2538" s="27" t="s">
        <v>7</v>
      </c>
      <c r="E2538" s="27" t="s">
        <v>10</v>
      </c>
      <c r="F2538" s="29"/>
      <c r="G2538" s="30">
        <v>4743.43</v>
      </c>
    </row>
    <row r="2539" spans="1:7" hidden="1" x14ac:dyDescent="0.25">
      <c r="A2539" s="28">
        <v>43709</v>
      </c>
      <c r="B2539" s="27" t="s">
        <v>4</v>
      </c>
      <c r="C2539" s="27" t="s">
        <v>50</v>
      </c>
      <c r="D2539" s="27" t="s">
        <v>7</v>
      </c>
      <c r="E2539" s="27" t="s">
        <v>11</v>
      </c>
      <c r="F2539" s="29"/>
      <c r="G2539" s="30">
        <v>1851.1799999999998</v>
      </c>
    </row>
    <row r="2540" spans="1:7" hidden="1" x14ac:dyDescent="0.25">
      <c r="A2540" s="28">
        <v>43709</v>
      </c>
      <c r="B2540" s="27" t="s">
        <v>4</v>
      </c>
      <c r="C2540" s="27" t="s">
        <v>50</v>
      </c>
      <c r="D2540" s="27" t="s">
        <v>7</v>
      </c>
      <c r="E2540" s="27" t="s">
        <v>12</v>
      </c>
      <c r="F2540" s="29"/>
      <c r="G2540" s="30">
        <v>1410.4399999999998</v>
      </c>
    </row>
    <row r="2541" spans="1:7" hidden="1" x14ac:dyDescent="0.25">
      <c r="A2541" s="28">
        <v>43709</v>
      </c>
      <c r="B2541" s="27" t="s">
        <v>4</v>
      </c>
      <c r="C2541" s="27" t="s">
        <v>50</v>
      </c>
      <c r="D2541" s="27" t="s">
        <v>7</v>
      </c>
      <c r="E2541" s="27" t="s">
        <v>13</v>
      </c>
      <c r="F2541" s="29"/>
      <c r="G2541" s="30">
        <v>6034.44</v>
      </c>
    </row>
    <row r="2542" spans="1:7" hidden="1" x14ac:dyDescent="0.25">
      <c r="A2542" s="28">
        <v>43709</v>
      </c>
      <c r="B2542" s="27" t="s">
        <v>4</v>
      </c>
      <c r="C2542" s="27" t="s">
        <v>50</v>
      </c>
      <c r="D2542" s="27" t="s">
        <v>7</v>
      </c>
      <c r="E2542" s="27" t="s">
        <v>14</v>
      </c>
      <c r="F2542" s="29"/>
      <c r="G2542" s="30">
        <v>1040.98</v>
      </c>
    </row>
    <row r="2543" spans="1:7" hidden="1" x14ac:dyDescent="0.25">
      <c r="A2543" s="28">
        <v>43709</v>
      </c>
      <c r="B2543" s="27" t="s">
        <v>4</v>
      </c>
      <c r="C2543" s="27" t="s">
        <v>50</v>
      </c>
      <c r="D2543" s="27" t="s">
        <v>7</v>
      </c>
      <c r="E2543" s="27" t="s">
        <v>15</v>
      </c>
      <c r="F2543" s="29"/>
      <c r="G2543" s="30">
        <v>3924.87</v>
      </c>
    </row>
    <row r="2544" spans="1:7" hidden="1" x14ac:dyDescent="0.25">
      <c r="A2544" s="28">
        <v>43709</v>
      </c>
      <c r="B2544" s="27" t="s">
        <v>4</v>
      </c>
      <c r="C2544" s="27" t="s">
        <v>50</v>
      </c>
      <c r="D2544" s="27" t="s">
        <v>7</v>
      </c>
      <c r="E2544" s="27" t="s">
        <v>16</v>
      </c>
      <c r="F2544" s="29"/>
      <c r="G2544" s="30">
        <v>4701.03</v>
      </c>
    </row>
    <row r="2545" spans="1:7" hidden="1" x14ac:dyDescent="0.25">
      <c r="A2545" s="28">
        <v>43709</v>
      </c>
      <c r="B2545" s="27" t="s">
        <v>4</v>
      </c>
      <c r="C2545" s="27" t="s">
        <v>50</v>
      </c>
      <c r="D2545" s="27" t="s">
        <v>7</v>
      </c>
      <c r="E2545" s="27" t="s">
        <v>17</v>
      </c>
      <c r="F2545" s="29"/>
      <c r="G2545" s="30">
        <v>5412.56</v>
      </c>
    </row>
    <row r="2546" spans="1:7" hidden="1" x14ac:dyDescent="0.25">
      <c r="A2546" s="28">
        <v>43709</v>
      </c>
      <c r="B2546" s="27" t="s">
        <v>4</v>
      </c>
      <c r="C2546" s="27" t="s">
        <v>50</v>
      </c>
      <c r="D2546" s="27" t="s">
        <v>7</v>
      </c>
      <c r="E2546" s="27" t="s">
        <v>18</v>
      </c>
      <c r="F2546" s="29"/>
      <c r="G2546" s="30">
        <v>2366.77</v>
      </c>
    </row>
    <row r="2547" spans="1:7" hidden="1" x14ac:dyDescent="0.25">
      <c r="A2547" s="28">
        <v>43709</v>
      </c>
      <c r="B2547" s="27" t="s">
        <v>4</v>
      </c>
      <c r="C2547" s="27" t="s">
        <v>50</v>
      </c>
      <c r="D2547" s="27" t="s">
        <v>7</v>
      </c>
      <c r="E2547" s="27" t="s">
        <v>19</v>
      </c>
      <c r="F2547" s="29"/>
      <c r="G2547" s="30">
        <v>6221.93</v>
      </c>
    </row>
    <row r="2548" spans="1:7" hidden="1" x14ac:dyDescent="0.25">
      <c r="A2548" s="28">
        <v>43709</v>
      </c>
      <c r="B2548" s="27" t="s">
        <v>4</v>
      </c>
      <c r="C2548" s="27" t="s">
        <v>50</v>
      </c>
      <c r="D2548" s="27" t="s">
        <v>7</v>
      </c>
      <c r="E2548" s="27" t="s">
        <v>20</v>
      </c>
      <c r="F2548" s="29"/>
      <c r="G2548" s="30">
        <v>1625.56</v>
      </c>
    </row>
    <row r="2549" spans="1:7" hidden="1" x14ac:dyDescent="0.25">
      <c r="A2549" s="28">
        <v>43709</v>
      </c>
      <c r="B2549" s="27" t="s">
        <v>4</v>
      </c>
      <c r="C2549" s="27" t="s">
        <v>50</v>
      </c>
      <c r="D2549" s="27" t="s">
        <v>7</v>
      </c>
      <c r="E2549" s="27" t="s">
        <v>38</v>
      </c>
      <c r="F2549" s="29"/>
      <c r="G2549" s="30">
        <v>1729.12</v>
      </c>
    </row>
    <row r="2550" spans="1:7" hidden="1" x14ac:dyDescent="0.25">
      <c r="A2550" s="28">
        <v>43709</v>
      </c>
      <c r="B2550" s="27" t="s">
        <v>4</v>
      </c>
      <c r="C2550" s="27" t="s">
        <v>50</v>
      </c>
      <c r="D2550" s="27" t="s">
        <v>7</v>
      </c>
      <c r="E2550" s="27" t="s">
        <v>204</v>
      </c>
      <c r="F2550" s="29"/>
      <c r="G2550" s="30">
        <v>223.3</v>
      </c>
    </row>
    <row r="2551" spans="1:7" hidden="1" x14ac:dyDescent="0.25">
      <c r="A2551" s="28">
        <v>43709</v>
      </c>
      <c r="B2551" s="27" t="s">
        <v>4</v>
      </c>
      <c r="C2551" s="27" t="s">
        <v>50</v>
      </c>
      <c r="D2551" s="27" t="s">
        <v>7</v>
      </c>
      <c r="E2551" s="27" t="s">
        <v>37</v>
      </c>
      <c r="F2551" s="29"/>
      <c r="G2551" s="30">
        <v>275</v>
      </c>
    </row>
    <row r="2552" spans="1:7" hidden="1" x14ac:dyDescent="0.25">
      <c r="A2552" s="28">
        <v>43709</v>
      </c>
      <c r="B2552" s="27" t="s">
        <v>26</v>
      </c>
      <c r="C2552" s="27" t="s">
        <v>50</v>
      </c>
      <c r="D2552" s="27" t="s">
        <v>6</v>
      </c>
      <c r="E2552" s="27" t="s">
        <v>8</v>
      </c>
      <c r="F2552" s="29"/>
      <c r="G2552" s="30">
        <v>1194.25</v>
      </c>
    </row>
    <row r="2553" spans="1:7" hidden="1" x14ac:dyDescent="0.25">
      <c r="A2553" s="28">
        <v>43709</v>
      </c>
      <c r="B2553" s="27" t="s">
        <v>26</v>
      </c>
      <c r="C2553" s="27" t="s">
        <v>50</v>
      </c>
      <c r="D2553" s="27" t="s">
        <v>6</v>
      </c>
      <c r="E2553" s="27" t="s">
        <v>9</v>
      </c>
      <c r="F2553" s="29"/>
      <c r="G2553" s="30">
        <v>1550.9166666666667</v>
      </c>
    </row>
    <row r="2554" spans="1:7" hidden="1" x14ac:dyDescent="0.25">
      <c r="A2554" s="28">
        <v>43709</v>
      </c>
      <c r="B2554" s="27" t="s">
        <v>26</v>
      </c>
      <c r="C2554" s="27" t="s">
        <v>50</v>
      </c>
      <c r="D2554" s="27" t="s">
        <v>6</v>
      </c>
      <c r="E2554" s="27" t="s">
        <v>64</v>
      </c>
      <c r="F2554" s="29"/>
      <c r="G2554" s="30">
        <v>1270.3500000000001</v>
      </c>
    </row>
    <row r="2555" spans="1:7" hidden="1" x14ac:dyDescent="0.25">
      <c r="A2555" s="28">
        <v>43709</v>
      </c>
      <c r="B2555" s="27" t="s">
        <v>26</v>
      </c>
      <c r="C2555" s="27" t="s">
        <v>50</v>
      </c>
      <c r="D2555" s="27" t="s">
        <v>6</v>
      </c>
      <c r="E2555" s="27" t="s">
        <v>21</v>
      </c>
      <c r="F2555" s="29"/>
      <c r="G2555" s="30">
        <v>1359.4166666666667</v>
      </c>
    </row>
    <row r="2556" spans="1:7" hidden="1" x14ac:dyDescent="0.25">
      <c r="A2556" s="28">
        <v>43709</v>
      </c>
      <c r="B2556" s="27" t="s">
        <v>26</v>
      </c>
      <c r="C2556" s="27" t="s">
        <v>50</v>
      </c>
      <c r="D2556" s="27" t="s">
        <v>6</v>
      </c>
      <c r="E2556" s="27" t="s">
        <v>10</v>
      </c>
      <c r="F2556" s="29"/>
      <c r="G2556" s="30">
        <v>1998.9666666666669</v>
      </c>
    </row>
    <row r="2557" spans="1:7" hidden="1" x14ac:dyDescent="0.25">
      <c r="A2557" s="28">
        <v>43709</v>
      </c>
      <c r="B2557" s="27" t="s">
        <v>26</v>
      </c>
      <c r="C2557" s="27" t="s">
        <v>50</v>
      </c>
      <c r="D2557" s="27" t="s">
        <v>6</v>
      </c>
      <c r="E2557" s="27" t="s">
        <v>11</v>
      </c>
      <c r="F2557" s="29"/>
      <c r="G2557" s="30">
        <v>1340.7166666666667</v>
      </c>
    </row>
    <row r="2558" spans="1:7" hidden="1" x14ac:dyDescent="0.25">
      <c r="A2558" s="28">
        <v>43709</v>
      </c>
      <c r="B2558" s="27" t="s">
        <v>26</v>
      </c>
      <c r="C2558" s="27" t="s">
        <v>50</v>
      </c>
      <c r="D2558" s="27" t="s">
        <v>6</v>
      </c>
      <c r="E2558" s="27" t="s">
        <v>12</v>
      </c>
      <c r="F2558" s="29"/>
      <c r="G2558" s="30">
        <v>1350.1166666666668</v>
      </c>
    </row>
    <row r="2559" spans="1:7" hidden="1" x14ac:dyDescent="0.25">
      <c r="A2559" s="28">
        <v>43709</v>
      </c>
      <c r="B2559" s="27" t="s">
        <v>26</v>
      </c>
      <c r="C2559" s="27" t="s">
        <v>50</v>
      </c>
      <c r="D2559" s="27" t="s">
        <v>6</v>
      </c>
      <c r="E2559" s="27" t="s">
        <v>13</v>
      </c>
      <c r="F2559" s="29"/>
      <c r="G2559" s="30">
        <v>1901.5</v>
      </c>
    </row>
    <row r="2560" spans="1:7" hidden="1" x14ac:dyDescent="0.25">
      <c r="A2560" s="28">
        <v>43709</v>
      </c>
      <c r="B2560" s="27" t="s">
        <v>26</v>
      </c>
      <c r="C2560" s="27" t="s">
        <v>50</v>
      </c>
      <c r="D2560" s="27" t="s">
        <v>6</v>
      </c>
      <c r="E2560" s="27" t="s">
        <v>14</v>
      </c>
      <c r="F2560" s="29"/>
      <c r="G2560" s="30">
        <v>701.7833333333333</v>
      </c>
    </row>
    <row r="2561" spans="1:7" hidden="1" x14ac:dyDescent="0.25">
      <c r="A2561" s="28">
        <v>43709</v>
      </c>
      <c r="B2561" s="27" t="s">
        <v>26</v>
      </c>
      <c r="C2561" s="27" t="s">
        <v>50</v>
      </c>
      <c r="D2561" s="27" t="s">
        <v>6</v>
      </c>
      <c r="E2561" s="27" t="s">
        <v>15</v>
      </c>
      <c r="F2561" s="29"/>
      <c r="G2561" s="30">
        <v>1820.5500000000002</v>
      </c>
    </row>
    <row r="2562" spans="1:7" hidden="1" x14ac:dyDescent="0.25">
      <c r="A2562" s="28">
        <v>43709</v>
      </c>
      <c r="B2562" s="27" t="s">
        <v>26</v>
      </c>
      <c r="C2562" s="27" t="s">
        <v>50</v>
      </c>
      <c r="D2562" s="27" t="s">
        <v>6</v>
      </c>
      <c r="E2562" s="27" t="s">
        <v>16</v>
      </c>
      <c r="F2562" s="29"/>
      <c r="G2562" s="30">
        <v>1992.5833333333333</v>
      </c>
    </row>
    <row r="2563" spans="1:7" hidden="1" x14ac:dyDescent="0.25">
      <c r="A2563" s="28">
        <v>43709</v>
      </c>
      <c r="B2563" s="27" t="s">
        <v>26</v>
      </c>
      <c r="C2563" s="27" t="s">
        <v>50</v>
      </c>
      <c r="D2563" s="27" t="s">
        <v>6</v>
      </c>
      <c r="E2563" s="27" t="s">
        <v>17</v>
      </c>
      <c r="F2563" s="29"/>
      <c r="G2563" s="30">
        <v>2822.1166666666668</v>
      </c>
    </row>
    <row r="2564" spans="1:7" hidden="1" x14ac:dyDescent="0.25">
      <c r="A2564" s="28">
        <v>43709</v>
      </c>
      <c r="B2564" s="27" t="s">
        <v>26</v>
      </c>
      <c r="C2564" s="27" t="s">
        <v>50</v>
      </c>
      <c r="D2564" s="27" t="s">
        <v>6</v>
      </c>
      <c r="E2564" s="27" t="s">
        <v>18</v>
      </c>
      <c r="F2564" s="29"/>
      <c r="G2564" s="30">
        <v>1488.6666666666667</v>
      </c>
    </row>
    <row r="2565" spans="1:7" hidden="1" x14ac:dyDescent="0.25">
      <c r="A2565" s="28">
        <v>43709</v>
      </c>
      <c r="B2565" s="27" t="s">
        <v>26</v>
      </c>
      <c r="C2565" s="27" t="s">
        <v>50</v>
      </c>
      <c r="D2565" s="27" t="s">
        <v>6</v>
      </c>
      <c r="E2565" s="27" t="s">
        <v>19</v>
      </c>
      <c r="F2565" s="29"/>
      <c r="G2565" s="30">
        <v>2454.8833333333337</v>
      </c>
    </row>
    <row r="2566" spans="1:7" hidden="1" x14ac:dyDescent="0.25">
      <c r="A2566" s="28">
        <v>43709</v>
      </c>
      <c r="B2566" s="27" t="s">
        <v>26</v>
      </c>
      <c r="C2566" s="27" t="s">
        <v>50</v>
      </c>
      <c r="D2566" s="27" t="s">
        <v>6</v>
      </c>
      <c r="E2566" s="27" t="s">
        <v>20</v>
      </c>
      <c r="F2566" s="29"/>
      <c r="G2566" s="30">
        <v>1590.3833333333334</v>
      </c>
    </row>
    <row r="2567" spans="1:7" hidden="1" x14ac:dyDescent="0.25">
      <c r="A2567" s="28">
        <v>43709</v>
      </c>
      <c r="B2567" s="27" t="s">
        <v>26</v>
      </c>
      <c r="C2567" s="27" t="s">
        <v>50</v>
      </c>
      <c r="D2567" s="27" t="s">
        <v>6</v>
      </c>
      <c r="E2567" s="27" t="s">
        <v>38</v>
      </c>
      <c r="F2567" s="29"/>
      <c r="G2567" s="30">
        <v>602</v>
      </c>
    </row>
    <row r="2568" spans="1:7" hidden="1" x14ac:dyDescent="0.25">
      <c r="A2568" s="28">
        <v>43709</v>
      </c>
      <c r="B2568" s="27" t="s">
        <v>26</v>
      </c>
      <c r="C2568" s="27" t="s">
        <v>50</v>
      </c>
      <c r="D2568" s="27" t="s">
        <v>6</v>
      </c>
      <c r="E2568" s="27" t="s">
        <v>204</v>
      </c>
      <c r="F2568" s="29"/>
      <c r="G2568" s="30">
        <v>316.66666666666669</v>
      </c>
    </row>
    <row r="2569" spans="1:7" hidden="1" x14ac:dyDescent="0.25">
      <c r="A2569" s="28">
        <v>43709</v>
      </c>
      <c r="B2569" s="27" t="s">
        <v>26</v>
      </c>
      <c r="C2569" s="27" t="s">
        <v>50</v>
      </c>
      <c r="D2569" s="27" t="s">
        <v>6</v>
      </c>
      <c r="E2569" s="27" t="s">
        <v>205</v>
      </c>
      <c r="F2569" s="29"/>
      <c r="G2569" s="30">
        <v>1200</v>
      </c>
    </row>
    <row r="2570" spans="1:7" hidden="1" x14ac:dyDescent="0.25">
      <c r="A2570" s="28">
        <v>43709</v>
      </c>
      <c r="B2570" s="27" t="s">
        <v>26</v>
      </c>
      <c r="C2570" s="27" t="s">
        <v>50</v>
      </c>
      <c r="D2570" s="27" t="s">
        <v>6</v>
      </c>
      <c r="E2570" s="27" t="s">
        <v>37</v>
      </c>
      <c r="F2570" s="29"/>
      <c r="G2570" s="30">
        <v>250</v>
      </c>
    </row>
    <row r="2571" spans="1:7" hidden="1" x14ac:dyDescent="0.25">
      <c r="A2571" s="28">
        <v>43709</v>
      </c>
      <c r="B2571" s="27" t="s">
        <v>3</v>
      </c>
      <c r="C2571" s="27" t="s">
        <v>50</v>
      </c>
      <c r="D2571" s="27" t="s">
        <v>7</v>
      </c>
      <c r="E2571" s="27" t="s">
        <v>8</v>
      </c>
      <c r="F2571" s="29"/>
      <c r="G2571" s="30">
        <v>605.65684210526308</v>
      </c>
    </row>
    <row r="2572" spans="1:7" hidden="1" x14ac:dyDescent="0.25">
      <c r="A2572" s="28">
        <v>43709</v>
      </c>
      <c r="B2572" s="27" t="s">
        <v>3</v>
      </c>
      <c r="C2572" s="27" t="s">
        <v>50</v>
      </c>
      <c r="D2572" s="27" t="s">
        <v>7</v>
      </c>
      <c r="E2572" s="27" t="s">
        <v>9</v>
      </c>
      <c r="F2572" s="29"/>
      <c r="G2572" s="30">
        <v>605.65684210526308</v>
      </c>
    </row>
    <row r="2573" spans="1:7" hidden="1" x14ac:dyDescent="0.25">
      <c r="A2573" s="28">
        <v>43709</v>
      </c>
      <c r="B2573" s="27" t="s">
        <v>3</v>
      </c>
      <c r="C2573" s="27" t="s">
        <v>50</v>
      </c>
      <c r="D2573" s="27" t="s">
        <v>7</v>
      </c>
      <c r="E2573" s="27" t="s">
        <v>64</v>
      </c>
      <c r="F2573" s="29"/>
      <c r="G2573" s="30">
        <v>605.65684210526308</v>
      </c>
    </row>
    <row r="2574" spans="1:7" hidden="1" x14ac:dyDescent="0.25">
      <c r="A2574" s="28">
        <v>43709</v>
      </c>
      <c r="B2574" s="27" t="s">
        <v>3</v>
      </c>
      <c r="C2574" s="27" t="s">
        <v>50</v>
      </c>
      <c r="D2574" s="27" t="s">
        <v>7</v>
      </c>
      <c r="E2574" s="27" t="s">
        <v>21</v>
      </c>
      <c r="F2574" s="29"/>
      <c r="G2574" s="30">
        <v>605.65684210526308</v>
      </c>
    </row>
    <row r="2575" spans="1:7" hidden="1" x14ac:dyDescent="0.25">
      <c r="A2575" s="28">
        <v>43709</v>
      </c>
      <c r="B2575" s="27" t="s">
        <v>3</v>
      </c>
      <c r="C2575" s="27" t="s">
        <v>50</v>
      </c>
      <c r="D2575" s="27" t="s">
        <v>7</v>
      </c>
      <c r="E2575" s="27" t="s">
        <v>10</v>
      </c>
      <c r="F2575" s="29"/>
      <c r="G2575" s="30">
        <v>605.65684210526308</v>
      </c>
    </row>
    <row r="2576" spans="1:7" hidden="1" x14ac:dyDescent="0.25">
      <c r="A2576" s="28">
        <v>43709</v>
      </c>
      <c r="B2576" s="27" t="s">
        <v>3</v>
      </c>
      <c r="C2576" s="27" t="s">
        <v>50</v>
      </c>
      <c r="D2576" s="27" t="s">
        <v>7</v>
      </c>
      <c r="E2576" s="27" t="s">
        <v>11</v>
      </c>
      <c r="F2576" s="29"/>
      <c r="G2576" s="30">
        <v>605.65684210526308</v>
      </c>
    </row>
    <row r="2577" spans="1:7" hidden="1" x14ac:dyDescent="0.25">
      <c r="A2577" s="28">
        <v>43709</v>
      </c>
      <c r="B2577" s="27" t="s">
        <v>3</v>
      </c>
      <c r="C2577" s="27" t="s">
        <v>50</v>
      </c>
      <c r="D2577" s="27" t="s">
        <v>7</v>
      </c>
      <c r="E2577" s="27" t="s">
        <v>12</v>
      </c>
      <c r="F2577" s="29"/>
      <c r="G2577" s="30">
        <v>605.65684210526308</v>
      </c>
    </row>
    <row r="2578" spans="1:7" hidden="1" x14ac:dyDescent="0.25">
      <c r="A2578" s="28">
        <v>43709</v>
      </c>
      <c r="B2578" s="27" t="s">
        <v>3</v>
      </c>
      <c r="C2578" s="27" t="s">
        <v>50</v>
      </c>
      <c r="D2578" s="27" t="s">
        <v>7</v>
      </c>
      <c r="E2578" s="27" t="s">
        <v>13</v>
      </c>
      <c r="F2578" s="29"/>
      <c r="G2578" s="30">
        <v>605.65684210526308</v>
      </c>
    </row>
    <row r="2579" spans="1:7" hidden="1" x14ac:dyDescent="0.25">
      <c r="A2579" s="28">
        <v>43709</v>
      </c>
      <c r="B2579" s="27" t="s">
        <v>3</v>
      </c>
      <c r="C2579" s="27" t="s">
        <v>50</v>
      </c>
      <c r="D2579" s="27" t="s">
        <v>7</v>
      </c>
      <c r="E2579" s="27" t="s">
        <v>14</v>
      </c>
      <c r="F2579" s="29"/>
      <c r="G2579" s="30">
        <v>605.65684210526308</v>
      </c>
    </row>
    <row r="2580" spans="1:7" hidden="1" x14ac:dyDescent="0.25">
      <c r="A2580" s="28">
        <v>43709</v>
      </c>
      <c r="B2580" s="27" t="s">
        <v>3</v>
      </c>
      <c r="C2580" s="27" t="s">
        <v>50</v>
      </c>
      <c r="D2580" s="27" t="s">
        <v>7</v>
      </c>
      <c r="E2580" s="27" t="s">
        <v>15</v>
      </c>
      <c r="F2580" s="29"/>
      <c r="G2580" s="30">
        <v>605.65684210526308</v>
      </c>
    </row>
    <row r="2581" spans="1:7" hidden="1" x14ac:dyDescent="0.25">
      <c r="A2581" s="28">
        <v>43709</v>
      </c>
      <c r="B2581" s="27" t="s">
        <v>3</v>
      </c>
      <c r="C2581" s="27" t="s">
        <v>50</v>
      </c>
      <c r="D2581" s="27" t="s">
        <v>7</v>
      </c>
      <c r="E2581" s="27" t="s">
        <v>16</v>
      </c>
      <c r="F2581" s="29"/>
      <c r="G2581" s="30">
        <v>605.65684210526308</v>
      </c>
    </row>
    <row r="2582" spans="1:7" hidden="1" x14ac:dyDescent="0.25">
      <c r="A2582" s="28">
        <v>43709</v>
      </c>
      <c r="B2582" s="27" t="s">
        <v>3</v>
      </c>
      <c r="C2582" s="27" t="s">
        <v>50</v>
      </c>
      <c r="D2582" s="27" t="s">
        <v>7</v>
      </c>
      <c r="E2582" s="27" t="s">
        <v>17</v>
      </c>
      <c r="F2582" s="29"/>
      <c r="G2582" s="30">
        <v>605.65684210526308</v>
      </c>
    </row>
    <row r="2583" spans="1:7" hidden="1" x14ac:dyDescent="0.25">
      <c r="A2583" s="28">
        <v>43709</v>
      </c>
      <c r="B2583" s="27" t="s">
        <v>3</v>
      </c>
      <c r="C2583" s="27" t="s">
        <v>50</v>
      </c>
      <c r="D2583" s="27" t="s">
        <v>7</v>
      </c>
      <c r="E2583" s="27" t="s">
        <v>18</v>
      </c>
      <c r="F2583" s="29"/>
      <c r="G2583" s="30">
        <v>605.65684210526308</v>
      </c>
    </row>
    <row r="2584" spans="1:7" hidden="1" x14ac:dyDescent="0.25">
      <c r="A2584" s="28">
        <v>43709</v>
      </c>
      <c r="B2584" s="27" t="s">
        <v>3</v>
      </c>
      <c r="C2584" s="27" t="s">
        <v>50</v>
      </c>
      <c r="D2584" s="27" t="s">
        <v>7</v>
      </c>
      <c r="E2584" s="27" t="s">
        <v>19</v>
      </c>
      <c r="F2584" s="29"/>
      <c r="G2584" s="30">
        <v>605.65684210526308</v>
      </c>
    </row>
    <row r="2585" spans="1:7" hidden="1" x14ac:dyDescent="0.25">
      <c r="A2585" s="28">
        <v>43709</v>
      </c>
      <c r="B2585" s="27" t="s">
        <v>3</v>
      </c>
      <c r="C2585" s="27" t="s">
        <v>50</v>
      </c>
      <c r="D2585" s="27" t="s">
        <v>7</v>
      </c>
      <c r="E2585" s="27" t="s">
        <v>20</v>
      </c>
      <c r="F2585" s="29"/>
      <c r="G2585" s="30">
        <v>605.65684210526308</v>
      </c>
    </row>
    <row r="2586" spans="1:7" hidden="1" x14ac:dyDescent="0.25">
      <c r="A2586" s="28">
        <v>43709</v>
      </c>
      <c r="B2586" s="27" t="s">
        <v>3</v>
      </c>
      <c r="C2586" s="27" t="s">
        <v>50</v>
      </c>
      <c r="D2586" s="27" t="s">
        <v>7</v>
      </c>
      <c r="E2586" s="27" t="s">
        <v>38</v>
      </c>
      <c r="F2586" s="29"/>
      <c r="G2586" s="30">
        <v>605.65684210526308</v>
      </c>
    </row>
    <row r="2587" spans="1:7" hidden="1" x14ac:dyDescent="0.25">
      <c r="A2587" s="28">
        <v>43709</v>
      </c>
      <c r="B2587" s="27" t="s">
        <v>3</v>
      </c>
      <c r="C2587" s="27" t="s">
        <v>50</v>
      </c>
      <c r="D2587" s="27" t="s">
        <v>7</v>
      </c>
      <c r="E2587" s="27" t="s">
        <v>22</v>
      </c>
      <c r="F2587" s="29"/>
      <c r="G2587" s="30">
        <v>605.65684210526308</v>
      </c>
    </row>
    <row r="2588" spans="1:7" hidden="1" x14ac:dyDescent="0.25">
      <c r="A2588" s="28">
        <v>43709</v>
      </c>
      <c r="B2588" s="27" t="s">
        <v>3</v>
      </c>
      <c r="C2588" s="27" t="s">
        <v>50</v>
      </c>
      <c r="D2588" s="27" t="s">
        <v>7</v>
      </c>
      <c r="E2588" s="27" t="s">
        <v>204</v>
      </c>
      <c r="F2588" s="29"/>
      <c r="G2588" s="30">
        <v>605.65684210526308</v>
      </c>
    </row>
    <row r="2589" spans="1:7" hidden="1" x14ac:dyDescent="0.25">
      <c r="A2589" s="28">
        <v>43709</v>
      </c>
      <c r="B2589" s="27" t="s">
        <v>3</v>
      </c>
      <c r="C2589" s="27" t="s">
        <v>50</v>
      </c>
      <c r="D2589" s="27" t="s">
        <v>7</v>
      </c>
      <c r="E2589" s="27" t="s">
        <v>205</v>
      </c>
      <c r="F2589" s="29"/>
      <c r="G2589" s="30">
        <v>605.65684210526308</v>
      </c>
    </row>
    <row r="2590" spans="1:7" hidden="1" x14ac:dyDescent="0.25">
      <c r="A2590" s="28">
        <v>43709</v>
      </c>
      <c r="B2590" s="27" t="s">
        <v>179</v>
      </c>
      <c r="C2590" s="27" t="s">
        <v>50</v>
      </c>
      <c r="D2590" s="27" t="s">
        <v>6</v>
      </c>
      <c r="E2590" s="27" t="s">
        <v>8</v>
      </c>
      <c r="F2590" s="29"/>
      <c r="G2590" s="30">
        <v>82.027500000000003</v>
      </c>
    </row>
    <row r="2591" spans="1:7" hidden="1" x14ac:dyDescent="0.25">
      <c r="A2591" s="28">
        <v>43709</v>
      </c>
      <c r="B2591" s="27" t="s">
        <v>179</v>
      </c>
      <c r="C2591" s="27" t="s">
        <v>50</v>
      </c>
      <c r="D2591" s="27" t="s">
        <v>6</v>
      </c>
      <c r="E2591" s="27" t="s">
        <v>9</v>
      </c>
      <c r="F2591" s="29"/>
      <c r="G2591" s="30">
        <v>80.430833333333325</v>
      </c>
    </row>
    <row r="2592" spans="1:7" hidden="1" x14ac:dyDescent="0.25">
      <c r="A2592" s="28">
        <v>43709</v>
      </c>
      <c r="B2592" s="27" t="s">
        <v>179</v>
      </c>
      <c r="C2592" s="27" t="s">
        <v>50</v>
      </c>
      <c r="D2592" s="27" t="s">
        <v>6</v>
      </c>
      <c r="E2592" s="27" t="s">
        <v>64</v>
      </c>
      <c r="F2592" s="29"/>
      <c r="G2592" s="30">
        <v>99.683333333333337</v>
      </c>
    </row>
    <row r="2593" spans="1:7" hidden="1" x14ac:dyDescent="0.25">
      <c r="A2593" s="28">
        <v>43709</v>
      </c>
      <c r="B2593" s="27" t="s">
        <v>179</v>
      </c>
      <c r="C2593" s="27" t="s">
        <v>50</v>
      </c>
      <c r="D2593" s="27" t="s">
        <v>6</v>
      </c>
      <c r="E2593" s="27" t="s">
        <v>21</v>
      </c>
      <c r="F2593" s="29"/>
      <c r="G2593" s="30">
        <v>75.420833333333334</v>
      </c>
    </row>
    <row r="2594" spans="1:7" hidden="1" x14ac:dyDescent="0.25">
      <c r="A2594" s="28">
        <v>43709</v>
      </c>
      <c r="B2594" s="27" t="s">
        <v>179</v>
      </c>
      <c r="C2594" s="27" t="s">
        <v>50</v>
      </c>
      <c r="D2594" s="27" t="s">
        <v>6</v>
      </c>
      <c r="E2594" s="27" t="s">
        <v>10</v>
      </c>
      <c r="F2594" s="29"/>
      <c r="G2594" s="30">
        <v>94.975833333333341</v>
      </c>
    </row>
    <row r="2595" spans="1:7" hidden="1" x14ac:dyDescent="0.25">
      <c r="A2595" s="28">
        <v>43709</v>
      </c>
      <c r="B2595" s="27" t="s">
        <v>179</v>
      </c>
      <c r="C2595" s="27" t="s">
        <v>50</v>
      </c>
      <c r="D2595" s="27" t="s">
        <v>6</v>
      </c>
      <c r="E2595" s="27" t="s">
        <v>11</v>
      </c>
      <c r="F2595" s="29"/>
      <c r="G2595" s="30">
        <v>99.024999999999991</v>
      </c>
    </row>
    <row r="2596" spans="1:7" hidden="1" x14ac:dyDescent="0.25">
      <c r="A2596" s="28">
        <v>43709</v>
      </c>
      <c r="B2596" s="27" t="s">
        <v>179</v>
      </c>
      <c r="C2596" s="27" t="s">
        <v>50</v>
      </c>
      <c r="D2596" s="27" t="s">
        <v>6</v>
      </c>
      <c r="E2596" s="27" t="s">
        <v>12</v>
      </c>
      <c r="F2596" s="29"/>
      <c r="G2596" s="30">
        <v>75.82083333333334</v>
      </c>
    </row>
    <row r="2597" spans="1:7" hidden="1" x14ac:dyDescent="0.25">
      <c r="A2597" s="28">
        <v>43709</v>
      </c>
      <c r="B2597" s="27" t="s">
        <v>179</v>
      </c>
      <c r="C2597" s="27" t="s">
        <v>50</v>
      </c>
      <c r="D2597" s="27" t="s">
        <v>6</v>
      </c>
      <c r="E2597" s="27" t="s">
        <v>13</v>
      </c>
      <c r="F2597" s="29"/>
      <c r="G2597" s="30">
        <v>100.41500000000001</v>
      </c>
    </row>
    <row r="2598" spans="1:7" hidden="1" x14ac:dyDescent="0.25">
      <c r="A2598" s="28">
        <v>43709</v>
      </c>
      <c r="B2598" s="27" t="s">
        <v>179</v>
      </c>
      <c r="C2598" s="27" t="s">
        <v>50</v>
      </c>
      <c r="D2598" s="27" t="s">
        <v>6</v>
      </c>
      <c r="E2598" s="27" t="s">
        <v>14</v>
      </c>
      <c r="F2598" s="29"/>
      <c r="G2598" s="30">
        <v>84.427499999999995</v>
      </c>
    </row>
    <row r="2599" spans="1:7" hidden="1" x14ac:dyDescent="0.25">
      <c r="A2599" s="28">
        <v>43709</v>
      </c>
      <c r="B2599" s="27" t="s">
        <v>179</v>
      </c>
      <c r="C2599" s="27" t="s">
        <v>50</v>
      </c>
      <c r="D2599" s="27" t="s">
        <v>6</v>
      </c>
      <c r="E2599" s="27" t="s">
        <v>15</v>
      </c>
      <c r="F2599" s="29"/>
      <c r="G2599" s="30">
        <v>97.932500000000005</v>
      </c>
    </row>
    <row r="2600" spans="1:7" hidden="1" x14ac:dyDescent="0.25">
      <c r="A2600" s="28">
        <v>43709</v>
      </c>
      <c r="B2600" s="27" t="s">
        <v>179</v>
      </c>
      <c r="C2600" s="27" t="s">
        <v>50</v>
      </c>
      <c r="D2600" s="27" t="s">
        <v>6</v>
      </c>
      <c r="E2600" s="27" t="s">
        <v>16</v>
      </c>
      <c r="F2600" s="29"/>
      <c r="G2600" s="30">
        <v>99.579166666666666</v>
      </c>
    </row>
    <row r="2601" spans="1:7" hidden="1" x14ac:dyDescent="0.25">
      <c r="A2601" s="28">
        <v>43709</v>
      </c>
      <c r="B2601" s="27" t="s">
        <v>179</v>
      </c>
      <c r="C2601" s="27" t="s">
        <v>50</v>
      </c>
      <c r="D2601" s="27" t="s">
        <v>6</v>
      </c>
      <c r="E2601" s="27" t="s">
        <v>17</v>
      </c>
      <c r="F2601" s="29"/>
      <c r="G2601" s="30">
        <v>163.58583333333334</v>
      </c>
    </row>
    <row r="2602" spans="1:7" hidden="1" x14ac:dyDescent="0.25">
      <c r="A2602" s="28">
        <v>43709</v>
      </c>
      <c r="B2602" s="27" t="s">
        <v>179</v>
      </c>
      <c r="C2602" s="27" t="s">
        <v>50</v>
      </c>
      <c r="D2602" s="27" t="s">
        <v>6</v>
      </c>
      <c r="E2602" s="27" t="s">
        <v>18</v>
      </c>
      <c r="F2602" s="29"/>
      <c r="G2602" s="30">
        <v>189.72083333333333</v>
      </c>
    </row>
    <row r="2603" spans="1:7" hidden="1" x14ac:dyDescent="0.25">
      <c r="A2603" s="28">
        <v>43709</v>
      </c>
      <c r="B2603" s="27" t="s">
        <v>179</v>
      </c>
      <c r="C2603" s="27" t="s">
        <v>50</v>
      </c>
      <c r="D2603" s="27" t="s">
        <v>6</v>
      </c>
      <c r="E2603" s="27" t="s">
        <v>19</v>
      </c>
      <c r="F2603" s="29"/>
      <c r="G2603" s="30">
        <v>132.03083333333333</v>
      </c>
    </row>
    <row r="2604" spans="1:7" hidden="1" x14ac:dyDescent="0.25">
      <c r="A2604" s="28">
        <v>43709</v>
      </c>
      <c r="B2604" s="27" t="s">
        <v>179</v>
      </c>
      <c r="C2604" s="27" t="s">
        <v>50</v>
      </c>
      <c r="D2604" s="27" t="s">
        <v>6</v>
      </c>
      <c r="E2604" s="27" t="s">
        <v>20</v>
      </c>
      <c r="F2604" s="29"/>
      <c r="G2604" s="30">
        <v>408.15999999999997</v>
      </c>
    </row>
    <row r="2605" spans="1:7" hidden="1" x14ac:dyDescent="0.25">
      <c r="A2605" s="28">
        <v>43709</v>
      </c>
      <c r="B2605" s="27" t="s">
        <v>179</v>
      </c>
      <c r="C2605" s="27" t="s">
        <v>50</v>
      </c>
      <c r="D2605" s="27" t="s">
        <v>6</v>
      </c>
      <c r="E2605" s="27" t="s">
        <v>38</v>
      </c>
      <c r="F2605" s="29"/>
      <c r="G2605" s="30">
        <v>300.31</v>
      </c>
    </row>
    <row r="2606" spans="1:7" hidden="1" x14ac:dyDescent="0.25">
      <c r="A2606" s="28">
        <v>43709</v>
      </c>
      <c r="B2606" s="27" t="s">
        <v>179</v>
      </c>
      <c r="C2606" s="27" t="s">
        <v>50</v>
      </c>
      <c r="D2606" s="27" t="s">
        <v>6</v>
      </c>
      <c r="E2606" s="27" t="s">
        <v>23</v>
      </c>
      <c r="F2606" s="29"/>
      <c r="G2606" s="30">
        <v>256.21999999999997</v>
      </c>
    </row>
    <row r="2607" spans="1:7" hidden="1" x14ac:dyDescent="0.25">
      <c r="A2607" s="28">
        <v>43709</v>
      </c>
      <c r="B2607" s="27" t="s">
        <v>179</v>
      </c>
      <c r="C2607" s="27" t="s">
        <v>50</v>
      </c>
      <c r="D2607" s="27" t="s">
        <v>6</v>
      </c>
      <c r="E2607" s="27" t="s">
        <v>204</v>
      </c>
      <c r="F2607" s="29"/>
      <c r="G2607" s="30">
        <v>62.408333333333331</v>
      </c>
    </row>
    <row r="2608" spans="1:7" hidden="1" x14ac:dyDescent="0.25">
      <c r="A2608" s="28">
        <v>43709</v>
      </c>
      <c r="B2608" s="27" t="s">
        <v>179</v>
      </c>
      <c r="C2608" s="27" t="s">
        <v>50</v>
      </c>
      <c r="D2608" s="27" t="s">
        <v>6</v>
      </c>
      <c r="E2608" s="27" t="s">
        <v>205</v>
      </c>
      <c r="F2608" s="29"/>
      <c r="G2608" s="30">
        <v>136.51666666666668</v>
      </c>
    </row>
    <row r="2609" spans="1:7" hidden="1" x14ac:dyDescent="0.25">
      <c r="A2609" s="28">
        <v>43709</v>
      </c>
      <c r="B2609" s="27" t="s">
        <v>32</v>
      </c>
      <c r="C2609" s="27" t="s">
        <v>50</v>
      </c>
      <c r="D2609" s="27" t="s">
        <v>7</v>
      </c>
      <c r="E2609" s="27" t="s">
        <v>10</v>
      </c>
      <c r="F2609" s="29"/>
      <c r="G2609" s="30">
        <v>25</v>
      </c>
    </row>
    <row r="2610" spans="1:7" hidden="1" x14ac:dyDescent="0.25">
      <c r="A2610" s="28">
        <v>43709</v>
      </c>
      <c r="B2610" s="27" t="s">
        <v>5</v>
      </c>
      <c r="C2610" s="27" t="s">
        <v>51</v>
      </c>
      <c r="D2610" s="27" t="s">
        <v>51</v>
      </c>
      <c r="E2610" s="27" t="s">
        <v>8</v>
      </c>
      <c r="F2610" s="29">
        <v>2490</v>
      </c>
      <c r="G2610" s="30">
        <v>7.3905776817530633</v>
      </c>
    </row>
    <row r="2611" spans="1:7" hidden="1" x14ac:dyDescent="0.25">
      <c r="A2611" s="28">
        <v>43709</v>
      </c>
      <c r="B2611" s="27" t="s">
        <v>5</v>
      </c>
      <c r="C2611" s="27" t="s">
        <v>51</v>
      </c>
      <c r="D2611" s="27" t="s">
        <v>51</v>
      </c>
      <c r="E2611" s="27" t="s">
        <v>9</v>
      </c>
      <c r="F2611" s="29">
        <v>3502</v>
      </c>
      <c r="G2611" s="30">
        <v>4.0162857207971996</v>
      </c>
    </row>
    <row r="2612" spans="1:7" hidden="1" x14ac:dyDescent="0.25">
      <c r="A2612" s="28">
        <v>43709</v>
      </c>
      <c r="B2612" s="27" t="s">
        <v>5</v>
      </c>
      <c r="C2612" s="27" t="s">
        <v>51</v>
      </c>
      <c r="D2612" s="27" t="s">
        <v>51</v>
      </c>
      <c r="E2612" s="27" t="s">
        <v>64</v>
      </c>
      <c r="F2612" s="29">
        <v>3594</v>
      </c>
      <c r="G2612" s="30">
        <v>4.2401767095803544</v>
      </c>
    </row>
    <row r="2613" spans="1:7" hidden="1" x14ac:dyDescent="0.25">
      <c r="A2613" s="28">
        <v>43709</v>
      </c>
      <c r="B2613" s="27" t="s">
        <v>5</v>
      </c>
      <c r="C2613" s="27" t="s">
        <v>51</v>
      </c>
      <c r="D2613" s="27" t="s">
        <v>51</v>
      </c>
      <c r="E2613" s="27" t="s">
        <v>21</v>
      </c>
      <c r="F2613" s="29">
        <v>3663</v>
      </c>
      <c r="G2613" s="30">
        <v>4.2689289546542337</v>
      </c>
    </row>
    <row r="2614" spans="1:7" hidden="1" x14ac:dyDescent="0.25">
      <c r="A2614" s="28">
        <v>43709</v>
      </c>
      <c r="B2614" s="27" t="s">
        <v>5</v>
      </c>
      <c r="C2614" s="27" t="s">
        <v>51</v>
      </c>
      <c r="D2614" s="27" t="s">
        <v>51</v>
      </c>
      <c r="E2614" s="27" t="s">
        <v>10</v>
      </c>
      <c r="F2614" s="29">
        <v>3807</v>
      </c>
      <c r="G2614" s="30">
        <v>4.5350514650814624</v>
      </c>
    </row>
    <row r="2615" spans="1:7" hidden="1" x14ac:dyDescent="0.25">
      <c r="A2615" s="28">
        <v>43709</v>
      </c>
      <c r="B2615" s="27" t="s">
        <v>5</v>
      </c>
      <c r="C2615" s="27" t="s">
        <v>51</v>
      </c>
      <c r="D2615" s="27" t="s">
        <v>51</v>
      </c>
      <c r="E2615" s="27" t="s">
        <v>11</v>
      </c>
      <c r="F2615" s="29">
        <v>3080</v>
      </c>
      <c r="G2615" s="30">
        <v>3.6547903444475516</v>
      </c>
    </row>
    <row r="2616" spans="1:7" hidden="1" x14ac:dyDescent="0.25">
      <c r="A2616" s="28">
        <v>43709</v>
      </c>
      <c r="B2616" s="27" t="s">
        <v>5</v>
      </c>
      <c r="C2616" s="27" t="s">
        <v>51</v>
      </c>
      <c r="D2616" s="27" t="s">
        <v>51</v>
      </c>
      <c r="E2616" s="27" t="s">
        <v>12</v>
      </c>
      <c r="F2616" s="29">
        <v>3080</v>
      </c>
      <c r="G2616" s="30">
        <v>3.6415795760492822</v>
      </c>
    </row>
    <row r="2617" spans="1:7" hidden="1" x14ac:dyDescent="0.25">
      <c r="A2617" s="28">
        <v>43709</v>
      </c>
      <c r="B2617" s="27" t="s">
        <v>5</v>
      </c>
      <c r="C2617" s="27" t="s">
        <v>51</v>
      </c>
      <c r="D2617" s="27" t="s">
        <v>51</v>
      </c>
      <c r="E2617" s="27" t="s">
        <v>13</v>
      </c>
      <c r="F2617" s="29">
        <v>8152</v>
      </c>
      <c r="G2617" s="30">
        <v>2.4693028411308218</v>
      </c>
    </row>
    <row r="2618" spans="1:7" hidden="1" x14ac:dyDescent="0.25">
      <c r="A2618" s="28">
        <v>43709</v>
      </c>
      <c r="B2618" s="27" t="s">
        <v>5</v>
      </c>
      <c r="C2618" s="27" t="s">
        <v>51</v>
      </c>
      <c r="D2618" s="27" t="s">
        <v>51</v>
      </c>
      <c r="E2618" s="27" t="s">
        <v>14</v>
      </c>
      <c r="F2618" s="29">
        <v>4617</v>
      </c>
      <c r="G2618" s="30">
        <v>1.9871500456786788</v>
      </c>
    </row>
    <row r="2619" spans="1:7" hidden="1" x14ac:dyDescent="0.25">
      <c r="A2619" s="28">
        <v>43709</v>
      </c>
      <c r="B2619" s="27" t="s">
        <v>5</v>
      </c>
      <c r="C2619" s="27" t="s">
        <v>51</v>
      </c>
      <c r="D2619" s="27" t="s">
        <v>51</v>
      </c>
      <c r="E2619" s="27" t="s">
        <v>15</v>
      </c>
      <c r="F2619" s="29">
        <v>5845</v>
      </c>
      <c r="G2619" s="30">
        <v>2.3942600674476977</v>
      </c>
    </row>
    <row r="2620" spans="1:7" hidden="1" x14ac:dyDescent="0.25">
      <c r="A2620" s="28">
        <v>43709</v>
      </c>
      <c r="B2620" s="27" t="s">
        <v>5</v>
      </c>
      <c r="C2620" s="27" t="s">
        <v>51</v>
      </c>
      <c r="D2620" s="27" t="s">
        <v>51</v>
      </c>
      <c r="E2620" s="27" t="s">
        <v>16</v>
      </c>
      <c r="F2620" s="29">
        <v>5357.8571428571431</v>
      </c>
      <c r="G2620" s="30">
        <v>2.8161771939640721</v>
      </c>
    </row>
    <row r="2621" spans="1:7" hidden="1" x14ac:dyDescent="0.25">
      <c r="A2621" s="28">
        <v>43709</v>
      </c>
      <c r="B2621" s="27" t="s">
        <v>5</v>
      </c>
      <c r="C2621" s="27" t="s">
        <v>51</v>
      </c>
      <c r="D2621" s="27" t="s">
        <v>51</v>
      </c>
      <c r="E2621" s="27" t="s">
        <v>17</v>
      </c>
      <c r="F2621" s="29">
        <v>5828</v>
      </c>
      <c r="G2621" s="30">
        <v>3.0910170889210353</v>
      </c>
    </row>
    <row r="2622" spans="1:7" hidden="1" x14ac:dyDescent="0.25">
      <c r="A2622" s="28">
        <v>43709</v>
      </c>
      <c r="B2622" s="27" t="s">
        <v>5</v>
      </c>
      <c r="C2622" s="27" t="s">
        <v>51</v>
      </c>
      <c r="D2622" s="27" t="s">
        <v>51</v>
      </c>
      <c r="E2622" s="27" t="s">
        <v>18</v>
      </c>
      <c r="F2622" s="29">
        <v>4573</v>
      </c>
      <c r="G2622" s="30">
        <v>2.6222463578027098</v>
      </c>
    </row>
    <row r="2623" spans="1:7" hidden="1" x14ac:dyDescent="0.25">
      <c r="A2623" s="28">
        <v>43709</v>
      </c>
      <c r="B2623" s="27" t="s">
        <v>5</v>
      </c>
      <c r="C2623" s="27" t="s">
        <v>51</v>
      </c>
      <c r="D2623" s="27" t="s">
        <v>51</v>
      </c>
      <c r="E2623" s="27" t="s">
        <v>19</v>
      </c>
      <c r="F2623" s="29">
        <v>8435</v>
      </c>
      <c r="G2623" s="30">
        <v>2.1057879977354426</v>
      </c>
    </row>
    <row r="2624" spans="1:7" hidden="1" x14ac:dyDescent="0.25">
      <c r="A2624" s="28">
        <v>43709</v>
      </c>
      <c r="B2624" s="27" t="s">
        <v>5</v>
      </c>
      <c r="C2624" s="27" t="s">
        <v>51</v>
      </c>
      <c r="D2624" s="27" t="s">
        <v>51</v>
      </c>
      <c r="E2624" s="27" t="s">
        <v>20</v>
      </c>
      <c r="F2624" s="29">
        <v>3172</v>
      </c>
      <c r="G2624" s="30">
        <v>4.1068663075552099</v>
      </c>
    </row>
    <row r="2625" spans="1:7" hidden="1" x14ac:dyDescent="0.25">
      <c r="A2625" s="28">
        <v>43709</v>
      </c>
      <c r="B2625" s="27" t="s">
        <v>5</v>
      </c>
      <c r="C2625" s="27" t="s">
        <v>51</v>
      </c>
      <c r="D2625" s="27" t="s">
        <v>51</v>
      </c>
      <c r="E2625" s="27" t="s">
        <v>38</v>
      </c>
      <c r="F2625" s="29">
        <v>3493</v>
      </c>
      <c r="G2625" s="30">
        <v>3.7446148280079563</v>
      </c>
    </row>
    <row r="2626" spans="1:7" hidden="1" x14ac:dyDescent="0.25">
      <c r="A2626" s="28">
        <v>43709</v>
      </c>
      <c r="B2626" s="27" t="s">
        <v>180</v>
      </c>
      <c r="C2626" s="27" t="s">
        <v>50</v>
      </c>
      <c r="D2626" s="27" t="s">
        <v>7</v>
      </c>
      <c r="E2626" s="27" t="s">
        <v>8</v>
      </c>
      <c r="F2626" s="29"/>
      <c r="G2626" s="30">
        <v>5006.24</v>
      </c>
    </row>
    <row r="2627" spans="1:7" hidden="1" x14ac:dyDescent="0.25">
      <c r="A2627" s="28">
        <v>43709</v>
      </c>
      <c r="B2627" s="27" t="s">
        <v>180</v>
      </c>
      <c r="C2627" s="27" t="s">
        <v>50</v>
      </c>
      <c r="D2627" s="27" t="s">
        <v>7</v>
      </c>
      <c r="E2627" s="27" t="s">
        <v>9</v>
      </c>
      <c r="F2627" s="29"/>
      <c r="G2627" s="30">
        <v>10</v>
      </c>
    </row>
    <row r="2628" spans="1:7" hidden="1" x14ac:dyDescent="0.25">
      <c r="A2628" s="28">
        <v>43709</v>
      </c>
      <c r="B2628" s="27" t="s">
        <v>180</v>
      </c>
      <c r="C2628" s="27" t="s">
        <v>50</v>
      </c>
      <c r="D2628" s="27" t="s">
        <v>7</v>
      </c>
      <c r="E2628" s="27" t="s">
        <v>64</v>
      </c>
      <c r="F2628" s="29"/>
      <c r="G2628" s="30">
        <v>1451.5700000000002</v>
      </c>
    </row>
    <row r="2629" spans="1:7" hidden="1" x14ac:dyDescent="0.25">
      <c r="A2629" s="28">
        <v>43709</v>
      </c>
      <c r="B2629" s="27" t="s">
        <v>180</v>
      </c>
      <c r="C2629" s="27" t="s">
        <v>50</v>
      </c>
      <c r="D2629" s="27" t="s">
        <v>7</v>
      </c>
      <c r="E2629" s="27" t="s">
        <v>21</v>
      </c>
      <c r="F2629" s="29"/>
      <c r="G2629" s="30">
        <v>845.74</v>
      </c>
    </row>
    <row r="2630" spans="1:7" hidden="1" x14ac:dyDescent="0.25">
      <c r="A2630" s="28">
        <v>43709</v>
      </c>
      <c r="B2630" s="27" t="s">
        <v>180</v>
      </c>
      <c r="C2630" s="27" t="s">
        <v>50</v>
      </c>
      <c r="D2630" s="27" t="s">
        <v>7</v>
      </c>
      <c r="E2630" s="27" t="s">
        <v>10</v>
      </c>
      <c r="F2630" s="29"/>
      <c r="G2630" s="30">
        <v>1128.92</v>
      </c>
    </row>
    <row r="2631" spans="1:7" hidden="1" x14ac:dyDescent="0.25">
      <c r="A2631" s="28">
        <v>43709</v>
      </c>
      <c r="B2631" s="27" t="s">
        <v>180</v>
      </c>
      <c r="C2631" s="27" t="s">
        <v>50</v>
      </c>
      <c r="D2631" s="27" t="s">
        <v>7</v>
      </c>
      <c r="E2631" s="27" t="s">
        <v>11</v>
      </c>
      <c r="F2631" s="29"/>
      <c r="G2631" s="30">
        <v>84.06</v>
      </c>
    </row>
    <row r="2632" spans="1:7" hidden="1" x14ac:dyDescent="0.25">
      <c r="A2632" s="28">
        <v>43709</v>
      </c>
      <c r="B2632" s="27" t="s">
        <v>180</v>
      </c>
      <c r="C2632" s="27" t="s">
        <v>50</v>
      </c>
      <c r="D2632" s="27" t="s">
        <v>7</v>
      </c>
      <c r="E2632" s="27" t="s">
        <v>12</v>
      </c>
      <c r="F2632" s="29"/>
      <c r="G2632" s="30">
        <v>608.74</v>
      </c>
    </row>
    <row r="2633" spans="1:7" hidden="1" x14ac:dyDescent="0.25">
      <c r="A2633" s="28">
        <v>43709</v>
      </c>
      <c r="B2633" s="27" t="s">
        <v>180</v>
      </c>
      <c r="C2633" s="27" t="s">
        <v>50</v>
      </c>
      <c r="D2633" s="27" t="s">
        <v>7</v>
      </c>
      <c r="E2633" s="27" t="s">
        <v>13</v>
      </c>
      <c r="F2633" s="29"/>
      <c r="G2633" s="30">
        <v>3168</v>
      </c>
    </row>
    <row r="2634" spans="1:7" hidden="1" x14ac:dyDescent="0.25">
      <c r="A2634" s="28">
        <v>43709</v>
      </c>
      <c r="B2634" s="27" t="s">
        <v>180</v>
      </c>
      <c r="C2634" s="27" t="s">
        <v>50</v>
      </c>
      <c r="D2634" s="27" t="s">
        <v>7</v>
      </c>
      <c r="E2634" s="27" t="s">
        <v>14</v>
      </c>
      <c r="F2634" s="29"/>
      <c r="G2634" s="30">
        <v>60</v>
      </c>
    </row>
    <row r="2635" spans="1:7" hidden="1" x14ac:dyDescent="0.25">
      <c r="A2635" s="28">
        <v>43709</v>
      </c>
      <c r="B2635" s="27" t="s">
        <v>180</v>
      </c>
      <c r="C2635" s="27" t="s">
        <v>50</v>
      </c>
      <c r="D2635" s="27" t="s">
        <v>7</v>
      </c>
      <c r="E2635" s="27" t="s">
        <v>17</v>
      </c>
      <c r="F2635" s="29"/>
      <c r="G2635" s="30">
        <v>720.98</v>
      </c>
    </row>
    <row r="2636" spans="1:7" hidden="1" x14ac:dyDescent="0.25">
      <c r="A2636" s="28">
        <v>43709</v>
      </c>
      <c r="B2636" s="27" t="s">
        <v>180</v>
      </c>
      <c r="C2636" s="27" t="s">
        <v>50</v>
      </c>
      <c r="D2636" s="27" t="s">
        <v>7</v>
      </c>
      <c r="E2636" s="27" t="s">
        <v>18</v>
      </c>
      <c r="F2636" s="29"/>
      <c r="G2636" s="30">
        <v>90</v>
      </c>
    </row>
    <row r="2637" spans="1:7" hidden="1" x14ac:dyDescent="0.25">
      <c r="A2637" s="28">
        <v>43709</v>
      </c>
      <c r="B2637" s="27" t="s">
        <v>180</v>
      </c>
      <c r="C2637" s="27" t="s">
        <v>50</v>
      </c>
      <c r="D2637" s="27" t="s">
        <v>7</v>
      </c>
      <c r="E2637" s="27" t="s">
        <v>19</v>
      </c>
      <c r="F2637" s="29"/>
      <c r="G2637" s="30">
        <v>560</v>
      </c>
    </row>
    <row r="2638" spans="1:7" hidden="1" x14ac:dyDescent="0.25">
      <c r="A2638" s="28">
        <v>43709</v>
      </c>
      <c r="B2638" s="27" t="s">
        <v>180</v>
      </c>
      <c r="C2638" s="27" t="s">
        <v>50</v>
      </c>
      <c r="D2638" s="27" t="s">
        <v>7</v>
      </c>
      <c r="E2638" s="27" t="s">
        <v>20</v>
      </c>
      <c r="F2638" s="29"/>
      <c r="G2638" s="30">
        <v>1350</v>
      </c>
    </row>
    <row r="2639" spans="1:7" hidden="1" x14ac:dyDescent="0.25">
      <c r="A2639" s="28">
        <v>43709</v>
      </c>
      <c r="B2639" s="27" t="s">
        <v>180</v>
      </c>
      <c r="C2639" s="27" t="s">
        <v>50</v>
      </c>
      <c r="D2639" s="27" t="s">
        <v>7</v>
      </c>
      <c r="E2639" s="27" t="s">
        <v>38</v>
      </c>
      <c r="F2639" s="29"/>
      <c r="G2639" s="30">
        <v>2380</v>
      </c>
    </row>
    <row r="2640" spans="1:7" hidden="1" x14ac:dyDescent="0.25">
      <c r="A2640" s="28">
        <v>43709</v>
      </c>
      <c r="B2640" s="27" t="s">
        <v>180</v>
      </c>
      <c r="C2640" s="27" t="s">
        <v>50</v>
      </c>
      <c r="D2640" s="27" t="s">
        <v>7</v>
      </c>
      <c r="E2640" s="27" t="s">
        <v>22</v>
      </c>
      <c r="F2640" s="29"/>
      <c r="G2640" s="30">
        <v>4643</v>
      </c>
    </row>
    <row r="2641" spans="1:7" hidden="1" x14ac:dyDescent="0.25">
      <c r="A2641" s="28">
        <v>43709</v>
      </c>
      <c r="B2641" s="27" t="s">
        <v>181</v>
      </c>
      <c r="C2641" s="27" t="s">
        <v>50</v>
      </c>
      <c r="D2641" s="27" t="s">
        <v>6</v>
      </c>
      <c r="E2641" s="27" t="s">
        <v>15</v>
      </c>
      <c r="F2641" s="29"/>
      <c r="G2641" s="30">
        <v>104</v>
      </c>
    </row>
    <row r="2642" spans="1:7" hidden="1" x14ac:dyDescent="0.25">
      <c r="A2642" s="28">
        <v>43709</v>
      </c>
      <c r="B2642" s="27" t="s">
        <v>181</v>
      </c>
      <c r="C2642" s="27" t="s">
        <v>50</v>
      </c>
      <c r="D2642" s="27" t="s">
        <v>6</v>
      </c>
      <c r="E2642" s="27" t="s">
        <v>16</v>
      </c>
      <c r="F2642" s="29"/>
      <c r="G2642" s="30">
        <v>361</v>
      </c>
    </row>
    <row r="2643" spans="1:7" hidden="1" x14ac:dyDescent="0.25">
      <c r="A2643" s="28">
        <v>43709</v>
      </c>
      <c r="B2643" s="27" t="s">
        <v>181</v>
      </c>
      <c r="C2643" s="27" t="s">
        <v>50</v>
      </c>
      <c r="D2643" s="27" t="s">
        <v>6</v>
      </c>
      <c r="E2643" s="27" t="s">
        <v>19</v>
      </c>
      <c r="F2643" s="29"/>
      <c r="G2643" s="30">
        <v>140</v>
      </c>
    </row>
    <row r="2644" spans="1:7" hidden="1" x14ac:dyDescent="0.25">
      <c r="A2644" s="28">
        <v>43709</v>
      </c>
      <c r="B2644" s="27" t="s">
        <v>25</v>
      </c>
      <c r="C2644" s="27" t="s">
        <v>50</v>
      </c>
      <c r="D2644" s="27" t="s">
        <v>7</v>
      </c>
      <c r="E2644" s="27" t="s">
        <v>8</v>
      </c>
      <c r="F2644" s="29"/>
      <c r="G2644" s="30">
        <v>16.441052631578948</v>
      </c>
    </row>
    <row r="2645" spans="1:7" hidden="1" x14ac:dyDescent="0.25">
      <c r="A2645" s="28">
        <v>43709</v>
      </c>
      <c r="B2645" s="27" t="s">
        <v>25</v>
      </c>
      <c r="C2645" s="27" t="s">
        <v>50</v>
      </c>
      <c r="D2645" s="27" t="s">
        <v>7</v>
      </c>
      <c r="E2645" s="27" t="s">
        <v>9</v>
      </c>
      <c r="F2645" s="29"/>
      <c r="G2645" s="30">
        <v>16.441052631578948</v>
      </c>
    </row>
    <row r="2646" spans="1:7" hidden="1" x14ac:dyDescent="0.25">
      <c r="A2646" s="28">
        <v>43709</v>
      </c>
      <c r="B2646" s="27" t="s">
        <v>25</v>
      </c>
      <c r="C2646" s="27" t="s">
        <v>50</v>
      </c>
      <c r="D2646" s="27" t="s">
        <v>7</v>
      </c>
      <c r="E2646" s="27" t="s">
        <v>64</v>
      </c>
      <c r="F2646" s="29"/>
      <c r="G2646" s="30">
        <v>16.441052631578948</v>
      </c>
    </row>
    <row r="2647" spans="1:7" hidden="1" x14ac:dyDescent="0.25">
      <c r="A2647" s="28">
        <v>43709</v>
      </c>
      <c r="B2647" s="27" t="s">
        <v>25</v>
      </c>
      <c r="C2647" s="27" t="s">
        <v>50</v>
      </c>
      <c r="D2647" s="27" t="s">
        <v>7</v>
      </c>
      <c r="E2647" s="27" t="s">
        <v>21</v>
      </c>
      <c r="F2647" s="29"/>
      <c r="G2647" s="30">
        <v>16.441052631578948</v>
      </c>
    </row>
    <row r="2648" spans="1:7" hidden="1" x14ac:dyDescent="0.25">
      <c r="A2648" s="28">
        <v>43709</v>
      </c>
      <c r="B2648" s="27" t="s">
        <v>25</v>
      </c>
      <c r="C2648" s="27" t="s">
        <v>50</v>
      </c>
      <c r="D2648" s="27" t="s">
        <v>7</v>
      </c>
      <c r="E2648" s="27" t="s">
        <v>10</v>
      </c>
      <c r="F2648" s="29"/>
      <c r="G2648" s="30">
        <v>16.441052631578948</v>
      </c>
    </row>
    <row r="2649" spans="1:7" hidden="1" x14ac:dyDescent="0.25">
      <c r="A2649" s="28">
        <v>43709</v>
      </c>
      <c r="B2649" s="27" t="s">
        <v>25</v>
      </c>
      <c r="C2649" s="27" t="s">
        <v>50</v>
      </c>
      <c r="D2649" s="27" t="s">
        <v>7</v>
      </c>
      <c r="E2649" s="27" t="s">
        <v>11</v>
      </c>
      <c r="F2649" s="29"/>
      <c r="G2649" s="30">
        <v>16.441052631578948</v>
      </c>
    </row>
    <row r="2650" spans="1:7" hidden="1" x14ac:dyDescent="0.25">
      <c r="A2650" s="28">
        <v>43709</v>
      </c>
      <c r="B2650" s="27" t="s">
        <v>25</v>
      </c>
      <c r="C2650" s="27" t="s">
        <v>50</v>
      </c>
      <c r="D2650" s="27" t="s">
        <v>7</v>
      </c>
      <c r="E2650" s="27" t="s">
        <v>12</v>
      </c>
      <c r="F2650" s="29"/>
      <c r="G2650" s="30">
        <v>16.441052631578948</v>
      </c>
    </row>
    <row r="2651" spans="1:7" hidden="1" x14ac:dyDescent="0.25">
      <c r="A2651" s="28">
        <v>43709</v>
      </c>
      <c r="B2651" s="27" t="s">
        <v>25</v>
      </c>
      <c r="C2651" s="27" t="s">
        <v>50</v>
      </c>
      <c r="D2651" s="27" t="s">
        <v>7</v>
      </c>
      <c r="E2651" s="27" t="s">
        <v>13</v>
      </c>
      <c r="F2651" s="29"/>
      <c r="G2651" s="30">
        <v>16.441052631578948</v>
      </c>
    </row>
    <row r="2652" spans="1:7" hidden="1" x14ac:dyDescent="0.25">
      <c r="A2652" s="28">
        <v>43709</v>
      </c>
      <c r="B2652" s="27" t="s">
        <v>25</v>
      </c>
      <c r="C2652" s="27" t="s">
        <v>50</v>
      </c>
      <c r="D2652" s="27" t="s">
        <v>7</v>
      </c>
      <c r="E2652" s="27" t="s">
        <v>14</v>
      </c>
      <c r="F2652" s="29"/>
      <c r="G2652" s="30">
        <v>16.441052631578948</v>
      </c>
    </row>
    <row r="2653" spans="1:7" hidden="1" x14ac:dyDescent="0.25">
      <c r="A2653" s="28">
        <v>43709</v>
      </c>
      <c r="B2653" s="27" t="s">
        <v>25</v>
      </c>
      <c r="C2653" s="27" t="s">
        <v>50</v>
      </c>
      <c r="D2653" s="27" t="s">
        <v>7</v>
      </c>
      <c r="E2653" s="27" t="s">
        <v>15</v>
      </c>
      <c r="F2653" s="29"/>
      <c r="G2653" s="30">
        <v>16.441052631578948</v>
      </c>
    </row>
    <row r="2654" spans="1:7" hidden="1" x14ac:dyDescent="0.25">
      <c r="A2654" s="28">
        <v>43709</v>
      </c>
      <c r="B2654" s="27" t="s">
        <v>25</v>
      </c>
      <c r="C2654" s="27" t="s">
        <v>50</v>
      </c>
      <c r="D2654" s="27" t="s">
        <v>7</v>
      </c>
      <c r="E2654" s="27" t="s">
        <v>16</v>
      </c>
      <c r="F2654" s="29"/>
      <c r="G2654" s="30">
        <v>16.441052631578948</v>
      </c>
    </row>
    <row r="2655" spans="1:7" hidden="1" x14ac:dyDescent="0.25">
      <c r="A2655" s="28">
        <v>43709</v>
      </c>
      <c r="B2655" s="27" t="s">
        <v>25</v>
      </c>
      <c r="C2655" s="27" t="s">
        <v>50</v>
      </c>
      <c r="D2655" s="27" t="s">
        <v>7</v>
      </c>
      <c r="E2655" s="27" t="s">
        <v>17</v>
      </c>
      <c r="F2655" s="29"/>
      <c r="G2655" s="30">
        <v>16.441052631578948</v>
      </c>
    </row>
    <row r="2656" spans="1:7" hidden="1" x14ac:dyDescent="0.25">
      <c r="A2656" s="28">
        <v>43709</v>
      </c>
      <c r="B2656" s="27" t="s">
        <v>25</v>
      </c>
      <c r="C2656" s="27" t="s">
        <v>50</v>
      </c>
      <c r="D2656" s="27" t="s">
        <v>7</v>
      </c>
      <c r="E2656" s="27" t="s">
        <v>18</v>
      </c>
      <c r="F2656" s="29"/>
      <c r="G2656" s="30">
        <v>16.441052631578948</v>
      </c>
    </row>
    <row r="2657" spans="1:7" hidden="1" x14ac:dyDescent="0.25">
      <c r="A2657" s="28">
        <v>43709</v>
      </c>
      <c r="B2657" s="27" t="s">
        <v>25</v>
      </c>
      <c r="C2657" s="27" t="s">
        <v>50</v>
      </c>
      <c r="D2657" s="27" t="s">
        <v>7</v>
      </c>
      <c r="E2657" s="27" t="s">
        <v>19</v>
      </c>
      <c r="F2657" s="29"/>
      <c r="G2657" s="30">
        <v>16.441052631578948</v>
      </c>
    </row>
    <row r="2658" spans="1:7" hidden="1" x14ac:dyDescent="0.25">
      <c r="A2658" s="28">
        <v>43709</v>
      </c>
      <c r="B2658" s="27" t="s">
        <v>25</v>
      </c>
      <c r="C2658" s="27" t="s">
        <v>50</v>
      </c>
      <c r="D2658" s="27" t="s">
        <v>7</v>
      </c>
      <c r="E2658" s="27" t="s">
        <v>20</v>
      </c>
      <c r="F2658" s="29"/>
      <c r="G2658" s="30">
        <v>16.441052631578948</v>
      </c>
    </row>
    <row r="2659" spans="1:7" hidden="1" x14ac:dyDescent="0.25">
      <c r="A2659" s="28">
        <v>43709</v>
      </c>
      <c r="B2659" s="27" t="s">
        <v>25</v>
      </c>
      <c r="C2659" s="27" t="s">
        <v>50</v>
      </c>
      <c r="D2659" s="27" t="s">
        <v>7</v>
      </c>
      <c r="E2659" s="27" t="s">
        <v>38</v>
      </c>
      <c r="F2659" s="29"/>
      <c r="G2659" s="30">
        <v>16.441052631578948</v>
      </c>
    </row>
    <row r="2660" spans="1:7" hidden="1" x14ac:dyDescent="0.25">
      <c r="A2660" s="28">
        <v>43709</v>
      </c>
      <c r="B2660" s="27" t="s">
        <v>25</v>
      </c>
      <c r="C2660" s="27" t="s">
        <v>50</v>
      </c>
      <c r="D2660" s="27" t="s">
        <v>7</v>
      </c>
      <c r="E2660" s="27" t="s">
        <v>22</v>
      </c>
      <c r="F2660" s="29"/>
      <c r="G2660" s="30">
        <v>16.441052631578948</v>
      </c>
    </row>
    <row r="2661" spans="1:7" hidden="1" x14ac:dyDescent="0.25">
      <c r="A2661" s="28">
        <v>43709</v>
      </c>
      <c r="B2661" s="27" t="s">
        <v>25</v>
      </c>
      <c r="C2661" s="27" t="s">
        <v>50</v>
      </c>
      <c r="D2661" s="27" t="s">
        <v>7</v>
      </c>
      <c r="E2661" s="27" t="s">
        <v>204</v>
      </c>
      <c r="F2661" s="29"/>
      <c r="G2661" s="30">
        <v>16.441052631578948</v>
      </c>
    </row>
    <row r="2662" spans="1:7" hidden="1" x14ac:dyDescent="0.25">
      <c r="A2662" s="28">
        <v>43709</v>
      </c>
      <c r="B2662" s="27" t="s">
        <v>25</v>
      </c>
      <c r="C2662" s="27" t="s">
        <v>50</v>
      </c>
      <c r="D2662" s="27" t="s">
        <v>7</v>
      </c>
      <c r="E2662" s="27" t="s">
        <v>205</v>
      </c>
      <c r="F2662" s="29"/>
      <c r="G2662" s="30">
        <v>16.441052631578948</v>
      </c>
    </row>
    <row r="2663" spans="1:7" hidden="1" x14ac:dyDescent="0.25">
      <c r="A2663" s="28">
        <v>43709</v>
      </c>
      <c r="B2663" s="27" t="s">
        <v>2</v>
      </c>
      <c r="C2663" s="27" t="s">
        <v>50</v>
      </c>
      <c r="D2663" s="27" t="s">
        <v>7</v>
      </c>
      <c r="E2663" s="27" t="s">
        <v>8</v>
      </c>
      <c r="F2663" s="29"/>
      <c r="G2663" s="30">
        <v>441.77</v>
      </c>
    </row>
    <row r="2664" spans="1:7" hidden="1" x14ac:dyDescent="0.25">
      <c r="A2664" s="28">
        <v>43709</v>
      </c>
      <c r="B2664" s="27" t="s">
        <v>2</v>
      </c>
      <c r="C2664" s="27" t="s">
        <v>50</v>
      </c>
      <c r="D2664" s="27" t="s">
        <v>7</v>
      </c>
      <c r="E2664" s="27" t="s">
        <v>9</v>
      </c>
      <c r="F2664" s="29"/>
      <c r="G2664" s="30">
        <v>757.42</v>
      </c>
    </row>
    <row r="2665" spans="1:7" hidden="1" x14ac:dyDescent="0.25">
      <c r="A2665" s="28">
        <v>43709</v>
      </c>
      <c r="B2665" s="27" t="s">
        <v>2</v>
      </c>
      <c r="C2665" s="27" t="s">
        <v>50</v>
      </c>
      <c r="D2665" s="27" t="s">
        <v>7</v>
      </c>
      <c r="E2665" s="27" t="s">
        <v>64</v>
      </c>
      <c r="F2665" s="29"/>
      <c r="G2665" s="30">
        <v>673.37</v>
      </c>
    </row>
    <row r="2666" spans="1:7" hidden="1" x14ac:dyDescent="0.25">
      <c r="A2666" s="28">
        <v>43709</v>
      </c>
      <c r="B2666" s="27" t="s">
        <v>2</v>
      </c>
      <c r="C2666" s="27" t="s">
        <v>50</v>
      </c>
      <c r="D2666" s="27" t="s">
        <v>7</v>
      </c>
      <c r="E2666" s="27" t="s">
        <v>21</v>
      </c>
      <c r="F2666" s="29"/>
      <c r="G2666" s="30">
        <v>62.47</v>
      </c>
    </row>
    <row r="2667" spans="1:7" hidden="1" x14ac:dyDescent="0.25">
      <c r="A2667" s="28">
        <v>43709</v>
      </c>
      <c r="B2667" s="27" t="s">
        <v>2</v>
      </c>
      <c r="C2667" s="27" t="s">
        <v>50</v>
      </c>
      <c r="D2667" s="27" t="s">
        <v>7</v>
      </c>
      <c r="E2667" s="27" t="s">
        <v>21</v>
      </c>
      <c r="F2667" s="29"/>
      <c r="G2667" s="30">
        <v>740.6</v>
      </c>
    </row>
    <row r="2668" spans="1:7" hidden="1" x14ac:dyDescent="0.25">
      <c r="A2668" s="28">
        <v>43709</v>
      </c>
      <c r="B2668" s="27" t="s">
        <v>2</v>
      </c>
      <c r="C2668" s="27" t="s">
        <v>50</v>
      </c>
      <c r="D2668" s="27" t="s">
        <v>7</v>
      </c>
      <c r="E2668" s="27" t="s">
        <v>10</v>
      </c>
      <c r="F2668" s="29"/>
      <c r="G2668" s="30">
        <v>934.57</v>
      </c>
    </row>
    <row r="2669" spans="1:7" hidden="1" x14ac:dyDescent="0.25">
      <c r="A2669" s="28">
        <v>43709</v>
      </c>
      <c r="B2669" s="27" t="s">
        <v>2</v>
      </c>
      <c r="C2669" s="27" t="s">
        <v>50</v>
      </c>
      <c r="D2669" s="27" t="s">
        <v>7</v>
      </c>
      <c r="E2669" s="27" t="s">
        <v>11</v>
      </c>
      <c r="F2669" s="29"/>
      <c r="G2669" s="30">
        <v>366.67</v>
      </c>
    </row>
    <row r="2670" spans="1:7" hidden="1" x14ac:dyDescent="0.25">
      <c r="A2670" s="28">
        <v>43709</v>
      </c>
      <c r="B2670" s="27" t="s">
        <v>2</v>
      </c>
      <c r="C2670" s="27" t="s">
        <v>50</v>
      </c>
      <c r="D2670" s="27" t="s">
        <v>7</v>
      </c>
      <c r="E2670" s="27" t="s">
        <v>12</v>
      </c>
      <c r="F2670" s="29"/>
      <c r="G2670" s="30">
        <v>286.07</v>
      </c>
    </row>
    <row r="2671" spans="1:7" hidden="1" x14ac:dyDescent="0.25">
      <c r="A2671" s="28">
        <v>43709</v>
      </c>
      <c r="B2671" s="27" t="s">
        <v>2</v>
      </c>
      <c r="C2671" s="27" t="s">
        <v>50</v>
      </c>
      <c r="D2671" s="27" t="s">
        <v>7</v>
      </c>
      <c r="E2671" s="27" t="s">
        <v>13</v>
      </c>
      <c r="F2671" s="29"/>
      <c r="G2671" s="30">
        <v>1314.85</v>
      </c>
    </row>
    <row r="2672" spans="1:7" hidden="1" x14ac:dyDescent="0.25">
      <c r="A2672" s="28">
        <v>43709</v>
      </c>
      <c r="B2672" s="27" t="s">
        <v>2</v>
      </c>
      <c r="C2672" s="27" t="s">
        <v>50</v>
      </c>
      <c r="D2672" s="27" t="s">
        <v>7</v>
      </c>
      <c r="E2672" s="27" t="s">
        <v>14</v>
      </c>
      <c r="F2672" s="29"/>
      <c r="G2672" s="30">
        <v>25.72</v>
      </c>
    </row>
    <row r="2673" spans="1:7" hidden="1" x14ac:dyDescent="0.25">
      <c r="A2673" s="28">
        <v>43709</v>
      </c>
      <c r="B2673" s="27" t="s">
        <v>2</v>
      </c>
      <c r="C2673" s="27" t="s">
        <v>50</v>
      </c>
      <c r="D2673" s="27" t="s">
        <v>7</v>
      </c>
      <c r="E2673" s="27" t="s">
        <v>15</v>
      </c>
      <c r="F2673" s="29"/>
      <c r="G2673" s="30">
        <v>565.32000000000005</v>
      </c>
    </row>
    <row r="2674" spans="1:7" hidden="1" x14ac:dyDescent="0.25">
      <c r="A2674" s="28">
        <v>43709</v>
      </c>
      <c r="B2674" s="27" t="s">
        <v>2</v>
      </c>
      <c r="C2674" s="27" t="s">
        <v>50</v>
      </c>
      <c r="D2674" s="27" t="s">
        <v>7</v>
      </c>
      <c r="E2674" s="27" t="s">
        <v>16</v>
      </c>
      <c r="F2674" s="29"/>
      <c r="G2674" s="30">
        <v>204.21</v>
      </c>
    </row>
    <row r="2675" spans="1:7" hidden="1" x14ac:dyDescent="0.25">
      <c r="A2675" s="28">
        <v>43709</v>
      </c>
      <c r="B2675" s="27" t="s">
        <v>2</v>
      </c>
      <c r="C2675" s="27" t="s">
        <v>50</v>
      </c>
      <c r="D2675" s="27" t="s">
        <v>7</v>
      </c>
      <c r="E2675" s="27" t="s">
        <v>17</v>
      </c>
      <c r="F2675" s="29"/>
      <c r="G2675" s="30">
        <v>878.71</v>
      </c>
    </row>
    <row r="2676" spans="1:7" hidden="1" x14ac:dyDescent="0.25">
      <c r="A2676" s="28">
        <v>43709</v>
      </c>
      <c r="B2676" s="27" t="s">
        <v>2</v>
      </c>
      <c r="C2676" s="27" t="s">
        <v>50</v>
      </c>
      <c r="D2676" s="27" t="s">
        <v>7</v>
      </c>
      <c r="E2676" s="27" t="s">
        <v>18</v>
      </c>
      <c r="F2676" s="29"/>
      <c r="G2676" s="30">
        <v>414.58</v>
      </c>
    </row>
    <row r="2677" spans="1:7" hidden="1" x14ac:dyDescent="0.25">
      <c r="A2677" s="28">
        <v>43709</v>
      </c>
      <c r="B2677" s="27" t="s">
        <v>2</v>
      </c>
      <c r="C2677" s="27" t="s">
        <v>50</v>
      </c>
      <c r="D2677" s="27" t="s">
        <v>7</v>
      </c>
      <c r="E2677" s="27" t="s">
        <v>19</v>
      </c>
      <c r="F2677" s="29"/>
      <c r="G2677" s="30">
        <v>1031.48</v>
      </c>
    </row>
    <row r="2678" spans="1:7" hidden="1" x14ac:dyDescent="0.25">
      <c r="A2678" s="28">
        <v>43709</v>
      </c>
      <c r="B2678" s="27" t="s">
        <v>2</v>
      </c>
      <c r="C2678" s="27" t="s">
        <v>50</v>
      </c>
      <c r="D2678" s="27" t="s">
        <v>7</v>
      </c>
      <c r="E2678" s="27" t="s">
        <v>20</v>
      </c>
      <c r="F2678" s="29"/>
      <c r="G2678" s="30">
        <v>289.12</v>
      </c>
    </row>
    <row r="2679" spans="1:7" hidden="1" x14ac:dyDescent="0.25">
      <c r="A2679" s="28">
        <v>43709</v>
      </c>
      <c r="B2679" s="27" t="s">
        <v>2</v>
      </c>
      <c r="C2679" s="27" t="s">
        <v>50</v>
      </c>
      <c r="D2679" s="27" t="s">
        <v>7</v>
      </c>
      <c r="E2679" s="27" t="s">
        <v>38</v>
      </c>
      <c r="F2679" s="29"/>
      <c r="G2679" s="30">
        <v>235.57</v>
      </c>
    </row>
    <row r="2680" spans="1:7" hidden="1" x14ac:dyDescent="0.25">
      <c r="A2680" s="28">
        <v>43709</v>
      </c>
      <c r="B2680" s="27" t="s">
        <v>2</v>
      </c>
      <c r="C2680" s="27" t="s">
        <v>50</v>
      </c>
      <c r="D2680" s="27" t="s">
        <v>7</v>
      </c>
      <c r="E2680" s="27" t="s">
        <v>204</v>
      </c>
      <c r="F2680" s="29"/>
      <c r="G2680" s="30">
        <v>25.72</v>
      </c>
    </row>
    <row r="2681" spans="1:7" hidden="1" x14ac:dyDescent="0.25">
      <c r="A2681" s="28">
        <v>43709</v>
      </c>
      <c r="B2681" s="27" t="s">
        <v>36</v>
      </c>
      <c r="C2681" s="27" t="s">
        <v>50</v>
      </c>
      <c r="D2681" s="27" t="s">
        <v>6</v>
      </c>
      <c r="E2681" s="27" t="s">
        <v>8</v>
      </c>
      <c r="F2681" s="29"/>
      <c r="G2681" s="30">
        <v>489.1</v>
      </c>
    </row>
    <row r="2682" spans="1:7" hidden="1" x14ac:dyDescent="0.25">
      <c r="A2682" s="28">
        <v>43709</v>
      </c>
      <c r="B2682" s="27" t="s">
        <v>36</v>
      </c>
      <c r="C2682" s="27" t="s">
        <v>50</v>
      </c>
      <c r="D2682" s="27" t="s">
        <v>6</v>
      </c>
      <c r="E2682" s="27" t="s">
        <v>9</v>
      </c>
      <c r="F2682" s="29"/>
      <c r="G2682" s="30">
        <v>56</v>
      </c>
    </row>
    <row r="2683" spans="1:7" hidden="1" x14ac:dyDescent="0.25">
      <c r="A2683" s="28">
        <v>43709</v>
      </c>
      <c r="B2683" s="27" t="s">
        <v>36</v>
      </c>
      <c r="C2683" s="27" t="s">
        <v>50</v>
      </c>
      <c r="D2683" s="27" t="s">
        <v>6</v>
      </c>
      <c r="E2683" s="27" t="s">
        <v>64</v>
      </c>
      <c r="F2683" s="29"/>
      <c r="G2683" s="30">
        <v>56</v>
      </c>
    </row>
    <row r="2684" spans="1:7" hidden="1" x14ac:dyDescent="0.25">
      <c r="A2684" s="28">
        <v>43709</v>
      </c>
      <c r="B2684" s="27" t="s">
        <v>36</v>
      </c>
      <c r="C2684" s="27" t="s">
        <v>50</v>
      </c>
      <c r="D2684" s="27" t="s">
        <v>6</v>
      </c>
      <c r="E2684" s="27" t="s">
        <v>21</v>
      </c>
      <c r="F2684" s="29"/>
      <c r="G2684" s="30">
        <v>299</v>
      </c>
    </row>
    <row r="2685" spans="1:7" hidden="1" x14ac:dyDescent="0.25">
      <c r="A2685" s="28">
        <v>43709</v>
      </c>
      <c r="B2685" s="27" t="s">
        <v>36</v>
      </c>
      <c r="C2685" s="27" t="s">
        <v>50</v>
      </c>
      <c r="D2685" s="27" t="s">
        <v>6</v>
      </c>
      <c r="E2685" s="27" t="s">
        <v>21</v>
      </c>
      <c r="F2685" s="29"/>
      <c r="G2685" s="30">
        <v>92.28</v>
      </c>
    </row>
    <row r="2686" spans="1:7" hidden="1" x14ac:dyDescent="0.25">
      <c r="A2686" s="28">
        <v>43709</v>
      </c>
      <c r="B2686" s="27" t="s">
        <v>36</v>
      </c>
      <c r="C2686" s="27" t="s">
        <v>50</v>
      </c>
      <c r="D2686" s="27" t="s">
        <v>6</v>
      </c>
      <c r="E2686" s="27" t="s">
        <v>10</v>
      </c>
      <c r="F2686" s="29"/>
      <c r="G2686" s="30">
        <v>489.1</v>
      </c>
    </row>
    <row r="2687" spans="1:7" hidden="1" x14ac:dyDescent="0.25">
      <c r="A2687" s="28">
        <v>43709</v>
      </c>
      <c r="B2687" s="27" t="s">
        <v>36</v>
      </c>
      <c r="C2687" s="27" t="s">
        <v>50</v>
      </c>
      <c r="D2687" s="27" t="s">
        <v>6</v>
      </c>
      <c r="E2687" s="27" t="s">
        <v>11</v>
      </c>
      <c r="F2687" s="29"/>
      <c r="G2687" s="30">
        <v>78.69</v>
      </c>
    </row>
    <row r="2688" spans="1:7" hidden="1" x14ac:dyDescent="0.25">
      <c r="A2688" s="28">
        <v>43709</v>
      </c>
      <c r="B2688" s="27" t="s">
        <v>36</v>
      </c>
      <c r="C2688" s="27" t="s">
        <v>50</v>
      </c>
      <c r="D2688" s="27" t="s">
        <v>6</v>
      </c>
      <c r="E2688" s="27" t="s">
        <v>12</v>
      </c>
      <c r="F2688" s="29"/>
      <c r="G2688" s="30">
        <v>78.69</v>
      </c>
    </row>
    <row r="2689" spans="1:7" hidden="1" x14ac:dyDescent="0.25">
      <c r="A2689" s="28">
        <v>43709</v>
      </c>
      <c r="B2689" s="27" t="s">
        <v>36</v>
      </c>
      <c r="C2689" s="27" t="s">
        <v>50</v>
      </c>
      <c r="D2689" s="27" t="s">
        <v>6</v>
      </c>
      <c r="E2689" s="27" t="s">
        <v>13</v>
      </c>
      <c r="F2689" s="29"/>
      <c r="G2689" s="30">
        <v>56</v>
      </c>
    </row>
    <row r="2690" spans="1:7" hidden="1" x14ac:dyDescent="0.25">
      <c r="A2690" s="28">
        <v>43709</v>
      </c>
      <c r="B2690" s="27" t="s">
        <v>36</v>
      </c>
      <c r="C2690" s="27" t="s">
        <v>50</v>
      </c>
      <c r="D2690" s="27" t="s">
        <v>6</v>
      </c>
      <c r="E2690" s="27" t="s">
        <v>14</v>
      </c>
      <c r="F2690" s="29"/>
      <c r="G2690" s="30">
        <v>78.69</v>
      </c>
    </row>
    <row r="2691" spans="1:7" hidden="1" x14ac:dyDescent="0.25">
      <c r="A2691" s="28">
        <v>43709</v>
      </c>
      <c r="B2691" s="27" t="s">
        <v>36</v>
      </c>
      <c r="C2691" s="27" t="s">
        <v>50</v>
      </c>
      <c r="D2691" s="27" t="s">
        <v>6</v>
      </c>
      <c r="E2691" s="27" t="s">
        <v>15</v>
      </c>
      <c r="F2691" s="29"/>
      <c r="G2691" s="30">
        <v>55</v>
      </c>
    </row>
    <row r="2692" spans="1:7" hidden="1" x14ac:dyDescent="0.25">
      <c r="A2692" s="28">
        <v>43709</v>
      </c>
      <c r="B2692" s="27" t="s">
        <v>36</v>
      </c>
      <c r="C2692" s="27" t="s">
        <v>50</v>
      </c>
      <c r="D2692" s="27" t="s">
        <v>6</v>
      </c>
      <c r="E2692" s="27" t="s">
        <v>16</v>
      </c>
      <c r="F2692" s="29"/>
      <c r="G2692" s="30">
        <v>55</v>
      </c>
    </row>
    <row r="2693" spans="1:7" hidden="1" x14ac:dyDescent="0.25">
      <c r="A2693" s="28">
        <v>43709</v>
      </c>
      <c r="B2693" s="27" t="s">
        <v>36</v>
      </c>
      <c r="C2693" s="27" t="s">
        <v>50</v>
      </c>
      <c r="D2693" s="27" t="s">
        <v>6</v>
      </c>
      <c r="E2693" s="27" t="s">
        <v>17</v>
      </c>
      <c r="F2693" s="29"/>
      <c r="G2693" s="30">
        <v>164</v>
      </c>
    </row>
    <row r="2694" spans="1:7" hidden="1" x14ac:dyDescent="0.25">
      <c r="A2694" s="28">
        <v>43709</v>
      </c>
      <c r="B2694" s="27" t="s">
        <v>36</v>
      </c>
      <c r="C2694" s="27" t="s">
        <v>50</v>
      </c>
      <c r="D2694" s="27" t="s">
        <v>6</v>
      </c>
      <c r="E2694" s="27" t="s">
        <v>18</v>
      </c>
      <c r="F2694" s="29"/>
      <c r="G2694" s="30">
        <v>55</v>
      </c>
    </row>
    <row r="2695" spans="1:7" hidden="1" x14ac:dyDescent="0.25">
      <c r="A2695" s="28">
        <v>43709</v>
      </c>
      <c r="B2695" s="27" t="s">
        <v>36</v>
      </c>
      <c r="C2695" s="27" t="s">
        <v>50</v>
      </c>
      <c r="D2695" s="27" t="s">
        <v>6</v>
      </c>
      <c r="E2695" s="27" t="s">
        <v>19</v>
      </c>
      <c r="F2695" s="29"/>
      <c r="G2695" s="30">
        <v>55</v>
      </c>
    </row>
    <row r="2696" spans="1:7" hidden="1" x14ac:dyDescent="0.25">
      <c r="A2696" s="28">
        <v>43709</v>
      </c>
      <c r="B2696" s="27" t="s">
        <v>36</v>
      </c>
      <c r="C2696" s="27" t="s">
        <v>50</v>
      </c>
      <c r="D2696" s="27" t="s">
        <v>6</v>
      </c>
      <c r="E2696" s="27" t="s">
        <v>20</v>
      </c>
      <c r="F2696" s="29"/>
      <c r="G2696" s="30">
        <v>56</v>
      </c>
    </row>
    <row r="2697" spans="1:7" hidden="1" x14ac:dyDescent="0.25">
      <c r="A2697" s="28">
        <v>43709</v>
      </c>
      <c r="B2697" s="27" t="s">
        <v>36</v>
      </c>
      <c r="C2697" s="27" t="s">
        <v>50</v>
      </c>
      <c r="D2697" s="27" t="s">
        <v>6</v>
      </c>
      <c r="E2697" s="27" t="s">
        <v>38</v>
      </c>
      <c r="F2697" s="29"/>
      <c r="G2697" s="30">
        <v>804.53</v>
      </c>
    </row>
    <row r="2698" spans="1:7" hidden="1" x14ac:dyDescent="0.25">
      <c r="A2698" s="28">
        <v>43709</v>
      </c>
      <c r="B2698" s="27" t="s">
        <v>200</v>
      </c>
      <c r="C2698" s="27" t="s">
        <v>53</v>
      </c>
      <c r="D2698" s="27" t="s">
        <v>6</v>
      </c>
      <c r="E2698" s="27" t="s">
        <v>8</v>
      </c>
      <c r="F2698" s="29"/>
      <c r="G2698" s="30">
        <f t="shared" ref="G2698:G2717" si="48">7174.88302222222/20</f>
        <v>358.74415111111097</v>
      </c>
    </row>
    <row r="2699" spans="1:7" hidden="1" x14ac:dyDescent="0.25">
      <c r="A2699" s="28">
        <v>43709</v>
      </c>
      <c r="B2699" s="27" t="s">
        <v>200</v>
      </c>
      <c r="C2699" s="27" t="s">
        <v>53</v>
      </c>
      <c r="D2699" s="27" t="s">
        <v>6</v>
      </c>
      <c r="E2699" s="27" t="s">
        <v>9</v>
      </c>
      <c r="F2699" s="29"/>
      <c r="G2699" s="30">
        <f t="shared" si="48"/>
        <v>358.74415111111097</v>
      </c>
    </row>
    <row r="2700" spans="1:7" hidden="1" x14ac:dyDescent="0.25">
      <c r="A2700" s="28">
        <v>43709</v>
      </c>
      <c r="B2700" s="27" t="s">
        <v>200</v>
      </c>
      <c r="C2700" s="27" t="s">
        <v>53</v>
      </c>
      <c r="D2700" s="27" t="s">
        <v>6</v>
      </c>
      <c r="E2700" s="27" t="s">
        <v>64</v>
      </c>
      <c r="F2700" s="29"/>
      <c r="G2700" s="30">
        <f t="shared" si="48"/>
        <v>358.74415111111097</v>
      </c>
    </row>
    <row r="2701" spans="1:7" hidden="1" x14ac:dyDescent="0.25">
      <c r="A2701" s="28">
        <v>43709</v>
      </c>
      <c r="B2701" s="27" t="s">
        <v>200</v>
      </c>
      <c r="C2701" s="27" t="s">
        <v>53</v>
      </c>
      <c r="D2701" s="27" t="s">
        <v>6</v>
      </c>
      <c r="E2701" s="27" t="s">
        <v>21</v>
      </c>
      <c r="F2701" s="29"/>
      <c r="G2701" s="30">
        <f t="shared" si="48"/>
        <v>358.74415111111097</v>
      </c>
    </row>
    <row r="2702" spans="1:7" hidden="1" x14ac:dyDescent="0.25">
      <c r="A2702" s="28">
        <v>43709</v>
      </c>
      <c r="B2702" s="27" t="s">
        <v>200</v>
      </c>
      <c r="C2702" s="27" t="s">
        <v>53</v>
      </c>
      <c r="D2702" s="27" t="s">
        <v>6</v>
      </c>
      <c r="E2702" s="27" t="s">
        <v>10</v>
      </c>
      <c r="F2702" s="29"/>
      <c r="G2702" s="30">
        <f t="shared" si="48"/>
        <v>358.74415111111097</v>
      </c>
    </row>
    <row r="2703" spans="1:7" hidden="1" x14ac:dyDescent="0.25">
      <c r="A2703" s="28">
        <v>43709</v>
      </c>
      <c r="B2703" s="27" t="s">
        <v>200</v>
      </c>
      <c r="C2703" s="27" t="s">
        <v>53</v>
      </c>
      <c r="D2703" s="27" t="s">
        <v>6</v>
      </c>
      <c r="E2703" s="27" t="s">
        <v>11</v>
      </c>
      <c r="F2703" s="29"/>
      <c r="G2703" s="30">
        <f t="shared" si="48"/>
        <v>358.74415111111097</v>
      </c>
    </row>
    <row r="2704" spans="1:7" hidden="1" x14ac:dyDescent="0.25">
      <c r="A2704" s="28">
        <v>43709</v>
      </c>
      <c r="B2704" s="27" t="s">
        <v>200</v>
      </c>
      <c r="C2704" s="27" t="s">
        <v>53</v>
      </c>
      <c r="D2704" s="27" t="s">
        <v>6</v>
      </c>
      <c r="E2704" s="27" t="s">
        <v>12</v>
      </c>
      <c r="F2704" s="29"/>
      <c r="G2704" s="30">
        <f t="shared" si="48"/>
        <v>358.74415111111097</v>
      </c>
    </row>
    <row r="2705" spans="1:7" hidden="1" x14ac:dyDescent="0.25">
      <c r="A2705" s="28">
        <v>43709</v>
      </c>
      <c r="B2705" s="27" t="s">
        <v>200</v>
      </c>
      <c r="C2705" s="27" t="s">
        <v>53</v>
      </c>
      <c r="D2705" s="27" t="s">
        <v>6</v>
      </c>
      <c r="E2705" s="27" t="s">
        <v>13</v>
      </c>
      <c r="F2705" s="29"/>
      <c r="G2705" s="30">
        <f t="shared" si="48"/>
        <v>358.74415111111097</v>
      </c>
    </row>
    <row r="2706" spans="1:7" hidden="1" x14ac:dyDescent="0.25">
      <c r="A2706" s="28">
        <v>43709</v>
      </c>
      <c r="B2706" s="27" t="s">
        <v>200</v>
      </c>
      <c r="C2706" s="27" t="s">
        <v>53</v>
      </c>
      <c r="D2706" s="27" t="s">
        <v>6</v>
      </c>
      <c r="E2706" s="27" t="s">
        <v>14</v>
      </c>
      <c r="F2706" s="29"/>
      <c r="G2706" s="30">
        <f t="shared" si="48"/>
        <v>358.74415111111097</v>
      </c>
    </row>
    <row r="2707" spans="1:7" hidden="1" x14ac:dyDescent="0.25">
      <c r="A2707" s="28">
        <v>43709</v>
      </c>
      <c r="B2707" s="27" t="s">
        <v>200</v>
      </c>
      <c r="C2707" s="27" t="s">
        <v>53</v>
      </c>
      <c r="D2707" s="27" t="s">
        <v>6</v>
      </c>
      <c r="E2707" s="27" t="s">
        <v>15</v>
      </c>
      <c r="F2707" s="29"/>
      <c r="G2707" s="30">
        <f t="shared" si="48"/>
        <v>358.74415111111097</v>
      </c>
    </row>
    <row r="2708" spans="1:7" hidden="1" x14ac:dyDescent="0.25">
      <c r="A2708" s="28">
        <v>43709</v>
      </c>
      <c r="B2708" s="27" t="s">
        <v>200</v>
      </c>
      <c r="C2708" s="27" t="s">
        <v>53</v>
      </c>
      <c r="D2708" s="27" t="s">
        <v>6</v>
      </c>
      <c r="E2708" s="27" t="s">
        <v>16</v>
      </c>
      <c r="F2708" s="29"/>
      <c r="G2708" s="30">
        <f t="shared" si="48"/>
        <v>358.74415111111097</v>
      </c>
    </row>
    <row r="2709" spans="1:7" hidden="1" x14ac:dyDescent="0.25">
      <c r="A2709" s="28">
        <v>43709</v>
      </c>
      <c r="B2709" s="27" t="s">
        <v>200</v>
      </c>
      <c r="C2709" s="27" t="s">
        <v>53</v>
      </c>
      <c r="D2709" s="27" t="s">
        <v>6</v>
      </c>
      <c r="E2709" s="27" t="s">
        <v>17</v>
      </c>
      <c r="F2709" s="29"/>
      <c r="G2709" s="30">
        <f t="shared" si="48"/>
        <v>358.74415111111097</v>
      </c>
    </row>
    <row r="2710" spans="1:7" hidden="1" x14ac:dyDescent="0.25">
      <c r="A2710" s="28">
        <v>43709</v>
      </c>
      <c r="B2710" s="27" t="s">
        <v>200</v>
      </c>
      <c r="C2710" s="27" t="s">
        <v>53</v>
      </c>
      <c r="D2710" s="27" t="s">
        <v>6</v>
      </c>
      <c r="E2710" s="27" t="s">
        <v>18</v>
      </c>
      <c r="F2710" s="29"/>
      <c r="G2710" s="30">
        <f t="shared" si="48"/>
        <v>358.74415111111097</v>
      </c>
    </row>
    <row r="2711" spans="1:7" hidden="1" x14ac:dyDescent="0.25">
      <c r="A2711" s="28">
        <v>43709</v>
      </c>
      <c r="B2711" s="27" t="s">
        <v>200</v>
      </c>
      <c r="C2711" s="27" t="s">
        <v>53</v>
      </c>
      <c r="D2711" s="27" t="s">
        <v>6</v>
      </c>
      <c r="E2711" s="27" t="s">
        <v>19</v>
      </c>
      <c r="F2711" s="29"/>
      <c r="G2711" s="30">
        <f t="shared" si="48"/>
        <v>358.74415111111097</v>
      </c>
    </row>
    <row r="2712" spans="1:7" hidden="1" x14ac:dyDescent="0.25">
      <c r="A2712" s="28">
        <v>43709</v>
      </c>
      <c r="B2712" s="27" t="s">
        <v>200</v>
      </c>
      <c r="C2712" s="27" t="s">
        <v>53</v>
      </c>
      <c r="D2712" s="27" t="s">
        <v>6</v>
      </c>
      <c r="E2712" s="27" t="s">
        <v>20</v>
      </c>
      <c r="F2712" s="29"/>
      <c r="G2712" s="30">
        <f t="shared" si="48"/>
        <v>358.74415111111097</v>
      </c>
    </row>
    <row r="2713" spans="1:7" hidden="1" x14ac:dyDescent="0.25">
      <c r="A2713" s="28">
        <v>43709</v>
      </c>
      <c r="B2713" s="27" t="s">
        <v>200</v>
      </c>
      <c r="C2713" s="27" t="s">
        <v>53</v>
      </c>
      <c r="D2713" s="27" t="s">
        <v>6</v>
      </c>
      <c r="E2713" s="27" t="s">
        <v>38</v>
      </c>
      <c r="F2713" s="29"/>
      <c r="G2713" s="30">
        <f t="shared" si="48"/>
        <v>358.74415111111097</v>
      </c>
    </row>
    <row r="2714" spans="1:7" hidden="1" x14ac:dyDescent="0.25">
      <c r="A2714" s="28">
        <v>43709</v>
      </c>
      <c r="B2714" s="27" t="s">
        <v>200</v>
      </c>
      <c r="C2714" s="27" t="s">
        <v>53</v>
      </c>
      <c r="D2714" s="27" t="s">
        <v>6</v>
      </c>
      <c r="E2714" s="27" t="s">
        <v>23</v>
      </c>
      <c r="F2714" s="29"/>
      <c r="G2714" s="30">
        <f t="shared" si="48"/>
        <v>358.74415111111097</v>
      </c>
    </row>
    <row r="2715" spans="1:7" hidden="1" x14ac:dyDescent="0.25">
      <c r="A2715" s="28">
        <v>43709</v>
      </c>
      <c r="B2715" s="27" t="s">
        <v>200</v>
      </c>
      <c r="C2715" s="27" t="s">
        <v>53</v>
      </c>
      <c r="D2715" s="27" t="s">
        <v>6</v>
      </c>
      <c r="E2715" s="27" t="s">
        <v>204</v>
      </c>
      <c r="F2715" s="29"/>
      <c r="G2715" s="30">
        <f t="shared" si="48"/>
        <v>358.74415111111097</v>
      </c>
    </row>
    <row r="2716" spans="1:7" hidden="1" x14ac:dyDescent="0.25">
      <c r="A2716" s="28">
        <v>43709</v>
      </c>
      <c r="B2716" s="27" t="s">
        <v>200</v>
      </c>
      <c r="C2716" s="27" t="s">
        <v>53</v>
      </c>
      <c r="D2716" s="27" t="s">
        <v>6</v>
      </c>
      <c r="E2716" s="27" t="s">
        <v>205</v>
      </c>
      <c r="F2716" s="29"/>
      <c r="G2716" s="30">
        <f t="shared" si="48"/>
        <v>358.74415111111097</v>
      </c>
    </row>
    <row r="2717" spans="1:7" hidden="1" x14ac:dyDescent="0.25">
      <c r="A2717" s="28">
        <v>43709</v>
      </c>
      <c r="B2717" s="27" t="s">
        <v>200</v>
      </c>
      <c r="C2717" s="27" t="s">
        <v>53</v>
      </c>
      <c r="D2717" s="27" t="s">
        <v>6</v>
      </c>
      <c r="E2717" s="27" t="s">
        <v>205</v>
      </c>
      <c r="F2717" s="29"/>
      <c r="G2717" s="30">
        <f t="shared" si="48"/>
        <v>358.74415111111097</v>
      </c>
    </row>
    <row r="2718" spans="1:7" hidden="1" x14ac:dyDescent="0.25">
      <c r="A2718" s="28">
        <v>43709</v>
      </c>
      <c r="B2718" s="27" t="s">
        <v>200</v>
      </c>
      <c r="C2718" s="27" t="s">
        <v>54</v>
      </c>
      <c r="D2718" s="27" t="s">
        <v>7</v>
      </c>
      <c r="E2718" s="27" t="s">
        <v>8</v>
      </c>
      <c r="F2718" s="29"/>
      <c r="G2718" s="30">
        <f t="shared" ref="G2718:G2735" si="49">247.75/18</f>
        <v>13.763888888888889</v>
      </c>
    </row>
    <row r="2719" spans="1:7" hidden="1" x14ac:dyDescent="0.25">
      <c r="A2719" s="28">
        <v>43709</v>
      </c>
      <c r="B2719" s="27" t="s">
        <v>200</v>
      </c>
      <c r="C2719" s="27" t="s">
        <v>54</v>
      </c>
      <c r="D2719" s="27" t="s">
        <v>7</v>
      </c>
      <c r="E2719" s="27" t="s">
        <v>9</v>
      </c>
      <c r="F2719" s="29"/>
      <c r="G2719" s="30">
        <f t="shared" si="49"/>
        <v>13.763888888888889</v>
      </c>
    </row>
    <row r="2720" spans="1:7" hidden="1" x14ac:dyDescent="0.25">
      <c r="A2720" s="28">
        <v>43709</v>
      </c>
      <c r="B2720" s="27" t="s">
        <v>200</v>
      </c>
      <c r="C2720" s="27" t="s">
        <v>54</v>
      </c>
      <c r="D2720" s="27" t="s">
        <v>7</v>
      </c>
      <c r="E2720" s="27" t="s">
        <v>64</v>
      </c>
      <c r="F2720" s="29"/>
      <c r="G2720" s="30">
        <f t="shared" si="49"/>
        <v>13.763888888888889</v>
      </c>
    </row>
    <row r="2721" spans="1:7" hidden="1" x14ac:dyDescent="0.25">
      <c r="A2721" s="28">
        <v>43709</v>
      </c>
      <c r="B2721" s="27" t="s">
        <v>200</v>
      </c>
      <c r="C2721" s="27" t="s">
        <v>54</v>
      </c>
      <c r="D2721" s="27" t="s">
        <v>7</v>
      </c>
      <c r="E2721" s="27" t="s">
        <v>21</v>
      </c>
      <c r="F2721" s="29"/>
      <c r="G2721" s="30">
        <f t="shared" si="49"/>
        <v>13.763888888888889</v>
      </c>
    </row>
    <row r="2722" spans="1:7" hidden="1" x14ac:dyDescent="0.25">
      <c r="A2722" s="28">
        <v>43709</v>
      </c>
      <c r="B2722" s="27" t="s">
        <v>200</v>
      </c>
      <c r="C2722" s="27" t="s">
        <v>54</v>
      </c>
      <c r="D2722" s="27" t="s">
        <v>7</v>
      </c>
      <c r="E2722" s="27" t="s">
        <v>10</v>
      </c>
      <c r="F2722" s="29"/>
      <c r="G2722" s="30">
        <f t="shared" si="49"/>
        <v>13.763888888888889</v>
      </c>
    </row>
    <row r="2723" spans="1:7" hidden="1" x14ac:dyDescent="0.25">
      <c r="A2723" s="28">
        <v>43709</v>
      </c>
      <c r="B2723" s="27" t="s">
        <v>200</v>
      </c>
      <c r="C2723" s="27" t="s">
        <v>54</v>
      </c>
      <c r="D2723" s="27" t="s">
        <v>7</v>
      </c>
      <c r="E2723" s="27" t="s">
        <v>11</v>
      </c>
      <c r="F2723" s="29"/>
      <c r="G2723" s="30">
        <f t="shared" si="49"/>
        <v>13.763888888888889</v>
      </c>
    </row>
    <row r="2724" spans="1:7" hidden="1" x14ac:dyDescent="0.25">
      <c r="A2724" s="28">
        <v>43709</v>
      </c>
      <c r="B2724" s="27" t="s">
        <v>200</v>
      </c>
      <c r="C2724" s="27" t="s">
        <v>54</v>
      </c>
      <c r="D2724" s="27" t="s">
        <v>7</v>
      </c>
      <c r="E2724" s="27" t="s">
        <v>12</v>
      </c>
      <c r="F2724" s="29"/>
      <c r="G2724" s="30">
        <f t="shared" si="49"/>
        <v>13.763888888888889</v>
      </c>
    </row>
    <row r="2725" spans="1:7" hidden="1" x14ac:dyDescent="0.25">
      <c r="A2725" s="28">
        <v>43709</v>
      </c>
      <c r="B2725" s="27" t="s">
        <v>200</v>
      </c>
      <c r="C2725" s="27" t="s">
        <v>54</v>
      </c>
      <c r="D2725" s="27" t="s">
        <v>7</v>
      </c>
      <c r="E2725" s="27" t="s">
        <v>13</v>
      </c>
      <c r="F2725" s="29"/>
      <c r="G2725" s="30">
        <f t="shared" si="49"/>
        <v>13.763888888888889</v>
      </c>
    </row>
    <row r="2726" spans="1:7" hidden="1" x14ac:dyDescent="0.25">
      <c r="A2726" s="28">
        <v>43709</v>
      </c>
      <c r="B2726" s="27" t="s">
        <v>200</v>
      </c>
      <c r="C2726" s="27" t="s">
        <v>54</v>
      </c>
      <c r="D2726" s="27" t="s">
        <v>7</v>
      </c>
      <c r="E2726" s="27" t="s">
        <v>14</v>
      </c>
      <c r="F2726" s="29"/>
      <c r="G2726" s="30">
        <f t="shared" si="49"/>
        <v>13.763888888888889</v>
      </c>
    </row>
    <row r="2727" spans="1:7" hidden="1" x14ac:dyDescent="0.25">
      <c r="A2727" s="28">
        <v>43709</v>
      </c>
      <c r="B2727" s="27" t="s">
        <v>200</v>
      </c>
      <c r="C2727" s="27" t="s">
        <v>54</v>
      </c>
      <c r="D2727" s="27" t="s">
        <v>7</v>
      </c>
      <c r="E2727" s="27" t="s">
        <v>15</v>
      </c>
      <c r="F2727" s="29"/>
      <c r="G2727" s="30">
        <f t="shared" si="49"/>
        <v>13.763888888888889</v>
      </c>
    </row>
    <row r="2728" spans="1:7" hidden="1" x14ac:dyDescent="0.25">
      <c r="A2728" s="28">
        <v>43709</v>
      </c>
      <c r="B2728" s="27" t="s">
        <v>200</v>
      </c>
      <c r="C2728" s="27" t="s">
        <v>54</v>
      </c>
      <c r="D2728" s="27" t="s">
        <v>7</v>
      </c>
      <c r="E2728" s="27" t="s">
        <v>16</v>
      </c>
      <c r="F2728" s="29"/>
      <c r="G2728" s="30">
        <f t="shared" si="49"/>
        <v>13.763888888888889</v>
      </c>
    </row>
    <row r="2729" spans="1:7" hidden="1" x14ac:dyDescent="0.25">
      <c r="A2729" s="28">
        <v>43709</v>
      </c>
      <c r="B2729" s="27" t="s">
        <v>200</v>
      </c>
      <c r="C2729" s="27" t="s">
        <v>54</v>
      </c>
      <c r="D2729" s="27" t="s">
        <v>7</v>
      </c>
      <c r="E2729" s="27" t="s">
        <v>17</v>
      </c>
      <c r="F2729" s="29"/>
      <c r="G2729" s="30">
        <f t="shared" si="49"/>
        <v>13.763888888888889</v>
      </c>
    </row>
    <row r="2730" spans="1:7" hidden="1" x14ac:dyDescent="0.25">
      <c r="A2730" s="28">
        <v>43709</v>
      </c>
      <c r="B2730" s="27" t="s">
        <v>200</v>
      </c>
      <c r="C2730" s="27" t="s">
        <v>54</v>
      </c>
      <c r="D2730" s="27" t="s">
        <v>7</v>
      </c>
      <c r="E2730" s="27" t="s">
        <v>18</v>
      </c>
      <c r="F2730" s="29"/>
      <c r="G2730" s="30">
        <f t="shared" si="49"/>
        <v>13.763888888888889</v>
      </c>
    </row>
    <row r="2731" spans="1:7" hidden="1" x14ac:dyDescent="0.25">
      <c r="A2731" s="28">
        <v>43709</v>
      </c>
      <c r="B2731" s="27" t="s">
        <v>200</v>
      </c>
      <c r="C2731" s="27" t="s">
        <v>54</v>
      </c>
      <c r="D2731" s="27" t="s">
        <v>7</v>
      </c>
      <c r="E2731" s="27" t="s">
        <v>19</v>
      </c>
      <c r="F2731" s="29"/>
      <c r="G2731" s="30">
        <f t="shared" si="49"/>
        <v>13.763888888888889</v>
      </c>
    </row>
    <row r="2732" spans="1:7" hidden="1" x14ac:dyDescent="0.25">
      <c r="A2732" s="28">
        <v>43709</v>
      </c>
      <c r="B2732" s="27" t="s">
        <v>200</v>
      </c>
      <c r="C2732" s="27" t="s">
        <v>54</v>
      </c>
      <c r="D2732" s="27" t="s">
        <v>7</v>
      </c>
      <c r="E2732" s="27" t="s">
        <v>20</v>
      </c>
      <c r="F2732" s="29"/>
      <c r="G2732" s="30">
        <f t="shared" si="49"/>
        <v>13.763888888888889</v>
      </c>
    </row>
    <row r="2733" spans="1:7" hidden="1" x14ac:dyDescent="0.25">
      <c r="A2733" s="28">
        <v>43709</v>
      </c>
      <c r="B2733" s="27" t="s">
        <v>200</v>
      </c>
      <c r="C2733" s="27" t="s">
        <v>54</v>
      </c>
      <c r="D2733" s="27" t="s">
        <v>7</v>
      </c>
      <c r="E2733" s="27" t="s">
        <v>38</v>
      </c>
      <c r="F2733" s="29"/>
      <c r="G2733" s="30">
        <f t="shared" si="49"/>
        <v>13.763888888888889</v>
      </c>
    </row>
    <row r="2734" spans="1:7" hidden="1" x14ac:dyDescent="0.25">
      <c r="A2734" s="28">
        <v>43709</v>
      </c>
      <c r="B2734" s="27" t="s">
        <v>200</v>
      </c>
      <c r="C2734" s="27" t="s">
        <v>54</v>
      </c>
      <c r="D2734" s="27" t="s">
        <v>7</v>
      </c>
      <c r="E2734" s="27" t="s">
        <v>204</v>
      </c>
      <c r="F2734" s="29"/>
      <c r="G2734" s="30">
        <f t="shared" si="49"/>
        <v>13.763888888888889</v>
      </c>
    </row>
    <row r="2735" spans="1:7" hidden="1" x14ac:dyDescent="0.25">
      <c r="A2735" s="28">
        <v>43709</v>
      </c>
      <c r="B2735" s="27" t="s">
        <v>200</v>
      </c>
      <c r="C2735" s="27" t="s">
        <v>54</v>
      </c>
      <c r="D2735" s="27" t="s">
        <v>7</v>
      </c>
      <c r="E2735" s="27" t="s">
        <v>37</v>
      </c>
      <c r="F2735" s="29"/>
      <c r="G2735" s="30">
        <f t="shared" si="49"/>
        <v>13.763888888888889</v>
      </c>
    </row>
    <row r="2736" spans="1:7" hidden="1" x14ac:dyDescent="0.25">
      <c r="A2736" s="28">
        <v>43709</v>
      </c>
      <c r="B2736" s="27" t="s">
        <v>200</v>
      </c>
      <c r="C2736" s="27" t="s">
        <v>55</v>
      </c>
      <c r="D2736" s="27" t="s">
        <v>6</v>
      </c>
      <c r="E2736" s="27" t="s">
        <v>8</v>
      </c>
      <c r="F2736" s="29"/>
      <c r="G2736" s="30">
        <f t="shared" ref="G2736:G2755" si="50">17096.0863555556/20</f>
        <v>854.80431777777994</v>
      </c>
    </row>
    <row r="2737" spans="1:7" hidden="1" x14ac:dyDescent="0.25">
      <c r="A2737" s="28">
        <v>43709</v>
      </c>
      <c r="B2737" s="27" t="s">
        <v>200</v>
      </c>
      <c r="C2737" s="27" t="s">
        <v>55</v>
      </c>
      <c r="D2737" s="27" t="s">
        <v>6</v>
      </c>
      <c r="E2737" s="27" t="s">
        <v>9</v>
      </c>
      <c r="F2737" s="29"/>
      <c r="G2737" s="30">
        <f t="shared" si="50"/>
        <v>854.80431777777994</v>
      </c>
    </row>
    <row r="2738" spans="1:7" hidden="1" x14ac:dyDescent="0.25">
      <c r="A2738" s="28">
        <v>43709</v>
      </c>
      <c r="B2738" s="27" t="s">
        <v>200</v>
      </c>
      <c r="C2738" s="27" t="s">
        <v>55</v>
      </c>
      <c r="D2738" s="27" t="s">
        <v>6</v>
      </c>
      <c r="E2738" s="27" t="s">
        <v>64</v>
      </c>
      <c r="F2738" s="29"/>
      <c r="G2738" s="30">
        <f t="shared" si="50"/>
        <v>854.80431777777994</v>
      </c>
    </row>
    <row r="2739" spans="1:7" hidden="1" x14ac:dyDescent="0.25">
      <c r="A2739" s="28">
        <v>43709</v>
      </c>
      <c r="B2739" s="27" t="s">
        <v>200</v>
      </c>
      <c r="C2739" s="27" t="s">
        <v>55</v>
      </c>
      <c r="D2739" s="27" t="s">
        <v>6</v>
      </c>
      <c r="E2739" s="27" t="s">
        <v>21</v>
      </c>
      <c r="F2739" s="29"/>
      <c r="G2739" s="30">
        <f t="shared" si="50"/>
        <v>854.80431777777994</v>
      </c>
    </row>
    <row r="2740" spans="1:7" hidden="1" x14ac:dyDescent="0.25">
      <c r="A2740" s="28">
        <v>43709</v>
      </c>
      <c r="B2740" s="27" t="s">
        <v>200</v>
      </c>
      <c r="C2740" s="27" t="s">
        <v>55</v>
      </c>
      <c r="D2740" s="27" t="s">
        <v>6</v>
      </c>
      <c r="E2740" s="27" t="s">
        <v>10</v>
      </c>
      <c r="F2740" s="29"/>
      <c r="G2740" s="30">
        <f t="shared" si="50"/>
        <v>854.80431777777994</v>
      </c>
    </row>
    <row r="2741" spans="1:7" hidden="1" x14ac:dyDescent="0.25">
      <c r="A2741" s="28">
        <v>43709</v>
      </c>
      <c r="B2741" s="27" t="s">
        <v>200</v>
      </c>
      <c r="C2741" s="27" t="s">
        <v>55</v>
      </c>
      <c r="D2741" s="27" t="s">
        <v>6</v>
      </c>
      <c r="E2741" s="27" t="s">
        <v>11</v>
      </c>
      <c r="F2741" s="29"/>
      <c r="G2741" s="30">
        <f t="shared" si="50"/>
        <v>854.80431777777994</v>
      </c>
    </row>
    <row r="2742" spans="1:7" hidden="1" x14ac:dyDescent="0.25">
      <c r="A2742" s="28">
        <v>43709</v>
      </c>
      <c r="B2742" s="27" t="s">
        <v>200</v>
      </c>
      <c r="C2742" s="27" t="s">
        <v>55</v>
      </c>
      <c r="D2742" s="27" t="s">
        <v>6</v>
      </c>
      <c r="E2742" s="27" t="s">
        <v>12</v>
      </c>
      <c r="F2742" s="29"/>
      <c r="G2742" s="30">
        <f t="shared" si="50"/>
        <v>854.80431777777994</v>
      </c>
    </row>
    <row r="2743" spans="1:7" hidden="1" x14ac:dyDescent="0.25">
      <c r="A2743" s="28">
        <v>43709</v>
      </c>
      <c r="B2743" s="27" t="s">
        <v>200</v>
      </c>
      <c r="C2743" s="27" t="s">
        <v>55</v>
      </c>
      <c r="D2743" s="27" t="s">
        <v>6</v>
      </c>
      <c r="E2743" s="27" t="s">
        <v>13</v>
      </c>
      <c r="F2743" s="29"/>
      <c r="G2743" s="30">
        <f t="shared" si="50"/>
        <v>854.80431777777994</v>
      </c>
    </row>
    <row r="2744" spans="1:7" hidden="1" x14ac:dyDescent="0.25">
      <c r="A2744" s="28">
        <v>43709</v>
      </c>
      <c r="B2744" s="27" t="s">
        <v>200</v>
      </c>
      <c r="C2744" s="27" t="s">
        <v>55</v>
      </c>
      <c r="D2744" s="27" t="s">
        <v>6</v>
      </c>
      <c r="E2744" s="27" t="s">
        <v>14</v>
      </c>
      <c r="F2744" s="29"/>
      <c r="G2744" s="30">
        <f t="shared" si="50"/>
        <v>854.80431777777994</v>
      </c>
    </row>
    <row r="2745" spans="1:7" hidden="1" x14ac:dyDescent="0.25">
      <c r="A2745" s="28">
        <v>43709</v>
      </c>
      <c r="B2745" s="27" t="s">
        <v>200</v>
      </c>
      <c r="C2745" s="27" t="s">
        <v>55</v>
      </c>
      <c r="D2745" s="27" t="s">
        <v>6</v>
      </c>
      <c r="E2745" s="27" t="s">
        <v>15</v>
      </c>
      <c r="F2745" s="29"/>
      <c r="G2745" s="30">
        <f t="shared" si="50"/>
        <v>854.80431777777994</v>
      </c>
    </row>
    <row r="2746" spans="1:7" hidden="1" x14ac:dyDescent="0.25">
      <c r="A2746" s="28">
        <v>43709</v>
      </c>
      <c r="B2746" s="27" t="s">
        <v>200</v>
      </c>
      <c r="C2746" s="27" t="s">
        <v>55</v>
      </c>
      <c r="D2746" s="27" t="s">
        <v>6</v>
      </c>
      <c r="E2746" s="27" t="s">
        <v>16</v>
      </c>
      <c r="F2746" s="29"/>
      <c r="G2746" s="30">
        <f t="shared" si="50"/>
        <v>854.80431777777994</v>
      </c>
    </row>
    <row r="2747" spans="1:7" hidden="1" x14ac:dyDescent="0.25">
      <c r="A2747" s="28">
        <v>43709</v>
      </c>
      <c r="B2747" s="27" t="s">
        <v>200</v>
      </c>
      <c r="C2747" s="27" t="s">
        <v>55</v>
      </c>
      <c r="D2747" s="27" t="s">
        <v>6</v>
      </c>
      <c r="E2747" s="27" t="s">
        <v>17</v>
      </c>
      <c r="F2747" s="29"/>
      <c r="G2747" s="30">
        <f t="shared" si="50"/>
        <v>854.80431777777994</v>
      </c>
    </row>
    <row r="2748" spans="1:7" hidden="1" x14ac:dyDescent="0.25">
      <c r="A2748" s="28">
        <v>43709</v>
      </c>
      <c r="B2748" s="27" t="s">
        <v>200</v>
      </c>
      <c r="C2748" s="27" t="s">
        <v>55</v>
      </c>
      <c r="D2748" s="27" t="s">
        <v>6</v>
      </c>
      <c r="E2748" s="27" t="s">
        <v>18</v>
      </c>
      <c r="F2748" s="29"/>
      <c r="G2748" s="30">
        <f t="shared" si="50"/>
        <v>854.80431777777994</v>
      </c>
    </row>
    <row r="2749" spans="1:7" hidden="1" x14ac:dyDescent="0.25">
      <c r="A2749" s="28">
        <v>43709</v>
      </c>
      <c r="B2749" s="27" t="s">
        <v>200</v>
      </c>
      <c r="C2749" s="27" t="s">
        <v>55</v>
      </c>
      <c r="D2749" s="27" t="s">
        <v>6</v>
      </c>
      <c r="E2749" s="27" t="s">
        <v>19</v>
      </c>
      <c r="F2749" s="29"/>
      <c r="G2749" s="30">
        <f t="shared" si="50"/>
        <v>854.80431777777994</v>
      </c>
    </row>
    <row r="2750" spans="1:7" hidden="1" x14ac:dyDescent="0.25">
      <c r="A2750" s="28">
        <v>43709</v>
      </c>
      <c r="B2750" s="27" t="s">
        <v>200</v>
      </c>
      <c r="C2750" s="27" t="s">
        <v>55</v>
      </c>
      <c r="D2750" s="27" t="s">
        <v>6</v>
      </c>
      <c r="E2750" s="27" t="s">
        <v>20</v>
      </c>
      <c r="F2750" s="29"/>
      <c r="G2750" s="30">
        <f t="shared" si="50"/>
        <v>854.80431777777994</v>
      </c>
    </row>
    <row r="2751" spans="1:7" hidden="1" x14ac:dyDescent="0.25">
      <c r="A2751" s="28">
        <v>43709</v>
      </c>
      <c r="B2751" s="27" t="s">
        <v>200</v>
      </c>
      <c r="C2751" s="27" t="s">
        <v>55</v>
      </c>
      <c r="D2751" s="27" t="s">
        <v>6</v>
      </c>
      <c r="E2751" s="27" t="s">
        <v>38</v>
      </c>
      <c r="F2751" s="29"/>
      <c r="G2751" s="30">
        <f t="shared" si="50"/>
        <v>854.80431777777994</v>
      </c>
    </row>
    <row r="2752" spans="1:7" hidden="1" x14ac:dyDescent="0.25">
      <c r="A2752" s="28">
        <v>43709</v>
      </c>
      <c r="B2752" s="27" t="s">
        <v>200</v>
      </c>
      <c r="C2752" s="27" t="s">
        <v>55</v>
      </c>
      <c r="D2752" s="27" t="s">
        <v>6</v>
      </c>
      <c r="E2752" s="27" t="s">
        <v>23</v>
      </c>
      <c r="F2752" s="29"/>
      <c r="G2752" s="30">
        <f t="shared" si="50"/>
        <v>854.80431777777994</v>
      </c>
    </row>
    <row r="2753" spans="1:7" hidden="1" x14ac:dyDescent="0.25">
      <c r="A2753" s="28">
        <v>43709</v>
      </c>
      <c r="B2753" s="27" t="s">
        <v>200</v>
      </c>
      <c r="C2753" s="27" t="s">
        <v>55</v>
      </c>
      <c r="D2753" s="27" t="s">
        <v>6</v>
      </c>
      <c r="E2753" s="27" t="s">
        <v>204</v>
      </c>
      <c r="F2753" s="29"/>
      <c r="G2753" s="30">
        <f t="shared" si="50"/>
        <v>854.80431777777994</v>
      </c>
    </row>
    <row r="2754" spans="1:7" hidden="1" x14ac:dyDescent="0.25">
      <c r="A2754" s="28">
        <v>43709</v>
      </c>
      <c r="B2754" s="27" t="s">
        <v>200</v>
      </c>
      <c r="C2754" s="27" t="s">
        <v>55</v>
      </c>
      <c r="D2754" s="27" t="s">
        <v>6</v>
      </c>
      <c r="E2754" s="27" t="s">
        <v>205</v>
      </c>
      <c r="F2754" s="29"/>
      <c r="G2754" s="30">
        <f t="shared" si="50"/>
        <v>854.80431777777994</v>
      </c>
    </row>
    <row r="2755" spans="1:7" hidden="1" x14ac:dyDescent="0.25">
      <c r="A2755" s="28">
        <v>43709</v>
      </c>
      <c r="B2755" s="27" t="s">
        <v>200</v>
      </c>
      <c r="C2755" s="27" t="s">
        <v>55</v>
      </c>
      <c r="D2755" s="27" t="s">
        <v>6</v>
      </c>
      <c r="E2755" s="27" t="s">
        <v>205</v>
      </c>
      <c r="F2755" s="29"/>
      <c r="G2755" s="30">
        <f t="shared" si="50"/>
        <v>854.80431777777994</v>
      </c>
    </row>
    <row r="2756" spans="1:7" hidden="1" x14ac:dyDescent="0.25">
      <c r="A2756" s="28">
        <v>43709</v>
      </c>
      <c r="B2756" s="27" t="s">
        <v>200</v>
      </c>
      <c r="C2756" s="27" t="s">
        <v>183</v>
      </c>
      <c r="D2756" s="27" t="s">
        <v>7</v>
      </c>
      <c r="E2756" s="27" t="s">
        <v>8</v>
      </c>
      <c r="F2756" s="29"/>
      <c r="G2756" s="30">
        <f t="shared" ref="G2756:G2773" si="51">1487.78/18</f>
        <v>82.654444444444437</v>
      </c>
    </row>
    <row r="2757" spans="1:7" hidden="1" x14ac:dyDescent="0.25">
      <c r="A2757" s="28">
        <v>43709</v>
      </c>
      <c r="B2757" s="27" t="s">
        <v>200</v>
      </c>
      <c r="C2757" s="27" t="s">
        <v>183</v>
      </c>
      <c r="D2757" s="27" t="s">
        <v>7</v>
      </c>
      <c r="E2757" s="27" t="s">
        <v>9</v>
      </c>
      <c r="F2757" s="29"/>
      <c r="G2757" s="30">
        <f t="shared" si="51"/>
        <v>82.654444444444437</v>
      </c>
    </row>
    <row r="2758" spans="1:7" hidden="1" x14ac:dyDescent="0.25">
      <c r="A2758" s="28">
        <v>43709</v>
      </c>
      <c r="B2758" s="27" t="s">
        <v>200</v>
      </c>
      <c r="C2758" s="27" t="s">
        <v>183</v>
      </c>
      <c r="D2758" s="27" t="s">
        <v>7</v>
      </c>
      <c r="E2758" s="27" t="s">
        <v>64</v>
      </c>
      <c r="F2758" s="29"/>
      <c r="G2758" s="30">
        <f t="shared" si="51"/>
        <v>82.654444444444437</v>
      </c>
    </row>
    <row r="2759" spans="1:7" hidden="1" x14ac:dyDescent="0.25">
      <c r="A2759" s="28">
        <v>43709</v>
      </c>
      <c r="B2759" s="27" t="s">
        <v>200</v>
      </c>
      <c r="C2759" s="27" t="s">
        <v>183</v>
      </c>
      <c r="D2759" s="27" t="s">
        <v>7</v>
      </c>
      <c r="E2759" s="27" t="s">
        <v>21</v>
      </c>
      <c r="F2759" s="29"/>
      <c r="G2759" s="30">
        <f t="shared" si="51"/>
        <v>82.654444444444437</v>
      </c>
    </row>
    <row r="2760" spans="1:7" hidden="1" x14ac:dyDescent="0.25">
      <c r="A2760" s="28">
        <v>43709</v>
      </c>
      <c r="B2760" s="27" t="s">
        <v>200</v>
      </c>
      <c r="C2760" s="27" t="s">
        <v>183</v>
      </c>
      <c r="D2760" s="27" t="s">
        <v>7</v>
      </c>
      <c r="E2760" s="27" t="s">
        <v>10</v>
      </c>
      <c r="F2760" s="29"/>
      <c r="G2760" s="30">
        <f t="shared" si="51"/>
        <v>82.654444444444437</v>
      </c>
    </row>
    <row r="2761" spans="1:7" hidden="1" x14ac:dyDescent="0.25">
      <c r="A2761" s="28">
        <v>43709</v>
      </c>
      <c r="B2761" s="27" t="s">
        <v>200</v>
      </c>
      <c r="C2761" s="27" t="s">
        <v>183</v>
      </c>
      <c r="D2761" s="27" t="s">
        <v>7</v>
      </c>
      <c r="E2761" s="27" t="s">
        <v>11</v>
      </c>
      <c r="F2761" s="29"/>
      <c r="G2761" s="30">
        <f t="shared" si="51"/>
        <v>82.654444444444437</v>
      </c>
    </row>
    <row r="2762" spans="1:7" hidden="1" x14ac:dyDescent="0.25">
      <c r="A2762" s="28">
        <v>43709</v>
      </c>
      <c r="B2762" s="27" t="s">
        <v>200</v>
      </c>
      <c r="C2762" s="27" t="s">
        <v>183</v>
      </c>
      <c r="D2762" s="27" t="s">
        <v>7</v>
      </c>
      <c r="E2762" s="27" t="s">
        <v>12</v>
      </c>
      <c r="F2762" s="29"/>
      <c r="G2762" s="30">
        <f t="shared" si="51"/>
        <v>82.654444444444437</v>
      </c>
    </row>
    <row r="2763" spans="1:7" hidden="1" x14ac:dyDescent="0.25">
      <c r="A2763" s="28">
        <v>43709</v>
      </c>
      <c r="B2763" s="27" t="s">
        <v>200</v>
      </c>
      <c r="C2763" s="27" t="s">
        <v>183</v>
      </c>
      <c r="D2763" s="27" t="s">
        <v>7</v>
      </c>
      <c r="E2763" s="27" t="s">
        <v>13</v>
      </c>
      <c r="F2763" s="29"/>
      <c r="G2763" s="30">
        <f t="shared" si="51"/>
        <v>82.654444444444437</v>
      </c>
    </row>
    <row r="2764" spans="1:7" hidden="1" x14ac:dyDescent="0.25">
      <c r="A2764" s="28">
        <v>43709</v>
      </c>
      <c r="B2764" s="27" t="s">
        <v>200</v>
      </c>
      <c r="C2764" s="27" t="s">
        <v>183</v>
      </c>
      <c r="D2764" s="27" t="s">
        <v>7</v>
      </c>
      <c r="E2764" s="27" t="s">
        <v>14</v>
      </c>
      <c r="F2764" s="29"/>
      <c r="G2764" s="30">
        <f t="shared" si="51"/>
        <v>82.654444444444437</v>
      </c>
    </row>
    <row r="2765" spans="1:7" hidden="1" x14ac:dyDescent="0.25">
      <c r="A2765" s="28">
        <v>43709</v>
      </c>
      <c r="B2765" s="27" t="s">
        <v>200</v>
      </c>
      <c r="C2765" s="27" t="s">
        <v>183</v>
      </c>
      <c r="D2765" s="27" t="s">
        <v>7</v>
      </c>
      <c r="E2765" s="27" t="s">
        <v>15</v>
      </c>
      <c r="F2765" s="29"/>
      <c r="G2765" s="30">
        <f t="shared" si="51"/>
        <v>82.654444444444437</v>
      </c>
    </row>
    <row r="2766" spans="1:7" hidden="1" x14ac:dyDescent="0.25">
      <c r="A2766" s="28">
        <v>43709</v>
      </c>
      <c r="B2766" s="27" t="s">
        <v>200</v>
      </c>
      <c r="C2766" s="27" t="s">
        <v>183</v>
      </c>
      <c r="D2766" s="27" t="s">
        <v>7</v>
      </c>
      <c r="E2766" s="27" t="s">
        <v>16</v>
      </c>
      <c r="F2766" s="29"/>
      <c r="G2766" s="30">
        <f t="shared" si="51"/>
        <v>82.654444444444437</v>
      </c>
    </row>
    <row r="2767" spans="1:7" hidden="1" x14ac:dyDescent="0.25">
      <c r="A2767" s="28">
        <v>43709</v>
      </c>
      <c r="B2767" s="27" t="s">
        <v>200</v>
      </c>
      <c r="C2767" s="27" t="s">
        <v>183</v>
      </c>
      <c r="D2767" s="27" t="s">
        <v>7</v>
      </c>
      <c r="E2767" s="27" t="s">
        <v>17</v>
      </c>
      <c r="F2767" s="29"/>
      <c r="G2767" s="30">
        <f t="shared" si="51"/>
        <v>82.654444444444437</v>
      </c>
    </row>
    <row r="2768" spans="1:7" hidden="1" x14ac:dyDescent="0.25">
      <c r="A2768" s="28">
        <v>43709</v>
      </c>
      <c r="B2768" s="27" t="s">
        <v>200</v>
      </c>
      <c r="C2768" s="27" t="s">
        <v>183</v>
      </c>
      <c r="D2768" s="27" t="s">
        <v>7</v>
      </c>
      <c r="E2768" s="27" t="s">
        <v>18</v>
      </c>
      <c r="F2768" s="29"/>
      <c r="G2768" s="30">
        <f t="shared" si="51"/>
        <v>82.654444444444437</v>
      </c>
    </row>
    <row r="2769" spans="1:7" hidden="1" x14ac:dyDescent="0.25">
      <c r="A2769" s="28">
        <v>43709</v>
      </c>
      <c r="B2769" s="27" t="s">
        <v>200</v>
      </c>
      <c r="C2769" s="27" t="s">
        <v>183</v>
      </c>
      <c r="D2769" s="27" t="s">
        <v>7</v>
      </c>
      <c r="E2769" s="27" t="s">
        <v>19</v>
      </c>
      <c r="F2769" s="29"/>
      <c r="G2769" s="30">
        <f t="shared" si="51"/>
        <v>82.654444444444437</v>
      </c>
    </row>
    <row r="2770" spans="1:7" hidden="1" x14ac:dyDescent="0.25">
      <c r="A2770" s="28">
        <v>43709</v>
      </c>
      <c r="B2770" s="27" t="s">
        <v>200</v>
      </c>
      <c r="C2770" s="27" t="s">
        <v>183</v>
      </c>
      <c r="D2770" s="27" t="s">
        <v>7</v>
      </c>
      <c r="E2770" s="27" t="s">
        <v>20</v>
      </c>
      <c r="F2770" s="29"/>
      <c r="G2770" s="30">
        <f t="shared" si="51"/>
        <v>82.654444444444437</v>
      </c>
    </row>
    <row r="2771" spans="1:7" hidden="1" x14ac:dyDescent="0.25">
      <c r="A2771" s="28">
        <v>43709</v>
      </c>
      <c r="B2771" s="27" t="s">
        <v>200</v>
      </c>
      <c r="C2771" s="27" t="s">
        <v>183</v>
      </c>
      <c r="D2771" s="27" t="s">
        <v>7</v>
      </c>
      <c r="E2771" s="27" t="s">
        <v>38</v>
      </c>
      <c r="F2771" s="29"/>
      <c r="G2771" s="30">
        <f t="shared" si="51"/>
        <v>82.654444444444437</v>
      </c>
    </row>
    <row r="2772" spans="1:7" hidden="1" x14ac:dyDescent="0.25">
      <c r="A2772" s="28">
        <v>43709</v>
      </c>
      <c r="B2772" s="27" t="s">
        <v>200</v>
      </c>
      <c r="C2772" s="27" t="s">
        <v>183</v>
      </c>
      <c r="D2772" s="27" t="s">
        <v>7</v>
      </c>
      <c r="E2772" s="27" t="s">
        <v>204</v>
      </c>
      <c r="F2772" s="29"/>
      <c r="G2772" s="30">
        <f t="shared" si="51"/>
        <v>82.654444444444437</v>
      </c>
    </row>
    <row r="2773" spans="1:7" hidden="1" x14ac:dyDescent="0.25">
      <c r="A2773" s="28">
        <v>43709</v>
      </c>
      <c r="B2773" s="27" t="s">
        <v>200</v>
      </c>
      <c r="C2773" s="27" t="s">
        <v>183</v>
      </c>
      <c r="D2773" s="27" t="s">
        <v>7</v>
      </c>
      <c r="E2773" s="27" t="s">
        <v>37</v>
      </c>
      <c r="F2773" s="29"/>
      <c r="G2773" s="30">
        <f t="shared" si="51"/>
        <v>82.654444444444437</v>
      </c>
    </row>
    <row r="2774" spans="1:7" hidden="1" x14ac:dyDescent="0.25">
      <c r="A2774" s="28">
        <v>43709</v>
      </c>
      <c r="B2774" s="27" t="s">
        <v>200</v>
      </c>
      <c r="C2774" s="27" t="s">
        <v>56</v>
      </c>
      <c r="D2774" s="27" t="s">
        <v>6</v>
      </c>
      <c r="E2774" s="27" t="s">
        <v>8</v>
      </c>
      <c r="F2774" s="29"/>
      <c r="G2774" s="30">
        <f t="shared" ref="G2774:G2793" si="52">38725.7437333333/20</f>
        <v>1936.2871866666651</v>
      </c>
    </row>
    <row r="2775" spans="1:7" hidden="1" x14ac:dyDescent="0.25">
      <c r="A2775" s="28">
        <v>43709</v>
      </c>
      <c r="B2775" s="27" t="s">
        <v>200</v>
      </c>
      <c r="C2775" s="27" t="s">
        <v>56</v>
      </c>
      <c r="D2775" s="27" t="s">
        <v>6</v>
      </c>
      <c r="E2775" s="27" t="s">
        <v>9</v>
      </c>
      <c r="F2775" s="29"/>
      <c r="G2775" s="30">
        <f t="shared" si="52"/>
        <v>1936.2871866666651</v>
      </c>
    </row>
    <row r="2776" spans="1:7" hidden="1" x14ac:dyDescent="0.25">
      <c r="A2776" s="28">
        <v>43709</v>
      </c>
      <c r="B2776" s="27" t="s">
        <v>200</v>
      </c>
      <c r="C2776" s="27" t="s">
        <v>56</v>
      </c>
      <c r="D2776" s="27" t="s">
        <v>6</v>
      </c>
      <c r="E2776" s="27" t="s">
        <v>64</v>
      </c>
      <c r="F2776" s="29"/>
      <c r="G2776" s="30">
        <f t="shared" si="52"/>
        <v>1936.2871866666651</v>
      </c>
    </row>
    <row r="2777" spans="1:7" hidden="1" x14ac:dyDescent="0.25">
      <c r="A2777" s="28">
        <v>43709</v>
      </c>
      <c r="B2777" s="27" t="s">
        <v>200</v>
      </c>
      <c r="C2777" s="27" t="s">
        <v>56</v>
      </c>
      <c r="D2777" s="27" t="s">
        <v>6</v>
      </c>
      <c r="E2777" s="27" t="s">
        <v>21</v>
      </c>
      <c r="F2777" s="29"/>
      <c r="G2777" s="30">
        <f t="shared" si="52"/>
        <v>1936.2871866666651</v>
      </c>
    </row>
    <row r="2778" spans="1:7" hidden="1" x14ac:dyDescent="0.25">
      <c r="A2778" s="28">
        <v>43709</v>
      </c>
      <c r="B2778" s="27" t="s">
        <v>200</v>
      </c>
      <c r="C2778" s="27" t="s">
        <v>56</v>
      </c>
      <c r="D2778" s="27" t="s">
        <v>6</v>
      </c>
      <c r="E2778" s="27" t="s">
        <v>10</v>
      </c>
      <c r="F2778" s="29"/>
      <c r="G2778" s="30">
        <f t="shared" si="52"/>
        <v>1936.2871866666651</v>
      </c>
    </row>
    <row r="2779" spans="1:7" hidden="1" x14ac:dyDescent="0.25">
      <c r="A2779" s="28">
        <v>43709</v>
      </c>
      <c r="B2779" s="27" t="s">
        <v>200</v>
      </c>
      <c r="C2779" s="27" t="s">
        <v>56</v>
      </c>
      <c r="D2779" s="27" t="s">
        <v>6</v>
      </c>
      <c r="E2779" s="27" t="s">
        <v>11</v>
      </c>
      <c r="F2779" s="29"/>
      <c r="G2779" s="30">
        <f t="shared" si="52"/>
        <v>1936.2871866666651</v>
      </c>
    </row>
    <row r="2780" spans="1:7" hidden="1" x14ac:dyDescent="0.25">
      <c r="A2780" s="28">
        <v>43709</v>
      </c>
      <c r="B2780" s="27" t="s">
        <v>200</v>
      </c>
      <c r="C2780" s="27" t="s">
        <v>56</v>
      </c>
      <c r="D2780" s="27" t="s">
        <v>6</v>
      </c>
      <c r="E2780" s="27" t="s">
        <v>12</v>
      </c>
      <c r="F2780" s="29"/>
      <c r="G2780" s="30">
        <f t="shared" si="52"/>
        <v>1936.2871866666651</v>
      </c>
    </row>
    <row r="2781" spans="1:7" hidden="1" x14ac:dyDescent="0.25">
      <c r="A2781" s="28">
        <v>43709</v>
      </c>
      <c r="B2781" s="27" t="s">
        <v>200</v>
      </c>
      <c r="C2781" s="27" t="s">
        <v>56</v>
      </c>
      <c r="D2781" s="27" t="s">
        <v>6</v>
      </c>
      <c r="E2781" s="27" t="s">
        <v>13</v>
      </c>
      <c r="F2781" s="29"/>
      <c r="G2781" s="30">
        <f t="shared" si="52"/>
        <v>1936.2871866666651</v>
      </c>
    </row>
    <row r="2782" spans="1:7" hidden="1" x14ac:dyDescent="0.25">
      <c r="A2782" s="28">
        <v>43709</v>
      </c>
      <c r="B2782" s="27" t="s">
        <v>200</v>
      </c>
      <c r="C2782" s="27" t="s">
        <v>56</v>
      </c>
      <c r="D2782" s="27" t="s">
        <v>6</v>
      </c>
      <c r="E2782" s="27" t="s">
        <v>14</v>
      </c>
      <c r="F2782" s="29"/>
      <c r="G2782" s="30">
        <f t="shared" si="52"/>
        <v>1936.2871866666651</v>
      </c>
    </row>
    <row r="2783" spans="1:7" hidden="1" x14ac:dyDescent="0.25">
      <c r="A2783" s="28">
        <v>43709</v>
      </c>
      <c r="B2783" s="27" t="s">
        <v>200</v>
      </c>
      <c r="C2783" s="27" t="s">
        <v>56</v>
      </c>
      <c r="D2783" s="27" t="s">
        <v>6</v>
      </c>
      <c r="E2783" s="27" t="s">
        <v>15</v>
      </c>
      <c r="F2783" s="29"/>
      <c r="G2783" s="30">
        <f t="shared" si="52"/>
        <v>1936.2871866666651</v>
      </c>
    </row>
    <row r="2784" spans="1:7" hidden="1" x14ac:dyDescent="0.25">
      <c r="A2784" s="28">
        <v>43709</v>
      </c>
      <c r="B2784" s="27" t="s">
        <v>200</v>
      </c>
      <c r="C2784" s="27" t="s">
        <v>56</v>
      </c>
      <c r="D2784" s="27" t="s">
        <v>6</v>
      </c>
      <c r="E2784" s="27" t="s">
        <v>16</v>
      </c>
      <c r="F2784" s="29"/>
      <c r="G2784" s="30">
        <f t="shared" si="52"/>
        <v>1936.2871866666651</v>
      </c>
    </row>
    <row r="2785" spans="1:7" hidden="1" x14ac:dyDescent="0.25">
      <c r="A2785" s="28">
        <v>43709</v>
      </c>
      <c r="B2785" s="27" t="s">
        <v>200</v>
      </c>
      <c r="C2785" s="27" t="s">
        <v>56</v>
      </c>
      <c r="D2785" s="27" t="s">
        <v>6</v>
      </c>
      <c r="E2785" s="27" t="s">
        <v>17</v>
      </c>
      <c r="F2785" s="29"/>
      <c r="G2785" s="30">
        <f t="shared" si="52"/>
        <v>1936.2871866666651</v>
      </c>
    </row>
    <row r="2786" spans="1:7" hidden="1" x14ac:dyDescent="0.25">
      <c r="A2786" s="28">
        <v>43709</v>
      </c>
      <c r="B2786" s="27" t="s">
        <v>200</v>
      </c>
      <c r="C2786" s="27" t="s">
        <v>56</v>
      </c>
      <c r="D2786" s="27" t="s">
        <v>6</v>
      </c>
      <c r="E2786" s="27" t="s">
        <v>18</v>
      </c>
      <c r="F2786" s="29"/>
      <c r="G2786" s="30">
        <f t="shared" si="52"/>
        <v>1936.2871866666651</v>
      </c>
    </row>
    <row r="2787" spans="1:7" hidden="1" x14ac:dyDescent="0.25">
      <c r="A2787" s="28">
        <v>43709</v>
      </c>
      <c r="B2787" s="27" t="s">
        <v>200</v>
      </c>
      <c r="C2787" s="27" t="s">
        <v>56</v>
      </c>
      <c r="D2787" s="27" t="s">
        <v>6</v>
      </c>
      <c r="E2787" s="27" t="s">
        <v>19</v>
      </c>
      <c r="F2787" s="29"/>
      <c r="G2787" s="30">
        <f t="shared" si="52"/>
        <v>1936.2871866666651</v>
      </c>
    </row>
    <row r="2788" spans="1:7" hidden="1" x14ac:dyDescent="0.25">
      <c r="A2788" s="28">
        <v>43709</v>
      </c>
      <c r="B2788" s="27" t="s">
        <v>200</v>
      </c>
      <c r="C2788" s="27" t="s">
        <v>56</v>
      </c>
      <c r="D2788" s="27" t="s">
        <v>6</v>
      </c>
      <c r="E2788" s="27" t="s">
        <v>20</v>
      </c>
      <c r="F2788" s="29"/>
      <c r="G2788" s="30">
        <f t="shared" si="52"/>
        <v>1936.2871866666651</v>
      </c>
    </row>
    <row r="2789" spans="1:7" hidden="1" x14ac:dyDescent="0.25">
      <c r="A2789" s="28">
        <v>43709</v>
      </c>
      <c r="B2789" s="27" t="s">
        <v>200</v>
      </c>
      <c r="C2789" s="27" t="s">
        <v>56</v>
      </c>
      <c r="D2789" s="27" t="s">
        <v>6</v>
      </c>
      <c r="E2789" s="27" t="s">
        <v>38</v>
      </c>
      <c r="F2789" s="29"/>
      <c r="G2789" s="30">
        <f t="shared" si="52"/>
        <v>1936.2871866666651</v>
      </c>
    </row>
    <row r="2790" spans="1:7" hidden="1" x14ac:dyDescent="0.25">
      <c r="A2790" s="28">
        <v>43709</v>
      </c>
      <c r="B2790" s="27" t="s">
        <v>200</v>
      </c>
      <c r="C2790" s="27" t="s">
        <v>56</v>
      </c>
      <c r="D2790" s="27" t="s">
        <v>6</v>
      </c>
      <c r="E2790" s="27" t="s">
        <v>23</v>
      </c>
      <c r="F2790" s="29"/>
      <c r="G2790" s="30">
        <f t="shared" si="52"/>
        <v>1936.2871866666651</v>
      </c>
    </row>
    <row r="2791" spans="1:7" hidden="1" x14ac:dyDescent="0.25">
      <c r="A2791" s="28">
        <v>43709</v>
      </c>
      <c r="B2791" s="27" t="s">
        <v>200</v>
      </c>
      <c r="C2791" s="27" t="s">
        <v>56</v>
      </c>
      <c r="D2791" s="27" t="s">
        <v>6</v>
      </c>
      <c r="E2791" s="27" t="s">
        <v>204</v>
      </c>
      <c r="F2791" s="29"/>
      <c r="G2791" s="30">
        <f t="shared" si="52"/>
        <v>1936.2871866666651</v>
      </c>
    </row>
    <row r="2792" spans="1:7" hidden="1" x14ac:dyDescent="0.25">
      <c r="A2792" s="28">
        <v>43709</v>
      </c>
      <c r="B2792" s="27" t="s">
        <v>200</v>
      </c>
      <c r="C2792" s="27" t="s">
        <v>56</v>
      </c>
      <c r="D2792" s="27" t="s">
        <v>6</v>
      </c>
      <c r="E2792" s="27" t="s">
        <v>205</v>
      </c>
      <c r="F2792" s="29"/>
      <c r="G2792" s="30">
        <f t="shared" si="52"/>
        <v>1936.2871866666651</v>
      </c>
    </row>
    <row r="2793" spans="1:7" hidden="1" x14ac:dyDescent="0.25">
      <c r="A2793" s="28">
        <v>43709</v>
      </c>
      <c r="B2793" s="27" t="s">
        <v>200</v>
      </c>
      <c r="C2793" s="27" t="s">
        <v>56</v>
      </c>
      <c r="D2793" s="27" t="s">
        <v>6</v>
      </c>
      <c r="E2793" s="27" t="s">
        <v>205</v>
      </c>
      <c r="F2793" s="29"/>
      <c r="G2793" s="30">
        <f t="shared" si="52"/>
        <v>1936.2871866666651</v>
      </c>
    </row>
    <row r="2794" spans="1:7" hidden="1" x14ac:dyDescent="0.25">
      <c r="A2794" s="28">
        <v>43709</v>
      </c>
      <c r="B2794" s="27" t="s">
        <v>200</v>
      </c>
      <c r="C2794" s="27" t="s">
        <v>182</v>
      </c>
      <c r="D2794" s="27" t="s">
        <v>7</v>
      </c>
      <c r="E2794" s="27" t="s">
        <v>8</v>
      </c>
      <c r="F2794" s="29"/>
      <c r="G2794" s="30">
        <f t="shared" ref="G2794:G2811" si="53">3675.14/18</f>
        <v>204.17444444444445</v>
      </c>
    </row>
    <row r="2795" spans="1:7" hidden="1" x14ac:dyDescent="0.25">
      <c r="A2795" s="28">
        <v>43709</v>
      </c>
      <c r="B2795" s="27" t="s">
        <v>200</v>
      </c>
      <c r="C2795" s="27" t="s">
        <v>182</v>
      </c>
      <c r="D2795" s="27" t="s">
        <v>7</v>
      </c>
      <c r="E2795" s="27" t="s">
        <v>9</v>
      </c>
      <c r="F2795" s="29"/>
      <c r="G2795" s="30">
        <f t="shared" si="53"/>
        <v>204.17444444444445</v>
      </c>
    </row>
    <row r="2796" spans="1:7" hidden="1" x14ac:dyDescent="0.25">
      <c r="A2796" s="28">
        <v>43709</v>
      </c>
      <c r="B2796" s="27" t="s">
        <v>200</v>
      </c>
      <c r="C2796" s="27" t="s">
        <v>182</v>
      </c>
      <c r="D2796" s="27" t="s">
        <v>7</v>
      </c>
      <c r="E2796" s="27" t="s">
        <v>64</v>
      </c>
      <c r="F2796" s="29"/>
      <c r="G2796" s="30">
        <f t="shared" si="53"/>
        <v>204.17444444444445</v>
      </c>
    </row>
    <row r="2797" spans="1:7" hidden="1" x14ac:dyDescent="0.25">
      <c r="A2797" s="28">
        <v>43709</v>
      </c>
      <c r="B2797" s="27" t="s">
        <v>200</v>
      </c>
      <c r="C2797" s="27" t="s">
        <v>182</v>
      </c>
      <c r="D2797" s="27" t="s">
        <v>7</v>
      </c>
      <c r="E2797" s="27" t="s">
        <v>21</v>
      </c>
      <c r="F2797" s="29"/>
      <c r="G2797" s="30">
        <f t="shared" si="53"/>
        <v>204.17444444444445</v>
      </c>
    </row>
    <row r="2798" spans="1:7" hidden="1" x14ac:dyDescent="0.25">
      <c r="A2798" s="28">
        <v>43709</v>
      </c>
      <c r="B2798" s="27" t="s">
        <v>200</v>
      </c>
      <c r="C2798" s="27" t="s">
        <v>182</v>
      </c>
      <c r="D2798" s="27" t="s">
        <v>7</v>
      </c>
      <c r="E2798" s="27" t="s">
        <v>10</v>
      </c>
      <c r="F2798" s="29"/>
      <c r="G2798" s="30">
        <f t="shared" si="53"/>
        <v>204.17444444444445</v>
      </c>
    </row>
    <row r="2799" spans="1:7" hidden="1" x14ac:dyDescent="0.25">
      <c r="A2799" s="28">
        <v>43709</v>
      </c>
      <c r="B2799" s="27" t="s">
        <v>200</v>
      </c>
      <c r="C2799" s="27" t="s">
        <v>182</v>
      </c>
      <c r="D2799" s="27" t="s">
        <v>7</v>
      </c>
      <c r="E2799" s="27" t="s">
        <v>11</v>
      </c>
      <c r="F2799" s="29"/>
      <c r="G2799" s="30">
        <f t="shared" si="53"/>
        <v>204.17444444444445</v>
      </c>
    </row>
    <row r="2800" spans="1:7" hidden="1" x14ac:dyDescent="0.25">
      <c r="A2800" s="28">
        <v>43709</v>
      </c>
      <c r="B2800" s="27" t="s">
        <v>200</v>
      </c>
      <c r="C2800" s="27" t="s">
        <v>182</v>
      </c>
      <c r="D2800" s="27" t="s">
        <v>7</v>
      </c>
      <c r="E2800" s="27" t="s">
        <v>12</v>
      </c>
      <c r="F2800" s="29"/>
      <c r="G2800" s="30">
        <f t="shared" si="53"/>
        <v>204.17444444444445</v>
      </c>
    </row>
    <row r="2801" spans="1:7" hidden="1" x14ac:dyDescent="0.25">
      <c r="A2801" s="28">
        <v>43709</v>
      </c>
      <c r="B2801" s="27" t="s">
        <v>200</v>
      </c>
      <c r="C2801" s="27" t="s">
        <v>182</v>
      </c>
      <c r="D2801" s="27" t="s">
        <v>7</v>
      </c>
      <c r="E2801" s="27" t="s">
        <v>13</v>
      </c>
      <c r="F2801" s="29"/>
      <c r="G2801" s="30">
        <f t="shared" si="53"/>
        <v>204.17444444444445</v>
      </c>
    </row>
    <row r="2802" spans="1:7" hidden="1" x14ac:dyDescent="0.25">
      <c r="A2802" s="28">
        <v>43709</v>
      </c>
      <c r="B2802" s="27" t="s">
        <v>200</v>
      </c>
      <c r="C2802" s="27" t="s">
        <v>182</v>
      </c>
      <c r="D2802" s="27" t="s">
        <v>7</v>
      </c>
      <c r="E2802" s="27" t="s">
        <v>14</v>
      </c>
      <c r="F2802" s="29"/>
      <c r="G2802" s="30">
        <f t="shared" si="53"/>
        <v>204.17444444444445</v>
      </c>
    </row>
    <row r="2803" spans="1:7" hidden="1" x14ac:dyDescent="0.25">
      <c r="A2803" s="28">
        <v>43709</v>
      </c>
      <c r="B2803" s="27" t="s">
        <v>200</v>
      </c>
      <c r="C2803" s="27" t="s">
        <v>182</v>
      </c>
      <c r="D2803" s="27" t="s">
        <v>7</v>
      </c>
      <c r="E2803" s="27" t="s">
        <v>15</v>
      </c>
      <c r="F2803" s="29"/>
      <c r="G2803" s="30">
        <f t="shared" si="53"/>
        <v>204.17444444444445</v>
      </c>
    </row>
    <row r="2804" spans="1:7" hidden="1" x14ac:dyDescent="0.25">
      <c r="A2804" s="28">
        <v>43709</v>
      </c>
      <c r="B2804" s="27" t="s">
        <v>200</v>
      </c>
      <c r="C2804" s="27" t="s">
        <v>182</v>
      </c>
      <c r="D2804" s="27" t="s">
        <v>7</v>
      </c>
      <c r="E2804" s="27" t="s">
        <v>16</v>
      </c>
      <c r="F2804" s="29"/>
      <c r="G2804" s="30">
        <f t="shared" si="53"/>
        <v>204.17444444444445</v>
      </c>
    </row>
    <row r="2805" spans="1:7" hidden="1" x14ac:dyDescent="0.25">
      <c r="A2805" s="28">
        <v>43709</v>
      </c>
      <c r="B2805" s="27" t="s">
        <v>200</v>
      </c>
      <c r="C2805" s="27" t="s">
        <v>182</v>
      </c>
      <c r="D2805" s="27" t="s">
        <v>7</v>
      </c>
      <c r="E2805" s="27" t="s">
        <v>17</v>
      </c>
      <c r="F2805" s="29"/>
      <c r="G2805" s="30">
        <f t="shared" si="53"/>
        <v>204.17444444444445</v>
      </c>
    </row>
    <row r="2806" spans="1:7" hidden="1" x14ac:dyDescent="0.25">
      <c r="A2806" s="28">
        <v>43709</v>
      </c>
      <c r="B2806" s="27" t="s">
        <v>200</v>
      </c>
      <c r="C2806" s="27" t="s">
        <v>182</v>
      </c>
      <c r="D2806" s="27" t="s">
        <v>7</v>
      </c>
      <c r="E2806" s="27" t="s">
        <v>18</v>
      </c>
      <c r="F2806" s="29"/>
      <c r="G2806" s="30">
        <f t="shared" si="53"/>
        <v>204.17444444444445</v>
      </c>
    </row>
    <row r="2807" spans="1:7" hidden="1" x14ac:dyDescent="0.25">
      <c r="A2807" s="28">
        <v>43709</v>
      </c>
      <c r="B2807" s="27" t="s">
        <v>200</v>
      </c>
      <c r="C2807" s="27" t="s">
        <v>182</v>
      </c>
      <c r="D2807" s="27" t="s">
        <v>7</v>
      </c>
      <c r="E2807" s="27" t="s">
        <v>19</v>
      </c>
      <c r="F2807" s="29"/>
      <c r="G2807" s="30">
        <f t="shared" si="53"/>
        <v>204.17444444444445</v>
      </c>
    </row>
    <row r="2808" spans="1:7" hidden="1" x14ac:dyDescent="0.25">
      <c r="A2808" s="28">
        <v>43709</v>
      </c>
      <c r="B2808" s="27" t="s">
        <v>200</v>
      </c>
      <c r="C2808" s="27" t="s">
        <v>182</v>
      </c>
      <c r="D2808" s="27" t="s">
        <v>7</v>
      </c>
      <c r="E2808" s="27" t="s">
        <v>20</v>
      </c>
      <c r="F2808" s="29"/>
      <c r="G2808" s="30">
        <f t="shared" si="53"/>
        <v>204.17444444444445</v>
      </c>
    </row>
    <row r="2809" spans="1:7" hidden="1" x14ac:dyDescent="0.25">
      <c r="A2809" s="28">
        <v>43709</v>
      </c>
      <c r="B2809" s="27" t="s">
        <v>200</v>
      </c>
      <c r="C2809" s="27" t="s">
        <v>182</v>
      </c>
      <c r="D2809" s="27" t="s">
        <v>7</v>
      </c>
      <c r="E2809" s="27" t="s">
        <v>38</v>
      </c>
      <c r="F2809" s="29"/>
      <c r="G2809" s="30">
        <f t="shared" si="53"/>
        <v>204.17444444444445</v>
      </c>
    </row>
    <row r="2810" spans="1:7" hidden="1" x14ac:dyDescent="0.25">
      <c r="A2810" s="28">
        <v>43709</v>
      </c>
      <c r="B2810" s="27" t="s">
        <v>200</v>
      </c>
      <c r="C2810" s="27" t="s">
        <v>182</v>
      </c>
      <c r="D2810" s="27" t="s">
        <v>7</v>
      </c>
      <c r="E2810" s="27" t="s">
        <v>204</v>
      </c>
      <c r="F2810" s="29"/>
      <c r="G2810" s="30">
        <f t="shared" si="53"/>
        <v>204.17444444444445</v>
      </c>
    </row>
    <row r="2811" spans="1:7" hidden="1" x14ac:dyDescent="0.25">
      <c r="A2811" s="28">
        <v>43709</v>
      </c>
      <c r="B2811" s="27" t="s">
        <v>200</v>
      </c>
      <c r="C2811" s="27" t="s">
        <v>182</v>
      </c>
      <c r="D2811" s="27" t="s">
        <v>7</v>
      </c>
      <c r="E2811" s="27" t="s">
        <v>37</v>
      </c>
      <c r="F2811" s="29"/>
      <c r="G2811" s="30">
        <f t="shared" si="53"/>
        <v>204.17444444444445</v>
      </c>
    </row>
    <row r="2812" spans="1:7" hidden="1" x14ac:dyDescent="0.25">
      <c r="A2812" s="28">
        <v>43709</v>
      </c>
      <c r="B2812" s="27" t="s">
        <v>35</v>
      </c>
      <c r="C2812" s="27" t="s">
        <v>50</v>
      </c>
      <c r="D2812" s="27" t="s">
        <v>6</v>
      </c>
      <c r="E2812" s="27" t="s">
        <v>8</v>
      </c>
      <c r="F2812" s="29"/>
      <c r="G2812" s="30">
        <v>574.19375000000002</v>
      </c>
    </row>
    <row r="2813" spans="1:7" hidden="1" x14ac:dyDescent="0.25">
      <c r="A2813" s="28">
        <v>43709</v>
      </c>
      <c r="B2813" s="27" t="s">
        <v>35</v>
      </c>
      <c r="C2813" s="27" t="s">
        <v>50</v>
      </c>
      <c r="D2813" s="27" t="s">
        <v>6</v>
      </c>
      <c r="E2813" s="27" t="s">
        <v>9</v>
      </c>
      <c r="F2813" s="29"/>
      <c r="G2813" s="30">
        <v>574.19375000000002</v>
      </c>
    </row>
    <row r="2814" spans="1:7" hidden="1" x14ac:dyDescent="0.25">
      <c r="A2814" s="28">
        <v>43709</v>
      </c>
      <c r="B2814" s="27" t="s">
        <v>35</v>
      </c>
      <c r="C2814" s="27" t="s">
        <v>50</v>
      </c>
      <c r="D2814" s="27" t="s">
        <v>6</v>
      </c>
      <c r="E2814" s="27" t="s">
        <v>64</v>
      </c>
      <c r="F2814" s="29"/>
      <c r="G2814" s="30">
        <v>574.19375000000002</v>
      </c>
    </row>
    <row r="2815" spans="1:7" hidden="1" x14ac:dyDescent="0.25">
      <c r="A2815" s="28">
        <v>43709</v>
      </c>
      <c r="B2815" s="27" t="s">
        <v>35</v>
      </c>
      <c r="C2815" s="27" t="s">
        <v>50</v>
      </c>
      <c r="D2815" s="27" t="s">
        <v>6</v>
      </c>
      <c r="E2815" s="27" t="s">
        <v>21</v>
      </c>
      <c r="F2815" s="29"/>
      <c r="G2815" s="30">
        <v>574.19375000000002</v>
      </c>
    </row>
    <row r="2816" spans="1:7" hidden="1" x14ac:dyDescent="0.25">
      <c r="A2816" s="28">
        <v>43709</v>
      </c>
      <c r="B2816" s="27" t="s">
        <v>35</v>
      </c>
      <c r="C2816" s="27" t="s">
        <v>50</v>
      </c>
      <c r="D2816" s="27" t="s">
        <v>6</v>
      </c>
      <c r="E2816" s="27" t="s">
        <v>10</v>
      </c>
      <c r="F2816" s="29"/>
      <c r="G2816" s="30">
        <v>574.19375000000002</v>
      </c>
    </row>
    <row r="2817" spans="1:7" hidden="1" x14ac:dyDescent="0.25">
      <c r="A2817" s="28">
        <v>43709</v>
      </c>
      <c r="B2817" s="27" t="s">
        <v>35</v>
      </c>
      <c r="C2817" s="27" t="s">
        <v>50</v>
      </c>
      <c r="D2817" s="27" t="s">
        <v>6</v>
      </c>
      <c r="E2817" s="27" t="s">
        <v>11</v>
      </c>
      <c r="F2817" s="29"/>
      <c r="G2817" s="30">
        <v>574.19375000000002</v>
      </c>
    </row>
    <row r="2818" spans="1:7" hidden="1" x14ac:dyDescent="0.25">
      <c r="A2818" s="28">
        <v>43709</v>
      </c>
      <c r="B2818" s="27" t="s">
        <v>35</v>
      </c>
      <c r="C2818" s="27" t="s">
        <v>50</v>
      </c>
      <c r="D2818" s="27" t="s">
        <v>6</v>
      </c>
      <c r="E2818" s="27" t="s">
        <v>12</v>
      </c>
      <c r="F2818" s="29"/>
      <c r="G2818" s="30">
        <v>574.19375000000002</v>
      </c>
    </row>
    <row r="2819" spans="1:7" hidden="1" x14ac:dyDescent="0.25">
      <c r="A2819" s="28">
        <v>43709</v>
      </c>
      <c r="B2819" s="27" t="s">
        <v>35</v>
      </c>
      <c r="C2819" s="27" t="s">
        <v>50</v>
      </c>
      <c r="D2819" s="27" t="s">
        <v>6</v>
      </c>
      <c r="E2819" s="27" t="s">
        <v>13</v>
      </c>
      <c r="F2819" s="29"/>
      <c r="G2819" s="30">
        <v>574.19375000000002</v>
      </c>
    </row>
    <row r="2820" spans="1:7" hidden="1" x14ac:dyDescent="0.25">
      <c r="A2820" s="28">
        <v>43709</v>
      </c>
      <c r="B2820" s="27" t="s">
        <v>35</v>
      </c>
      <c r="C2820" s="27" t="s">
        <v>50</v>
      </c>
      <c r="D2820" s="27" t="s">
        <v>6</v>
      </c>
      <c r="E2820" s="27" t="s">
        <v>14</v>
      </c>
      <c r="F2820" s="29"/>
      <c r="G2820" s="30">
        <v>574.19375000000002</v>
      </c>
    </row>
    <row r="2821" spans="1:7" hidden="1" x14ac:dyDescent="0.25">
      <c r="A2821" s="28">
        <v>43709</v>
      </c>
      <c r="B2821" s="27" t="s">
        <v>35</v>
      </c>
      <c r="C2821" s="27" t="s">
        <v>50</v>
      </c>
      <c r="D2821" s="27" t="s">
        <v>6</v>
      </c>
      <c r="E2821" s="27" t="s">
        <v>15</v>
      </c>
      <c r="F2821" s="29"/>
      <c r="G2821" s="30">
        <v>574.19375000000002</v>
      </c>
    </row>
    <row r="2822" spans="1:7" hidden="1" x14ac:dyDescent="0.25">
      <c r="A2822" s="28">
        <v>43709</v>
      </c>
      <c r="B2822" s="27" t="s">
        <v>35</v>
      </c>
      <c r="C2822" s="27" t="s">
        <v>50</v>
      </c>
      <c r="D2822" s="27" t="s">
        <v>6</v>
      </c>
      <c r="E2822" s="27" t="s">
        <v>16</v>
      </c>
      <c r="F2822" s="29"/>
      <c r="G2822" s="30">
        <v>574.19375000000002</v>
      </c>
    </row>
    <row r="2823" spans="1:7" hidden="1" x14ac:dyDescent="0.25">
      <c r="A2823" s="28">
        <v>43709</v>
      </c>
      <c r="B2823" s="27" t="s">
        <v>35</v>
      </c>
      <c r="C2823" s="27" t="s">
        <v>50</v>
      </c>
      <c r="D2823" s="27" t="s">
        <v>6</v>
      </c>
      <c r="E2823" s="27" t="s">
        <v>17</v>
      </c>
      <c r="F2823" s="29"/>
      <c r="G2823" s="30">
        <v>574.19375000000002</v>
      </c>
    </row>
    <row r="2824" spans="1:7" hidden="1" x14ac:dyDescent="0.25">
      <c r="A2824" s="28">
        <v>43709</v>
      </c>
      <c r="B2824" s="27" t="s">
        <v>35</v>
      </c>
      <c r="C2824" s="27" t="s">
        <v>50</v>
      </c>
      <c r="D2824" s="27" t="s">
        <v>6</v>
      </c>
      <c r="E2824" s="27" t="s">
        <v>18</v>
      </c>
      <c r="F2824" s="29"/>
      <c r="G2824" s="30">
        <v>574.19375000000002</v>
      </c>
    </row>
    <row r="2825" spans="1:7" hidden="1" x14ac:dyDescent="0.25">
      <c r="A2825" s="28">
        <v>43709</v>
      </c>
      <c r="B2825" s="27" t="s">
        <v>35</v>
      </c>
      <c r="C2825" s="27" t="s">
        <v>50</v>
      </c>
      <c r="D2825" s="27" t="s">
        <v>6</v>
      </c>
      <c r="E2825" s="27" t="s">
        <v>19</v>
      </c>
      <c r="F2825" s="29"/>
      <c r="G2825" s="30">
        <v>574.19375000000002</v>
      </c>
    </row>
    <row r="2826" spans="1:7" hidden="1" x14ac:dyDescent="0.25">
      <c r="A2826" s="28">
        <v>43709</v>
      </c>
      <c r="B2826" s="27" t="s">
        <v>35</v>
      </c>
      <c r="C2826" s="27" t="s">
        <v>50</v>
      </c>
      <c r="D2826" s="27" t="s">
        <v>6</v>
      </c>
      <c r="E2826" s="27" t="s">
        <v>20</v>
      </c>
      <c r="F2826" s="29"/>
      <c r="G2826" s="30">
        <v>574.19375000000002</v>
      </c>
    </row>
    <row r="2827" spans="1:7" hidden="1" x14ac:dyDescent="0.25">
      <c r="A2827" s="28">
        <v>43709</v>
      </c>
      <c r="B2827" s="27" t="s">
        <v>35</v>
      </c>
      <c r="C2827" s="27" t="s">
        <v>50</v>
      </c>
      <c r="D2827" s="27" t="s">
        <v>6</v>
      </c>
      <c r="E2827" s="27" t="s">
        <v>38</v>
      </c>
      <c r="F2827" s="29"/>
      <c r="G2827" s="30">
        <v>574.19375000000002</v>
      </c>
    </row>
    <row r="2828" spans="1:7" hidden="1" x14ac:dyDescent="0.25">
      <c r="A2828" s="28">
        <v>43709</v>
      </c>
      <c r="B2828" s="27" t="s">
        <v>34</v>
      </c>
      <c r="C2828" s="27" t="s">
        <v>50</v>
      </c>
      <c r="D2828" s="27" t="s">
        <v>6</v>
      </c>
      <c r="E2828" s="27" t="s">
        <v>8</v>
      </c>
      <c r="F2828" s="29"/>
      <c r="G2828" s="30">
        <v>552.0533333333334</v>
      </c>
    </row>
    <row r="2829" spans="1:7" hidden="1" x14ac:dyDescent="0.25">
      <c r="A2829" s="28">
        <v>43709</v>
      </c>
      <c r="B2829" s="27" t="s">
        <v>34</v>
      </c>
      <c r="C2829" s="27" t="s">
        <v>50</v>
      </c>
      <c r="D2829" s="27" t="s">
        <v>6</v>
      </c>
      <c r="E2829" s="27" t="s">
        <v>9</v>
      </c>
      <c r="F2829" s="29"/>
      <c r="G2829" s="30">
        <v>864.49749999999995</v>
      </c>
    </row>
    <row r="2830" spans="1:7" hidden="1" x14ac:dyDescent="0.25">
      <c r="A2830" s="28">
        <v>43709</v>
      </c>
      <c r="B2830" s="27" t="s">
        <v>34</v>
      </c>
      <c r="C2830" s="27" t="s">
        <v>50</v>
      </c>
      <c r="D2830" s="27" t="s">
        <v>6</v>
      </c>
      <c r="E2830" s="27" t="s">
        <v>64</v>
      </c>
      <c r="F2830" s="29"/>
      <c r="G2830" s="30">
        <v>698.10416666666663</v>
      </c>
    </row>
    <row r="2831" spans="1:7" hidden="1" x14ac:dyDescent="0.25">
      <c r="A2831" s="28">
        <v>43709</v>
      </c>
      <c r="B2831" s="27" t="s">
        <v>34</v>
      </c>
      <c r="C2831" s="27" t="s">
        <v>50</v>
      </c>
      <c r="D2831" s="27" t="s">
        <v>6</v>
      </c>
      <c r="E2831" s="27" t="s">
        <v>21</v>
      </c>
      <c r="F2831" s="29"/>
      <c r="G2831" s="30">
        <v>656.62166666666667</v>
      </c>
    </row>
    <row r="2832" spans="1:7" hidden="1" x14ac:dyDescent="0.25">
      <c r="A2832" s="28">
        <v>43709</v>
      </c>
      <c r="B2832" s="27" t="s">
        <v>34</v>
      </c>
      <c r="C2832" s="27" t="s">
        <v>50</v>
      </c>
      <c r="D2832" s="27" t="s">
        <v>6</v>
      </c>
      <c r="E2832" s="27" t="s">
        <v>10</v>
      </c>
      <c r="F2832" s="29"/>
      <c r="G2832" s="30">
        <v>832.49083333333328</v>
      </c>
    </row>
    <row r="2833" spans="1:7" hidden="1" x14ac:dyDescent="0.25">
      <c r="A2833" s="28">
        <v>43709</v>
      </c>
      <c r="B2833" s="27" t="s">
        <v>34</v>
      </c>
      <c r="C2833" s="27" t="s">
        <v>50</v>
      </c>
      <c r="D2833" s="27" t="s">
        <v>6</v>
      </c>
      <c r="E2833" s="27" t="s">
        <v>11</v>
      </c>
      <c r="F2833" s="29"/>
      <c r="G2833" s="30">
        <v>418.92500000000001</v>
      </c>
    </row>
    <row r="2834" spans="1:7" hidden="1" x14ac:dyDescent="0.25">
      <c r="A2834" s="28">
        <v>43709</v>
      </c>
      <c r="B2834" s="27" t="s">
        <v>34</v>
      </c>
      <c r="C2834" s="27" t="s">
        <v>50</v>
      </c>
      <c r="D2834" s="27" t="s">
        <v>6</v>
      </c>
      <c r="E2834" s="27" t="s">
        <v>12</v>
      </c>
      <c r="F2834" s="29"/>
      <c r="G2834" s="30">
        <v>388.7</v>
      </c>
    </row>
    <row r="2835" spans="1:7" hidden="1" x14ac:dyDescent="0.25">
      <c r="A2835" s="28">
        <v>43709</v>
      </c>
      <c r="B2835" s="27" t="s">
        <v>34</v>
      </c>
      <c r="C2835" s="27" t="s">
        <v>50</v>
      </c>
      <c r="D2835" s="27" t="s">
        <v>6</v>
      </c>
      <c r="E2835" s="27" t="s">
        <v>13</v>
      </c>
      <c r="F2835" s="29"/>
      <c r="G2835" s="30">
        <v>537.06416666666667</v>
      </c>
    </row>
    <row r="2836" spans="1:7" hidden="1" x14ac:dyDescent="0.25">
      <c r="A2836" s="28">
        <v>43709</v>
      </c>
      <c r="B2836" s="27" t="s">
        <v>34</v>
      </c>
      <c r="C2836" s="27" t="s">
        <v>50</v>
      </c>
      <c r="D2836" s="27" t="s">
        <v>6</v>
      </c>
      <c r="E2836" s="27" t="s">
        <v>14</v>
      </c>
      <c r="F2836" s="29"/>
      <c r="G2836" s="30">
        <v>165.58333333333334</v>
      </c>
    </row>
    <row r="2837" spans="1:7" hidden="1" x14ac:dyDescent="0.25">
      <c r="A2837" s="28">
        <v>43709</v>
      </c>
      <c r="B2837" s="27" t="s">
        <v>34</v>
      </c>
      <c r="C2837" s="27" t="s">
        <v>50</v>
      </c>
      <c r="D2837" s="27" t="s">
        <v>6</v>
      </c>
      <c r="E2837" s="27" t="s">
        <v>15</v>
      </c>
      <c r="F2837" s="29"/>
      <c r="G2837" s="30">
        <v>409.28999999999996</v>
      </c>
    </row>
    <row r="2838" spans="1:7" hidden="1" x14ac:dyDescent="0.25">
      <c r="A2838" s="28">
        <v>43709</v>
      </c>
      <c r="B2838" s="27" t="s">
        <v>34</v>
      </c>
      <c r="C2838" s="27" t="s">
        <v>50</v>
      </c>
      <c r="D2838" s="27" t="s">
        <v>6</v>
      </c>
      <c r="E2838" s="27" t="s">
        <v>16</v>
      </c>
      <c r="F2838" s="29"/>
      <c r="G2838" s="30">
        <v>657.78499999999997</v>
      </c>
    </row>
    <row r="2839" spans="1:7" hidden="1" x14ac:dyDescent="0.25">
      <c r="A2839" s="28">
        <v>43709</v>
      </c>
      <c r="B2839" s="27" t="s">
        <v>34</v>
      </c>
      <c r="C2839" s="27" t="s">
        <v>50</v>
      </c>
      <c r="D2839" s="27" t="s">
        <v>6</v>
      </c>
      <c r="E2839" s="27" t="s">
        <v>17</v>
      </c>
      <c r="F2839" s="29"/>
      <c r="G2839" s="30">
        <v>835.00750000000005</v>
      </c>
    </row>
    <row r="2840" spans="1:7" hidden="1" x14ac:dyDescent="0.25">
      <c r="A2840" s="28">
        <v>43709</v>
      </c>
      <c r="B2840" s="27" t="s">
        <v>34</v>
      </c>
      <c r="C2840" s="27" t="s">
        <v>50</v>
      </c>
      <c r="D2840" s="27" t="s">
        <v>6</v>
      </c>
      <c r="E2840" s="27" t="s">
        <v>18</v>
      </c>
      <c r="F2840" s="29"/>
      <c r="G2840" s="30">
        <v>369.30749999999995</v>
      </c>
    </row>
    <row r="2841" spans="1:7" hidden="1" x14ac:dyDescent="0.25">
      <c r="A2841" s="28">
        <v>43709</v>
      </c>
      <c r="B2841" s="27" t="s">
        <v>34</v>
      </c>
      <c r="C2841" s="27" t="s">
        <v>50</v>
      </c>
      <c r="D2841" s="27" t="s">
        <v>6</v>
      </c>
      <c r="E2841" s="27" t="s">
        <v>19</v>
      </c>
      <c r="F2841" s="29"/>
      <c r="G2841" s="30">
        <v>289.51</v>
      </c>
    </row>
    <row r="2842" spans="1:7" hidden="1" x14ac:dyDescent="0.25">
      <c r="A2842" s="28">
        <v>43709</v>
      </c>
      <c r="B2842" s="27" t="s">
        <v>34</v>
      </c>
      <c r="C2842" s="27" t="s">
        <v>50</v>
      </c>
      <c r="D2842" s="27" t="s">
        <v>6</v>
      </c>
      <c r="E2842" s="27" t="s">
        <v>20</v>
      </c>
      <c r="F2842" s="29"/>
      <c r="G2842" s="30">
        <v>550.26900000000001</v>
      </c>
    </row>
    <row r="2843" spans="1:7" hidden="1" x14ac:dyDescent="0.25">
      <c r="A2843" s="28">
        <v>43709</v>
      </c>
      <c r="B2843" s="27" t="s">
        <v>34</v>
      </c>
      <c r="C2843" s="27" t="s">
        <v>50</v>
      </c>
      <c r="D2843" s="27" t="s">
        <v>6</v>
      </c>
      <c r="E2843" s="27" t="s">
        <v>38</v>
      </c>
      <c r="F2843" s="29"/>
      <c r="G2843" s="30">
        <v>10.922000000000001</v>
      </c>
    </row>
    <row r="2844" spans="1:7" hidden="1" x14ac:dyDescent="0.25">
      <c r="A2844" s="28">
        <v>43709</v>
      </c>
      <c r="B2844" s="27" t="s">
        <v>34</v>
      </c>
      <c r="C2844" s="27" t="s">
        <v>50</v>
      </c>
      <c r="D2844" s="27" t="s">
        <v>6</v>
      </c>
      <c r="E2844" s="27" t="s">
        <v>204</v>
      </c>
      <c r="F2844" s="29"/>
      <c r="G2844" s="30">
        <v>164.41666666666666</v>
      </c>
    </row>
    <row r="2845" spans="1:7" hidden="1" x14ac:dyDescent="0.25">
      <c r="A2845" s="28">
        <v>43739</v>
      </c>
      <c r="B2845" s="27" t="s">
        <v>33</v>
      </c>
      <c r="C2845" s="27" t="s">
        <v>50</v>
      </c>
      <c r="D2845" s="27" t="s">
        <v>7</v>
      </c>
      <c r="E2845" s="27" t="s">
        <v>8</v>
      </c>
      <c r="F2845" s="29"/>
      <c r="G2845" s="30">
        <v>2886.4184210526314</v>
      </c>
    </row>
    <row r="2846" spans="1:7" hidden="1" x14ac:dyDescent="0.25">
      <c r="A2846" s="28">
        <v>43739</v>
      </c>
      <c r="B2846" s="27" t="s">
        <v>33</v>
      </c>
      <c r="C2846" s="27" t="s">
        <v>50</v>
      </c>
      <c r="D2846" s="27" t="s">
        <v>7</v>
      </c>
      <c r="E2846" s="27" t="s">
        <v>9</v>
      </c>
      <c r="F2846" s="29"/>
      <c r="G2846" s="30">
        <v>2886.4184210526314</v>
      </c>
    </row>
    <row r="2847" spans="1:7" hidden="1" x14ac:dyDescent="0.25">
      <c r="A2847" s="28">
        <v>43739</v>
      </c>
      <c r="B2847" s="27" t="s">
        <v>33</v>
      </c>
      <c r="C2847" s="27" t="s">
        <v>50</v>
      </c>
      <c r="D2847" s="27" t="s">
        <v>7</v>
      </c>
      <c r="E2847" s="27" t="s">
        <v>64</v>
      </c>
      <c r="F2847" s="29"/>
      <c r="G2847" s="30">
        <v>2886.4184210526314</v>
      </c>
    </row>
    <row r="2848" spans="1:7" hidden="1" x14ac:dyDescent="0.25">
      <c r="A2848" s="28">
        <v>43739</v>
      </c>
      <c r="B2848" s="27" t="s">
        <v>33</v>
      </c>
      <c r="C2848" s="27" t="s">
        <v>50</v>
      </c>
      <c r="D2848" s="27" t="s">
        <v>7</v>
      </c>
      <c r="E2848" s="27" t="s">
        <v>21</v>
      </c>
      <c r="F2848" s="29"/>
      <c r="G2848" s="30">
        <v>2886.4184210526314</v>
      </c>
    </row>
    <row r="2849" spans="1:7" hidden="1" x14ac:dyDescent="0.25">
      <c r="A2849" s="28">
        <v>43739</v>
      </c>
      <c r="B2849" s="27" t="s">
        <v>33</v>
      </c>
      <c r="C2849" s="27" t="s">
        <v>50</v>
      </c>
      <c r="D2849" s="27" t="s">
        <v>7</v>
      </c>
      <c r="E2849" s="27" t="s">
        <v>10</v>
      </c>
      <c r="F2849" s="29"/>
      <c r="G2849" s="30">
        <v>2886.4184210526314</v>
      </c>
    </row>
    <row r="2850" spans="1:7" hidden="1" x14ac:dyDescent="0.25">
      <c r="A2850" s="28">
        <v>43739</v>
      </c>
      <c r="B2850" s="27" t="s">
        <v>33</v>
      </c>
      <c r="C2850" s="27" t="s">
        <v>50</v>
      </c>
      <c r="D2850" s="27" t="s">
        <v>7</v>
      </c>
      <c r="E2850" s="27" t="s">
        <v>11</v>
      </c>
      <c r="F2850" s="29"/>
      <c r="G2850" s="30">
        <v>2886.4184210526314</v>
      </c>
    </row>
    <row r="2851" spans="1:7" hidden="1" x14ac:dyDescent="0.25">
      <c r="A2851" s="28">
        <v>43739</v>
      </c>
      <c r="B2851" s="27" t="s">
        <v>33</v>
      </c>
      <c r="C2851" s="27" t="s">
        <v>50</v>
      </c>
      <c r="D2851" s="27" t="s">
        <v>7</v>
      </c>
      <c r="E2851" s="27" t="s">
        <v>12</v>
      </c>
      <c r="F2851" s="29"/>
      <c r="G2851" s="30">
        <v>2886.4184210526314</v>
      </c>
    </row>
    <row r="2852" spans="1:7" hidden="1" x14ac:dyDescent="0.25">
      <c r="A2852" s="28">
        <v>43739</v>
      </c>
      <c r="B2852" s="27" t="s">
        <v>33</v>
      </c>
      <c r="C2852" s="27" t="s">
        <v>50</v>
      </c>
      <c r="D2852" s="27" t="s">
        <v>7</v>
      </c>
      <c r="E2852" s="27" t="s">
        <v>13</v>
      </c>
      <c r="F2852" s="29"/>
      <c r="G2852" s="30">
        <v>2886.4184210526314</v>
      </c>
    </row>
    <row r="2853" spans="1:7" hidden="1" x14ac:dyDescent="0.25">
      <c r="A2853" s="28">
        <v>43739</v>
      </c>
      <c r="B2853" s="27" t="s">
        <v>33</v>
      </c>
      <c r="C2853" s="27" t="s">
        <v>50</v>
      </c>
      <c r="D2853" s="27" t="s">
        <v>7</v>
      </c>
      <c r="E2853" s="27" t="s">
        <v>14</v>
      </c>
      <c r="F2853" s="29"/>
      <c r="G2853" s="30">
        <v>2886.4184210526314</v>
      </c>
    </row>
    <row r="2854" spans="1:7" hidden="1" x14ac:dyDescent="0.25">
      <c r="A2854" s="28">
        <v>43739</v>
      </c>
      <c r="B2854" s="27" t="s">
        <v>33</v>
      </c>
      <c r="C2854" s="27" t="s">
        <v>50</v>
      </c>
      <c r="D2854" s="27" t="s">
        <v>7</v>
      </c>
      <c r="E2854" s="27" t="s">
        <v>15</v>
      </c>
      <c r="F2854" s="29"/>
      <c r="G2854" s="30">
        <v>2886.4184210526314</v>
      </c>
    </row>
    <row r="2855" spans="1:7" hidden="1" x14ac:dyDescent="0.25">
      <c r="A2855" s="28">
        <v>43739</v>
      </c>
      <c r="B2855" s="27" t="s">
        <v>33</v>
      </c>
      <c r="C2855" s="27" t="s">
        <v>50</v>
      </c>
      <c r="D2855" s="27" t="s">
        <v>7</v>
      </c>
      <c r="E2855" s="27" t="s">
        <v>16</v>
      </c>
      <c r="F2855" s="29"/>
      <c r="G2855" s="30">
        <v>2886.4184210526314</v>
      </c>
    </row>
    <row r="2856" spans="1:7" hidden="1" x14ac:dyDescent="0.25">
      <c r="A2856" s="28">
        <v>43739</v>
      </c>
      <c r="B2856" s="27" t="s">
        <v>33</v>
      </c>
      <c r="C2856" s="27" t="s">
        <v>50</v>
      </c>
      <c r="D2856" s="27" t="s">
        <v>7</v>
      </c>
      <c r="E2856" s="27" t="s">
        <v>17</v>
      </c>
      <c r="F2856" s="29"/>
      <c r="G2856" s="30">
        <v>2886.4184210526314</v>
      </c>
    </row>
    <row r="2857" spans="1:7" hidden="1" x14ac:dyDescent="0.25">
      <c r="A2857" s="28">
        <v>43739</v>
      </c>
      <c r="B2857" s="27" t="s">
        <v>33</v>
      </c>
      <c r="C2857" s="27" t="s">
        <v>50</v>
      </c>
      <c r="D2857" s="27" t="s">
        <v>7</v>
      </c>
      <c r="E2857" s="27" t="s">
        <v>18</v>
      </c>
      <c r="F2857" s="29"/>
      <c r="G2857" s="30">
        <v>2886.4184210526314</v>
      </c>
    </row>
    <row r="2858" spans="1:7" hidden="1" x14ac:dyDescent="0.25">
      <c r="A2858" s="28">
        <v>43739</v>
      </c>
      <c r="B2858" s="27" t="s">
        <v>33</v>
      </c>
      <c r="C2858" s="27" t="s">
        <v>50</v>
      </c>
      <c r="D2858" s="27" t="s">
        <v>7</v>
      </c>
      <c r="E2858" s="27" t="s">
        <v>19</v>
      </c>
      <c r="F2858" s="29"/>
      <c r="G2858" s="30">
        <v>2886.4184210526314</v>
      </c>
    </row>
    <row r="2859" spans="1:7" hidden="1" x14ac:dyDescent="0.25">
      <c r="A2859" s="28">
        <v>43739</v>
      </c>
      <c r="B2859" s="27" t="s">
        <v>33</v>
      </c>
      <c r="C2859" s="27" t="s">
        <v>50</v>
      </c>
      <c r="D2859" s="27" t="s">
        <v>7</v>
      </c>
      <c r="E2859" s="27" t="s">
        <v>20</v>
      </c>
      <c r="F2859" s="29"/>
      <c r="G2859" s="30">
        <v>2886.4184210526314</v>
      </c>
    </row>
    <row r="2860" spans="1:7" hidden="1" x14ac:dyDescent="0.25">
      <c r="A2860" s="28">
        <v>43739</v>
      </c>
      <c r="B2860" s="27" t="s">
        <v>33</v>
      </c>
      <c r="C2860" s="27" t="s">
        <v>50</v>
      </c>
      <c r="D2860" s="27" t="s">
        <v>7</v>
      </c>
      <c r="E2860" s="27" t="s">
        <v>38</v>
      </c>
      <c r="F2860" s="29"/>
      <c r="G2860" s="30">
        <v>2886.4184210526314</v>
      </c>
    </row>
    <row r="2861" spans="1:7" hidden="1" x14ac:dyDescent="0.25">
      <c r="A2861" s="28">
        <v>43739</v>
      </c>
      <c r="B2861" s="27" t="s">
        <v>33</v>
      </c>
      <c r="C2861" s="27" t="s">
        <v>50</v>
      </c>
      <c r="D2861" s="27" t="s">
        <v>7</v>
      </c>
      <c r="E2861" s="27" t="s">
        <v>23</v>
      </c>
      <c r="F2861" s="29"/>
      <c r="G2861" s="30">
        <v>2886.4184210526314</v>
      </c>
    </row>
    <row r="2862" spans="1:7" hidden="1" x14ac:dyDescent="0.25">
      <c r="A2862" s="28">
        <v>43739</v>
      </c>
      <c r="B2862" s="27" t="s">
        <v>33</v>
      </c>
      <c r="C2862" s="27" t="s">
        <v>50</v>
      </c>
      <c r="D2862" s="27" t="s">
        <v>7</v>
      </c>
      <c r="E2862" s="27" t="s">
        <v>22</v>
      </c>
      <c r="F2862" s="29"/>
      <c r="G2862" s="30">
        <v>2886.4184210526314</v>
      </c>
    </row>
    <row r="2863" spans="1:7" hidden="1" x14ac:dyDescent="0.25">
      <c r="A2863" s="28">
        <v>43739</v>
      </c>
      <c r="B2863" s="27" t="s">
        <v>33</v>
      </c>
      <c r="C2863" s="27" t="s">
        <v>50</v>
      </c>
      <c r="D2863" s="27" t="s">
        <v>7</v>
      </c>
      <c r="E2863" s="27" t="s">
        <v>37</v>
      </c>
      <c r="F2863" s="29"/>
      <c r="G2863" s="30">
        <v>2886.4184210526314</v>
      </c>
    </row>
    <row r="2864" spans="1:7" hidden="1" x14ac:dyDescent="0.25">
      <c r="A2864" s="28">
        <v>43739</v>
      </c>
      <c r="B2864" s="27" t="s">
        <v>4</v>
      </c>
      <c r="C2864" s="27" t="s">
        <v>50</v>
      </c>
      <c r="D2864" s="27" t="s">
        <v>7</v>
      </c>
      <c r="E2864" s="27" t="s">
        <v>8</v>
      </c>
      <c r="F2864" s="29"/>
      <c r="G2864" s="30">
        <v>4776.12</v>
      </c>
    </row>
    <row r="2865" spans="1:7" hidden="1" x14ac:dyDescent="0.25">
      <c r="A2865" s="28">
        <v>43739</v>
      </c>
      <c r="B2865" s="27" t="s">
        <v>4</v>
      </c>
      <c r="C2865" s="27" t="s">
        <v>50</v>
      </c>
      <c r="D2865" s="27" t="s">
        <v>7</v>
      </c>
      <c r="E2865" s="27" t="s">
        <v>9</v>
      </c>
      <c r="F2865" s="29"/>
      <c r="G2865" s="30">
        <v>5570.7</v>
      </c>
    </row>
    <row r="2866" spans="1:7" hidden="1" x14ac:dyDescent="0.25">
      <c r="A2866" s="28">
        <v>43739</v>
      </c>
      <c r="B2866" s="27" t="s">
        <v>4</v>
      </c>
      <c r="C2866" s="27" t="s">
        <v>50</v>
      </c>
      <c r="D2866" s="27" t="s">
        <v>7</v>
      </c>
      <c r="E2866" s="27" t="s">
        <v>64</v>
      </c>
      <c r="F2866" s="29"/>
      <c r="G2866" s="30">
        <v>4652.58</v>
      </c>
    </row>
    <row r="2867" spans="1:7" hidden="1" x14ac:dyDescent="0.25">
      <c r="A2867" s="28">
        <v>43739</v>
      </c>
      <c r="B2867" s="27" t="s">
        <v>4</v>
      </c>
      <c r="C2867" s="27" t="s">
        <v>50</v>
      </c>
      <c r="D2867" s="27" t="s">
        <v>7</v>
      </c>
      <c r="E2867" s="27" t="s">
        <v>21</v>
      </c>
      <c r="F2867" s="29"/>
      <c r="G2867" s="30">
        <v>6933.92</v>
      </c>
    </row>
    <row r="2868" spans="1:7" hidden="1" x14ac:dyDescent="0.25">
      <c r="A2868" s="28">
        <v>43739</v>
      </c>
      <c r="B2868" s="27" t="s">
        <v>4</v>
      </c>
      <c r="C2868" s="27" t="s">
        <v>50</v>
      </c>
      <c r="D2868" s="27" t="s">
        <v>7</v>
      </c>
      <c r="E2868" s="27" t="s">
        <v>10</v>
      </c>
      <c r="F2868" s="29"/>
      <c r="G2868" s="30">
        <v>5237.7000000000007</v>
      </c>
    </row>
    <row r="2869" spans="1:7" hidden="1" x14ac:dyDescent="0.25">
      <c r="A2869" s="28">
        <v>43739</v>
      </c>
      <c r="B2869" s="27" t="s">
        <v>4</v>
      </c>
      <c r="C2869" s="27" t="s">
        <v>50</v>
      </c>
      <c r="D2869" s="27" t="s">
        <v>7</v>
      </c>
      <c r="E2869" s="27" t="s">
        <v>11</v>
      </c>
      <c r="F2869" s="29"/>
      <c r="G2869" s="30">
        <v>2027.3000000000002</v>
      </c>
    </row>
    <row r="2870" spans="1:7" hidden="1" x14ac:dyDescent="0.25">
      <c r="A2870" s="28">
        <v>43739</v>
      </c>
      <c r="B2870" s="27" t="s">
        <v>4</v>
      </c>
      <c r="C2870" s="27" t="s">
        <v>50</v>
      </c>
      <c r="D2870" s="27" t="s">
        <v>7</v>
      </c>
      <c r="E2870" s="27" t="s">
        <v>12</v>
      </c>
      <c r="F2870" s="29"/>
      <c r="G2870" s="30">
        <v>1600.35</v>
      </c>
    </row>
    <row r="2871" spans="1:7" hidden="1" x14ac:dyDescent="0.25">
      <c r="A2871" s="28">
        <v>43739</v>
      </c>
      <c r="B2871" s="27" t="s">
        <v>4</v>
      </c>
      <c r="C2871" s="27" t="s">
        <v>50</v>
      </c>
      <c r="D2871" s="27" t="s">
        <v>7</v>
      </c>
      <c r="E2871" s="27" t="s">
        <v>13</v>
      </c>
      <c r="F2871" s="29"/>
      <c r="G2871" s="30">
        <v>5855.14</v>
      </c>
    </row>
    <row r="2872" spans="1:7" hidden="1" x14ac:dyDescent="0.25">
      <c r="A2872" s="28">
        <v>43739</v>
      </c>
      <c r="B2872" s="27" t="s">
        <v>4</v>
      </c>
      <c r="C2872" s="27" t="s">
        <v>50</v>
      </c>
      <c r="D2872" s="27" t="s">
        <v>7</v>
      </c>
      <c r="E2872" s="27" t="s">
        <v>14</v>
      </c>
      <c r="F2872" s="29"/>
      <c r="G2872" s="30">
        <v>1959.23</v>
      </c>
    </row>
    <row r="2873" spans="1:7" hidden="1" x14ac:dyDescent="0.25">
      <c r="A2873" s="28">
        <v>43739</v>
      </c>
      <c r="B2873" s="27" t="s">
        <v>4</v>
      </c>
      <c r="C2873" s="27" t="s">
        <v>50</v>
      </c>
      <c r="D2873" s="27" t="s">
        <v>7</v>
      </c>
      <c r="E2873" s="27" t="s">
        <v>15</v>
      </c>
      <c r="F2873" s="29"/>
      <c r="G2873" s="30">
        <v>3741.1800000000003</v>
      </c>
    </row>
    <row r="2874" spans="1:7" hidden="1" x14ac:dyDescent="0.25">
      <c r="A2874" s="28">
        <v>43739</v>
      </c>
      <c r="B2874" s="27" t="s">
        <v>4</v>
      </c>
      <c r="C2874" s="27" t="s">
        <v>50</v>
      </c>
      <c r="D2874" s="27" t="s">
        <v>7</v>
      </c>
      <c r="E2874" s="27" t="s">
        <v>16</v>
      </c>
      <c r="F2874" s="29"/>
      <c r="G2874" s="30">
        <v>5707.1399999999994</v>
      </c>
    </row>
    <row r="2875" spans="1:7" hidden="1" x14ac:dyDescent="0.25">
      <c r="A2875" s="28">
        <v>43739</v>
      </c>
      <c r="B2875" s="27" t="s">
        <v>4</v>
      </c>
      <c r="C2875" s="27" t="s">
        <v>50</v>
      </c>
      <c r="D2875" s="27" t="s">
        <v>7</v>
      </c>
      <c r="E2875" s="27" t="s">
        <v>17</v>
      </c>
      <c r="F2875" s="29"/>
      <c r="G2875" s="30">
        <v>4855.7700000000004</v>
      </c>
    </row>
    <row r="2876" spans="1:7" hidden="1" x14ac:dyDescent="0.25">
      <c r="A2876" s="28">
        <v>43739</v>
      </c>
      <c r="B2876" s="27" t="s">
        <v>4</v>
      </c>
      <c r="C2876" s="27" t="s">
        <v>50</v>
      </c>
      <c r="D2876" s="27" t="s">
        <v>7</v>
      </c>
      <c r="E2876" s="27" t="s">
        <v>18</v>
      </c>
      <c r="F2876" s="29"/>
      <c r="G2876" s="30">
        <v>2413.2999999999997</v>
      </c>
    </row>
    <row r="2877" spans="1:7" hidden="1" x14ac:dyDescent="0.25">
      <c r="A2877" s="28">
        <v>43739</v>
      </c>
      <c r="B2877" s="27" t="s">
        <v>4</v>
      </c>
      <c r="C2877" s="27" t="s">
        <v>50</v>
      </c>
      <c r="D2877" s="27" t="s">
        <v>7</v>
      </c>
      <c r="E2877" s="27" t="s">
        <v>19</v>
      </c>
      <c r="F2877" s="29"/>
      <c r="G2877" s="30">
        <v>5379.07</v>
      </c>
    </row>
    <row r="2878" spans="1:7" hidden="1" x14ac:dyDescent="0.25">
      <c r="A2878" s="28">
        <v>43739</v>
      </c>
      <c r="B2878" s="27" t="s">
        <v>4</v>
      </c>
      <c r="C2878" s="27" t="s">
        <v>50</v>
      </c>
      <c r="D2878" s="27" t="s">
        <v>7</v>
      </c>
      <c r="E2878" s="27" t="s">
        <v>20</v>
      </c>
      <c r="F2878" s="29"/>
      <c r="G2878" s="30">
        <v>2012.71</v>
      </c>
    </row>
    <row r="2879" spans="1:7" hidden="1" x14ac:dyDescent="0.25">
      <c r="A2879" s="28">
        <v>43739</v>
      </c>
      <c r="B2879" s="27" t="s">
        <v>4</v>
      </c>
      <c r="C2879" s="27" t="s">
        <v>50</v>
      </c>
      <c r="D2879" s="27" t="s">
        <v>7</v>
      </c>
      <c r="E2879" s="27" t="s">
        <v>38</v>
      </c>
      <c r="F2879" s="29"/>
      <c r="G2879" s="30">
        <v>1357.9699999999998</v>
      </c>
    </row>
    <row r="2880" spans="1:7" hidden="1" x14ac:dyDescent="0.25">
      <c r="A2880" s="28">
        <v>43739</v>
      </c>
      <c r="B2880" s="27" t="s">
        <v>4</v>
      </c>
      <c r="C2880" s="27" t="s">
        <v>50</v>
      </c>
      <c r="D2880" s="27" t="s">
        <v>7</v>
      </c>
      <c r="E2880" s="27" t="s">
        <v>23</v>
      </c>
      <c r="F2880" s="29"/>
      <c r="G2880" s="30">
        <v>200</v>
      </c>
    </row>
    <row r="2881" spans="1:7" hidden="1" x14ac:dyDescent="0.25">
      <c r="A2881" s="28">
        <v>43739</v>
      </c>
      <c r="B2881" s="27" t="s">
        <v>4</v>
      </c>
      <c r="C2881" s="27" t="s">
        <v>50</v>
      </c>
      <c r="D2881" s="27" t="s">
        <v>7</v>
      </c>
      <c r="E2881" s="27" t="s">
        <v>22</v>
      </c>
      <c r="F2881" s="29"/>
      <c r="G2881" s="30">
        <v>2424.41</v>
      </c>
    </row>
    <row r="2882" spans="1:7" hidden="1" x14ac:dyDescent="0.25">
      <c r="A2882" s="28">
        <v>43739</v>
      </c>
      <c r="B2882" s="27" t="s">
        <v>4</v>
      </c>
      <c r="C2882" s="27" t="s">
        <v>50</v>
      </c>
      <c r="D2882" s="27" t="s">
        <v>7</v>
      </c>
      <c r="E2882" s="27" t="s">
        <v>37</v>
      </c>
      <c r="F2882" s="29"/>
      <c r="G2882" s="30">
        <v>1410</v>
      </c>
    </row>
    <row r="2883" spans="1:7" hidden="1" x14ac:dyDescent="0.25">
      <c r="A2883" s="28">
        <v>43739</v>
      </c>
      <c r="B2883" s="27" t="s">
        <v>26</v>
      </c>
      <c r="C2883" s="27" t="s">
        <v>50</v>
      </c>
      <c r="D2883" s="27" t="s">
        <v>6</v>
      </c>
      <c r="E2883" s="27" t="s">
        <v>8</v>
      </c>
      <c r="F2883" s="29"/>
      <c r="G2883" s="30">
        <v>1194.25</v>
      </c>
    </row>
    <row r="2884" spans="1:7" hidden="1" x14ac:dyDescent="0.25">
      <c r="A2884" s="28">
        <v>43739</v>
      </c>
      <c r="B2884" s="27" t="s">
        <v>26</v>
      </c>
      <c r="C2884" s="27" t="s">
        <v>50</v>
      </c>
      <c r="D2884" s="27" t="s">
        <v>6</v>
      </c>
      <c r="E2884" s="27" t="s">
        <v>9</v>
      </c>
      <c r="F2884" s="29"/>
      <c r="G2884" s="30">
        <v>1550.9166666666667</v>
      </c>
    </row>
    <row r="2885" spans="1:7" hidden="1" x14ac:dyDescent="0.25">
      <c r="A2885" s="28">
        <v>43739</v>
      </c>
      <c r="B2885" s="27" t="s">
        <v>26</v>
      </c>
      <c r="C2885" s="27" t="s">
        <v>50</v>
      </c>
      <c r="D2885" s="27" t="s">
        <v>6</v>
      </c>
      <c r="E2885" s="27" t="s">
        <v>64</v>
      </c>
      <c r="F2885" s="29"/>
      <c r="G2885" s="30">
        <v>1270.3500000000001</v>
      </c>
    </row>
    <row r="2886" spans="1:7" hidden="1" x14ac:dyDescent="0.25">
      <c r="A2886" s="28">
        <v>43739</v>
      </c>
      <c r="B2886" s="27" t="s">
        <v>26</v>
      </c>
      <c r="C2886" s="27" t="s">
        <v>50</v>
      </c>
      <c r="D2886" s="27" t="s">
        <v>6</v>
      </c>
      <c r="E2886" s="27" t="s">
        <v>21</v>
      </c>
      <c r="F2886" s="29"/>
      <c r="G2886" s="30">
        <v>1359.4166666666667</v>
      </c>
    </row>
    <row r="2887" spans="1:7" hidden="1" x14ac:dyDescent="0.25">
      <c r="A2887" s="28">
        <v>43739</v>
      </c>
      <c r="B2887" s="27" t="s">
        <v>26</v>
      </c>
      <c r="C2887" s="27" t="s">
        <v>50</v>
      </c>
      <c r="D2887" s="27" t="s">
        <v>6</v>
      </c>
      <c r="E2887" s="27" t="s">
        <v>10</v>
      </c>
      <c r="F2887" s="29"/>
      <c r="G2887" s="30">
        <v>1998.9666666666669</v>
      </c>
    </row>
    <row r="2888" spans="1:7" hidden="1" x14ac:dyDescent="0.25">
      <c r="A2888" s="28">
        <v>43739</v>
      </c>
      <c r="B2888" s="27" t="s">
        <v>26</v>
      </c>
      <c r="C2888" s="27" t="s">
        <v>50</v>
      </c>
      <c r="D2888" s="27" t="s">
        <v>6</v>
      </c>
      <c r="E2888" s="27" t="s">
        <v>11</v>
      </c>
      <c r="F2888" s="29"/>
      <c r="G2888" s="30">
        <v>1340.7166666666667</v>
      </c>
    </row>
    <row r="2889" spans="1:7" hidden="1" x14ac:dyDescent="0.25">
      <c r="A2889" s="28">
        <v>43739</v>
      </c>
      <c r="B2889" s="27" t="s">
        <v>26</v>
      </c>
      <c r="C2889" s="27" t="s">
        <v>50</v>
      </c>
      <c r="D2889" s="27" t="s">
        <v>6</v>
      </c>
      <c r="E2889" s="27" t="s">
        <v>12</v>
      </c>
      <c r="F2889" s="29"/>
      <c r="G2889" s="30">
        <v>1350.1166666666668</v>
      </c>
    </row>
    <row r="2890" spans="1:7" hidden="1" x14ac:dyDescent="0.25">
      <c r="A2890" s="28">
        <v>43739</v>
      </c>
      <c r="B2890" s="27" t="s">
        <v>26</v>
      </c>
      <c r="C2890" s="27" t="s">
        <v>50</v>
      </c>
      <c r="D2890" s="27" t="s">
        <v>6</v>
      </c>
      <c r="E2890" s="27" t="s">
        <v>13</v>
      </c>
      <c r="F2890" s="29"/>
      <c r="G2890" s="30">
        <v>1901.5</v>
      </c>
    </row>
    <row r="2891" spans="1:7" hidden="1" x14ac:dyDescent="0.25">
      <c r="A2891" s="28">
        <v>43739</v>
      </c>
      <c r="B2891" s="27" t="s">
        <v>26</v>
      </c>
      <c r="C2891" s="27" t="s">
        <v>50</v>
      </c>
      <c r="D2891" s="27" t="s">
        <v>6</v>
      </c>
      <c r="E2891" s="27" t="s">
        <v>14</v>
      </c>
      <c r="F2891" s="29"/>
      <c r="G2891" s="30">
        <v>701.7833333333333</v>
      </c>
    </row>
    <row r="2892" spans="1:7" hidden="1" x14ac:dyDescent="0.25">
      <c r="A2892" s="28">
        <v>43739</v>
      </c>
      <c r="B2892" s="27" t="s">
        <v>26</v>
      </c>
      <c r="C2892" s="27" t="s">
        <v>50</v>
      </c>
      <c r="D2892" s="27" t="s">
        <v>6</v>
      </c>
      <c r="E2892" s="27" t="s">
        <v>15</v>
      </c>
      <c r="F2892" s="29"/>
      <c r="G2892" s="30">
        <v>1820.5500000000002</v>
      </c>
    </row>
    <row r="2893" spans="1:7" hidden="1" x14ac:dyDescent="0.25">
      <c r="A2893" s="28">
        <v>43739</v>
      </c>
      <c r="B2893" s="27" t="s">
        <v>26</v>
      </c>
      <c r="C2893" s="27" t="s">
        <v>50</v>
      </c>
      <c r="D2893" s="27" t="s">
        <v>6</v>
      </c>
      <c r="E2893" s="27" t="s">
        <v>16</v>
      </c>
      <c r="F2893" s="29"/>
      <c r="G2893" s="30">
        <v>1992.5833333333333</v>
      </c>
    </row>
    <row r="2894" spans="1:7" hidden="1" x14ac:dyDescent="0.25">
      <c r="A2894" s="28">
        <v>43739</v>
      </c>
      <c r="B2894" s="27" t="s">
        <v>26</v>
      </c>
      <c r="C2894" s="27" t="s">
        <v>50</v>
      </c>
      <c r="D2894" s="27" t="s">
        <v>6</v>
      </c>
      <c r="E2894" s="27" t="s">
        <v>17</v>
      </c>
      <c r="F2894" s="29"/>
      <c r="G2894" s="30">
        <v>2822.1166666666668</v>
      </c>
    </row>
    <row r="2895" spans="1:7" hidden="1" x14ac:dyDescent="0.25">
      <c r="A2895" s="28">
        <v>43739</v>
      </c>
      <c r="B2895" s="27" t="s">
        <v>26</v>
      </c>
      <c r="C2895" s="27" t="s">
        <v>50</v>
      </c>
      <c r="D2895" s="27" t="s">
        <v>6</v>
      </c>
      <c r="E2895" s="27" t="s">
        <v>18</v>
      </c>
      <c r="F2895" s="29"/>
      <c r="G2895" s="30">
        <v>1488.6666666666667</v>
      </c>
    </row>
    <row r="2896" spans="1:7" hidden="1" x14ac:dyDescent="0.25">
      <c r="A2896" s="28">
        <v>43739</v>
      </c>
      <c r="B2896" s="27" t="s">
        <v>26</v>
      </c>
      <c r="C2896" s="27" t="s">
        <v>50</v>
      </c>
      <c r="D2896" s="27" t="s">
        <v>6</v>
      </c>
      <c r="E2896" s="27" t="s">
        <v>19</v>
      </c>
      <c r="F2896" s="29"/>
      <c r="G2896" s="30">
        <v>2454.8833333333337</v>
      </c>
    </row>
    <row r="2897" spans="1:7" hidden="1" x14ac:dyDescent="0.25">
      <c r="A2897" s="28">
        <v>43739</v>
      </c>
      <c r="B2897" s="27" t="s">
        <v>26</v>
      </c>
      <c r="C2897" s="27" t="s">
        <v>50</v>
      </c>
      <c r="D2897" s="27" t="s">
        <v>6</v>
      </c>
      <c r="E2897" s="27" t="s">
        <v>20</v>
      </c>
      <c r="F2897" s="29"/>
      <c r="G2897" s="30">
        <v>1590.3833333333334</v>
      </c>
    </row>
    <row r="2898" spans="1:7" hidden="1" x14ac:dyDescent="0.25">
      <c r="A2898" s="28">
        <v>43739</v>
      </c>
      <c r="B2898" s="27" t="s">
        <v>26</v>
      </c>
      <c r="C2898" s="27" t="s">
        <v>50</v>
      </c>
      <c r="D2898" s="27" t="s">
        <v>6</v>
      </c>
      <c r="E2898" s="27" t="s">
        <v>38</v>
      </c>
      <c r="F2898" s="29"/>
      <c r="G2898" s="30">
        <v>602</v>
      </c>
    </row>
    <row r="2899" spans="1:7" hidden="1" x14ac:dyDescent="0.25">
      <c r="A2899" s="28">
        <v>43739</v>
      </c>
      <c r="B2899" s="27" t="s">
        <v>26</v>
      </c>
      <c r="C2899" s="27" t="s">
        <v>50</v>
      </c>
      <c r="D2899" s="27" t="s">
        <v>6</v>
      </c>
      <c r="E2899" s="27" t="s">
        <v>23</v>
      </c>
      <c r="F2899" s="29"/>
      <c r="G2899" s="30">
        <v>2997.5</v>
      </c>
    </row>
    <row r="2900" spans="1:7" hidden="1" x14ac:dyDescent="0.25">
      <c r="A2900" s="28">
        <v>43739</v>
      </c>
      <c r="B2900" s="27" t="s">
        <v>26</v>
      </c>
      <c r="C2900" s="27" t="s">
        <v>50</v>
      </c>
      <c r="D2900" s="27" t="s">
        <v>6</v>
      </c>
      <c r="E2900" s="27" t="s">
        <v>22</v>
      </c>
      <c r="F2900" s="29"/>
      <c r="G2900" s="30">
        <v>2203.9333633083334</v>
      </c>
    </row>
    <row r="2901" spans="1:7" hidden="1" x14ac:dyDescent="0.25">
      <c r="A2901" s="28">
        <v>43739</v>
      </c>
      <c r="B2901" s="27" t="s">
        <v>26</v>
      </c>
      <c r="C2901" s="27" t="s">
        <v>50</v>
      </c>
      <c r="D2901" s="27" t="s">
        <v>6</v>
      </c>
      <c r="E2901" s="27" t="s">
        <v>204</v>
      </c>
      <c r="F2901" s="29"/>
      <c r="G2901" s="30">
        <v>316.66666666666669</v>
      </c>
    </row>
    <row r="2902" spans="1:7" hidden="1" x14ac:dyDescent="0.25">
      <c r="A2902" s="28">
        <v>43739</v>
      </c>
      <c r="B2902" s="27" t="s">
        <v>26</v>
      </c>
      <c r="C2902" s="27" t="s">
        <v>50</v>
      </c>
      <c r="D2902" s="27" t="s">
        <v>6</v>
      </c>
      <c r="E2902" s="27" t="s">
        <v>205</v>
      </c>
      <c r="F2902" s="29"/>
      <c r="G2902" s="30">
        <v>1200</v>
      </c>
    </row>
    <row r="2903" spans="1:7" hidden="1" x14ac:dyDescent="0.25">
      <c r="A2903" s="28">
        <v>43739</v>
      </c>
      <c r="B2903" s="27" t="s">
        <v>26</v>
      </c>
      <c r="C2903" s="27" t="s">
        <v>50</v>
      </c>
      <c r="D2903" s="27" t="s">
        <v>6</v>
      </c>
      <c r="E2903" s="27" t="s">
        <v>37</v>
      </c>
      <c r="F2903" s="29"/>
      <c r="G2903" s="30">
        <v>250</v>
      </c>
    </row>
    <row r="2904" spans="1:7" hidden="1" x14ac:dyDescent="0.25">
      <c r="A2904" s="28">
        <v>43739</v>
      </c>
      <c r="B2904" s="27" t="s">
        <v>3</v>
      </c>
      <c r="C2904" s="27" t="s">
        <v>50</v>
      </c>
      <c r="D2904" s="27" t="s">
        <v>7</v>
      </c>
      <c r="E2904" s="27" t="s">
        <v>8</v>
      </c>
      <c r="F2904" s="29"/>
      <c r="G2904" s="30">
        <v>580.78199999999993</v>
      </c>
    </row>
    <row r="2905" spans="1:7" hidden="1" x14ac:dyDescent="0.25">
      <c r="A2905" s="28">
        <v>43739</v>
      </c>
      <c r="B2905" s="27" t="s">
        <v>3</v>
      </c>
      <c r="C2905" s="27" t="s">
        <v>50</v>
      </c>
      <c r="D2905" s="27" t="s">
        <v>7</v>
      </c>
      <c r="E2905" s="27" t="s">
        <v>9</v>
      </c>
      <c r="F2905" s="29"/>
      <c r="G2905" s="30">
        <v>580.78199999999993</v>
      </c>
    </row>
    <row r="2906" spans="1:7" hidden="1" x14ac:dyDescent="0.25">
      <c r="A2906" s="28">
        <v>43739</v>
      </c>
      <c r="B2906" s="27" t="s">
        <v>3</v>
      </c>
      <c r="C2906" s="27" t="s">
        <v>50</v>
      </c>
      <c r="D2906" s="27" t="s">
        <v>7</v>
      </c>
      <c r="E2906" s="27" t="s">
        <v>64</v>
      </c>
      <c r="F2906" s="29"/>
      <c r="G2906" s="30">
        <v>580.78199999999993</v>
      </c>
    </row>
    <row r="2907" spans="1:7" hidden="1" x14ac:dyDescent="0.25">
      <c r="A2907" s="28">
        <v>43739</v>
      </c>
      <c r="B2907" s="27" t="s">
        <v>3</v>
      </c>
      <c r="C2907" s="27" t="s">
        <v>50</v>
      </c>
      <c r="D2907" s="27" t="s">
        <v>7</v>
      </c>
      <c r="E2907" s="27" t="s">
        <v>21</v>
      </c>
      <c r="F2907" s="29"/>
      <c r="G2907" s="30">
        <v>580.78199999999993</v>
      </c>
    </row>
    <row r="2908" spans="1:7" hidden="1" x14ac:dyDescent="0.25">
      <c r="A2908" s="28">
        <v>43739</v>
      </c>
      <c r="B2908" s="27" t="s">
        <v>3</v>
      </c>
      <c r="C2908" s="27" t="s">
        <v>50</v>
      </c>
      <c r="D2908" s="27" t="s">
        <v>7</v>
      </c>
      <c r="E2908" s="27" t="s">
        <v>10</v>
      </c>
      <c r="F2908" s="29"/>
      <c r="G2908" s="30">
        <v>580.78199999999993</v>
      </c>
    </row>
    <row r="2909" spans="1:7" hidden="1" x14ac:dyDescent="0.25">
      <c r="A2909" s="28">
        <v>43739</v>
      </c>
      <c r="B2909" s="27" t="s">
        <v>3</v>
      </c>
      <c r="C2909" s="27" t="s">
        <v>50</v>
      </c>
      <c r="D2909" s="27" t="s">
        <v>7</v>
      </c>
      <c r="E2909" s="27" t="s">
        <v>11</v>
      </c>
      <c r="F2909" s="29"/>
      <c r="G2909" s="30">
        <v>580.78199999999993</v>
      </c>
    </row>
    <row r="2910" spans="1:7" hidden="1" x14ac:dyDescent="0.25">
      <c r="A2910" s="28">
        <v>43739</v>
      </c>
      <c r="B2910" s="27" t="s">
        <v>3</v>
      </c>
      <c r="C2910" s="27" t="s">
        <v>50</v>
      </c>
      <c r="D2910" s="27" t="s">
        <v>7</v>
      </c>
      <c r="E2910" s="27" t="s">
        <v>12</v>
      </c>
      <c r="F2910" s="29"/>
      <c r="G2910" s="30">
        <v>580.78199999999993</v>
      </c>
    </row>
    <row r="2911" spans="1:7" hidden="1" x14ac:dyDescent="0.25">
      <c r="A2911" s="28">
        <v>43739</v>
      </c>
      <c r="B2911" s="27" t="s">
        <v>3</v>
      </c>
      <c r="C2911" s="27" t="s">
        <v>50</v>
      </c>
      <c r="D2911" s="27" t="s">
        <v>7</v>
      </c>
      <c r="E2911" s="27" t="s">
        <v>13</v>
      </c>
      <c r="F2911" s="29"/>
      <c r="G2911" s="30">
        <v>580.78199999999993</v>
      </c>
    </row>
    <row r="2912" spans="1:7" hidden="1" x14ac:dyDescent="0.25">
      <c r="A2912" s="28">
        <v>43739</v>
      </c>
      <c r="B2912" s="27" t="s">
        <v>3</v>
      </c>
      <c r="C2912" s="27" t="s">
        <v>50</v>
      </c>
      <c r="D2912" s="27" t="s">
        <v>7</v>
      </c>
      <c r="E2912" s="27" t="s">
        <v>14</v>
      </c>
      <c r="F2912" s="29"/>
      <c r="G2912" s="30">
        <v>580.78199999999993</v>
      </c>
    </row>
    <row r="2913" spans="1:7" hidden="1" x14ac:dyDescent="0.25">
      <c r="A2913" s="28">
        <v>43739</v>
      </c>
      <c r="B2913" s="27" t="s">
        <v>3</v>
      </c>
      <c r="C2913" s="27" t="s">
        <v>50</v>
      </c>
      <c r="D2913" s="27" t="s">
        <v>7</v>
      </c>
      <c r="E2913" s="27" t="s">
        <v>15</v>
      </c>
      <c r="F2913" s="29"/>
      <c r="G2913" s="30">
        <v>580.78199999999993</v>
      </c>
    </row>
    <row r="2914" spans="1:7" hidden="1" x14ac:dyDescent="0.25">
      <c r="A2914" s="28">
        <v>43739</v>
      </c>
      <c r="B2914" s="27" t="s">
        <v>3</v>
      </c>
      <c r="C2914" s="27" t="s">
        <v>50</v>
      </c>
      <c r="D2914" s="27" t="s">
        <v>7</v>
      </c>
      <c r="E2914" s="27" t="s">
        <v>16</v>
      </c>
      <c r="F2914" s="29"/>
      <c r="G2914" s="30">
        <v>580.78199999999993</v>
      </c>
    </row>
    <row r="2915" spans="1:7" hidden="1" x14ac:dyDescent="0.25">
      <c r="A2915" s="28">
        <v>43739</v>
      </c>
      <c r="B2915" s="27" t="s">
        <v>3</v>
      </c>
      <c r="C2915" s="27" t="s">
        <v>50</v>
      </c>
      <c r="D2915" s="27" t="s">
        <v>7</v>
      </c>
      <c r="E2915" s="27" t="s">
        <v>17</v>
      </c>
      <c r="F2915" s="29"/>
      <c r="G2915" s="30">
        <v>580.78199999999993</v>
      </c>
    </row>
    <row r="2916" spans="1:7" hidden="1" x14ac:dyDescent="0.25">
      <c r="A2916" s="28">
        <v>43739</v>
      </c>
      <c r="B2916" s="27" t="s">
        <v>3</v>
      </c>
      <c r="C2916" s="27" t="s">
        <v>50</v>
      </c>
      <c r="D2916" s="27" t="s">
        <v>7</v>
      </c>
      <c r="E2916" s="27" t="s">
        <v>18</v>
      </c>
      <c r="F2916" s="29"/>
      <c r="G2916" s="30">
        <v>580.78199999999993</v>
      </c>
    </row>
    <row r="2917" spans="1:7" hidden="1" x14ac:dyDescent="0.25">
      <c r="A2917" s="28">
        <v>43739</v>
      </c>
      <c r="B2917" s="27" t="s">
        <v>3</v>
      </c>
      <c r="C2917" s="27" t="s">
        <v>50</v>
      </c>
      <c r="D2917" s="27" t="s">
        <v>7</v>
      </c>
      <c r="E2917" s="27" t="s">
        <v>19</v>
      </c>
      <c r="F2917" s="29"/>
      <c r="G2917" s="30">
        <v>580.78199999999993</v>
      </c>
    </row>
    <row r="2918" spans="1:7" hidden="1" x14ac:dyDescent="0.25">
      <c r="A2918" s="28">
        <v>43739</v>
      </c>
      <c r="B2918" s="27" t="s">
        <v>3</v>
      </c>
      <c r="C2918" s="27" t="s">
        <v>50</v>
      </c>
      <c r="D2918" s="27" t="s">
        <v>7</v>
      </c>
      <c r="E2918" s="27" t="s">
        <v>20</v>
      </c>
      <c r="F2918" s="29"/>
      <c r="G2918" s="30">
        <v>580.78199999999993</v>
      </c>
    </row>
    <row r="2919" spans="1:7" hidden="1" x14ac:dyDescent="0.25">
      <c r="A2919" s="28">
        <v>43739</v>
      </c>
      <c r="B2919" s="27" t="s">
        <v>3</v>
      </c>
      <c r="C2919" s="27" t="s">
        <v>50</v>
      </c>
      <c r="D2919" s="27" t="s">
        <v>7</v>
      </c>
      <c r="E2919" s="27" t="s">
        <v>38</v>
      </c>
      <c r="F2919" s="29"/>
      <c r="G2919" s="30">
        <v>580.78199999999993</v>
      </c>
    </row>
    <row r="2920" spans="1:7" hidden="1" x14ac:dyDescent="0.25">
      <c r="A2920" s="28">
        <v>43739</v>
      </c>
      <c r="B2920" s="27" t="s">
        <v>3</v>
      </c>
      <c r="C2920" s="27" t="s">
        <v>50</v>
      </c>
      <c r="D2920" s="27" t="s">
        <v>7</v>
      </c>
      <c r="E2920" s="27" t="s">
        <v>23</v>
      </c>
      <c r="F2920" s="29"/>
      <c r="G2920" s="30">
        <v>580.78199999999993</v>
      </c>
    </row>
    <row r="2921" spans="1:7" hidden="1" x14ac:dyDescent="0.25">
      <c r="A2921" s="28">
        <v>43739</v>
      </c>
      <c r="B2921" s="27" t="s">
        <v>3</v>
      </c>
      <c r="C2921" s="27" t="s">
        <v>50</v>
      </c>
      <c r="D2921" s="27" t="s">
        <v>7</v>
      </c>
      <c r="E2921" s="27" t="s">
        <v>22</v>
      </c>
      <c r="F2921" s="29"/>
      <c r="G2921" s="30">
        <v>580.78199999999993</v>
      </c>
    </row>
    <row r="2922" spans="1:7" hidden="1" x14ac:dyDescent="0.25">
      <c r="A2922" s="28">
        <v>43739</v>
      </c>
      <c r="B2922" s="27" t="s">
        <v>3</v>
      </c>
      <c r="C2922" s="27" t="s">
        <v>50</v>
      </c>
      <c r="D2922" s="27" t="s">
        <v>7</v>
      </c>
      <c r="E2922" s="27" t="s">
        <v>204</v>
      </c>
      <c r="F2922" s="29"/>
      <c r="G2922" s="30">
        <v>580.78199999999993</v>
      </c>
    </row>
    <row r="2923" spans="1:7" hidden="1" x14ac:dyDescent="0.25">
      <c r="A2923" s="28">
        <v>43739</v>
      </c>
      <c r="B2923" s="27" t="s">
        <v>3</v>
      </c>
      <c r="C2923" s="27" t="s">
        <v>50</v>
      </c>
      <c r="D2923" s="27" t="s">
        <v>7</v>
      </c>
      <c r="E2923" s="27" t="s">
        <v>205</v>
      </c>
      <c r="F2923" s="29"/>
      <c r="G2923" s="30">
        <v>580.78199999999993</v>
      </c>
    </row>
    <row r="2924" spans="1:7" hidden="1" x14ac:dyDescent="0.25">
      <c r="A2924" s="28">
        <v>43739</v>
      </c>
      <c r="B2924" s="27" t="s">
        <v>179</v>
      </c>
      <c r="C2924" s="27" t="s">
        <v>50</v>
      </c>
      <c r="D2924" s="27" t="s">
        <v>6</v>
      </c>
      <c r="E2924" s="27" t="s">
        <v>8</v>
      </c>
      <c r="F2924" s="29"/>
      <c r="G2924" s="30">
        <v>82.027500000000003</v>
      </c>
    </row>
    <row r="2925" spans="1:7" hidden="1" x14ac:dyDescent="0.25">
      <c r="A2925" s="28">
        <v>43739</v>
      </c>
      <c r="B2925" s="27" t="s">
        <v>179</v>
      </c>
      <c r="C2925" s="27" t="s">
        <v>50</v>
      </c>
      <c r="D2925" s="27" t="s">
        <v>6</v>
      </c>
      <c r="E2925" s="27" t="s">
        <v>9</v>
      </c>
      <c r="F2925" s="29"/>
      <c r="G2925" s="30">
        <v>80.430833333333325</v>
      </c>
    </row>
    <row r="2926" spans="1:7" hidden="1" x14ac:dyDescent="0.25">
      <c r="A2926" s="28">
        <v>43739</v>
      </c>
      <c r="B2926" s="27" t="s">
        <v>179</v>
      </c>
      <c r="C2926" s="27" t="s">
        <v>50</v>
      </c>
      <c r="D2926" s="27" t="s">
        <v>6</v>
      </c>
      <c r="E2926" s="27" t="s">
        <v>64</v>
      </c>
      <c r="F2926" s="29"/>
      <c r="G2926" s="30">
        <v>99.683333333333337</v>
      </c>
    </row>
    <row r="2927" spans="1:7" hidden="1" x14ac:dyDescent="0.25">
      <c r="A2927" s="28">
        <v>43739</v>
      </c>
      <c r="B2927" s="27" t="s">
        <v>179</v>
      </c>
      <c r="C2927" s="27" t="s">
        <v>50</v>
      </c>
      <c r="D2927" s="27" t="s">
        <v>6</v>
      </c>
      <c r="E2927" s="27" t="s">
        <v>21</v>
      </c>
      <c r="F2927" s="29"/>
      <c r="G2927" s="30">
        <v>75.420833333333334</v>
      </c>
    </row>
    <row r="2928" spans="1:7" hidden="1" x14ac:dyDescent="0.25">
      <c r="A2928" s="28">
        <v>43739</v>
      </c>
      <c r="B2928" s="27" t="s">
        <v>179</v>
      </c>
      <c r="C2928" s="27" t="s">
        <v>50</v>
      </c>
      <c r="D2928" s="27" t="s">
        <v>6</v>
      </c>
      <c r="E2928" s="27" t="s">
        <v>10</v>
      </c>
      <c r="F2928" s="29"/>
      <c r="G2928" s="30">
        <v>94.975833333333341</v>
      </c>
    </row>
    <row r="2929" spans="1:7" hidden="1" x14ac:dyDescent="0.25">
      <c r="A2929" s="28">
        <v>43739</v>
      </c>
      <c r="B2929" s="27" t="s">
        <v>179</v>
      </c>
      <c r="C2929" s="27" t="s">
        <v>50</v>
      </c>
      <c r="D2929" s="27" t="s">
        <v>6</v>
      </c>
      <c r="E2929" s="27" t="s">
        <v>11</v>
      </c>
      <c r="F2929" s="29"/>
      <c r="G2929" s="30">
        <v>99.024999999999991</v>
      </c>
    </row>
    <row r="2930" spans="1:7" hidden="1" x14ac:dyDescent="0.25">
      <c r="A2930" s="28">
        <v>43739</v>
      </c>
      <c r="B2930" s="27" t="s">
        <v>179</v>
      </c>
      <c r="C2930" s="27" t="s">
        <v>50</v>
      </c>
      <c r="D2930" s="27" t="s">
        <v>6</v>
      </c>
      <c r="E2930" s="27" t="s">
        <v>12</v>
      </c>
      <c r="F2930" s="29"/>
      <c r="G2930" s="30">
        <v>75.82083333333334</v>
      </c>
    </row>
    <row r="2931" spans="1:7" hidden="1" x14ac:dyDescent="0.25">
      <c r="A2931" s="28">
        <v>43739</v>
      </c>
      <c r="B2931" s="27" t="s">
        <v>179</v>
      </c>
      <c r="C2931" s="27" t="s">
        <v>50</v>
      </c>
      <c r="D2931" s="27" t="s">
        <v>6</v>
      </c>
      <c r="E2931" s="27" t="s">
        <v>13</v>
      </c>
      <c r="F2931" s="29"/>
      <c r="G2931" s="30">
        <v>100.41500000000001</v>
      </c>
    </row>
    <row r="2932" spans="1:7" hidden="1" x14ac:dyDescent="0.25">
      <c r="A2932" s="28">
        <v>43739</v>
      </c>
      <c r="B2932" s="27" t="s">
        <v>179</v>
      </c>
      <c r="C2932" s="27" t="s">
        <v>50</v>
      </c>
      <c r="D2932" s="27" t="s">
        <v>6</v>
      </c>
      <c r="E2932" s="27" t="s">
        <v>14</v>
      </c>
      <c r="F2932" s="29"/>
      <c r="G2932" s="30">
        <v>84.427499999999995</v>
      </c>
    </row>
    <row r="2933" spans="1:7" hidden="1" x14ac:dyDescent="0.25">
      <c r="A2933" s="28">
        <v>43739</v>
      </c>
      <c r="B2933" s="27" t="s">
        <v>179</v>
      </c>
      <c r="C2933" s="27" t="s">
        <v>50</v>
      </c>
      <c r="D2933" s="27" t="s">
        <v>6</v>
      </c>
      <c r="E2933" s="27" t="s">
        <v>15</v>
      </c>
      <c r="F2933" s="29"/>
      <c r="G2933" s="30">
        <v>97.932500000000005</v>
      </c>
    </row>
    <row r="2934" spans="1:7" hidden="1" x14ac:dyDescent="0.25">
      <c r="A2934" s="28">
        <v>43739</v>
      </c>
      <c r="B2934" s="27" t="s">
        <v>179</v>
      </c>
      <c r="C2934" s="27" t="s">
        <v>50</v>
      </c>
      <c r="D2934" s="27" t="s">
        <v>6</v>
      </c>
      <c r="E2934" s="27" t="s">
        <v>16</v>
      </c>
      <c r="F2934" s="29"/>
      <c r="G2934" s="30">
        <v>99.579166666666666</v>
      </c>
    </row>
    <row r="2935" spans="1:7" hidden="1" x14ac:dyDescent="0.25">
      <c r="A2935" s="28">
        <v>43739</v>
      </c>
      <c r="B2935" s="27" t="s">
        <v>179</v>
      </c>
      <c r="C2935" s="27" t="s">
        <v>50</v>
      </c>
      <c r="D2935" s="27" t="s">
        <v>6</v>
      </c>
      <c r="E2935" s="27" t="s">
        <v>17</v>
      </c>
      <c r="F2935" s="29"/>
      <c r="G2935" s="30">
        <v>163.58583333333334</v>
      </c>
    </row>
    <row r="2936" spans="1:7" hidden="1" x14ac:dyDescent="0.25">
      <c r="A2936" s="28">
        <v>43739</v>
      </c>
      <c r="B2936" s="27" t="s">
        <v>179</v>
      </c>
      <c r="C2936" s="27" t="s">
        <v>50</v>
      </c>
      <c r="D2936" s="27" t="s">
        <v>6</v>
      </c>
      <c r="E2936" s="27" t="s">
        <v>18</v>
      </c>
      <c r="F2936" s="29"/>
      <c r="G2936" s="30">
        <v>189.72083333333333</v>
      </c>
    </row>
    <row r="2937" spans="1:7" hidden="1" x14ac:dyDescent="0.25">
      <c r="A2937" s="28">
        <v>43739</v>
      </c>
      <c r="B2937" s="27" t="s">
        <v>179</v>
      </c>
      <c r="C2937" s="27" t="s">
        <v>50</v>
      </c>
      <c r="D2937" s="27" t="s">
        <v>6</v>
      </c>
      <c r="E2937" s="27" t="s">
        <v>19</v>
      </c>
      <c r="F2937" s="29"/>
      <c r="G2937" s="30">
        <v>132.03083333333333</v>
      </c>
    </row>
    <row r="2938" spans="1:7" hidden="1" x14ac:dyDescent="0.25">
      <c r="A2938" s="28">
        <v>43739</v>
      </c>
      <c r="B2938" s="27" t="s">
        <v>179</v>
      </c>
      <c r="C2938" s="27" t="s">
        <v>50</v>
      </c>
      <c r="D2938" s="27" t="s">
        <v>6</v>
      </c>
      <c r="E2938" s="27" t="s">
        <v>20</v>
      </c>
      <c r="F2938" s="29"/>
      <c r="G2938" s="30">
        <v>408.15999999999997</v>
      </c>
    </row>
    <row r="2939" spans="1:7" hidden="1" x14ac:dyDescent="0.25">
      <c r="A2939" s="28">
        <v>43739</v>
      </c>
      <c r="B2939" s="27" t="s">
        <v>179</v>
      </c>
      <c r="C2939" s="27" t="s">
        <v>50</v>
      </c>
      <c r="D2939" s="27" t="s">
        <v>6</v>
      </c>
      <c r="E2939" s="27" t="s">
        <v>38</v>
      </c>
      <c r="F2939" s="29"/>
      <c r="G2939" s="30">
        <v>300.31</v>
      </c>
    </row>
    <row r="2940" spans="1:7" hidden="1" x14ac:dyDescent="0.25">
      <c r="A2940" s="28">
        <v>43739</v>
      </c>
      <c r="B2940" s="27" t="s">
        <v>179</v>
      </c>
      <c r="C2940" s="27" t="s">
        <v>50</v>
      </c>
      <c r="D2940" s="27" t="s">
        <v>6</v>
      </c>
      <c r="E2940" s="27" t="s">
        <v>23</v>
      </c>
      <c r="F2940" s="29"/>
      <c r="G2940" s="30">
        <v>331.86</v>
      </c>
    </row>
    <row r="2941" spans="1:7" hidden="1" x14ac:dyDescent="0.25">
      <c r="A2941" s="28">
        <v>43739</v>
      </c>
      <c r="B2941" s="27" t="s">
        <v>179</v>
      </c>
      <c r="C2941" s="27" t="s">
        <v>50</v>
      </c>
      <c r="D2941" s="27" t="s">
        <v>6</v>
      </c>
      <c r="E2941" s="27" t="s">
        <v>22</v>
      </c>
      <c r="F2941" s="29"/>
      <c r="G2941" s="30">
        <v>310</v>
      </c>
    </row>
    <row r="2942" spans="1:7" hidden="1" x14ac:dyDescent="0.25">
      <c r="A2942" s="28">
        <v>43739</v>
      </c>
      <c r="B2942" s="27" t="s">
        <v>179</v>
      </c>
      <c r="C2942" s="27" t="s">
        <v>50</v>
      </c>
      <c r="D2942" s="27" t="s">
        <v>6</v>
      </c>
      <c r="E2942" s="27" t="s">
        <v>204</v>
      </c>
      <c r="F2942" s="29"/>
      <c r="G2942" s="30">
        <v>62.408333333333331</v>
      </c>
    </row>
    <row r="2943" spans="1:7" hidden="1" x14ac:dyDescent="0.25">
      <c r="A2943" s="28">
        <v>43739</v>
      </c>
      <c r="B2943" s="27" t="s">
        <v>179</v>
      </c>
      <c r="C2943" s="27" t="s">
        <v>50</v>
      </c>
      <c r="D2943" s="27" t="s">
        <v>6</v>
      </c>
      <c r="E2943" s="27" t="s">
        <v>205</v>
      </c>
      <c r="F2943" s="29"/>
      <c r="G2943" s="30">
        <v>136.51666666666668</v>
      </c>
    </row>
    <row r="2944" spans="1:7" hidden="1" x14ac:dyDescent="0.25">
      <c r="A2944" s="28">
        <v>43739</v>
      </c>
      <c r="B2944" s="27" t="s">
        <v>32</v>
      </c>
      <c r="C2944" s="27" t="s">
        <v>50</v>
      </c>
      <c r="D2944" s="27" t="s">
        <v>7</v>
      </c>
      <c r="E2944" s="27" t="s">
        <v>10</v>
      </c>
      <c r="F2944" s="29"/>
      <c r="G2944" s="30">
        <v>25</v>
      </c>
    </row>
    <row r="2945" spans="1:7" hidden="1" x14ac:dyDescent="0.25">
      <c r="A2945" s="28">
        <v>43739</v>
      </c>
      <c r="B2945" s="27" t="s">
        <v>32</v>
      </c>
      <c r="C2945" s="27" t="s">
        <v>50</v>
      </c>
      <c r="D2945" s="27" t="s">
        <v>7</v>
      </c>
      <c r="E2945" s="27" t="s">
        <v>17</v>
      </c>
      <c r="F2945" s="29"/>
      <c r="G2945" s="30">
        <v>25</v>
      </c>
    </row>
    <row r="2946" spans="1:7" hidden="1" x14ac:dyDescent="0.25">
      <c r="A2946" s="28">
        <v>43739</v>
      </c>
      <c r="B2946" s="27" t="s">
        <v>5</v>
      </c>
      <c r="C2946" s="27" t="s">
        <v>51</v>
      </c>
      <c r="D2946" s="27" t="s">
        <v>51</v>
      </c>
      <c r="E2946" s="27" t="s">
        <v>8</v>
      </c>
      <c r="F2946" s="29">
        <v>4920</v>
      </c>
      <c r="G2946" s="30">
        <v>3.3589411878627953</v>
      </c>
    </row>
    <row r="2947" spans="1:7" hidden="1" x14ac:dyDescent="0.25">
      <c r="A2947" s="28">
        <v>43739</v>
      </c>
      <c r="B2947" s="27" t="s">
        <v>5</v>
      </c>
      <c r="C2947" s="27" t="s">
        <v>51</v>
      </c>
      <c r="D2947" s="27" t="s">
        <v>51</v>
      </c>
      <c r="E2947" s="27" t="s">
        <v>9</v>
      </c>
      <c r="F2947" s="29">
        <v>6186</v>
      </c>
      <c r="G2947" s="30">
        <v>2.6102287117606888</v>
      </c>
    </row>
    <row r="2948" spans="1:7" hidden="1" x14ac:dyDescent="0.25">
      <c r="A2948" s="28">
        <v>43739</v>
      </c>
      <c r="B2948" s="27" t="s">
        <v>5</v>
      </c>
      <c r="C2948" s="27" t="s">
        <v>51</v>
      </c>
      <c r="D2948" s="27" t="s">
        <v>51</v>
      </c>
      <c r="E2948" s="27" t="s">
        <v>64</v>
      </c>
      <c r="F2948" s="29">
        <v>4446</v>
      </c>
      <c r="G2948" s="30">
        <v>3.2787668265748131</v>
      </c>
    </row>
    <row r="2949" spans="1:7" hidden="1" x14ac:dyDescent="0.25">
      <c r="A2949" s="28">
        <v>43739</v>
      </c>
      <c r="B2949" s="27" t="s">
        <v>5</v>
      </c>
      <c r="C2949" s="27" t="s">
        <v>51</v>
      </c>
      <c r="D2949" s="27" t="s">
        <v>51</v>
      </c>
      <c r="E2949" s="27" t="s">
        <v>21</v>
      </c>
      <c r="F2949" s="29">
        <v>8861</v>
      </c>
      <c r="G2949" s="30">
        <v>2.030588982915956</v>
      </c>
    </row>
    <row r="2950" spans="1:7" hidden="1" x14ac:dyDescent="0.25">
      <c r="A2950" s="28">
        <v>43739</v>
      </c>
      <c r="B2950" s="27" t="s">
        <v>5</v>
      </c>
      <c r="C2950" s="27" t="s">
        <v>51</v>
      </c>
      <c r="D2950" s="27" t="s">
        <v>51</v>
      </c>
      <c r="E2950" s="27" t="s">
        <v>10</v>
      </c>
      <c r="F2950" s="29">
        <v>5101</v>
      </c>
      <c r="G2950" s="30">
        <v>3.6830686422828771</v>
      </c>
    </row>
    <row r="2951" spans="1:7" hidden="1" x14ac:dyDescent="0.25">
      <c r="A2951" s="28">
        <v>43739</v>
      </c>
      <c r="B2951" s="27" t="s">
        <v>5</v>
      </c>
      <c r="C2951" s="27" t="s">
        <v>51</v>
      </c>
      <c r="D2951" s="27" t="s">
        <v>51</v>
      </c>
      <c r="E2951" s="27" t="s">
        <v>11</v>
      </c>
      <c r="F2951" s="29">
        <v>3080</v>
      </c>
      <c r="G2951" s="30">
        <v>3.7582910641617815</v>
      </c>
    </row>
    <row r="2952" spans="1:7" hidden="1" x14ac:dyDescent="0.25">
      <c r="A2952" s="28">
        <v>43739</v>
      </c>
      <c r="B2952" s="27" t="s">
        <v>5</v>
      </c>
      <c r="C2952" s="27" t="s">
        <v>51</v>
      </c>
      <c r="D2952" s="27" t="s">
        <v>51</v>
      </c>
      <c r="E2952" s="27" t="s">
        <v>12</v>
      </c>
      <c r="F2952" s="29">
        <v>3080</v>
      </c>
      <c r="G2952" s="30">
        <v>3.6323952308284486</v>
      </c>
    </row>
    <row r="2953" spans="1:7" hidden="1" x14ac:dyDescent="0.25">
      <c r="A2953" s="28">
        <v>43739</v>
      </c>
      <c r="B2953" s="27" t="s">
        <v>5</v>
      </c>
      <c r="C2953" s="27" t="s">
        <v>51</v>
      </c>
      <c r="D2953" s="27" t="s">
        <v>51</v>
      </c>
      <c r="E2953" s="27" t="s">
        <v>13</v>
      </c>
      <c r="F2953" s="29">
        <v>7660</v>
      </c>
      <c r="G2953" s="30">
        <v>2.3927139657465131</v>
      </c>
    </row>
    <row r="2954" spans="1:7" hidden="1" x14ac:dyDescent="0.25">
      <c r="A2954" s="28">
        <v>43739</v>
      </c>
      <c r="B2954" s="27" t="s">
        <v>5</v>
      </c>
      <c r="C2954" s="27" t="s">
        <v>51</v>
      </c>
      <c r="D2954" s="27" t="s">
        <v>51</v>
      </c>
      <c r="E2954" s="27" t="s">
        <v>14</v>
      </c>
      <c r="F2954" s="29">
        <v>1640.1666666666667</v>
      </c>
      <c r="G2954" s="30">
        <v>6.3520032380560636</v>
      </c>
    </row>
    <row r="2955" spans="1:7" hidden="1" x14ac:dyDescent="0.25">
      <c r="A2955" s="28">
        <v>43739</v>
      </c>
      <c r="B2955" s="27" t="s">
        <v>5</v>
      </c>
      <c r="C2955" s="27" t="s">
        <v>51</v>
      </c>
      <c r="D2955" s="27" t="s">
        <v>51</v>
      </c>
      <c r="E2955" s="27" t="s">
        <v>15</v>
      </c>
      <c r="F2955" s="29">
        <v>6287</v>
      </c>
      <c r="G2955" s="30">
        <v>2.1571452697553077</v>
      </c>
    </row>
    <row r="2956" spans="1:7" hidden="1" x14ac:dyDescent="0.25">
      <c r="A2956" s="28">
        <v>43739</v>
      </c>
      <c r="B2956" s="27" t="s">
        <v>5</v>
      </c>
      <c r="C2956" s="27" t="s">
        <v>51</v>
      </c>
      <c r="D2956" s="27" t="s">
        <v>51</v>
      </c>
      <c r="E2956" s="27" t="s">
        <v>16</v>
      </c>
      <c r="F2956" s="29">
        <v>5815</v>
      </c>
      <c r="G2956" s="30">
        <v>2.7999840603528146</v>
      </c>
    </row>
    <row r="2957" spans="1:7" hidden="1" x14ac:dyDescent="0.25">
      <c r="A2957" s="28">
        <v>43739</v>
      </c>
      <c r="B2957" s="27" t="s">
        <v>5</v>
      </c>
      <c r="C2957" s="27" t="s">
        <v>51</v>
      </c>
      <c r="D2957" s="27" t="s">
        <v>51</v>
      </c>
      <c r="E2957" s="27" t="s">
        <v>17</v>
      </c>
      <c r="F2957" s="29">
        <v>6238</v>
      </c>
      <c r="G2957" s="30">
        <v>3.3682269655260693</v>
      </c>
    </row>
    <row r="2958" spans="1:7" hidden="1" x14ac:dyDescent="0.25">
      <c r="A2958" s="28">
        <v>43739</v>
      </c>
      <c r="B2958" s="27" t="s">
        <v>5</v>
      </c>
      <c r="C2958" s="27" t="s">
        <v>51</v>
      </c>
      <c r="D2958" s="27" t="s">
        <v>51</v>
      </c>
      <c r="E2958" s="27" t="s">
        <v>18</v>
      </c>
      <c r="F2958" s="29">
        <v>3660</v>
      </c>
      <c r="G2958" s="30">
        <v>3.2340778171998963</v>
      </c>
    </row>
    <row r="2959" spans="1:7" hidden="1" x14ac:dyDescent="0.25">
      <c r="A2959" s="28">
        <v>43739</v>
      </c>
      <c r="B2959" s="27" t="s">
        <v>5</v>
      </c>
      <c r="C2959" s="27" t="s">
        <v>51</v>
      </c>
      <c r="D2959" s="27" t="s">
        <v>51</v>
      </c>
      <c r="E2959" s="27" t="s">
        <v>19</v>
      </c>
      <c r="F2959" s="29">
        <v>7723</v>
      </c>
      <c r="G2959" s="30">
        <v>2.1288740097913101</v>
      </c>
    </row>
    <row r="2960" spans="1:7" hidden="1" x14ac:dyDescent="0.25">
      <c r="A2960" s="28">
        <v>43739</v>
      </c>
      <c r="B2960" s="27" t="s">
        <v>5</v>
      </c>
      <c r="C2960" s="27" t="s">
        <v>51</v>
      </c>
      <c r="D2960" s="27" t="s">
        <v>51</v>
      </c>
      <c r="E2960" s="27" t="s">
        <v>20</v>
      </c>
      <c r="F2960" s="29">
        <v>1276.2857142857142</v>
      </c>
      <c r="G2960" s="30">
        <v>10.035097941570928</v>
      </c>
    </row>
    <row r="2961" spans="1:7" hidden="1" x14ac:dyDescent="0.25">
      <c r="A2961" s="28">
        <v>43739</v>
      </c>
      <c r="B2961" s="27" t="s">
        <v>5</v>
      </c>
      <c r="C2961" s="27" t="s">
        <v>51</v>
      </c>
      <c r="D2961" s="27" t="s">
        <v>51</v>
      </c>
      <c r="E2961" s="27" t="s">
        <v>38</v>
      </c>
      <c r="F2961" s="29">
        <v>3493</v>
      </c>
      <c r="G2961" s="30">
        <v>2.7668714030780479</v>
      </c>
    </row>
    <row r="2962" spans="1:7" hidden="1" x14ac:dyDescent="0.25">
      <c r="A2962" s="28">
        <v>43739</v>
      </c>
      <c r="B2962" s="27" t="s">
        <v>5</v>
      </c>
      <c r="C2962" s="27" t="s">
        <v>51</v>
      </c>
      <c r="D2962" s="27" t="s">
        <v>51</v>
      </c>
      <c r="E2962" s="27" t="s">
        <v>22</v>
      </c>
      <c r="F2962" s="29">
        <v>2600</v>
      </c>
      <c r="G2962" s="30">
        <v>5.9092589131769051</v>
      </c>
    </row>
    <row r="2963" spans="1:7" hidden="1" x14ac:dyDescent="0.25">
      <c r="A2963" s="28">
        <v>43739</v>
      </c>
      <c r="B2963" s="27" t="s">
        <v>180</v>
      </c>
      <c r="C2963" s="27" t="s">
        <v>50</v>
      </c>
      <c r="D2963" s="27" t="s">
        <v>7</v>
      </c>
      <c r="E2963" s="27" t="s">
        <v>8</v>
      </c>
      <c r="F2963" s="29"/>
      <c r="G2963" s="30">
        <v>1660.33</v>
      </c>
    </row>
    <row r="2964" spans="1:7" hidden="1" x14ac:dyDescent="0.25">
      <c r="A2964" s="28">
        <v>43739</v>
      </c>
      <c r="B2964" s="27" t="s">
        <v>180</v>
      </c>
      <c r="C2964" s="27" t="s">
        <v>50</v>
      </c>
      <c r="D2964" s="27" t="s">
        <v>7</v>
      </c>
      <c r="E2964" s="27" t="s">
        <v>9</v>
      </c>
      <c r="F2964" s="29"/>
      <c r="G2964" s="30">
        <v>326</v>
      </c>
    </row>
    <row r="2965" spans="1:7" hidden="1" x14ac:dyDescent="0.25">
      <c r="A2965" s="28">
        <v>43739</v>
      </c>
      <c r="B2965" s="27" t="s">
        <v>180</v>
      </c>
      <c r="C2965" s="27" t="s">
        <v>50</v>
      </c>
      <c r="D2965" s="27" t="s">
        <v>7</v>
      </c>
      <c r="E2965" s="27" t="s">
        <v>64</v>
      </c>
      <c r="F2965" s="29"/>
      <c r="G2965" s="30">
        <v>380</v>
      </c>
    </row>
    <row r="2966" spans="1:7" hidden="1" x14ac:dyDescent="0.25">
      <c r="A2966" s="28">
        <v>43739</v>
      </c>
      <c r="B2966" s="27" t="s">
        <v>180</v>
      </c>
      <c r="C2966" s="27" t="s">
        <v>50</v>
      </c>
      <c r="D2966" s="27" t="s">
        <v>7</v>
      </c>
      <c r="E2966" s="27" t="s">
        <v>21</v>
      </c>
      <c r="F2966" s="29"/>
      <c r="G2966" s="30">
        <v>536</v>
      </c>
    </row>
    <row r="2967" spans="1:7" hidden="1" x14ac:dyDescent="0.25">
      <c r="A2967" s="28">
        <v>43739</v>
      </c>
      <c r="B2967" s="27" t="s">
        <v>180</v>
      </c>
      <c r="C2967" s="27" t="s">
        <v>50</v>
      </c>
      <c r="D2967" s="27" t="s">
        <v>7</v>
      </c>
      <c r="E2967" s="27" t="s">
        <v>10</v>
      </c>
      <c r="F2967" s="29"/>
      <c r="G2967" s="30">
        <v>2395.9899999999998</v>
      </c>
    </row>
    <row r="2968" spans="1:7" hidden="1" x14ac:dyDescent="0.25">
      <c r="A2968" s="28">
        <v>43739</v>
      </c>
      <c r="B2968" s="27" t="s">
        <v>180</v>
      </c>
      <c r="C2968" s="27" t="s">
        <v>50</v>
      </c>
      <c r="D2968" s="27" t="s">
        <v>7</v>
      </c>
      <c r="E2968" s="27" t="s">
        <v>11</v>
      </c>
      <c r="F2968" s="29"/>
      <c r="G2968" s="30">
        <v>80</v>
      </c>
    </row>
    <row r="2969" spans="1:7" hidden="1" x14ac:dyDescent="0.25">
      <c r="A2969" s="28">
        <v>43739</v>
      </c>
      <c r="B2969" s="27" t="s">
        <v>180</v>
      </c>
      <c r="C2969" s="27" t="s">
        <v>50</v>
      </c>
      <c r="D2969" s="27" t="s">
        <v>7</v>
      </c>
      <c r="E2969" s="27" t="s">
        <v>12</v>
      </c>
      <c r="F2969" s="29"/>
      <c r="G2969" s="30">
        <v>541.02</v>
      </c>
    </row>
    <row r="2970" spans="1:7" hidden="1" x14ac:dyDescent="0.25">
      <c r="A2970" s="28">
        <v>43739</v>
      </c>
      <c r="B2970" s="27" t="s">
        <v>180</v>
      </c>
      <c r="C2970" s="27" t="s">
        <v>50</v>
      </c>
      <c r="D2970" s="27" t="s">
        <v>7</v>
      </c>
      <c r="E2970" s="27" t="s">
        <v>13</v>
      </c>
      <c r="F2970" s="29"/>
      <c r="G2970" s="30">
        <v>1682.02</v>
      </c>
    </row>
    <row r="2971" spans="1:7" hidden="1" x14ac:dyDescent="0.25">
      <c r="A2971" s="28">
        <v>43739</v>
      </c>
      <c r="B2971" s="27" t="s">
        <v>180</v>
      </c>
      <c r="C2971" s="27" t="s">
        <v>50</v>
      </c>
      <c r="D2971" s="27" t="s">
        <v>7</v>
      </c>
      <c r="E2971" s="27" t="s">
        <v>14</v>
      </c>
      <c r="F2971" s="29"/>
      <c r="G2971" s="30">
        <v>390</v>
      </c>
    </row>
    <row r="2972" spans="1:7" hidden="1" x14ac:dyDescent="0.25">
      <c r="A2972" s="28">
        <v>43739</v>
      </c>
      <c r="B2972" s="27" t="s">
        <v>180</v>
      </c>
      <c r="C2972" s="27" t="s">
        <v>50</v>
      </c>
      <c r="D2972" s="27" t="s">
        <v>7</v>
      </c>
      <c r="E2972" s="27" t="s">
        <v>17</v>
      </c>
      <c r="F2972" s="29"/>
      <c r="G2972" s="30">
        <v>4367.3</v>
      </c>
    </row>
    <row r="2973" spans="1:7" hidden="1" x14ac:dyDescent="0.25">
      <c r="A2973" s="28">
        <v>43739</v>
      </c>
      <c r="B2973" s="27" t="s">
        <v>180</v>
      </c>
      <c r="C2973" s="27" t="s">
        <v>50</v>
      </c>
      <c r="D2973" s="27" t="s">
        <v>7</v>
      </c>
      <c r="E2973" s="27" t="s">
        <v>19</v>
      </c>
      <c r="F2973" s="29"/>
      <c r="G2973" s="30">
        <v>242</v>
      </c>
    </row>
    <row r="2974" spans="1:7" hidden="1" x14ac:dyDescent="0.25">
      <c r="A2974" s="28">
        <v>43739</v>
      </c>
      <c r="B2974" s="27" t="s">
        <v>180</v>
      </c>
      <c r="C2974" s="27" t="s">
        <v>50</v>
      </c>
      <c r="D2974" s="27" t="s">
        <v>7</v>
      </c>
      <c r="E2974" s="27" t="s">
        <v>20</v>
      </c>
      <c r="F2974" s="29"/>
      <c r="G2974" s="30">
        <v>977.7</v>
      </c>
    </row>
    <row r="2975" spans="1:7" hidden="1" x14ac:dyDescent="0.25">
      <c r="A2975" s="28">
        <v>43739</v>
      </c>
      <c r="B2975" s="27" t="s">
        <v>180</v>
      </c>
      <c r="C2975" s="27" t="s">
        <v>50</v>
      </c>
      <c r="D2975" s="27" t="s">
        <v>7</v>
      </c>
      <c r="E2975" s="27" t="s">
        <v>23</v>
      </c>
      <c r="F2975" s="29"/>
      <c r="G2975" s="30">
        <v>3120</v>
      </c>
    </row>
    <row r="2976" spans="1:7" hidden="1" x14ac:dyDescent="0.25">
      <c r="A2976" s="28">
        <v>43739</v>
      </c>
      <c r="B2976" s="27" t="s">
        <v>180</v>
      </c>
      <c r="C2976" s="27" t="s">
        <v>50</v>
      </c>
      <c r="D2976" s="27" t="s">
        <v>7</v>
      </c>
      <c r="E2976" s="27" t="s">
        <v>22</v>
      </c>
      <c r="F2976" s="29"/>
      <c r="G2976" s="30">
        <v>1423.3</v>
      </c>
    </row>
    <row r="2977" spans="1:7" hidden="1" x14ac:dyDescent="0.25">
      <c r="A2977" s="28">
        <v>43739</v>
      </c>
      <c r="B2977" s="27" t="s">
        <v>181</v>
      </c>
      <c r="C2977" s="27" t="s">
        <v>50</v>
      </c>
      <c r="D2977" s="27" t="s">
        <v>6</v>
      </c>
      <c r="E2977" s="27" t="s">
        <v>15</v>
      </c>
      <c r="F2977" s="29"/>
      <c r="G2977" s="30">
        <v>60</v>
      </c>
    </row>
    <row r="2978" spans="1:7" hidden="1" x14ac:dyDescent="0.25">
      <c r="A2978" s="28">
        <v>43739</v>
      </c>
      <c r="B2978" s="27" t="s">
        <v>181</v>
      </c>
      <c r="C2978" s="27" t="s">
        <v>50</v>
      </c>
      <c r="D2978" s="27" t="s">
        <v>6</v>
      </c>
      <c r="E2978" s="27" t="s">
        <v>16</v>
      </c>
      <c r="F2978" s="29"/>
      <c r="G2978" s="30">
        <v>260</v>
      </c>
    </row>
    <row r="2979" spans="1:7" hidden="1" x14ac:dyDescent="0.25">
      <c r="A2979" s="28">
        <v>43739</v>
      </c>
      <c r="B2979" s="27" t="s">
        <v>181</v>
      </c>
      <c r="C2979" s="27" t="s">
        <v>50</v>
      </c>
      <c r="D2979" s="27" t="s">
        <v>6</v>
      </c>
      <c r="E2979" s="27" t="s">
        <v>23</v>
      </c>
      <c r="F2979" s="29"/>
      <c r="G2979" s="30">
        <v>2980</v>
      </c>
    </row>
    <row r="2980" spans="1:7" hidden="1" x14ac:dyDescent="0.25">
      <c r="A2980" s="28">
        <v>43739</v>
      </c>
      <c r="B2980" s="27" t="s">
        <v>25</v>
      </c>
      <c r="C2980" s="27" t="s">
        <v>50</v>
      </c>
      <c r="D2980" s="27" t="s">
        <v>7</v>
      </c>
      <c r="E2980" s="27" t="s">
        <v>8</v>
      </c>
      <c r="F2980" s="29"/>
      <c r="G2980" s="30">
        <v>15.619</v>
      </c>
    </row>
    <row r="2981" spans="1:7" hidden="1" x14ac:dyDescent="0.25">
      <c r="A2981" s="28">
        <v>43739</v>
      </c>
      <c r="B2981" s="27" t="s">
        <v>25</v>
      </c>
      <c r="C2981" s="27" t="s">
        <v>50</v>
      </c>
      <c r="D2981" s="27" t="s">
        <v>7</v>
      </c>
      <c r="E2981" s="27" t="s">
        <v>9</v>
      </c>
      <c r="F2981" s="29"/>
      <c r="G2981" s="30">
        <v>15.619</v>
      </c>
    </row>
    <row r="2982" spans="1:7" hidden="1" x14ac:dyDescent="0.25">
      <c r="A2982" s="28">
        <v>43739</v>
      </c>
      <c r="B2982" s="27" t="s">
        <v>25</v>
      </c>
      <c r="C2982" s="27" t="s">
        <v>50</v>
      </c>
      <c r="D2982" s="27" t="s">
        <v>7</v>
      </c>
      <c r="E2982" s="27" t="s">
        <v>64</v>
      </c>
      <c r="F2982" s="29"/>
      <c r="G2982" s="30">
        <v>15.619</v>
      </c>
    </row>
    <row r="2983" spans="1:7" hidden="1" x14ac:dyDescent="0.25">
      <c r="A2983" s="28">
        <v>43739</v>
      </c>
      <c r="B2983" s="27" t="s">
        <v>25</v>
      </c>
      <c r="C2983" s="27" t="s">
        <v>50</v>
      </c>
      <c r="D2983" s="27" t="s">
        <v>7</v>
      </c>
      <c r="E2983" s="27" t="s">
        <v>21</v>
      </c>
      <c r="F2983" s="29"/>
      <c r="G2983" s="30">
        <v>15.619</v>
      </c>
    </row>
    <row r="2984" spans="1:7" hidden="1" x14ac:dyDescent="0.25">
      <c r="A2984" s="28">
        <v>43739</v>
      </c>
      <c r="B2984" s="27" t="s">
        <v>25</v>
      </c>
      <c r="C2984" s="27" t="s">
        <v>50</v>
      </c>
      <c r="D2984" s="27" t="s">
        <v>7</v>
      </c>
      <c r="E2984" s="27" t="s">
        <v>10</v>
      </c>
      <c r="F2984" s="29"/>
      <c r="G2984" s="30">
        <v>15.619</v>
      </c>
    </row>
    <row r="2985" spans="1:7" hidden="1" x14ac:dyDescent="0.25">
      <c r="A2985" s="28">
        <v>43739</v>
      </c>
      <c r="B2985" s="27" t="s">
        <v>25</v>
      </c>
      <c r="C2985" s="27" t="s">
        <v>50</v>
      </c>
      <c r="D2985" s="27" t="s">
        <v>7</v>
      </c>
      <c r="E2985" s="27" t="s">
        <v>11</v>
      </c>
      <c r="F2985" s="29"/>
      <c r="G2985" s="30">
        <v>15.619</v>
      </c>
    </row>
    <row r="2986" spans="1:7" hidden="1" x14ac:dyDescent="0.25">
      <c r="A2986" s="28">
        <v>43739</v>
      </c>
      <c r="B2986" s="27" t="s">
        <v>25</v>
      </c>
      <c r="C2986" s="27" t="s">
        <v>50</v>
      </c>
      <c r="D2986" s="27" t="s">
        <v>7</v>
      </c>
      <c r="E2986" s="27" t="s">
        <v>12</v>
      </c>
      <c r="F2986" s="29"/>
      <c r="G2986" s="30">
        <v>15.619</v>
      </c>
    </row>
    <row r="2987" spans="1:7" hidden="1" x14ac:dyDescent="0.25">
      <c r="A2987" s="28">
        <v>43739</v>
      </c>
      <c r="B2987" s="27" t="s">
        <v>25</v>
      </c>
      <c r="C2987" s="27" t="s">
        <v>50</v>
      </c>
      <c r="D2987" s="27" t="s">
        <v>7</v>
      </c>
      <c r="E2987" s="27" t="s">
        <v>13</v>
      </c>
      <c r="F2987" s="29"/>
      <c r="G2987" s="30">
        <v>15.619</v>
      </c>
    </row>
    <row r="2988" spans="1:7" hidden="1" x14ac:dyDescent="0.25">
      <c r="A2988" s="28">
        <v>43739</v>
      </c>
      <c r="B2988" s="27" t="s">
        <v>25</v>
      </c>
      <c r="C2988" s="27" t="s">
        <v>50</v>
      </c>
      <c r="D2988" s="27" t="s">
        <v>7</v>
      </c>
      <c r="E2988" s="27" t="s">
        <v>14</v>
      </c>
      <c r="F2988" s="29"/>
      <c r="G2988" s="30">
        <v>15.619</v>
      </c>
    </row>
    <row r="2989" spans="1:7" hidden="1" x14ac:dyDescent="0.25">
      <c r="A2989" s="28">
        <v>43739</v>
      </c>
      <c r="B2989" s="27" t="s">
        <v>25</v>
      </c>
      <c r="C2989" s="27" t="s">
        <v>50</v>
      </c>
      <c r="D2989" s="27" t="s">
        <v>7</v>
      </c>
      <c r="E2989" s="27" t="s">
        <v>15</v>
      </c>
      <c r="F2989" s="29"/>
      <c r="G2989" s="30">
        <v>15.619</v>
      </c>
    </row>
    <row r="2990" spans="1:7" hidden="1" x14ac:dyDescent="0.25">
      <c r="A2990" s="28">
        <v>43739</v>
      </c>
      <c r="B2990" s="27" t="s">
        <v>25</v>
      </c>
      <c r="C2990" s="27" t="s">
        <v>50</v>
      </c>
      <c r="D2990" s="27" t="s">
        <v>7</v>
      </c>
      <c r="E2990" s="27" t="s">
        <v>16</v>
      </c>
      <c r="F2990" s="29"/>
      <c r="G2990" s="30">
        <v>15.619</v>
      </c>
    </row>
    <row r="2991" spans="1:7" hidden="1" x14ac:dyDescent="0.25">
      <c r="A2991" s="28">
        <v>43739</v>
      </c>
      <c r="B2991" s="27" t="s">
        <v>25</v>
      </c>
      <c r="C2991" s="27" t="s">
        <v>50</v>
      </c>
      <c r="D2991" s="27" t="s">
        <v>7</v>
      </c>
      <c r="E2991" s="27" t="s">
        <v>17</v>
      </c>
      <c r="F2991" s="29"/>
      <c r="G2991" s="30">
        <v>15.619</v>
      </c>
    </row>
    <row r="2992" spans="1:7" hidden="1" x14ac:dyDescent="0.25">
      <c r="A2992" s="28">
        <v>43739</v>
      </c>
      <c r="B2992" s="27" t="s">
        <v>25</v>
      </c>
      <c r="C2992" s="27" t="s">
        <v>50</v>
      </c>
      <c r="D2992" s="27" t="s">
        <v>7</v>
      </c>
      <c r="E2992" s="27" t="s">
        <v>18</v>
      </c>
      <c r="F2992" s="29"/>
      <c r="G2992" s="30">
        <v>15.619</v>
      </c>
    </row>
    <row r="2993" spans="1:7" hidden="1" x14ac:dyDescent="0.25">
      <c r="A2993" s="28">
        <v>43739</v>
      </c>
      <c r="B2993" s="27" t="s">
        <v>25</v>
      </c>
      <c r="C2993" s="27" t="s">
        <v>50</v>
      </c>
      <c r="D2993" s="27" t="s">
        <v>7</v>
      </c>
      <c r="E2993" s="27" t="s">
        <v>19</v>
      </c>
      <c r="F2993" s="29"/>
      <c r="G2993" s="30">
        <v>15.619</v>
      </c>
    </row>
    <row r="2994" spans="1:7" hidden="1" x14ac:dyDescent="0.25">
      <c r="A2994" s="28">
        <v>43739</v>
      </c>
      <c r="B2994" s="27" t="s">
        <v>25</v>
      </c>
      <c r="C2994" s="27" t="s">
        <v>50</v>
      </c>
      <c r="D2994" s="27" t="s">
        <v>7</v>
      </c>
      <c r="E2994" s="27" t="s">
        <v>20</v>
      </c>
      <c r="F2994" s="29"/>
      <c r="G2994" s="30">
        <v>15.619</v>
      </c>
    </row>
    <row r="2995" spans="1:7" hidden="1" x14ac:dyDescent="0.25">
      <c r="A2995" s="28">
        <v>43739</v>
      </c>
      <c r="B2995" s="27" t="s">
        <v>25</v>
      </c>
      <c r="C2995" s="27" t="s">
        <v>50</v>
      </c>
      <c r="D2995" s="27" t="s">
        <v>7</v>
      </c>
      <c r="E2995" s="27" t="s">
        <v>38</v>
      </c>
      <c r="F2995" s="29"/>
      <c r="G2995" s="30">
        <v>15.619</v>
      </c>
    </row>
    <row r="2996" spans="1:7" hidden="1" x14ac:dyDescent="0.25">
      <c r="A2996" s="28">
        <v>43739</v>
      </c>
      <c r="B2996" s="27" t="s">
        <v>25</v>
      </c>
      <c r="C2996" s="27" t="s">
        <v>50</v>
      </c>
      <c r="D2996" s="27" t="s">
        <v>7</v>
      </c>
      <c r="E2996" s="27" t="s">
        <v>23</v>
      </c>
      <c r="F2996" s="29"/>
      <c r="G2996" s="30">
        <v>15.619</v>
      </c>
    </row>
    <row r="2997" spans="1:7" hidden="1" x14ac:dyDescent="0.25">
      <c r="A2997" s="28">
        <v>43739</v>
      </c>
      <c r="B2997" s="27" t="s">
        <v>25</v>
      </c>
      <c r="C2997" s="27" t="s">
        <v>50</v>
      </c>
      <c r="D2997" s="27" t="s">
        <v>7</v>
      </c>
      <c r="E2997" s="27" t="s">
        <v>22</v>
      </c>
      <c r="F2997" s="29"/>
      <c r="G2997" s="30">
        <v>15.619</v>
      </c>
    </row>
    <row r="2998" spans="1:7" hidden="1" x14ac:dyDescent="0.25">
      <c r="A2998" s="28">
        <v>43739</v>
      </c>
      <c r="B2998" s="27" t="s">
        <v>25</v>
      </c>
      <c r="C2998" s="27" t="s">
        <v>50</v>
      </c>
      <c r="D2998" s="27" t="s">
        <v>7</v>
      </c>
      <c r="E2998" s="27" t="s">
        <v>204</v>
      </c>
      <c r="F2998" s="29"/>
      <c r="G2998" s="30">
        <v>15.619</v>
      </c>
    </row>
    <row r="2999" spans="1:7" hidden="1" x14ac:dyDescent="0.25">
      <c r="A2999" s="28">
        <v>43739</v>
      </c>
      <c r="B2999" s="27" t="s">
        <v>25</v>
      </c>
      <c r="C2999" s="27" t="s">
        <v>50</v>
      </c>
      <c r="D2999" s="27" t="s">
        <v>7</v>
      </c>
      <c r="E2999" s="27" t="s">
        <v>205</v>
      </c>
      <c r="F2999" s="29"/>
      <c r="G2999" s="30">
        <v>15.619</v>
      </c>
    </row>
    <row r="3000" spans="1:7" hidden="1" x14ac:dyDescent="0.25">
      <c r="A3000" s="28">
        <v>43739</v>
      </c>
      <c r="B3000" s="27" t="s">
        <v>2</v>
      </c>
      <c r="C3000" s="27" t="s">
        <v>50</v>
      </c>
      <c r="D3000" s="27" t="s">
        <v>7</v>
      </c>
      <c r="E3000" s="27" t="s">
        <v>8</v>
      </c>
      <c r="F3000" s="29"/>
      <c r="G3000" s="30">
        <v>829.17</v>
      </c>
    </row>
    <row r="3001" spans="1:7" hidden="1" x14ac:dyDescent="0.25">
      <c r="A3001" s="28">
        <v>43739</v>
      </c>
      <c r="B3001" s="27" t="s">
        <v>2</v>
      </c>
      <c r="C3001" s="27" t="s">
        <v>50</v>
      </c>
      <c r="D3001" s="27" t="s">
        <v>7</v>
      </c>
      <c r="E3001" s="27" t="s">
        <v>9</v>
      </c>
      <c r="F3001" s="29"/>
      <c r="G3001" s="30">
        <v>736.72</v>
      </c>
    </row>
    <row r="3002" spans="1:7" hidden="1" x14ac:dyDescent="0.25">
      <c r="A3002" s="28">
        <v>43739</v>
      </c>
      <c r="B3002" s="27" t="s">
        <v>2</v>
      </c>
      <c r="C3002" s="27" t="s">
        <v>50</v>
      </c>
      <c r="D3002" s="27" t="s">
        <v>7</v>
      </c>
      <c r="E3002" s="27" t="s">
        <v>64</v>
      </c>
      <c r="F3002" s="29"/>
      <c r="G3002" s="30">
        <v>459.07</v>
      </c>
    </row>
    <row r="3003" spans="1:7" hidden="1" x14ac:dyDescent="0.25">
      <c r="A3003" s="28">
        <v>43739</v>
      </c>
      <c r="B3003" s="27" t="s">
        <v>2</v>
      </c>
      <c r="C3003" s="27" t="s">
        <v>50</v>
      </c>
      <c r="D3003" s="27" t="s">
        <v>7</v>
      </c>
      <c r="E3003" s="27" t="s">
        <v>21</v>
      </c>
      <c r="F3003" s="29"/>
      <c r="G3003" s="30">
        <v>21.67</v>
      </c>
    </row>
    <row r="3004" spans="1:7" hidden="1" x14ac:dyDescent="0.25">
      <c r="A3004" s="28">
        <v>43739</v>
      </c>
      <c r="B3004" s="27" t="s">
        <v>2</v>
      </c>
      <c r="C3004" s="27" t="s">
        <v>50</v>
      </c>
      <c r="D3004" s="27" t="s">
        <v>7</v>
      </c>
      <c r="E3004" s="27" t="s">
        <v>21</v>
      </c>
      <c r="F3004" s="29"/>
      <c r="G3004" s="30">
        <v>1377.78</v>
      </c>
    </row>
    <row r="3005" spans="1:7" hidden="1" x14ac:dyDescent="0.25">
      <c r="A3005" s="28">
        <v>43739</v>
      </c>
      <c r="B3005" s="27" t="s">
        <v>2</v>
      </c>
      <c r="C3005" s="27" t="s">
        <v>50</v>
      </c>
      <c r="D3005" s="27" t="s">
        <v>7</v>
      </c>
      <c r="E3005" s="27" t="s">
        <v>10</v>
      </c>
      <c r="F3005" s="29"/>
      <c r="G3005" s="30">
        <v>770.17</v>
      </c>
    </row>
    <row r="3006" spans="1:7" hidden="1" x14ac:dyDescent="0.25">
      <c r="A3006" s="28">
        <v>43739</v>
      </c>
      <c r="B3006" s="27" t="s">
        <v>2</v>
      </c>
      <c r="C3006" s="27" t="s">
        <v>50</v>
      </c>
      <c r="D3006" s="27" t="s">
        <v>7</v>
      </c>
      <c r="E3006" s="27" t="s">
        <v>11</v>
      </c>
      <c r="F3006" s="29"/>
      <c r="G3006" s="30">
        <v>569.27</v>
      </c>
    </row>
    <row r="3007" spans="1:7" hidden="1" x14ac:dyDescent="0.25">
      <c r="A3007" s="28">
        <v>43739</v>
      </c>
      <c r="B3007" s="27" t="s">
        <v>2</v>
      </c>
      <c r="C3007" s="27" t="s">
        <v>50</v>
      </c>
      <c r="D3007" s="27" t="s">
        <v>7</v>
      </c>
      <c r="E3007" s="27" t="s">
        <v>12</v>
      </c>
      <c r="F3007" s="29"/>
      <c r="G3007" s="30">
        <v>191.47</v>
      </c>
    </row>
    <row r="3008" spans="1:7" hidden="1" x14ac:dyDescent="0.25">
      <c r="A3008" s="28">
        <v>43739</v>
      </c>
      <c r="B3008" s="27" t="s">
        <v>2</v>
      </c>
      <c r="C3008" s="27" t="s">
        <v>50</v>
      </c>
      <c r="D3008" s="27" t="s">
        <v>7</v>
      </c>
      <c r="E3008" s="27" t="s">
        <v>13</v>
      </c>
      <c r="F3008" s="29"/>
      <c r="G3008" s="30">
        <v>1234.44</v>
      </c>
    </row>
    <row r="3009" spans="1:7" hidden="1" x14ac:dyDescent="0.25">
      <c r="A3009" s="28">
        <v>43739</v>
      </c>
      <c r="B3009" s="27" t="s">
        <v>2</v>
      </c>
      <c r="C3009" s="27" t="s">
        <v>50</v>
      </c>
      <c r="D3009" s="27" t="s">
        <v>7</v>
      </c>
      <c r="E3009" s="27" t="s">
        <v>14</v>
      </c>
      <c r="F3009" s="29"/>
      <c r="G3009" s="30">
        <v>77.02</v>
      </c>
    </row>
    <row r="3010" spans="1:7" hidden="1" x14ac:dyDescent="0.25">
      <c r="A3010" s="28">
        <v>43739</v>
      </c>
      <c r="B3010" s="27" t="s">
        <v>2</v>
      </c>
      <c r="C3010" s="27" t="s">
        <v>50</v>
      </c>
      <c r="D3010" s="27" t="s">
        <v>7</v>
      </c>
      <c r="E3010" s="27" t="s">
        <v>15</v>
      </c>
      <c r="F3010" s="29"/>
      <c r="G3010" s="30">
        <v>415.41</v>
      </c>
    </row>
    <row r="3011" spans="1:7" hidden="1" x14ac:dyDescent="0.25">
      <c r="A3011" s="28">
        <v>43739</v>
      </c>
      <c r="B3011" s="27" t="s">
        <v>2</v>
      </c>
      <c r="C3011" s="27" t="s">
        <v>50</v>
      </c>
      <c r="D3011" s="27" t="s">
        <v>7</v>
      </c>
      <c r="E3011" s="27" t="s">
        <v>16</v>
      </c>
      <c r="F3011" s="29"/>
      <c r="G3011" s="30">
        <v>433.21</v>
      </c>
    </row>
    <row r="3012" spans="1:7" hidden="1" x14ac:dyDescent="0.25">
      <c r="A3012" s="28">
        <v>43739</v>
      </c>
      <c r="B3012" s="27" t="s">
        <v>2</v>
      </c>
      <c r="C3012" s="27" t="s">
        <v>50</v>
      </c>
      <c r="D3012" s="27" t="s">
        <v>7</v>
      </c>
      <c r="E3012" s="27" t="s">
        <v>17</v>
      </c>
      <c r="F3012" s="29"/>
      <c r="G3012" s="30">
        <v>828.61</v>
      </c>
    </row>
    <row r="3013" spans="1:7" hidden="1" x14ac:dyDescent="0.25">
      <c r="A3013" s="28">
        <v>43739</v>
      </c>
      <c r="B3013" s="27" t="s">
        <v>2</v>
      </c>
      <c r="C3013" s="27" t="s">
        <v>50</v>
      </c>
      <c r="D3013" s="27" t="s">
        <v>7</v>
      </c>
      <c r="E3013" s="27" t="s">
        <v>18</v>
      </c>
      <c r="F3013" s="29"/>
      <c r="G3013" s="30">
        <v>358.12</v>
      </c>
    </row>
    <row r="3014" spans="1:7" hidden="1" x14ac:dyDescent="0.25">
      <c r="A3014" s="28">
        <v>43739</v>
      </c>
      <c r="B3014" s="27" t="s">
        <v>2</v>
      </c>
      <c r="C3014" s="27" t="s">
        <v>50</v>
      </c>
      <c r="D3014" s="27" t="s">
        <v>7</v>
      </c>
      <c r="E3014" s="27" t="s">
        <v>19</v>
      </c>
      <c r="F3014" s="29"/>
      <c r="G3014" s="30">
        <v>926.19</v>
      </c>
    </row>
    <row r="3015" spans="1:7" hidden="1" x14ac:dyDescent="0.25">
      <c r="A3015" s="28">
        <v>43739</v>
      </c>
      <c r="B3015" s="27" t="s">
        <v>2</v>
      </c>
      <c r="C3015" s="27" t="s">
        <v>50</v>
      </c>
      <c r="D3015" s="27" t="s">
        <v>7</v>
      </c>
      <c r="E3015" s="27" t="s">
        <v>20</v>
      </c>
      <c r="F3015" s="29"/>
      <c r="G3015" s="30">
        <v>250.82</v>
      </c>
    </row>
    <row r="3016" spans="1:7" hidden="1" x14ac:dyDescent="0.25">
      <c r="A3016" s="28">
        <v>43739</v>
      </c>
      <c r="B3016" s="27" t="s">
        <v>2</v>
      </c>
      <c r="C3016" s="27" t="s">
        <v>50</v>
      </c>
      <c r="D3016" s="27" t="s">
        <v>7</v>
      </c>
      <c r="E3016" s="27" t="s">
        <v>38</v>
      </c>
      <c r="F3016" s="29"/>
      <c r="G3016" s="30">
        <v>375.87</v>
      </c>
    </row>
    <row r="3017" spans="1:7" hidden="1" x14ac:dyDescent="0.25">
      <c r="A3017" s="28">
        <v>43739</v>
      </c>
      <c r="B3017" s="27" t="s">
        <v>2</v>
      </c>
      <c r="C3017" s="27" t="s">
        <v>50</v>
      </c>
      <c r="D3017" s="27" t="s">
        <v>7</v>
      </c>
      <c r="E3017" s="27" t="s">
        <v>23</v>
      </c>
      <c r="F3017" s="29"/>
      <c r="G3017" s="30">
        <v>32.200000000000003</v>
      </c>
    </row>
    <row r="3018" spans="1:7" hidden="1" x14ac:dyDescent="0.25">
      <c r="A3018" s="28">
        <v>43739</v>
      </c>
      <c r="B3018" s="27" t="s">
        <v>2</v>
      </c>
      <c r="C3018" s="27" t="s">
        <v>50</v>
      </c>
      <c r="D3018" s="27" t="s">
        <v>7</v>
      </c>
      <c r="E3018" s="27" t="s">
        <v>22</v>
      </c>
      <c r="F3018" s="29"/>
      <c r="G3018" s="30">
        <v>331.84</v>
      </c>
    </row>
    <row r="3019" spans="1:7" hidden="1" x14ac:dyDescent="0.25">
      <c r="A3019" s="28">
        <v>43739</v>
      </c>
      <c r="B3019" s="27" t="s">
        <v>2</v>
      </c>
      <c r="C3019" s="27" t="s">
        <v>50</v>
      </c>
      <c r="D3019" s="27" t="s">
        <v>7</v>
      </c>
      <c r="E3019" s="27" t="s">
        <v>204</v>
      </c>
      <c r="F3019" s="29"/>
      <c r="G3019" s="30">
        <v>25.72</v>
      </c>
    </row>
    <row r="3020" spans="1:7" hidden="1" x14ac:dyDescent="0.25">
      <c r="A3020" s="28">
        <v>43739</v>
      </c>
      <c r="B3020" s="27" t="s">
        <v>36</v>
      </c>
      <c r="C3020" s="27" t="s">
        <v>50</v>
      </c>
      <c r="D3020" s="27" t="s">
        <v>6</v>
      </c>
      <c r="E3020" s="27" t="s">
        <v>8</v>
      </c>
      <c r="F3020" s="29"/>
      <c r="G3020" s="30">
        <v>470.43</v>
      </c>
    </row>
    <row r="3021" spans="1:7" hidden="1" x14ac:dyDescent="0.25">
      <c r="A3021" s="28">
        <v>43739</v>
      </c>
      <c r="B3021" s="27" t="s">
        <v>36</v>
      </c>
      <c r="C3021" s="27" t="s">
        <v>50</v>
      </c>
      <c r="D3021" s="27" t="s">
        <v>6</v>
      </c>
      <c r="E3021" s="27" t="s">
        <v>9</v>
      </c>
      <c r="F3021" s="29"/>
      <c r="G3021" s="30">
        <v>56</v>
      </c>
    </row>
    <row r="3022" spans="1:7" hidden="1" x14ac:dyDescent="0.25">
      <c r="A3022" s="28">
        <v>43739</v>
      </c>
      <c r="B3022" s="27" t="s">
        <v>36</v>
      </c>
      <c r="C3022" s="27" t="s">
        <v>50</v>
      </c>
      <c r="D3022" s="27" t="s">
        <v>6</v>
      </c>
      <c r="E3022" s="27" t="s">
        <v>64</v>
      </c>
      <c r="F3022" s="29"/>
      <c r="G3022" s="30">
        <v>56</v>
      </c>
    </row>
    <row r="3023" spans="1:7" hidden="1" x14ac:dyDescent="0.25">
      <c r="A3023" s="28">
        <v>43739</v>
      </c>
      <c r="B3023" s="27" t="s">
        <v>36</v>
      </c>
      <c r="C3023" s="27" t="s">
        <v>50</v>
      </c>
      <c r="D3023" s="27" t="s">
        <v>6</v>
      </c>
      <c r="E3023" s="27" t="s">
        <v>21</v>
      </c>
      <c r="F3023" s="29"/>
      <c r="G3023" s="30">
        <v>92.28</v>
      </c>
    </row>
    <row r="3024" spans="1:7" hidden="1" x14ac:dyDescent="0.25">
      <c r="A3024" s="28">
        <v>43739</v>
      </c>
      <c r="B3024" s="27" t="s">
        <v>36</v>
      </c>
      <c r="C3024" s="27" t="s">
        <v>50</v>
      </c>
      <c r="D3024" s="27" t="s">
        <v>6</v>
      </c>
      <c r="E3024" s="27" t="s">
        <v>10</v>
      </c>
      <c r="F3024" s="29"/>
      <c r="G3024" s="30">
        <v>470.43</v>
      </c>
    </row>
    <row r="3025" spans="1:7" hidden="1" x14ac:dyDescent="0.25">
      <c r="A3025" s="28">
        <v>43739</v>
      </c>
      <c r="B3025" s="27" t="s">
        <v>36</v>
      </c>
      <c r="C3025" s="27" t="s">
        <v>50</v>
      </c>
      <c r="D3025" s="27" t="s">
        <v>6</v>
      </c>
      <c r="E3025" s="27" t="s">
        <v>11</v>
      </c>
      <c r="F3025" s="29"/>
      <c r="G3025" s="30">
        <v>78.69</v>
      </c>
    </row>
    <row r="3026" spans="1:7" hidden="1" x14ac:dyDescent="0.25">
      <c r="A3026" s="28">
        <v>43739</v>
      </c>
      <c r="B3026" s="27" t="s">
        <v>36</v>
      </c>
      <c r="C3026" s="27" t="s">
        <v>50</v>
      </c>
      <c r="D3026" s="27" t="s">
        <v>6</v>
      </c>
      <c r="E3026" s="27" t="s">
        <v>12</v>
      </c>
      <c r="F3026" s="29"/>
      <c r="G3026" s="30">
        <v>78.69</v>
      </c>
    </row>
    <row r="3027" spans="1:7" hidden="1" x14ac:dyDescent="0.25">
      <c r="A3027" s="28">
        <v>43739</v>
      </c>
      <c r="B3027" s="27" t="s">
        <v>36</v>
      </c>
      <c r="C3027" s="27" t="s">
        <v>50</v>
      </c>
      <c r="D3027" s="27" t="s">
        <v>6</v>
      </c>
      <c r="E3027" s="27" t="s">
        <v>13</v>
      </c>
      <c r="F3027" s="29"/>
      <c r="G3027" s="30">
        <v>56</v>
      </c>
    </row>
    <row r="3028" spans="1:7" hidden="1" x14ac:dyDescent="0.25">
      <c r="A3028" s="28">
        <v>43739</v>
      </c>
      <c r="B3028" s="27" t="s">
        <v>36</v>
      </c>
      <c r="C3028" s="27" t="s">
        <v>50</v>
      </c>
      <c r="D3028" s="27" t="s">
        <v>6</v>
      </c>
      <c r="E3028" s="27" t="s">
        <v>14</v>
      </c>
      <c r="F3028" s="29"/>
      <c r="G3028" s="30">
        <v>78.69</v>
      </c>
    </row>
    <row r="3029" spans="1:7" hidden="1" x14ac:dyDescent="0.25">
      <c r="A3029" s="28">
        <v>43739</v>
      </c>
      <c r="B3029" s="27" t="s">
        <v>36</v>
      </c>
      <c r="C3029" s="27" t="s">
        <v>50</v>
      </c>
      <c r="D3029" s="27" t="s">
        <v>6</v>
      </c>
      <c r="E3029" s="27" t="s">
        <v>15</v>
      </c>
      <c r="F3029" s="29"/>
      <c r="G3029" s="30">
        <v>56</v>
      </c>
    </row>
    <row r="3030" spans="1:7" hidden="1" x14ac:dyDescent="0.25">
      <c r="A3030" s="28">
        <v>43739</v>
      </c>
      <c r="B3030" s="27" t="s">
        <v>36</v>
      </c>
      <c r="C3030" s="27" t="s">
        <v>50</v>
      </c>
      <c r="D3030" s="27" t="s">
        <v>6</v>
      </c>
      <c r="E3030" s="27" t="s">
        <v>16</v>
      </c>
      <c r="F3030" s="29"/>
      <c r="G3030" s="30">
        <v>170</v>
      </c>
    </row>
    <row r="3031" spans="1:7" hidden="1" x14ac:dyDescent="0.25">
      <c r="A3031" s="28">
        <v>43739</v>
      </c>
      <c r="B3031" s="27" t="s">
        <v>36</v>
      </c>
      <c r="C3031" s="27" t="s">
        <v>50</v>
      </c>
      <c r="D3031" s="27" t="s">
        <v>6</v>
      </c>
      <c r="E3031" s="27" t="s">
        <v>17</v>
      </c>
      <c r="F3031" s="29"/>
      <c r="G3031" s="30">
        <v>152</v>
      </c>
    </row>
    <row r="3032" spans="1:7" hidden="1" x14ac:dyDescent="0.25">
      <c r="A3032" s="28">
        <v>43739</v>
      </c>
      <c r="B3032" s="27" t="s">
        <v>36</v>
      </c>
      <c r="C3032" s="27" t="s">
        <v>50</v>
      </c>
      <c r="D3032" s="27" t="s">
        <v>6</v>
      </c>
      <c r="E3032" s="27" t="s">
        <v>18</v>
      </c>
      <c r="F3032" s="29"/>
      <c r="G3032" s="30">
        <v>56</v>
      </c>
    </row>
    <row r="3033" spans="1:7" hidden="1" x14ac:dyDescent="0.25">
      <c r="A3033" s="28">
        <v>43739</v>
      </c>
      <c r="B3033" s="27" t="s">
        <v>36</v>
      </c>
      <c r="C3033" s="27" t="s">
        <v>50</v>
      </c>
      <c r="D3033" s="27" t="s">
        <v>6</v>
      </c>
      <c r="E3033" s="27" t="s">
        <v>19</v>
      </c>
      <c r="F3033" s="29"/>
      <c r="G3033" s="30">
        <v>56</v>
      </c>
    </row>
    <row r="3034" spans="1:7" hidden="1" x14ac:dyDescent="0.25">
      <c r="A3034" s="28">
        <v>43739</v>
      </c>
      <c r="B3034" s="27" t="s">
        <v>36</v>
      </c>
      <c r="C3034" s="27" t="s">
        <v>50</v>
      </c>
      <c r="D3034" s="27" t="s">
        <v>6</v>
      </c>
      <c r="E3034" s="27" t="s">
        <v>20</v>
      </c>
      <c r="F3034" s="29"/>
      <c r="G3034" s="30">
        <v>56</v>
      </c>
    </row>
    <row r="3035" spans="1:7" hidden="1" x14ac:dyDescent="0.25">
      <c r="A3035" s="28">
        <v>43739</v>
      </c>
      <c r="B3035" s="27" t="s">
        <v>36</v>
      </c>
      <c r="C3035" s="27" t="s">
        <v>50</v>
      </c>
      <c r="D3035" s="27" t="s">
        <v>6</v>
      </c>
      <c r="E3035" s="27" t="s">
        <v>38</v>
      </c>
      <c r="F3035" s="29"/>
      <c r="G3035" s="30">
        <v>56</v>
      </c>
    </row>
    <row r="3036" spans="1:7" hidden="1" x14ac:dyDescent="0.25">
      <c r="A3036" s="28">
        <v>43739</v>
      </c>
      <c r="B3036" s="27" t="s">
        <v>200</v>
      </c>
      <c r="C3036" s="27" t="s">
        <v>53</v>
      </c>
      <c r="D3036" s="27" t="s">
        <v>6</v>
      </c>
      <c r="E3036" s="27" t="s">
        <v>8</v>
      </c>
      <c r="F3036" s="29"/>
      <c r="G3036" s="30">
        <f t="shared" ref="G3036:G3055" si="54">6948.59275555556/20</f>
        <v>347.429637777778</v>
      </c>
    </row>
    <row r="3037" spans="1:7" hidden="1" x14ac:dyDescent="0.25">
      <c r="A3037" s="28">
        <v>43739</v>
      </c>
      <c r="B3037" s="27" t="s">
        <v>200</v>
      </c>
      <c r="C3037" s="27" t="s">
        <v>53</v>
      </c>
      <c r="D3037" s="27" t="s">
        <v>6</v>
      </c>
      <c r="E3037" s="27" t="s">
        <v>9</v>
      </c>
      <c r="F3037" s="29"/>
      <c r="G3037" s="30">
        <f t="shared" si="54"/>
        <v>347.429637777778</v>
      </c>
    </row>
    <row r="3038" spans="1:7" hidden="1" x14ac:dyDescent="0.25">
      <c r="A3038" s="28">
        <v>43739</v>
      </c>
      <c r="B3038" s="27" t="s">
        <v>200</v>
      </c>
      <c r="C3038" s="27" t="s">
        <v>53</v>
      </c>
      <c r="D3038" s="27" t="s">
        <v>6</v>
      </c>
      <c r="E3038" s="27" t="s">
        <v>64</v>
      </c>
      <c r="F3038" s="29"/>
      <c r="G3038" s="30">
        <f t="shared" si="54"/>
        <v>347.429637777778</v>
      </c>
    </row>
    <row r="3039" spans="1:7" hidden="1" x14ac:dyDescent="0.25">
      <c r="A3039" s="28">
        <v>43739</v>
      </c>
      <c r="B3039" s="27" t="s">
        <v>200</v>
      </c>
      <c r="C3039" s="27" t="s">
        <v>53</v>
      </c>
      <c r="D3039" s="27" t="s">
        <v>6</v>
      </c>
      <c r="E3039" s="27" t="s">
        <v>21</v>
      </c>
      <c r="F3039" s="29"/>
      <c r="G3039" s="30">
        <f t="shared" si="54"/>
        <v>347.429637777778</v>
      </c>
    </row>
    <row r="3040" spans="1:7" hidden="1" x14ac:dyDescent="0.25">
      <c r="A3040" s="28">
        <v>43739</v>
      </c>
      <c r="B3040" s="27" t="s">
        <v>200</v>
      </c>
      <c r="C3040" s="27" t="s">
        <v>53</v>
      </c>
      <c r="D3040" s="27" t="s">
        <v>6</v>
      </c>
      <c r="E3040" s="27" t="s">
        <v>10</v>
      </c>
      <c r="F3040" s="29"/>
      <c r="G3040" s="30">
        <f t="shared" si="54"/>
        <v>347.429637777778</v>
      </c>
    </row>
    <row r="3041" spans="1:7" hidden="1" x14ac:dyDescent="0.25">
      <c r="A3041" s="28">
        <v>43739</v>
      </c>
      <c r="B3041" s="27" t="s">
        <v>200</v>
      </c>
      <c r="C3041" s="27" t="s">
        <v>53</v>
      </c>
      <c r="D3041" s="27" t="s">
        <v>6</v>
      </c>
      <c r="E3041" s="27" t="s">
        <v>11</v>
      </c>
      <c r="F3041" s="29"/>
      <c r="G3041" s="30">
        <f t="shared" si="54"/>
        <v>347.429637777778</v>
      </c>
    </row>
    <row r="3042" spans="1:7" hidden="1" x14ac:dyDescent="0.25">
      <c r="A3042" s="28">
        <v>43739</v>
      </c>
      <c r="B3042" s="27" t="s">
        <v>200</v>
      </c>
      <c r="C3042" s="27" t="s">
        <v>53</v>
      </c>
      <c r="D3042" s="27" t="s">
        <v>6</v>
      </c>
      <c r="E3042" s="27" t="s">
        <v>12</v>
      </c>
      <c r="F3042" s="29"/>
      <c r="G3042" s="30">
        <f t="shared" si="54"/>
        <v>347.429637777778</v>
      </c>
    </row>
    <row r="3043" spans="1:7" hidden="1" x14ac:dyDescent="0.25">
      <c r="A3043" s="28">
        <v>43739</v>
      </c>
      <c r="B3043" s="27" t="s">
        <v>200</v>
      </c>
      <c r="C3043" s="27" t="s">
        <v>53</v>
      </c>
      <c r="D3043" s="27" t="s">
        <v>6</v>
      </c>
      <c r="E3043" s="27" t="s">
        <v>13</v>
      </c>
      <c r="F3043" s="29"/>
      <c r="G3043" s="30">
        <f t="shared" si="54"/>
        <v>347.429637777778</v>
      </c>
    </row>
    <row r="3044" spans="1:7" hidden="1" x14ac:dyDescent="0.25">
      <c r="A3044" s="28">
        <v>43739</v>
      </c>
      <c r="B3044" s="27" t="s">
        <v>200</v>
      </c>
      <c r="C3044" s="27" t="s">
        <v>53</v>
      </c>
      <c r="D3044" s="27" t="s">
        <v>6</v>
      </c>
      <c r="E3044" s="27" t="s">
        <v>14</v>
      </c>
      <c r="F3044" s="29"/>
      <c r="G3044" s="30">
        <f t="shared" si="54"/>
        <v>347.429637777778</v>
      </c>
    </row>
    <row r="3045" spans="1:7" hidden="1" x14ac:dyDescent="0.25">
      <c r="A3045" s="28">
        <v>43739</v>
      </c>
      <c r="B3045" s="27" t="s">
        <v>200</v>
      </c>
      <c r="C3045" s="27" t="s">
        <v>53</v>
      </c>
      <c r="D3045" s="27" t="s">
        <v>6</v>
      </c>
      <c r="E3045" s="27" t="s">
        <v>15</v>
      </c>
      <c r="F3045" s="29"/>
      <c r="G3045" s="30">
        <f t="shared" si="54"/>
        <v>347.429637777778</v>
      </c>
    </row>
    <row r="3046" spans="1:7" hidden="1" x14ac:dyDescent="0.25">
      <c r="A3046" s="28">
        <v>43739</v>
      </c>
      <c r="B3046" s="27" t="s">
        <v>200</v>
      </c>
      <c r="C3046" s="27" t="s">
        <v>53</v>
      </c>
      <c r="D3046" s="27" t="s">
        <v>6</v>
      </c>
      <c r="E3046" s="27" t="s">
        <v>16</v>
      </c>
      <c r="F3046" s="29"/>
      <c r="G3046" s="30">
        <f t="shared" si="54"/>
        <v>347.429637777778</v>
      </c>
    </row>
    <row r="3047" spans="1:7" hidden="1" x14ac:dyDescent="0.25">
      <c r="A3047" s="28">
        <v>43739</v>
      </c>
      <c r="B3047" s="27" t="s">
        <v>200</v>
      </c>
      <c r="C3047" s="27" t="s">
        <v>53</v>
      </c>
      <c r="D3047" s="27" t="s">
        <v>6</v>
      </c>
      <c r="E3047" s="27" t="s">
        <v>17</v>
      </c>
      <c r="F3047" s="29"/>
      <c r="G3047" s="30">
        <f t="shared" si="54"/>
        <v>347.429637777778</v>
      </c>
    </row>
    <row r="3048" spans="1:7" hidden="1" x14ac:dyDescent="0.25">
      <c r="A3048" s="28">
        <v>43739</v>
      </c>
      <c r="B3048" s="27" t="s">
        <v>200</v>
      </c>
      <c r="C3048" s="27" t="s">
        <v>53</v>
      </c>
      <c r="D3048" s="27" t="s">
        <v>6</v>
      </c>
      <c r="E3048" s="27" t="s">
        <v>18</v>
      </c>
      <c r="F3048" s="29"/>
      <c r="G3048" s="30">
        <f t="shared" si="54"/>
        <v>347.429637777778</v>
      </c>
    </row>
    <row r="3049" spans="1:7" hidden="1" x14ac:dyDescent="0.25">
      <c r="A3049" s="28">
        <v>43739</v>
      </c>
      <c r="B3049" s="27" t="s">
        <v>200</v>
      </c>
      <c r="C3049" s="27" t="s">
        <v>53</v>
      </c>
      <c r="D3049" s="27" t="s">
        <v>6</v>
      </c>
      <c r="E3049" s="27" t="s">
        <v>19</v>
      </c>
      <c r="F3049" s="29"/>
      <c r="G3049" s="30">
        <f t="shared" si="54"/>
        <v>347.429637777778</v>
      </c>
    </row>
    <row r="3050" spans="1:7" hidden="1" x14ac:dyDescent="0.25">
      <c r="A3050" s="28">
        <v>43739</v>
      </c>
      <c r="B3050" s="27" t="s">
        <v>200</v>
      </c>
      <c r="C3050" s="27" t="s">
        <v>53</v>
      </c>
      <c r="D3050" s="27" t="s">
        <v>6</v>
      </c>
      <c r="E3050" s="27" t="s">
        <v>20</v>
      </c>
      <c r="F3050" s="29"/>
      <c r="G3050" s="30">
        <f t="shared" si="54"/>
        <v>347.429637777778</v>
      </c>
    </row>
    <row r="3051" spans="1:7" hidden="1" x14ac:dyDescent="0.25">
      <c r="A3051" s="28">
        <v>43739</v>
      </c>
      <c r="B3051" s="27" t="s">
        <v>200</v>
      </c>
      <c r="C3051" s="27" t="s">
        <v>53</v>
      </c>
      <c r="D3051" s="27" t="s">
        <v>6</v>
      </c>
      <c r="E3051" s="27" t="s">
        <v>38</v>
      </c>
      <c r="F3051" s="29"/>
      <c r="G3051" s="30">
        <f t="shared" si="54"/>
        <v>347.429637777778</v>
      </c>
    </row>
    <row r="3052" spans="1:7" hidden="1" x14ac:dyDescent="0.25">
      <c r="A3052" s="28">
        <v>43739</v>
      </c>
      <c r="B3052" s="27" t="s">
        <v>200</v>
      </c>
      <c r="C3052" s="27" t="s">
        <v>53</v>
      </c>
      <c r="D3052" s="27" t="s">
        <v>6</v>
      </c>
      <c r="E3052" s="27" t="s">
        <v>23</v>
      </c>
      <c r="F3052" s="29"/>
      <c r="G3052" s="30">
        <f t="shared" si="54"/>
        <v>347.429637777778</v>
      </c>
    </row>
    <row r="3053" spans="1:7" hidden="1" x14ac:dyDescent="0.25">
      <c r="A3053" s="28">
        <v>43739</v>
      </c>
      <c r="B3053" s="27" t="s">
        <v>200</v>
      </c>
      <c r="C3053" s="27" t="s">
        <v>53</v>
      </c>
      <c r="D3053" s="27" t="s">
        <v>6</v>
      </c>
      <c r="E3053" s="27" t="s">
        <v>22</v>
      </c>
      <c r="F3053" s="29"/>
      <c r="G3053" s="30">
        <f t="shared" si="54"/>
        <v>347.429637777778</v>
      </c>
    </row>
    <row r="3054" spans="1:7" hidden="1" x14ac:dyDescent="0.25">
      <c r="A3054" s="28">
        <v>43739</v>
      </c>
      <c r="B3054" s="27" t="s">
        <v>200</v>
      </c>
      <c r="C3054" s="27" t="s">
        <v>53</v>
      </c>
      <c r="D3054" s="27" t="s">
        <v>6</v>
      </c>
      <c r="E3054" s="27" t="s">
        <v>204</v>
      </c>
      <c r="F3054" s="29"/>
      <c r="G3054" s="30">
        <f t="shared" si="54"/>
        <v>347.429637777778</v>
      </c>
    </row>
    <row r="3055" spans="1:7" hidden="1" x14ac:dyDescent="0.25">
      <c r="A3055" s="28">
        <v>43739</v>
      </c>
      <c r="B3055" s="27" t="s">
        <v>200</v>
      </c>
      <c r="C3055" s="27" t="s">
        <v>53</v>
      </c>
      <c r="D3055" s="27" t="s">
        <v>6</v>
      </c>
      <c r="E3055" s="27" t="s">
        <v>205</v>
      </c>
      <c r="F3055" s="29"/>
      <c r="G3055" s="30">
        <f t="shared" si="54"/>
        <v>347.429637777778</v>
      </c>
    </row>
    <row r="3056" spans="1:7" hidden="1" x14ac:dyDescent="0.25">
      <c r="A3056" s="28">
        <v>43739</v>
      </c>
      <c r="B3056" s="27" t="s">
        <v>200</v>
      </c>
      <c r="C3056" s="27" t="s">
        <v>54</v>
      </c>
      <c r="D3056" s="27" t="s">
        <v>7</v>
      </c>
      <c r="E3056" s="27" t="s">
        <v>8</v>
      </c>
      <c r="F3056" s="29"/>
      <c r="G3056" s="30">
        <f t="shared" ref="G3056:G3074" si="55">621.86/19</f>
        <v>32.729473684210525</v>
      </c>
    </row>
    <row r="3057" spans="1:7" hidden="1" x14ac:dyDescent="0.25">
      <c r="A3057" s="28">
        <v>43739</v>
      </c>
      <c r="B3057" s="27" t="s">
        <v>200</v>
      </c>
      <c r="C3057" s="27" t="s">
        <v>54</v>
      </c>
      <c r="D3057" s="27" t="s">
        <v>7</v>
      </c>
      <c r="E3057" s="27" t="s">
        <v>9</v>
      </c>
      <c r="F3057" s="29"/>
      <c r="G3057" s="30">
        <f t="shared" si="55"/>
        <v>32.729473684210525</v>
      </c>
    </row>
    <row r="3058" spans="1:7" hidden="1" x14ac:dyDescent="0.25">
      <c r="A3058" s="28">
        <v>43739</v>
      </c>
      <c r="B3058" s="27" t="s">
        <v>200</v>
      </c>
      <c r="C3058" s="27" t="s">
        <v>54</v>
      </c>
      <c r="D3058" s="27" t="s">
        <v>7</v>
      </c>
      <c r="E3058" s="27" t="s">
        <v>64</v>
      </c>
      <c r="F3058" s="29"/>
      <c r="G3058" s="30">
        <f t="shared" si="55"/>
        <v>32.729473684210525</v>
      </c>
    </row>
    <row r="3059" spans="1:7" hidden="1" x14ac:dyDescent="0.25">
      <c r="A3059" s="28">
        <v>43739</v>
      </c>
      <c r="B3059" s="27" t="s">
        <v>200</v>
      </c>
      <c r="C3059" s="27" t="s">
        <v>54</v>
      </c>
      <c r="D3059" s="27" t="s">
        <v>7</v>
      </c>
      <c r="E3059" s="27" t="s">
        <v>21</v>
      </c>
      <c r="F3059" s="29"/>
      <c r="G3059" s="30">
        <f t="shared" si="55"/>
        <v>32.729473684210525</v>
      </c>
    </row>
    <row r="3060" spans="1:7" hidden="1" x14ac:dyDescent="0.25">
      <c r="A3060" s="28">
        <v>43739</v>
      </c>
      <c r="B3060" s="27" t="s">
        <v>200</v>
      </c>
      <c r="C3060" s="27" t="s">
        <v>54</v>
      </c>
      <c r="D3060" s="27" t="s">
        <v>7</v>
      </c>
      <c r="E3060" s="27" t="s">
        <v>10</v>
      </c>
      <c r="F3060" s="29"/>
      <c r="G3060" s="30">
        <f t="shared" si="55"/>
        <v>32.729473684210525</v>
      </c>
    </row>
    <row r="3061" spans="1:7" hidden="1" x14ac:dyDescent="0.25">
      <c r="A3061" s="28">
        <v>43739</v>
      </c>
      <c r="B3061" s="27" t="s">
        <v>200</v>
      </c>
      <c r="C3061" s="27" t="s">
        <v>54</v>
      </c>
      <c r="D3061" s="27" t="s">
        <v>7</v>
      </c>
      <c r="E3061" s="27" t="s">
        <v>11</v>
      </c>
      <c r="F3061" s="29"/>
      <c r="G3061" s="30">
        <f t="shared" si="55"/>
        <v>32.729473684210525</v>
      </c>
    </row>
    <row r="3062" spans="1:7" hidden="1" x14ac:dyDescent="0.25">
      <c r="A3062" s="28">
        <v>43739</v>
      </c>
      <c r="B3062" s="27" t="s">
        <v>200</v>
      </c>
      <c r="C3062" s="27" t="s">
        <v>54</v>
      </c>
      <c r="D3062" s="27" t="s">
        <v>7</v>
      </c>
      <c r="E3062" s="27" t="s">
        <v>12</v>
      </c>
      <c r="F3062" s="29"/>
      <c r="G3062" s="30">
        <f t="shared" si="55"/>
        <v>32.729473684210525</v>
      </c>
    </row>
    <row r="3063" spans="1:7" hidden="1" x14ac:dyDescent="0.25">
      <c r="A3063" s="28">
        <v>43739</v>
      </c>
      <c r="B3063" s="27" t="s">
        <v>200</v>
      </c>
      <c r="C3063" s="27" t="s">
        <v>54</v>
      </c>
      <c r="D3063" s="27" t="s">
        <v>7</v>
      </c>
      <c r="E3063" s="27" t="s">
        <v>13</v>
      </c>
      <c r="F3063" s="29"/>
      <c r="G3063" s="30">
        <f t="shared" si="55"/>
        <v>32.729473684210525</v>
      </c>
    </row>
    <row r="3064" spans="1:7" hidden="1" x14ac:dyDescent="0.25">
      <c r="A3064" s="28">
        <v>43739</v>
      </c>
      <c r="B3064" s="27" t="s">
        <v>200</v>
      </c>
      <c r="C3064" s="27" t="s">
        <v>54</v>
      </c>
      <c r="D3064" s="27" t="s">
        <v>7</v>
      </c>
      <c r="E3064" s="27" t="s">
        <v>14</v>
      </c>
      <c r="F3064" s="29"/>
      <c r="G3064" s="30">
        <f t="shared" si="55"/>
        <v>32.729473684210525</v>
      </c>
    </row>
    <row r="3065" spans="1:7" hidden="1" x14ac:dyDescent="0.25">
      <c r="A3065" s="28">
        <v>43739</v>
      </c>
      <c r="B3065" s="27" t="s">
        <v>200</v>
      </c>
      <c r="C3065" s="27" t="s">
        <v>54</v>
      </c>
      <c r="D3065" s="27" t="s">
        <v>7</v>
      </c>
      <c r="E3065" s="27" t="s">
        <v>15</v>
      </c>
      <c r="F3065" s="29"/>
      <c r="G3065" s="30">
        <f t="shared" si="55"/>
        <v>32.729473684210525</v>
      </c>
    </row>
    <row r="3066" spans="1:7" hidden="1" x14ac:dyDescent="0.25">
      <c r="A3066" s="28">
        <v>43739</v>
      </c>
      <c r="B3066" s="27" t="s">
        <v>200</v>
      </c>
      <c r="C3066" s="27" t="s">
        <v>54</v>
      </c>
      <c r="D3066" s="27" t="s">
        <v>7</v>
      </c>
      <c r="E3066" s="27" t="s">
        <v>16</v>
      </c>
      <c r="F3066" s="29"/>
      <c r="G3066" s="30">
        <f t="shared" si="55"/>
        <v>32.729473684210525</v>
      </c>
    </row>
    <row r="3067" spans="1:7" hidden="1" x14ac:dyDescent="0.25">
      <c r="A3067" s="28">
        <v>43739</v>
      </c>
      <c r="B3067" s="27" t="s">
        <v>200</v>
      </c>
      <c r="C3067" s="27" t="s">
        <v>54</v>
      </c>
      <c r="D3067" s="27" t="s">
        <v>7</v>
      </c>
      <c r="E3067" s="27" t="s">
        <v>17</v>
      </c>
      <c r="F3067" s="29"/>
      <c r="G3067" s="30">
        <f t="shared" si="55"/>
        <v>32.729473684210525</v>
      </c>
    </row>
    <row r="3068" spans="1:7" hidden="1" x14ac:dyDescent="0.25">
      <c r="A3068" s="28">
        <v>43739</v>
      </c>
      <c r="B3068" s="27" t="s">
        <v>200</v>
      </c>
      <c r="C3068" s="27" t="s">
        <v>54</v>
      </c>
      <c r="D3068" s="27" t="s">
        <v>7</v>
      </c>
      <c r="E3068" s="27" t="s">
        <v>18</v>
      </c>
      <c r="F3068" s="29"/>
      <c r="G3068" s="30">
        <f t="shared" si="55"/>
        <v>32.729473684210525</v>
      </c>
    </row>
    <row r="3069" spans="1:7" hidden="1" x14ac:dyDescent="0.25">
      <c r="A3069" s="28">
        <v>43739</v>
      </c>
      <c r="B3069" s="27" t="s">
        <v>200</v>
      </c>
      <c r="C3069" s="27" t="s">
        <v>54</v>
      </c>
      <c r="D3069" s="27" t="s">
        <v>7</v>
      </c>
      <c r="E3069" s="27" t="s">
        <v>19</v>
      </c>
      <c r="F3069" s="29"/>
      <c r="G3069" s="30">
        <f t="shared" si="55"/>
        <v>32.729473684210525</v>
      </c>
    </row>
    <row r="3070" spans="1:7" hidden="1" x14ac:dyDescent="0.25">
      <c r="A3070" s="28">
        <v>43739</v>
      </c>
      <c r="B3070" s="27" t="s">
        <v>200</v>
      </c>
      <c r="C3070" s="27" t="s">
        <v>54</v>
      </c>
      <c r="D3070" s="27" t="s">
        <v>7</v>
      </c>
      <c r="E3070" s="27" t="s">
        <v>20</v>
      </c>
      <c r="F3070" s="29"/>
      <c r="G3070" s="30">
        <f t="shared" si="55"/>
        <v>32.729473684210525</v>
      </c>
    </row>
    <row r="3071" spans="1:7" hidden="1" x14ac:dyDescent="0.25">
      <c r="A3071" s="28">
        <v>43739</v>
      </c>
      <c r="B3071" s="27" t="s">
        <v>200</v>
      </c>
      <c r="C3071" s="27" t="s">
        <v>54</v>
      </c>
      <c r="D3071" s="27" t="s">
        <v>7</v>
      </c>
      <c r="E3071" s="27" t="s">
        <v>38</v>
      </c>
      <c r="F3071" s="29"/>
      <c r="G3071" s="30">
        <f t="shared" si="55"/>
        <v>32.729473684210525</v>
      </c>
    </row>
    <row r="3072" spans="1:7" hidden="1" x14ac:dyDescent="0.25">
      <c r="A3072" s="28">
        <v>43739</v>
      </c>
      <c r="B3072" s="27" t="s">
        <v>200</v>
      </c>
      <c r="C3072" s="27" t="s">
        <v>54</v>
      </c>
      <c r="D3072" s="27" t="s">
        <v>7</v>
      </c>
      <c r="E3072" s="27" t="s">
        <v>23</v>
      </c>
      <c r="F3072" s="29"/>
      <c r="G3072" s="30">
        <f t="shared" si="55"/>
        <v>32.729473684210525</v>
      </c>
    </row>
    <row r="3073" spans="1:7" hidden="1" x14ac:dyDescent="0.25">
      <c r="A3073" s="28">
        <v>43739</v>
      </c>
      <c r="B3073" s="27" t="s">
        <v>200</v>
      </c>
      <c r="C3073" s="27" t="s">
        <v>54</v>
      </c>
      <c r="D3073" s="27" t="s">
        <v>7</v>
      </c>
      <c r="E3073" s="27" t="s">
        <v>22</v>
      </c>
      <c r="F3073" s="29"/>
      <c r="G3073" s="30">
        <f t="shared" si="55"/>
        <v>32.729473684210525</v>
      </c>
    </row>
    <row r="3074" spans="1:7" hidden="1" x14ac:dyDescent="0.25">
      <c r="A3074" s="28">
        <v>43739</v>
      </c>
      <c r="B3074" s="27" t="s">
        <v>200</v>
      </c>
      <c r="C3074" s="27" t="s">
        <v>54</v>
      </c>
      <c r="D3074" s="27" t="s">
        <v>7</v>
      </c>
      <c r="E3074" s="27" t="s">
        <v>37</v>
      </c>
      <c r="F3074" s="29"/>
      <c r="G3074" s="30">
        <f t="shared" si="55"/>
        <v>32.729473684210525</v>
      </c>
    </row>
    <row r="3075" spans="1:7" hidden="1" x14ac:dyDescent="0.25">
      <c r="A3075" s="28">
        <v>43739</v>
      </c>
      <c r="B3075" s="27" t="s">
        <v>200</v>
      </c>
      <c r="C3075" s="27" t="s">
        <v>55</v>
      </c>
      <c r="D3075" s="27" t="s">
        <v>6</v>
      </c>
      <c r="E3075" s="27" t="s">
        <v>8</v>
      </c>
      <c r="F3075" s="29"/>
      <c r="G3075" s="30">
        <f t="shared" ref="G3075:G3094" si="56">14279.8442666667/20</f>
        <v>713.99221333333503</v>
      </c>
    </row>
    <row r="3076" spans="1:7" hidden="1" x14ac:dyDescent="0.25">
      <c r="A3076" s="28">
        <v>43739</v>
      </c>
      <c r="B3076" s="27" t="s">
        <v>200</v>
      </c>
      <c r="C3076" s="27" t="s">
        <v>55</v>
      </c>
      <c r="D3076" s="27" t="s">
        <v>6</v>
      </c>
      <c r="E3076" s="27" t="s">
        <v>9</v>
      </c>
      <c r="F3076" s="29"/>
      <c r="G3076" s="30">
        <f t="shared" si="56"/>
        <v>713.99221333333503</v>
      </c>
    </row>
    <row r="3077" spans="1:7" hidden="1" x14ac:dyDescent="0.25">
      <c r="A3077" s="28">
        <v>43739</v>
      </c>
      <c r="B3077" s="27" t="s">
        <v>200</v>
      </c>
      <c r="C3077" s="27" t="s">
        <v>55</v>
      </c>
      <c r="D3077" s="27" t="s">
        <v>6</v>
      </c>
      <c r="E3077" s="27" t="s">
        <v>64</v>
      </c>
      <c r="F3077" s="29"/>
      <c r="G3077" s="30">
        <f t="shared" si="56"/>
        <v>713.99221333333503</v>
      </c>
    </row>
    <row r="3078" spans="1:7" hidden="1" x14ac:dyDescent="0.25">
      <c r="A3078" s="28">
        <v>43739</v>
      </c>
      <c r="B3078" s="27" t="s">
        <v>200</v>
      </c>
      <c r="C3078" s="27" t="s">
        <v>55</v>
      </c>
      <c r="D3078" s="27" t="s">
        <v>6</v>
      </c>
      <c r="E3078" s="27" t="s">
        <v>21</v>
      </c>
      <c r="F3078" s="29"/>
      <c r="G3078" s="30">
        <f t="shared" si="56"/>
        <v>713.99221333333503</v>
      </c>
    </row>
    <row r="3079" spans="1:7" hidden="1" x14ac:dyDescent="0.25">
      <c r="A3079" s="28">
        <v>43739</v>
      </c>
      <c r="B3079" s="27" t="s">
        <v>200</v>
      </c>
      <c r="C3079" s="27" t="s">
        <v>55</v>
      </c>
      <c r="D3079" s="27" t="s">
        <v>6</v>
      </c>
      <c r="E3079" s="27" t="s">
        <v>10</v>
      </c>
      <c r="F3079" s="29"/>
      <c r="G3079" s="30">
        <f t="shared" si="56"/>
        <v>713.99221333333503</v>
      </c>
    </row>
    <row r="3080" spans="1:7" hidden="1" x14ac:dyDescent="0.25">
      <c r="A3080" s="28">
        <v>43739</v>
      </c>
      <c r="B3080" s="27" t="s">
        <v>200</v>
      </c>
      <c r="C3080" s="27" t="s">
        <v>55</v>
      </c>
      <c r="D3080" s="27" t="s">
        <v>6</v>
      </c>
      <c r="E3080" s="27" t="s">
        <v>11</v>
      </c>
      <c r="F3080" s="29"/>
      <c r="G3080" s="30">
        <f t="shared" si="56"/>
        <v>713.99221333333503</v>
      </c>
    </row>
    <row r="3081" spans="1:7" hidden="1" x14ac:dyDescent="0.25">
      <c r="A3081" s="28">
        <v>43739</v>
      </c>
      <c r="B3081" s="27" t="s">
        <v>200</v>
      </c>
      <c r="C3081" s="27" t="s">
        <v>55</v>
      </c>
      <c r="D3081" s="27" t="s">
        <v>6</v>
      </c>
      <c r="E3081" s="27" t="s">
        <v>12</v>
      </c>
      <c r="F3081" s="29"/>
      <c r="G3081" s="30">
        <f t="shared" si="56"/>
        <v>713.99221333333503</v>
      </c>
    </row>
    <row r="3082" spans="1:7" hidden="1" x14ac:dyDescent="0.25">
      <c r="A3082" s="28">
        <v>43739</v>
      </c>
      <c r="B3082" s="27" t="s">
        <v>200</v>
      </c>
      <c r="C3082" s="27" t="s">
        <v>55</v>
      </c>
      <c r="D3082" s="27" t="s">
        <v>6</v>
      </c>
      <c r="E3082" s="27" t="s">
        <v>13</v>
      </c>
      <c r="F3082" s="29"/>
      <c r="G3082" s="30">
        <f t="shared" si="56"/>
        <v>713.99221333333503</v>
      </c>
    </row>
    <row r="3083" spans="1:7" hidden="1" x14ac:dyDescent="0.25">
      <c r="A3083" s="28">
        <v>43739</v>
      </c>
      <c r="B3083" s="27" t="s">
        <v>200</v>
      </c>
      <c r="C3083" s="27" t="s">
        <v>55</v>
      </c>
      <c r="D3083" s="27" t="s">
        <v>6</v>
      </c>
      <c r="E3083" s="27" t="s">
        <v>14</v>
      </c>
      <c r="F3083" s="29"/>
      <c r="G3083" s="30">
        <f t="shared" si="56"/>
        <v>713.99221333333503</v>
      </c>
    </row>
    <row r="3084" spans="1:7" hidden="1" x14ac:dyDescent="0.25">
      <c r="A3084" s="28">
        <v>43739</v>
      </c>
      <c r="B3084" s="27" t="s">
        <v>200</v>
      </c>
      <c r="C3084" s="27" t="s">
        <v>55</v>
      </c>
      <c r="D3084" s="27" t="s">
        <v>6</v>
      </c>
      <c r="E3084" s="27" t="s">
        <v>15</v>
      </c>
      <c r="F3084" s="29"/>
      <c r="G3084" s="30">
        <f t="shared" si="56"/>
        <v>713.99221333333503</v>
      </c>
    </row>
    <row r="3085" spans="1:7" hidden="1" x14ac:dyDescent="0.25">
      <c r="A3085" s="28">
        <v>43739</v>
      </c>
      <c r="B3085" s="27" t="s">
        <v>200</v>
      </c>
      <c r="C3085" s="27" t="s">
        <v>55</v>
      </c>
      <c r="D3085" s="27" t="s">
        <v>6</v>
      </c>
      <c r="E3085" s="27" t="s">
        <v>16</v>
      </c>
      <c r="F3085" s="29"/>
      <c r="G3085" s="30">
        <f t="shared" si="56"/>
        <v>713.99221333333503</v>
      </c>
    </row>
    <row r="3086" spans="1:7" hidden="1" x14ac:dyDescent="0.25">
      <c r="A3086" s="28">
        <v>43739</v>
      </c>
      <c r="B3086" s="27" t="s">
        <v>200</v>
      </c>
      <c r="C3086" s="27" t="s">
        <v>55</v>
      </c>
      <c r="D3086" s="27" t="s">
        <v>6</v>
      </c>
      <c r="E3086" s="27" t="s">
        <v>17</v>
      </c>
      <c r="F3086" s="29"/>
      <c r="G3086" s="30">
        <f t="shared" si="56"/>
        <v>713.99221333333503</v>
      </c>
    </row>
    <row r="3087" spans="1:7" hidden="1" x14ac:dyDescent="0.25">
      <c r="A3087" s="28">
        <v>43739</v>
      </c>
      <c r="B3087" s="27" t="s">
        <v>200</v>
      </c>
      <c r="C3087" s="27" t="s">
        <v>55</v>
      </c>
      <c r="D3087" s="27" t="s">
        <v>6</v>
      </c>
      <c r="E3087" s="27" t="s">
        <v>18</v>
      </c>
      <c r="F3087" s="29"/>
      <c r="G3087" s="30">
        <f t="shared" si="56"/>
        <v>713.99221333333503</v>
      </c>
    </row>
    <row r="3088" spans="1:7" hidden="1" x14ac:dyDescent="0.25">
      <c r="A3088" s="28">
        <v>43739</v>
      </c>
      <c r="B3088" s="27" t="s">
        <v>200</v>
      </c>
      <c r="C3088" s="27" t="s">
        <v>55</v>
      </c>
      <c r="D3088" s="27" t="s">
        <v>6</v>
      </c>
      <c r="E3088" s="27" t="s">
        <v>19</v>
      </c>
      <c r="F3088" s="29"/>
      <c r="G3088" s="30">
        <f t="shared" si="56"/>
        <v>713.99221333333503</v>
      </c>
    </row>
    <row r="3089" spans="1:7" hidden="1" x14ac:dyDescent="0.25">
      <c r="A3089" s="28">
        <v>43739</v>
      </c>
      <c r="B3089" s="27" t="s">
        <v>200</v>
      </c>
      <c r="C3089" s="27" t="s">
        <v>55</v>
      </c>
      <c r="D3089" s="27" t="s">
        <v>6</v>
      </c>
      <c r="E3089" s="27" t="s">
        <v>20</v>
      </c>
      <c r="F3089" s="29"/>
      <c r="G3089" s="30">
        <f t="shared" si="56"/>
        <v>713.99221333333503</v>
      </c>
    </row>
    <row r="3090" spans="1:7" hidden="1" x14ac:dyDescent="0.25">
      <c r="A3090" s="28">
        <v>43739</v>
      </c>
      <c r="B3090" s="27" t="s">
        <v>200</v>
      </c>
      <c r="C3090" s="27" t="s">
        <v>55</v>
      </c>
      <c r="D3090" s="27" t="s">
        <v>6</v>
      </c>
      <c r="E3090" s="27" t="s">
        <v>38</v>
      </c>
      <c r="F3090" s="29"/>
      <c r="G3090" s="30">
        <f t="shared" si="56"/>
        <v>713.99221333333503</v>
      </c>
    </row>
    <row r="3091" spans="1:7" hidden="1" x14ac:dyDescent="0.25">
      <c r="A3091" s="28">
        <v>43739</v>
      </c>
      <c r="B3091" s="27" t="s">
        <v>200</v>
      </c>
      <c r="C3091" s="27" t="s">
        <v>55</v>
      </c>
      <c r="D3091" s="27" t="s">
        <v>6</v>
      </c>
      <c r="E3091" s="27" t="s">
        <v>23</v>
      </c>
      <c r="F3091" s="29"/>
      <c r="G3091" s="30">
        <f t="shared" si="56"/>
        <v>713.99221333333503</v>
      </c>
    </row>
    <row r="3092" spans="1:7" hidden="1" x14ac:dyDescent="0.25">
      <c r="A3092" s="28">
        <v>43739</v>
      </c>
      <c r="B3092" s="27" t="s">
        <v>200</v>
      </c>
      <c r="C3092" s="27" t="s">
        <v>55</v>
      </c>
      <c r="D3092" s="27" t="s">
        <v>6</v>
      </c>
      <c r="E3092" s="27" t="s">
        <v>22</v>
      </c>
      <c r="F3092" s="29"/>
      <c r="G3092" s="30">
        <f t="shared" si="56"/>
        <v>713.99221333333503</v>
      </c>
    </row>
    <row r="3093" spans="1:7" hidden="1" x14ac:dyDescent="0.25">
      <c r="A3093" s="28">
        <v>43739</v>
      </c>
      <c r="B3093" s="27" t="s">
        <v>200</v>
      </c>
      <c r="C3093" s="27" t="s">
        <v>55</v>
      </c>
      <c r="D3093" s="27" t="s">
        <v>6</v>
      </c>
      <c r="E3093" s="27" t="s">
        <v>204</v>
      </c>
      <c r="F3093" s="29"/>
      <c r="G3093" s="30">
        <f t="shared" si="56"/>
        <v>713.99221333333503</v>
      </c>
    </row>
    <row r="3094" spans="1:7" hidden="1" x14ac:dyDescent="0.25">
      <c r="A3094" s="28">
        <v>43739</v>
      </c>
      <c r="B3094" s="27" t="s">
        <v>200</v>
      </c>
      <c r="C3094" s="27" t="s">
        <v>55</v>
      </c>
      <c r="D3094" s="27" t="s">
        <v>6</v>
      </c>
      <c r="E3094" s="27" t="s">
        <v>205</v>
      </c>
      <c r="F3094" s="29"/>
      <c r="G3094" s="30">
        <f t="shared" si="56"/>
        <v>713.99221333333503</v>
      </c>
    </row>
    <row r="3095" spans="1:7" hidden="1" x14ac:dyDescent="0.25">
      <c r="A3095" s="28">
        <v>43739</v>
      </c>
      <c r="B3095" s="27" t="s">
        <v>200</v>
      </c>
      <c r="C3095" s="27" t="s">
        <v>183</v>
      </c>
      <c r="D3095" s="27" t="s">
        <v>7</v>
      </c>
      <c r="E3095" s="27" t="s">
        <v>8</v>
      </c>
      <c r="F3095" s="29"/>
      <c r="G3095" s="30">
        <f t="shared" ref="G3095:G3113" si="57">1572.9/19</f>
        <v>82.784210526315789</v>
      </c>
    </row>
    <row r="3096" spans="1:7" hidden="1" x14ac:dyDescent="0.25">
      <c r="A3096" s="28">
        <v>43739</v>
      </c>
      <c r="B3096" s="27" t="s">
        <v>200</v>
      </c>
      <c r="C3096" s="27" t="s">
        <v>183</v>
      </c>
      <c r="D3096" s="27" t="s">
        <v>7</v>
      </c>
      <c r="E3096" s="27" t="s">
        <v>9</v>
      </c>
      <c r="F3096" s="29"/>
      <c r="G3096" s="30">
        <f t="shared" si="57"/>
        <v>82.784210526315789</v>
      </c>
    </row>
    <row r="3097" spans="1:7" hidden="1" x14ac:dyDescent="0.25">
      <c r="A3097" s="28">
        <v>43739</v>
      </c>
      <c r="B3097" s="27" t="s">
        <v>200</v>
      </c>
      <c r="C3097" s="27" t="s">
        <v>183</v>
      </c>
      <c r="D3097" s="27" t="s">
        <v>7</v>
      </c>
      <c r="E3097" s="27" t="s">
        <v>64</v>
      </c>
      <c r="F3097" s="29"/>
      <c r="G3097" s="30">
        <f t="shared" si="57"/>
        <v>82.784210526315789</v>
      </c>
    </row>
    <row r="3098" spans="1:7" hidden="1" x14ac:dyDescent="0.25">
      <c r="A3098" s="28">
        <v>43739</v>
      </c>
      <c r="B3098" s="27" t="s">
        <v>200</v>
      </c>
      <c r="C3098" s="27" t="s">
        <v>183</v>
      </c>
      <c r="D3098" s="27" t="s">
        <v>7</v>
      </c>
      <c r="E3098" s="27" t="s">
        <v>21</v>
      </c>
      <c r="F3098" s="29"/>
      <c r="G3098" s="30">
        <f t="shared" si="57"/>
        <v>82.784210526315789</v>
      </c>
    </row>
    <row r="3099" spans="1:7" hidden="1" x14ac:dyDescent="0.25">
      <c r="A3099" s="28">
        <v>43739</v>
      </c>
      <c r="B3099" s="27" t="s">
        <v>200</v>
      </c>
      <c r="C3099" s="27" t="s">
        <v>183</v>
      </c>
      <c r="D3099" s="27" t="s">
        <v>7</v>
      </c>
      <c r="E3099" s="27" t="s">
        <v>10</v>
      </c>
      <c r="F3099" s="29"/>
      <c r="G3099" s="30">
        <f t="shared" si="57"/>
        <v>82.784210526315789</v>
      </c>
    </row>
    <row r="3100" spans="1:7" hidden="1" x14ac:dyDescent="0.25">
      <c r="A3100" s="28">
        <v>43739</v>
      </c>
      <c r="B3100" s="27" t="s">
        <v>200</v>
      </c>
      <c r="C3100" s="27" t="s">
        <v>183</v>
      </c>
      <c r="D3100" s="27" t="s">
        <v>7</v>
      </c>
      <c r="E3100" s="27" t="s">
        <v>11</v>
      </c>
      <c r="F3100" s="29"/>
      <c r="G3100" s="30">
        <f t="shared" si="57"/>
        <v>82.784210526315789</v>
      </c>
    </row>
    <row r="3101" spans="1:7" hidden="1" x14ac:dyDescent="0.25">
      <c r="A3101" s="28">
        <v>43739</v>
      </c>
      <c r="B3101" s="27" t="s">
        <v>200</v>
      </c>
      <c r="C3101" s="27" t="s">
        <v>183</v>
      </c>
      <c r="D3101" s="27" t="s">
        <v>7</v>
      </c>
      <c r="E3101" s="27" t="s">
        <v>12</v>
      </c>
      <c r="F3101" s="29"/>
      <c r="G3101" s="30">
        <f t="shared" si="57"/>
        <v>82.784210526315789</v>
      </c>
    </row>
    <row r="3102" spans="1:7" hidden="1" x14ac:dyDescent="0.25">
      <c r="A3102" s="28">
        <v>43739</v>
      </c>
      <c r="B3102" s="27" t="s">
        <v>200</v>
      </c>
      <c r="C3102" s="27" t="s">
        <v>183</v>
      </c>
      <c r="D3102" s="27" t="s">
        <v>7</v>
      </c>
      <c r="E3102" s="27" t="s">
        <v>13</v>
      </c>
      <c r="F3102" s="29"/>
      <c r="G3102" s="30">
        <f t="shared" si="57"/>
        <v>82.784210526315789</v>
      </c>
    </row>
    <row r="3103" spans="1:7" hidden="1" x14ac:dyDescent="0.25">
      <c r="A3103" s="28">
        <v>43739</v>
      </c>
      <c r="B3103" s="27" t="s">
        <v>200</v>
      </c>
      <c r="C3103" s="27" t="s">
        <v>183</v>
      </c>
      <c r="D3103" s="27" t="s">
        <v>7</v>
      </c>
      <c r="E3103" s="27" t="s">
        <v>14</v>
      </c>
      <c r="F3103" s="29"/>
      <c r="G3103" s="30">
        <f t="shared" si="57"/>
        <v>82.784210526315789</v>
      </c>
    </row>
    <row r="3104" spans="1:7" hidden="1" x14ac:dyDescent="0.25">
      <c r="A3104" s="28">
        <v>43739</v>
      </c>
      <c r="B3104" s="27" t="s">
        <v>200</v>
      </c>
      <c r="C3104" s="27" t="s">
        <v>183</v>
      </c>
      <c r="D3104" s="27" t="s">
        <v>7</v>
      </c>
      <c r="E3104" s="27" t="s">
        <v>15</v>
      </c>
      <c r="F3104" s="29"/>
      <c r="G3104" s="30">
        <f t="shared" si="57"/>
        <v>82.784210526315789</v>
      </c>
    </row>
    <row r="3105" spans="1:7" hidden="1" x14ac:dyDescent="0.25">
      <c r="A3105" s="28">
        <v>43739</v>
      </c>
      <c r="B3105" s="27" t="s">
        <v>200</v>
      </c>
      <c r="C3105" s="27" t="s">
        <v>183</v>
      </c>
      <c r="D3105" s="27" t="s">
        <v>7</v>
      </c>
      <c r="E3105" s="27" t="s">
        <v>16</v>
      </c>
      <c r="F3105" s="29"/>
      <c r="G3105" s="30">
        <f t="shared" si="57"/>
        <v>82.784210526315789</v>
      </c>
    </row>
    <row r="3106" spans="1:7" hidden="1" x14ac:dyDescent="0.25">
      <c r="A3106" s="28">
        <v>43739</v>
      </c>
      <c r="B3106" s="27" t="s">
        <v>200</v>
      </c>
      <c r="C3106" s="27" t="s">
        <v>183</v>
      </c>
      <c r="D3106" s="27" t="s">
        <v>7</v>
      </c>
      <c r="E3106" s="27" t="s">
        <v>17</v>
      </c>
      <c r="F3106" s="29"/>
      <c r="G3106" s="30">
        <f t="shared" si="57"/>
        <v>82.784210526315789</v>
      </c>
    </row>
    <row r="3107" spans="1:7" hidden="1" x14ac:dyDescent="0.25">
      <c r="A3107" s="28">
        <v>43739</v>
      </c>
      <c r="B3107" s="27" t="s">
        <v>200</v>
      </c>
      <c r="C3107" s="27" t="s">
        <v>183</v>
      </c>
      <c r="D3107" s="27" t="s">
        <v>7</v>
      </c>
      <c r="E3107" s="27" t="s">
        <v>18</v>
      </c>
      <c r="F3107" s="29"/>
      <c r="G3107" s="30">
        <f t="shared" si="57"/>
        <v>82.784210526315789</v>
      </c>
    </row>
    <row r="3108" spans="1:7" hidden="1" x14ac:dyDescent="0.25">
      <c r="A3108" s="28">
        <v>43739</v>
      </c>
      <c r="B3108" s="27" t="s">
        <v>200</v>
      </c>
      <c r="C3108" s="27" t="s">
        <v>183</v>
      </c>
      <c r="D3108" s="27" t="s">
        <v>7</v>
      </c>
      <c r="E3108" s="27" t="s">
        <v>19</v>
      </c>
      <c r="F3108" s="29"/>
      <c r="G3108" s="30">
        <f t="shared" si="57"/>
        <v>82.784210526315789</v>
      </c>
    </row>
    <row r="3109" spans="1:7" hidden="1" x14ac:dyDescent="0.25">
      <c r="A3109" s="28">
        <v>43739</v>
      </c>
      <c r="B3109" s="27" t="s">
        <v>200</v>
      </c>
      <c r="C3109" s="27" t="s">
        <v>183</v>
      </c>
      <c r="D3109" s="27" t="s">
        <v>7</v>
      </c>
      <c r="E3109" s="27" t="s">
        <v>20</v>
      </c>
      <c r="F3109" s="29"/>
      <c r="G3109" s="30">
        <f t="shared" si="57"/>
        <v>82.784210526315789</v>
      </c>
    </row>
    <row r="3110" spans="1:7" hidden="1" x14ac:dyDescent="0.25">
      <c r="A3110" s="28">
        <v>43739</v>
      </c>
      <c r="B3110" s="27" t="s">
        <v>200</v>
      </c>
      <c r="C3110" s="27" t="s">
        <v>183</v>
      </c>
      <c r="D3110" s="27" t="s">
        <v>7</v>
      </c>
      <c r="E3110" s="27" t="s">
        <v>38</v>
      </c>
      <c r="F3110" s="29"/>
      <c r="G3110" s="30">
        <f t="shared" si="57"/>
        <v>82.784210526315789</v>
      </c>
    </row>
    <row r="3111" spans="1:7" hidden="1" x14ac:dyDescent="0.25">
      <c r="A3111" s="28">
        <v>43739</v>
      </c>
      <c r="B3111" s="27" t="s">
        <v>200</v>
      </c>
      <c r="C3111" s="27" t="s">
        <v>183</v>
      </c>
      <c r="D3111" s="27" t="s">
        <v>7</v>
      </c>
      <c r="E3111" s="27" t="s">
        <v>23</v>
      </c>
      <c r="F3111" s="29"/>
      <c r="G3111" s="30">
        <f t="shared" si="57"/>
        <v>82.784210526315789</v>
      </c>
    </row>
    <row r="3112" spans="1:7" hidden="1" x14ac:dyDescent="0.25">
      <c r="A3112" s="28">
        <v>43739</v>
      </c>
      <c r="B3112" s="27" t="s">
        <v>200</v>
      </c>
      <c r="C3112" s="27" t="s">
        <v>183</v>
      </c>
      <c r="D3112" s="27" t="s">
        <v>7</v>
      </c>
      <c r="E3112" s="27" t="s">
        <v>22</v>
      </c>
      <c r="F3112" s="29"/>
      <c r="G3112" s="30">
        <f t="shared" si="57"/>
        <v>82.784210526315789</v>
      </c>
    </row>
    <row r="3113" spans="1:7" hidden="1" x14ac:dyDescent="0.25">
      <c r="A3113" s="28">
        <v>43739</v>
      </c>
      <c r="B3113" s="27" t="s">
        <v>200</v>
      </c>
      <c r="C3113" s="27" t="s">
        <v>183</v>
      </c>
      <c r="D3113" s="27" t="s">
        <v>7</v>
      </c>
      <c r="E3113" s="27" t="s">
        <v>37</v>
      </c>
      <c r="F3113" s="29"/>
      <c r="G3113" s="30">
        <f t="shared" si="57"/>
        <v>82.784210526315789</v>
      </c>
    </row>
    <row r="3114" spans="1:7" hidden="1" x14ac:dyDescent="0.25">
      <c r="A3114" s="28">
        <v>43739</v>
      </c>
      <c r="B3114" s="27" t="s">
        <v>200</v>
      </c>
      <c r="C3114" s="27" t="s">
        <v>56</v>
      </c>
      <c r="D3114" s="27" t="s">
        <v>6</v>
      </c>
      <c r="E3114" s="27" t="s">
        <v>8</v>
      </c>
      <c r="F3114" s="29"/>
      <c r="G3114" s="30">
        <f t="shared" ref="G3114:G3133" si="58">36988.5926666667/20</f>
        <v>1849.429633333335</v>
      </c>
    </row>
    <row r="3115" spans="1:7" hidden="1" x14ac:dyDescent="0.25">
      <c r="A3115" s="28">
        <v>43739</v>
      </c>
      <c r="B3115" s="27" t="s">
        <v>200</v>
      </c>
      <c r="C3115" s="27" t="s">
        <v>56</v>
      </c>
      <c r="D3115" s="27" t="s">
        <v>6</v>
      </c>
      <c r="E3115" s="27" t="s">
        <v>9</v>
      </c>
      <c r="F3115" s="29"/>
      <c r="G3115" s="30">
        <f t="shared" si="58"/>
        <v>1849.429633333335</v>
      </c>
    </row>
    <row r="3116" spans="1:7" hidden="1" x14ac:dyDescent="0.25">
      <c r="A3116" s="28">
        <v>43739</v>
      </c>
      <c r="B3116" s="27" t="s">
        <v>200</v>
      </c>
      <c r="C3116" s="27" t="s">
        <v>56</v>
      </c>
      <c r="D3116" s="27" t="s">
        <v>6</v>
      </c>
      <c r="E3116" s="27" t="s">
        <v>64</v>
      </c>
      <c r="F3116" s="29"/>
      <c r="G3116" s="30">
        <f t="shared" si="58"/>
        <v>1849.429633333335</v>
      </c>
    </row>
    <row r="3117" spans="1:7" hidden="1" x14ac:dyDescent="0.25">
      <c r="A3117" s="28">
        <v>43739</v>
      </c>
      <c r="B3117" s="27" t="s">
        <v>200</v>
      </c>
      <c r="C3117" s="27" t="s">
        <v>56</v>
      </c>
      <c r="D3117" s="27" t="s">
        <v>6</v>
      </c>
      <c r="E3117" s="27" t="s">
        <v>21</v>
      </c>
      <c r="F3117" s="29"/>
      <c r="G3117" s="30">
        <f t="shared" si="58"/>
        <v>1849.429633333335</v>
      </c>
    </row>
    <row r="3118" spans="1:7" hidden="1" x14ac:dyDescent="0.25">
      <c r="A3118" s="28">
        <v>43739</v>
      </c>
      <c r="B3118" s="27" t="s">
        <v>200</v>
      </c>
      <c r="C3118" s="27" t="s">
        <v>56</v>
      </c>
      <c r="D3118" s="27" t="s">
        <v>6</v>
      </c>
      <c r="E3118" s="27" t="s">
        <v>10</v>
      </c>
      <c r="F3118" s="29"/>
      <c r="G3118" s="30">
        <f t="shared" si="58"/>
        <v>1849.429633333335</v>
      </c>
    </row>
    <row r="3119" spans="1:7" hidden="1" x14ac:dyDescent="0.25">
      <c r="A3119" s="28">
        <v>43739</v>
      </c>
      <c r="B3119" s="27" t="s">
        <v>200</v>
      </c>
      <c r="C3119" s="27" t="s">
        <v>56</v>
      </c>
      <c r="D3119" s="27" t="s">
        <v>6</v>
      </c>
      <c r="E3119" s="27" t="s">
        <v>11</v>
      </c>
      <c r="F3119" s="29"/>
      <c r="G3119" s="30">
        <f t="shared" si="58"/>
        <v>1849.429633333335</v>
      </c>
    </row>
    <row r="3120" spans="1:7" hidden="1" x14ac:dyDescent="0.25">
      <c r="A3120" s="28">
        <v>43739</v>
      </c>
      <c r="B3120" s="27" t="s">
        <v>200</v>
      </c>
      <c r="C3120" s="27" t="s">
        <v>56</v>
      </c>
      <c r="D3120" s="27" t="s">
        <v>6</v>
      </c>
      <c r="E3120" s="27" t="s">
        <v>12</v>
      </c>
      <c r="F3120" s="29"/>
      <c r="G3120" s="30">
        <f t="shared" si="58"/>
        <v>1849.429633333335</v>
      </c>
    </row>
    <row r="3121" spans="1:7" hidden="1" x14ac:dyDescent="0.25">
      <c r="A3121" s="28">
        <v>43739</v>
      </c>
      <c r="B3121" s="27" t="s">
        <v>200</v>
      </c>
      <c r="C3121" s="27" t="s">
        <v>56</v>
      </c>
      <c r="D3121" s="27" t="s">
        <v>6</v>
      </c>
      <c r="E3121" s="27" t="s">
        <v>13</v>
      </c>
      <c r="F3121" s="29"/>
      <c r="G3121" s="30">
        <f t="shared" si="58"/>
        <v>1849.429633333335</v>
      </c>
    </row>
    <row r="3122" spans="1:7" hidden="1" x14ac:dyDescent="0.25">
      <c r="A3122" s="28">
        <v>43739</v>
      </c>
      <c r="B3122" s="27" t="s">
        <v>200</v>
      </c>
      <c r="C3122" s="27" t="s">
        <v>56</v>
      </c>
      <c r="D3122" s="27" t="s">
        <v>6</v>
      </c>
      <c r="E3122" s="27" t="s">
        <v>14</v>
      </c>
      <c r="F3122" s="29"/>
      <c r="G3122" s="30">
        <f t="shared" si="58"/>
        <v>1849.429633333335</v>
      </c>
    </row>
    <row r="3123" spans="1:7" hidden="1" x14ac:dyDescent="0.25">
      <c r="A3123" s="28">
        <v>43739</v>
      </c>
      <c r="B3123" s="27" t="s">
        <v>200</v>
      </c>
      <c r="C3123" s="27" t="s">
        <v>56</v>
      </c>
      <c r="D3123" s="27" t="s">
        <v>6</v>
      </c>
      <c r="E3123" s="27" t="s">
        <v>15</v>
      </c>
      <c r="F3123" s="29"/>
      <c r="G3123" s="30">
        <f t="shared" si="58"/>
        <v>1849.429633333335</v>
      </c>
    </row>
    <row r="3124" spans="1:7" hidden="1" x14ac:dyDescent="0.25">
      <c r="A3124" s="28">
        <v>43739</v>
      </c>
      <c r="B3124" s="27" t="s">
        <v>200</v>
      </c>
      <c r="C3124" s="27" t="s">
        <v>56</v>
      </c>
      <c r="D3124" s="27" t="s">
        <v>6</v>
      </c>
      <c r="E3124" s="27" t="s">
        <v>16</v>
      </c>
      <c r="F3124" s="29"/>
      <c r="G3124" s="30">
        <f t="shared" si="58"/>
        <v>1849.429633333335</v>
      </c>
    </row>
    <row r="3125" spans="1:7" hidden="1" x14ac:dyDescent="0.25">
      <c r="A3125" s="28">
        <v>43739</v>
      </c>
      <c r="B3125" s="27" t="s">
        <v>200</v>
      </c>
      <c r="C3125" s="27" t="s">
        <v>56</v>
      </c>
      <c r="D3125" s="27" t="s">
        <v>6</v>
      </c>
      <c r="E3125" s="27" t="s">
        <v>17</v>
      </c>
      <c r="F3125" s="29"/>
      <c r="G3125" s="30">
        <f t="shared" si="58"/>
        <v>1849.429633333335</v>
      </c>
    </row>
    <row r="3126" spans="1:7" hidden="1" x14ac:dyDescent="0.25">
      <c r="A3126" s="28">
        <v>43739</v>
      </c>
      <c r="B3126" s="27" t="s">
        <v>200</v>
      </c>
      <c r="C3126" s="27" t="s">
        <v>56</v>
      </c>
      <c r="D3126" s="27" t="s">
        <v>6</v>
      </c>
      <c r="E3126" s="27" t="s">
        <v>18</v>
      </c>
      <c r="F3126" s="29"/>
      <c r="G3126" s="30">
        <f t="shared" si="58"/>
        <v>1849.429633333335</v>
      </c>
    </row>
    <row r="3127" spans="1:7" hidden="1" x14ac:dyDescent="0.25">
      <c r="A3127" s="28">
        <v>43739</v>
      </c>
      <c r="B3127" s="27" t="s">
        <v>200</v>
      </c>
      <c r="C3127" s="27" t="s">
        <v>56</v>
      </c>
      <c r="D3127" s="27" t="s">
        <v>6</v>
      </c>
      <c r="E3127" s="27" t="s">
        <v>19</v>
      </c>
      <c r="F3127" s="29"/>
      <c r="G3127" s="30">
        <f t="shared" si="58"/>
        <v>1849.429633333335</v>
      </c>
    </row>
    <row r="3128" spans="1:7" hidden="1" x14ac:dyDescent="0.25">
      <c r="A3128" s="28">
        <v>43739</v>
      </c>
      <c r="B3128" s="27" t="s">
        <v>200</v>
      </c>
      <c r="C3128" s="27" t="s">
        <v>56</v>
      </c>
      <c r="D3128" s="27" t="s">
        <v>6</v>
      </c>
      <c r="E3128" s="27" t="s">
        <v>20</v>
      </c>
      <c r="F3128" s="29"/>
      <c r="G3128" s="30">
        <f t="shared" si="58"/>
        <v>1849.429633333335</v>
      </c>
    </row>
    <row r="3129" spans="1:7" hidden="1" x14ac:dyDescent="0.25">
      <c r="A3129" s="28">
        <v>43739</v>
      </c>
      <c r="B3129" s="27" t="s">
        <v>200</v>
      </c>
      <c r="C3129" s="27" t="s">
        <v>56</v>
      </c>
      <c r="D3129" s="27" t="s">
        <v>6</v>
      </c>
      <c r="E3129" s="27" t="s">
        <v>38</v>
      </c>
      <c r="F3129" s="29"/>
      <c r="G3129" s="30">
        <f t="shared" si="58"/>
        <v>1849.429633333335</v>
      </c>
    </row>
    <row r="3130" spans="1:7" hidden="1" x14ac:dyDescent="0.25">
      <c r="A3130" s="28">
        <v>43739</v>
      </c>
      <c r="B3130" s="27" t="s">
        <v>200</v>
      </c>
      <c r="C3130" s="27" t="s">
        <v>56</v>
      </c>
      <c r="D3130" s="27" t="s">
        <v>6</v>
      </c>
      <c r="E3130" s="27" t="s">
        <v>23</v>
      </c>
      <c r="F3130" s="29"/>
      <c r="G3130" s="30">
        <f t="shared" si="58"/>
        <v>1849.429633333335</v>
      </c>
    </row>
    <row r="3131" spans="1:7" hidden="1" x14ac:dyDescent="0.25">
      <c r="A3131" s="28">
        <v>43739</v>
      </c>
      <c r="B3131" s="27" t="s">
        <v>200</v>
      </c>
      <c r="C3131" s="27" t="s">
        <v>56</v>
      </c>
      <c r="D3131" s="27" t="s">
        <v>6</v>
      </c>
      <c r="E3131" s="27" t="s">
        <v>22</v>
      </c>
      <c r="F3131" s="29"/>
      <c r="G3131" s="30">
        <f t="shared" si="58"/>
        <v>1849.429633333335</v>
      </c>
    </row>
    <row r="3132" spans="1:7" hidden="1" x14ac:dyDescent="0.25">
      <c r="A3132" s="28">
        <v>43739</v>
      </c>
      <c r="B3132" s="27" t="s">
        <v>200</v>
      </c>
      <c r="C3132" s="27" t="s">
        <v>56</v>
      </c>
      <c r="D3132" s="27" t="s">
        <v>6</v>
      </c>
      <c r="E3132" s="27" t="s">
        <v>204</v>
      </c>
      <c r="F3132" s="29"/>
      <c r="G3132" s="30">
        <f t="shared" si="58"/>
        <v>1849.429633333335</v>
      </c>
    </row>
    <row r="3133" spans="1:7" hidden="1" x14ac:dyDescent="0.25">
      <c r="A3133" s="28">
        <v>43739</v>
      </c>
      <c r="B3133" s="27" t="s">
        <v>200</v>
      </c>
      <c r="C3133" s="27" t="s">
        <v>56</v>
      </c>
      <c r="D3133" s="27" t="s">
        <v>6</v>
      </c>
      <c r="E3133" s="27" t="s">
        <v>205</v>
      </c>
      <c r="F3133" s="29"/>
      <c r="G3133" s="30">
        <f t="shared" si="58"/>
        <v>1849.429633333335</v>
      </c>
    </row>
    <row r="3134" spans="1:7" hidden="1" x14ac:dyDescent="0.25">
      <c r="A3134" s="28">
        <v>43739</v>
      </c>
      <c r="B3134" s="27" t="s">
        <v>200</v>
      </c>
      <c r="C3134" s="27" t="s">
        <v>182</v>
      </c>
      <c r="D3134" s="27" t="s">
        <v>7</v>
      </c>
      <c r="E3134" s="27" t="s">
        <v>8</v>
      </c>
      <c r="F3134" s="29"/>
      <c r="G3134" s="30">
        <f t="shared" ref="G3134:G3152" si="59">2802.64/19</f>
        <v>147.50736842105263</v>
      </c>
    </row>
    <row r="3135" spans="1:7" hidden="1" x14ac:dyDescent="0.25">
      <c r="A3135" s="28">
        <v>43739</v>
      </c>
      <c r="B3135" s="27" t="s">
        <v>200</v>
      </c>
      <c r="C3135" s="27" t="s">
        <v>182</v>
      </c>
      <c r="D3135" s="27" t="s">
        <v>7</v>
      </c>
      <c r="E3135" s="27" t="s">
        <v>9</v>
      </c>
      <c r="F3135" s="29"/>
      <c r="G3135" s="30">
        <f t="shared" si="59"/>
        <v>147.50736842105263</v>
      </c>
    </row>
    <row r="3136" spans="1:7" hidden="1" x14ac:dyDescent="0.25">
      <c r="A3136" s="28">
        <v>43739</v>
      </c>
      <c r="B3136" s="27" t="s">
        <v>200</v>
      </c>
      <c r="C3136" s="27" t="s">
        <v>182</v>
      </c>
      <c r="D3136" s="27" t="s">
        <v>7</v>
      </c>
      <c r="E3136" s="27" t="s">
        <v>64</v>
      </c>
      <c r="F3136" s="29"/>
      <c r="G3136" s="30">
        <f t="shared" si="59"/>
        <v>147.50736842105263</v>
      </c>
    </row>
    <row r="3137" spans="1:7" hidden="1" x14ac:dyDescent="0.25">
      <c r="A3137" s="28">
        <v>43739</v>
      </c>
      <c r="B3137" s="27" t="s">
        <v>200</v>
      </c>
      <c r="C3137" s="27" t="s">
        <v>182</v>
      </c>
      <c r="D3137" s="27" t="s">
        <v>7</v>
      </c>
      <c r="E3137" s="27" t="s">
        <v>21</v>
      </c>
      <c r="F3137" s="29"/>
      <c r="G3137" s="30">
        <f t="shared" si="59"/>
        <v>147.50736842105263</v>
      </c>
    </row>
    <row r="3138" spans="1:7" hidden="1" x14ac:dyDescent="0.25">
      <c r="A3138" s="28">
        <v>43739</v>
      </c>
      <c r="B3138" s="27" t="s">
        <v>200</v>
      </c>
      <c r="C3138" s="27" t="s">
        <v>182</v>
      </c>
      <c r="D3138" s="27" t="s">
        <v>7</v>
      </c>
      <c r="E3138" s="27" t="s">
        <v>10</v>
      </c>
      <c r="F3138" s="29"/>
      <c r="G3138" s="30">
        <f t="shared" si="59"/>
        <v>147.50736842105263</v>
      </c>
    </row>
    <row r="3139" spans="1:7" hidden="1" x14ac:dyDescent="0.25">
      <c r="A3139" s="28">
        <v>43739</v>
      </c>
      <c r="B3139" s="27" t="s">
        <v>200</v>
      </c>
      <c r="C3139" s="27" t="s">
        <v>182</v>
      </c>
      <c r="D3139" s="27" t="s">
        <v>7</v>
      </c>
      <c r="E3139" s="27" t="s">
        <v>11</v>
      </c>
      <c r="F3139" s="29"/>
      <c r="G3139" s="30">
        <f t="shared" si="59"/>
        <v>147.50736842105263</v>
      </c>
    </row>
    <row r="3140" spans="1:7" hidden="1" x14ac:dyDescent="0.25">
      <c r="A3140" s="28">
        <v>43739</v>
      </c>
      <c r="B3140" s="27" t="s">
        <v>200</v>
      </c>
      <c r="C3140" s="27" t="s">
        <v>182</v>
      </c>
      <c r="D3140" s="27" t="s">
        <v>7</v>
      </c>
      <c r="E3140" s="27" t="s">
        <v>12</v>
      </c>
      <c r="F3140" s="29"/>
      <c r="G3140" s="30">
        <f t="shared" si="59"/>
        <v>147.50736842105263</v>
      </c>
    </row>
    <row r="3141" spans="1:7" hidden="1" x14ac:dyDescent="0.25">
      <c r="A3141" s="28">
        <v>43739</v>
      </c>
      <c r="B3141" s="27" t="s">
        <v>200</v>
      </c>
      <c r="C3141" s="27" t="s">
        <v>182</v>
      </c>
      <c r="D3141" s="27" t="s">
        <v>7</v>
      </c>
      <c r="E3141" s="27" t="s">
        <v>13</v>
      </c>
      <c r="F3141" s="29"/>
      <c r="G3141" s="30">
        <f t="shared" si="59"/>
        <v>147.50736842105263</v>
      </c>
    </row>
    <row r="3142" spans="1:7" hidden="1" x14ac:dyDescent="0.25">
      <c r="A3142" s="28">
        <v>43739</v>
      </c>
      <c r="B3142" s="27" t="s">
        <v>200</v>
      </c>
      <c r="C3142" s="27" t="s">
        <v>182</v>
      </c>
      <c r="D3142" s="27" t="s">
        <v>7</v>
      </c>
      <c r="E3142" s="27" t="s">
        <v>14</v>
      </c>
      <c r="F3142" s="29"/>
      <c r="G3142" s="30">
        <f t="shared" si="59"/>
        <v>147.50736842105263</v>
      </c>
    </row>
    <row r="3143" spans="1:7" hidden="1" x14ac:dyDescent="0.25">
      <c r="A3143" s="28">
        <v>43739</v>
      </c>
      <c r="B3143" s="27" t="s">
        <v>200</v>
      </c>
      <c r="C3143" s="27" t="s">
        <v>182</v>
      </c>
      <c r="D3143" s="27" t="s">
        <v>7</v>
      </c>
      <c r="E3143" s="27" t="s">
        <v>15</v>
      </c>
      <c r="F3143" s="29"/>
      <c r="G3143" s="30">
        <f t="shared" si="59"/>
        <v>147.50736842105263</v>
      </c>
    </row>
    <row r="3144" spans="1:7" hidden="1" x14ac:dyDescent="0.25">
      <c r="A3144" s="28">
        <v>43739</v>
      </c>
      <c r="B3144" s="27" t="s">
        <v>200</v>
      </c>
      <c r="C3144" s="27" t="s">
        <v>182</v>
      </c>
      <c r="D3144" s="27" t="s">
        <v>7</v>
      </c>
      <c r="E3144" s="27" t="s">
        <v>16</v>
      </c>
      <c r="F3144" s="29"/>
      <c r="G3144" s="30">
        <f t="shared" si="59"/>
        <v>147.50736842105263</v>
      </c>
    </row>
    <row r="3145" spans="1:7" hidden="1" x14ac:dyDescent="0.25">
      <c r="A3145" s="28">
        <v>43739</v>
      </c>
      <c r="B3145" s="27" t="s">
        <v>200</v>
      </c>
      <c r="C3145" s="27" t="s">
        <v>182</v>
      </c>
      <c r="D3145" s="27" t="s">
        <v>7</v>
      </c>
      <c r="E3145" s="27" t="s">
        <v>17</v>
      </c>
      <c r="F3145" s="29"/>
      <c r="G3145" s="30">
        <f t="shared" si="59"/>
        <v>147.50736842105263</v>
      </c>
    </row>
    <row r="3146" spans="1:7" hidden="1" x14ac:dyDescent="0.25">
      <c r="A3146" s="28">
        <v>43739</v>
      </c>
      <c r="B3146" s="27" t="s">
        <v>200</v>
      </c>
      <c r="C3146" s="27" t="s">
        <v>182</v>
      </c>
      <c r="D3146" s="27" t="s">
        <v>7</v>
      </c>
      <c r="E3146" s="27" t="s">
        <v>18</v>
      </c>
      <c r="F3146" s="29"/>
      <c r="G3146" s="30">
        <f t="shared" si="59"/>
        <v>147.50736842105263</v>
      </c>
    </row>
    <row r="3147" spans="1:7" hidden="1" x14ac:dyDescent="0.25">
      <c r="A3147" s="28">
        <v>43739</v>
      </c>
      <c r="B3147" s="27" t="s">
        <v>200</v>
      </c>
      <c r="C3147" s="27" t="s">
        <v>182</v>
      </c>
      <c r="D3147" s="27" t="s">
        <v>7</v>
      </c>
      <c r="E3147" s="27" t="s">
        <v>19</v>
      </c>
      <c r="F3147" s="29"/>
      <c r="G3147" s="30">
        <f t="shared" si="59"/>
        <v>147.50736842105263</v>
      </c>
    </row>
    <row r="3148" spans="1:7" hidden="1" x14ac:dyDescent="0.25">
      <c r="A3148" s="28">
        <v>43739</v>
      </c>
      <c r="B3148" s="27" t="s">
        <v>200</v>
      </c>
      <c r="C3148" s="27" t="s">
        <v>182</v>
      </c>
      <c r="D3148" s="27" t="s">
        <v>7</v>
      </c>
      <c r="E3148" s="27" t="s">
        <v>20</v>
      </c>
      <c r="F3148" s="29"/>
      <c r="G3148" s="30">
        <f t="shared" si="59"/>
        <v>147.50736842105263</v>
      </c>
    </row>
    <row r="3149" spans="1:7" hidden="1" x14ac:dyDescent="0.25">
      <c r="A3149" s="28">
        <v>43739</v>
      </c>
      <c r="B3149" s="27" t="s">
        <v>200</v>
      </c>
      <c r="C3149" s="27" t="s">
        <v>182</v>
      </c>
      <c r="D3149" s="27" t="s">
        <v>7</v>
      </c>
      <c r="E3149" s="27" t="s">
        <v>38</v>
      </c>
      <c r="F3149" s="29"/>
      <c r="G3149" s="30">
        <f t="shared" si="59"/>
        <v>147.50736842105263</v>
      </c>
    </row>
    <row r="3150" spans="1:7" hidden="1" x14ac:dyDescent="0.25">
      <c r="A3150" s="28">
        <v>43739</v>
      </c>
      <c r="B3150" s="27" t="s">
        <v>200</v>
      </c>
      <c r="C3150" s="27" t="s">
        <v>182</v>
      </c>
      <c r="D3150" s="27" t="s">
        <v>7</v>
      </c>
      <c r="E3150" s="27" t="s">
        <v>23</v>
      </c>
      <c r="F3150" s="29"/>
      <c r="G3150" s="30">
        <f t="shared" si="59"/>
        <v>147.50736842105263</v>
      </c>
    </row>
    <row r="3151" spans="1:7" hidden="1" x14ac:dyDescent="0.25">
      <c r="A3151" s="28">
        <v>43739</v>
      </c>
      <c r="B3151" s="27" t="s">
        <v>200</v>
      </c>
      <c r="C3151" s="27" t="s">
        <v>182</v>
      </c>
      <c r="D3151" s="27" t="s">
        <v>7</v>
      </c>
      <c r="E3151" s="27" t="s">
        <v>22</v>
      </c>
      <c r="F3151" s="29"/>
      <c r="G3151" s="30">
        <f t="shared" si="59"/>
        <v>147.50736842105263</v>
      </c>
    </row>
    <row r="3152" spans="1:7" hidden="1" x14ac:dyDescent="0.25">
      <c r="A3152" s="28">
        <v>43739</v>
      </c>
      <c r="B3152" s="27" t="s">
        <v>200</v>
      </c>
      <c r="C3152" s="27" t="s">
        <v>182</v>
      </c>
      <c r="D3152" s="27" t="s">
        <v>7</v>
      </c>
      <c r="E3152" s="27" t="s">
        <v>37</v>
      </c>
      <c r="F3152" s="29"/>
      <c r="G3152" s="30">
        <f t="shared" si="59"/>
        <v>147.50736842105263</v>
      </c>
    </row>
    <row r="3153" spans="1:7" hidden="1" x14ac:dyDescent="0.25">
      <c r="A3153" s="28">
        <v>43739</v>
      </c>
      <c r="B3153" s="27" t="s">
        <v>35</v>
      </c>
      <c r="C3153" s="27" t="s">
        <v>50</v>
      </c>
      <c r="D3153" s="27" t="s">
        <v>6</v>
      </c>
      <c r="E3153" s="27" t="s">
        <v>8</v>
      </c>
      <c r="F3153" s="29"/>
      <c r="G3153" s="30">
        <v>605.40722222222223</v>
      </c>
    </row>
    <row r="3154" spans="1:7" hidden="1" x14ac:dyDescent="0.25">
      <c r="A3154" s="28">
        <v>43739</v>
      </c>
      <c r="B3154" s="27" t="s">
        <v>35</v>
      </c>
      <c r="C3154" s="27" t="s">
        <v>50</v>
      </c>
      <c r="D3154" s="27" t="s">
        <v>6</v>
      </c>
      <c r="E3154" s="27" t="s">
        <v>9</v>
      </c>
      <c r="F3154" s="29"/>
      <c r="G3154" s="30">
        <v>605.40722222222223</v>
      </c>
    </row>
    <row r="3155" spans="1:7" hidden="1" x14ac:dyDescent="0.25">
      <c r="A3155" s="28">
        <v>43739</v>
      </c>
      <c r="B3155" s="27" t="s">
        <v>35</v>
      </c>
      <c r="C3155" s="27" t="s">
        <v>50</v>
      </c>
      <c r="D3155" s="27" t="s">
        <v>6</v>
      </c>
      <c r="E3155" s="27" t="s">
        <v>64</v>
      </c>
      <c r="F3155" s="29"/>
      <c r="G3155" s="30">
        <v>605.40722222222223</v>
      </c>
    </row>
    <row r="3156" spans="1:7" hidden="1" x14ac:dyDescent="0.25">
      <c r="A3156" s="28">
        <v>43739</v>
      </c>
      <c r="B3156" s="27" t="s">
        <v>35</v>
      </c>
      <c r="C3156" s="27" t="s">
        <v>50</v>
      </c>
      <c r="D3156" s="27" t="s">
        <v>6</v>
      </c>
      <c r="E3156" s="27" t="s">
        <v>21</v>
      </c>
      <c r="F3156" s="29"/>
      <c r="G3156" s="30">
        <v>605.40722222222223</v>
      </c>
    </row>
    <row r="3157" spans="1:7" hidden="1" x14ac:dyDescent="0.25">
      <c r="A3157" s="28">
        <v>43739</v>
      </c>
      <c r="B3157" s="27" t="s">
        <v>35</v>
      </c>
      <c r="C3157" s="27" t="s">
        <v>50</v>
      </c>
      <c r="D3157" s="27" t="s">
        <v>6</v>
      </c>
      <c r="E3157" s="27" t="s">
        <v>10</v>
      </c>
      <c r="F3157" s="29"/>
      <c r="G3157" s="30">
        <v>605.40722222222223</v>
      </c>
    </row>
    <row r="3158" spans="1:7" hidden="1" x14ac:dyDescent="0.25">
      <c r="A3158" s="28">
        <v>43739</v>
      </c>
      <c r="B3158" s="27" t="s">
        <v>35</v>
      </c>
      <c r="C3158" s="27" t="s">
        <v>50</v>
      </c>
      <c r="D3158" s="27" t="s">
        <v>6</v>
      </c>
      <c r="E3158" s="27" t="s">
        <v>11</v>
      </c>
      <c r="F3158" s="29"/>
      <c r="G3158" s="30">
        <v>605.40722222222223</v>
      </c>
    </row>
    <row r="3159" spans="1:7" hidden="1" x14ac:dyDescent="0.25">
      <c r="A3159" s="28">
        <v>43739</v>
      </c>
      <c r="B3159" s="27" t="s">
        <v>35</v>
      </c>
      <c r="C3159" s="27" t="s">
        <v>50</v>
      </c>
      <c r="D3159" s="27" t="s">
        <v>6</v>
      </c>
      <c r="E3159" s="27" t="s">
        <v>12</v>
      </c>
      <c r="F3159" s="29"/>
      <c r="G3159" s="30">
        <v>605.40722222222223</v>
      </c>
    </row>
    <row r="3160" spans="1:7" hidden="1" x14ac:dyDescent="0.25">
      <c r="A3160" s="28">
        <v>43739</v>
      </c>
      <c r="B3160" s="27" t="s">
        <v>35</v>
      </c>
      <c r="C3160" s="27" t="s">
        <v>50</v>
      </c>
      <c r="D3160" s="27" t="s">
        <v>6</v>
      </c>
      <c r="E3160" s="27" t="s">
        <v>13</v>
      </c>
      <c r="F3160" s="29"/>
      <c r="G3160" s="30">
        <v>605.40722222222223</v>
      </c>
    </row>
    <row r="3161" spans="1:7" hidden="1" x14ac:dyDescent="0.25">
      <c r="A3161" s="28">
        <v>43739</v>
      </c>
      <c r="B3161" s="27" t="s">
        <v>35</v>
      </c>
      <c r="C3161" s="27" t="s">
        <v>50</v>
      </c>
      <c r="D3161" s="27" t="s">
        <v>6</v>
      </c>
      <c r="E3161" s="27" t="s">
        <v>14</v>
      </c>
      <c r="F3161" s="29"/>
      <c r="G3161" s="30">
        <v>605.40722222222223</v>
      </c>
    </row>
    <row r="3162" spans="1:7" hidden="1" x14ac:dyDescent="0.25">
      <c r="A3162" s="28">
        <v>43739</v>
      </c>
      <c r="B3162" s="27" t="s">
        <v>35</v>
      </c>
      <c r="C3162" s="27" t="s">
        <v>50</v>
      </c>
      <c r="D3162" s="27" t="s">
        <v>6</v>
      </c>
      <c r="E3162" s="27" t="s">
        <v>15</v>
      </c>
      <c r="F3162" s="29"/>
      <c r="G3162" s="30">
        <v>605.40722222222223</v>
      </c>
    </row>
    <row r="3163" spans="1:7" hidden="1" x14ac:dyDescent="0.25">
      <c r="A3163" s="28">
        <v>43739</v>
      </c>
      <c r="B3163" s="27" t="s">
        <v>35</v>
      </c>
      <c r="C3163" s="27" t="s">
        <v>50</v>
      </c>
      <c r="D3163" s="27" t="s">
        <v>6</v>
      </c>
      <c r="E3163" s="27" t="s">
        <v>16</v>
      </c>
      <c r="F3163" s="29"/>
      <c r="G3163" s="30">
        <v>605.40722222222223</v>
      </c>
    </row>
    <row r="3164" spans="1:7" hidden="1" x14ac:dyDescent="0.25">
      <c r="A3164" s="28">
        <v>43739</v>
      </c>
      <c r="B3164" s="27" t="s">
        <v>35</v>
      </c>
      <c r="C3164" s="27" t="s">
        <v>50</v>
      </c>
      <c r="D3164" s="27" t="s">
        <v>6</v>
      </c>
      <c r="E3164" s="27" t="s">
        <v>17</v>
      </c>
      <c r="F3164" s="29"/>
      <c r="G3164" s="30">
        <v>605.40722222222223</v>
      </c>
    </row>
    <row r="3165" spans="1:7" hidden="1" x14ac:dyDescent="0.25">
      <c r="A3165" s="28">
        <v>43739</v>
      </c>
      <c r="B3165" s="27" t="s">
        <v>35</v>
      </c>
      <c r="C3165" s="27" t="s">
        <v>50</v>
      </c>
      <c r="D3165" s="27" t="s">
        <v>6</v>
      </c>
      <c r="E3165" s="27" t="s">
        <v>18</v>
      </c>
      <c r="F3165" s="29"/>
      <c r="G3165" s="30">
        <v>605.40722222222223</v>
      </c>
    </row>
    <row r="3166" spans="1:7" hidden="1" x14ac:dyDescent="0.25">
      <c r="A3166" s="28">
        <v>43739</v>
      </c>
      <c r="B3166" s="27" t="s">
        <v>35</v>
      </c>
      <c r="C3166" s="27" t="s">
        <v>50</v>
      </c>
      <c r="D3166" s="27" t="s">
        <v>6</v>
      </c>
      <c r="E3166" s="27" t="s">
        <v>19</v>
      </c>
      <c r="F3166" s="29"/>
      <c r="G3166" s="30">
        <v>605.40722222222223</v>
      </c>
    </row>
    <row r="3167" spans="1:7" hidden="1" x14ac:dyDescent="0.25">
      <c r="A3167" s="28">
        <v>43739</v>
      </c>
      <c r="B3167" s="27" t="s">
        <v>35</v>
      </c>
      <c r="C3167" s="27" t="s">
        <v>50</v>
      </c>
      <c r="D3167" s="27" t="s">
        <v>6</v>
      </c>
      <c r="E3167" s="27" t="s">
        <v>20</v>
      </c>
      <c r="F3167" s="29"/>
      <c r="G3167" s="30">
        <v>605.40722222222223</v>
      </c>
    </row>
    <row r="3168" spans="1:7" hidden="1" x14ac:dyDescent="0.25">
      <c r="A3168" s="28">
        <v>43739</v>
      </c>
      <c r="B3168" s="27" t="s">
        <v>35</v>
      </c>
      <c r="C3168" s="27" t="s">
        <v>50</v>
      </c>
      <c r="D3168" s="27" t="s">
        <v>6</v>
      </c>
      <c r="E3168" s="27" t="s">
        <v>38</v>
      </c>
      <c r="F3168" s="29"/>
      <c r="G3168" s="30">
        <v>605.40722222222223</v>
      </c>
    </row>
    <row r="3169" spans="1:7" hidden="1" x14ac:dyDescent="0.25">
      <c r="A3169" s="28">
        <v>43739</v>
      </c>
      <c r="B3169" s="27" t="s">
        <v>35</v>
      </c>
      <c r="C3169" s="27" t="s">
        <v>50</v>
      </c>
      <c r="D3169" s="27" t="s">
        <v>6</v>
      </c>
      <c r="E3169" s="27" t="s">
        <v>23</v>
      </c>
      <c r="F3169" s="29"/>
      <c r="G3169" s="30">
        <v>605.40722222222223</v>
      </c>
    </row>
    <row r="3170" spans="1:7" hidden="1" x14ac:dyDescent="0.25">
      <c r="A3170" s="28">
        <v>43739</v>
      </c>
      <c r="B3170" s="27" t="s">
        <v>35</v>
      </c>
      <c r="C3170" s="27" t="s">
        <v>50</v>
      </c>
      <c r="D3170" s="27" t="s">
        <v>6</v>
      </c>
      <c r="E3170" s="27" t="s">
        <v>22</v>
      </c>
      <c r="F3170" s="29"/>
      <c r="G3170" s="30">
        <v>605.40722222222223</v>
      </c>
    </row>
    <row r="3171" spans="1:7" hidden="1" x14ac:dyDescent="0.25">
      <c r="A3171" s="28">
        <v>43739</v>
      </c>
      <c r="B3171" s="27" t="s">
        <v>34</v>
      </c>
      <c r="C3171" s="27" t="s">
        <v>50</v>
      </c>
      <c r="D3171" s="27" t="s">
        <v>6</v>
      </c>
      <c r="E3171" s="27" t="s">
        <v>8</v>
      </c>
      <c r="F3171" s="29"/>
      <c r="G3171" s="30">
        <v>552.0533333333334</v>
      </c>
    </row>
    <row r="3172" spans="1:7" hidden="1" x14ac:dyDescent="0.25">
      <c r="A3172" s="28">
        <v>43739</v>
      </c>
      <c r="B3172" s="27" t="s">
        <v>34</v>
      </c>
      <c r="C3172" s="27" t="s">
        <v>50</v>
      </c>
      <c r="D3172" s="27" t="s">
        <v>6</v>
      </c>
      <c r="E3172" s="27" t="s">
        <v>9</v>
      </c>
      <c r="F3172" s="29"/>
      <c r="G3172" s="30">
        <v>864.49749999999995</v>
      </c>
    </row>
    <row r="3173" spans="1:7" hidden="1" x14ac:dyDescent="0.25">
      <c r="A3173" s="28">
        <v>43739</v>
      </c>
      <c r="B3173" s="27" t="s">
        <v>34</v>
      </c>
      <c r="C3173" s="27" t="s">
        <v>50</v>
      </c>
      <c r="D3173" s="27" t="s">
        <v>6</v>
      </c>
      <c r="E3173" s="27" t="s">
        <v>64</v>
      </c>
      <c r="F3173" s="29"/>
      <c r="G3173" s="30">
        <v>698.10416666666663</v>
      </c>
    </row>
    <row r="3174" spans="1:7" hidden="1" x14ac:dyDescent="0.25">
      <c r="A3174" s="28">
        <v>43739</v>
      </c>
      <c r="B3174" s="27" t="s">
        <v>34</v>
      </c>
      <c r="C3174" s="27" t="s">
        <v>50</v>
      </c>
      <c r="D3174" s="27" t="s">
        <v>6</v>
      </c>
      <c r="E3174" s="27" t="s">
        <v>21</v>
      </c>
      <c r="F3174" s="29"/>
      <c r="G3174" s="30">
        <v>656.62166666666667</v>
      </c>
    </row>
    <row r="3175" spans="1:7" hidden="1" x14ac:dyDescent="0.25">
      <c r="A3175" s="28">
        <v>43739</v>
      </c>
      <c r="B3175" s="27" t="s">
        <v>34</v>
      </c>
      <c r="C3175" s="27" t="s">
        <v>50</v>
      </c>
      <c r="D3175" s="27" t="s">
        <v>6</v>
      </c>
      <c r="E3175" s="27" t="s">
        <v>10</v>
      </c>
      <c r="F3175" s="29"/>
      <c r="G3175" s="30">
        <v>832.49083333333328</v>
      </c>
    </row>
    <row r="3176" spans="1:7" hidden="1" x14ac:dyDescent="0.25">
      <c r="A3176" s="28">
        <v>43739</v>
      </c>
      <c r="B3176" s="27" t="s">
        <v>34</v>
      </c>
      <c r="C3176" s="27" t="s">
        <v>50</v>
      </c>
      <c r="D3176" s="27" t="s">
        <v>6</v>
      </c>
      <c r="E3176" s="27" t="s">
        <v>11</v>
      </c>
      <c r="F3176" s="29"/>
      <c r="G3176" s="30">
        <v>418.92500000000001</v>
      </c>
    </row>
    <row r="3177" spans="1:7" hidden="1" x14ac:dyDescent="0.25">
      <c r="A3177" s="28">
        <v>43739</v>
      </c>
      <c r="B3177" s="27" t="s">
        <v>34</v>
      </c>
      <c r="C3177" s="27" t="s">
        <v>50</v>
      </c>
      <c r="D3177" s="27" t="s">
        <v>6</v>
      </c>
      <c r="E3177" s="27" t="s">
        <v>12</v>
      </c>
      <c r="F3177" s="29"/>
      <c r="G3177" s="30">
        <v>388.7</v>
      </c>
    </row>
    <row r="3178" spans="1:7" hidden="1" x14ac:dyDescent="0.25">
      <c r="A3178" s="28">
        <v>43739</v>
      </c>
      <c r="B3178" s="27" t="s">
        <v>34</v>
      </c>
      <c r="C3178" s="27" t="s">
        <v>50</v>
      </c>
      <c r="D3178" s="27" t="s">
        <v>6</v>
      </c>
      <c r="E3178" s="27" t="s">
        <v>13</v>
      </c>
      <c r="F3178" s="29"/>
      <c r="G3178" s="30">
        <v>537.06416666666667</v>
      </c>
    </row>
    <row r="3179" spans="1:7" hidden="1" x14ac:dyDescent="0.25">
      <c r="A3179" s="28">
        <v>43739</v>
      </c>
      <c r="B3179" s="27" t="s">
        <v>34</v>
      </c>
      <c r="C3179" s="27" t="s">
        <v>50</v>
      </c>
      <c r="D3179" s="27" t="s">
        <v>6</v>
      </c>
      <c r="E3179" s="27" t="s">
        <v>14</v>
      </c>
      <c r="F3179" s="29"/>
      <c r="G3179" s="30">
        <v>165.58333333333334</v>
      </c>
    </row>
    <row r="3180" spans="1:7" hidden="1" x14ac:dyDescent="0.25">
      <c r="A3180" s="28">
        <v>43739</v>
      </c>
      <c r="B3180" s="27" t="s">
        <v>34</v>
      </c>
      <c r="C3180" s="27" t="s">
        <v>50</v>
      </c>
      <c r="D3180" s="27" t="s">
        <v>6</v>
      </c>
      <c r="E3180" s="27" t="s">
        <v>15</v>
      </c>
      <c r="F3180" s="29"/>
      <c r="G3180" s="30">
        <v>409.28999999999996</v>
      </c>
    </row>
    <row r="3181" spans="1:7" hidden="1" x14ac:dyDescent="0.25">
      <c r="A3181" s="28">
        <v>43739</v>
      </c>
      <c r="B3181" s="27" t="s">
        <v>34</v>
      </c>
      <c r="C3181" s="27" t="s">
        <v>50</v>
      </c>
      <c r="D3181" s="27" t="s">
        <v>6</v>
      </c>
      <c r="E3181" s="27" t="s">
        <v>16</v>
      </c>
      <c r="F3181" s="29"/>
      <c r="G3181" s="30">
        <v>657.78499999999997</v>
      </c>
    </row>
    <row r="3182" spans="1:7" hidden="1" x14ac:dyDescent="0.25">
      <c r="A3182" s="28">
        <v>43739</v>
      </c>
      <c r="B3182" s="27" t="s">
        <v>34</v>
      </c>
      <c r="C3182" s="27" t="s">
        <v>50</v>
      </c>
      <c r="D3182" s="27" t="s">
        <v>6</v>
      </c>
      <c r="E3182" s="27" t="s">
        <v>17</v>
      </c>
      <c r="F3182" s="29"/>
      <c r="G3182" s="30">
        <v>835.00750000000005</v>
      </c>
    </row>
    <row r="3183" spans="1:7" hidden="1" x14ac:dyDescent="0.25">
      <c r="A3183" s="28">
        <v>43739</v>
      </c>
      <c r="B3183" s="27" t="s">
        <v>34</v>
      </c>
      <c r="C3183" s="27" t="s">
        <v>50</v>
      </c>
      <c r="D3183" s="27" t="s">
        <v>6</v>
      </c>
      <c r="E3183" s="27" t="s">
        <v>18</v>
      </c>
      <c r="F3183" s="29"/>
      <c r="G3183" s="30">
        <v>369.30749999999995</v>
      </c>
    </row>
    <row r="3184" spans="1:7" hidden="1" x14ac:dyDescent="0.25">
      <c r="A3184" s="28">
        <v>43739</v>
      </c>
      <c r="B3184" s="27" t="s">
        <v>34</v>
      </c>
      <c r="C3184" s="27" t="s">
        <v>50</v>
      </c>
      <c r="D3184" s="27" t="s">
        <v>6</v>
      </c>
      <c r="E3184" s="27" t="s">
        <v>19</v>
      </c>
      <c r="F3184" s="29"/>
      <c r="G3184" s="30">
        <v>289.51</v>
      </c>
    </row>
    <row r="3185" spans="1:7" hidden="1" x14ac:dyDescent="0.25">
      <c r="A3185" s="28">
        <v>43739</v>
      </c>
      <c r="B3185" s="27" t="s">
        <v>34</v>
      </c>
      <c r="C3185" s="27" t="s">
        <v>50</v>
      </c>
      <c r="D3185" s="27" t="s">
        <v>6</v>
      </c>
      <c r="E3185" s="27" t="s">
        <v>20</v>
      </c>
      <c r="F3185" s="29"/>
      <c r="G3185" s="30">
        <v>550.26900000000001</v>
      </c>
    </row>
    <row r="3186" spans="1:7" hidden="1" x14ac:dyDescent="0.25">
      <c r="A3186" s="28">
        <v>43739</v>
      </c>
      <c r="B3186" s="27" t="s">
        <v>34</v>
      </c>
      <c r="C3186" s="27" t="s">
        <v>50</v>
      </c>
      <c r="D3186" s="27" t="s">
        <v>6</v>
      </c>
      <c r="E3186" s="27" t="s">
        <v>38</v>
      </c>
      <c r="F3186" s="29"/>
      <c r="G3186" s="30">
        <v>10.922000000000001</v>
      </c>
    </row>
    <row r="3187" spans="1:7" hidden="1" x14ac:dyDescent="0.25">
      <c r="A3187" s="28">
        <v>43739</v>
      </c>
      <c r="B3187" s="27" t="s">
        <v>34</v>
      </c>
      <c r="C3187" s="27" t="s">
        <v>50</v>
      </c>
      <c r="D3187" s="27" t="s">
        <v>6</v>
      </c>
      <c r="E3187" s="27" t="s">
        <v>23</v>
      </c>
      <c r="F3187" s="29"/>
      <c r="G3187" s="30">
        <v>1219.03</v>
      </c>
    </row>
    <row r="3188" spans="1:7" hidden="1" x14ac:dyDescent="0.25">
      <c r="A3188" s="28">
        <v>43739</v>
      </c>
      <c r="B3188" s="27" t="s">
        <v>34</v>
      </c>
      <c r="C3188" s="27" t="s">
        <v>50</v>
      </c>
      <c r="D3188" s="27" t="s">
        <v>6</v>
      </c>
      <c r="E3188" s="27" t="s">
        <v>22</v>
      </c>
      <c r="F3188" s="29"/>
      <c r="G3188" s="30">
        <v>1708.9799999999998</v>
      </c>
    </row>
    <row r="3189" spans="1:7" hidden="1" x14ac:dyDescent="0.25">
      <c r="A3189" s="28">
        <v>43739</v>
      </c>
      <c r="B3189" s="27" t="s">
        <v>34</v>
      </c>
      <c r="C3189" s="27" t="s">
        <v>50</v>
      </c>
      <c r="D3189" s="27" t="s">
        <v>6</v>
      </c>
      <c r="E3189" s="27" t="s">
        <v>204</v>
      </c>
      <c r="F3189" s="29"/>
      <c r="G3189" s="30">
        <v>164.41666666666666</v>
      </c>
    </row>
    <row r="3190" spans="1:7" hidden="1" x14ac:dyDescent="0.25">
      <c r="A3190" s="28">
        <v>43770</v>
      </c>
      <c r="B3190" s="27" t="s">
        <v>33</v>
      </c>
      <c r="C3190" s="27" t="s">
        <v>50</v>
      </c>
      <c r="D3190" s="27" t="s">
        <v>7</v>
      </c>
      <c r="E3190" s="27" t="s">
        <v>8</v>
      </c>
      <c r="F3190" s="29"/>
      <c r="G3190" s="30">
        <v>2688.2031578947363</v>
      </c>
    </row>
    <row r="3191" spans="1:7" hidden="1" x14ac:dyDescent="0.25">
      <c r="A3191" s="28">
        <v>43770</v>
      </c>
      <c r="B3191" s="27" t="s">
        <v>33</v>
      </c>
      <c r="C3191" s="27" t="s">
        <v>50</v>
      </c>
      <c r="D3191" s="27" t="s">
        <v>7</v>
      </c>
      <c r="E3191" s="27" t="s">
        <v>9</v>
      </c>
      <c r="F3191" s="29"/>
      <c r="G3191" s="30">
        <v>2688.2031578947363</v>
      </c>
    </row>
    <row r="3192" spans="1:7" hidden="1" x14ac:dyDescent="0.25">
      <c r="A3192" s="28">
        <v>43770</v>
      </c>
      <c r="B3192" s="27" t="s">
        <v>33</v>
      </c>
      <c r="C3192" s="27" t="s">
        <v>50</v>
      </c>
      <c r="D3192" s="27" t="s">
        <v>7</v>
      </c>
      <c r="E3192" s="27" t="s">
        <v>64</v>
      </c>
      <c r="F3192" s="29"/>
      <c r="G3192" s="30">
        <v>2688.2031578947363</v>
      </c>
    </row>
    <row r="3193" spans="1:7" hidden="1" x14ac:dyDescent="0.25">
      <c r="A3193" s="28">
        <v>43770</v>
      </c>
      <c r="B3193" s="27" t="s">
        <v>33</v>
      </c>
      <c r="C3193" s="27" t="s">
        <v>50</v>
      </c>
      <c r="D3193" s="27" t="s">
        <v>7</v>
      </c>
      <c r="E3193" s="27" t="s">
        <v>21</v>
      </c>
      <c r="F3193" s="29"/>
      <c r="G3193" s="30">
        <v>2688.2031578947363</v>
      </c>
    </row>
    <row r="3194" spans="1:7" hidden="1" x14ac:dyDescent="0.25">
      <c r="A3194" s="28">
        <v>43770</v>
      </c>
      <c r="B3194" s="27" t="s">
        <v>33</v>
      </c>
      <c r="C3194" s="27" t="s">
        <v>50</v>
      </c>
      <c r="D3194" s="27" t="s">
        <v>7</v>
      </c>
      <c r="E3194" s="27" t="s">
        <v>10</v>
      </c>
      <c r="F3194" s="29"/>
      <c r="G3194" s="30">
        <v>2688.2031578947363</v>
      </c>
    </row>
    <row r="3195" spans="1:7" hidden="1" x14ac:dyDescent="0.25">
      <c r="A3195" s="28">
        <v>43770</v>
      </c>
      <c r="B3195" s="27" t="s">
        <v>33</v>
      </c>
      <c r="C3195" s="27" t="s">
        <v>50</v>
      </c>
      <c r="D3195" s="27" t="s">
        <v>7</v>
      </c>
      <c r="E3195" s="27" t="s">
        <v>11</v>
      </c>
      <c r="F3195" s="29"/>
      <c r="G3195" s="30">
        <v>2688.2031578947363</v>
      </c>
    </row>
    <row r="3196" spans="1:7" hidden="1" x14ac:dyDescent="0.25">
      <c r="A3196" s="28">
        <v>43770</v>
      </c>
      <c r="B3196" s="27" t="s">
        <v>33</v>
      </c>
      <c r="C3196" s="27" t="s">
        <v>50</v>
      </c>
      <c r="D3196" s="27" t="s">
        <v>7</v>
      </c>
      <c r="E3196" s="27" t="s">
        <v>12</v>
      </c>
      <c r="F3196" s="29"/>
      <c r="G3196" s="30">
        <v>2688.2031578947363</v>
      </c>
    </row>
    <row r="3197" spans="1:7" hidden="1" x14ac:dyDescent="0.25">
      <c r="A3197" s="28">
        <v>43770</v>
      </c>
      <c r="B3197" s="27" t="s">
        <v>33</v>
      </c>
      <c r="C3197" s="27" t="s">
        <v>50</v>
      </c>
      <c r="D3197" s="27" t="s">
        <v>7</v>
      </c>
      <c r="E3197" s="27" t="s">
        <v>13</v>
      </c>
      <c r="F3197" s="29"/>
      <c r="G3197" s="30">
        <v>2688.2031578947363</v>
      </c>
    </row>
    <row r="3198" spans="1:7" hidden="1" x14ac:dyDescent="0.25">
      <c r="A3198" s="28">
        <v>43770</v>
      </c>
      <c r="B3198" s="27" t="s">
        <v>33</v>
      </c>
      <c r="C3198" s="27" t="s">
        <v>50</v>
      </c>
      <c r="D3198" s="27" t="s">
        <v>7</v>
      </c>
      <c r="E3198" s="27" t="s">
        <v>14</v>
      </c>
      <c r="F3198" s="29"/>
      <c r="G3198" s="30">
        <v>2688.2031578947363</v>
      </c>
    </row>
    <row r="3199" spans="1:7" hidden="1" x14ac:dyDescent="0.25">
      <c r="A3199" s="28">
        <v>43770</v>
      </c>
      <c r="B3199" s="27" t="s">
        <v>33</v>
      </c>
      <c r="C3199" s="27" t="s">
        <v>50</v>
      </c>
      <c r="D3199" s="27" t="s">
        <v>7</v>
      </c>
      <c r="E3199" s="27" t="s">
        <v>15</v>
      </c>
      <c r="F3199" s="29"/>
      <c r="G3199" s="30">
        <v>2688.2031578947363</v>
      </c>
    </row>
    <row r="3200" spans="1:7" hidden="1" x14ac:dyDescent="0.25">
      <c r="A3200" s="28">
        <v>43770</v>
      </c>
      <c r="B3200" s="27" t="s">
        <v>33</v>
      </c>
      <c r="C3200" s="27" t="s">
        <v>50</v>
      </c>
      <c r="D3200" s="27" t="s">
        <v>7</v>
      </c>
      <c r="E3200" s="27" t="s">
        <v>16</v>
      </c>
      <c r="F3200" s="29"/>
      <c r="G3200" s="30">
        <v>2688.2031578947363</v>
      </c>
    </row>
    <row r="3201" spans="1:7" hidden="1" x14ac:dyDescent="0.25">
      <c r="A3201" s="28">
        <v>43770</v>
      </c>
      <c r="B3201" s="27" t="s">
        <v>33</v>
      </c>
      <c r="C3201" s="27" t="s">
        <v>50</v>
      </c>
      <c r="D3201" s="27" t="s">
        <v>7</v>
      </c>
      <c r="E3201" s="27" t="s">
        <v>17</v>
      </c>
      <c r="F3201" s="29"/>
      <c r="G3201" s="30">
        <v>2688.2031578947363</v>
      </c>
    </row>
    <row r="3202" spans="1:7" hidden="1" x14ac:dyDescent="0.25">
      <c r="A3202" s="28">
        <v>43770</v>
      </c>
      <c r="B3202" s="27" t="s">
        <v>33</v>
      </c>
      <c r="C3202" s="27" t="s">
        <v>50</v>
      </c>
      <c r="D3202" s="27" t="s">
        <v>7</v>
      </c>
      <c r="E3202" s="27" t="s">
        <v>18</v>
      </c>
      <c r="F3202" s="29"/>
      <c r="G3202" s="30">
        <v>2688.2031578947363</v>
      </c>
    </row>
    <row r="3203" spans="1:7" hidden="1" x14ac:dyDescent="0.25">
      <c r="A3203" s="28">
        <v>43770</v>
      </c>
      <c r="B3203" s="27" t="s">
        <v>33</v>
      </c>
      <c r="C3203" s="27" t="s">
        <v>50</v>
      </c>
      <c r="D3203" s="27" t="s">
        <v>7</v>
      </c>
      <c r="E3203" s="27" t="s">
        <v>19</v>
      </c>
      <c r="F3203" s="29"/>
      <c r="G3203" s="30">
        <v>2688.2031578947363</v>
      </c>
    </row>
    <row r="3204" spans="1:7" hidden="1" x14ac:dyDescent="0.25">
      <c r="A3204" s="28">
        <v>43770</v>
      </c>
      <c r="B3204" s="27" t="s">
        <v>33</v>
      </c>
      <c r="C3204" s="27" t="s">
        <v>50</v>
      </c>
      <c r="D3204" s="27" t="s">
        <v>7</v>
      </c>
      <c r="E3204" s="27" t="s">
        <v>20</v>
      </c>
      <c r="F3204" s="29"/>
      <c r="G3204" s="30">
        <v>2688.2031578947363</v>
      </c>
    </row>
    <row r="3205" spans="1:7" hidden="1" x14ac:dyDescent="0.25">
      <c r="A3205" s="28">
        <v>43770</v>
      </c>
      <c r="B3205" s="27" t="s">
        <v>33</v>
      </c>
      <c r="C3205" s="27" t="s">
        <v>50</v>
      </c>
      <c r="D3205" s="27" t="s">
        <v>7</v>
      </c>
      <c r="E3205" s="27" t="s">
        <v>38</v>
      </c>
      <c r="F3205" s="29"/>
      <c r="G3205" s="30">
        <v>2688.2031578947363</v>
      </c>
    </row>
    <row r="3206" spans="1:7" hidden="1" x14ac:dyDescent="0.25">
      <c r="A3206" s="28">
        <v>43770</v>
      </c>
      <c r="B3206" s="27" t="s">
        <v>33</v>
      </c>
      <c r="C3206" s="27" t="s">
        <v>50</v>
      </c>
      <c r="D3206" s="27" t="s">
        <v>7</v>
      </c>
      <c r="E3206" s="27" t="s">
        <v>23</v>
      </c>
      <c r="F3206" s="29"/>
      <c r="G3206" s="30">
        <v>2688.2031578947363</v>
      </c>
    </row>
    <row r="3207" spans="1:7" hidden="1" x14ac:dyDescent="0.25">
      <c r="A3207" s="28">
        <v>43770</v>
      </c>
      <c r="B3207" s="27" t="s">
        <v>33</v>
      </c>
      <c r="C3207" s="27" t="s">
        <v>50</v>
      </c>
      <c r="D3207" s="27" t="s">
        <v>7</v>
      </c>
      <c r="E3207" s="27" t="s">
        <v>22</v>
      </c>
      <c r="F3207" s="29"/>
      <c r="G3207" s="30">
        <v>2688.2031578947363</v>
      </c>
    </row>
    <row r="3208" spans="1:7" hidden="1" x14ac:dyDescent="0.25">
      <c r="A3208" s="28">
        <v>43770</v>
      </c>
      <c r="B3208" s="27" t="s">
        <v>33</v>
      </c>
      <c r="C3208" s="27" t="s">
        <v>50</v>
      </c>
      <c r="D3208" s="27" t="s">
        <v>7</v>
      </c>
      <c r="E3208" s="27" t="s">
        <v>37</v>
      </c>
      <c r="F3208" s="29"/>
      <c r="G3208" s="30">
        <v>2688.2031578947363</v>
      </c>
    </row>
    <row r="3209" spans="1:7" hidden="1" x14ac:dyDescent="0.25">
      <c r="A3209" s="28">
        <v>43770</v>
      </c>
      <c r="B3209" s="27" t="s">
        <v>4</v>
      </c>
      <c r="C3209" s="27" t="s">
        <v>50</v>
      </c>
      <c r="D3209" s="27" t="s">
        <v>7</v>
      </c>
      <c r="E3209" s="27" t="s">
        <v>8</v>
      </c>
      <c r="F3209" s="29"/>
      <c r="G3209" s="30">
        <v>4447.3999999999996</v>
      </c>
    </row>
    <row r="3210" spans="1:7" hidden="1" x14ac:dyDescent="0.25">
      <c r="A3210" s="28">
        <v>43770</v>
      </c>
      <c r="B3210" s="27" t="s">
        <v>4</v>
      </c>
      <c r="C3210" s="27" t="s">
        <v>50</v>
      </c>
      <c r="D3210" s="27" t="s">
        <v>7</v>
      </c>
      <c r="E3210" s="27" t="s">
        <v>9</v>
      </c>
      <c r="F3210" s="29"/>
      <c r="G3210" s="30">
        <v>3554.63</v>
      </c>
    </row>
    <row r="3211" spans="1:7" hidden="1" x14ac:dyDescent="0.25">
      <c r="A3211" s="28">
        <v>43770</v>
      </c>
      <c r="B3211" s="27" t="s">
        <v>4</v>
      </c>
      <c r="C3211" s="27" t="s">
        <v>50</v>
      </c>
      <c r="D3211" s="27" t="s">
        <v>7</v>
      </c>
      <c r="E3211" s="27" t="s">
        <v>64</v>
      </c>
      <c r="F3211" s="29"/>
      <c r="G3211" s="30">
        <v>3557.7</v>
      </c>
    </row>
    <row r="3212" spans="1:7" hidden="1" x14ac:dyDescent="0.25">
      <c r="A3212" s="28">
        <v>43770</v>
      </c>
      <c r="B3212" s="27" t="s">
        <v>4</v>
      </c>
      <c r="C3212" s="27" t="s">
        <v>50</v>
      </c>
      <c r="D3212" s="27" t="s">
        <v>7</v>
      </c>
      <c r="E3212" s="27" t="s">
        <v>21</v>
      </c>
      <c r="F3212" s="29"/>
      <c r="G3212" s="30">
        <v>5489.2199999999993</v>
      </c>
    </row>
    <row r="3213" spans="1:7" hidden="1" x14ac:dyDescent="0.25">
      <c r="A3213" s="28">
        <v>43770</v>
      </c>
      <c r="B3213" s="27" t="s">
        <v>4</v>
      </c>
      <c r="C3213" s="27" t="s">
        <v>50</v>
      </c>
      <c r="D3213" s="27" t="s">
        <v>7</v>
      </c>
      <c r="E3213" s="27" t="s">
        <v>10</v>
      </c>
      <c r="F3213" s="29"/>
      <c r="G3213" s="30">
        <v>5769.52</v>
      </c>
    </row>
    <row r="3214" spans="1:7" hidden="1" x14ac:dyDescent="0.25">
      <c r="A3214" s="28">
        <v>43770</v>
      </c>
      <c r="B3214" s="27" t="s">
        <v>4</v>
      </c>
      <c r="C3214" s="27" t="s">
        <v>50</v>
      </c>
      <c r="D3214" s="27" t="s">
        <v>7</v>
      </c>
      <c r="E3214" s="27" t="s">
        <v>11</v>
      </c>
      <c r="F3214" s="29"/>
      <c r="G3214" s="30">
        <v>1575.1399999999999</v>
      </c>
    </row>
    <row r="3215" spans="1:7" hidden="1" x14ac:dyDescent="0.25">
      <c r="A3215" s="28">
        <v>43770</v>
      </c>
      <c r="B3215" s="27" t="s">
        <v>4</v>
      </c>
      <c r="C3215" s="27" t="s">
        <v>50</v>
      </c>
      <c r="D3215" s="27" t="s">
        <v>7</v>
      </c>
      <c r="E3215" s="27" t="s">
        <v>12</v>
      </c>
      <c r="F3215" s="29"/>
      <c r="G3215" s="30">
        <v>1354.67</v>
      </c>
    </row>
    <row r="3216" spans="1:7" hidden="1" x14ac:dyDescent="0.25">
      <c r="A3216" s="28">
        <v>43770</v>
      </c>
      <c r="B3216" s="27" t="s">
        <v>4</v>
      </c>
      <c r="C3216" s="27" t="s">
        <v>50</v>
      </c>
      <c r="D3216" s="27" t="s">
        <v>7</v>
      </c>
      <c r="E3216" s="27" t="s">
        <v>13</v>
      </c>
      <c r="F3216" s="29"/>
      <c r="G3216" s="30">
        <v>6060.9</v>
      </c>
    </row>
    <row r="3217" spans="1:7" hidden="1" x14ac:dyDescent="0.25">
      <c r="A3217" s="28">
        <v>43770</v>
      </c>
      <c r="B3217" s="27" t="s">
        <v>4</v>
      </c>
      <c r="C3217" s="27" t="s">
        <v>50</v>
      </c>
      <c r="D3217" s="27" t="s">
        <v>7</v>
      </c>
      <c r="E3217" s="27" t="s">
        <v>14</v>
      </c>
      <c r="F3217" s="29"/>
      <c r="G3217" s="30">
        <v>2458.91</v>
      </c>
    </row>
    <row r="3218" spans="1:7" hidden="1" x14ac:dyDescent="0.25">
      <c r="A3218" s="28">
        <v>43770</v>
      </c>
      <c r="B3218" s="27" t="s">
        <v>4</v>
      </c>
      <c r="C3218" s="27" t="s">
        <v>50</v>
      </c>
      <c r="D3218" s="27" t="s">
        <v>7</v>
      </c>
      <c r="E3218" s="27" t="s">
        <v>15</v>
      </c>
      <c r="F3218" s="29"/>
      <c r="G3218" s="30">
        <v>4774.3500000000004</v>
      </c>
    </row>
    <row r="3219" spans="1:7" hidden="1" x14ac:dyDescent="0.25">
      <c r="A3219" s="28">
        <v>43770</v>
      </c>
      <c r="B3219" s="27" t="s">
        <v>4</v>
      </c>
      <c r="C3219" s="27" t="s">
        <v>50</v>
      </c>
      <c r="D3219" s="27" t="s">
        <v>7</v>
      </c>
      <c r="E3219" s="27" t="s">
        <v>16</v>
      </c>
      <c r="F3219" s="29"/>
      <c r="G3219" s="30">
        <v>3307.99</v>
      </c>
    </row>
    <row r="3220" spans="1:7" hidden="1" x14ac:dyDescent="0.25">
      <c r="A3220" s="28">
        <v>43770</v>
      </c>
      <c r="B3220" s="27" t="s">
        <v>4</v>
      </c>
      <c r="C3220" s="27" t="s">
        <v>50</v>
      </c>
      <c r="D3220" s="27" t="s">
        <v>7</v>
      </c>
      <c r="E3220" s="27" t="s">
        <v>17</v>
      </c>
      <c r="F3220" s="29"/>
      <c r="G3220" s="30">
        <v>6000.07</v>
      </c>
    </row>
    <row r="3221" spans="1:7" hidden="1" x14ac:dyDescent="0.25">
      <c r="A3221" s="28">
        <v>43770</v>
      </c>
      <c r="B3221" s="27" t="s">
        <v>4</v>
      </c>
      <c r="C3221" s="27" t="s">
        <v>50</v>
      </c>
      <c r="D3221" s="27" t="s">
        <v>7</v>
      </c>
      <c r="E3221" s="27" t="s">
        <v>18</v>
      </c>
      <c r="F3221" s="29"/>
      <c r="G3221" s="30">
        <v>1548.78</v>
      </c>
    </row>
    <row r="3222" spans="1:7" hidden="1" x14ac:dyDescent="0.25">
      <c r="A3222" s="28">
        <v>43770</v>
      </c>
      <c r="B3222" s="27" t="s">
        <v>4</v>
      </c>
      <c r="C3222" s="27" t="s">
        <v>50</v>
      </c>
      <c r="D3222" s="27" t="s">
        <v>7</v>
      </c>
      <c r="E3222" s="27" t="s">
        <v>19</v>
      </c>
      <c r="F3222" s="29"/>
      <c r="G3222" s="30">
        <v>3458.4700000000003</v>
      </c>
    </row>
    <row r="3223" spans="1:7" hidden="1" x14ac:dyDescent="0.25">
      <c r="A3223" s="28">
        <v>43770</v>
      </c>
      <c r="B3223" s="27" t="s">
        <v>4</v>
      </c>
      <c r="C3223" s="27" t="s">
        <v>50</v>
      </c>
      <c r="D3223" s="27" t="s">
        <v>7</v>
      </c>
      <c r="E3223" s="27" t="s">
        <v>20</v>
      </c>
      <c r="F3223" s="29"/>
      <c r="G3223" s="30">
        <v>812.81</v>
      </c>
    </row>
    <row r="3224" spans="1:7" hidden="1" x14ac:dyDescent="0.25">
      <c r="A3224" s="28">
        <v>43770</v>
      </c>
      <c r="B3224" s="27" t="s">
        <v>4</v>
      </c>
      <c r="C3224" s="27" t="s">
        <v>50</v>
      </c>
      <c r="D3224" s="27" t="s">
        <v>7</v>
      </c>
      <c r="E3224" s="27" t="s">
        <v>38</v>
      </c>
      <c r="F3224" s="29"/>
      <c r="G3224" s="30">
        <v>1557.3400000000001</v>
      </c>
    </row>
    <row r="3225" spans="1:7" hidden="1" x14ac:dyDescent="0.25">
      <c r="A3225" s="28">
        <v>43770</v>
      </c>
      <c r="B3225" s="27" t="s">
        <v>4</v>
      </c>
      <c r="C3225" s="27" t="s">
        <v>50</v>
      </c>
      <c r="D3225" s="27" t="s">
        <v>7</v>
      </c>
      <c r="E3225" s="27" t="s">
        <v>23</v>
      </c>
      <c r="F3225" s="29"/>
      <c r="G3225" s="30">
        <v>5218.84</v>
      </c>
    </row>
    <row r="3226" spans="1:7" hidden="1" x14ac:dyDescent="0.25">
      <c r="A3226" s="28">
        <v>43770</v>
      </c>
      <c r="B3226" s="27" t="s">
        <v>4</v>
      </c>
      <c r="C3226" s="27" t="s">
        <v>50</v>
      </c>
      <c r="D3226" s="27" t="s">
        <v>7</v>
      </c>
      <c r="E3226" s="27" t="s">
        <v>22</v>
      </c>
      <c r="F3226" s="29"/>
      <c r="G3226" s="30">
        <v>2745.75</v>
      </c>
    </row>
    <row r="3227" spans="1:7" hidden="1" x14ac:dyDescent="0.25">
      <c r="A3227" s="28">
        <v>43770</v>
      </c>
      <c r="B3227" s="27" t="s">
        <v>4</v>
      </c>
      <c r="C3227" s="27" t="s">
        <v>50</v>
      </c>
      <c r="D3227" s="27" t="s">
        <v>7</v>
      </c>
      <c r="E3227" s="27" t="s">
        <v>37</v>
      </c>
      <c r="F3227" s="29"/>
      <c r="G3227" s="30">
        <v>705</v>
      </c>
    </row>
    <row r="3228" spans="1:7" hidden="1" x14ac:dyDescent="0.25">
      <c r="A3228" s="28">
        <v>43770</v>
      </c>
      <c r="B3228" s="27" t="s">
        <v>26</v>
      </c>
      <c r="C3228" s="27" t="s">
        <v>50</v>
      </c>
      <c r="D3228" s="27" t="s">
        <v>6</v>
      </c>
      <c r="E3228" s="27" t="s">
        <v>8</v>
      </c>
      <c r="F3228" s="29"/>
      <c r="G3228" s="30">
        <v>1194.25</v>
      </c>
    </row>
    <row r="3229" spans="1:7" hidden="1" x14ac:dyDescent="0.25">
      <c r="A3229" s="28">
        <v>43770</v>
      </c>
      <c r="B3229" s="27" t="s">
        <v>26</v>
      </c>
      <c r="C3229" s="27" t="s">
        <v>50</v>
      </c>
      <c r="D3229" s="27" t="s">
        <v>6</v>
      </c>
      <c r="E3229" s="27" t="s">
        <v>9</v>
      </c>
      <c r="F3229" s="29"/>
      <c r="G3229" s="30">
        <v>1550.9166666666667</v>
      </c>
    </row>
    <row r="3230" spans="1:7" hidden="1" x14ac:dyDescent="0.25">
      <c r="A3230" s="28">
        <v>43770</v>
      </c>
      <c r="B3230" s="27" t="s">
        <v>26</v>
      </c>
      <c r="C3230" s="27" t="s">
        <v>50</v>
      </c>
      <c r="D3230" s="27" t="s">
        <v>6</v>
      </c>
      <c r="E3230" s="27" t="s">
        <v>64</v>
      </c>
      <c r="F3230" s="29"/>
      <c r="G3230" s="30">
        <v>1270.3500000000001</v>
      </c>
    </row>
    <row r="3231" spans="1:7" hidden="1" x14ac:dyDescent="0.25">
      <c r="A3231" s="28">
        <v>43770</v>
      </c>
      <c r="B3231" s="27" t="s">
        <v>26</v>
      </c>
      <c r="C3231" s="27" t="s">
        <v>50</v>
      </c>
      <c r="D3231" s="27" t="s">
        <v>6</v>
      </c>
      <c r="E3231" s="27" t="s">
        <v>21</v>
      </c>
      <c r="F3231" s="29"/>
      <c r="G3231" s="30">
        <v>1359.4166666666667</v>
      </c>
    </row>
    <row r="3232" spans="1:7" hidden="1" x14ac:dyDescent="0.25">
      <c r="A3232" s="28">
        <v>43770</v>
      </c>
      <c r="B3232" s="27" t="s">
        <v>26</v>
      </c>
      <c r="C3232" s="27" t="s">
        <v>50</v>
      </c>
      <c r="D3232" s="27" t="s">
        <v>6</v>
      </c>
      <c r="E3232" s="27" t="s">
        <v>10</v>
      </c>
      <c r="F3232" s="29"/>
      <c r="G3232" s="30">
        <v>1998.9666666666669</v>
      </c>
    </row>
    <row r="3233" spans="1:7" hidden="1" x14ac:dyDescent="0.25">
      <c r="A3233" s="28">
        <v>43770</v>
      </c>
      <c r="B3233" s="27" t="s">
        <v>26</v>
      </c>
      <c r="C3233" s="27" t="s">
        <v>50</v>
      </c>
      <c r="D3233" s="27" t="s">
        <v>6</v>
      </c>
      <c r="E3233" s="27" t="s">
        <v>11</v>
      </c>
      <c r="F3233" s="29"/>
      <c r="G3233" s="30">
        <v>1340.7166666666667</v>
      </c>
    </row>
    <row r="3234" spans="1:7" hidden="1" x14ac:dyDescent="0.25">
      <c r="A3234" s="28">
        <v>43770</v>
      </c>
      <c r="B3234" s="27" t="s">
        <v>26</v>
      </c>
      <c r="C3234" s="27" t="s">
        <v>50</v>
      </c>
      <c r="D3234" s="27" t="s">
        <v>6</v>
      </c>
      <c r="E3234" s="27" t="s">
        <v>12</v>
      </c>
      <c r="F3234" s="29"/>
      <c r="G3234" s="30">
        <v>1350.1166666666668</v>
      </c>
    </row>
    <row r="3235" spans="1:7" hidden="1" x14ac:dyDescent="0.25">
      <c r="A3235" s="28">
        <v>43770</v>
      </c>
      <c r="B3235" s="27" t="s">
        <v>26</v>
      </c>
      <c r="C3235" s="27" t="s">
        <v>50</v>
      </c>
      <c r="D3235" s="27" t="s">
        <v>6</v>
      </c>
      <c r="E3235" s="27" t="s">
        <v>13</v>
      </c>
      <c r="F3235" s="29"/>
      <c r="G3235" s="30">
        <v>1901.5</v>
      </c>
    </row>
    <row r="3236" spans="1:7" hidden="1" x14ac:dyDescent="0.25">
      <c r="A3236" s="28">
        <v>43770</v>
      </c>
      <c r="B3236" s="27" t="s">
        <v>26</v>
      </c>
      <c r="C3236" s="27" t="s">
        <v>50</v>
      </c>
      <c r="D3236" s="27" t="s">
        <v>6</v>
      </c>
      <c r="E3236" s="27" t="s">
        <v>14</v>
      </c>
      <c r="F3236" s="29"/>
      <c r="G3236" s="30">
        <v>701.7833333333333</v>
      </c>
    </row>
    <row r="3237" spans="1:7" hidden="1" x14ac:dyDescent="0.25">
      <c r="A3237" s="28">
        <v>43770</v>
      </c>
      <c r="B3237" s="27" t="s">
        <v>26</v>
      </c>
      <c r="C3237" s="27" t="s">
        <v>50</v>
      </c>
      <c r="D3237" s="27" t="s">
        <v>6</v>
      </c>
      <c r="E3237" s="27" t="s">
        <v>15</v>
      </c>
      <c r="F3237" s="29"/>
      <c r="G3237" s="30">
        <v>1820.5500000000002</v>
      </c>
    </row>
    <row r="3238" spans="1:7" hidden="1" x14ac:dyDescent="0.25">
      <c r="A3238" s="28">
        <v>43770</v>
      </c>
      <c r="B3238" s="27" t="s">
        <v>26</v>
      </c>
      <c r="C3238" s="27" t="s">
        <v>50</v>
      </c>
      <c r="D3238" s="27" t="s">
        <v>6</v>
      </c>
      <c r="E3238" s="27" t="s">
        <v>16</v>
      </c>
      <c r="F3238" s="29"/>
      <c r="G3238" s="30">
        <v>1992.5833333333333</v>
      </c>
    </row>
    <row r="3239" spans="1:7" hidden="1" x14ac:dyDescent="0.25">
      <c r="A3239" s="28">
        <v>43770</v>
      </c>
      <c r="B3239" s="27" t="s">
        <v>26</v>
      </c>
      <c r="C3239" s="27" t="s">
        <v>50</v>
      </c>
      <c r="D3239" s="27" t="s">
        <v>6</v>
      </c>
      <c r="E3239" s="27" t="s">
        <v>17</v>
      </c>
      <c r="F3239" s="29"/>
      <c r="G3239" s="30">
        <v>2822.1166666666668</v>
      </c>
    </row>
    <row r="3240" spans="1:7" hidden="1" x14ac:dyDescent="0.25">
      <c r="A3240" s="28">
        <v>43770</v>
      </c>
      <c r="B3240" s="27" t="s">
        <v>26</v>
      </c>
      <c r="C3240" s="27" t="s">
        <v>50</v>
      </c>
      <c r="D3240" s="27" t="s">
        <v>6</v>
      </c>
      <c r="E3240" s="27" t="s">
        <v>18</v>
      </c>
      <c r="F3240" s="29"/>
      <c r="G3240" s="30">
        <v>1488.6666666666667</v>
      </c>
    </row>
    <row r="3241" spans="1:7" hidden="1" x14ac:dyDescent="0.25">
      <c r="A3241" s="28">
        <v>43770</v>
      </c>
      <c r="B3241" s="27" t="s">
        <v>26</v>
      </c>
      <c r="C3241" s="27" t="s">
        <v>50</v>
      </c>
      <c r="D3241" s="27" t="s">
        <v>6</v>
      </c>
      <c r="E3241" s="27" t="s">
        <v>19</v>
      </c>
      <c r="F3241" s="29"/>
      <c r="G3241" s="30">
        <v>2454.8833333333337</v>
      </c>
    </row>
    <row r="3242" spans="1:7" hidden="1" x14ac:dyDescent="0.25">
      <c r="A3242" s="28">
        <v>43770</v>
      </c>
      <c r="B3242" s="27" t="s">
        <v>26</v>
      </c>
      <c r="C3242" s="27" t="s">
        <v>50</v>
      </c>
      <c r="D3242" s="27" t="s">
        <v>6</v>
      </c>
      <c r="E3242" s="27" t="s">
        <v>20</v>
      </c>
      <c r="F3242" s="29"/>
      <c r="G3242" s="30">
        <v>1590.3833333333334</v>
      </c>
    </row>
    <row r="3243" spans="1:7" hidden="1" x14ac:dyDescent="0.25">
      <c r="A3243" s="28">
        <v>43770</v>
      </c>
      <c r="B3243" s="27" t="s">
        <v>26</v>
      </c>
      <c r="C3243" s="27" t="s">
        <v>50</v>
      </c>
      <c r="D3243" s="27" t="s">
        <v>6</v>
      </c>
      <c r="E3243" s="27" t="s">
        <v>38</v>
      </c>
      <c r="F3243" s="29"/>
      <c r="G3243" s="30">
        <v>602</v>
      </c>
    </row>
    <row r="3244" spans="1:7" hidden="1" x14ac:dyDescent="0.25">
      <c r="A3244" s="28">
        <v>43770</v>
      </c>
      <c r="B3244" s="27" t="s">
        <v>26</v>
      </c>
      <c r="C3244" s="27" t="s">
        <v>50</v>
      </c>
      <c r="D3244" s="27" t="s">
        <v>6</v>
      </c>
      <c r="E3244" s="27" t="s">
        <v>23</v>
      </c>
      <c r="F3244" s="29"/>
      <c r="G3244" s="30">
        <v>2997.5</v>
      </c>
    </row>
    <row r="3245" spans="1:7" hidden="1" x14ac:dyDescent="0.25">
      <c r="A3245" s="28">
        <v>43770</v>
      </c>
      <c r="B3245" s="27" t="s">
        <v>26</v>
      </c>
      <c r="C3245" s="27" t="s">
        <v>50</v>
      </c>
      <c r="D3245" s="27" t="s">
        <v>6</v>
      </c>
      <c r="E3245" s="27" t="s">
        <v>22</v>
      </c>
      <c r="F3245" s="29"/>
      <c r="G3245" s="30">
        <v>2203.9333633083334</v>
      </c>
    </row>
    <row r="3246" spans="1:7" hidden="1" x14ac:dyDescent="0.25">
      <c r="A3246" s="28">
        <v>43770</v>
      </c>
      <c r="B3246" s="27" t="s">
        <v>26</v>
      </c>
      <c r="C3246" s="27" t="s">
        <v>50</v>
      </c>
      <c r="D3246" s="27" t="s">
        <v>6</v>
      </c>
      <c r="E3246" s="27" t="s">
        <v>204</v>
      </c>
      <c r="F3246" s="29"/>
      <c r="G3246" s="30">
        <v>316.66666666666669</v>
      </c>
    </row>
    <row r="3247" spans="1:7" hidden="1" x14ac:dyDescent="0.25">
      <c r="A3247" s="28">
        <v>43770</v>
      </c>
      <c r="B3247" s="27" t="s">
        <v>26</v>
      </c>
      <c r="C3247" s="27" t="s">
        <v>50</v>
      </c>
      <c r="D3247" s="27" t="s">
        <v>6</v>
      </c>
      <c r="E3247" s="27" t="s">
        <v>205</v>
      </c>
      <c r="F3247" s="29"/>
      <c r="G3247" s="30">
        <v>1200</v>
      </c>
    </row>
    <row r="3248" spans="1:7" hidden="1" x14ac:dyDescent="0.25">
      <c r="A3248" s="28">
        <v>43770</v>
      </c>
      <c r="B3248" s="27" t="s">
        <v>26</v>
      </c>
      <c r="C3248" s="27" t="s">
        <v>50</v>
      </c>
      <c r="D3248" s="27" t="s">
        <v>6</v>
      </c>
      <c r="E3248" s="27" t="s">
        <v>37</v>
      </c>
      <c r="F3248" s="29"/>
      <c r="G3248" s="30">
        <v>250</v>
      </c>
    </row>
    <row r="3249" spans="1:7" hidden="1" x14ac:dyDescent="0.25">
      <c r="A3249" s="28">
        <v>43770</v>
      </c>
      <c r="B3249" s="27" t="s">
        <v>3</v>
      </c>
      <c r="C3249" s="27" t="s">
        <v>50</v>
      </c>
      <c r="D3249" s="27" t="s">
        <v>7</v>
      </c>
      <c r="E3249" s="27" t="s">
        <v>8</v>
      </c>
      <c r="F3249" s="29"/>
      <c r="G3249" s="30">
        <v>601.49399999999991</v>
      </c>
    </row>
    <row r="3250" spans="1:7" hidden="1" x14ac:dyDescent="0.25">
      <c r="A3250" s="28">
        <v>43770</v>
      </c>
      <c r="B3250" s="27" t="s">
        <v>3</v>
      </c>
      <c r="C3250" s="27" t="s">
        <v>50</v>
      </c>
      <c r="D3250" s="27" t="s">
        <v>7</v>
      </c>
      <c r="E3250" s="27" t="s">
        <v>9</v>
      </c>
      <c r="F3250" s="29"/>
      <c r="G3250" s="30">
        <v>601.49399999999991</v>
      </c>
    </row>
    <row r="3251" spans="1:7" hidden="1" x14ac:dyDescent="0.25">
      <c r="A3251" s="28">
        <v>43770</v>
      </c>
      <c r="B3251" s="27" t="s">
        <v>3</v>
      </c>
      <c r="C3251" s="27" t="s">
        <v>50</v>
      </c>
      <c r="D3251" s="27" t="s">
        <v>7</v>
      </c>
      <c r="E3251" s="27" t="s">
        <v>64</v>
      </c>
      <c r="F3251" s="29"/>
      <c r="G3251" s="30">
        <v>601.49399999999991</v>
      </c>
    </row>
    <row r="3252" spans="1:7" hidden="1" x14ac:dyDescent="0.25">
      <c r="A3252" s="28">
        <v>43770</v>
      </c>
      <c r="B3252" s="27" t="s">
        <v>3</v>
      </c>
      <c r="C3252" s="27" t="s">
        <v>50</v>
      </c>
      <c r="D3252" s="27" t="s">
        <v>7</v>
      </c>
      <c r="E3252" s="27" t="s">
        <v>21</v>
      </c>
      <c r="F3252" s="29"/>
      <c r="G3252" s="30">
        <v>601.49399999999991</v>
      </c>
    </row>
    <row r="3253" spans="1:7" hidden="1" x14ac:dyDescent="0.25">
      <c r="A3253" s="28">
        <v>43770</v>
      </c>
      <c r="B3253" s="27" t="s">
        <v>3</v>
      </c>
      <c r="C3253" s="27" t="s">
        <v>50</v>
      </c>
      <c r="D3253" s="27" t="s">
        <v>7</v>
      </c>
      <c r="E3253" s="27" t="s">
        <v>10</v>
      </c>
      <c r="F3253" s="29"/>
      <c r="G3253" s="30">
        <v>601.49399999999991</v>
      </c>
    </row>
    <row r="3254" spans="1:7" hidden="1" x14ac:dyDescent="0.25">
      <c r="A3254" s="28">
        <v>43770</v>
      </c>
      <c r="B3254" s="27" t="s">
        <v>3</v>
      </c>
      <c r="C3254" s="27" t="s">
        <v>50</v>
      </c>
      <c r="D3254" s="27" t="s">
        <v>7</v>
      </c>
      <c r="E3254" s="27" t="s">
        <v>11</v>
      </c>
      <c r="F3254" s="29"/>
      <c r="G3254" s="30">
        <v>601.49399999999991</v>
      </c>
    </row>
    <row r="3255" spans="1:7" hidden="1" x14ac:dyDescent="0.25">
      <c r="A3255" s="28">
        <v>43770</v>
      </c>
      <c r="B3255" s="27" t="s">
        <v>3</v>
      </c>
      <c r="C3255" s="27" t="s">
        <v>50</v>
      </c>
      <c r="D3255" s="27" t="s">
        <v>7</v>
      </c>
      <c r="E3255" s="27" t="s">
        <v>12</v>
      </c>
      <c r="F3255" s="29"/>
      <c r="G3255" s="30">
        <v>601.49399999999991</v>
      </c>
    </row>
    <row r="3256" spans="1:7" hidden="1" x14ac:dyDescent="0.25">
      <c r="A3256" s="28">
        <v>43770</v>
      </c>
      <c r="B3256" s="27" t="s">
        <v>3</v>
      </c>
      <c r="C3256" s="27" t="s">
        <v>50</v>
      </c>
      <c r="D3256" s="27" t="s">
        <v>7</v>
      </c>
      <c r="E3256" s="27" t="s">
        <v>13</v>
      </c>
      <c r="F3256" s="29"/>
      <c r="G3256" s="30">
        <v>601.49399999999991</v>
      </c>
    </row>
    <row r="3257" spans="1:7" hidden="1" x14ac:dyDescent="0.25">
      <c r="A3257" s="28">
        <v>43770</v>
      </c>
      <c r="B3257" s="27" t="s">
        <v>3</v>
      </c>
      <c r="C3257" s="27" t="s">
        <v>50</v>
      </c>
      <c r="D3257" s="27" t="s">
        <v>7</v>
      </c>
      <c r="E3257" s="27" t="s">
        <v>14</v>
      </c>
      <c r="F3257" s="29"/>
      <c r="G3257" s="30">
        <v>601.49399999999991</v>
      </c>
    </row>
    <row r="3258" spans="1:7" hidden="1" x14ac:dyDescent="0.25">
      <c r="A3258" s="28">
        <v>43770</v>
      </c>
      <c r="B3258" s="27" t="s">
        <v>3</v>
      </c>
      <c r="C3258" s="27" t="s">
        <v>50</v>
      </c>
      <c r="D3258" s="27" t="s">
        <v>7</v>
      </c>
      <c r="E3258" s="27" t="s">
        <v>15</v>
      </c>
      <c r="F3258" s="29"/>
      <c r="G3258" s="30">
        <v>601.49399999999991</v>
      </c>
    </row>
    <row r="3259" spans="1:7" hidden="1" x14ac:dyDescent="0.25">
      <c r="A3259" s="28">
        <v>43770</v>
      </c>
      <c r="B3259" s="27" t="s">
        <v>3</v>
      </c>
      <c r="C3259" s="27" t="s">
        <v>50</v>
      </c>
      <c r="D3259" s="27" t="s">
        <v>7</v>
      </c>
      <c r="E3259" s="27" t="s">
        <v>16</v>
      </c>
      <c r="F3259" s="29"/>
      <c r="G3259" s="30">
        <v>601.49399999999991</v>
      </c>
    </row>
    <row r="3260" spans="1:7" hidden="1" x14ac:dyDescent="0.25">
      <c r="A3260" s="28">
        <v>43770</v>
      </c>
      <c r="B3260" s="27" t="s">
        <v>3</v>
      </c>
      <c r="C3260" s="27" t="s">
        <v>50</v>
      </c>
      <c r="D3260" s="27" t="s">
        <v>7</v>
      </c>
      <c r="E3260" s="27" t="s">
        <v>17</v>
      </c>
      <c r="F3260" s="29"/>
      <c r="G3260" s="30">
        <v>601.49399999999991</v>
      </c>
    </row>
    <row r="3261" spans="1:7" hidden="1" x14ac:dyDescent="0.25">
      <c r="A3261" s="28">
        <v>43770</v>
      </c>
      <c r="B3261" s="27" t="s">
        <v>3</v>
      </c>
      <c r="C3261" s="27" t="s">
        <v>50</v>
      </c>
      <c r="D3261" s="27" t="s">
        <v>7</v>
      </c>
      <c r="E3261" s="27" t="s">
        <v>18</v>
      </c>
      <c r="F3261" s="29"/>
      <c r="G3261" s="30">
        <v>601.49399999999991</v>
      </c>
    </row>
    <row r="3262" spans="1:7" hidden="1" x14ac:dyDescent="0.25">
      <c r="A3262" s="28">
        <v>43770</v>
      </c>
      <c r="B3262" s="27" t="s">
        <v>3</v>
      </c>
      <c r="C3262" s="27" t="s">
        <v>50</v>
      </c>
      <c r="D3262" s="27" t="s">
        <v>7</v>
      </c>
      <c r="E3262" s="27" t="s">
        <v>19</v>
      </c>
      <c r="F3262" s="29"/>
      <c r="G3262" s="30">
        <v>601.49399999999991</v>
      </c>
    </row>
    <row r="3263" spans="1:7" hidden="1" x14ac:dyDescent="0.25">
      <c r="A3263" s="28">
        <v>43770</v>
      </c>
      <c r="B3263" s="27" t="s">
        <v>3</v>
      </c>
      <c r="C3263" s="27" t="s">
        <v>50</v>
      </c>
      <c r="D3263" s="27" t="s">
        <v>7</v>
      </c>
      <c r="E3263" s="27" t="s">
        <v>20</v>
      </c>
      <c r="F3263" s="29"/>
      <c r="G3263" s="30">
        <v>601.49399999999991</v>
      </c>
    </row>
    <row r="3264" spans="1:7" hidden="1" x14ac:dyDescent="0.25">
      <c r="A3264" s="28">
        <v>43770</v>
      </c>
      <c r="B3264" s="27" t="s">
        <v>3</v>
      </c>
      <c r="C3264" s="27" t="s">
        <v>50</v>
      </c>
      <c r="D3264" s="27" t="s">
        <v>7</v>
      </c>
      <c r="E3264" s="27" t="s">
        <v>38</v>
      </c>
      <c r="F3264" s="29"/>
      <c r="G3264" s="30">
        <v>601.49399999999991</v>
      </c>
    </row>
    <row r="3265" spans="1:7" hidden="1" x14ac:dyDescent="0.25">
      <c r="A3265" s="28">
        <v>43770</v>
      </c>
      <c r="B3265" s="27" t="s">
        <v>3</v>
      </c>
      <c r="C3265" s="27" t="s">
        <v>50</v>
      </c>
      <c r="D3265" s="27" t="s">
        <v>7</v>
      </c>
      <c r="E3265" s="27" t="s">
        <v>23</v>
      </c>
      <c r="F3265" s="29"/>
      <c r="G3265" s="30">
        <v>601.49399999999991</v>
      </c>
    </row>
    <row r="3266" spans="1:7" hidden="1" x14ac:dyDescent="0.25">
      <c r="A3266" s="28">
        <v>43770</v>
      </c>
      <c r="B3266" s="27" t="s">
        <v>3</v>
      </c>
      <c r="C3266" s="27" t="s">
        <v>50</v>
      </c>
      <c r="D3266" s="27" t="s">
        <v>7</v>
      </c>
      <c r="E3266" s="27" t="s">
        <v>22</v>
      </c>
      <c r="F3266" s="29"/>
      <c r="G3266" s="30">
        <v>601.49399999999991</v>
      </c>
    </row>
    <row r="3267" spans="1:7" hidden="1" x14ac:dyDescent="0.25">
      <c r="A3267" s="28">
        <v>43770</v>
      </c>
      <c r="B3267" s="27" t="s">
        <v>3</v>
      </c>
      <c r="C3267" s="27" t="s">
        <v>50</v>
      </c>
      <c r="D3267" s="27" t="s">
        <v>7</v>
      </c>
      <c r="E3267" s="27" t="s">
        <v>204</v>
      </c>
      <c r="F3267" s="29"/>
      <c r="G3267" s="30">
        <v>601.49399999999991</v>
      </c>
    </row>
    <row r="3268" spans="1:7" hidden="1" x14ac:dyDescent="0.25">
      <c r="A3268" s="28">
        <v>43770</v>
      </c>
      <c r="B3268" s="27" t="s">
        <v>3</v>
      </c>
      <c r="C3268" s="27" t="s">
        <v>50</v>
      </c>
      <c r="D3268" s="27" t="s">
        <v>7</v>
      </c>
      <c r="E3268" s="27" t="s">
        <v>205</v>
      </c>
      <c r="F3268" s="29"/>
      <c r="G3268" s="30">
        <v>601.49399999999991</v>
      </c>
    </row>
    <row r="3269" spans="1:7" hidden="1" x14ac:dyDescent="0.25">
      <c r="A3269" s="28">
        <v>43770</v>
      </c>
      <c r="B3269" s="27" t="s">
        <v>179</v>
      </c>
      <c r="C3269" s="27" t="s">
        <v>50</v>
      </c>
      <c r="D3269" s="27" t="s">
        <v>6</v>
      </c>
      <c r="E3269" s="27" t="s">
        <v>8</v>
      </c>
      <c r="F3269" s="29"/>
      <c r="G3269" s="30">
        <v>82.027500000000003</v>
      </c>
    </row>
    <row r="3270" spans="1:7" hidden="1" x14ac:dyDescent="0.25">
      <c r="A3270" s="28">
        <v>43770</v>
      </c>
      <c r="B3270" s="27" t="s">
        <v>179</v>
      </c>
      <c r="C3270" s="27" t="s">
        <v>50</v>
      </c>
      <c r="D3270" s="27" t="s">
        <v>6</v>
      </c>
      <c r="E3270" s="27" t="s">
        <v>9</v>
      </c>
      <c r="F3270" s="29"/>
      <c r="G3270" s="30">
        <v>80.430833333333325</v>
      </c>
    </row>
    <row r="3271" spans="1:7" hidden="1" x14ac:dyDescent="0.25">
      <c r="A3271" s="28">
        <v>43770</v>
      </c>
      <c r="B3271" s="27" t="s">
        <v>179</v>
      </c>
      <c r="C3271" s="27" t="s">
        <v>50</v>
      </c>
      <c r="D3271" s="27" t="s">
        <v>6</v>
      </c>
      <c r="E3271" s="27" t="s">
        <v>64</v>
      </c>
      <c r="F3271" s="29"/>
      <c r="G3271" s="30">
        <v>99.683333333333337</v>
      </c>
    </row>
    <row r="3272" spans="1:7" hidden="1" x14ac:dyDescent="0.25">
      <c r="A3272" s="28">
        <v>43770</v>
      </c>
      <c r="B3272" s="27" t="s">
        <v>179</v>
      </c>
      <c r="C3272" s="27" t="s">
        <v>50</v>
      </c>
      <c r="D3272" s="27" t="s">
        <v>6</v>
      </c>
      <c r="E3272" s="27" t="s">
        <v>21</v>
      </c>
      <c r="F3272" s="29"/>
      <c r="G3272" s="30">
        <v>75.420833333333334</v>
      </c>
    </row>
    <row r="3273" spans="1:7" hidden="1" x14ac:dyDescent="0.25">
      <c r="A3273" s="28">
        <v>43770</v>
      </c>
      <c r="B3273" s="27" t="s">
        <v>179</v>
      </c>
      <c r="C3273" s="27" t="s">
        <v>50</v>
      </c>
      <c r="D3273" s="27" t="s">
        <v>6</v>
      </c>
      <c r="E3273" s="27" t="s">
        <v>10</v>
      </c>
      <c r="F3273" s="29"/>
      <c r="G3273" s="30">
        <v>94.975833333333341</v>
      </c>
    </row>
    <row r="3274" spans="1:7" hidden="1" x14ac:dyDescent="0.25">
      <c r="A3274" s="28">
        <v>43770</v>
      </c>
      <c r="B3274" s="27" t="s">
        <v>179</v>
      </c>
      <c r="C3274" s="27" t="s">
        <v>50</v>
      </c>
      <c r="D3274" s="27" t="s">
        <v>6</v>
      </c>
      <c r="E3274" s="27" t="s">
        <v>11</v>
      </c>
      <c r="F3274" s="29"/>
      <c r="G3274" s="30">
        <v>99.024999999999991</v>
      </c>
    </row>
    <row r="3275" spans="1:7" hidden="1" x14ac:dyDescent="0.25">
      <c r="A3275" s="28">
        <v>43770</v>
      </c>
      <c r="B3275" s="27" t="s">
        <v>179</v>
      </c>
      <c r="C3275" s="27" t="s">
        <v>50</v>
      </c>
      <c r="D3275" s="27" t="s">
        <v>6</v>
      </c>
      <c r="E3275" s="27" t="s">
        <v>12</v>
      </c>
      <c r="F3275" s="29"/>
      <c r="G3275" s="30">
        <v>75.82083333333334</v>
      </c>
    </row>
    <row r="3276" spans="1:7" hidden="1" x14ac:dyDescent="0.25">
      <c r="A3276" s="28">
        <v>43770</v>
      </c>
      <c r="B3276" s="27" t="s">
        <v>179</v>
      </c>
      <c r="C3276" s="27" t="s">
        <v>50</v>
      </c>
      <c r="D3276" s="27" t="s">
        <v>6</v>
      </c>
      <c r="E3276" s="27" t="s">
        <v>13</v>
      </c>
      <c r="F3276" s="29"/>
      <c r="G3276" s="30">
        <v>100.41500000000001</v>
      </c>
    </row>
    <row r="3277" spans="1:7" hidden="1" x14ac:dyDescent="0.25">
      <c r="A3277" s="28">
        <v>43770</v>
      </c>
      <c r="B3277" s="27" t="s">
        <v>179</v>
      </c>
      <c r="C3277" s="27" t="s">
        <v>50</v>
      </c>
      <c r="D3277" s="27" t="s">
        <v>6</v>
      </c>
      <c r="E3277" s="27" t="s">
        <v>14</v>
      </c>
      <c r="F3277" s="29"/>
      <c r="G3277" s="30">
        <v>84.427499999999995</v>
      </c>
    </row>
    <row r="3278" spans="1:7" hidden="1" x14ac:dyDescent="0.25">
      <c r="A3278" s="28">
        <v>43770</v>
      </c>
      <c r="B3278" s="27" t="s">
        <v>179</v>
      </c>
      <c r="C3278" s="27" t="s">
        <v>50</v>
      </c>
      <c r="D3278" s="27" t="s">
        <v>6</v>
      </c>
      <c r="E3278" s="27" t="s">
        <v>15</v>
      </c>
      <c r="F3278" s="29"/>
      <c r="G3278" s="30">
        <v>97.932500000000005</v>
      </c>
    </row>
    <row r="3279" spans="1:7" hidden="1" x14ac:dyDescent="0.25">
      <c r="A3279" s="28">
        <v>43770</v>
      </c>
      <c r="B3279" s="27" t="s">
        <v>179</v>
      </c>
      <c r="C3279" s="27" t="s">
        <v>50</v>
      </c>
      <c r="D3279" s="27" t="s">
        <v>6</v>
      </c>
      <c r="E3279" s="27" t="s">
        <v>16</v>
      </c>
      <c r="F3279" s="29"/>
      <c r="G3279" s="30">
        <v>99.579166666666666</v>
      </c>
    </row>
    <row r="3280" spans="1:7" hidden="1" x14ac:dyDescent="0.25">
      <c r="A3280" s="28">
        <v>43770</v>
      </c>
      <c r="B3280" s="27" t="s">
        <v>179</v>
      </c>
      <c r="C3280" s="27" t="s">
        <v>50</v>
      </c>
      <c r="D3280" s="27" t="s">
        <v>6</v>
      </c>
      <c r="E3280" s="27" t="s">
        <v>17</v>
      </c>
      <c r="F3280" s="29"/>
      <c r="G3280" s="30">
        <v>163.58583333333334</v>
      </c>
    </row>
    <row r="3281" spans="1:7" hidden="1" x14ac:dyDescent="0.25">
      <c r="A3281" s="28">
        <v>43770</v>
      </c>
      <c r="B3281" s="27" t="s">
        <v>179</v>
      </c>
      <c r="C3281" s="27" t="s">
        <v>50</v>
      </c>
      <c r="D3281" s="27" t="s">
        <v>6</v>
      </c>
      <c r="E3281" s="27" t="s">
        <v>18</v>
      </c>
      <c r="F3281" s="29"/>
      <c r="G3281" s="30">
        <v>189.72083333333333</v>
      </c>
    </row>
    <row r="3282" spans="1:7" hidden="1" x14ac:dyDescent="0.25">
      <c r="A3282" s="28">
        <v>43770</v>
      </c>
      <c r="B3282" s="27" t="s">
        <v>179</v>
      </c>
      <c r="C3282" s="27" t="s">
        <v>50</v>
      </c>
      <c r="D3282" s="27" t="s">
        <v>6</v>
      </c>
      <c r="E3282" s="27" t="s">
        <v>19</v>
      </c>
      <c r="F3282" s="29"/>
      <c r="G3282" s="30">
        <v>132.03083333333333</v>
      </c>
    </row>
    <row r="3283" spans="1:7" hidden="1" x14ac:dyDescent="0.25">
      <c r="A3283" s="28">
        <v>43770</v>
      </c>
      <c r="B3283" s="27" t="s">
        <v>179</v>
      </c>
      <c r="C3283" s="27" t="s">
        <v>50</v>
      </c>
      <c r="D3283" s="27" t="s">
        <v>6</v>
      </c>
      <c r="E3283" s="27" t="s">
        <v>20</v>
      </c>
      <c r="F3283" s="29"/>
      <c r="G3283" s="30">
        <v>408.15999999999997</v>
      </c>
    </row>
    <row r="3284" spans="1:7" hidden="1" x14ac:dyDescent="0.25">
      <c r="A3284" s="28">
        <v>43770</v>
      </c>
      <c r="B3284" s="27" t="s">
        <v>179</v>
      </c>
      <c r="C3284" s="27" t="s">
        <v>50</v>
      </c>
      <c r="D3284" s="27" t="s">
        <v>6</v>
      </c>
      <c r="E3284" s="27" t="s">
        <v>38</v>
      </c>
      <c r="F3284" s="29"/>
      <c r="G3284" s="30">
        <v>300.31</v>
      </c>
    </row>
    <row r="3285" spans="1:7" hidden="1" x14ac:dyDescent="0.25">
      <c r="A3285" s="28">
        <v>43770</v>
      </c>
      <c r="B3285" s="27" t="s">
        <v>179</v>
      </c>
      <c r="C3285" s="27" t="s">
        <v>50</v>
      </c>
      <c r="D3285" s="27" t="s">
        <v>6</v>
      </c>
      <c r="E3285" s="27" t="s">
        <v>23</v>
      </c>
      <c r="F3285" s="29"/>
      <c r="G3285" s="30">
        <v>331.86</v>
      </c>
    </row>
    <row r="3286" spans="1:7" hidden="1" x14ac:dyDescent="0.25">
      <c r="A3286" s="28">
        <v>43770</v>
      </c>
      <c r="B3286" s="27" t="s">
        <v>179</v>
      </c>
      <c r="C3286" s="27" t="s">
        <v>50</v>
      </c>
      <c r="D3286" s="27" t="s">
        <v>6</v>
      </c>
      <c r="E3286" s="27" t="s">
        <v>22</v>
      </c>
      <c r="F3286" s="29"/>
      <c r="G3286" s="30">
        <v>310</v>
      </c>
    </row>
    <row r="3287" spans="1:7" hidden="1" x14ac:dyDescent="0.25">
      <c r="A3287" s="28">
        <v>43770</v>
      </c>
      <c r="B3287" s="27" t="s">
        <v>179</v>
      </c>
      <c r="C3287" s="27" t="s">
        <v>50</v>
      </c>
      <c r="D3287" s="27" t="s">
        <v>6</v>
      </c>
      <c r="E3287" s="27" t="s">
        <v>204</v>
      </c>
      <c r="F3287" s="29"/>
      <c r="G3287" s="30">
        <v>62.408333333333331</v>
      </c>
    </row>
    <row r="3288" spans="1:7" hidden="1" x14ac:dyDescent="0.25">
      <c r="A3288" s="28">
        <v>43770</v>
      </c>
      <c r="B3288" s="27" t="s">
        <v>179</v>
      </c>
      <c r="C3288" s="27" t="s">
        <v>50</v>
      </c>
      <c r="D3288" s="27" t="s">
        <v>6</v>
      </c>
      <c r="E3288" s="27" t="s">
        <v>205</v>
      </c>
      <c r="F3288" s="29"/>
      <c r="G3288" s="30">
        <v>136.51666666666668</v>
      </c>
    </row>
    <row r="3289" spans="1:7" hidden="1" x14ac:dyDescent="0.25">
      <c r="A3289" s="28">
        <v>43770</v>
      </c>
      <c r="B3289" s="27" t="s">
        <v>32</v>
      </c>
      <c r="C3289" s="27" t="s">
        <v>50</v>
      </c>
      <c r="D3289" s="27" t="s">
        <v>7</v>
      </c>
      <c r="E3289" s="27" t="s">
        <v>10</v>
      </c>
      <c r="F3289" s="29"/>
      <c r="G3289" s="30">
        <v>25</v>
      </c>
    </row>
    <row r="3290" spans="1:7" hidden="1" x14ac:dyDescent="0.25">
      <c r="A3290" s="28">
        <v>43770</v>
      </c>
      <c r="B3290" s="27" t="s">
        <v>32</v>
      </c>
      <c r="C3290" s="27" t="s">
        <v>50</v>
      </c>
      <c r="D3290" s="27" t="s">
        <v>7</v>
      </c>
      <c r="E3290" s="27" t="s">
        <v>17</v>
      </c>
      <c r="F3290" s="29"/>
      <c r="G3290" s="30">
        <v>25</v>
      </c>
    </row>
    <row r="3291" spans="1:7" hidden="1" x14ac:dyDescent="0.25">
      <c r="A3291" s="28">
        <v>43770</v>
      </c>
      <c r="B3291" s="27" t="s">
        <v>5</v>
      </c>
      <c r="C3291" s="27" t="s">
        <v>51</v>
      </c>
      <c r="D3291" s="27" t="s">
        <v>51</v>
      </c>
      <c r="E3291" s="27" t="s">
        <v>8</v>
      </c>
      <c r="F3291" s="29">
        <v>3894</v>
      </c>
      <c r="G3291" s="30">
        <v>3.8774073688388224</v>
      </c>
    </row>
    <row r="3292" spans="1:7" hidden="1" x14ac:dyDescent="0.25">
      <c r="A3292" s="28">
        <v>43770</v>
      </c>
      <c r="B3292" s="27" t="s">
        <v>5</v>
      </c>
      <c r="C3292" s="27" t="s">
        <v>51</v>
      </c>
      <c r="D3292" s="27" t="s">
        <v>51</v>
      </c>
      <c r="E3292" s="27" t="s">
        <v>9</v>
      </c>
      <c r="F3292" s="29">
        <v>3487</v>
      </c>
      <c r="G3292" s="30">
        <v>4.0019926759177062</v>
      </c>
    </row>
    <row r="3293" spans="1:7" hidden="1" x14ac:dyDescent="0.25">
      <c r="A3293" s="28">
        <v>43770</v>
      </c>
      <c r="B3293" s="27" t="s">
        <v>5</v>
      </c>
      <c r="C3293" s="27" t="s">
        <v>51</v>
      </c>
      <c r="D3293" s="27" t="s">
        <v>51</v>
      </c>
      <c r="E3293" s="27" t="s">
        <v>64</v>
      </c>
      <c r="F3293" s="29">
        <v>5497</v>
      </c>
      <c r="G3293" s="30">
        <v>2.6659998109741752</v>
      </c>
    </row>
    <row r="3294" spans="1:7" hidden="1" x14ac:dyDescent="0.25">
      <c r="A3294" s="28">
        <v>43770</v>
      </c>
      <c r="B3294" s="27" t="s">
        <v>5</v>
      </c>
      <c r="C3294" s="27" t="s">
        <v>51</v>
      </c>
      <c r="D3294" s="27" t="s">
        <v>51</v>
      </c>
      <c r="E3294" s="27" t="s">
        <v>21</v>
      </c>
      <c r="F3294" s="29">
        <v>7134</v>
      </c>
      <c r="G3294" s="30">
        <v>2.2344691095586917</v>
      </c>
    </row>
    <row r="3295" spans="1:7" hidden="1" x14ac:dyDescent="0.25">
      <c r="A3295" s="28">
        <v>43770</v>
      </c>
      <c r="B3295" s="27" t="s">
        <v>5</v>
      </c>
      <c r="C3295" s="27" t="s">
        <v>51</v>
      </c>
      <c r="D3295" s="27" t="s">
        <v>51</v>
      </c>
      <c r="E3295" s="27" t="s">
        <v>10</v>
      </c>
      <c r="F3295" s="29">
        <v>4877</v>
      </c>
      <c r="G3295" s="30">
        <v>3.6550229227513582</v>
      </c>
    </row>
    <row r="3296" spans="1:7" hidden="1" x14ac:dyDescent="0.25">
      <c r="A3296" s="28">
        <v>43770</v>
      </c>
      <c r="B3296" s="27" t="s">
        <v>5</v>
      </c>
      <c r="C3296" s="27" t="s">
        <v>51</v>
      </c>
      <c r="D3296" s="27" t="s">
        <v>51</v>
      </c>
      <c r="E3296" s="27" t="s">
        <v>11</v>
      </c>
      <c r="F3296" s="29">
        <v>2493</v>
      </c>
      <c r="G3296" s="30">
        <v>4.7255154944210611</v>
      </c>
    </row>
    <row r="3297" spans="1:7" hidden="1" x14ac:dyDescent="0.25">
      <c r="A3297" s="28">
        <v>43770</v>
      </c>
      <c r="B3297" s="27" t="s">
        <v>5</v>
      </c>
      <c r="C3297" s="27" t="s">
        <v>51</v>
      </c>
      <c r="D3297" s="27" t="s">
        <v>51</v>
      </c>
      <c r="E3297" s="27" t="s">
        <v>12</v>
      </c>
      <c r="F3297" s="29">
        <v>2412</v>
      </c>
      <c r="G3297" s="30">
        <v>4.419909187779866</v>
      </c>
    </row>
    <row r="3298" spans="1:7" hidden="1" x14ac:dyDescent="0.25">
      <c r="A3298" s="28">
        <v>43770</v>
      </c>
      <c r="B3298" s="27" t="s">
        <v>5</v>
      </c>
      <c r="C3298" s="27" t="s">
        <v>51</v>
      </c>
      <c r="D3298" s="27" t="s">
        <v>51</v>
      </c>
      <c r="E3298" s="27" t="s">
        <v>13</v>
      </c>
      <c r="F3298" s="29">
        <v>7859</v>
      </c>
      <c r="G3298" s="30">
        <v>2.2286248412764609</v>
      </c>
    </row>
    <row r="3299" spans="1:7" hidden="1" x14ac:dyDescent="0.25">
      <c r="A3299" s="28">
        <v>43770</v>
      </c>
      <c r="B3299" s="27" t="s">
        <v>5</v>
      </c>
      <c r="C3299" s="27" t="s">
        <v>51</v>
      </c>
      <c r="D3299" s="27" t="s">
        <v>51</v>
      </c>
      <c r="E3299" s="27" t="s">
        <v>14</v>
      </c>
      <c r="F3299" s="29">
        <v>1220</v>
      </c>
      <c r="G3299" s="30">
        <v>8.8126783832718889</v>
      </c>
    </row>
    <row r="3300" spans="1:7" hidden="1" x14ac:dyDescent="0.25">
      <c r="A3300" s="28">
        <v>43770</v>
      </c>
      <c r="B3300" s="27" t="s">
        <v>5</v>
      </c>
      <c r="C3300" s="27" t="s">
        <v>51</v>
      </c>
      <c r="D3300" s="27" t="s">
        <v>51</v>
      </c>
      <c r="E3300" s="27" t="s">
        <v>15</v>
      </c>
      <c r="F3300" s="29">
        <v>7838</v>
      </c>
      <c r="G3300" s="30">
        <v>1.982812702337974</v>
      </c>
    </row>
    <row r="3301" spans="1:7" hidden="1" x14ac:dyDescent="0.25">
      <c r="A3301" s="28">
        <v>43770</v>
      </c>
      <c r="B3301" s="27" t="s">
        <v>5</v>
      </c>
      <c r="C3301" s="27" t="s">
        <v>51</v>
      </c>
      <c r="D3301" s="27" t="s">
        <v>51</v>
      </c>
      <c r="E3301" s="27" t="s">
        <v>16</v>
      </c>
      <c r="F3301" s="29">
        <v>5475</v>
      </c>
      <c r="G3301" s="30">
        <v>2.5497170704885921</v>
      </c>
    </row>
    <row r="3302" spans="1:7" hidden="1" x14ac:dyDescent="0.25">
      <c r="A3302" s="28">
        <v>43770</v>
      </c>
      <c r="B3302" s="27" t="s">
        <v>5</v>
      </c>
      <c r="C3302" s="27" t="s">
        <v>51</v>
      </c>
      <c r="D3302" s="27" t="s">
        <v>51</v>
      </c>
      <c r="E3302" s="27" t="s">
        <v>17</v>
      </c>
      <c r="F3302" s="29">
        <v>5920</v>
      </c>
      <c r="G3302" s="30">
        <v>3.0933688278589595</v>
      </c>
    </row>
    <row r="3303" spans="1:7" hidden="1" x14ac:dyDescent="0.25">
      <c r="A3303" s="28">
        <v>43770</v>
      </c>
      <c r="B3303" s="27" t="s">
        <v>5</v>
      </c>
      <c r="C3303" s="27" t="s">
        <v>51</v>
      </c>
      <c r="D3303" s="27" t="s">
        <v>51</v>
      </c>
      <c r="E3303" s="27" t="s">
        <v>18</v>
      </c>
      <c r="F3303" s="29">
        <v>1508</v>
      </c>
      <c r="G3303" s="30">
        <v>7.5687987141412725</v>
      </c>
    </row>
    <row r="3304" spans="1:7" hidden="1" x14ac:dyDescent="0.25">
      <c r="A3304" s="28">
        <v>43770</v>
      </c>
      <c r="B3304" s="27" t="s">
        <v>5</v>
      </c>
      <c r="C3304" s="27" t="s">
        <v>51</v>
      </c>
      <c r="D3304" s="27" t="s">
        <v>51</v>
      </c>
      <c r="E3304" s="27" t="s">
        <v>19</v>
      </c>
      <c r="F3304" s="29">
        <v>6909</v>
      </c>
      <c r="G3304" s="30">
        <v>2.1281904222885668</v>
      </c>
    </row>
    <row r="3305" spans="1:7" hidden="1" x14ac:dyDescent="0.25">
      <c r="A3305" s="28">
        <v>43770</v>
      </c>
      <c r="B3305" s="27" t="s">
        <v>5</v>
      </c>
      <c r="C3305" s="27" t="s">
        <v>51</v>
      </c>
      <c r="D3305" s="27" t="s">
        <v>51</v>
      </c>
      <c r="E3305" s="27" t="s">
        <v>20</v>
      </c>
      <c r="F3305" s="29">
        <v>936</v>
      </c>
      <c r="G3305" s="30">
        <v>11.410999780190568</v>
      </c>
    </row>
    <row r="3306" spans="1:7" hidden="1" x14ac:dyDescent="0.25">
      <c r="A3306" s="28">
        <v>43770</v>
      </c>
      <c r="B3306" s="27" t="s">
        <v>5</v>
      </c>
      <c r="C3306" s="27" t="s">
        <v>51</v>
      </c>
      <c r="D3306" s="27" t="s">
        <v>51</v>
      </c>
      <c r="E3306" s="27" t="s">
        <v>38</v>
      </c>
      <c r="F3306" s="29">
        <v>4291</v>
      </c>
      <c r="G3306" s="30">
        <v>2.4055431043870983</v>
      </c>
    </row>
    <row r="3307" spans="1:7" hidden="1" x14ac:dyDescent="0.25">
      <c r="A3307" s="28">
        <v>43770</v>
      </c>
      <c r="B3307" s="27" t="s">
        <v>5</v>
      </c>
      <c r="C3307" s="27" t="s">
        <v>51</v>
      </c>
      <c r="D3307" s="27" t="s">
        <v>51</v>
      </c>
      <c r="E3307" s="27" t="s">
        <v>23</v>
      </c>
      <c r="F3307" s="29">
        <v>6537</v>
      </c>
      <c r="G3307" s="30">
        <v>2.6430646261167263</v>
      </c>
    </row>
    <row r="3308" spans="1:7" hidden="1" x14ac:dyDescent="0.25">
      <c r="A3308" s="28">
        <v>43770</v>
      </c>
      <c r="B3308" s="27" t="s">
        <v>5</v>
      </c>
      <c r="C3308" s="27" t="s">
        <v>51</v>
      </c>
      <c r="D3308" s="27" t="s">
        <v>51</v>
      </c>
      <c r="E3308" s="27" t="s">
        <v>22</v>
      </c>
      <c r="F3308" s="29">
        <v>6023</v>
      </c>
      <c r="G3308" s="30">
        <v>2.4726609371132948</v>
      </c>
    </row>
    <row r="3309" spans="1:7" hidden="1" x14ac:dyDescent="0.25">
      <c r="A3309" s="28">
        <v>43770</v>
      </c>
      <c r="B3309" s="27" t="s">
        <v>180</v>
      </c>
      <c r="C3309" s="27" t="s">
        <v>50</v>
      </c>
      <c r="D3309" s="27" t="s">
        <v>7</v>
      </c>
      <c r="E3309" s="27" t="s">
        <v>8</v>
      </c>
      <c r="F3309" s="29"/>
      <c r="G3309" s="30">
        <v>818.5</v>
      </c>
    </row>
    <row r="3310" spans="1:7" hidden="1" x14ac:dyDescent="0.25">
      <c r="A3310" s="28">
        <v>43770</v>
      </c>
      <c r="B3310" s="27" t="s">
        <v>180</v>
      </c>
      <c r="C3310" s="27" t="s">
        <v>50</v>
      </c>
      <c r="D3310" s="27" t="s">
        <v>7</v>
      </c>
      <c r="E3310" s="27" t="s">
        <v>9</v>
      </c>
      <c r="F3310" s="29"/>
      <c r="G3310" s="30">
        <v>227</v>
      </c>
    </row>
    <row r="3311" spans="1:7" hidden="1" x14ac:dyDescent="0.25">
      <c r="A3311" s="28">
        <v>43770</v>
      </c>
      <c r="B3311" s="27" t="s">
        <v>180</v>
      </c>
      <c r="C3311" s="27" t="s">
        <v>50</v>
      </c>
      <c r="D3311" s="27" t="s">
        <v>7</v>
      </c>
      <c r="E3311" s="27" t="s">
        <v>64</v>
      </c>
      <c r="F3311" s="29"/>
      <c r="G3311" s="30">
        <v>1480.74</v>
      </c>
    </row>
    <row r="3312" spans="1:7" hidden="1" x14ac:dyDescent="0.25">
      <c r="A3312" s="28">
        <v>43770</v>
      </c>
      <c r="B3312" s="27" t="s">
        <v>180</v>
      </c>
      <c r="C3312" s="27" t="s">
        <v>50</v>
      </c>
      <c r="D3312" s="27" t="s">
        <v>7</v>
      </c>
      <c r="E3312" s="27" t="s">
        <v>21</v>
      </c>
      <c r="F3312" s="29"/>
      <c r="G3312" s="30">
        <v>7.5</v>
      </c>
    </row>
    <row r="3313" spans="1:7" hidden="1" x14ac:dyDescent="0.25">
      <c r="A3313" s="28">
        <v>43770</v>
      </c>
      <c r="B3313" s="27" t="s">
        <v>180</v>
      </c>
      <c r="C3313" s="27" t="s">
        <v>50</v>
      </c>
      <c r="D3313" s="27" t="s">
        <v>7</v>
      </c>
      <c r="E3313" s="27" t="s">
        <v>21</v>
      </c>
      <c r="F3313" s="29"/>
      <c r="G3313" s="30">
        <v>178</v>
      </c>
    </row>
    <row r="3314" spans="1:7" hidden="1" x14ac:dyDescent="0.25">
      <c r="A3314" s="28">
        <v>43770</v>
      </c>
      <c r="B3314" s="27" t="s">
        <v>180</v>
      </c>
      <c r="C3314" s="27" t="s">
        <v>50</v>
      </c>
      <c r="D3314" s="27" t="s">
        <v>7</v>
      </c>
      <c r="E3314" s="27" t="s">
        <v>10</v>
      </c>
      <c r="F3314" s="29"/>
      <c r="G3314" s="30">
        <v>769.59999999999991</v>
      </c>
    </row>
    <row r="3315" spans="1:7" hidden="1" x14ac:dyDescent="0.25">
      <c r="A3315" s="28">
        <v>43770</v>
      </c>
      <c r="B3315" s="27" t="s">
        <v>180</v>
      </c>
      <c r="C3315" s="27" t="s">
        <v>50</v>
      </c>
      <c r="D3315" s="27" t="s">
        <v>7</v>
      </c>
      <c r="E3315" s="27" t="s">
        <v>11</v>
      </c>
      <c r="F3315" s="29"/>
      <c r="G3315" s="30">
        <v>494.99</v>
      </c>
    </row>
    <row r="3316" spans="1:7" hidden="1" x14ac:dyDescent="0.25">
      <c r="A3316" s="28">
        <v>43770</v>
      </c>
      <c r="B3316" s="27" t="s">
        <v>180</v>
      </c>
      <c r="C3316" s="27" t="s">
        <v>50</v>
      </c>
      <c r="D3316" s="27" t="s">
        <v>7</v>
      </c>
      <c r="E3316" s="27" t="s">
        <v>13</v>
      </c>
      <c r="F3316" s="29"/>
      <c r="G3316" s="30">
        <v>353.05</v>
      </c>
    </row>
    <row r="3317" spans="1:7" hidden="1" x14ac:dyDescent="0.25">
      <c r="A3317" s="28">
        <v>43770</v>
      </c>
      <c r="B3317" s="27" t="s">
        <v>180</v>
      </c>
      <c r="C3317" s="27" t="s">
        <v>50</v>
      </c>
      <c r="D3317" s="27" t="s">
        <v>7</v>
      </c>
      <c r="E3317" s="27" t="s">
        <v>15</v>
      </c>
      <c r="F3317" s="29"/>
      <c r="G3317" s="30">
        <v>450</v>
      </c>
    </row>
    <row r="3318" spans="1:7" hidden="1" x14ac:dyDescent="0.25">
      <c r="A3318" s="28">
        <v>43770</v>
      </c>
      <c r="B3318" s="27" t="s">
        <v>180</v>
      </c>
      <c r="C3318" s="27" t="s">
        <v>50</v>
      </c>
      <c r="D3318" s="27" t="s">
        <v>7</v>
      </c>
      <c r="E3318" s="27" t="s">
        <v>16</v>
      </c>
      <c r="F3318" s="29"/>
      <c r="G3318" s="30">
        <v>20</v>
      </c>
    </row>
    <row r="3319" spans="1:7" hidden="1" x14ac:dyDescent="0.25">
      <c r="A3319" s="28">
        <v>43770</v>
      </c>
      <c r="B3319" s="27" t="s">
        <v>180</v>
      </c>
      <c r="C3319" s="27" t="s">
        <v>50</v>
      </c>
      <c r="D3319" s="27" t="s">
        <v>7</v>
      </c>
      <c r="E3319" s="27" t="s">
        <v>17</v>
      </c>
      <c r="F3319" s="29"/>
      <c r="G3319" s="30">
        <v>35</v>
      </c>
    </row>
    <row r="3320" spans="1:7" hidden="1" x14ac:dyDescent="0.25">
      <c r="A3320" s="28">
        <v>43770</v>
      </c>
      <c r="B3320" s="27" t="s">
        <v>180</v>
      </c>
      <c r="C3320" s="27" t="s">
        <v>50</v>
      </c>
      <c r="D3320" s="27" t="s">
        <v>7</v>
      </c>
      <c r="E3320" s="27" t="s">
        <v>18</v>
      </c>
      <c r="F3320" s="29"/>
      <c r="G3320" s="30">
        <v>520</v>
      </c>
    </row>
    <row r="3321" spans="1:7" hidden="1" x14ac:dyDescent="0.25">
      <c r="A3321" s="28">
        <v>43770</v>
      </c>
      <c r="B3321" s="27" t="s">
        <v>180</v>
      </c>
      <c r="C3321" s="27" t="s">
        <v>50</v>
      </c>
      <c r="D3321" s="27" t="s">
        <v>7</v>
      </c>
      <c r="E3321" s="27" t="s">
        <v>19</v>
      </c>
      <c r="F3321" s="29"/>
      <c r="G3321" s="30">
        <v>542.93000000000006</v>
      </c>
    </row>
    <row r="3322" spans="1:7" hidden="1" x14ac:dyDescent="0.25">
      <c r="A3322" s="28">
        <v>43770</v>
      </c>
      <c r="B3322" s="27" t="s">
        <v>180</v>
      </c>
      <c r="C3322" s="27" t="s">
        <v>50</v>
      </c>
      <c r="D3322" s="27" t="s">
        <v>7</v>
      </c>
      <c r="E3322" s="27" t="s">
        <v>38</v>
      </c>
      <c r="F3322" s="29"/>
      <c r="G3322" s="30">
        <v>441.69</v>
      </c>
    </row>
    <row r="3323" spans="1:7" hidden="1" x14ac:dyDescent="0.25">
      <c r="A3323" s="28">
        <v>43770</v>
      </c>
      <c r="B3323" s="27" t="s">
        <v>180</v>
      </c>
      <c r="C3323" s="27" t="s">
        <v>50</v>
      </c>
      <c r="D3323" s="27" t="s">
        <v>7</v>
      </c>
      <c r="E3323" s="27" t="s">
        <v>23</v>
      </c>
      <c r="F3323" s="29"/>
      <c r="G3323" s="30">
        <v>184</v>
      </c>
    </row>
    <row r="3324" spans="1:7" hidden="1" x14ac:dyDescent="0.25">
      <c r="A3324" s="28">
        <v>43770</v>
      </c>
      <c r="B3324" s="27" t="s">
        <v>180</v>
      </c>
      <c r="C3324" s="27" t="s">
        <v>50</v>
      </c>
      <c r="D3324" s="27" t="s">
        <v>7</v>
      </c>
      <c r="E3324" s="27" t="s">
        <v>22</v>
      </c>
      <c r="F3324" s="29"/>
      <c r="G3324" s="30">
        <v>100</v>
      </c>
    </row>
    <row r="3325" spans="1:7" hidden="1" x14ac:dyDescent="0.25">
      <c r="A3325" s="28">
        <v>43770</v>
      </c>
      <c r="B3325" s="27" t="s">
        <v>180</v>
      </c>
      <c r="C3325" s="27" t="s">
        <v>50</v>
      </c>
      <c r="D3325" s="27" t="s">
        <v>7</v>
      </c>
      <c r="E3325" s="27" t="s">
        <v>37</v>
      </c>
      <c r="F3325" s="29"/>
      <c r="G3325" s="30">
        <v>1980</v>
      </c>
    </row>
    <row r="3326" spans="1:7" hidden="1" x14ac:dyDescent="0.25">
      <c r="A3326" s="28">
        <v>43770</v>
      </c>
      <c r="B3326" s="27" t="s">
        <v>181</v>
      </c>
      <c r="C3326" s="27" t="s">
        <v>50</v>
      </c>
      <c r="D3326" s="27" t="s">
        <v>6</v>
      </c>
      <c r="E3326" s="27" t="s">
        <v>15</v>
      </c>
      <c r="F3326" s="29"/>
      <c r="G3326" s="30">
        <v>300</v>
      </c>
    </row>
    <row r="3327" spans="1:7" hidden="1" x14ac:dyDescent="0.25">
      <c r="A3327" s="28">
        <v>43770</v>
      </c>
      <c r="B3327" s="27" t="s">
        <v>25</v>
      </c>
      <c r="C3327" s="27" t="s">
        <v>50</v>
      </c>
      <c r="D3327" s="27" t="s">
        <v>7</v>
      </c>
      <c r="E3327" s="27" t="s">
        <v>8</v>
      </c>
      <c r="F3327" s="29"/>
      <c r="G3327" s="30">
        <v>44.441000000000003</v>
      </c>
    </row>
    <row r="3328" spans="1:7" hidden="1" x14ac:dyDescent="0.25">
      <c r="A3328" s="28">
        <v>43770</v>
      </c>
      <c r="B3328" s="27" t="s">
        <v>25</v>
      </c>
      <c r="C3328" s="27" t="s">
        <v>50</v>
      </c>
      <c r="D3328" s="27" t="s">
        <v>7</v>
      </c>
      <c r="E3328" s="27" t="s">
        <v>9</v>
      </c>
      <c r="F3328" s="29"/>
      <c r="G3328" s="30">
        <v>44.441000000000003</v>
      </c>
    </row>
    <row r="3329" spans="1:7" hidden="1" x14ac:dyDescent="0.25">
      <c r="A3329" s="28">
        <v>43770</v>
      </c>
      <c r="B3329" s="27" t="s">
        <v>25</v>
      </c>
      <c r="C3329" s="27" t="s">
        <v>50</v>
      </c>
      <c r="D3329" s="27" t="s">
        <v>7</v>
      </c>
      <c r="E3329" s="27" t="s">
        <v>64</v>
      </c>
      <c r="F3329" s="29"/>
      <c r="G3329" s="30">
        <v>44.441000000000003</v>
      </c>
    </row>
    <row r="3330" spans="1:7" hidden="1" x14ac:dyDescent="0.25">
      <c r="A3330" s="28">
        <v>43770</v>
      </c>
      <c r="B3330" s="27" t="s">
        <v>25</v>
      </c>
      <c r="C3330" s="27" t="s">
        <v>50</v>
      </c>
      <c r="D3330" s="27" t="s">
        <v>7</v>
      </c>
      <c r="E3330" s="27" t="s">
        <v>21</v>
      </c>
      <c r="F3330" s="29"/>
      <c r="G3330" s="30">
        <v>44.441000000000003</v>
      </c>
    </row>
    <row r="3331" spans="1:7" hidden="1" x14ac:dyDescent="0.25">
      <c r="A3331" s="28">
        <v>43770</v>
      </c>
      <c r="B3331" s="27" t="s">
        <v>25</v>
      </c>
      <c r="C3331" s="27" t="s">
        <v>50</v>
      </c>
      <c r="D3331" s="27" t="s">
        <v>7</v>
      </c>
      <c r="E3331" s="27" t="s">
        <v>10</v>
      </c>
      <c r="F3331" s="29"/>
      <c r="G3331" s="30">
        <v>44.441000000000003</v>
      </c>
    </row>
    <row r="3332" spans="1:7" hidden="1" x14ac:dyDescent="0.25">
      <c r="A3332" s="28">
        <v>43770</v>
      </c>
      <c r="B3332" s="27" t="s">
        <v>25</v>
      </c>
      <c r="C3332" s="27" t="s">
        <v>50</v>
      </c>
      <c r="D3332" s="27" t="s">
        <v>7</v>
      </c>
      <c r="E3332" s="27" t="s">
        <v>11</v>
      </c>
      <c r="F3332" s="29"/>
      <c r="G3332" s="30">
        <v>44.441000000000003</v>
      </c>
    </row>
    <row r="3333" spans="1:7" hidden="1" x14ac:dyDescent="0.25">
      <c r="A3333" s="28">
        <v>43770</v>
      </c>
      <c r="B3333" s="27" t="s">
        <v>25</v>
      </c>
      <c r="C3333" s="27" t="s">
        <v>50</v>
      </c>
      <c r="D3333" s="27" t="s">
        <v>7</v>
      </c>
      <c r="E3333" s="27" t="s">
        <v>12</v>
      </c>
      <c r="F3333" s="29"/>
      <c r="G3333" s="30">
        <v>44.441000000000003</v>
      </c>
    </row>
    <row r="3334" spans="1:7" hidden="1" x14ac:dyDescent="0.25">
      <c r="A3334" s="28">
        <v>43770</v>
      </c>
      <c r="B3334" s="27" t="s">
        <v>25</v>
      </c>
      <c r="C3334" s="27" t="s">
        <v>50</v>
      </c>
      <c r="D3334" s="27" t="s">
        <v>7</v>
      </c>
      <c r="E3334" s="27" t="s">
        <v>13</v>
      </c>
      <c r="F3334" s="29"/>
      <c r="G3334" s="30">
        <v>44.441000000000003</v>
      </c>
    </row>
    <row r="3335" spans="1:7" hidden="1" x14ac:dyDescent="0.25">
      <c r="A3335" s="28">
        <v>43770</v>
      </c>
      <c r="B3335" s="27" t="s">
        <v>25</v>
      </c>
      <c r="C3335" s="27" t="s">
        <v>50</v>
      </c>
      <c r="D3335" s="27" t="s">
        <v>7</v>
      </c>
      <c r="E3335" s="27" t="s">
        <v>14</v>
      </c>
      <c r="F3335" s="29"/>
      <c r="G3335" s="30">
        <v>44.441000000000003</v>
      </c>
    </row>
    <row r="3336" spans="1:7" hidden="1" x14ac:dyDescent="0.25">
      <c r="A3336" s="28">
        <v>43770</v>
      </c>
      <c r="B3336" s="27" t="s">
        <v>25</v>
      </c>
      <c r="C3336" s="27" t="s">
        <v>50</v>
      </c>
      <c r="D3336" s="27" t="s">
        <v>7</v>
      </c>
      <c r="E3336" s="27" t="s">
        <v>15</v>
      </c>
      <c r="F3336" s="29"/>
      <c r="G3336" s="30">
        <v>44.441000000000003</v>
      </c>
    </row>
    <row r="3337" spans="1:7" hidden="1" x14ac:dyDescent="0.25">
      <c r="A3337" s="28">
        <v>43770</v>
      </c>
      <c r="B3337" s="27" t="s">
        <v>25</v>
      </c>
      <c r="C3337" s="27" t="s">
        <v>50</v>
      </c>
      <c r="D3337" s="27" t="s">
        <v>7</v>
      </c>
      <c r="E3337" s="27" t="s">
        <v>16</v>
      </c>
      <c r="F3337" s="29"/>
      <c r="G3337" s="30">
        <v>44.441000000000003</v>
      </c>
    </row>
    <row r="3338" spans="1:7" hidden="1" x14ac:dyDescent="0.25">
      <c r="A3338" s="28">
        <v>43770</v>
      </c>
      <c r="B3338" s="27" t="s">
        <v>25</v>
      </c>
      <c r="C3338" s="27" t="s">
        <v>50</v>
      </c>
      <c r="D3338" s="27" t="s">
        <v>7</v>
      </c>
      <c r="E3338" s="27" t="s">
        <v>17</v>
      </c>
      <c r="F3338" s="29"/>
      <c r="G3338" s="30">
        <v>44.441000000000003</v>
      </c>
    </row>
    <row r="3339" spans="1:7" hidden="1" x14ac:dyDescent="0.25">
      <c r="A3339" s="28">
        <v>43770</v>
      </c>
      <c r="B3339" s="27" t="s">
        <v>25</v>
      </c>
      <c r="C3339" s="27" t="s">
        <v>50</v>
      </c>
      <c r="D3339" s="27" t="s">
        <v>7</v>
      </c>
      <c r="E3339" s="27" t="s">
        <v>18</v>
      </c>
      <c r="F3339" s="29"/>
      <c r="G3339" s="30">
        <v>44.441000000000003</v>
      </c>
    </row>
    <row r="3340" spans="1:7" hidden="1" x14ac:dyDescent="0.25">
      <c r="A3340" s="28">
        <v>43770</v>
      </c>
      <c r="B3340" s="27" t="s">
        <v>25</v>
      </c>
      <c r="C3340" s="27" t="s">
        <v>50</v>
      </c>
      <c r="D3340" s="27" t="s">
        <v>7</v>
      </c>
      <c r="E3340" s="27" t="s">
        <v>19</v>
      </c>
      <c r="F3340" s="29"/>
      <c r="G3340" s="30">
        <v>44.441000000000003</v>
      </c>
    </row>
    <row r="3341" spans="1:7" hidden="1" x14ac:dyDescent="0.25">
      <c r="A3341" s="28">
        <v>43770</v>
      </c>
      <c r="B3341" s="27" t="s">
        <v>25</v>
      </c>
      <c r="C3341" s="27" t="s">
        <v>50</v>
      </c>
      <c r="D3341" s="27" t="s">
        <v>7</v>
      </c>
      <c r="E3341" s="27" t="s">
        <v>20</v>
      </c>
      <c r="F3341" s="29"/>
      <c r="G3341" s="30">
        <v>44.441000000000003</v>
      </c>
    </row>
    <row r="3342" spans="1:7" hidden="1" x14ac:dyDescent="0.25">
      <c r="A3342" s="28">
        <v>43770</v>
      </c>
      <c r="B3342" s="27" t="s">
        <v>25</v>
      </c>
      <c r="C3342" s="27" t="s">
        <v>50</v>
      </c>
      <c r="D3342" s="27" t="s">
        <v>7</v>
      </c>
      <c r="E3342" s="27" t="s">
        <v>38</v>
      </c>
      <c r="F3342" s="29"/>
      <c r="G3342" s="30">
        <v>44.441000000000003</v>
      </c>
    </row>
    <row r="3343" spans="1:7" hidden="1" x14ac:dyDescent="0.25">
      <c r="A3343" s="28">
        <v>43770</v>
      </c>
      <c r="B3343" s="27" t="s">
        <v>25</v>
      </c>
      <c r="C3343" s="27" t="s">
        <v>50</v>
      </c>
      <c r="D3343" s="27" t="s">
        <v>7</v>
      </c>
      <c r="E3343" s="27" t="s">
        <v>23</v>
      </c>
      <c r="F3343" s="29"/>
      <c r="G3343" s="30">
        <v>44.441000000000003</v>
      </c>
    </row>
    <row r="3344" spans="1:7" hidden="1" x14ac:dyDescent="0.25">
      <c r="A3344" s="28">
        <v>43770</v>
      </c>
      <c r="B3344" s="27" t="s">
        <v>25</v>
      </c>
      <c r="C3344" s="27" t="s">
        <v>50</v>
      </c>
      <c r="D3344" s="27" t="s">
        <v>7</v>
      </c>
      <c r="E3344" s="27" t="s">
        <v>22</v>
      </c>
      <c r="F3344" s="29"/>
      <c r="G3344" s="30">
        <v>44.441000000000003</v>
      </c>
    </row>
    <row r="3345" spans="1:7" hidden="1" x14ac:dyDescent="0.25">
      <c r="A3345" s="28">
        <v>43770</v>
      </c>
      <c r="B3345" s="27" t="s">
        <v>25</v>
      </c>
      <c r="C3345" s="27" t="s">
        <v>50</v>
      </c>
      <c r="D3345" s="27" t="s">
        <v>7</v>
      </c>
      <c r="E3345" s="27" t="s">
        <v>204</v>
      </c>
      <c r="F3345" s="29"/>
      <c r="G3345" s="30">
        <v>44.441000000000003</v>
      </c>
    </row>
    <row r="3346" spans="1:7" hidden="1" x14ac:dyDescent="0.25">
      <c r="A3346" s="28">
        <v>43770</v>
      </c>
      <c r="B3346" s="27" t="s">
        <v>25</v>
      </c>
      <c r="C3346" s="27" t="s">
        <v>50</v>
      </c>
      <c r="D3346" s="27" t="s">
        <v>7</v>
      </c>
      <c r="E3346" s="27" t="s">
        <v>205</v>
      </c>
      <c r="F3346" s="29"/>
      <c r="G3346" s="30">
        <v>44.441000000000003</v>
      </c>
    </row>
    <row r="3347" spans="1:7" hidden="1" x14ac:dyDescent="0.25">
      <c r="A3347" s="28">
        <v>43770</v>
      </c>
      <c r="B3347" s="27" t="s">
        <v>2</v>
      </c>
      <c r="C3347" s="27" t="s">
        <v>50</v>
      </c>
      <c r="D3347" s="27" t="s">
        <v>7</v>
      </c>
      <c r="E3347" s="27" t="s">
        <v>8</v>
      </c>
      <c r="F3347" s="29"/>
      <c r="G3347" s="30">
        <v>655.97</v>
      </c>
    </row>
    <row r="3348" spans="1:7" hidden="1" x14ac:dyDescent="0.25">
      <c r="A3348" s="28">
        <v>43770</v>
      </c>
      <c r="B3348" s="27" t="s">
        <v>2</v>
      </c>
      <c r="C3348" s="27" t="s">
        <v>50</v>
      </c>
      <c r="D3348" s="27" t="s">
        <v>7</v>
      </c>
      <c r="E3348" s="27" t="s">
        <v>9</v>
      </c>
      <c r="F3348" s="29"/>
      <c r="G3348" s="30">
        <v>594.12</v>
      </c>
    </row>
    <row r="3349" spans="1:7" hidden="1" x14ac:dyDescent="0.25">
      <c r="A3349" s="28">
        <v>43770</v>
      </c>
      <c r="B3349" s="27" t="s">
        <v>2</v>
      </c>
      <c r="C3349" s="27" t="s">
        <v>50</v>
      </c>
      <c r="D3349" s="27" t="s">
        <v>7</v>
      </c>
      <c r="E3349" s="27" t="s">
        <v>64</v>
      </c>
      <c r="F3349" s="29"/>
      <c r="G3349" s="30">
        <v>465.07</v>
      </c>
    </row>
    <row r="3350" spans="1:7" hidden="1" x14ac:dyDescent="0.25">
      <c r="A3350" s="28">
        <v>43770</v>
      </c>
      <c r="B3350" s="27" t="s">
        <v>2</v>
      </c>
      <c r="C3350" s="27" t="s">
        <v>50</v>
      </c>
      <c r="D3350" s="27" t="s">
        <v>7</v>
      </c>
      <c r="E3350" s="27" t="s">
        <v>21</v>
      </c>
      <c r="F3350" s="29"/>
      <c r="G3350" s="30">
        <v>21.67</v>
      </c>
    </row>
    <row r="3351" spans="1:7" hidden="1" x14ac:dyDescent="0.25">
      <c r="A3351" s="28">
        <v>43770</v>
      </c>
      <c r="B3351" s="27" t="s">
        <v>2</v>
      </c>
      <c r="C3351" s="27" t="s">
        <v>50</v>
      </c>
      <c r="D3351" s="27" t="s">
        <v>7</v>
      </c>
      <c r="E3351" s="27" t="s">
        <v>21</v>
      </c>
      <c r="F3351" s="29"/>
      <c r="G3351" s="30">
        <v>1062.3900000000001</v>
      </c>
    </row>
    <row r="3352" spans="1:7" hidden="1" x14ac:dyDescent="0.25">
      <c r="A3352" s="28">
        <v>43770</v>
      </c>
      <c r="B3352" s="27" t="s">
        <v>2</v>
      </c>
      <c r="C3352" s="27" t="s">
        <v>50</v>
      </c>
      <c r="D3352" s="27" t="s">
        <v>7</v>
      </c>
      <c r="E3352" s="27" t="s">
        <v>10</v>
      </c>
      <c r="F3352" s="29"/>
      <c r="G3352" s="30">
        <v>826.57</v>
      </c>
    </row>
    <row r="3353" spans="1:7" hidden="1" x14ac:dyDescent="0.25">
      <c r="A3353" s="28">
        <v>43770</v>
      </c>
      <c r="B3353" s="27" t="s">
        <v>2</v>
      </c>
      <c r="C3353" s="27" t="s">
        <v>50</v>
      </c>
      <c r="D3353" s="27" t="s">
        <v>7</v>
      </c>
      <c r="E3353" s="27" t="s">
        <v>11</v>
      </c>
      <c r="F3353" s="29"/>
      <c r="G3353" s="30">
        <v>343.07</v>
      </c>
    </row>
    <row r="3354" spans="1:7" hidden="1" x14ac:dyDescent="0.25">
      <c r="A3354" s="28">
        <v>43770</v>
      </c>
      <c r="B3354" s="27" t="s">
        <v>2</v>
      </c>
      <c r="C3354" s="27" t="s">
        <v>50</v>
      </c>
      <c r="D3354" s="27" t="s">
        <v>7</v>
      </c>
      <c r="E3354" s="27" t="s">
        <v>12</v>
      </c>
      <c r="F3354" s="29"/>
      <c r="G3354" s="30">
        <v>385.47</v>
      </c>
    </row>
    <row r="3355" spans="1:7" hidden="1" x14ac:dyDescent="0.25">
      <c r="A3355" s="28">
        <v>43770</v>
      </c>
      <c r="B3355" s="27" t="s">
        <v>2</v>
      </c>
      <c r="C3355" s="27" t="s">
        <v>50</v>
      </c>
      <c r="D3355" s="27" t="s">
        <v>7</v>
      </c>
      <c r="E3355" s="27" t="s">
        <v>13</v>
      </c>
      <c r="F3355" s="29"/>
      <c r="G3355" s="30">
        <v>1478.48</v>
      </c>
    </row>
    <row r="3356" spans="1:7" hidden="1" x14ac:dyDescent="0.25">
      <c r="A3356" s="28">
        <v>43770</v>
      </c>
      <c r="B3356" s="27" t="s">
        <v>2</v>
      </c>
      <c r="C3356" s="27" t="s">
        <v>50</v>
      </c>
      <c r="D3356" s="27" t="s">
        <v>7</v>
      </c>
      <c r="E3356" s="27" t="s">
        <v>14</v>
      </c>
      <c r="F3356" s="29"/>
      <c r="G3356" s="30">
        <v>93.72</v>
      </c>
    </row>
    <row r="3357" spans="1:7" hidden="1" x14ac:dyDescent="0.25">
      <c r="A3357" s="28">
        <v>43770</v>
      </c>
      <c r="B3357" s="27" t="s">
        <v>2</v>
      </c>
      <c r="C3357" s="27" t="s">
        <v>50</v>
      </c>
      <c r="D3357" s="27" t="s">
        <v>7</v>
      </c>
      <c r="E3357" s="27" t="s">
        <v>15</v>
      </c>
      <c r="F3357" s="29"/>
      <c r="G3357" s="30">
        <v>310.20999999999998</v>
      </c>
    </row>
    <row r="3358" spans="1:7" hidden="1" x14ac:dyDescent="0.25">
      <c r="A3358" s="28">
        <v>43770</v>
      </c>
      <c r="B3358" s="27" t="s">
        <v>2</v>
      </c>
      <c r="C3358" s="27" t="s">
        <v>50</v>
      </c>
      <c r="D3358" s="27" t="s">
        <v>7</v>
      </c>
      <c r="E3358" s="27" t="s">
        <v>16</v>
      </c>
      <c r="F3358" s="29"/>
      <c r="G3358" s="30">
        <v>558.80999999999995</v>
      </c>
    </row>
    <row r="3359" spans="1:7" hidden="1" x14ac:dyDescent="0.25">
      <c r="A3359" s="28">
        <v>43770</v>
      </c>
      <c r="B3359" s="27" t="s">
        <v>2</v>
      </c>
      <c r="C3359" s="27" t="s">
        <v>50</v>
      </c>
      <c r="D3359" s="27" t="s">
        <v>7</v>
      </c>
      <c r="E3359" s="27" t="s">
        <v>17</v>
      </c>
      <c r="F3359" s="29"/>
      <c r="G3359" s="30">
        <v>1232.6099999999999</v>
      </c>
    </row>
    <row r="3360" spans="1:7" hidden="1" x14ac:dyDescent="0.25">
      <c r="A3360" s="28">
        <v>43770</v>
      </c>
      <c r="B3360" s="27" t="s">
        <v>2</v>
      </c>
      <c r="C3360" s="27" t="s">
        <v>50</v>
      </c>
      <c r="D3360" s="27" t="s">
        <v>7</v>
      </c>
      <c r="E3360" s="27" t="s">
        <v>18</v>
      </c>
      <c r="F3360" s="29"/>
      <c r="G3360" s="30">
        <v>213.92</v>
      </c>
    </row>
    <row r="3361" spans="1:7" hidden="1" x14ac:dyDescent="0.25">
      <c r="A3361" s="28">
        <v>43770</v>
      </c>
      <c r="B3361" s="27" t="s">
        <v>2</v>
      </c>
      <c r="C3361" s="27" t="s">
        <v>50</v>
      </c>
      <c r="D3361" s="27" t="s">
        <v>7</v>
      </c>
      <c r="E3361" s="27" t="s">
        <v>19</v>
      </c>
      <c r="F3361" s="29"/>
      <c r="G3361" s="30">
        <v>618.9</v>
      </c>
    </row>
    <row r="3362" spans="1:7" hidden="1" x14ac:dyDescent="0.25">
      <c r="A3362" s="28">
        <v>43770</v>
      </c>
      <c r="B3362" s="27" t="s">
        <v>2</v>
      </c>
      <c r="C3362" s="27" t="s">
        <v>50</v>
      </c>
      <c r="D3362" s="27" t="s">
        <v>7</v>
      </c>
      <c r="E3362" s="27" t="s">
        <v>20</v>
      </c>
      <c r="F3362" s="29"/>
      <c r="G3362" s="30">
        <v>235.72</v>
      </c>
    </row>
    <row r="3363" spans="1:7" hidden="1" x14ac:dyDescent="0.25">
      <c r="A3363" s="28">
        <v>43770</v>
      </c>
      <c r="B3363" s="27" t="s">
        <v>2</v>
      </c>
      <c r="C3363" s="27" t="s">
        <v>50</v>
      </c>
      <c r="D3363" s="27" t="s">
        <v>7</v>
      </c>
      <c r="E3363" s="27" t="s">
        <v>38</v>
      </c>
      <c r="F3363" s="29"/>
      <c r="G3363" s="30">
        <v>326.57</v>
      </c>
    </row>
    <row r="3364" spans="1:7" hidden="1" x14ac:dyDescent="0.25">
      <c r="A3364" s="28">
        <v>43770</v>
      </c>
      <c r="B3364" s="27" t="s">
        <v>2</v>
      </c>
      <c r="C3364" s="27" t="s">
        <v>50</v>
      </c>
      <c r="D3364" s="27" t="s">
        <v>7</v>
      </c>
      <c r="E3364" s="27" t="s">
        <v>23</v>
      </c>
      <c r="F3364" s="29"/>
      <c r="G3364" s="30">
        <v>259.13</v>
      </c>
    </row>
    <row r="3365" spans="1:7" hidden="1" x14ac:dyDescent="0.25">
      <c r="A3365" s="28">
        <v>43770</v>
      </c>
      <c r="B3365" s="27" t="s">
        <v>2</v>
      </c>
      <c r="C3365" s="27" t="s">
        <v>50</v>
      </c>
      <c r="D3365" s="27" t="s">
        <v>7</v>
      </c>
      <c r="E3365" s="27" t="s">
        <v>22</v>
      </c>
      <c r="F3365" s="29"/>
      <c r="G3365" s="30">
        <v>504.82</v>
      </c>
    </row>
    <row r="3366" spans="1:7" hidden="1" x14ac:dyDescent="0.25">
      <c r="A3366" s="28">
        <v>43770</v>
      </c>
      <c r="B3366" s="27" t="s">
        <v>2</v>
      </c>
      <c r="C3366" s="27" t="s">
        <v>50</v>
      </c>
      <c r="D3366" s="27" t="s">
        <v>7</v>
      </c>
      <c r="E3366" s="27" t="s">
        <v>204</v>
      </c>
      <c r="F3366" s="29"/>
      <c r="G3366" s="30">
        <v>25.72</v>
      </c>
    </row>
    <row r="3367" spans="1:7" hidden="1" x14ac:dyDescent="0.25">
      <c r="A3367" s="28">
        <v>43770</v>
      </c>
      <c r="B3367" s="27" t="s">
        <v>36</v>
      </c>
      <c r="C3367" s="27" t="s">
        <v>50</v>
      </c>
      <c r="D3367" s="27" t="s">
        <v>6</v>
      </c>
      <c r="E3367" s="27" t="s">
        <v>8</v>
      </c>
      <c r="F3367" s="29"/>
      <c r="G3367" s="30">
        <v>321.07</v>
      </c>
    </row>
    <row r="3368" spans="1:7" hidden="1" x14ac:dyDescent="0.25">
      <c r="A3368" s="28">
        <v>43770</v>
      </c>
      <c r="B3368" s="27" t="s">
        <v>36</v>
      </c>
      <c r="C3368" s="27" t="s">
        <v>50</v>
      </c>
      <c r="D3368" s="27" t="s">
        <v>6</v>
      </c>
      <c r="E3368" s="27" t="s">
        <v>9</v>
      </c>
      <c r="F3368" s="29"/>
      <c r="G3368" s="30">
        <v>56</v>
      </c>
    </row>
    <row r="3369" spans="1:7" hidden="1" x14ac:dyDescent="0.25">
      <c r="A3369" s="28">
        <v>43770</v>
      </c>
      <c r="B3369" s="27" t="s">
        <v>36</v>
      </c>
      <c r="C3369" s="27" t="s">
        <v>50</v>
      </c>
      <c r="D3369" s="27" t="s">
        <v>6</v>
      </c>
      <c r="E3369" s="27" t="s">
        <v>64</v>
      </c>
      <c r="F3369" s="29"/>
      <c r="G3369" s="30">
        <v>56</v>
      </c>
    </row>
    <row r="3370" spans="1:7" hidden="1" x14ac:dyDescent="0.25">
      <c r="A3370" s="28">
        <v>43770</v>
      </c>
      <c r="B3370" s="27" t="s">
        <v>36</v>
      </c>
      <c r="C3370" s="27" t="s">
        <v>50</v>
      </c>
      <c r="D3370" s="27" t="s">
        <v>6</v>
      </c>
      <c r="E3370" s="27" t="s">
        <v>21</v>
      </c>
      <c r="F3370" s="29"/>
      <c r="G3370" s="30">
        <v>199</v>
      </c>
    </row>
    <row r="3371" spans="1:7" hidden="1" x14ac:dyDescent="0.25">
      <c r="A3371" s="28">
        <v>43770</v>
      </c>
      <c r="B3371" s="27" t="s">
        <v>36</v>
      </c>
      <c r="C3371" s="27" t="s">
        <v>50</v>
      </c>
      <c r="D3371" s="27" t="s">
        <v>6</v>
      </c>
      <c r="E3371" s="27" t="s">
        <v>21</v>
      </c>
      <c r="F3371" s="29"/>
      <c r="G3371" s="30">
        <v>92.28</v>
      </c>
    </row>
    <row r="3372" spans="1:7" hidden="1" x14ac:dyDescent="0.25">
      <c r="A3372" s="28">
        <v>43770</v>
      </c>
      <c r="B3372" s="27" t="s">
        <v>36</v>
      </c>
      <c r="C3372" s="27" t="s">
        <v>50</v>
      </c>
      <c r="D3372" s="27" t="s">
        <v>6</v>
      </c>
      <c r="E3372" s="27" t="s">
        <v>10</v>
      </c>
      <c r="F3372" s="29"/>
      <c r="G3372" s="30">
        <v>481.07</v>
      </c>
    </row>
    <row r="3373" spans="1:7" hidden="1" x14ac:dyDescent="0.25">
      <c r="A3373" s="28">
        <v>43770</v>
      </c>
      <c r="B3373" s="27" t="s">
        <v>36</v>
      </c>
      <c r="C3373" s="27" t="s">
        <v>50</v>
      </c>
      <c r="D3373" s="27" t="s">
        <v>6</v>
      </c>
      <c r="E3373" s="27" t="s">
        <v>11</v>
      </c>
      <c r="F3373" s="29"/>
      <c r="G3373" s="30">
        <v>481.49</v>
      </c>
    </row>
    <row r="3374" spans="1:7" hidden="1" x14ac:dyDescent="0.25">
      <c r="A3374" s="28">
        <v>43770</v>
      </c>
      <c r="B3374" s="27" t="s">
        <v>36</v>
      </c>
      <c r="C3374" s="27" t="s">
        <v>50</v>
      </c>
      <c r="D3374" s="27" t="s">
        <v>6</v>
      </c>
      <c r="E3374" s="27" t="s">
        <v>12</v>
      </c>
      <c r="F3374" s="29"/>
      <c r="G3374" s="30">
        <v>78.69</v>
      </c>
    </row>
    <row r="3375" spans="1:7" hidden="1" x14ac:dyDescent="0.25">
      <c r="A3375" s="28">
        <v>43770</v>
      </c>
      <c r="B3375" s="27" t="s">
        <v>36</v>
      </c>
      <c r="C3375" s="27" t="s">
        <v>50</v>
      </c>
      <c r="D3375" s="27" t="s">
        <v>6</v>
      </c>
      <c r="E3375" s="27" t="s">
        <v>13</v>
      </c>
      <c r="F3375" s="29"/>
      <c r="G3375" s="30">
        <v>56</v>
      </c>
    </row>
    <row r="3376" spans="1:7" hidden="1" x14ac:dyDescent="0.25">
      <c r="A3376" s="28">
        <v>43770</v>
      </c>
      <c r="B3376" s="27" t="s">
        <v>36</v>
      </c>
      <c r="C3376" s="27" t="s">
        <v>50</v>
      </c>
      <c r="D3376" s="27" t="s">
        <v>6</v>
      </c>
      <c r="E3376" s="27" t="s">
        <v>14</v>
      </c>
      <c r="F3376" s="29"/>
      <c r="G3376" s="30">
        <v>219.69</v>
      </c>
    </row>
    <row r="3377" spans="1:7" hidden="1" x14ac:dyDescent="0.25">
      <c r="A3377" s="28">
        <v>43770</v>
      </c>
      <c r="B3377" s="27" t="s">
        <v>36</v>
      </c>
      <c r="C3377" s="27" t="s">
        <v>50</v>
      </c>
      <c r="D3377" s="27" t="s">
        <v>6</v>
      </c>
      <c r="E3377" s="27" t="s">
        <v>15</v>
      </c>
      <c r="F3377" s="29"/>
      <c r="G3377" s="30">
        <v>351.6</v>
      </c>
    </row>
    <row r="3378" spans="1:7" hidden="1" x14ac:dyDescent="0.25">
      <c r="A3378" s="28">
        <v>43770</v>
      </c>
      <c r="B3378" s="27" t="s">
        <v>36</v>
      </c>
      <c r="C3378" s="27" t="s">
        <v>50</v>
      </c>
      <c r="D3378" s="27" t="s">
        <v>6</v>
      </c>
      <c r="E3378" s="27" t="s">
        <v>16</v>
      </c>
      <c r="F3378" s="29"/>
      <c r="G3378" s="30">
        <v>295.60000000000002</v>
      </c>
    </row>
    <row r="3379" spans="1:7" hidden="1" x14ac:dyDescent="0.25">
      <c r="A3379" s="28">
        <v>43770</v>
      </c>
      <c r="B3379" s="27" t="s">
        <v>36</v>
      </c>
      <c r="C3379" s="27" t="s">
        <v>50</v>
      </c>
      <c r="D3379" s="27" t="s">
        <v>6</v>
      </c>
      <c r="E3379" s="27" t="s">
        <v>17</v>
      </c>
      <c r="F3379" s="29"/>
      <c r="G3379" s="30">
        <v>172</v>
      </c>
    </row>
    <row r="3380" spans="1:7" hidden="1" x14ac:dyDescent="0.25">
      <c r="A3380" s="28">
        <v>43770</v>
      </c>
      <c r="B3380" s="27" t="s">
        <v>36</v>
      </c>
      <c r="C3380" s="27" t="s">
        <v>50</v>
      </c>
      <c r="D3380" s="27" t="s">
        <v>6</v>
      </c>
      <c r="E3380" s="27" t="s">
        <v>18</v>
      </c>
      <c r="F3380" s="29"/>
      <c r="G3380" s="30">
        <v>56</v>
      </c>
    </row>
    <row r="3381" spans="1:7" hidden="1" x14ac:dyDescent="0.25">
      <c r="A3381" s="28">
        <v>43770</v>
      </c>
      <c r="B3381" s="27" t="s">
        <v>36</v>
      </c>
      <c r="C3381" s="27" t="s">
        <v>50</v>
      </c>
      <c r="D3381" s="27" t="s">
        <v>6</v>
      </c>
      <c r="E3381" s="27" t="s">
        <v>19</v>
      </c>
      <c r="F3381" s="29"/>
      <c r="G3381" s="30">
        <v>179.59</v>
      </c>
    </row>
    <row r="3382" spans="1:7" hidden="1" x14ac:dyDescent="0.25">
      <c r="A3382" s="28">
        <v>43770</v>
      </c>
      <c r="B3382" s="27" t="s">
        <v>36</v>
      </c>
      <c r="C3382" s="27" t="s">
        <v>50</v>
      </c>
      <c r="D3382" s="27" t="s">
        <v>6</v>
      </c>
      <c r="E3382" s="27" t="s">
        <v>20</v>
      </c>
      <c r="F3382" s="29"/>
      <c r="G3382" s="30">
        <v>56</v>
      </c>
    </row>
    <row r="3383" spans="1:7" hidden="1" x14ac:dyDescent="0.25">
      <c r="A3383" s="28">
        <v>43770</v>
      </c>
      <c r="B3383" s="27" t="s">
        <v>36</v>
      </c>
      <c r="C3383" s="27" t="s">
        <v>50</v>
      </c>
      <c r="D3383" s="27" t="s">
        <v>6</v>
      </c>
      <c r="E3383" s="27" t="s">
        <v>38</v>
      </c>
      <c r="F3383" s="29"/>
      <c r="G3383" s="30">
        <v>56</v>
      </c>
    </row>
    <row r="3384" spans="1:7" hidden="1" x14ac:dyDescent="0.25">
      <c r="A3384" s="28">
        <v>43770</v>
      </c>
      <c r="B3384" s="27" t="s">
        <v>36</v>
      </c>
      <c r="C3384" s="27" t="s">
        <v>50</v>
      </c>
      <c r="D3384" s="27" t="s">
        <v>6</v>
      </c>
      <c r="E3384" s="27" t="s">
        <v>23</v>
      </c>
      <c r="F3384" s="29"/>
      <c r="G3384" s="30">
        <v>40</v>
      </c>
    </row>
    <row r="3385" spans="1:7" hidden="1" x14ac:dyDescent="0.25">
      <c r="A3385" s="28">
        <v>43770</v>
      </c>
      <c r="B3385" s="27" t="s">
        <v>36</v>
      </c>
      <c r="C3385" s="27" t="s">
        <v>50</v>
      </c>
      <c r="D3385" s="27" t="s">
        <v>6</v>
      </c>
      <c r="E3385" s="27" t="s">
        <v>22</v>
      </c>
      <c r="F3385" s="29"/>
      <c r="G3385" s="30">
        <v>292</v>
      </c>
    </row>
    <row r="3386" spans="1:7" hidden="1" x14ac:dyDescent="0.25">
      <c r="A3386" s="28">
        <v>43770</v>
      </c>
      <c r="B3386" s="27" t="s">
        <v>200</v>
      </c>
      <c r="C3386" s="27" t="s">
        <v>53</v>
      </c>
      <c r="D3386" s="27" t="s">
        <v>6</v>
      </c>
      <c r="E3386" s="27" t="s">
        <v>8</v>
      </c>
      <c r="F3386" s="29"/>
      <c r="G3386" s="30">
        <f t="shared" ref="G3386:G3405" si="60">7336.92928888889/20</f>
        <v>366.84646444444451</v>
      </c>
    </row>
    <row r="3387" spans="1:7" hidden="1" x14ac:dyDescent="0.25">
      <c r="A3387" s="28">
        <v>43770</v>
      </c>
      <c r="B3387" s="27" t="s">
        <v>200</v>
      </c>
      <c r="C3387" s="27" t="s">
        <v>53</v>
      </c>
      <c r="D3387" s="27" t="s">
        <v>6</v>
      </c>
      <c r="E3387" s="27" t="s">
        <v>9</v>
      </c>
      <c r="F3387" s="29"/>
      <c r="G3387" s="30">
        <f t="shared" si="60"/>
        <v>366.84646444444451</v>
      </c>
    </row>
    <row r="3388" spans="1:7" hidden="1" x14ac:dyDescent="0.25">
      <c r="A3388" s="28">
        <v>43770</v>
      </c>
      <c r="B3388" s="27" t="s">
        <v>200</v>
      </c>
      <c r="C3388" s="27" t="s">
        <v>53</v>
      </c>
      <c r="D3388" s="27" t="s">
        <v>6</v>
      </c>
      <c r="E3388" s="27" t="s">
        <v>64</v>
      </c>
      <c r="F3388" s="29"/>
      <c r="G3388" s="30">
        <f t="shared" si="60"/>
        <v>366.84646444444451</v>
      </c>
    </row>
    <row r="3389" spans="1:7" hidden="1" x14ac:dyDescent="0.25">
      <c r="A3389" s="28">
        <v>43770</v>
      </c>
      <c r="B3389" s="27" t="s">
        <v>200</v>
      </c>
      <c r="C3389" s="27" t="s">
        <v>53</v>
      </c>
      <c r="D3389" s="27" t="s">
        <v>6</v>
      </c>
      <c r="E3389" s="27" t="s">
        <v>21</v>
      </c>
      <c r="F3389" s="29"/>
      <c r="G3389" s="30">
        <f t="shared" si="60"/>
        <v>366.84646444444451</v>
      </c>
    </row>
    <row r="3390" spans="1:7" hidden="1" x14ac:dyDescent="0.25">
      <c r="A3390" s="28">
        <v>43770</v>
      </c>
      <c r="B3390" s="27" t="s">
        <v>200</v>
      </c>
      <c r="C3390" s="27" t="s">
        <v>53</v>
      </c>
      <c r="D3390" s="27" t="s">
        <v>6</v>
      </c>
      <c r="E3390" s="27" t="s">
        <v>10</v>
      </c>
      <c r="F3390" s="29"/>
      <c r="G3390" s="30">
        <f t="shared" si="60"/>
        <v>366.84646444444451</v>
      </c>
    </row>
    <row r="3391" spans="1:7" hidden="1" x14ac:dyDescent="0.25">
      <c r="A3391" s="28">
        <v>43770</v>
      </c>
      <c r="B3391" s="27" t="s">
        <v>200</v>
      </c>
      <c r="C3391" s="27" t="s">
        <v>53</v>
      </c>
      <c r="D3391" s="27" t="s">
        <v>6</v>
      </c>
      <c r="E3391" s="27" t="s">
        <v>11</v>
      </c>
      <c r="F3391" s="29"/>
      <c r="G3391" s="30">
        <f t="shared" si="60"/>
        <v>366.84646444444451</v>
      </c>
    </row>
    <row r="3392" spans="1:7" hidden="1" x14ac:dyDescent="0.25">
      <c r="A3392" s="28">
        <v>43770</v>
      </c>
      <c r="B3392" s="27" t="s">
        <v>200</v>
      </c>
      <c r="C3392" s="27" t="s">
        <v>53</v>
      </c>
      <c r="D3392" s="27" t="s">
        <v>6</v>
      </c>
      <c r="E3392" s="27" t="s">
        <v>12</v>
      </c>
      <c r="F3392" s="29"/>
      <c r="G3392" s="30">
        <f t="shared" si="60"/>
        <v>366.84646444444451</v>
      </c>
    </row>
    <row r="3393" spans="1:7" hidden="1" x14ac:dyDescent="0.25">
      <c r="A3393" s="28">
        <v>43770</v>
      </c>
      <c r="B3393" s="27" t="s">
        <v>200</v>
      </c>
      <c r="C3393" s="27" t="s">
        <v>53</v>
      </c>
      <c r="D3393" s="27" t="s">
        <v>6</v>
      </c>
      <c r="E3393" s="27" t="s">
        <v>13</v>
      </c>
      <c r="F3393" s="29"/>
      <c r="G3393" s="30">
        <f t="shared" si="60"/>
        <v>366.84646444444451</v>
      </c>
    </row>
    <row r="3394" spans="1:7" hidden="1" x14ac:dyDescent="0.25">
      <c r="A3394" s="28">
        <v>43770</v>
      </c>
      <c r="B3394" s="27" t="s">
        <v>200</v>
      </c>
      <c r="C3394" s="27" t="s">
        <v>53</v>
      </c>
      <c r="D3394" s="27" t="s">
        <v>6</v>
      </c>
      <c r="E3394" s="27" t="s">
        <v>14</v>
      </c>
      <c r="F3394" s="29"/>
      <c r="G3394" s="30">
        <f t="shared" si="60"/>
        <v>366.84646444444451</v>
      </c>
    </row>
    <row r="3395" spans="1:7" hidden="1" x14ac:dyDescent="0.25">
      <c r="A3395" s="28">
        <v>43770</v>
      </c>
      <c r="B3395" s="27" t="s">
        <v>200</v>
      </c>
      <c r="C3395" s="27" t="s">
        <v>53</v>
      </c>
      <c r="D3395" s="27" t="s">
        <v>6</v>
      </c>
      <c r="E3395" s="27" t="s">
        <v>15</v>
      </c>
      <c r="F3395" s="29"/>
      <c r="G3395" s="30">
        <f t="shared" si="60"/>
        <v>366.84646444444451</v>
      </c>
    </row>
    <row r="3396" spans="1:7" hidden="1" x14ac:dyDescent="0.25">
      <c r="A3396" s="28">
        <v>43770</v>
      </c>
      <c r="B3396" s="27" t="s">
        <v>200</v>
      </c>
      <c r="C3396" s="27" t="s">
        <v>53</v>
      </c>
      <c r="D3396" s="27" t="s">
        <v>6</v>
      </c>
      <c r="E3396" s="27" t="s">
        <v>16</v>
      </c>
      <c r="F3396" s="29"/>
      <c r="G3396" s="30">
        <f t="shared" si="60"/>
        <v>366.84646444444451</v>
      </c>
    </row>
    <row r="3397" spans="1:7" hidden="1" x14ac:dyDescent="0.25">
      <c r="A3397" s="28">
        <v>43770</v>
      </c>
      <c r="B3397" s="27" t="s">
        <v>200</v>
      </c>
      <c r="C3397" s="27" t="s">
        <v>53</v>
      </c>
      <c r="D3397" s="27" t="s">
        <v>6</v>
      </c>
      <c r="E3397" s="27" t="s">
        <v>17</v>
      </c>
      <c r="F3397" s="29"/>
      <c r="G3397" s="30">
        <f t="shared" si="60"/>
        <v>366.84646444444451</v>
      </c>
    </row>
    <row r="3398" spans="1:7" hidden="1" x14ac:dyDescent="0.25">
      <c r="A3398" s="28">
        <v>43770</v>
      </c>
      <c r="B3398" s="27" t="s">
        <v>200</v>
      </c>
      <c r="C3398" s="27" t="s">
        <v>53</v>
      </c>
      <c r="D3398" s="27" t="s">
        <v>6</v>
      </c>
      <c r="E3398" s="27" t="s">
        <v>18</v>
      </c>
      <c r="F3398" s="29"/>
      <c r="G3398" s="30">
        <f t="shared" si="60"/>
        <v>366.84646444444451</v>
      </c>
    </row>
    <row r="3399" spans="1:7" hidden="1" x14ac:dyDescent="0.25">
      <c r="A3399" s="28">
        <v>43770</v>
      </c>
      <c r="B3399" s="27" t="s">
        <v>200</v>
      </c>
      <c r="C3399" s="27" t="s">
        <v>53</v>
      </c>
      <c r="D3399" s="27" t="s">
        <v>6</v>
      </c>
      <c r="E3399" s="27" t="s">
        <v>19</v>
      </c>
      <c r="F3399" s="29"/>
      <c r="G3399" s="30">
        <f t="shared" si="60"/>
        <v>366.84646444444451</v>
      </c>
    </row>
    <row r="3400" spans="1:7" hidden="1" x14ac:dyDescent="0.25">
      <c r="A3400" s="28">
        <v>43770</v>
      </c>
      <c r="B3400" s="27" t="s">
        <v>200</v>
      </c>
      <c r="C3400" s="27" t="s">
        <v>53</v>
      </c>
      <c r="D3400" s="27" t="s">
        <v>6</v>
      </c>
      <c r="E3400" s="27" t="s">
        <v>20</v>
      </c>
      <c r="F3400" s="29"/>
      <c r="G3400" s="30">
        <f t="shared" si="60"/>
        <v>366.84646444444451</v>
      </c>
    </row>
    <row r="3401" spans="1:7" hidden="1" x14ac:dyDescent="0.25">
      <c r="A3401" s="28">
        <v>43770</v>
      </c>
      <c r="B3401" s="27" t="s">
        <v>200</v>
      </c>
      <c r="C3401" s="27" t="s">
        <v>53</v>
      </c>
      <c r="D3401" s="27" t="s">
        <v>6</v>
      </c>
      <c r="E3401" s="27" t="s">
        <v>38</v>
      </c>
      <c r="F3401" s="29"/>
      <c r="G3401" s="30">
        <f t="shared" si="60"/>
        <v>366.84646444444451</v>
      </c>
    </row>
    <row r="3402" spans="1:7" hidden="1" x14ac:dyDescent="0.25">
      <c r="A3402" s="28">
        <v>43770</v>
      </c>
      <c r="B3402" s="27" t="s">
        <v>200</v>
      </c>
      <c r="C3402" s="27" t="s">
        <v>53</v>
      </c>
      <c r="D3402" s="27" t="s">
        <v>6</v>
      </c>
      <c r="E3402" s="27" t="s">
        <v>23</v>
      </c>
      <c r="F3402" s="29"/>
      <c r="G3402" s="30">
        <f t="shared" si="60"/>
        <v>366.84646444444451</v>
      </c>
    </row>
    <row r="3403" spans="1:7" hidden="1" x14ac:dyDescent="0.25">
      <c r="A3403" s="28">
        <v>43770</v>
      </c>
      <c r="B3403" s="27" t="s">
        <v>200</v>
      </c>
      <c r="C3403" s="27" t="s">
        <v>53</v>
      </c>
      <c r="D3403" s="27" t="s">
        <v>6</v>
      </c>
      <c r="E3403" s="27" t="s">
        <v>22</v>
      </c>
      <c r="F3403" s="29"/>
      <c r="G3403" s="30">
        <f t="shared" si="60"/>
        <v>366.84646444444451</v>
      </c>
    </row>
    <row r="3404" spans="1:7" hidden="1" x14ac:dyDescent="0.25">
      <c r="A3404" s="28">
        <v>43770</v>
      </c>
      <c r="B3404" s="27" t="s">
        <v>200</v>
      </c>
      <c r="C3404" s="27" t="s">
        <v>53</v>
      </c>
      <c r="D3404" s="27" t="s">
        <v>6</v>
      </c>
      <c r="E3404" s="27" t="s">
        <v>204</v>
      </c>
      <c r="F3404" s="29"/>
      <c r="G3404" s="30">
        <f t="shared" si="60"/>
        <v>366.84646444444451</v>
      </c>
    </row>
    <row r="3405" spans="1:7" hidden="1" x14ac:dyDescent="0.25">
      <c r="A3405" s="28">
        <v>43770</v>
      </c>
      <c r="B3405" s="27" t="s">
        <v>200</v>
      </c>
      <c r="C3405" s="27" t="s">
        <v>53</v>
      </c>
      <c r="D3405" s="27" t="s">
        <v>6</v>
      </c>
      <c r="E3405" s="27" t="s">
        <v>205</v>
      </c>
      <c r="F3405" s="29"/>
      <c r="G3405" s="30">
        <f t="shared" si="60"/>
        <v>366.84646444444451</v>
      </c>
    </row>
    <row r="3406" spans="1:7" hidden="1" x14ac:dyDescent="0.25">
      <c r="A3406" s="28">
        <v>43770</v>
      </c>
      <c r="B3406" s="27" t="s">
        <v>200</v>
      </c>
      <c r="C3406" s="27" t="s">
        <v>54</v>
      </c>
      <c r="D3406" s="27" t="s">
        <v>7</v>
      </c>
      <c r="E3406" s="27" t="s">
        <v>8</v>
      </c>
      <c r="F3406" s="29"/>
      <c r="G3406" s="30">
        <f t="shared" ref="G3406:G3424" si="61">554.14/19</f>
        <v>29.165263157894735</v>
      </c>
    </row>
    <row r="3407" spans="1:7" hidden="1" x14ac:dyDescent="0.25">
      <c r="A3407" s="28">
        <v>43770</v>
      </c>
      <c r="B3407" s="27" t="s">
        <v>200</v>
      </c>
      <c r="C3407" s="27" t="s">
        <v>54</v>
      </c>
      <c r="D3407" s="27" t="s">
        <v>7</v>
      </c>
      <c r="E3407" s="27" t="s">
        <v>9</v>
      </c>
      <c r="F3407" s="29"/>
      <c r="G3407" s="30">
        <f t="shared" si="61"/>
        <v>29.165263157894735</v>
      </c>
    </row>
    <row r="3408" spans="1:7" hidden="1" x14ac:dyDescent="0.25">
      <c r="A3408" s="28">
        <v>43770</v>
      </c>
      <c r="B3408" s="27" t="s">
        <v>200</v>
      </c>
      <c r="C3408" s="27" t="s">
        <v>54</v>
      </c>
      <c r="D3408" s="27" t="s">
        <v>7</v>
      </c>
      <c r="E3408" s="27" t="s">
        <v>64</v>
      </c>
      <c r="F3408" s="29"/>
      <c r="G3408" s="30">
        <f t="shared" si="61"/>
        <v>29.165263157894735</v>
      </c>
    </row>
    <row r="3409" spans="1:7" hidden="1" x14ac:dyDescent="0.25">
      <c r="A3409" s="28">
        <v>43770</v>
      </c>
      <c r="B3409" s="27" t="s">
        <v>200</v>
      </c>
      <c r="C3409" s="27" t="s">
        <v>54</v>
      </c>
      <c r="D3409" s="27" t="s">
        <v>7</v>
      </c>
      <c r="E3409" s="27" t="s">
        <v>21</v>
      </c>
      <c r="F3409" s="29"/>
      <c r="G3409" s="30">
        <f t="shared" si="61"/>
        <v>29.165263157894735</v>
      </c>
    </row>
    <row r="3410" spans="1:7" hidden="1" x14ac:dyDescent="0.25">
      <c r="A3410" s="28">
        <v>43770</v>
      </c>
      <c r="B3410" s="27" t="s">
        <v>200</v>
      </c>
      <c r="C3410" s="27" t="s">
        <v>54</v>
      </c>
      <c r="D3410" s="27" t="s">
        <v>7</v>
      </c>
      <c r="E3410" s="27" t="s">
        <v>10</v>
      </c>
      <c r="F3410" s="29"/>
      <c r="G3410" s="30">
        <f t="shared" si="61"/>
        <v>29.165263157894735</v>
      </c>
    </row>
    <row r="3411" spans="1:7" hidden="1" x14ac:dyDescent="0.25">
      <c r="A3411" s="28">
        <v>43770</v>
      </c>
      <c r="B3411" s="27" t="s">
        <v>200</v>
      </c>
      <c r="C3411" s="27" t="s">
        <v>54</v>
      </c>
      <c r="D3411" s="27" t="s">
        <v>7</v>
      </c>
      <c r="E3411" s="27" t="s">
        <v>11</v>
      </c>
      <c r="F3411" s="29"/>
      <c r="G3411" s="30">
        <f t="shared" si="61"/>
        <v>29.165263157894735</v>
      </c>
    </row>
    <row r="3412" spans="1:7" hidden="1" x14ac:dyDescent="0.25">
      <c r="A3412" s="28">
        <v>43770</v>
      </c>
      <c r="B3412" s="27" t="s">
        <v>200</v>
      </c>
      <c r="C3412" s="27" t="s">
        <v>54</v>
      </c>
      <c r="D3412" s="27" t="s">
        <v>7</v>
      </c>
      <c r="E3412" s="27" t="s">
        <v>12</v>
      </c>
      <c r="F3412" s="29"/>
      <c r="G3412" s="30">
        <f t="shared" si="61"/>
        <v>29.165263157894735</v>
      </c>
    </row>
    <row r="3413" spans="1:7" hidden="1" x14ac:dyDescent="0.25">
      <c r="A3413" s="28">
        <v>43770</v>
      </c>
      <c r="B3413" s="27" t="s">
        <v>200</v>
      </c>
      <c r="C3413" s="27" t="s">
        <v>54</v>
      </c>
      <c r="D3413" s="27" t="s">
        <v>7</v>
      </c>
      <c r="E3413" s="27" t="s">
        <v>13</v>
      </c>
      <c r="F3413" s="29"/>
      <c r="G3413" s="30">
        <f t="shared" si="61"/>
        <v>29.165263157894735</v>
      </c>
    </row>
    <row r="3414" spans="1:7" hidden="1" x14ac:dyDescent="0.25">
      <c r="A3414" s="28">
        <v>43770</v>
      </c>
      <c r="B3414" s="27" t="s">
        <v>200</v>
      </c>
      <c r="C3414" s="27" t="s">
        <v>54</v>
      </c>
      <c r="D3414" s="27" t="s">
        <v>7</v>
      </c>
      <c r="E3414" s="27" t="s">
        <v>14</v>
      </c>
      <c r="F3414" s="29"/>
      <c r="G3414" s="30">
        <f t="shared" si="61"/>
        <v>29.165263157894735</v>
      </c>
    </row>
    <row r="3415" spans="1:7" hidden="1" x14ac:dyDescent="0.25">
      <c r="A3415" s="28">
        <v>43770</v>
      </c>
      <c r="B3415" s="27" t="s">
        <v>200</v>
      </c>
      <c r="C3415" s="27" t="s">
        <v>54</v>
      </c>
      <c r="D3415" s="27" t="s">
        <v>7</v>
      </c>
      <c r="E3415" s="27" t="s">
        <v>15</v>
      </c>
      <c r="F3415" s="29"/>
      <c r="G3415" s="30">
        <f t="shared" si="61"/>
        <v>29.165263157894735</v>
      </c>
    </row>
    <row r="3416" spans="1:7" hidden="1" x14ac:dyDescent="0.25">
      <c r="A3416" s="28">
        <v>43770</v>
      </c>
      <c r="B3416" s="27" t="s">
        <v>200</v>
      </c>
      <c r="C3416" s="27" t="s">
        <v>54</v>
      </c>
      <c r="D3416" s="27" t="s">
        <v>7</v>
      </c>
      <c r="E3416" s="27" t="s">
        <v>16</v>
      </c>
      <c r="F3416" s="29"/>
      <c r="G3416" s="30">
        <f t="shared" si="61"/>
        <v>29.165263157894735</v>
      </c>
    </row>
    <row r="3417" spans="1:7" hidden="1" x14ac:dyDescent="0.25">
      <c r="A3417" s="28">
        <v>43770</v>
      </c>
      <c r="B3417" s="27" t="s">
        <v>200</v>
      </c>
      <c r="C3417" s="27" t="s">
        <v>54</v>
      </c>
      <c r="D3417" s="27" t="s">
        <v>7</v>
      </c>
      <c r="E3417" s="27" t="s">
        <v>17</v>
      </c>
      <c r="F3417" s="29"/>
      <c r="G3417" s="30">
        <f t="shared" si="61"/>
        <v>29.165263157894735</v>
      </c>
    </row>
    <row r="3418" spans="1:7" hidden="1" x14ac:dyDescent="0.25">
      <c r="A3418" s="28">
        <v>43770</v>
      </c>
      <c r="B3418" s="27" t="s">
        <v>200</v>
      </c>
      <c r="C3418" s="27" t="s">
        <v>54</v>
      </c>
      <c r="D3418" s="27" t="s">
        <v>7</v>
      </c>
      <c r="E3418" s="27" t="s">
        <v>18</v>
      </c>
      <c r="F3418" s="29"/>
      <c r="G3418" s="30">
        <f t="shared" si="61"/>
        <v>29.165263157894735</v>
      </c>
    </row>
    <row r="3419" spans="1:7" hidden="1" x14ac:dyDescent="0.25">
      <c r="A3419" s="28">
        <v>43770</v>
      </c>
      <c r="B3419" s="27" t="s">
        <v>200</v>
      </c>
      <c r="C3419" s="27" t="s">
        <v>54</v>
      </c>
      <c r="D3419" s="27" t="s">
        <v>7</v>
      </c>
      <c r="E3419" s="27" t="s">
        <v>19</v>
      </c>
      <c r="F3419" s="29"/>
      <c r="G3419" s="30">
        <f t="shared" si="61"/>
        <v>29.165263157894735</v>
      </c>
    </row>
    <row r="3420" spans="1:7" hidden="1" x14ac:dyDescent="0.25">
      <c r="A3420" s="28">
        <v>43770</v>
      </c>
      <c r="B3420" s="27" t="s">
        <v>200</v>
      </c>
      <c r="C3420" s="27" t="s">
        <v>54</v>
      </c>
      <c r="D3420" s="27" t="s">
        <v>7</v>
      </c>
      <c r="E3420" s="27" t="s">
        <v>20</v>
      </c>
      <c r="F3420" s="29"/>
      <c r="G3420" s="30">
        <f t="shared" si="61"/>
        <v>29.165263157894735</v>
      </c>
    </row>
    <row r="3421" spans="1:7" hidden="1" x14ac:dyDescent="0.25">
      <c r="A3421" s="28">
        <v>43770</v>
      </c>
      <c r="B3421" s="27" t="s">
        <v>200</v>
      </c>
      <c r="C3421" s="27" t="s">
        <v>54</v>
      </c>
      <c r="D3421" s="27" t="s">
        <v>7</v>
      </c>
      <c r="E3421" s="27" t="s">
        <v>38</v>
      </c>
      <c r="F3421" s="29"/>
      <c r="G3421" s="30">
        <f t="shared" si="61"/>
        <v>29.165263157894735</v>
      </c>
    </row>
    <row r="3422" spans="1:7" hidden="1" x14ac:dyDescent="0.25">
      <c r="A3422" s="28">
        <v>43770</v>
      </c>
      <c r="B3422" s="27" t="s">
        <v>200</v>
      </c>
      <c r="C3422" s="27" t="s">
        <v>54</v>
      </c>
      <c r="D3422" s="27" t="s">
        <v>7</v>
      </c>
      <c r="E3422" s="27" t="s">
        <v>23</v>
      </c>
      <c r="F3422" s="29"/>
      <c r="G3422" s="30">
        <f t="shared" si="61"/>
        <v>29.165263157894735</v>
      </c>
    </row>
    <row r="3423" spans="1:7" hidden="1" x14ac:dyDescent="0.25">
      <c r="A3423" s="28">
        <v>43770</v>
      </c>
      <c r="B3423" s="27" t="s">
        <v>200</v>
      </c>
      <c r="C3423" s="27" t="s">
        <v>54</v>
      </c>
      <c r="D3423" s="27" t="s">
        <v>7</v>
      </c>
      <c r="E3423" s="27" t="s">
        <v>22</v>
      </c>
      <c r="F3423" s="29"/>
      <c r="G3423" s="30">
        <f t="shared" si="61"/>
        <v>29.165263157894735</v>
      </c>
    </row>
    <row r="3424" spans="1:7" hidden="1" x14ac:dyDescent="0.25">
      <c r="A3424" s="28">
        <v>43770</v>
      </c>
      <c r="B3424" s="27" t="s">
        <v>200</v>
      </c>
      <c r="C3424" s="27" t="s">
        <v>54</v>
      </c>
      <c r="D3424" s="27" t="s">
        <v>7</v>
      </c>
      <c r="E3424" s="27" t="s">
        <v>37</v>
      </c>
      <c r="F3424" s="29"/>
      <c r="G3424" s="30">
        <f t="shared" si="61"/>
        <v>29.165263157894735</v>
      </c>
    </row>
    <row r="3425" spans="1:7" hidden="1" x14ac:dyDescent="0.25">
      <c r="A3425" s="28">
        <v>43770</v>
      </c>
      <c r="B3425" s="27" t="s">
        <v>200</v>
      </c>
      <c r="C3425" s="27" t="s">
        <v>55</v>
      </c>
      <c r="D3425" s="27" t="s">
        <v>6</v>
      </c>
      <c r="E3425" s="27" t="s">
        <v>8</v>
      </c>
      <c r="F3425" s="29"/>
      <c r="G3425" s="30">
        <f t="shared" ref="G3425:G3444" si="62">14067.8129333333/20</f>
        <v>703.39064666666502</v>
      </c>
    </row>
    <row r="3426" spans="1:7" hidden="1" x14ac:dyDescent="0.25">
      <c r="A3426" s="28">
        <v>43770</v>
      </c>
      <c r="B3426" s="27" t="s">
        <v>200</v>
      </c>
      <c r="C3426" s="27" t="s">
        <v>55</v>
      </c>
      <c r="D3426" s="27" t="s">
        <v>6</v>
      </c>
      <c r="E3426" s="27" t="s">
        <v>9</v>
      </c>
      <c r="F3426" s="29"/>
      <c r="G3426" s="30">
        <f t="shared" si="62"/>
        <v>703.39064666666502</v>
      </c>
    </row>
    <row r="3427" spans="1:7" hidden="1" x14ac:dyDescent="0.25">
      <c r="A3427" s="28">
        <v>43770</v>
      </c>
      <c r="B3427" s="27" t="s">
        <v>200</v>
      </c>
      <c r="C3427" s="27" t="s">
        <v>55</v>
      </c>
      <c r="D3427" s="27" t="s">
        <v>6</v>
      </c>
      <c r="E3427" s="27" t="s">
        <v>64</v>
      </c>
      <c r="F3427" s="29"/>
      <c r="G3427" s="30">
        <f t="shared" si="62"/>
        <v>703.39064666666502</v>
      </c>
    </row>
    <row r="3428" spans="1:7" hidden="1" x14ac:dyDescent="0.25">
      <c r="A3428" s="28">
        <v>43770</v>
      </c>
      <c r="B3428" s="27" t="s">
        <v>200</v>
      </c>
      <c r="C3428" s="27" t="s">
        <v>55</v>
      </c>
      <c r="D3428" s="27" t="s">
        <v>6</v>
      </c>
      <c r="E3428" s="27" t="s">
        <v>21</v>
      </c>
      <c r="F3428" s="29"/>
      <c r="G3428" s="30">
        <f t="shared" si="62"/>
        <v>703.39064666666502</v>
      </c>
    </row>
    <row r="3429" spans="1:7" hidden="1" x14ac:dyDescent="0.25">
      <c r="A3429" s="28">
        <v>43770</v>
      </c>
      <c r="B3429" s="27" t="s">
        <v>200</v>
      </c>
      <c r="C3429" s="27" t="s">
        <v>55</v>
      </c>
      <c r="D3429" s="27" t="s">
        <v>6</v>
      </c>
      <c r="E3429" s="27" t="s">
        <v>10</v>
      </c>
      <c r="F3429" s="29"/>
      <c r="G3429" s="30">
        <f t="shared" si="62"/>
        <v>703.39064666666502</v>
      </c>
    </row>
    <row r="3430" spans="1:7" hidden="1" x14ac:dyDescent="0.25">
      <c r="A3430" s="28">
        <v>43770</v>
      </c>
      <c r="B3430" s="27" t="s">
        <v>200</v>
      </c>
      <c r="C3430" s="27" t="s">
        <v>55</v>
      </c>
      <c r="D3430" s="27" t="s">
        <v>6</v>
      </c>
      <c r="E3430" s="27" t="s">
        <v>11</v>
      </c>
      <c r="F3430" s="29"/>
      <c r="G3430" s="30">
        <f t="shared" si="62"/>
        <v>703.39064666666502</v>
      </c>
    </row>
    <row r="3431" spans="1:7" hidden="1" x14ac:dyDescent="0.25">
      <c r="A3431" s="28">
        <v>43770</v>
      </c>
      <c r="B3431" s="27" t="s">
        <v>200</v>
      </c>
      <c r="C3431" s="27" t="s">
        <v>55</v>
      </c>
      <c r="D3431" s="27" t="s">
        <v>6</v>
      </c>
      <c r="E3431" s="27" t="s">
        <v>12</v>
      </c>
      <c r="F3431" s="29"/>
      <c r="G3431" s="30">
        <f t="shared" si="62"/>
        <v>703.39064666666502</v>
      </c>
    </row>
    <row r="3432" spans="1:7" hidden="1" x14ac:dyDescent="0.25">
      <c r="A3432" s="28">
        <v>43770</v>
      </c>
      <c r="B3432" s="27" t="s">
        <v>200</v>
      </c>
      <c r="C3432" s="27" t="s">
        <v>55</v>
      </c>
      <c r="D3432" s="27" t="s">
        <v>6</v>
      </c>
      <c r="E3432" s="27" t="s">
        <v>13</v>
      </c>
      <c r="F3432" s="29"/>
      <c r="G3432" s="30">
        <f t="shared" si="62"/>
        <v>703.39064666666502</v>
      </c>
    </row>
    <row r="3433" spans="1:7" hidden="1" x14ac:dyDescent="0.25">
      <c r="A3433" s="28">
        <v>43770</v>
      </c>
      <c r="B3433" s="27" t="s">
        <v>200</v>
      </c>
      <c r="C3433" s="27" t="s">
        <v>55</v>
      </c>
      <c r="D3433" s="27" t="s">
        <v>6</v>
      </c>
      <c r="E3433" s="27" t="s">
        <v>14</v>
      </c>
      <c r="F3433" s="29"/>
      <c r="G3433" s="30">
        <f t="shared" si="62"/>
        <v>703.39064666666502</v>
      </c>
    </row>
    <row r="3434" spans="1:7" hidden="1" x14ac:dyDescent="0.25">
      <c r="A3434" s="28">
        <v>43770</v>
      </c>
      <c r="B3434" s="27" t="s">
        <v>200</v>
      </c>
      <c r="C3434" s="27" t="s">
        <v>55</v>
      </c>
      <c r="D3434" s="27" t="s">
        <v>6</v>
      </c>
      <c r="E3434" s="27" t="s">
        <v>15</v>
      </c>
      <c r="F3434" s="29"/>
      <c r="G3434" s="30">
        <f t="shared" si="62"/>
        <v>703.39064666666502</v>
      </c>
    </row>
    <row r="3435" spans="1:7" hidden="1" x14ac:dyDescent="0.25">
      <c r="A3435" s="28">
        <v>43770</v>
      </c>
      <c r="B3435" s="27" t="s">
        <v>200</v>
      </c>
      <c r="C3435" s="27" t="s">
        <v>55</v>
      </c>
      <c r="D3435" s="27" t="s">
        <v>6</v>
      </c>
      <c r="E3435" s="27" t="s">
        <v>16</v>
      </c>
      <c r="F3435" s="29"/>
      <c r="G3435" s="30">
        <f t="shared" si="62"/>
        <v>703.39064666666502</v>
      </c>
    </row>
    <row r="3436" spans="1:7" hidden="1" x14ac:dyDescent="0.25">
      <c r="A3436" s="28">
        <v>43770</v>
      </c>
      <c r="B3436" s="27" t="s">
        <v>200</v>
      </c>
      <c r="C3436" s="27" t="s">
        <v>55</v>
      </c>
      <c r="D3436" s="27" t="s">
        <v>6</v>
      </c>
      <c r="E3436" s="27" t="s">
        <v>17</v>
      </c>
      <c r="F3436" s="29"/>
      <c r="G3436" s="30">
        <f t="shared" si="62"/>
        <v>703.39064666666502</v>
      </c>
    </row>
    <row r="3437" spans="1:7" hidden="1" x14ac:dyDescent="0.25">
      <c r="A3437" s="28">
        <v>43770</v>
      </c>
      <c r="B3437" s="27" t="s">
        <v>200</v>
      </c>
      <c r="C3437" s="27" t="s">
        <v>55</v>
      </c>
      <c r="D3437" s="27" t="s">
        <v>6</v>
      </c>
      <c r="E3437" s="27" t="s">
        <v>18</v>
      </c>
      <c r="F3437" s="29"/>
      <c r="G3437" s="30">
        <f t="shared" si="62"/>
        <v>703.39064666666502</v>
      </c>
    </row>
    <row r="3438" spans="1:7" hidden="1" x14ac:dyDescent="0.25">
      <c r="A3438" s="28">
        <v>43770</v>
      </c>
      <c r="B3438" s="27" t="s">
        <v>200</v>
      </c>
      <c r="C3438" s="27" t="s">
        <v>55</v>
      </c>
      <c r="D3438" s="27" t="s">
        <v>6</v>
      </c>
      <c r="E3438" s="27" t="s">
        <v>19</v>
      </c>
      <c r="F3438" s="29"/>
      <c r="G3438" s="30">
        <f t="shared" si="62"/>
        <v>703.39064666666502</v>
      </c>
    </row>
    <row r="3439" spans="1:7" hidden="1" x14ac:dyDescent="0.25">
      <c r="A3439" s="28">
        <v>43770</v>
      </c>
      <c r="B3439" s="27" t="s">
        <v>200</v>
      </c>
      <c r="C3439" s="27" t="s">
        <v>55</v>
      </c>
      <c r="D3439" s="27" t="s">
        <v>6</v>
      </c>
      <c r="E3439" s="27" t="s">
        <v>20</v>
      </c>
      <c r="F3439" s="29"/>
      <c r="G3439" s="30">
        <f t="shared" si="62"/>
        <v>703.39064666666502</v>
      </c>
    </row>
    <row r="3440" spans="1:7" hidden="1" x14ac:dyDescent="0.25">
      <c r="A3440" s="28">
        <v>43770</v>
      </c>
      <c r="B3440" s="27" t="s">
        <v>200</v>
      </c>
      <c r="C3440" s="27" t="s">
        <v>55</v>
      </c>
      <c r="D3440" s="27" t="s">
        <v>6</v>
      </c>
      <c r="E3440" s="27" t="s">
        <v>38</v>
      </c>
      <c r="F3440" s="29"/>
      <c r="G3440" s="30">
        <f t="shared" si="62"/>
        <v>703.39064666666502</v>
      </c>
    </row>
    <row r="3441" spans="1:7" hidden="1" x14ac:dyDescent="0.25">
      <c r="A3441" s="28">
        <v>43770</v>
      </c>
      <c r="B3441" s="27" t="s">
        <v>200</v>
      </c>
      <c r="C3441" s="27" t="s">
        <v>55</v>
      </c>
      <c r="D3441" s="27" t="s">
        <v>6</v>
      </c>
      <c r="E3441" s="27" t="s">
        <v>23</v>
      </c>
      <c r="F3441" s="29"/>
      <c r="G3441" s="30">
        <f t="shared" si="62"/>
        <v>703.39064666666502</v>
      </c>
    </row>
    <row r="3442" spans="1:7" hidden="1" x14ac:dyDescent="0.25">
      <c r="A3442" s="28">
        <v>43770</v>
      </c>
      <c r="B3442" s="27" t="s">
        <v>200</v>
      </c>
      <c r="C3442" s="27" t="s">
        <v>55</v>
      </c>
      <c r="D3442" s="27" t="s">
        <v>6</v>
      </c>
      <c r="E3442" s="27" t="s">
        <v>22</v>
      </c>
      <c r="F3442" s="29"/>
      <c r="G3442" s="30">
        <f t="shared" si="62"/>
        <v>703.39064666666502</v>
      </c>
    </row>
    <row r="3443" spans="1:7" hidden="1" x14ac:dyDescent="0.25">
      <c r="A3443" s="28">
        <v>43770</v>
      </c>
      <c r="B3443" s="27" t="s">
        <v>200</v>
      </c>
      <c r="C3443" s="27" t="s">
        <v>55</v>
      </c>
      <c r="D3443" s="27" t="s">
        <v>6</v>
      </c>
      <c r="E3443" s="27" t="s">
        <v>204</v>
      </c>
      <c r="F3443" s="29"/>
      <c r="G3443" s="30">
        <f t="shared" si="62"/>
        <v>703.39064666666502</v>
      </c>
    </row>
    <row r="3444" spans="1:7" hidden="1" x14ac:dyDescent="0.25">
      <c r="A3444" s="28">
        <v>43770</v>
      </c>
      <c r="B3444" s="27" t="s">
        <v>200</v>
      </c>
      <c r="C3444" s="27" t="s">
        <v>55</v>
      </c>
      <c r="D3444" s="27" t="s">
        <v>6</v>
      </c>
      <c r="E3444" s="27" t="s">
        <v>205</v>
      </c>
      <c r="F3444" s="29"/>
      <c r="G3444" s="30">
        <f t="shared" si="62"/>
        <v>703.39064666666502</v>
      </c>
    </row>
    <row r="3445" spans="1:7" hidden="1" x14ac:dyDescent="0.25">
      <c r="A3445" s="28">
        <v>43770</v>
      </c>
      <c r="B3445" s="27" t="s">
        <v>200</v>
      </c>
      <c r="C3445" s="27" t="s">
        <v>183</v>
      </c>
      <c r="D3445" s="27" t="s">
        <v>7</v>
      </c>
      <c r="E3445" s="27" t="s">
        <v>8</v>
      </c>
      <c r="F3445" s="29"/>
      <c r="G3445" s="30">
        <f t="shared" ref="G3445:G3463" si="63">2175.87/19</f>
        <v>114.51947368421052</v>
      </c>
    </row>
    <row r="3446" spans="1:7" hidden="1" x14ac:dyDescent="0.25">
      <c r="A3446" s="28">
        <v>43770</v>
      </c>
      <c r="B3446" s="27" t="s">
        <v>200</v>
      </c>
      <c r="C3446" s="27" t="s">
        <v>183</v>
      </c>
      <c r="D3446" s="27" t="s">
        <v>7</v>
      </c>
      <c r="E3446" s="27" t="s">
        <v>9</v>
      </c>
      <c r="F3446" s="29"/>
      <c r="G3446" s="30">
        <f t="shared" si="63"/>
        <v>114.51947368421052</v>
      </c>
    </row>
    <row r="3447" spans="1:7" hidden="1" x14ac:dyDescent="0.25">
      <c r="A3447" s="28">
        <v>43770</v>
      </c>
      <c r="B3447" s="27" t="s">
        <v>200</v>
      </c>
      <c r="C3447" s="27" t="s">
        <v>183</v>
      </c>
      <c r="D3447" s="27" t="s">
        <v>7</v>
      </c>
      <c r="E3447" s="27" t="s">
        <v>64</v>
      </c>
      <c r="F3447" s="29"/>
      <c r="G3447" s="30">
        <f t="shared" si="63"/>
        <v>114.51947368421052</v>
      </c>
    </row>
    <row r="3448" spans="1:7" hidden="1" x14ac:dyDescent="0.25">
      <c r="A3448" s="28">
        <v>43770</v>
      </c>
      <c r="B3448" s="27" t="s">
        <v>200</v>
      </c>
      <c r="C3448" s="27" t="s">
        <v>183</v>
      </c>
      <c r="D3448" s="27" t="s">
        <v>7</v>
      </c>
      <c r="E3448" s="27" t="s">
        <v>21</v>
      </c>
      <c r="F3448" s="29"/>
      <c r="G3448" s="30">
        <f t="shared" si="63"/>
        <v>114.51947368421052</v>
      </c>
    </row>
    <row r="3449" spans="1:7" hidden="1" x14ac:dyDescent="0.25">
      <c r="A3449" s="28">
        <v>43770</v>
      </c>
      <c r="B3449" s="27" t="s">
        <v>200</v>
      </c>
      <c r="C3449" s="27" t="s">
        <v>183</v>
      </c>
      <c r="D3449" s="27" t="s">
        <v>7</v>
      </c>
      <c r="E3449" s="27" t="s">
        <v>10</v>
      </c>
      <c r="F3449" s="29"/>
      <c r="G3449" s="30">
        <f t="shared" si="63"/>
        <v>114.51947368421052</v>
      </c>
    </row>
    <row r="3450" spans="1:7" hidden="1" x14ac:dyDescent="0.25">
      <c r="A3450" s="28">
        <v>43770</v>
      </c>
      <c r="B3450" s="27" t="s">
        <v>200</v>
      </c>
      <c r="C3450" s="27" t="s">
        <v>183</v>
      </c>
      <c r="D3450" s="27" t="s">
        <v>7</v>
      </c>
      <c r="E3450" s="27" t="s">
        <v>11</v>
      </c>
      <c r="F3450" s="29"/>
      <c r="G3450" s="30">
        <f t="shared" si="63"/>
        <v>114.51947368421052</v>
      </c>
    </row>
    <row r="3451" spans="1:7" hidden="1" x14ac:dyDescent="0.25">
      <c r="A3451" s="28">
        <v>43770</v>
      </c>
      <c r="B3451" s="27" t="s">
        <v>200</v>
      </c>
      <c r="C3451" s="27" t="s">
        <v>183</v>
      </c>
      <c r="D3451" s="27" t="s">
        <v>7</v>
      </c>
      <c r="E3451" s="27" t="s">
        <v>12</v>
      </c>
      <c r="F3451" s="29"/>
      <c r="G3451" s="30">
        <f t="shared" si="63"/>
        <v>114.51947368421052</v>
      </c>
    </row>
    <row r="3452" spans="1:7" hidden="1" x14ac:dyDescent="0.25">
      <c r="A3452" s="28">
        <v>43770</v>
      </c>
      <c r="B3452" s="27" t="s">
        <v>200</v>
      </c>
      <c r="C3452" s="27" t="s">
        <v>183</v>
      </c>
      <c r="D3452" s="27" t="s">
        <v>7</v>
      </c>
      <c r="E3452" s="27" t="s">
        <v>13</v>
      </c>
      <c r="F3452" s="29"/>
      <c r="G3452" s="30">
        <f t="shared" si="63"/>
        <v>114.51947368421052</v>
      </c>
    </row>
    <row r="3453" spans="1:7" hidden="1" x14ac:dyDescent="0.25">
      <c r="A3453" s="28">
        <v>43770</v>
      </c>
      <c r="B3453" s="27" t="s">
        <v>200</v>
      </c>
      <c r="C3453" s="27" t="s">
        <v>183</v>
      </c>
      <c r="D3453" s="27" t="s">
        <v>7</v>
      </c>
      <c r="E3453" s="27" t="s">
        <v>14</v>
      </c>
      <c r="F3453" s="29"/>
      <c r="G3453" s="30">
        <f t="shared" si="63"/>
        <v>114.51947368421052</v>
      </c>
    </row>
    <row r="3454" spans="1:7" hidden="1" x14ac:dyDescent="0.25">
      <c r="A3454" s="28">
        <v>43770</v>
      </c>
      <c r="B3454" s="27" t="s">
        <v>200</v>
      </c>
      <c r="C3454" s="27" t="s">
        <v>183</v>
      </c>
      <c r="D3454" s="27" t="s">
        <v>7</v>
      </c>
      <c r="E3454" s="27" t="s">
        <v>15</v>
      </c>
      <c r="F3454" s="29"/>
      <c r="G3454" s="30">
        <f t="shared" si="63"/>
        <v>114.51947368421052</v>
      </c>
    </row>
    <row r="3455" spans="1:7" hidden="1" x14ac:dyDescent="0.25">
      <c r="A3455" s="28">
        <v>43770</v>
      </c>
      <c r="B3455" s="27" t="s">
        <v>200</v>
      </c>
      <c r="C3455" s="27" t="s">
        <v>183</v>
      </c>
      <c r="D3455" s="27" t="s">
        <v>7</v>
      </c>
      <c r="E3455" s="27" t="s">
        <v>16</v>
      </c>
      <c r="F3455" s="29"/>
      <c r="G3455" s="30">
        <f t="shared" si="63"/>
        <v>114.51947368421052</v>
      </c>
    </row>
    <row r="3456" spans="1:7" hidden="1" x14ac:dyDescent="0.25">
      <c r="A3456" s="28">
        <v>43770</v>
      </c>
      <c r="B3456" s="27" t="s">
        <v>200</v>
      </c>
      <c r="C3456" s="27" t="s">
        <v>183</v>
      </c>
      <c r="D3456" s="27" t="s">
        <v>7</v>
      </c>
      <c r="E3456" s="27" t="s">
        <v>17</v>
      </c>
      <c r="F3456" s="29"/>
      <c r="G3456" s="30">
        <f t="shared" si="63"/>
        <v>114.51947368421052</v>
      </c>
    </row>
    <row r="3457" spans="1:7" hidden="1" x14ac:dyDescent="0.25">
      <c r="A3457" s="28">
        <v>43770</v>
      </c>
      <c r="B3457" s="27" t="s">
        <v>200</v>
      </c>
      <c r="C3457" s="27" t="s">
        <v>183</v>
      </c>
      <c r="D3457" s="27" t="s">
        <v>7</v>
      </c>
      <c r="E3457" s="27" t="s">
        <v>18</v>
      </c>
      <c r="F3457" s="29"/>
      <c r="G3457" s="30">
        <f t="shared" si="63"/>
        <v>114.51947368421052</v>
      </c>
    </row>
    <row r="3458" spans="1:7" hidden="1" x14ac:dyDescent="0.25">
      <c r="A3458" s="28">
        <v>43770</v>
      </c>
      <c r="B3458" s="27" t="s">
        <v>200</v>
      </c>
      <c r="C3458" s="27" t="s">
        <v>183</v>
      </c>
      <c r="D3458" s="27" t="s">
        <v>7</v>
      </c>
      <c r="E3458" s="27" t="s">
        <v>19</v>
      </c>
      <c r="F3458" s="29"/>
      <c r="G3458" s="30">
        <f t="shared" si="63"/>
        <v>114.51947368421052</v>
      </c>
    </row>
    <row r="3459" spans="1:7" hidden="1" x14ac:dyDescent="0.25">
      <c r="A3459" s="28">
        <v>43770</v>
      </c>
      <c r="B3459" s="27" t="s">
        <v>200</v>
      </c>
      <c r="C3459" s="27" t="s">
        <v>183</v>
      </c>
      <c r="D3459" s="27" t="s">
        <v>7</v>
      </c>
      <c r="E3459" s="27" t="s">
        <v>20</v>
      </c>
      <c r="F3459" s="29"/>
      <c r="G3459" s="30">
        <f t="shared" si="63"/>
        <v>114.51947368421052</v>
      </c>
    </row>
    <row r="3460" spans="1:7" hidden="1" x14ac:dyDescent="0.25">
      <c r="A3460" s="28">
        <v>43770</v>
      </c>
      <c r="B3460" s="27" t="s">
        <v>200</v>
      </c>
      <c r="C3460" s="27" t="s">
        <v>183</v>
      </c>
      <c r="D3460" s="27" t="s">
        <v>7</v>
      </c>
      <c r="E3460" s="27" t="s">
        <v>38</v>
      </c>
      <c r="F3460" s="29"/>
      <c r="G3460" s="30">
        <f t="shared" si="63"/>
        <v>114.51947368421052</v>
      </c>
    </row>
    <row r="3461" spans="1:7" hidden="1" x14ac:dyDescent="0.25">
      <c r="A3461" s="28">
        <v>43770</v>
      </c>
      <c r="B3461" s="27" t="s">
        <v>200</v>
      </c>
      <c r="C3461" s="27" t="s">
        <v>183</v>
      </c>
      <c r="D3461" s="27" t="s">
        <v>7</v>
      </c>
      <c r="E3461" s="27" t="s">
        <v>23</v>
      </c>
      <c r="F3461" s="29"/>
      <c r="G3461" s="30">
        <f t="shared" si="63"/>
        <v>114.51947368421052</v>
      </c>
    </row>
    <row r="3462" spans="1:7" hidden="1" x14ac:dyDescent="0.25">
      <c r="A3462" s="28">
        <v>43770</v>
      </c>
      <c r="B3462" s="27" t="s">
        <v>200</v>
      </c>
      <c r="C3462" s="27" t="s">
        <v>183</v>
      </c>
      <c r="D3462" s="27" t="s">
        <v>7</v>
      </c>
      <c r="E3462" s="27" t="s">
        <v>22</v>
      </c>
      <c r="F3462" s="29"/>
      <c r="G3462" s="30">
        <f t="shared" si="63"/>
        <v>114.51947368421052</v>
      </c>
    </row>
    <row r="3463" spans="1:7" hidden="1" x14ac:dyDescent="0.25">
      <c r="A3463" s="28">
        <v>43770</v>
      </c>
      <c r="B3463" s="27" t="s">
        <v>200</v>
      </c>
      <c r="C3463" s="27" t="s">
        <v>183</v>
      </c>
      <c r="D3463" s="27" t="s">
        <v>7</v>
      </c>
      <c r="E3463" s="27" t="s">
        <v>37</v>
      </c>
      <c r="F3463" s="29"/>
      <c r="G3463" s="30">
        <f t="shared" si="63"/>
        <v>114.51947368421052</v>
      </c>
    </row>
    <row r="3464" spans="1:7" hidden="1" x14ac:dyDescent="0.25">
      <c r="A3464" s="28">
        <v>43770</v>
      </c>
      <c r="B3464" s="27" t="s">
        <v>200</v>
      </c>
      <c r="C3464" s="27" t="s">
        <v>56</v>
      </c>
      <c r="D3464" s="27" t="s">
        <v>6</v>
      </c>
      <c r="E3464" s="27" t="s">
        <v>8</v>
      </c>
      <c r="F3464" s="29"/>
      <c r="G3464" s="30">
        <f t="shared" ref="G3464:G3483" si="64">42781.9344444444/20</f>
        <v>2139.0967222222198</v>
      </c>
    </row>
    <row r="3465" spans="1:7" hidden="1" x14ac:dyDescent="0.25">
      <c r="A3465" s="28">
        <v>43770</v>
      </c>
      <c r="B3465" s="27" t="s">
        <v>200</v>
      </c>
      <c r="C3465" s="27" t="s">
        <v>56</v>
      </c>
      <c r="D3465" s="27" t="s">
        <v>6</v>
      </c>
      <c r="E3465" s="27" t="s">
        <v>9</v>
      </c>
      <c r="F3465" s="29"/>
      <c r="G3465" s="30">
        <f t="shared" si="64"/>
        <v>2139.0967222222198</v>
      </c>
    </row>
    <row r="3466" spans="1:7" hidden="1" x14ac:dyDescent="0.25">
      <c r="A3466" s="28">
        <v>43770</v>
      </c>
      <c r="B3466" s="27" t="s">
        <v>200</v>
      </c>
      <c r="C3466" s="27" t="s">
        <v>56</v>
      </c>
      <c r="D3466" s="27" t="s">
        <v>6</v>
      </c>
      <c r="E3466" s="27" t="s">
        <v>64</v>
      </c>
      <c r="F3466" s="29"/>
      <c r="G3466" s="30">
        <f t="shared" si="64"/>
        <v>2139.0967222222198</v>
      </c>
    </row>
    <row r="3467" spans="1:7" hidden="1" x14ac:dyDescent="0.25">
      <c r="A3467" s="28">
        <v>43770</v>
      </c>
      <c r="B3467" s="27" t="s">
        <v>200</v>
      </c>
      <c r="C3467" s="27" t="s">
        <v>56</v>
      </c>
      <c r="D3467" s="27" t="s">
        <v>6</v>
      </c>
      <c r="E3467" s="27" t="s">
        <v>21</v>
      </c>
      <c r="F3467" s="29"/>
      <c r="G3467" s="30">
        <f t="shared" si="64"/>
        <v>2139.0967222222198</v>
      </c>
    </row>
    <row r="3468" spans="1:7" hidden="1" x14ac:dyDescent="0.25">
      <c r="A3468" s="28">
        <v>43770</v>
      </c>
      <c r="B3468" s="27" t="s">
        <v>200</v>
      </c>
      <c r="C3468" s="27" t="s">
        <v>56</v>
      </c>
      <c r="D3468" s="27" t="s">
        <v>6</v>
      </c>
      <c r="E3468" s="27" t="s">
        <v>10</v>
      </c>
      <c r="F3468" s="29"/>
      <c r="G3468" s="30">
        <f t="shared" si="64"/>
        <v>2139.0967222222198</v>
      </c>
    </row>
    <row r="3469" spans="1:7" hidden="1" x14ac:dyDescent="0.25">
      <c r="A3469" s="28">
        <v>43770</v>
      </c>
      <c r="B3469" s="27" t="s">
        <v>200</v>
      </c>
      <c r="C3469" s="27" t="s">
        <v>56</v>
      </c>
      <c r="D3469" s="27" t="s">
        <v>6</v>
      </c>
      <c r="E3469" s="27" t="s">
        <v>11</v>
      </c>
      <c r="F3469" s="29"/>
      <c r="G3469" s="30">
        <f t="shared" si="64"/>
        <v>2139.0967222222198</v>
      </c>
    </row>
    <row r="3470" spans="1:7" hidden="1" x14ac:dyDescent="0.25">
      <c r="A3470" s="28">
        <v>43770</v>
      </c>
      <c r="B3470" s="27" t="s">
        <v>200</v>
      </c>
      <c r="C3470" s="27" t="s">
        <v>56</v>
      </c>
      <c r="D3470" s="27" t="s">
        <v>6</v>
      </c>
      <c r="E3470" s="27" t="s">
        <v>12</v>
      </c>
      <c r="F3470" s="29"/>
      <c r="G3470" s="30">
        <f t="shared" si="64"/>
        <v>2139.0967222222198</v>
      </c>
    </row>
    <row r="3471" spans="1:7" hidden="1" x14ac:dyDescent="0.25">
      <c r="A3471" s="28">
        <v>43770</v>
      </c>
      <c r="B3471" s="27" t="s">
        <v>200</v>
      </c>
      <c r="C3471" s="27" t="s">
        <v>56</v>
      </c>
      <c r="D3471" s="27" t="s">
        <v>6</v>
      </c>
      <c r="E3471" s="27" t="s">
        <v>13</v>
      </c>
      <c r="F3471" s="29"/>
      <c r="G3471" s="30">
        <f t="shared" si="64"/>
        <v>2139.0967222222198</v>
      </c>
    </row>
    <row r="3472" spans="1:7" hidden="1" x14ac:dyDescent="0.25">
      <c r="A3472" s="28">
        <v>43770</v>
      </c>
      <c r="B3472" s="27" t="s">
        <v>200</v>
      </c>
      <c r="C3472" s="27" t="s">
        <v>56</v>
      </c>
      <c r="D3472" s="27" t="s">
        <v>6</v>
      </c>
      <c r="E3472" s="27" t="s">
        <v>14</v>
      </c>
      <c r="F3472" s="29"/>
      <c r="G3472" s="30">
        <f t="shared" si="64"/>
        <v>2139.0967222222198</v>
      </c>
    </row>
    <row r="3473" spans="1:7" hidden="1" x14ac:dyDescent="0.25">
      <c r="A3473" s="28">
        <v>43770</v>
      </c>
      <c r="B3473" s="27" t="s">
        <v>200</v>
      </c>
      <c r="C3473" s="27" t="s">
        <v>56</v>
      </c>
      <c r="D3473" s="27" t="s">
        <v>6</v>
      </c>
      <c r="E3473" s="27" t="s">
        <v>15</v>
      </c>
      <c r="F3473" s="29"/>
      <c r="G3473" s="30">
        <f t="shared" si="64"/>
        <v>2139.0967222222198</v>
      </c>
    </row>
    <row r="3474" spans="1:7" hidden="1" x14ac:dyDescent="0.25">
      <c r="A3474" s="28">
        <v>43770</v>
      </c>
      <c r="B3474" s="27" t="s">
        <v>200</v>
      </c>
      <c r="C3474" s="27" t="s">
        <v>56</v>
      </c>
      <c r="D3474" s="27" t="s">
        <v>6</v>
      </c>
      <c r="E3474" s="27" t="s">
        <v>16</v>
      </c>
      <c r="F3474" s="29"/>
      <c r="G3474" s="30">
        <f t="shared" si="64"/>
        <v>2139.0967222222198</v>
      </c>
    </row>
    <row r="3475" spans="1:7" hidden="1" x14ac:dyDescent="0.25">
      <c r="A3475" s="28">
        <v>43770</v>
      </c>
      <c r="B3475" s="27" t="s">
        <v>200</v>
      </c>
      <c r="C3475" s="27" t="s">
        <v>56</v>
      </c>
      <c r="D3475" s="27" t="s">
        <v>6</v>
      </c>
      <c r="E3475" s="27" t="s">
        <v>17</v>
      </c>
      <c r="F3475" s="29"/>
      <c r="G3475" s="30">
        <f t="shared" si="64"/>
        <v>2139.0967222222198</v>
      </c>
    </row>
    <row r="3476" spans="1:7" hidden="1" x14ac:dyDescent="0.25">
      <c r="A3476" s="28">
        <v>43770</v>
      </c>
      <c r="B3476" s="27" t="s">
        <v>200</v>
      </c>
      <c r="C3476" s="27" t="s">
        <v>56</v>
      </c>
      <c r="D3476" s="27" t="s">
        <v>6</v>
      </c>
      <c r="E3476" s="27" t="s">
        <v>18</v>
      </c>
      <c r="F3476" s="29"/>
      <c r="G3476" s="30">
        <f t="shared" si="64"/>
        <v>2139.0967222222198</v>
      </c>
    </row>
    <row r="3477" spans="1:7" hidden="1" x14ac:dyDescent="0.25">
      <c r="A3477" s="28">
        <v>43770</v>
      </c>
      <c r="B3477" s="27" t="s">
        <v>200</v>
      </c>
      <c r="C3477" s="27" t="s">
        <v>56</v>
      </c>
      <c r="D3477" s="27" t="s">
        <v>6</v>
      </c>
      <c r="E3477" s="27" t="s">
        <v>19</v>
      </c>
      <c r="F3477" s="29"/>
      <c r="G3477" s="30">
        <f t="shared" si="64"/>
        <v>2139.0967222222198</v>
      </c>
    </row>
    <row r="3478" spans="1:7" hidden="1" x14ac:dyDescent="0.25">
      <c r="A3478" s="28">
        <v>43770</v>
      </c>
      <c r="B3478" s="27" t="s">
        <v>200</v>
      </c>
      <c r="C3478" s="27" t="s">
        <v>56</v>
      </c>
      <c r="D3478" s="27" t="s">
        <v>6</v>
      </c>
      <c r="E3478" s="27" t="s">
        <v>20</v>
      </c>
      <c r="F3478" s="29"/>
      <c r="G3478" s="30">
        <f t="shared" si="64"/>
        <v>2139.0967222222198</v>
      </c>
    </row>
    <row r="3479" spans="1:7" hidden="1" x14ac:dyDescent="0.25">
      <c r="A3479" s="28">
        <v>43770</v>
      </c>
      <c r="B3479" s="27" t="s">
        <v>200</v>
      </c>
      <c r="C3479" s="27" t="s">
        <v>56</v>
      </c>
      <c r="D3479" s="27" t="s">
        <v>6</v>
      </c>
      <c r="E3479" s="27" t="s">
        <v>38</v>
      </c>
      <c r="F3479" s="29"/>
      <c r="G3479" s="30">
        <f t="shared" si="64"/>
        <v>2139.0967222222198</v>
      </c>
    </row>
    <row r="3480" spans="1:7" hidden="1" x14ac:dyDescent="0.25">
      <c r="A3480" s="28">
        <v>43770</v>
      </c>
      <c r="B3480" s="27" t="s">
        <v>200</v>
      </c>
      <c r="C3480" s="27" t="s">
        <v>56</v>
      </c>
      <c r="D3480" s="27" t="s">
        <v>6</v>
      </c>
      <c r="E3480" s="27" t="s">
        <v>23</v>
      </c>
      <c r="F3480" s="29"/>
      <c r="G3480" s="30">
        <f t="shared" si="64"/>
        <v>2139.0967222222198</v>
      </c>
    </row>
    <row r="3481" spans="1:7" hidden="1" x14ac:dyDescent="0.25">
      <c r="A3481" s="28">
        <v>43770</v>
      </c>
      <c r="B3481" s="27" t="s">
        <v>200</v>
      </c>
      <c r="C3481" s="27" t="s">
        <v>56</v>
      </c>
      <c r="D3481" s="27" t="s">
        <v>6</v>
      </c>
      <c r="E3481" s="27" t="s">
        <v>22</v>
      </c>
      <c r="F3481" s="29"/>
      <c r="G3481" s="30">
        <f t="shared" si="64"/>
        <v>2139.0967222222198</v>
      </c>
    </row>
    <row r="3482" spans="1:7" hidden="1" x14ac:dyDescent="0.25">
      <c r="A3482" s="28">
        <v>43770</v>
      </c>
      <c r="B3482" s="27" t="s">
        <v>200</v>
      </c>
      <c r="C3482" s="27" t="s">
        <v>56</v>
      </c>
      <c r="D3482" s="27" t="s">
        <v>6</v>
      </c>
      <c r="E3482" s="27" t="s">
        <v>204</v>
      </c>
      <c r="F3482" s="29"/>
      <c r="G3482" s="30">
        <f t="shared" si="64"/>
        <v>2139.0967222222198</v>
      </c>
    </row>
    <row r="3483" spans="1:7" hidden="1" x14ac:dyDescent="0.25">
      <c r="A3483" s="28">
        <v>43770</v>
      </c>
      <c r="B3483" s="27" t="s">
        <v>200</v>
      </c>
      <c r="C3483" s="27" t="s">
        <v>56</v>
      </c>
      <c r="D3483" s="27" t="s">
        <v>6</v>
      </c>
      <c r="E3483" s="27" t="s">
        <v>205</v>
      </c>
      <c r="F3483" s="29"/>
      <c r="G3483" s="30">
        <f t="shared" si="64"/>
        <v>2139.0967222222198</v>
      </c>
    </row>
    <row r="3484" spans="1:7" hidden="1" x14ac:dyDescent="0.25">
      <c r="A3484" s="28">
        <v>43770</v>
      </c>
      <c r="B3484" s="27" t="s">
        <v>200</v>
      </c>
      <c r="C3484" s="27" t="s">
        <v>182</v>
      </c>
      <c r="D3484" s="27" t="s">
        <v>7</v>
      </c>
      <c r="E3484" s="27" t="s">
        <v>8</v>
      </c>
      <c r="F3484" s="29"/>
      <c r="G3484" s="30">
        <f t="shared" ref="G3484:G3502" si="65">4299.3/19</f>
        <v>226.27894736842106</v>
      </c>
    </row>
    <row r="3485" spans="1:7" hidden="1" x14ac:dyDescent="0.25">
      <c r="A3485" s="28">
        <v>43770</v>
      </c>
      <c r="B3485" s="27" t="s">
        <v>200</v>
      </c>
      <c r="C3485" s="27" t="s">
        <v>182</v>
      </c>
      <c r="D3485" s="27" t="s">
        <v>7</v>
      </c>
      <c r="E3485" s="27" t="s">
        <v>9</v>
      </c>
      <c r="F3485" s="29"/>
      <c r="G3485" s="30">
        <f t="shared" si="65"/>
        <v>226.27894736842106</v>
      </c>
    </row>
    <row r="3486" spans="1:7" hidden="1" x14ac:dyDescent="0.25">
      <c r="A3486" s="28">
        <v>43770</v>
      </c>
      <c r="B3486" s="27" t="s">
        <v>200</v>
      </c>
      <c r="C3486" s="27" t="s">
        <v>182</v>
      </c>
      <c r="D3486" s="27" t="s">
        <v>7</v>
      </c>
      <c r="E3486" s="27" t="s">
        <v>64</v>
      </c>
      <c r="F3486" s="29"/>
      <c r="G3486" s="30">
        <f t="shared" si="65"/>
        <v>226.27894736842106</v>
      </c>
    </row>
    <row r="3487" spans="1:7" hidden="1" x14ac:dyDescent="0.25">
      <c r="A3487" s="28">
        <v>43770</v>
      </c>
      <c r="B3487" s="27" t="s">
        <v>200</v>
      </c>
      <c r="C3487" s="27" t="s">
        <v>182</v>
      </c>
      <c r="D3487" s="27" t="s">
        <v>7</v>
      </c>
      <c r="E3487" s="27" t="s">
        <v>21</v>
      </c>
      <c r="F3487" s="29"/>
      <c r="G3487" s="30">
        <f t="shared" si="65"/>
        <v>226.27894736842106</v>
      </c>
    </row>
    <row r="3488" spans="1:7" hidden="1" x14ac:dyDescent="0.25">
      <c r="A3488" s="28">
        <v>43770</v>
      </c>
      <c r="B3488" s="27" t="s">
        <v>200</v>
      </c>
      <c r="C3488" s="27" t="s">
        <v>182</v>
      </c>
      <c r="D3488" s="27" t="s">
        <v>7</v>
      </c>
      <c r="E3488" s="27" t="s">
        <v>10</v>
      </c>
      <c r="F3488" s="29"/>
      <c r="G3488" s="30">
        <f t="shared" si="65"/>
        <v>226.27894736842106</v>
      </c>
    </row>
    <row r="3489" spans="1:7" hidden="1" x14ac:dyDescent="0.25">
      <c r="A3489" s="28">
        <v>43770</v>
      </c>
      <c r="B3489" s="27" t="s">
        <v>200</v>
      </c>
      <c r="C3489" s="27" t="s">
        <v>182</v>
      </c>
      <c r="D3489" s="27" t="s">
        <v>7</v>
      </c>
      <c r="E3489" s="27" t="s">
        <v>11</v>
      </c>
      <c r="F3489" s="29"/>
      <c r="G3489" s="30">
        <f t="shared" si="65"/>
        <v>226.27894736842106</v>
      </c>
    </row>
    <row r="3490" spans="1:7" hidden="1" x14ac:dyDescent="0.25">
      <c r="A3490" s="28">
        <v>43770</v>
      </c>
      <c r="B3490" s="27" t="s">
        <v>200</v>
      </c>
      <c r="C3490" s="27" t="s">
        <v>182</v>
      </c>
      <c r="D3490" s="27" t="s">
        <v>7</v>
      </c>
      <c r="E3490" s="27" t="s">
        <v>12</v>
      </c>
      <c r="F3490" s="29"/>
      <c r="G3490" s="30">
        <f t="shared" si="65"/>
        <v>226.27894736842106</v>
      </c>
    </row>
    <row r="3491" spans="1:7" hidden="1" x14ac:dyDescent="0.25">
      <c r="A3491" s="28">
        <v>43770</v>
      </c>
      <c r="B3491" s="27" t="s">
        <v>200</v>
      </c>
      <c r="C3491" s="27" t="s">
        <v>182</v>
      </c>
      <c r="D3491" s="27" t="s">
        <v>7</v>
      </c>
      <c r="E3491" s="27" t="s">
        <v>13</v>
      </c>
      <c r="F3491" s="29"/>
      <c r="G3491" s="30">
        <f t="shared" si="65"/>
        <v>226.27894736842106</v>
      </c>
    </row>
    <row r="3492" spans="1:7" hidden="1" x14ac:dyDescent="0.25">
      <c r="A3492" s="28">
        <v>43770</v>
      </c>
      <c r="B3492" s="27" t="s">
        <v>200</v>
      </c>
      <c r="C3492" s="27" t="s">
        <v>182</v>
      </c>
      <c r="D3492" s="27" t="s">
        <v>7</v>
      </c>
      <c r="E3492" s="27" t="s">
        <v>14</v>
      </c>
      <c r="F3492" s="29"/>
      <c r="G3492" s="30">
        <f t="shared" si="65"/>
        <v>226.27894736842106</v>
      </c>
    </row>
    <row r="3493" spans="1:7" hidden="1" x14ac:dyDescent="0.25">
      <c r="A3493" s="28">
        <v>43770</v>
      </c>
      <c r="B3493" s="27" t="s">
        <v>200</v>
      </c>
      <c r="C3493" s="27" t="s">
        <v>182</v>
      </c>
      <c r="D3493" s="27" t="s">
        <v>7</v>
      </c>
      <c r="E3493" s="27" t="s">
        <v>15</v>
      </c>
      <c r="F3493" s="29"/>
      <c r="G3493" s="30">
        <f t="shared" si="65"/>
        <v>226.27894736842106</v>
      </c>
    </row>
    <row r="3494" spans="1:7" hidden="1" x14ac:dyDescent="0.25">
      <c r="A3494" s="28">
        <v>43770</v>
      </c>
      <c r="B3494" s="27" t="s">
        <v>200</v>
      </c>
      <c r="C3494" s="27" t="s">
        <v>182</v>
      </c>
      <c r="D3494" s="27" t="s">
        <v>7</v>
      </c>
      <c r="E3494" s="27" t="s">
        <v>16</v>
      </c>
      <c r="F3494" s="29"/>
      <c r="G3494" s="30">
        <f t="shared" si="65"/>
        <v>226.27894736842106</v>
      </c>
    </row>
    <row r="3495" spans="1:7" hidden="1" x14ac:dyDescent="0.25">
      <c r="A3495" s="28">
        <v>43770</v>
      </c>
      <c r="B3495" s="27" t="s">
        <v>200</v>
      </c>
      <c r="C3495" s="27" t="s">
        <v>182</v>
      </c>
      <c r="D3495" s="27" t="s">
        <v>7</v>
      </c>
      <c r="E3495" s="27" t="s">
        <v>17</v>
      </c>
      <c r="F3495" s="29"/>
      <c r="G3495" s="30">
        <f t="shared" si="65"/>
        <v>226.27894736842106</v>
      </c>
    </row>
    <row r="3496" spans="1:7" hidden="1" x14ac:dyDescent="0.25">
      <c r="A3496" s="28">
        <v>43770</v>
      </c>
      <c r="B3496" s="27" t="s">
        <v>200</v>
      </c>
      <c r="C3496" s="27" t="s">
        <v>182</v>
      </c>
      <c r="D3496" s="27" t="s">
        <v>7</v>
      </c>
      <c r="E3496" s="27" t="s">
        <v>18</v>
      </c>
      <c r="F3496" s="29"/>
      <c r="G3496" s="30">
        <f t="shared" si="65"/>
        <v>226.27894736842106</v>
      </c>
    </row>
    <row r="3497" spans="1:7" hidden="1" x14ac:dyDescent="0.25">
      <c r="A3497" s="28">
        <v>43770</v>
      </c>
      <c r="B3497" s="27" t="s">
        <v>200</v>
      </c>
      <c r="C3497" s="27" t="s">
        <v>182</v>
      </c>
      <c r="D3497" s="27" t="s">
        <v>7</v>
      </c>
      <c r="E3497" s="27" t="s">
        <v>19</v>
      </c>
      <c r="F3497" s="29"/>
      <c r="G3497" s="30">
        <f t="shared" si="65"/>
        <v>226.27894736842106</v>
      </c>
    </row>
    <row r="3498" spans="1:7" hidden="1" x14ac:dyDescent="0.25">
      <c r="A3498" s="28">
        <v>43770</v>
      </c>
      <c r="B3498" s="27" t="s">
        <v>200</v>
      </c>
      <c r="C3498" s="27" t="s">
        <v>182</v>
      </c>
      <c r="D3498" s="27" t="s">
        <v>7</v>
      </c>
      <c r="E3498" s="27" t="s">
        <v>20</v>
      </c>
      <c r="F3498" s="29"/>
      <c r="G3498" s="30">
        <f t="shared" si="65"/>
        <v>226.27894736842106</v>
      </c>
    </row>
    <row r="3499" spans="1:7" hidden="1" x14ac:dyDescent="0.25">
      <c r="A3499" s="28">
        <v>43770</v>
      </c>
      <c r="B3499" s="27" t="s">
        <v>200</v>
      </c>
      <c r="C3499" s="27" t="s">
        <v>182</v>
      </c>
      <c r="D3499" s="27" t="s">
        <v>7</v>
      </c>
      <c r="E3499" s="27" t="s">
        <v>38</v>
      </c>
      <c r="F3499" s="29"/>
      <c r="G3499" s="30">
        <f t="shared" si="65"/>
        <v>226.27894736842106</v>
      </c>
    </row>
    <row r="3500" spans="1:7" hidden="1" x14ac:dyDescent="0.25">
      <c r="A3500" s="28">
        <v>43770</v>
      </c>
      <c r="B3500" s="27" t="s">
        <v>200</v>
      </c>
      <c r="C3500" s="27" t="s">
        <v>182</v>
      </c>
      <c r="D3500" s="27" t="s">
        <v>7</v>
      </c>
      <c r="E3500" s="27" t="s">
        <v>23</v>
      </c>
      <c r="F3500" s="29"/>
      <c r="G3500" s="30">
        <f t="shared" si="65"/>
        <v>226.27894736842106</v>
      </c>
    </row>
    <row r="3501" spans="1:7" hidden="1" x14ac:dyDescent="0.25">
      <c r="A3501" s="28">
        <v>43770</v>
      </c>
      <c r="B3501" s="27" t="s">
        <v>200</v>
      </c>
      <c r="C3501" s="27" t="s">
        <v>182</v>
      </c>
      <c r="D3501" s="27" t="s">
        <v>7</v>
      </c>
      <c r="E3501" s="27" t="s">
        <v>22</v>
      </c>
      <c r="F3501" s="29"/>
      <c r="G3501" s="30">
        <f t="shared" si="65"/>
        <v>226.27894736842106</v>
      </c>
    </row>
    <row r="3502" spans="1:7" hidden="1" x14ac:dyDescent="0.25">
      <c r="A3502" s="28">
        <v>43770</v>
      </c>
      <c r="B3502" s="27" t="s">
        <v>200</v>
      </c>
      <c r="C3502" s="27" t="s">
        <v>182</v>
      </c>
      <c r="D3502" s="27" t="s">
        <v>7</v>
      </c>
      <c r="E3502" s="27" t="s">
        <v>37</v>
      </c>
      <c r="F3502" s="29"/>
      <c r="G3502" s="30">
        <f t="shared" si="65"/>
        <v>226.27894736842106</v>
      </c>
    </row>
    <row r="3503" spans="1:7" hidden="1" x14ac:dyDescent="0.25">
      <c r="A3503" s="28">
        <v>43770</v>
      </c>
      <c r="B3503" s="27" t="s">
        <v>35</v>
      </c>
      <c r="C3503" s="27" t="s">
        <v>50</v>
      </c>
      <c r="D3503" s="27" t="s">
        <v>6</v>
      </c>
      <c r="E3503" s="27" t="s">
        <v>8</v>
      </c>
      <c r="F3503" s="29"/>
      <c r="G3503" s="30">
        <v>456.125</v>
      </c>
    </row>
    <row r="3504" spans="1:7" hidden="1" x14ac:dyDescent="0.25">
      <c r="A3504" s="28">
        <v>43770</v>
      </c>
      <c r="B3504" s="27" t="s">
        <v>35</v>
      </c>
      <c r="C3504" s="27" t="s">
        <v>50</v>
      </c>
      <c r="D3504" s="27" t="s">
        <v>6</v>
      </c>
      <c r="E3504" s="27" t="s">
        <v>9</v>
      </c>
      <c r="F3504" s="29"/>
      <c r="G3504" s="30">
        <v>456.125</v>
      </c>
    </row>
    <row r="3505" spans="1:7" hidden="1" x14ac:dyDescent="0.25">
      <c r="A3505" s="28">
        <v>43770</v>
      </c>
      <c r="B3505" s="27" t="s">
        <v>35</v>
      </c>
      <c r="C3505" s="27" t="s">
        <v>50</v>
      </c>
      <c r="D3505" s="27" t="s">
        <v>6</v>
      </c>
      <c r="E3505" s="27" t="s">
        <v>64</v>
      </c>
      <c r="F3505" s="29"/>
      <c r="G3505" s="30">
        <v>456.125</v>
      </c>
    </row>
    <row r="3506" spans="1:7" hidden="1" x14ac:dyDescent="0.25">
      <c r="A3506" s="28">
        <v>43770</v>
      </c>
      <c r="B3506" s="27" t="s">
        <v>35</v>
      </c>
      <c r="C3506" s="27" t="s">
        <v>50</v>
      </c>
      <c r="D3506" s="27" t="s">
        <v>6</v>
      </c>
      <c r="E3506" s="27" t="s">
        <v>21</v>
      </c>
      <c r="F3506" s="29"/>
      <c r="G3506" s="30">
        <v>456.125</v>
      </c>
    </row>
    <row r="3507" spans="1:7" hidden="1" x14ac:dyDescent="0.25">
      <c r="A3507" s="28">
        <v>43770</v>
      </c>
      <c r="B3507" s="27" t="s">
        <v>35</v>
      </c>
      <c r="C3507" s="27" t="s">
        <v>50</v>
      </c>
      <c r="D3507" s="27" t="s">
        <v>6</v>
      </c>
      <c r="E3507" s="27" t="s">
        <v>10</v>
      </c>
      <c r="F3507" s="29"/>
      <c r="G3507" s="30">
        <v>456.125</v>
      </c>
    </row>
    <row r="3508" spans="1:7" hidden="1" x14ac:dyDescent="0.25">
      <c r="A3508" s="28">
        <v>43770</v>
      </c>
      <c r="B3508" s="27" t="s">
        <v>35</v>
      </c>
      <c r="C3508" s="27" t="s">
        <v>50</v>
      </c>
      <c r="D3508" s="27" t="s">
        <v>6</v>
      </c>
      <c r="E3508" s="27" t="s">
        <v>11</v>
      </c>
      <c r="F3508" s="29"/>
      <c r="G3508" s="30">
        <v>456.125</v>
      </c>
    </row>
    <row r="3509" spans="1:7" hidden="1" x14ac:dyDescent="0.25">
      <c r="A3509" s="28">
        <v>43770</v>
      </c>
      <c r="B3509" s="27" t="s">
        <v>35</v>
      </c>
      <c r="C3509" s="27" t="s">
        <v>50</v>
      </c>
      <c r="D3509" s="27" t="s">
        <v>6</v>
      </c>
      <c r="E3509" s="27" t="s">
        <v>12</v>
      </c>
      <c r="F3509" s="29"/>
      <c r="G3509" s="30">
        <v>456.125</v>
      </c>
    </row>
    <row r="3510" spans="1:7" hidden="1" x14ac:dyDescent="0.25">
      <c r="A3510" s="28">
        <v>43770</v>
      </c>
      <c r="B3510" s="27" t="s">
        <v>35</v>
      </c>
      <c r="C3510" s="27" t="s">
        <v>50</v>
      </c>
      <c r="D3510" s="27" t="s">
        <v>6</v>
      </c>
      <c r="E3510" s="27" t="s">
        <v>13</v>
      </c>
      <c r="F3510" s="29"/>
      <c r="G3510" s="30">
        <v>456.125</v>
      </c>
    </row>
    <row r="3511" spans="1:7" hidden="1" x14ac:dyDescent="0.25">
      <c r="A3511" s="28">
        <v>43770</v>
      </c>
      <c r="B3511" s="27" t="s">
        <v>35</v>
      </c>
      <c r="C3511" s="27" t="s">
        <v>50</v>
      </c>
      <c r="D3511" s="27" t="s">
        <v>6</v>
      </c>
      <c r="E3511" s="27" t="s">
        <v>14</v>
      </c>
      <c r="F3511" s="29"/>
      <c r="G3511" s="30">
        <v>456.125</v>
      </c>
    </row>
    <row r="3512" spans="1:7" hidden="1" x14ac:dyDescent="0.25">
      <c r="A3512" s="28">
        <v>43770</v>
      </c>
      <c r="B3512" s="27" t="s">
        <v>35</v>
      </c>
      <c r="C3512" s="27" t="s">
        <v>50</v>
      </c>
      <c r="D3512" s="27" t="s">
        <v>6</v>
      </c>
      <c r="E3512" s="27" t="s">
        <v>15</v>
      </c>
      <c r="F3512" s="29"/>
      <c r="G3512" s="30">
        <v>456.125</v>
      </c>
    </row>
    <row r="3513" spans="1:7" hidden="1" x14ac:dyDescent="0.25">
      <c r="A3513" s="28">
        <v>43770</v>
      </c>
      <c r="B3513" s="27" t="s">
        <v>35</v>
      </c>
      <c r="C3513" s="27" t="s">
        <v>50</v>
      </c>
      <c r="D3513" s="27" t="s">
        <v>6</v>
      </c>
      <c r="E3513" s="27" t="s">
        <v>16</v>
      </c>
      <c r="F3513" s="29"/>
      <c r="G3513" s="30">
        <v>456.125</v>
      </c>
    </row>
    <row r="3514" spans="1:7" hidden="1" x14ac:dyDescent="0.25">
      <c r="A3514" s="28">
        <v>43770</v>
      </c>
      <c r="B3514" s="27" t="s">
        <v>35</v>
      </c>
      <c r="C3514" s="27" t="s">
        <v>50</v>
      </c>
      <c r="D3514" s="27" t="s">
        <v>6</v>
      </c>
      <c r="E3514" s="27" t="s">
        <v>17</v>
      </c>
      <c r="F3514" s="29"/>
      <c r="G3514" s="30">
        <v>456.125</v>
      </c>
    </row>
    <row r="3515" spans="1:7" hidden="1" x14ac:dyDescent="0.25">
      <c r="A3515" s="28">
        <v>43770</v>
      </c>
      <c r="B3515" s="27" t="s">
        <v>35</v>
      </c>
      <c r="C3515" s="27" t="s">
        <v>50</v>
      </c>
      <c r="D3515" s="27" t="s">
        <v>6</v>
      </c>
      <c r="E3515" s="27" t="s">
        <v>18</v>
      </c>
      <c r="F3515" s="29"/>
      <c r="G3515" s="30">
        <v>456.125</v>
      </c>
    </row>
    <row r="3516" spans="1:7" hidden="1" x14ac:dyDescent="0.25">
      <c r="A3516" s="28">
        <v>43770</v>
      </c>
      <c r="B3516" s="27" t="s">
        <v>35</v>
      </c>
      <c r="C3516" s="27" t="s">
        <v>50</v>
      </c>
      <c r="D3516" s="27" t="s">
        <v>6</v>
      </c>
      <c r="E3516" s="27" t="s">
        <v>19</v>
      </c>
      <c r="F3516" s="29"/>
      <c r="G3516" s="30">
        <v>456.125</v>
      </c>
    </row>
    <row r="3517" spans="1:7" hidden="1" x14ac:dyDescent="0.25">
      <c r="A3517" s="28">
        <v>43770</v>
      </c>
      <c r="B3517" s="27" t="s">
        <v>35</v>
      </c>
      <c r="C3517" s="27" t="s">
        <v>50</v>
      </c>
      <c r="D3517" s="27" t="s">
        <v>6</v>
      </c>
      <c r="E3517" s="27" t="s">
        <v>20</v>
      </c>
      <c r="F3517" s="29"/>
      <c r="G3517" s="30">
        <v>456.125</v>
      </c>
    </row>
    <row r="3518" spans="1:7" hidden="1" x14ac:dyDescent="0.25">
      <c r="A3518" s="28">
        <v>43770</v>
      </c>
      <c r="B3518" s="27" t="s">
        <v>35</v>
      </c>
      <c r="C3518" s="27" t="s">
        <v>50</v>
      </c>
      <c r="D3518" s="27" t="s">
        <v>6</v>
      </c>
      <c r="E3518" s="27" t="s">
        <v>38</v>
      </c>
      <c r="F3518" s="29"/>
      <c r="G3518" s="30">
        <v>456.125</v>
      </c>
    </row>
    <row r="3519" spans="1:7" hidden="1" x14ac:dyDescent="0.25">
      <c r="A3519" s="28">
        <v>43770</v>
      </c>
      <c r="B3519" s="27" t="s">
        <v>35</v>
      </c>
      <c r="C3519" s="27" t="s">
        <v>50</v>
      </c>
      <c r="D3519" s="27" t="s">
        <v>6</v>
      </c>
      <c r="E3519" s="27" t="s">
        <v>23</v>
      </c>
      <c r="F3519" s="29"/>
      <c r="G3519" s="30">
        <v>456.125</v>
      </c>
    </row>
    <row r="3520" spans="1:7" hidden="1" x14ac:dyDescent="0.25">
      <c r="A3520" s="28">
        <v>43770</v>
      </c>
      <c r="B3520" s="27" t="s">
        <v>35</v>
      </c>
      <c r="C3520" s="27" t="s">
        <v>50</v>
      </c>
      <c r="D3520" s="27" t="s">
        <v>6</v>
      </c>
      <c r="E3520" s="27" t="s">
        <v>22</v>
      </c>
      <c r="F3520" s="29"/>
      <c r="G3520" s="30">
        <v>456.125</v>
      </c>
    </row>
    <row r="3521" spans="1:7" hidden="1" x14ac:dyDescent="0.25">
      <c r="A3521" s="28">
        <v>43770</v>
      </c>
      <c r="B3521" s="27" t="s">
        <v>34</v>
      </c>
      <c r="C3521" s="27" t="s">
        <v>50</v>
      </c>
      <c r="D3521" s="27" t="s">
        <v>6</v>
      </c>
      <c r="E3521" s="27" t="s">
        <v>8</v>
      </c>
      <c r="F3521" s="29"/>
      <c r="G3521" s="30">
        <v>552.0533333333334</v>
      </c>
    </row>
    <row r="3522" spans="1:7" hidden="1" x14ac:dyDescent="0.25">
      <c r="A3522" s="28">
        <v>43770</v>
      </c>
      <c r="B3522" s="27" t="s">
        <v>34</v>
      </c>
      <c r="C3522" s="27" t="s">
        <v>50</v>
      </c>
      <c r="D3522" s="27" t="s">
        <v>6</v>
      </c>
      <c r="E3522" s="27" t="s">
        <v>9</v>
      </c>
      <c r="F3522" s="29"/>
      <c r="G3522" s="30">
        <v>864.49749999999995</v>
      </c>
    </row>
    <row r="3523" spans="1:7" hidden="1" x14ac:dyDescent="0.25">
      <c r="A3523" s="28">
        <v>43770</v>
      </c>
      <c r="B3523" s="27" t="s">
        <v>34</v>
      </c>
      <c r="C3523" s="27" t="s">
        <v>50</v>
      </c>
      <c r="D3523" s="27" t="s">
        <v>6</v>
      </c>
      <c r="E3523" s="27" t="s">
        <v>64</v>
      </c>
      <c r="F3523" s="29"/>
      <c r="G3523" s="30">
        <v>698.10416666666663</v>
      </c>
    </row>
    <row r="3524" spans="1:7" hidden="1" x14ac:dyDescent="0.25">
      <c r="A3524" s="28">
        <v>43770</v>
      </c>
      <c r="B3524" s="27" t="s">
        <v>34</v>
      </c>
      <c r="C3524" s="27" t="s">
        <v>50</v>
      </c>
      <c r="D3524" s="27" t="s">
        <v>6</v>
      </c>
      <c r="E3524" s="27" t="s">
        <v>21</v>
      </c>
      <c r="F3524" s="29"/>
      <c r="G3524" s="30">
        <v>656.62166666666667</v>
      </c>
    </row>
    <row r="3525" spans="1:7" hidden="1" x14ac:dyDescent="0.25">
      <c r="A3525" s="28">
        <v>43770</v>
      </c>
      <c r="B3525" s="27" t="s">
        <v>34</v>
      </c>
      <c r="C3525" s="27" t="s">
        <v>50</v>
      </c>
      <c r="D3525" s="27" t="s">
        <v>6</v>
      </c>
      <c r="E3525" s="27" t="s">
        <v>10</v>
      </c>
      <c r="F3525" s="29"/>
      <c r="G3525" s="30">
        <v>832.49083333333328</v>
      </c>
    </row>
    <row r="3526" spans="1:7" hidden="1" x14ac:dyDescent="0.25">
      <c r="A3526" s="28">
        <v>43770</v>
      </c>
      <c r="B3526" s="27" t="s">
        <v>34</v>
      </c>
      <c r="C3526" s="27" t="s">
        <v>50</v>
      </c>
      <c r="D3526" s="27" t="s">
        <v>6</v>
      </c>
      <c r="E3526" s="27" t="s">
        <v>11</v>
      </c>
      <c r="F3526" s="29"/>
      <c r="G3526" s="30">
        <v>418.92500000000001</v>
      </c>
    </row>
    <row r="3527" spans="1:7" hidden="1" x14ac:dyDescent="0.25">
      <c r="A3527" s="28">
        <v>43770</v>
      </c>
      <c r="B3527" s="27" t="s">
        <v>34</v>
      </c>
      <c r="C3527" s="27" t="s">
        <v>50</v>
      </c>
      <c r="D3527" s="27" t="s">
        <v>6</v>
      </c>
      <c r="E3527" s="27" t="s">
        <v>12</v>
      </c>
      <c r="F3527" s="29"/>
      <c r="G3527" s="30">
        <v>388.7</v>
      </c>
    </row>
    <row r="3528" spans="1:7" hidden="1" x14ac:dyDescent="0.25">
      <c r="A3528" s="28">
        <v>43770</v>
      </c>
      <c r="B3528" s="27" t="s">
        <v>34</v>
      </c>
      <c r="C3528" s="27" t="s">
        <v>50</v>
      </c>
      <c r="D3528" s="27" t="s">
        <v>6</v>
      </c>
      <c r="E3528" s="27" t="s">
        <v>13</v>
      </c>
      <c r="F3528" s="29"/>
      <c r="G3528" s="30">
        <v>537.06416666666667</v>
      </c>
    </row>
    <row r="3529" spans="1:7" hidden="1" x14ac:dyDescent="0.25">
      <c r="A3529" s="28">
        <v>43770</v>
      </c>
      <c r="B3529" s="27" t="s">
        <v>34</v>
      </c>
      <c r="C3529" s="27" t="s">
        <v>50</v>
      </c>
      <c r="D3529" s="27" t="s">
        <v>6</v>
      </c>
      <c r="E3529" s="27" t="s">
        <v>14</v>
      </c>
      <c r="F3529" s="29"/>
      <c r="G3529" s="30">
        <v>165.58333333333334</v>
      </c>
    </row>
    <row r="3530" spans="1:7" hidden="1" x14ac:dyDescent="0.25">
      <c r="A3530" s="28">
        <v>43770</v>
      </c>
      <c r="B3530" s="27" t="s">
        <v>34</v>
      </c>
      <c r="C3530" s="27" t="s">
        <v>50</v>
      </c>
      <c r="D3530" s="27" t="s">
        <v>6</v>
      </c>
      <c r="E3530" s="27" t="s">
        <v>15</v>
      </c>
      <c r="F3530" s="29"/>
      <c r="G3530" s="30">
        <v>409.28999999999996</v>
      </c>
    </row>
    <row r="3531" spans="1:7" hidden="1" x14ac:dyDescent="0.25">
      <c r="A3531" s="28">
        <v>43770</v>
      </c>
      <c r="B3531" s="27" t="s">
        <v>34</v>
      </c>
      <c r="C3531" s="27" t="s">
        <v>50</v>
      </c>
      <c r="D3531" s="27" t="s">
        <v>6</v>
      </c>
      <c r="E3531" s="27" t="s">
        <v>16</v>
      </c>
      <c r="F3531" s="29"/>
      <c r="G3531" s="30">
        <v>657.78499999999997</v>
      </c>
    </row>
    <row r="3532" spans="1:7" hidden="1" x14ac:dyDescent="0.25">
      <c r="A3532" s="28">
        <v>43770</v>
      </c>
      <c r="B3532" s="27" t="s">
        <v>34</v>
      </c>
      <c r="C3532" s="27" t="s">
        <v>50</v>
      </c>
      <c r="D3532" s="27" t="s">
        <v>6</v>
      </c>
      <c r="E3532" s="27" t="s">
        <v>17</v>
      </c>
      <c r="F3532" s="29"/>
      <c r="G3532" s="30">
        <v>835.00750000000005</v>
      </c>
    </row>
    <row r="3533" spans="1:7" hidden="1" x14ac:dyDescent="0.25">
      <c r="A3533" s="28">
        <v>43770</v>
      </c>
      <c r="B3533" s="27" t="s">
        <v>34</v>
      </c>
      <c r="C3533" s="27" t="s">
        <v>50</v>
      </c>
      <c r="D3533" s="27" t="s">
        <v>6</v>
      </c>
      <c r="E3533" s="27" t="s">
        <v>18</v>
      </c>
      <c r="F3533" s="29"/>
      <c r="G3533" s="30">
        <v>369.30749999999995</v>
      </c>
    </row>
    <row r="3534" spans="1:7" hidden="1" x14ac:dyDescent="0.25">
      <c r="A3534" s="28">
        <v>43770</v>
      </c>
      <c r="B3534" s="27" t="s">
        <v>34</v>
      </c>
      <c r="C3534" s="27" t="s">
        <v>50</v>
      </c>
      <c r="D3534" s="27" t="s">
        <v>6</v>
      </c>
      <c r="E3534" s="27" t="s">
        <v>19</v>
      </c>
      <c r="F3534" s="29"/>
      <c r="G3534" s="30">
        <v>289.51</v>
      </c>
    </row>
    <row r="3535" spans="1:7" hidden="1" x14ac:dyDescent="0.25">
      <c r="A3535" s="28">
        <v>43770</v>
      </c>
      <c r="B3535" s="27" t="s">
        <v>34</v>
      </c>
      <c r="C3535" s="27" t="s">
        <v>50</v>
      </c>
      <c r="D3535" s="27" t="s">
        <v>6</v>
      </c>
      <c r="E3535" s="27" t="s">
        <v>20</v>
      </c>
      <c r="F3535" s="29"/>
      <c r="G3535" s="30">
        <v>550.26900000000001</v>
      </c>
    </row>
    <row r="3536" spans="1:7" hidden="1" x14ac:dyDescent="0.25">
      <c r="A3536" s="28">
        <v>43770</v>
      </c>
      <c r="B3536" s="27" t="s">
        <v>34</v>
      </c>
      <c r="C3536" s="27" t="s">
        <v>50</v>
      </c>
      <c r="D3536" s="27" t="s">
        <v>6</v>
      </c>
      <c r="E3536" s="27" t="s">
        <v>38</v>
      </c>
      <c r="F3536" s="29"/>
      <c r="G3536" s="30">
        <v>10.922000000000001</v>
      </c>
    </row>
    <row r="3537" spans="1:7" hidden="1" x14ac:dyDescent="0.25">
      <c r="A3537" s="28">
        <v>43770</v>
      </c>
      <c r="B3537" s="27" t="s">
        <v>34</v>
      </c>
      <c r="C3537" s="27" t="s">
        <v>50</v>
      </c>
      <c r="D3537" s="27" t="s">
        <v>6</v>
      </c>
      <c r="E3537" s="27" t="s">
        <v>23</v>
      </c>
      <c r="F3537" s="29"/>
      <c r="G3537" s="30">
        <v>1219.03</v>
      </c>
    </row>
    <row r="3538" spans="1:7" hidden="1" x14ac:dyDescent="0.25">
      <c r="A3538" s="28">
        <v>43770</v>
      </c>
      <c r="B3538" s="27" t="s">
        <v>34</v>
      </c>
      <c r="C3538" s="27" t="s">
        <v>50</v>
      </c>
      <c r="D3538" s="27" t="s">
        <v>6</v>
      </c>
      <c r="E3538" s="27" t="s">
        <v>22</v>
      </c>
      <c r="F3538" s="29"/>
      <c r="G3538" s="30">
        <v>1708.9799999999998</v>
      </c>
    </row>
    <row r="3539" spans="1:7" hidden="1" x14ac:dyDescent="0.25">
      <c r="A3539" s="28">
        <v>43770</v>
      </c>
      <c r="B3539" s="27" t="s">
        <v>34</v>
      </c>
      <c r="C3539" s="27" t="s">
        <v>50</v>
      </c>
      <c r="D3539" s="27" t="s">
        <v>6</v>
      </c>
      <c r="E3539" s="27" t="s">
        <v>204</v>
      </c>
      <c r="F3539" s="29"/>
      <c r="G3539" s="30">
        <v>164.41666666666666</v>
      </c>
    </row>
    <row r="3540" spans="1:7" hidden="1" x14ac:dyDescent="0.25">
      <c r="A3540" s="28">
        <v>43800</v>
      </c>
      <c r="B3540" s="27" t="s">
        <v>33</v>
      </c>
      <c r="C3540" s="27" t="s">
        <v>50</v>
      </c>
      <c r="D3540" s="27" t="s">
        <v>7</v>
      </c>
      <c r="E3540" s="27" t="s">
        <v>8</v>
      </c>
      <c r="F3540" s="29"/>
      <c r="G3540" s="30">
        <v>2419.043684210526</v>
      </c>
    </row>
    <row r="3541" spans="1:7" hidden="1" x14ac:dyDescent="0.25">
      <c r="A3541" s="28">
        <v>43800</v>
      </c>
      <c r="B3541" s="27" t="s">
        <v>33</v>
      </c>
      <c r="C3541" s="27" t="s">
        <v>50</v>
      </c>
      <c r="D3541" s="27" t="s">
        <v>7</v>
      </c>
      <c r="E3541" s="27" t="s">
        <v>9</v>
      </c>
      <c r="F3541" s="29"/>
      <c r="G3541" s="30">
        <v>2419.043684210526</v>
      </c>
    </row>
    <row r="3542" spans="1:7" hidden="1" x14ac:dyDescent="0.25">
      <c r="A3542" s="28">
        <v>43800</v>
      </c>
      <c r="B3542" s="27" t="s">
        <v>33</v>
      </c>
      <c r="C3542" s="27" t="s">
        <v>50</v>
      </c>
      <c r="D3542" s="27" t="s">
        <v>7</v>
      </c>
      <c r="E3542" s="27" t="s">
        <v>64</v>
      </c>
      <c r="F3542" s="29"/>
      <c r="G3542" s="30">
        <v>2419.043684210526</v>
      </c>
    </row>
    <row r="3543" spans="1:7" hidden="1" x14ac:dyDescent="0.25">
      <c r="A3543" s="28">
        <v>43800</v>
      </c>
      <c r="B3543" s="27" t="s">
        <v>33</v>
      </c>
      <c r="C3543" s="27" t="s">
        <v>50</v>
      </c>
      <c r="D3543" s="27" t="s">
        <v>7</v>
      </c>
      <c r="E3543" s="27" t="s">
        <v>21</v>
      </c>
      <c r="F3543" s="29"/>
      <c r="G3543" s="30">
        <v>2419.043684210526</v>
      </c>
    </row>
    <row r="3544" spans="1:7" hidden="1" x14ac:dyDescent="0.25">
      <c r="A3544" s="28">
        <v>43800</v>
      </c>
      <c r="B3544" s="27" t="s">
        <v>33</v>
      </c>
      <c r="C3544" s="27" t="s">
        <v>50</v>
      </c>
      <c r="D3544" s="27" t="s">
        <v>7</v>
      </c>
      <c r="E3544" s="27" t="s">
        <v>10</v>
      </c>
      <c r="F3544" s="29"/>
      <c r="G3544" s="30">
        <v>2419.043684210526</v>
      </c>
    </row>
    <row r="3545" spans="1:7" hidden="1" x14ac:dyDescent="0.25">
      <c r="A3545" s="28">
        <v>43800</v>
      </c>
      <c r="B3545" s="27" t="s">
        <v>33</v>
      </c>
      <c r="C3545" s="27" t="s">
        <v>50</v>
      </c>
      <c r="D3545" s="27" t="s">
        <v>7</v>
      </c>
      <c r="E3545" s="27" t="s">
        <v>11</v>
      </c>
      <c r="F3545" s="29"/>
      <c r="G3545" s="30">
        <v>2419.043684210526</v>
      </c>
    </row>
    <row r="3546" spans="1:7" hidden="1" x14ac:dyDescent="0.25">
      <c r="A3546" s="28">
        <v>43800</v>
      </c>
      <c r="B3546" s="27" t="s">
        <v>33</v>
      </c>
      <c r="C3546" s="27" t="s">
        <v>50</v>
      </c>
      <c r="D3546" s="27" t="s">
        <v>7</v>
      </c>
      <c r="E3546" s="27" t="s">
        <v>12</v>
      </c>
      <c r="F3546" s="29"/>
      <c r="G3546" s="30">
        <v>2419.043684210526</v>
      </c>
    </row>
    <row r="3547" spans="1:7" hidden="1" x14ac:dyDescent="0.25">
      <c r="A3547" s="28">
        <v>43800</v>
      </c>
      <c r="B3547" s="27" t="s">
        <v>33</v>
      </c>
      <c r="C3547" s="27" t="s">
        <v>50</v>
      </c>
      <c r="D3547" s="27" t="s">
        <v>7</v>
      </c>
      <c r="E3547" s="27" t="s">
        <v>13</v>
      </c>
      <c r="F3547" s="29"/>
      <c r="G3547" s="30">
        <v>2419.043684210526</v>
      </c>
    </row>
    <row r="3548" spans="1:7" hidden="1" x14ac:dyDescent="0.25">
      <c r="A3548" s="28">
        <v>43800</v>
      </c>
      <c r="B3548" s="27" t="s">
        <v>33</v>
      </c>
      <c r="C3548" s="27" t="s">
        <v>50</v>
      </c>
      <c r="D3548" s="27" t="s">
        <v>7</v>
      </c>
      <c r="E3548" s="27" t="s">
        <v>14</v>
      </c>
      <c r="F3548" s="29"/>
      <c r="G3548" s="30">
        <v>2419.043684210526</v>
      </c>
    </row>
    <row r="3549" spans="1:7" hidden="1" x14ac:dyDescent="0.25">
      <c r="A3549" s="28">
        <v>43800</v>
      </c>
      <c r="B3549" s="27" t="s">
        <v>33</v>
      </c>
      <c r="C3549" s="27" t="s">
        <v>50</v>
      </c>
      <c r="D3549" s="27" t="s">
        <v>7</v>
      </c>
      <c r="E3549" s="27" t="s">
        <v>15</v>
      </c>
      <c r="F3549" s="29"/>
      <c r="G3549" s="30">
        <v>2419.043684210526</v>
      </c>
    </row>
    <row r="3550" spans="1:7" hidden="1" x14ac:dyDescent="0.25">
      <c r="A3550" s="28">
        <v>43800</v>
      </c>
      <c r="B3550" s="27" t="s">
        <v>33</v>
      </c>
      <c r="C3550" s="27" t="s">
        <v>50</v>
      </c>
      <c r="D3550" s="27" t="s">
        <v>7</v>
      </c>
      <c r="E3550" s="27" t="s">
        <v>16</v>
      </c>
      <c r="F3550" s="29"/>
      <c r="G3550" s="30">
        <v>2419.043684210526</v>
      </c>
    </row>
    <row r="3551" spans="1:7" hidden="1" x14ac:dyDescent="0.25">
      <c r="A3551" s="28">
        <v>43800</v>
      </c>
      <c r="B3551" s="27" t="s">
        <v>33</v>
      </c>
      <c r="C3551" s="27" t="s">
        <v>50</v>
      </c>
      <c r="D3551" s="27" t="s">
        <v>7</v>
      </c>
      <c r="E3551" s="27" t="s">
        <v>17</v>
      </c>
      <c r="F3551" s="29"/>
      <c r="G3551" s="30">
        <v>2419.043684210526</v>
      </c>
    </row>
    <row r="3552" spans="1:7" hidden="1" x14ac:dyDescent="0.25">
      <c r="A3552" s="28">
        <v>43800</v>
      </c>
      <c r="B3552" s="27" t="s">
        <v>33</v>
      </c>
      <c r="C3552" s="27" t="s">
        <v>50</v>
      </c>
      <c r="D3552" s="27" t="s">
        <v>7</v>
      </c>
      <c r="E3552" s="27" t="s">
        <v>18</v>
      </c>
      <c r="F3552" s="29"/>
      <c r="G3552" s="30">
        <v>2419.043684210526</v>
      </c>
    </row>
    <row r="3553" spans="1:7" hidden="1" x14ac:dyDescent="0.25">
      <c r="A3553" s="28">
        <v>43800</v>
      </c>
      <c r="B3553" s="27" t="s">
        <v>33</v>
      </c>
      <c r="C3553" s="27" t="s">
        <v>50</v>
      </c>
      <c r="D3553" s="27" t="s">
        <v>7</v>
      </c>
      <c r="E3553" s="27" t="s">
        <v>19</v>
      </c>
      <c r="F3553" s="29"/>
      <c r="G3553" s="30">
        <v>2419.043684210526</v>
      </c>
    </row>
    <row r="3554" spans="1:7" hidden="1" x14ac:dyDescent="0.25">
      <c r="A3554" s="28">
        <v>43800</v>
      </c>
      <c r="B3554" s="27" t="s">
        <v>33</v>
      </c>
      <c r="C3554" s="27" t="s">
        <v>50</v>
      </c>
      <c r="D3554" s="27" t="s">
        <v>7</v>
      </c>
      <c r="E3554" s="27" t="s">
        <v>20</v>
      </c>
      <c r="F3554" s="29"/>
      <c r="G3554" s="30">
        <v>2419.043684210526</v>
      </c>
    </row>
    <row r="3555" spans="1:7" hidden="1" x14ac:dyDescent="0.25">
      <c r="A3555" s="28">
        <v>43800</v>
      </c>
      <c r="B3555" s="27" t="s">
        <v>33</v>
      </c>
      <c r="C3555" s="27" t="s">
        <v>50</v>
      </c>
      <c r="D3555" s="27" t="s">
        <v>7</v>
      </c>
      <c r="E3555" s="27" t="s">
        <v>38</v>
      </c>
      <c r="F3555" s="29"/>
      <c r="G3555" s="30">
        <v>2419.043684210526</v>
      </c>
    </row>
    <row r="3556" spans="1:7" hidden="1" x14ac:dyDescent="0.25">
      <c r="A3556" s="28">
        <v>43800</v>
      </c>
      <c r="B3556" s="27" t="s">
        <v>33</v>
      </c>
      <c r="C3556" s="27" t="s">
        <v>50</v>
      </c>
      <c r="D3556" s="27" t="s">
        <v>7</v>
      </c>
      <c r="E3556" s="27" t="s">
        <v>23</v>
      </c>
      <c r="F3556" s="29"/>
      <c r="G3556" s="30">
        <v>2419.043684210526</v>
      </c>
    </row>
    <row r="3557" spans="1:7" hidden="1" x14ac:dyDescent="0.25">
      <c r="A3557" s="28">
        <v>43800</v>
      </c>
      <c r="B3557" s="27" t="s">
        <v>33</v>
      </c>
      <c r="C3557" s="27" t="s">
        <v>50</v>
      </c>
      <c r="D3557" s="27" t="s">
        <v>7</v>
      </c>
      <c r="E3557" s="27" t="s">
        <v>22</v>
      </c>
      <c r="F3557" s="29"/>
      <c r="G3557" s="30">
        <v>2419.043684210526</v>
      </c>
    </row>
    <row r="3558" spans="1:7" hidden="1" x14ac:dyDescent="0.25">
      <c r="A3558" s="28">
        <v>43800</v>
      </c>
      <c r="B3558" s="27" t="s">
        <v>33</v>
      </c>
      <c r="C3558" s="27" t="s">
        <v>50</v>
      </c>
      <c r="D3558" s="27" t="s">
        <v>7</v>
      </c>
      <c r="E3558" s="27" t="s">
        <v>37</v>
      </c>
      <c r="F3558" s="29"/>
      <c r="G3558" s="30">
        <v>2419.043684210526</v>
      </c>
    </row>
    <row r="3559" spans="1:7" hidden="1" x14ac:dyDescent="0.25">
      <c r="A3559" s="28">
        <v>43800</v>
      </c>
      <c r="B3559" s="27" t="s">
        <v>4</v>
      </c>
      <c r="C3559" s="27" t="s">
        <v>50</v>
      </c>
      <c r="D3559" s="27" t="s">
        <v>7</v>
      </c>
      <c r="E3559" s="27" t="s">
        <v>8</v>
      </c>
      <c r="F3559" s="29"/>
      <c r="G3559" s="30">
        <v>4945.72</v>
      </c>
    </row>
    <row r="3560" spans="1:7" hidden="1" x14ac:dyDescent="0.25">
      <c r="A3560" s="28">
        <v>43800</v>
      </c>
      <c r="B3560" s="27" t="s">
        <v>4</v>
      </c>
      <c r="C3560" s="27" t="s">
        <v>50</v>
      </c>
      <c r="D3560" s="27" t="s">
        <v>7</v>
      </c>
      <c r="E3560" s="27" t="s">
        <v>9</v>
      </c>
      <c r="F3560" s="29"/>
      <c r="G3560" s="30">
        <v>2212.5</v>
      </c>
    </row>
    <row r="3561" spans="1:7" hidden="1" x14ac:dyDescent="0.25">
      <c r="A3561" s="28">
        <v>43800</v>
      </c>
      <c r="B3561" s="27" t="s">
        <v>4</v>
      </c>
      <c r="C3561" s="27" t="s">
        <v>50</v>
      </c>
      <c r="D3561" s="27" t="s">
        <v>7</v>
      </c>
      <c r="E3561" s="27" t="s">
        <v>64</v>
      </c>
      <c r="F3561" s="29"/>
      <c r="G3561" s="30">
        <v>4417.43</v>
      </c>
    </row>
    <row r="3562" spans="1:7" hidden="1" x14ac:dyDescent="0.25">
      <c r="A3562" s="28">
        <v>43800</v>
      </c>
      <c r="B3562" s="27" t="s">
        <v>4</v>
      </c>
      <c r="C3562" s="27" t="s">
        <v>50</v>
      </c>
      <c r="D3562" s="27" t="s">
        <v>7</v>
      </c>
      <c r="E3562" s="27" t="s">
        <v>21</v>
      </c>
      <c r="F3562" s="29"/>
      <c r="G3562" s="30">
        <v>5210.25</v>
      </c>
    </row>
    <row r="3563" spans="1:7" hidden="1" x14ac:dyDescent="0.25">
      <c r="A3563" s="28">
        <v>43800</v>
      </c>
      <c r="B3563" s="27" t="s">
        <v>4</v>
      </c>
      <c r="C3563" s="27" t="s">
        <v>50</v>
      </c>
      <c r="D3563" s="27" t="s">
        <v>7</v>
      </c>
      <c r="E3563" s="27" t="s">
        <v>10</v>
      </c>
      <c r="F3563" s="29"/>
      <c r="G3563" s="30">
        <v>4388.5200000000004</v>
      </c>
    </row>
    <row r="3564" spans="1:7" hidden="1" x14ac:dyDescent="0.25">
      <c r="A3564" s="28">
        <v>43800</v>
      </c>
      <c r="B3564" s="27" t="s">
        <v>4</v>
      </c>
      <c r="C3564" s="27" t="s">
        <v>50</v>
      </c>
      <c r="D3564" s="27" t="s">
        <v>7</v>
      </c>
      <c r="E3564" s="27" t="s">
        <v>11</v>
      </c>
      <c r="F3564" s="29"/>
      <c r="G3564" s="30">
        <v>2182.14</v>
      </c>
    </row>
    <row r="3565" spans="1:7" hidden="1" x14ac:dyDescent="0.25">
      <c r="A3565" s="28">
        <v>43800</v>
      </c>
      <c r="B3565" s="27" t="s">
        <v>4</v>
      </c>
      <c r="C3565" s="27" t="s">
        <v>50</v>
      </c>
      <c r="D3565" s="27" t="s">
        <v>7</v>
      </c>
      <c r="E3565" s="27" t="s">
        <v>12</v>
      </c>
      <c r="F3565" s="29"/>
      <c r="G3565" s="30">
        <v>1565.31</v>
      </c>
    </row>
    <row r="3566" spans="1:7" hidden="1" x14ac:dyDescent="0.25">
      <c r="A3566" s="28">
        <v>43800</v>
      </c>
      <c r="B3566" s="27" t="s">
        <v>4</v>
      </c>
      <c r="C3566" s="27" t="s">
        <v>50</v>
      </c>
      <c r="D3566" s="27" t="s">
        <v>7</v>
      </c>
      <c r="E3566" s="27" t="s">
        <v>13</v>
      </c>
      <c r="F3566" s="29"/>
      <c r="G3566" s="30">
        <v>4600.37</v>
      </c>
    </row>
    <row r="3567" spans="1:7" hidden="1" x14ac:dyDescent="0.25">
      <c r="A3567" s="28">
        <v>43800</v>
      </c>
      <c r="B3567" s="27" t="s">
        <v>4</v>
      </c>
      <c r="C3567" s="27" t="s">
        <v>50</v>
      </c>
      <c r="D3567" s="27" t="s">
        <v>7</v>
      </c>
      <c r="E3567" s="27" t="s">
        <v>14</v>
      </c>
      <c r="F3567" s="29"/>
      <c r="G3567" s="30">
        <v>1653.03</v>
      </c>
    </row>
    <row r="3568" spans="1:7" hidden="1" x14ac:dyDescent="0.25">
      <c r="A3568" s="28">
        <v>43800</v>
      </c>
      <c r="B3568" s="27" t="s">
        <v>4</v>
      </c>
      <c r="C3568" s="27" t="s">
        <v>50</v>
      </c>
      <c r="D3568" s="27" t="s">
        <v>7</v>
      </c>
      <c r="E3568" s="27" t="s">
        <v>15</v>
      </c>
      <c r="F3568" s="29"/>
      <c r="G3568" s="30">
        <v>4328.0600000000004</v>
      </c>
    </row>
    <row r="3569" spans="1:7" hidden="1" x14ac:dyDescent="0.25">
      <c r="A3569" s="28">
        <v>43800</v>
      </c>
      <c r="B3569" s="27" t="s">
        <v>4</v>
      </c>
      <c r="C3569" s="27" t="s">
        <v>50</v>
      </c>
      <c r="D3569" s="27" t="s">
        <v>7</v>
      </c>
      <c r="E3569" s="27" t="s">
        <v>16</v>
      </c>
      <c r="F3569" s="29"/>
      <c r="G3569" s="30">
        <v>3729.6900000000005</v>
      </c>
    </row>
    <row r="3570" spans="1:7" hidden="1" x14ac:dyDescent="0.25">
      <c r="A3570" s="28">
        <v>43800</v>
      </c>
      <c r="B3570" s="27" t="s">
        <v>4</v>
      </c>
      <c r="C3570" s="27" t="s">
        <v>50</v>
      </c>
      <c r="D3570" s="27" t="s">
        <v>7</v>
      </c>
      <c r="E3570" s="27" t="s">
        <v>17</v>
      </c>
      <c r="F3570" s="29"/>
      <c r="G3570" s="30">
        <v>3686.16</v>
      </c>
    </row>
    <row r="3571" spans="1:7" hidden="1" x14ac:dyDescent="0.25">
      <c r="A3571" s="28">
        <v>43800</v>
      </c>
      <c r="B3571" s="27" t="s">
        <v>4</v>
      </c>
      <c r="C3571" s="27" t="s">
        <v>50</v>
      </c>
      <c r="D3571" s="27" t="s">
        <v>7</v>
      </c>
      <c r="E3571" s="27" t="s">
        <v>18</v>
      </c>
      <c r="F3571" s="29"/>
      <c r="G3571" s="30">
        <v>2991.11</v>
      </c>
    </row>
    <row r="3572" spans="1:7" hidden="1" x14ac:dyDescent="0.25">
      <c r="A3572" s="28">
        <v>43800</v>
      </c>
      <c r="B3572" s="27" t="s">
        <v>4</v>
      </c>
      <c r="C3572" s="27" t="s">
        <v>50</v>
      </c>
      <c r="D3572" s="27" t="s">
        <v>7</v>
      </c>
      <c r="E3572" s="27" t="s">
        <v>19</v>
      </c>
      <c r="F3572" s="29"/>
      <c r="G3572" s="30">
        <v>4998.2299999999996</v>
      </c>
    </row>
    <row r="3573" spans="1:7" hidden="1" x14ac:dyDescent="0.25">
      <c r="A3573" s="28">
        <v>43800</v>
      </c>
      <c r="B3573" s="27" t="s">
        <v>4</v>
      </c>
      <c r="C3573" s="27" t="s">
        <v>50</v>
      </c>
      <c r="D3573" s="27" t="s">
        <v>7</v>
      </c>
      <c r="E3573" s="27" t="s">
        <v>38</v>
      </c>
      <c r="F3573" s="29"/>
      <c r="G3573" s="30">
        <v>2553.61</v>
      </c>
    </row>
    <row r="3574" spans="1:7" hidden="1" x14ac:dyDescent="0.25">
      <c r="A3574" s="28">
        <v>43800</v>
      </c>
      <c r="B3574" s="27" t="s">
        <v>4</v>
      </c>
      <c r="C3574" s="27" t="s">
        <v>50</v>
      </c>
      <c r="D3574" s="27" t="s">
        <v>7</v>
      </c>
      <c r="E3574" s="27" t="s">
        <v>23</v>
      </c>
      <c r="F3574" s="29"/>
      <c r="G3574" s="30">
        <v>5031.3099999999995</v>
      </c>
    </row>
    <row r="3575" spans="1:7" hidden="1" x14ac:dyDescent="0.25">
      <c r="A3575" s="28">
        <v>43800</v>
      </c>
      <c r="B3575" s="27" t="s">
        <v>4</v>
      </c>
      <c r="C3575" s="27" t="s">
        <v>50</v>
      </c>
      <c r="D3575" s="27" t="s">
        <v>7</v>
      </c>
      <c r="E3575" s="27" t="s">
        <v>22</v>
      </c>
      <c r="F3575" s="29"/>
      <c r="G3575" s="30">
        <v>6630.01</v>
      </c>
    </row>
    <row r="3576" spans="1:7" hidden="1" x14ac:dyDescent="0.25">
      <c r="A3576" s="28">
        <v>43800</v>
      </c>
      <c r="B3576" s="27" t="s">
        <v>4</v>
      </c>
      <c r="C3576" s="27" t="s">
        <v>50</v>
      </c>
      <c r="D3576" s="27" t="s">
        <v>7</v>
      </c>
      <c r="E3576" s="27" t="s">
        <v>37</v>
      </c>
      <c r="F3576" s="29"/>
      <c r="G3576" s="30">
        <v>420</v>
      </c>
    </row>
    <row r="3577" spans="1:7" hidden="1" x14ac:dyDescent="0.25">
      <c r="A3577" s="28">
        <v>43800</v>
      </c>
      <c r="B3577" s="27" t="s">
        <v>26</v>
      </c>
      <c r="C3577" s="27" t="s">
        <v>50</v>
      </c>
      <c r="D3577" s="27" t="s">
        <v>6</v>
      </c>
      <c r="E3577" s="27" t="s">
        <v>8</v>
      </c>
      <c r="F3577" s="29"/>
      <c r="G3577" s="30">
        <v>1194.25</v>
      </c>
    </row>
    <row r="3578" spans="1:7" hidden="1" x14ac:dyDescent="0.25">
      <c r="A3578" s="28">
        <v>43800</v>
      </c>
      <c r="B3578" s="27" t="s">
        <v>26</v>
      </c>
      <c r="C3578" s="27" t="s">
        <v>50</v>
      </c>
      <c r="D3578" s="27" t="s">
        <v>6</v>
      </c>
      <c r="E3578" s="27" t="s">
        <v>9</v>
      </c>
      <c r="F3578" s="29"/>
      <c r="G3578" s="30">
        <v>1550.9166666666667</v>
      </c>
    </row>
    <row r="3579" spans="1:7" hidden="1" x14ac:dyDescent="0.25">
      <c r="A3579" s="28">
        <v>43800</v>
      </c>
      <c r="B3579" s="27" t="s">
        <v>26</v>
      </c>
      <c r="C3579" s="27" t="s">
        <v>50</v>
      </c>
      <c r="D3579" s="27" t="s">
        <v>6</v>
      </c>
      <c r="E3579" s="27" t="s">
        <v>64</v>
      </c>
      <c r="F3579" s="29"/>
      <c r="G3579" s="30">
        <v>1270.3500000000001</v>
      </c>
    </row>
    <row r="3580" spans="1:7" hidden="1" x14ac:dyDescent="0.25">
      <c r="A3580" s="28">
        <v>43800</v>
      </c>
      <c r="B3580" s="27" t="s">
        <v>26</v>
      </c>
      <c r="C3580" s="27" t="s">
        <v>50</v>
      </c>
      <c r="D3580" s="27" t="s">
        <v>6</v>
      </c>
      <c r="E3580" s="27" t="s">
        <v>21</v>
      </c>
      <c r="F3580" s="29"/>
      <c r="G3580" s="30">
        <v>1359.4166666666667</v>
      </c>
    </row>
    <row r="3581" spans="1:7" hidden="1" x14ac:dyDescent="0.25">
      <c r="A3581" s="28">
        <v>43800</v>
      </c>
      <c r="B3581" s="27" t="s">
        <v>26</v>
      </c>
      <c r="C3581" s="27" t="s">
        <v>50</v>
      </c>
      <c r="D3581" s="27" t="s">
        <v>6</v>
      </c>
      <c r="E3581" s="27" t="s">
        <v>10</v>
      </c>
      <c r="F3581" s="29"/>
      <c r="G3581" s="30">
        <v>1998.9666666666669</v>
      </c>
    </row>
    <row r="3582" spans="1:7" hidden="1" x14ac:dyDescent="0.25">
      <c r="A3582" s="28">
        <v>43800</v>
      </c>
      <c r="B3582" s="27" t="s">
        <v>26</v>
      </c>
      <c r="C3582" s="27" t="s">
        <v>50</v>
      </c>
      <c r="D3582" s="27" t="s">
        <v>6</v>
      </c>
      <c r="E3582" s="27" t="s">
        <v>11</v>
      </c>
      <c r="F3582" s="29"/>
      <c r="G3582" s="30">
        <v>1340.7166666666667</v>
      </c>
    </row>
    <row r="3583" spans="1:7" hidden="1" x14ac:dyDescent="0.25">
      <c r="A3583" s="28">
        <v>43800</v>
      </c>
      <c r="B3583" s="27" t="s">
        <v>26</v>
      </c>
      <c r="C3583" s="27" t="s">
        <v>50</v>
      </c>
      <c r="D3583" s="27" t="s">
        <v>6</v>
      </c>
      <c r="E3583" s="27" t="s">
        <v>12</v>
      </c>
      <c r="F3583" s="29"/>
      <c r="G3583" s="30">
        <v>1350.1166666666668</v>
      </c>
    </row>
    <row r="3584" spans="1:7" hidden="1" x14ac:dyDescent="0.25">
      <c r="A3584" s="28">
        <v>43800</v>
      </c>
      <c r="B3584" s="27" t="s">
        <v>26</v>
      </c>
      <c r="C3584" s="27" t="s">
        <v>50</v>
      </c>
      <c r="D3584" s="27" t="s">
        <v>6</v>
      </c>
      <c r="E3584" s="27" t="s">
        <v>13</v>
      </c>
      <c r="F3584" s="29"/>
      <c r="G3584" s="30">
        <v>1901.5</v>
      </c>
    </row>
    <row r="3585" spans="1:7" hidden="1" x14ac:dyDescent="0.25">
      <c r="A3585" s="28">
        <v>43800</v>
      </c>
      <c r="B3585" s="27" t="s">
        <v>26</v>
      </c>
      <c r="C3585" s="27" t="s">
        <v>50</v>
      </c>
      <c r="D3585" s="27" t="s">
        <v>6</v>
      </c>
      <c r="E3585" s="27" t="s">
        <v>14</v>
      </c>
      <c r="F3585" s="29"/>
      <c r="G3585" s="30">
        <v>701.7833333333333</v>
      </c>
    </row>
    <row r="3586" spans="1:7" hidden="1" x14ac:dyDescent="0.25">
      <c r="A3586" s="28">
        <v>43800</v>
      </c>
      <c r="B3586" s="27" t="s">
        <v>26</v>
      </c>
      <c r="C3586" s="27" t="s">
        <v>50</v>
      </c>
      <c r="D3586" s="27" t="s">
        <v>6</v>
      </c>
      <c r="E3586" s="27" t="s">
        <v>15</v>
      </c>
      <c r="F3586" s="29"/>
      <c r="G3586" s="30">
        <v>1820.5500000000002</v>
      </c>
    </row>
    <row r="3587" spans="1:7" hidden="1" x14ac:dyDescent="0.25">
      <c r="A3587" s="28">
        <v>43800</v>
      </c>
      <c r="B3587" s="27" t="s">
        <v>26</v>
      </c>
      <c r="C3587" s="27" t="s">
        <v>50</v>
      </c>
      <c r="D3587" s="27" t="s">
        <v>6</v>
      </c>
      <c r="E3587" s="27" t="s">
        <v>16</v>
      </c>
      <c r="F3587" s="29"/>
      <c r="G3587" s="30">
        <v>1992.5833333333333</v>
      </c>
    </row>
    <row r="3588" spans="1:7" hidden="1" x14ac:dyDescent="0.25">
      <c r="A3588" s="28">
        <v>43800</v>
      </c>
      <c r="B3588" s="27" t="s">
        <v>26</v>
      </c>
      <c r="C3588" s="27" t="s">
        <v>50</v>
      </c>
      <c r="D3588" s="27" t="s">
        <v>6</v>
      </c>
      <c r="E3588" s="27" t="s">
        <v>17</v>
      </c>
      <c r="F3588" s="29"/>
      <c r="G3588" s="30">
        <v>2822.1166666666668</v>
      </c>
    </row>
    <row r="3589" spans="1:7" hidden="1" x14ac:dyDescent="0.25">
      <c r="A3589" s="28">
        <v>43800</v>
      </c>
      <c r="B3589" s="27" t="s">
        <v>26</v>
      </c>
      <c r="C3589" s="27" t="s">
        <v>50</v>
      </c>
      <c r="D3589" s="27" t="s">
        <v>6</v>
      </c>
      <c r="E3589" s="27" t="s">
        <v>18</v>
      </c>
      <c r="F3589" s="29"/>
      <c r="G3589" s="30">
        <v>1488.6666666666667</v>
      </c>
    </row>
    <row r="3590" spans="1:7" hidden="1" x14ac:dyDescent="0.25">
      <c r="A3590" s="28">
        <v>43800</v>
      </c>
      <c r="B3590" s="27" t="s">
        <v>26</v>
      </c>
      <c r="C3590" s="27" t="s">
        <v>50</v>
      </c>
      <c r="D3590" s="27" t="s">
        <v>6</v>
      </c>
      <c r="E3590" s="27" t="s">
        <v>19</v>
      </c>
      <c r="F3590" s="29"/>
      <c r="G3590" s="30">
        <v>2454.8833333333337</v>
      </c>
    </row>
    <row r="3591" spans="1:7" hidden="1" x14ac:dyDescent="0.25">
      <c r="A3591" s="28">
        <v>43800</v>
      </c>
      <c r="B3591" s="27" t="s">
        <v>26</v>
      </c>
      <c r="C3591" s="27" t="s">
        <v>50</v>
      </c>
      <c r="D3591" s="27" t="s">
        <v>6</v>
      </c>
      <c r="E3591" s="27" t="s">
        <v>20</v>
      </c>
      <c r="F3591" s="29"/>
      <c r="G3591" s="30">
        <v>1590.3833333333334</v>
      </c>
    </row>
    <row r="3592" spans="1:7" hidden="1" x14ac:dyDescent="0.25">
      <c r="A3592" s="28">
        <v>43800</v>
      </c>
      <c r="B3592" s="27" t="s">
        <v>26</v>
      </c>
      <c r="C3592" s="27" t="s">
        <v>50</v>
      </c>
      <c r="D3592" s="27" t="s">
        <v>6</v>
      </c>
      <c r="E3592" s="27" t="s">
        <v>38</v>
      </c>
      <c r="F3592" s="29"/>
      <c r="G3592" s="30">
        <v>602</v>
      </c>
    </row>
    <row r="3593" spans="1:7" hidden="1" x14ac:dyDescent="0.25">
      <c r="A3593" s="28">
        <v>43800</v>
      </c>
      <c r="B3593" s="27" t="s">
        <v>26</v>
      </c>
      <c r="C3593" s="27" t="s">
        <v>50</v>
      </c>
      <c r="D3593" s="27" t="s">
        <v>6</v>
      </c>
      <c r="E3593" s="27" t="s">
        <v>23</v>
      </c>
      <c r="F3593" s="29"/>
      <c r="G3593" s="30">
        <v>2997.5</v>
      </c>
    </row>
    <row r="3594" spans="1:7" hidden="1" x14ac:dyDescent="0.25">
      <c r="A3594" s="28">
        <v>43800</v>
      </c>
      <c r="B3594" s="27" t="s">
        <v>26</v>
      </c>
      <c r="C3594" s="27" t="s">
        <v>50</v>
      </c>
      <c r="D3594" s="27" t="s">
        <v>6</v>
      </c>
      <c r="E3594" s="27" t="s">
        <v>22</v>
      </c>
      <c r="F3594" s="29"/>
      <c r="G3594" s="30">
        <v>2203.9333633083334</v>
      </c>
    </row>
    <row r="3595" spans="1:7" hidden="1" x14ac:dyDescent="0.25">
      <c r="A3595" s="28">
        <v>43800</v>
      </c>
      <c r="B3595" s="27" t="s">
        <v>26</v>
      </c>
      <c r="C3595" s="27" t="s">
        <v>50</v>
      </c>
      <c r="D3595" s="27" t="s">
        <v>6</v>
      </c>
      <c r="E3595" s="27" t="s">
        <v>204</v>
      </c>
      <c r="F3595" s="29"/>
      <c r="G3595" s="30">
        <v>316.66666666666669</v>
      </c>
    </row>
    <row r="3596" spans="1:7" hidden="1" x14ac:dyDescent="0.25">
      <c r="A3596" s="28">
        <v>43800</v>
      </c>
      <c r="B3596" s="27" t="s">
        <v>26</v>
      </c>
      <c r="C3596" s="27" t="s">
        <v>50</v>
      </c>
      <c r="D3596" s="27" t="s">
        <v>6</v>
      </c>
      <c r="E3596" s="27" t="s">
        <v>205</v>
      </c>
      <c r="F3596" s="29"/>
      <c r="G3596" s="30">
        <v>1200</v>
      </c>
    </row>
    <row r="3597" spans="1:7" hidden="1" x14ac:dyDescent="0.25">
      <c r="A3597" s="28">
        <v>43800</v>
      </c>
      <c r="B3597" s="27" t="s">
        <v>26</v>
      </c>
      <c r="C3597" s="27" t="s">
        <v>50</v>
      </c>
      <c r="D3597" s="27" t="s">
        <v>6</v>
      </c>
      <c r="E3597" s="27" t="s">
        <v>37</v>
      </c>
      <c r="F3597" s="29"/>
      <c r="G3597" s="30">
        <v>250</v>
      </c>
    </row>
    <row r="3598" spans="1:7" hidden="1" x14ac:dyDescent="0.25">
      <c r="A3598" s="28">
        <v>43800</v>
      </c>
      <c r="B3598" s="27" t="s">
        <v>3</v>
      </c>
      <c r="C3598" s="27" t="s">
        <v>50</v>
      </c>
      <c r="D3598" s="27" t="s">
        <v>7</v>
      </c>
      <c r="E3598" s="27" t="s">
        <v>8</v>
      </c>
      <c r="F3598" s="29"/>
      <c r="G3598" s="30">
        <v>612.74549999999999</v>
      </c>
    </row>
    <row r="3599" spans="1:7" hidden="1" x14ac:dyDescent="0.25">
      <c r="A3599" s="28">
        <v>43800</v>
      </c>
      <c r="B3599" s="27" t="s">
        <v>3</v>
      </c>
      <c r="C3599" s="27" t="s">
        <v>50</v>
      </c>
      <c r="D3599" s="27" t="s">
        <v>7</v>
      </c>
      <c r="E3599" s="27" t="s">
        <v>9</v>
      </c>
      <c r="F3599" s="29"/>
      <c r="G3599" s="30">
        <v>612.74549999999999</v>
      </c>
    </row>
    <row r="3600" spans="1:7" hidden="1" x14ac:dyDescent="0.25">
      <c r="A3600" s="28">
        <v>43800</v>
      </c>
      <c r="B3600" s="27" t="s">
        <v>3</v>
      </c>
      <c r="C3600" s="27" t="s">
        <v>50</v>
      </c>
      <c r="D3600" s="27" t="s">
        <v>7</v>
      </c>
      <c r="E3600" s="27" t="s">
        <v>64</v>
      </c>
      <c r="F3600" s="29"/>
      <c r="G3600" s="30">
        <v>612.74549999999999</v>
      </c>
    </row>
    <row r="3601" spans="1:7" hidden="1" x14ac:dyDescent="0.25">
      <c r="A3601" s="28">
        <v>43800</v>
      </c>
      <c r="B3601" s="27" t="s">
        <v>3</v>
      </c>
      <c r="C3601" s="27" t="s">
        <v>50</v>
      </c>
      <c r="D3601" s="27" t="s">
        <v>7</v>
      </c>
      <c r="E3601" s="27" t="s">
        <v>21</v>
      </c>
      <c r="F3601" s="29"/>
      <c r="G3601" s="30">
        <v>612.74549999999999</v>
      </c>
    </row>
    <row r="3602" spans="1:7" hidden="1" x14ac:dyDescent="0.25">
      <c r="A3602" s="28">
        <v>43800</v>
      </c>
      <c r="B3602" s="27" t="s">
        <v>3</v>
      </c>
      <c r="C3602" s="27" t="s">
        <v>50</v>
      </c>
      <c r="D3602" s="27" t="s">
        <v>7</v>
      </c>
      <c r="E3602" s="27" t="s">
        <v>10</v>
      </c>
      <c r="F3602" s="29"/>
      <c r="G3602" s="30">
        <v>612.74549999999999</v>
      </c>
    </row>
    <row r="3603" spans="1:7" hidden="1" x14ac:dyDescent="0.25">
      <c r="A3603" s="28">
        <v>43800</v>
      </c>
      <c r="B3603" s="27" t="s">
        <v>3</v>
      </c>
      <c r="C3603" s="27" t="s">
        <v>50</v>
      </c>
      <c r="D3603" s="27" t="s">
        <v>7</v>
      </c>
      <c r="E3603" s="27" t="s">
        <v>11</v>
      </c>
      <c r="F3603" s="29"/>
      <c r="G3603" s="30">
        <v>612.74549999999999</v>
      </c>
    </row>
    <row r="3604" spans="1:7" hidden="1" x14ac:dyDescent="0.25">
      <c r="A3604" s="28">
        <v>43800</v>
      </c>
      <c r="B3604" s="27" t="s">
        <v>3</v>
      </c>
      <c r="C3604" s="27" t="s">
        <v>50</v>
      </c>
      <c r="D3604" s="27" t="s">
        <v>7</v>
      </c>
      <c r="E3604" s="27" t="s">
        <v>12</v>
      </c>
      <c r="F3604" s="29"/>
      <c r="G3604" s="30">
        <v>612.74549999999999</v>
      </c>
    </row>
    <row r="3605" spans="1:7" hidden="1" x14ac:dyDescent="0.25">
      <c r="A3605" s="28">
        <v>43800</v>
      </c>
      <c r="B3605" s="27" t="s">
        <v>3</v>
      </c>
      <c r="C3605" s="27" t="s">
        <v>50</v>
      </c>
      <c r="D3605" s="27" t="s">
        <v>7</v>
      </c>
      <c r="E3605" s="27" t="s">
        <v>13</v>
      </c>
      <c r="F3605" s="29"/>
      <c r="G3605" s="30">
        <v>612.74549999999999</v>
      </c>
    </row>
    <row r="3606" spans="1:7" hidden="1" x14ac:dyDescent="0.25">
      <c r="A3606" s="28">
        <v>43800</v>
      </c>
      <c r="B3606" s="27" t="s">
        <v>3</v>
      </c>
      <c r="C3606" s="27" t="s">
        <v>50</v>
      </c>
      <c r="D3606" s="27" t="s">
        <v>7</v>
      </c>
      <c r="E3606" s="27" t="s">
        <v>14</v>
      </c>
      <c r="F3606" s="29"/>
      <c r="G3606" s="30">
        <v>612.74549999999999</v>
      </c>
    </row>
    <row r="3607" spans="1:7" hidden="1" x14ac:dyDescent="0.25">
      <c r="A3607" s="28">
        <v>43800</v>
      </c>
      <c r="B3607" s="27" t="s">
        <v>3</v>
      </c>
      <c r="C3607" s="27" t="s">
        <v>50</v>
      </c>
      <c r="D3607" s="27" t="s">
        <v>7</v>
      </c>
      <c r="E3607" s="27" t="s">
        <v>15</v>
      </c>
      <c r="F3607" s="29"/>
      <c r="G3607" s="30">
        <v>612.74549999999999</v>
      </c>
    </row>
    <row r="3608" spans="1:7" hidden="1" x14ac:dyDescent="0.25">
      <c r="A3608" s="28">
        <v>43800</v>
      </c>
      <c r="B3608" s="27" t="s">
        <v>3</v>
      </c>
      <c r="C3608" s="27" t="s">
        <v>50</v>
      </c>
      <c r="D3608" s="27" t="s">
        <v>7</v>
      </c>
      <c r="E3608" s="27" t="s">
        <v>16</v>
      </c>
      <c r="F3608" s="29"/>
      <c r="G3608" s="30">
        <v>612.74549999999999</v>
      </c>
    </row>
    <row r="3609" spans="1:7" hidden="1" x14ac:dyDescent="0.25">
      <c r="A3609" s="28">
        <v>43800</v>
      </c>
      <c r="B3609" s="27" t="s">
        <v>3</v>
      </c>
      <c r="C3609" s="27" t="s">
        <v>50</v>
      </c>
      <c r="D3609" s="27" t="s">
        <v>7</v>
      </c>
      <c r="E3609" s="27" t="s">
        <v>17</v>
      </c>
      <c r="F3609" s="29"/>
      <c r="G3609" s="30">
        <v>612.74549999999999</v>
      </c>
    </row>
    <row r="3610" spans="1:7" hidden="1" x14ac:dyDescent="0.25">
      <c r="A3610" s="28">
        <v>43800</v>
      </c>
      <c r="B3610" s="27" t="s">
        <v>3</v>
      </c>
      <c r="C3610" s="27" t="s">
        <v>50</v>
      </c>
      <c r="D3610" s="27" t="s">
        <v>7</v>
      </c>
      <c r="E3610" s="27" t="s">
        <v>18</v>
      </c>
      <c r="F3610" s="29"/>
      <c r="G3610" s="30">
        <v>612.74549999999999</v>
      </c>
    </row>
    <row r="3611" spans="1:7" hidden="1" x14ac:dyDescent="0.25">
      <c r="A3611" s="28">
        <v>43800</v>
      </c>
      <c r="B3611" s="27" t="s">
        <v>3</v>
      </c>
      <c r="C3611" s="27" t="s">
        <v>50</v>
      </c>
      <c r="D3611" s="27" t="s">
        <v>7</v>
      </c>
      <c r="E3611" s="27" t="s">
        <v>19</v>
      </c>
      <c r="F3611" s="29"/>
      <c r="G3611" s="30">
        <v>612.74549999999999</v>
      </c>
    </row>
    <row r="3612" spans="1:7" hidden="1" x14ac:dyDescent="0.25">
      <c r="A3612" s="28">
        <v>43800</v>
      </c>
      <c r="B3612" s="27" t="s">
        <v>3</v>
      </c>
      <c r="C3612" s="27" t="s">
        <v>50</v>
      </c>
      <c r="D3612" s="27" t="s">
        <v>7</v>
      </c>
      <c r="E3612" s="27" t="s">
        <v>20</v>
      </c>
      <c r="F3612" s="29"/>
      <c r="G3612" s="30">
        <v>612.74549999999999</v>
      </c>
    </row>
    <row r="3613" spans="1:7" hidden="1" x14ac:dyDescent="0.25">
      <c r="A3613" s="28">
        <v>43800</v>
      </c>
      <c r="B3613" s="27" t="s">
        <v>3</v>
      </c>
      <c r="C3613" s="27" t="s">
        <v>50</v>
      </c>
      <c r="D3613" s="27" t="s">
        <v>7</v>
      </c>
      <c r="E3613" s="27" t="s">
        <v>38</v>
      </c>
      <c r="F3613" s="29"/>
      <c r="G3613" s="30">
        <v>612.74549999999999</v>
      </c>
    </row>
    <row r="3614" spans="1:7" hidden="1" x14ac:dyDescent="0.25">
      <c r="A3614" s="28">
        <v>43800</v>
      </c>
      <c r="B3614" s="27" t="s">
        <v>3</v>
      </c>
      <c r="C3614" s="27" t="s">
        <v>50</v>
      </c>
      <c r="D3614" s="27" t="s">
        <v>7</v>
      </c>
      <c r="E3614" s="27" t="s">
        <v>23</v>
      </c>
      <c r="F3614" s="29"/>
      <c r="G3614" s="30">
        <v>612.74549999999999</v>
      </c>
    </row>
    <row r="3615" spans="1:7" hidden="1" x14ac:dyDescent="0.25">
      <c r="A3615" s="28">
        <v>43800</v>
      </c>
      <c r="B3615" s="27" t="s">
        <v>3</v>
      </c>
      <c r="C3615" s="27" t="s">
        <v>50</v>
      </c>
      <c r="D3615" s="27" t="s">
        <v>7</v>
      </c>
      <c r="E3615" s="27" t="s">
        <v>22</v>
      </c>
      <c r="F3615" s="29"/>
      <c r="G3615" s="30">
        <v>612.74549999999999</v>
      </c>
    </row>
    <row r="3616" spans="1:7" hidden="1" x14ac:dyDescent="0.25">
      <c r="A3616" s="28">
        <v>43800</v>
      </c>
      <c r="B3616" s="27" t="s">
        <v>3</v>
      </c>
      <c r="C3616" s="27" t="s">
        <v>50</v>
      </c>
      <c r="D3616" s="27" t="s">
        <v>7</v>
      </c>
      <c r="E3616" s="27" t="s">
        <v>204</v>
      </c>
      <c r="F3616" s="29"/>
      <c r="G3616" s="30">
        <v>612.74549999999999</v>
      </c>
    </row>
    <row r="3617" spans="1:7" hidden="1" x14ac:dyDescent="0.25">
      <c r="A3617" s="28">
        <v>43800</v>
      </c>
      <c r="B3617" s="27" t="s">
        <v>3</v>
      </c>
      <c r="C3617" s="27" t="s">
        <v>50</v>
      </c>
      <c r="D3617" s="27" t="s">
        <v>7</v>
      </c>
      <c r="E3617" s="27" t="s">
        <v>205</v>
      </c>
      <c r="F3617" s="29"/>
      <c r="G3617" s="30">
        <v>612.74549999999999</v>
      </c>
    </row>
    <row r="3618" spans="1:7" hidden="1" x14ac:dyDescent="0.25">
      <c r="A3618" s="28">
        <v>43800</v>
      </c>
      <c r="B3618" s="27" t="s">
        <v>179</v>
      </c>
      <c r="C3618" s="27" t="s">
        <v>50</v>
      </c>
      <c r="D3618" s="27" t="s">
        <v>6</v>
      </c>
      <c r="E3618" s="27" t="s">
        <v>8</v>
      </c>
      <c r="F3618" s="29"/>
      <c r="G3618" s="30">
        <v>82.027500000000003</v>
      </c>
    </row>
    <row r="3619" spans="1:7" hidden="1" x14ac:dyDescent="0.25">
      <c r="A3619" s="28">
        <v>43800</v>
      </c>
      <c r="B3619" s="27" t="s">
        <v>179</v>
      </c>
      <c r="C3619" s="27" t="s">
        <v>50</v>
      </c>
      <c r="D3619" s="27" t="s">
        <v>6</v>
      </c>
      <c r="E3619" s="27" t="s">
        <v>9</v>
      </c>
      <c r="F3619" s="29"/>
      <c r="G3619" s="30">
        <v>80.430833333333325</v>
      </c>
    </row>
    <row r="3620" spans="1:7" hidden="1" x14ac:dyDescent="0.25">
      <c r="A3620" s="28">
        <v>43800</v>
      </c>
      <c r="B3620" s="27" t="s">
        <v>179</v>
      </c>
      <c r="C3620" s="27" t="s">
        <v>50</v>
      </c>
      <c r="D3620" s="27" t="s">
        <v>6</v>
      </c>
      <c r="E3620" s="27" t="s">
        <v>64</v>
      </c>
      <c r="F3620" s="29"/>
      <c r="G3620" s="30">
        <v>99.683333333333337</v>
      </c>
    </row>
    <row r="3621" spans="1:7" hidden="1" x14ac:dyDescent="0.25">
      <c r="A3621" s="28">
        <v>43800</v>
      </c>
      <c r="B3621" s="27" t="s">
        <v>179</v>
      </c>
      <c r="C3621" s="27" t="s">
        <v>50</v>
      </c>
      <c r="D3621" s="27" t="s">
        <v>6</v>
      </c>
      <c r="E3621" s="27" t="s">
        <v>21</v>
      </c>
      <c r="F3621" s="29"/>
      <c r="G3621" s="30">
        <v>75.420833333333334</v>
      </c>
    </row>
    <row r="3622" spans="1:7" hidden="1" x14ac:dyDescent="0.25">
      <c r="A3622" s="28">
        <v>43800</v>
      </c>
      <c r="B3622" s="27" t="s">
        <v>179</v>
      </c>
      <c r="C3622" s="27" t="s">
        <v>50</v>
      </c>
      <c r="D3622" s="27" t="s">
        <v>6</v>
      </c>
      <c r="E3622" s="27" t="s">
        <v>10</v>
      </c>
      <c r="F3622" s="29"/>
      <c r="G3622" s="30">
        <v>94.975833333333341</v>
      </c>
    </row>
    <row r="3623" spans="1:7" hidden="1" x14ac:dyDescent="0.25">
      <c r="A3623" s="28">
        <v>43800</v>
      </c>
      <c r="B3623" s="27" t="s">
        <v>179</v>
      </c>
      <c r="C3623" s="27" t="s">
        <v>50</v>
      </c>
      <c r="D3623" s="27" t="s">
        <v>6</v>
      </c>
      <c r="E3623" s="27" t="s">
        <v>11</v>
      </c>
      <c r="F3623" s="29"/>
      <c r="G3623" s="30">
        <v>99.024999999999991</v>
      </c>
    </row>
    <row r="3624" spans="1:7" hidden="1" x14ac:dyDescent="0.25">
      <c r="A3624" s="28">
        <v>43800</v>
      </c>
      <c r="B3624" s="27" t="s">
        <v>179</v>
      </c>
      <c r="C3624" s="27" t="s">
        <v>50</v>
      </c>
      <c r="D3624" s="27" t="s">
        <v>6</v>
      </c>
      <c r="E3624" s="27" t="s">
        <v>12</v>
      </c>
      <c r="F3624" s="29"/>
      <c r="G3624" s="30">
        <v>75.82083333333334</v>
      </c>
    </row>
    <row r="3625" spans="1:7" hidden="1" x14ac:dyDescent="0.25">
      <c r="A3625" s="28">
        <v>43800</v>
      </c>
      <c r="B3625" s="27" t="s">
        <v>179</v>
      </c>
      <c r="C3625" s="27" t="s">
        <v>50</v>
      </c>
      <c r="D3625" s="27" t="s">
        <v>6</v>
      </c>
      <c r="E3625" s="27" t="s">
        <v>13</v>
      </c>
      <c r="F3625" s="29"/>
      <c r="G3625" s="30">
        <v>100.41500000000001</v>
      </c>
    </row>
    <row r="3626" spans="1:7" hidden="1" x14ac:dyDescent="0.25">
      <c r="A3626" s="28">
        <v>43800</v>
      </c>
      <c r="B3626" s="27" t="s">
        <v>179</v>
      </c>
      <c r="C3626" s="27" t="s">
        <v>50</v>
      </c>
      <c r="D3626" s="27" t="s">
        <v>6</v>
      </c>
      <c r="E3626" s="27" t="s">
        <v>14</v>
      </c>
      <c r="F3626" s="29"/>
      <c r="G3626" s="30">
        <v>84.427499999999995</v>
      </c>
    </row>
    <row r="3627" spans="1:7" hidden="1" x14ac:dyDescent="0.25">
      <c r="A3627" s="28">
        <v>43800</v>
      </c>
      <c r="B3627" s="27" t="s">
        <v>179</v>
      </c>
      <c r="C3627" s="27" t="s">
        <v>50</v>
      </c>
      <c r="D3627" s="27" t="s">
        <v>6</v>
      </c>
      <c r="E3627" s="27" t="s">
        <v>15</v>
      </c>
      <c r="F3627" s="29"/>
      <c r="G3627" s="30">
        <v>97.932500000000005</v>
      </c>
    </row>
    <row r="3628" spans="1:7" hidden="1" x14ac:dyDescent="0.25">
      <c r="A3628" s="28">
        <v>43800</v>
      </c>
      <c r="B3628" s="27" t="s">
        <v>179</v>
      </c>
      <c r="C3628" s="27" t="s">
        <v>50</v>
      </c>
      <c r="D3628" s="27" t="s">
        <v>6</v>
      </c>
      <c r="E3628" s="27" t="s">
        <v>16</v>
      </c>
      <c r="F3628" s="29"/>
      <c r="G3628" s="30">
        <v>99.579166666666666</v>
      </c>
    </row>
    <row r="3629" spans="1:7" hidden="1" x14ac:dyDescent="0.25">
      <c r="A3629" s="28">
        <v>43800</v>
      </c>
      <c r="B3629" s="27" t="s">
        <v>179</v>
      </c>
      <c r="C3629" s="27" t="s">
        <v>50</v>
      </c>
      <c r="D3629" s="27" t="s">
        <v>6</v>
      </c>
      <c r="E3629" s="27" t="s">
        <v>17</v>
      </c>
      <c r="F3629" s="29"/>
      <c r="G3629" s="30">
        <v>163.58583333333334</v>
      </c>
    </row>
    <row r="3630" spans="1:7" hidden="1" x14ac:dyDescent="0.25">
      <c r="A3630" s="28">
        <v>43800</v>
      </c>
      <c r="B3630" s="27" t="s">
        <v>179</v>
      </c>
      <c r="C3630" s="27" t="s">
        <v>50</v>
      </c>
      <c r="D3630" s="27" t="s">
        <v>6</v>
      </c>
      <c r="E3630" s="27" t="s">
        <v>18</v>
      </c>
      <c r="F3630" s="29"/>
      <c r="G3630" s="30">
        <v>189.72083333333333</v>
      </c>
    </row>
    <row r="3631" spans="1:7" hidden="1" x14ac:dyDescent="0.25">
      <c r="A3631" s="28">
        <v>43800</v>
      </c>
      <c r="B3631" s="27" t="s">
        <v>179</v>
      </c>
      <c r="C3631" s="27" t="s">
        <v>50</v>
      </c>
      <c r="D3631" s="27" t="s">
        <v>6</v>
      </c>
      <c r="E3631" s="27" t="s">
        <v>19</v>
      </c>
      <c r="F3631" s="29"/>
      <c r="G3631" s="30">
        <v>132.03083333333333</v>
      </c>
    </row>
    <row r="3632" spans="1:7" hidden="1" x14ac:dyDescent="0.25">
      <c r="A3632" s="28">
        <v>43800</v>
      </c>
      <c r="B3632" s="27" t="s">
        <v>179</v>
      </c>
      <c r="C3632" s="27" t="s">
        <v>50</v>
      </c>
      <c r="D3632" s="27" t="s">
        <v>6</v>
      </c>
      <c r="E3632" s="27" t="s">
        <v>20</v>
      </c>
      <c r="F3632" s="29"/>
      <c r="G3632" s="30">
        <v>408.15999999999997</v>
      </c>
    </row>
    <row r="3633" spans="1:7" hidden="1" x14ac:dyDescent="0.25">
      <c r="A3633" s="28">
        <v>43800</v>
      </c>
      <c r="B3633" s="27" t="s">
        <v>179</v>
      </c>
      <c r="C3633" s="27" t="s">
        <v>50</v>
      </c>
      <c r="D3633" s="27" t="s">
        <v>6</v>
      </c>
      <c r="E3633" s="27" t="s">
        <v>38</v>
      </c>
      <c r="F3633" s="29"/>
      <c r="G3633" s="30">
        <v>300.31</v>
      </c>
    </row>
    <row r="3634" spans="1:7" hidden="1" x14ac:dyDescent="0.25">
      <c r="A3634" s="28">
        <v>43800</v>
      </c>
      <c r="B3634" s="27" t="s">
        <v>179</v>
      </c>
      <c r="C3634" s="27" t="s">
        <v>50</v>
      </c>
      <c r="D3634" s="27" t="s">
        <v>6</v>
      </c>
      <c r="E3634" s="27" t="s">
        <v>23</v>
      </c>
      <c r="F3634" s="29"/>
      <c r="G3634" s="30">
        <v>331.86</v>
      </c>
    </row>
    <row r="3635" spans="1:7" hidden="1" x14ac:dyDescent="0.25">
      <c r="A3635" s="28">
        <v>43800</v>
      </c>
      <c r="B3635" s="27" t="s">
        <v>179</v>
      </c>
      <c r="C3635" s="27" t="s">
        <v>50</v>
      </c>
      <c r="D3635" s="27" t="s">
        <v>6</v>
      </c>
      <c r="E3635" s="27" t="s">
        <v>22</v>
      </c>
      <c r="F3635" s="29"/>
      <c r="G3635" s="30">
        <v>310</v>
      </c>
    </row>
    <row r="3636" spans="1:7" hidden="1" x14ac:dyDescent="0.25">
      <c r="A3636" s="28">
        <v>43800</v>
      </c>
      <c r="B3636" s="27" t="s">
        <v>179</v>
      </c>
      <c r="C3636" s="27" t="s">
        <v>50</v>
      </c>
      <c r="D3636" s="27" t="s">
        <v>6</v>
      </c>
      <c r="E3636" s="27" t="s">
        <v>204</v>
      </c>
      <c r="F3636" s="29"/>
      <c r="G3636" s="30">
        <v>62.408333333333331</v>
      </c>
    </row>
    <row r="3637" spans="1:7" hidden="1" x14ac:dyDescent="0.25">
      <c r="A3637" s="28">
        <v>43800</v>
      </c>
      <c r="B3637" s="27" t="s">
        <v>179</v>
      </c>
      <c r="C3637" s="27" t="s">
        <v>50</v>
      </c>
      <c r="D3637" s="27" t="s">
        <v>6</v>
      </c>
      <c r="E3637" s="27" t="s">
        <v>205</v>
      </c>
      <c r="F3637" s="29"/>
      <c r="G3637" s="30">
        <v>136.51666666666668</v>
      </c>
    </row>
    <row r="3638" spans="1:7" hidden="1" x14ac:dyDescent="0.25">
      <c r="A3638" s="28">
        <v>43800</v>
      </c>
      <c r="B3638" s="27" t="s">
        <v>32</v>
      </c>
      <c r="C3638" s="27" t="s">
        <v>50</v>
      </c>
      <c r="D3638" s="27" t="s">
        <v>7</v>
      </c>
      <c r="E3638" s="27" t="s">
        <v>8</v>
      </c>
      <c r="F3638" s="29"/>
      <c r="G3638" s="30">
        <v>20</v>
      </c>
    </row>
    <row r="3639" spans="1:7" hidden="1" x14ac:dyDescent="0.25">
      <c r="A3639" s="28">
        <v>43800</v>
      </c>
      <c r="B3639" s="27" t="s">
        <v>32</v>
      </c>
      <c r="C3639" s="27" t="s">
        <v>50</v>
      </c>
      <c r="D3639" s="27" t="s">
        <v>7</v>
      </c>
      <c r="E3639" s="27" t="s">
        <v>10</v>
      </c>
      <c r="F3639" s="29"/>
      <c r="G3639" s="30">
        <v>25</v>
      </c>
    </row>
    <row r="3640" spans="1:7" hidden="1" x14ac:dyDescent="0.25">
      <c r="A3640" s="28">
        <v>43800</v>
      </c>
      <c r="B3640" s="27" t="s">
        <v>32</v>
      </c>
      <c r="C3640" s="27" t="s">
        <v>50</v>
      </c>
      <c r="D3640" s="27" t="s">
        <v>7</v>
      </c>
      <c r="E3640" s="27" t="s">
        <v>17</v>
      </c>
      <c r="F3640" s="29"/>
      <c r="G3640" s="30">
        <v>25</v>
      </c>
    </row>
    <row r="3641" spans="1:7" hidden="1" x14ac:dyDescent="0.25">
      <c r="A3641" s="28">
        <v>43800</v>
      </c>
      <c r="B3641" s="27" t="s">
        <v>32</v>
      </c>
      <c r="C3641" s="27" t="s">
        <v>50</v>
      </c>
      <c r="D3641" s="27" t="s">
        <v>7</v>
      </c>
      <c r="E3641" s="27" t="s">
        <v>18</v>
      </c>
      <c r="F3641" s="29"/>
      <c r="G3641" s="30">
        <v>2.2000000000000002</v>
      </c>
    </row>
    <row r="3642" spans="1:7" hidden="1" x14ac:dyDescent="0.25">
      <c r="A3642" s="28">
        <v>43800</v>
      </c>
      <c r="B3642" s="27" t="s">
        <v>5</v>
      </c>
      <c r="C3642" s="27" t="s">
        <v>51</v>
      </c>
      <c r="D3642" s="27" t="s">
        <v>51</v>
      </c>
      <c r="E3642" s="27" t="s">
        <v>8</v>
      </c>
      <c r="F3642" s="29">
        <v>4730</v>
      </c>
      <c r="G3642" s="30">
        <v>3.6770058418399625</v>
      </c>
    </row>
    <row r="3643" spans="1:7" hidden="1" x14ac:dyDescent="0.25">
      <c r="A3643" s="28">
        <v>43800</v>
      </c>
      <c r="B3643" s="27" t="s">
        <v>5</v>
      </c>
      <c r="C3643" s="27" t="s">
        <v>51</v>
      </c>
      <c r="D3643" s="27" t="s">
        <v>51</v>
      </c>
      <c r="E3643" s="27" t="s">
        <v>9</v>
      </c>
      <c r="F3643" s="29">
        <v>2154</v>
      </c>
      <c r="G3643" s="30">
        <v>8.8639051989645719</v>
      </c>
    </row>
    <row r="3644" spans="1:7" hidden="1" x14ac:dyDescent="0.25">
      <c r="A3644" s="28">
        <v>43800</v>
      </c>
      <c r="B3644" s="27" t="s">
        <v>5</v>
      </c>
      <c r="C3644" s="27" t="s">
        <v>51</v>
      </c>
      <c r="D3644" s="27" t="s">
        <v>51</v>
      </c>
      <c r="E3644" s="27" t="s">
        <v>64</v>
      </c>
      <c r="F3644" s="29">
        <v>10167</v>
      </c>
      <c r="G3644" s="30">
        <v>1.5980313070295753</v>
      </c>
    </row>
    <row r="3645" spans="1:7" hidden="1" x14ac:dyDescent="0.25">
      <c r="A3645" s="28">
        <v>43800</v>
      </c>
      <c r="B3645" s="27" t="s">
        <v>5</v>
      </c>
      <c r="C3645" s="27" t="s">
        <v>51</v>
      </c>
      <c r="D3645" s="27" t="s">
        <v>51</v>
      </c>
      <c r="E3645" s="27" t="s">
        <v>21</v>
      </c>
      <c r="F3645" s="29">
        <v>4491</v>
      </c>
      <c r="G3645" s="30">
        <v>3.8293221922147316</v>
      </c>
    </row>
    <row r="3646" spans="1:7" hidden="1" x14ac:dyDescent="0.25">
      <c r="A3646" s="28">
        <v>43800</v>
      </c>
      <c r="B3646" s="27" t="s">
        <v>5</v>
      </c>
      <c r="C3646" s="27" t="s">
        <v>51</v>
      </c>
      <c r="D3646" s="27" t="s">
        <v>51</v>
      </c>
      <c r="E3646" s="27" t="s">
        <v>10</v>
      </c>
      <c r="F3646" s="29">
        <v>3946</v>
      </c>
      <c r="G3646" s="30">
        <v>4.556272207780796</v>
      </c>
    </row>
    <row r="3647" spans="1:7" hidden="1" x14ac:dyDescent="0.25">
      <c r="A3647" s="28">
        <v>43800</v>
      </c>
      <c r="B3647" s="27" t="s">
        <v>5</v>
      </c>
      <c r="C3647" s="27" t="s">
        <v>51</v>
      </c>
      <c r="D3647" s="27" t="s">
        <v>51</v>
      </c>
      <c r="E3647" s="27" t="s">
        <v>11</v>
      </c>
      <c r="F3647" s="29">
        <v>2614</v>
      </c>
      <c r="G3647" s="30">
        <v>6.4393433302357908</v>
      </c>
    </row>
    <row r="3648" spans="1:7" hidden="1" x14ac:dyDescent="0.25">
      <c r="A3648" s="28">
        <v>43800</v>
      </c>
      <c r="B3648" s="27" t="s">
        <v>5</v>
      </c>
      <c r="C3648" s="27" t="s">
        <v>51</v>
      </c>
      <c r="D3648" s="27" t="s">
        <v>51</v>
      </c>
      <c r="E3648" s="27" t="s">
        <v>12</v>
      </c>
      <c r="F3648" s="29">
        <v>3019.2727272727275</v>
      </c>
      <c r="G3648" s="30">
        <v>4.5807568735477107</v>
      </c>
    </row>
    <row r="3649" spans="1:7" hidden="1" x14ac:dyDescent="0.25">
      <c r="A3649" s="28">
        <v>43800</v>
      </c>
      <c r="B3649" s="27" t="s">
        <v>5</v>
      </c>
      <c r="C3649" s="27" t="s">
        <v>51</v>
      </c>
      <c r="D3649" s="27" t="s">
        <v>51</v>
      </c>
      <c r="E3649" s="27" t="s">
        <v>13</v>
      </c>
      <c r="F3649" s="29">
        <v>6520</v>
      </c>
      <c r="G3649" s="30">
        <v>2.6447417124595645</v>
      </c>
    </row>
    <row r="3650" spans="1:7" hidden="1" x14ac:dyDescent="0.25">
      <c r="A3650" s="28">
        <v>43800</v>
      </c>
      <c r="B3650" s="27" t="s">
        <v>5</v>
      </c>
      <c r="C3650" s="27" t="s">
        <v>51</v>
      </c>
      <c r="D3650" s="27" t="s">
        <v>51</v>
      </c>
      <c r="E3650" s="27" t="s">
        <v>14</v>
      </c>
      <c r="F3650" s="29">
        <v>7569</v>
      </c>
      <c r="G3650" s="30">
        <v>1.501952829334966</v>
      </c>
    </row>
    <row r="3651" spans="1:7" hidden="1" x14ac:dyDescent="0.25">
      <c r="A3651" s="28">
        <v>43800</v>
      </c>
      <c r="B3651" s="27" t="s">
        <v>5</v>
      </c>
      <c r="C3651" s="27" t="s">
        <v>51</v>
      </c>
      <c r="D3651" s="27" t="s">
        <v>51</v>
      </c>
      <c r="E3651" s="27" t="s">
        <v>15</v>
      </c>
      <c r="F3651" s="29">
        <v>5152</v>
      </c>
      <c r="G3651" s="30">
        <v>3.1875930315546763</v>
      </c>
    </row>
    <row r="3652" spans="1:7" hidden="1" x14ac:dyDescent="0.25">
      <c r="A3652" s="28">
        <v>43800</v>
      </c>
      <c r="B3652" s="27" t="s">
        <v>5</v>
      </c>
      <c r="C3652" s="27" t="s">
        <v>51</v>
      </c>
      <c r="D3652" s="27" t="s">
        <v>51</v>
      </c>
      <c r="E3652" s="27" t="s">
        <v>16</v>
      </c>
      <c r="F3652" s="29">
        <v>4965</v>
      </c>
      <c r="G3652" s="30">
        <v>3.2649132524813078</v>
      </c>
    </row>
    <row r="3653" spans="1:7" hidden="1" x14ac:dyDescent="0.25">
      <c r="A3653" s="28">
        <v>43800</v>
      </c>
      <c r="B3653" s="27" t="s">
        <v>5</v>
      </c>
      <c r="C3653" s="27" t="s">
        <v>51</v>
      </c>
      <c r="D3653" s="27" t="s">
        <v>51</v>
      </c>
      <c r="E3653" s="27" t="s">
        <v>17</v>
      </c>
      <c r="F3653" s="29">
        <v>2047</v>
      </c>
      <c r="G3653" s="30">
        <v>8.3531542738493858</v>
      </c>
    </row>
    <row r="3654" spans="1:7" hidden="1" x14ac:dyDescent="0.25">
      <c r="A3654" s="28">
        <v>43800</v>
      </c>
      <c r="B3654" s="27" t="s">
        <v>5</v>
      </c>
      <c r="C3654" s="27" t="s">
        <v>51</v>
      </c>
      <c r="D3654" s="27" t="s">
        <v>51</v>
      </c>
      <c r="E3654" s="27" t="s">
        <v>18</v>
      </c>
      <c r="F3654" s="29">
        <v>2975</v>
      </c>
      <c r="G3654" s="30">
        <v>5.118746823048637</v>
      </c>
    </row>
    <row r="3655" spans="1:7" hidden="1" x14ac:dyDescent="0.25">
      <c r="A3655" s="28">
        <v>43800</v>
      </c>
      <c r="B3655" s="27" t="s">
        <v>5</v>
      </c>
      <c r="C3655" s="27" t="s">
        <v>51</v>
      </c>
      <c r="D3655" s="27" t="s">
        <v>51</v>
      </c>
      <c r="E3655" s="27" t="s">
        <v>19</v>
      </c>
      <c r="F3655" s="29">
        <v>7321</v>
      </c>
      <c r="G3655" s="30">
        <v>2.551702085129949</v>
      </c>
    </row>
    <row r="3656" spans="1:7" hidden="1" x14ac:dyDescent="0.25">
      <c r="A3656" s="28">
        <v>43800</v>
      </c>
      <c r="B3656" s="27" t="s">
        <v>5</v>
      </c>
      <c r="C3656" s="27" t="s">
        <v>51</v>
      </c>
      <c r="D3656" s="27" t="s">
        <v>51</v>
      </c>
      <c r="E3656" s="27" t="s">
        <v>20</v>
      </c>
      <c r="F3656" s="29">
        <v>2234</v>
      </c>
      <c r="G3656" s="30">
        <v>5.6109484326632453</v>
      </c>
    </row>
    <row r="3657" spans="1:7" hidden="1" x14ac:dyDescent="0.25">
      <c r="A3657" s="28">
        <v>43800</v>
      </c>
      <c r="B3657" s="27" t="s">
        <v>5</v>
      </c>
      <c r="C3657" s="27" t="s">
        <v>51</v>
      </c>
      <c r="D3657" s="27" t="s">
        <v>51</v>
      </c>
      <c r="E3657" s="27" t="s">
        <v>23</v>
      </c>
      <c r="F3657" s="29">
        <v>4706</v>
      </c>
      <c r="G3657" s="30">
        <v>3.9994404586845924</v>
      </c>
    </row>
    <row r="3658" spans="1:7" hidden="1" x14ac:dyDescent="0.25">
      <c r="A3658" s="28">
        <v>43800</v>
      </c>
      <c r="B3658" s="27" t="s">
        <v>5</v>
      </c>
      <c r="C3658" s="27" t="s">
        <v>51</v>
      </c>
      <c r="D3658" s="27" t="s">
        <v>51</v>
      </c>
      <c r="E3658" s="27" t="s">
        <v>22</v>
      </c>
      <c r="F3658" s="29">
        <v>5962</v>
      </c>
      <c r="G3658" s="30">
        <v>3.7311288429852438</v>
      </c>
    </row>
    <row r="3659" spans="1:7" hidden="1" x14ac:dyDescent="0.25">
      <c r="A3659" s="28">
        <v>43800</v>
      </c>
      <c r="B3659" s="27" t="s">
        <v>180</v>
      </c>
      <c r="C3659" s="27" t="s">
        <v>50</v>
      </c>
      <c r="D3659" s="27" t="s">
        <v>7</v>
      </c>
      <c r="E3659" s="27" t="s">
        <v>8</v>
      </c>
      <c r="F3659" s="29"/>
      <c r="G3659" s="30">
        <v>1266</v>
      </c>
    </row>
    <row r="3660" spans="1:7" hidden="1" x14ac:dyDescent="0.25">
      <c r="A3660" s="28">
        <v>43800</v>
      </c>
      <c r="B3660" s="27" t="s">
        <v>180</v>
      </c>
      <c r="C3660" s="27" t="s">
        <v>50</v>
      </c>
      <c r="D3660" s="27" t="s">
        <v>7</v>
      </c>
      <c r="E3660" s="27" t="s">
        <v>9</v>
      </c>
      <c r="F3660" s="29"/>
      <c r="G3660" s="30">
        <v>5505.74</v>
      </c>
    </row>
    <row r="3661" spans="1:7" hidden="1" x14ac:dyDescent="0.25">
      <c r="A3661" s="28">
        <v>43800</v>
      </c>
      <c r="B3661" s="27" t="s">
        <v>180</v>
      </c>
      <c r="C3661" s="27" t="s">
        <v>50</v>
      </c>
      <c r="D3661" s="27" t="s">
        <v>7</v>
      </c>
      <c r="E3661" s="27" t="s">
        <v>64</v>
      </c>
      <c r="F3661" s="29"/>
      <c r="G3661" s="30">
        <v>470</v>
      </c>
    </row>
    <row r="3662" spans="1:7" hidden="1" x14ac:dyDescent="0.25">
      <c r="A3662" s="28">
        <v>43800</v>
      </c>
      <c r="B3662" s="27" t="s">
        <v>180</v>
      </c>
      <c r="C3662" s="27" t="s">
        <v>50</v>
      </c>
      <c r="D3662" s="27" t="s">
        <v>7</v>
      </c>
      <c r="E3662" s="27" t="s">
        <v>21</v>
      </c>
      <c r="F3662" s="29"/>
      <c r="G3662" s="30">
        <v>327</v>
      </c>
    </row>
    <row r="3663" spans="1:7" hidden="1" x14ac:dyDescent="0.25">
      <c r="A3663" s="28">
        <v>43800</v>
      </c>
      <c r="B3663" s="27" t="s">
        <v>180</v>
      </c>
      <c r="C3663" s="27" t="s">
        <v>50</v>
      </c>
      <c r="D3663" s="27" t="s">
        <v>7</v>
      </c>
      <c r="E3663" s="27" t="s">
        <v>10</v>
      </c>
      <c r="F3663" s="29"/>
      <c r="G3663" s="30">
        <v>626.11</v>
      </c>
    </row>
    <row r="3664" spans="1:7" hidden="1" x14ac:dyDescent="0.25">
      <c r="A3664" s="28">
        <v>43800</v>
      </c>
      <c r="B3664" s="27" t="s">
        <v>180</v>
      </c>
      <c r="C3664" s="27" t="s">
        <v>50</v>
      </c>
      <c r="D3664" s="27" t="s">
        <v>7</v>
      </c>
      <c r="E3664" s="27" t="s">
        <v>11</v>
      </c>
      <c r="F3664" s="29"/>
      <c r="G3664" s="30">
        <v>3898.12</v>
      </c>
    </row>
    <row r="3665" spans="1:7" hidden="1" x14ac:dyDescent="0.25">
      <c r="A3665" s="28">
        <v>43800</v>
      </c>
      <c r="B3665" s="27" t="s">
        <v>180</v>
      </c>
      <c r="C3665" s="27" t="s">
        <v>50</v>
      </c>
      <c r="D3665" s="27" t="s">
        <v>7</v>
      </c>
      <c r="E3665" s="27" t="s">
        <v>12</v>
      </c>
      <c r="F3665" s="29"/>
      <c r="G3665" s="30">
        <v>1353.4</v>
      </c>
    </row>
    <row r="3666" spans="1:7" hidden="1" x14ac:dyDescent="0.25">
      <c r="A3666" s="28">
        <v>43800</v>
      </c>
      <c r="B3666" s="27" t="s">
        <v>180</v>
      </c>
      <c r="C3666" s="27" t="s">
        <v>50</v>
      </c>
      <c r="D3666" s="27" t="s">
        <v>7</v>
      </c>
      <c r="E3666" s="27" t="s">
        <v>13</v>
      </c>
      <c r="F3666" s="29"/>
      <c r="G3666" s="30">
        <v>133</v>
      </c>
    </row>
    <row r="3667" spans="1:7" hidden="1" x14ac:dyDescent="0.25">
      <c r="A3667" s="28">
        <v>43800</v>
      </c>
      <c r="B3667" s="27" t="s">
        <v>180</v>
      </c>
      <c r="C3667" s="27" t="s">
        <v>50</v>
      </c>
      <c r="D3667" s="27" t="s">
        <v>7</v>
      </c>
      <c r="E3667" s="27" t="s">
        <v>15</v>
      </c>
      <c r="F3667" s="29"/>
      <c r="G3667" s="30">
        <v>423.99</v>
      </c>
    </row>
    <row r="3668" spans="1:7" hidden="1" x14ac:dyDescent="0.25">
      <c r="A3668" s="28">
        <v>43800</v>
      </c>
      <c r="B3668" s="27" t="s">
        <v>180</v>
      </c>
      <c r="C3668" s="27" t="s">
        <v>50</v>
      </c>
      <c r="D3668" s="27" t="s">
        <v>7</v>
      </c>
      <c r="E3668" s="27" t="s">
        <v>16</v>
      </c>
      <c r="F3668" s="29"/>
      <c r="G3668" s="30">
        <v>60</v>
      </c>
    </row>
    <row r="3669" spans="1:7" hidden="1" x14ac:dyDescent="0.25">
      <c r="A3669" s="28">
        <v>43800</v>
      </c>
      <c r="B3669" s="27" t="s">
        <v>180</v>
      </c>
      <c r="C3669" s="27" t="s">
        <v>50</v>
      </c>
      <c r="D3669" s="27" t="s">
        <v>7</v>
      </c>
      <c r="E3669" s="27" t="s">
        <v>17</v>
      </c>
      <c r="F3669" s="29"/>
      <c r="G3669" s="30">
        <v>278.99</v>
      </c>
    </row>
    <row r="3670" spans="1:7" hidden="1" x14ac:dyDescent="0.25">
      <c r="A3670" s="28">
        <v>43800</v>
      </c>
      <c r="B3670" s="27" t="s">
        <v>180</v>
      </c>
      <c r="C3670" s="27" t="s">
        <v>50</v>
      </c>
      <c r="D3670" s="27" t="s">
        <v>7</v>
      </c>
      <c r="E3670" s="27" t="s">
        <v>18</v>
      </c>
      <c r="F3670" s="29"/>
      <c r="G3670" s="30">
        <v>5</v>
      </c>
    </row>
    <row r="3671" spans="1:7" hidden="1" x14ac:dyDescent="0.25">
      <c r="A3671" s="28">
        <v>43800</v>
      </c>
      <c r="B3671" s="27" t="s">
        <v>180</v>
      </c>
      <c r="C3671" s="27" t="s">
        <v>50</v>
      </c>
      <c r="D3671" s="27" t="s">
        <v>7</v>
      </c>
      <c r="E3671" s="27" t="s">
        <v>19</v>
      </c>
      <c r="F3671" s="29"/>
      <c r="G3671" s="30">
        <v>769.9</v>
      </c>
    </row>
    <row r="3672" spans="1:7" hidden="1" x14ac:dyDescent="0.25">
      <c r="A3672" s="28">
        <v>43800</v>
      </c>
      <c r="B3672" s="27" t="s">
        <v>180</v>
      </c>
      <c r="C3672" s="27" t="s">
        <v>50</v>
      </c>
      <c r="D3672" s="27" t="s">
        <v>7</v>
      </c>
      <c r="E3672" s="27" t="s">
        <v>38</v>
      </c>
      <c r="F3672" s="29"/>
      <c r="G3672" s="30">
        <v>100</v>
      </c>
    </row>
    <row r="3673" spans="1:7" hidden="1" x14ac:dyDescent="0.25">
      <c r="A3673" s="28">
        <v>43800</v>
      </c>
      <c r="B3673" s="27" t="s">
        <v>180</v>
      </c>
      <c r="C3673" s="27" t="s">
        <v>50</v>
      </c>
      <c r="D3673" s="27" t="s">
        <v>7</v>
      </c>
      <c r="E3673" s="27" t="s">
        <v>23</v>
      </c>
      <c r="F3673" s="29"/>
      <c r="G3673" s="30">
        <v>8</v>
      </c>
    </row>
    <row r="3674" spans="1:7" hidden="1" x14ac:dyDescent="0.25">
      <c r="A3674" s="28">
        <v>43800</v>
      </c>
      <c r="B3674" s="27" t="s">
        <v>180</v>
      </c>
      <c r="C3674" s="27" t="s">
        <v>50</v>
      </c>
      <c r="D3674" s="27" t="s">
        <v>7</v>
      </c>
      <c r="E3674" s="27" t="s">
        <v>22</v>
      </c>
      <c r="F3674" s="29"/>
      <c r="G3674" s="30">
        <v>1452</v>
      </c>
    </row>
    <row r="3675" spans="1:7" hidden="1" x14ac:dyDescent="0.25">
      <c r="A3675" s="28">
        <v>43800</v>
      </c>
      <c r="B3675" s="27" t="s">
        <v>180</v>
      </c>
      <c r="C3675" s="27" t="s">
        <v>50</v>
      </c>
      <c r="D3675" s="27" t="s">
        <v>7</v>
      </c>
      <c r="E3675" s="27" t="s">
        <v>37</v>
      </c>
      <c r="F3675" s="29"/>
      <c r="G3675" s="30">
        <v>1190</v>
      </c>
    </row>
    <row r="3676" spans="1:7" hidden="1" x14ac:dyDescent="0.25">
      <c r="A3676" s="28">
        <v>43800</v>
      </c>
      <c r="B3676" s="27" t="s">
        <v>181</v>
      </c>
      <c r="C3676" s="27" t="s">
        <v>50</v>
      </c>
      <c r="D3676" s="27" t="s">
        <v>6</v>
      </c>
      <c r="E3676" s="27" t="s">
        <v>14</v>
      </c>
      <c r="F3676" s="29"/>
      <c r="G3676" s="30">
        <v>135</v>
      </c>
    </row>
    <row r="3677" spans="1:7" hidden="1" x14ac:dyDescent="0.25">
      <c r="A3677" s="28">
        <v>43800</v>
      </c>
      <c r="B3677" s="27" t="s">
        <v>181</v>
      </c>
      <c r="C3677" s="27" t="s">
        <v>50</v>
      </c>
      <c r="D3677" s="27" t="s">
        <v>6</v>
      </c>
      <c r="E3677" s="27" t="s">
        <v>15</v>
      </c>
      <c r="F3677" s="29"/>
      <c r="G3677" s="30">
        <v>270</v>
      </c>
    </row>
    <row r="3678" spans="1:7" hidden="1" x14ac:dyDescent="0.25">
      <c r="A3678" s="28">
        <v>43800</v>
      </c>
      <c r="B3678" s="27" t="s">
        <v>181</v>
      </c>
      <c r="C3678" s="27" t="s">
        <v>50</v>
      </c>
      <c r="D3678" s="27" t="s">
        <v>6</v>
      </c>
      <c r="E3678" s="27" t="s">
        <v>18</v>
      </c>
      <c r="F3678" s="29"/>
      <c r="G3678" s="30">
        <v>892</v>
      </c>
    </row>
    <row r="3679" spans="1:7" hidden="1" x14ac:dyDescent="0.25">
      <c r="A3679" s="28">
        <v>43800</v>
      </c>
      <c r="B3679" s="27" t="s">
        <v>25</v>
      </c>
      <c r="C3679" s="27" t="s">
        <v>50</v>
      </c>
      <c r="D3679" s="27" t="s">
        <v>7</v>
      </c>
      <c r="E3679" s="27" t="s">
        <v>8</v>
      </c>
      <c r="F3679" s="29"/>
      <c r="G3679" s="30">
        <v>23.428999999999998</v>
      </c>
    </row>
    <row r="3680" spans="1:7" hidden="1" x14ac:dyDescent="0.25">
      <c r="A3680" s="28">
        <v>43800</v>
      </c>
      <c r="B3680" s="27" t="s">
        <v>25</v>
      </c>
      <c r="C3680" s="27" t="s">
        <v>50</v>
      </c>
      <c r="D3680" s="27" t="s">
        <v>7</v>
      </c>
      <c r="E3680" s="27" t="s">
        <v>9</v>
      </c>
      <c r="F3680" s="29"/>
      <c r="G3680" s="30">
        <v>23.428999999999998</v>
      </c>
    </row>
    <row r="3681" spans="1:7" hidden="1" x14ac:dyDescent="0.25">
      <c r="A3681" s="28">
        <v>43800</v>
      </c>
      <c r="B3681" s="27" t="s">
        <v>25</v>
      </c>
      <c r="C3681" s="27" t="s">
        <v>50</v>
      </c>
      <c r="D3681" s="27" t="s">
        <v>7</v>
      </c>
      <c r="E3681" s="27" t="s">
        <v>64</v>
      </c>
      <c r="F3681" s="29"/>
      <c r="G3681" s="30">
        <v>23.428999999999998</v>
      </c>
    </row>
    <row r="3682" spans="1:7" hidden="1" x14ac:dyDescent="0.25">
      <c r="A3682" s="28">
        <v>43800</v>
      </c>
      <c r="B3682" s="27" t="s">
        <v>25</v>
      </c>
      <c r="C3682" s="27" t="s">
        <v>50</v>
      </c>
      <c r="D3682" s="27" t="s">
        <v>7</v>
      </c>
      <c r="E3682" s="27" t="s">
        <v>21</v>
      </c>
      <c r="F3682" s="29"/>
      <c r="G3682" s="30">
        <v>23.428999999999998</v>
      </c>
    </row>
    <row r="3683" spans="1:7" hidden="1" x14ac:dyDescent="0.25">
      <c r="A3683" s="28">
        <v>43800</v>
      </c>
      <c r="B3683" s="27" t="s">
        <v>25</v>
      </c>
      <c r="C3683" s="27" t="s">
        <v>50</v>
      </c>
      <c r="D3683" s="27" t="s">
        <v>7</v>
      </c>
      <c r="E3683" s="27" t="s">
        <v>10</v>
      </c>
      <c r="F3683" s="29"/>
      <c r="G3683" s="30">
        <v>23.428999999999998</v>
      </c>
    </row>
    <row r="3684" spans="1:7" hidden="1" x14ac:dyDescent="0.25">
      <c r="A3684" s="28">
        <v>43800</v>
      </c>
      <c r="B3684" s="27" t="s">
        <v>25</v>
      </c>
      <c r="C3684" s="27" t="s">
        <v>50</v>
      </c>
      <c r="D3684" s="27" t="s">
        <v>7</v>
      </c>
      <c r="E3684" s="27" t="s">
        <v>11</v>
      </c>
      <c r="F3684" s="29"/>
      <c r="G3684" s="30">
        <v>23.428999999999998</v>
      </c>
    </row>
    <row r="3685" spans="1:7" hidden="1" x14ac:dyDescent="0.25">
      <c r="A3685" s="28">
        <v>43800</v>
      </c>
      <c r="B3685" s="27" t="s">
        <v>25</v>
      </c>
      <c r="C3685" s="27" t="s">
        <v>50</v>
      </c>
      <c r="D3685" s="27" t="s">
        <v>7</v>
      </c>
      <c r="E3685" s="27" t="s">
        <v>12</v>
      </c>
      <c r="F3685" s="29"/>
      <c r="G3685" s="30">
        <v>23.428999999999998</v>
      </c>
    </row>
    <row r="3686" spans="1:7" hidden="1" x14ac:dyDescent="0.25">
      <c r="A3686" s="28">
        <v>43800</v>
      </c>
      <c r="B3686" s="27" t="s">
        <v>25</v>
      </c>
      <c r="C3686" s="27" t="s">
        <v>50</v>
      </c>
      <c r="D3686" s="27" t="s">
        <v>7</v>
      </c>
      <c r="E3686" s="27" t="s">
        <v>13</v>
      </c>
      <c r="F3686" s="29"/>
      <c r="G3686" s="30">
        <v>23.428999999999998</v>
      </c>
    </row>
    <row r="3687" spans="1:7" hidden="1" x14ac:dyDescent="0.25">
      <c r="A3687" s="28">
        <v>43800</v>
      </c>
      <c r="B3687" s="27" t="s">
        <v>25</v>
      </c>
      <c r="C3687" s="27" t="s">
        <v>50</v>
      </c>
      <c r="D3687" s="27" t="s">
        <v>7</v>
      </c>
      <c r="E3687" s="27" t="s">
        <v>14</v>
      </c>
      <c r="F3687" s="29"/>
      <c r="G3687" s="30">
        <v>23.428999999999998</v>
      </c>
    </row>
    <row r="3688" spans="1:7" hidden="1" x14ac:dyDescent="0.25">
      <c r="A3688" s="28">
        <v>43800</v>
      </c>
      <c r="B3688" s="27" t="s">
        <v>25</v>
      </c>
      <c r="C3688" s="27" t="s">
        <v>50</v>
      </c>
      <c r="D3688" s="27" t="s">
        <v>7</v>
      </c>
      <c r="E3688" s="27" t="s">
        <v>15</v>
      </c>
      <c r="F3688" s="29"/>
      <c r="G3688" s="30">
        <v>23.428999999999998</v>
      </c>
    </row>
    <row r="3689" spans="1:7" hidden="1" x14ac:dyDescent="0.25">
      <c r="A3689" s="28">
        <v>43800</v>
      </c>
      <c r="B3689" s="27" t="s">
        <v>25</v>
      </c>
      <c r="C3689" s="27" t="s">
        <v>50</v>
      </c>
      <c r="D3689" s="27" t="s">
        <v>7</v>
      </c>
      <c r="E3689" s="27" t="s">
        <v>16</v>
      </c>
      <c r="F3689" s="29"/>
      <c r="G3689" s="30">
        <v>23.428999999999998</v>
      </c>
    </row>
    <row r="3690" spans="1:7" hidden="1" x14ac:dyDescent="0.25">
      <c r="A3690" s="28">
        <v>43800</v>
      </c>
      <c r="B3690" s="27" t="s">
        <v>25</v>
      </c>
      <c r="C3690" s="27" t="s">
        <v>50</v>
      </c>
      <c r="D3690" s="27" t="s">
        <v>7</v>
      </c>
      <c r="E3690" s="27" t="s">
        <v>17</v>
      </c>
      <c r="F3690" s="29"/>
      <c r="G3690" s="30">
        <v>23.428999999999998</v>
      </c>
    </row>
    <row r="3691" spans="1:7" hidden="1" x14ac:dyDescent="0.25">
      <c r="A3691" s="28">
        <v>43800</v>
      </c>
      <c r="B3691" s="27" t="s">
        <v>25</v>
      </c>
      <c r="C3691" s="27" t="s">
        <v>50</v>
      </c>
      <c r="D3691" s="27" t="s">
        <v>7</v>
      </c>
      <c r="E3691" s="27" t="s">
        <v>18</v>
      </c>
      <c r="F3691" s="29"/>
      <c r="G3691" s="30">
        <v>23.428999999999998</v>
      </c>
    </row>
    <row r="3692" spans="1:7" hidden="1" x14ac:dyDescent="0.25">
      <c r="A3692" s="28">
        <v>43800</v>
      </c>
      <c r="B3692" s="27" t="s">
        <v>25</v>
      </c>
      <c r="C3692" s="27" t="s">
        <v>50</v>
      </c>
      <c r="D3692" s="27" t="s">
        <v>7</v>
      </c>
      <c r="E3692" s="27" t="s">
        <v>19</v>
      </c>
      <c r="F3692" s="29"/>
      <c r="G3692" s="30">
        <v>23.428999999999998</v>
      </c>
    </row>
    <row r="3693" spans="1:7" hidden="1" x14ac:dyDescent="0.25">
      <c r="A3693" s="28">
        <v>43800</v>
      </c>
      <c r="B3693" s="27" t="s">
        <v>25</v>
      </c>
      <c r="C3693" s="27" t="s">
        <v>50</v>
      </c>
      <c r="D3693" s="27" t="s">
        <v>7</v>
      </c>
      <c r="E3693" s="27" t="s">
        <v>20</v>
      </c>
      <c r="F3693" s="29"/>
      <c r="G3693" s="30">
        <v>23.428999999999998</v>
      </c>
    </row>
    <row r="3694" spans="1:7" hidden="1" x14ac:dyDescent="0.25">
      <c r="A3694" s="28">
        <v>43800</v>
      </c>
      <c r="B3694" s="27" t="s">
        <v>25</v>
      </c>
      <c r="C3694" s="27" t="s">
        <v>50</v>
      </c>
      <c r="D3694" s="27" t="s">
        <v>7</v>
      </c>
      <c r="E3694" s="27" t="s">
        <v>38</v>
      </c>
      <c r="F3694" s="29"/>
      <c r="G3694" s="30">
        <v>23.428999999999998</v>
      </c>
    </row>
    <row r="3695" spans="1:7" hidden="1" x14ac:dyDescent="0.25">
      <c r="A3695" s="28">
        <v>43800</v>
      </c>
      <c r="B3695" s="27" t="s">
        <v>25</v>
      </c>
      <c r="C3695" s="27" t="s">
        <v>50</v>
      </c>
      <c r="D3695" s="27" t="s">
        <v>7</v>
      </c>
      <c r="E3695" s="27" t="s">
        <v>23</v>
      </c>
      <c r="F3695" s="29"/>
      <c r="G3695" s="30">
        <v>23.428999999999998</v>
      </c>
    </row>
    <row r="3696" spans="1:7" hidden="1" x14ac:dyDescent="0.25">
      <c r="A3696" s="28">
        <v>43800</v>
      </c>
      <c r="B3696" s="27" t="s">
        <v>25</v>
      </c>
      <c r="C3696" s="27" t="s">
        <v>50</v>
      </c>
      <c r="D3696" s="27" t="s">
        <v>7</v>
      </c>
      <c r="E3696" s="27" t="s">
        <v>22</v>
      </c>
      <c r="F3696" s="29"/>
      <c r="G3696" s="30">
        <v>23.428999999999998</v>
      </c>
    </row>
    <row r="3697" spans="1:7" hidden="1" x14ac:dyDescent="0.25">
      <c r="A3697" s="28">
        <v>43800</v>
      </c>
      <c r="B3697" s="27" t="s">
        <v>25</v>
      </c>
      <c r="C3697" s="27" t="s">
        <v>50</v>
      </c>
      <c r="D3697" s="27" t="s">
        <v>7</v>
      </c>
      <c r="E3697" s="27" t="s">
        <v>204</v>
      </c>
      <c r="F3697" s="29"/>
      <c r="G3697" s="30">
        <v>23.428999999999998</v>
      </c>
    </row>
    <row r="3698" spans="1:7" hidden="1" x14ac:dyDescent="0.25">
      <c r="A3698" s="28">
        <v>43800</v>
      </c>
      <c r="B3698" s="27" t="s">
        <v>25</v>
      </c>
      <c r="C3698" s="27" t="s">
        <v>50</v>
      </c>
      <c r="D3698" s="27" t="s">
        <v>7</v>
      </c>
      <c r="E3698" s="27" t="s">
        <v>205</v>
      </c>
      <c r="F3698" s="29"/>
      <c r="G3698" s="30">
        <v>23.428999999999998</v>
      </c>
    </row>
    <row r="3699" spans="1:7" hidden="1" x14ac:dyDescent="0.25">
      <c r="A3699" s="28">
        <v>43800</v>
      </c>
      <c r="B3699" s="27" t="s">
        <v>2</v>
      </c>
      <c r="C3699" s="27" t="s">
        <v>50</v>
      </c>
      <c r="D3699" s="27" t="s">
        <v>7</v>
      </c>
      <c r="E3699" s="27" t="s">
        <v>8</v>
      </c>
      <c r="F3699" s="29"/>
      <c r="G3699" s="30">
        <v>560.66999999999996</v>
      </c>
    </row>
    <row r="3700" spans="1:7" hidden="1" x14ac:dyDescent="0.25">
      <c r="A3700" s="28">
        <v>43800</v>
      </c>
      <c r="B3700" s="27" t="s">
        <v>2</v>
      </c>
      <c r="C3700" s="27" t="s">
        <v>50</v>
      </c>
      <c r="D3700" s="27" t="s">
        <v>7</v>
      </c>
      <c r="E3700" s="27" t="s">
        <v>9</v>
      </c>
      <c r="F3700" s="29"/>
      <c r="G3700" s="30">
        <v>372.32</v>
      </c>
    </row>
    <row r="3701" spans="1:7" hidden="1" x14ac:dyDescent="0.25">
      <c r="A3701" s="28">
        <v>43800</v>
      </c>
      <c r="B3701" s="27" t="s">
        <v>2</v>
      </c>
      <c r="C3701" s="27" t="s">
        <v>50</v>
      </c>
      <c r="D3701" s="27" t="s">
        <v>7</v>
      </c>
      <c r="E3701" s="27" t="s">
        <v>64</v>
      </c>
      <c r="F3701" s="29"/>
      <c r="G3701" s="30">
        <v>785.17</v>
      </c>
    </row>
    <row r="3702" spans="1:7" hidden="1" x14ac:dyDescent="0.25">
      <c r="A3702" s="28">
        <v>43800</v>
      </c>
      <c r="B3702" s="27" t="s">
        <v>2</v>
      </c>
      <c r="C3702" s="27" t="s">
        <v>50</v>
      </c>
      <c r="D3702" s="27" t="s">
        <v>7</v>
      </c>
      <c r="E3702" s="27" t="s">
        <v>21</v>
      </c>
      <c r="F3702" s="29"/>
      <c r="G3702" s="30">
        <v>1026.05</v>
      </c>
    </row>
    <row r="3703" spans="1:7" hidden="1" x14ac:dyDescent="0.25">
      <c r="A3703" s="28">
        <v>43800</v>
      </c>
      <c r="B3703" s="27" t="s">
        <v>2</v>
      </c>
      <c r="C3703" s="27" t="s">
        <v>50</v>
      </c>
      <c r="D3703" s="27" t="s">
        <v>7</v>
      </c>
      <c r="E3703" s="27" t="s">
        <v>10</v>
      </c>
      <c r="F3703" s="29"/>
      <c r="G3703" s="30">
        <v>1081.47</v>
      </c>
    </row>
    <row r="3704" spans="1:7" hidden="1" x14ac:dyDescent="0.25">
      <c r="A3704" s="28">
        <v>43800</v>
      </c>
      <c r="B3704" s="27" t="s">
        <v>2</v>
      </c>
      <c r="C3704" s="27" t="s">
        <v>50</v>
      </c>
      <c r="D3704" s="27" t="s">
        <v>7</v>
      </c>
      <c r="E3704" s="27" t="s">
        <v>11</v>
      </c>
      <c r="F3704" s="29"/>
      <c r="G3704" s="30">
        <v>247.07</v>
      </c>
    </row>
    <row r="3705" spans="1:7" hidden="1" x14ac:dyDescent="0.25">
      <c r="A3705" s="28">
        <v>43800</v>
      </c>
      <c r="B3705" s="27" t="s">
        <v>2</v>
      </c>
      <c r="C3705" s="27" t="s">
        <v>50</v>
      </c>
      <c r="D3705" s="27" t="s">
        <v>7</v>
      </c>
      <c r="E3705" s="27" t="s">
        <v>12</v>
      </c>
      <c r="F3705" s="29"/>
      <c r="G3705" s="30">
        <v>568.07000000000005</v>
      </c>
    </row>
    <row r="3706" spans="1:7" hidden="1" x14ac:dyDescent="0.25">
      <c r="A3706" s="28">
        <v>43800</v>
      </c>
      <c r="B3706" s="27" t="s">
        <v>2</v>
      </c>
      <c r="C3706" s="27" t="s">
        <v>50</v>
      </c>
      <c r="D3706" s="27" t="s">
        <v>7</v>
      </c>
      <c r="E3706" s="27" t="s">
        <v>13</v>
      </c>
      <c r="F3706" s="29"/>
      <c r="G3706" s="30">
        <v>1464.92</v>
      </c>
    </row>
    <row r="3707" spans="1:7" hidden="1" x14ac:dyDescent="0.25">
      <c r="A3707" s="28">
        <v>43800</v>
      </c>
      <c r="B3707" s="27" t="s">
        <v>2</v>
      </c>
      <c r="C3707" s="27" t="s">
        <v>50</v>
      </c>
      <c r="D3707" s="27" t="s">
        <v>7</v>
      </c>
      <c r="E3707" s="27" t="s">
        <v>14</v>
      </c>
      <c r="F3707" s="29"/>
      <c r="G3707" s="30">
        <v>99.32</v>
      </c>
    </row>
    <row r="3708" spans="1:7" hidden="1" x14ac:dyDescent="0.25">
      <c r="A3708" s="28">
        <v>43800</v>
      </c>
      <c r="B3708" s="27" t="s">
        <v>2</v>
      </c>
      <c r="C3708" s="27" t="s">
        <v>50</v>
      </c>
      <c r="D3708" s="27" t="s">
        <v>7</v>
      </c>
      <c r="E3708" s="27" t="s">
        <v>15</v>
      </c>
      <c r="F3708" s="29"/>
      <c r="G3708" s="30">
        <v>314.61</v>
      </c>
    </row>
    <row r="3709" spans="1:7" hidden="1" x14ac:dyDescent="0.25">
      <c r="A3709" s="28">
        <v>43800</v>
      </c>
      <c r="B3709" s="27" t="s">
        <v>2</v>
      </c>
      <c r="C3709" s="27" t="s">
        <v>50</v>
      </c>
      <c r="D3709" s="27" t="s">
        <v>7</v>
      </c>
      <c r="E3709" s="27" t="s">
        <v>16</v>
      </c>
      <c r="F3709" s="29"/>
      <c r="G3709" s="30">
        <v>900.61</v>
      </c>
    </row>
    <row r="3710" spans="1:7" hidden="1" x14ac:dyDescent="0.25">
      <c r="A3710" s="28">
        <v>43800</v>
      </c>
      <c r="B3710" s="27" t="s">
        <v>2</v>
      </c>
      <c r="C3710" s="27" t="s">
        <v>50</v>
      </c>
      <c r="D3710" s="27" t="s">
        <v>7</v>
      </c>
      <c r="E3710" s="27" t="s">
        <v>17</v>
      </c>
      <c r="F3710" s="29"/>
      <c r="G3710" s="30">
        <v>653.6</v>
      </c>
    </row>
    <row r="3711" spans="1:7" hidden="1" x14ac:dyDescent="0.25">
      <c r="A3711" s="28">
        <v>43800</v>
      </c>
      <c r="B3711" s="27" t="s">
        <v>2</v>
      </c>
      <c r="C3711" s="27" t="s">
        <v>50</v>
      </c>
      <c r="D3711" s="27" t="s">
        <v>7</v>
      </c>
      <c r="E3711" s="27" t="s">
        <v>18</v>
      </c>
      <c r="F3711" s="29"/>
      <c r="G3711" s="30">
        <v>783.82</v>
      </c>
    </row>
    <row r="3712" spans="1:7" hidden="1" x14ac:dyDescent="0.25">
      <c r="A3712" s="28">
        <v>43800</v>
      </c>
      <c r="B3712" s="27" t="s">
        <v>2</v>
      </c>
      <c r="C3712" s="27" t="s">
        <v>50</v>
      </c>
      <c r="D3712" s="27" t="s">
        <v>7</v>
      </c>
      <c r="E3712" s="27" t="s">
        <v>19</v>
      </c>
      <c r="F3712" s="29"/>
      <c r="G3712" s="30">
        <v>1232.02</v>
      </c>
    </row>
    <row r="3713" spans="1:7" hidden="1" x14ac:dyDescent="0.25">
      <c r="A3713" s="28">
        <v>43800</v>
      </c>
      <c r="B3713" s="27" t="s">
        <v>2</v>
      </c>
      <c r="C3713" s="27" t="s">
        <v>50</v>
      </c>
      <c r="D3713" s="27" t="s">
        <v>7</v>
      </c>
      <c r="E3713" s="27" t="s">
        <v>20</v>
      </c>
      <c r="F3713" s="29"/>
      <c r="G3713" s="30">
        <v>25.72</v>
      </c>
    </row>
    <row r="3714" spans="1:7" hidden="1" x14ac:dyDescent="0.25">
      <c r="A3714" s="28">
        <v>43800</v>
      </c>
      <c r="B3714" s="27" t="s">
        <v>2</v>
      </c>
      <c r="C3714" s="27" t="s">
        <v>50</v>
      </c>
      <c r="D3714" s="27" t="s">
        <v>7</v>
      </c>
      <c r="E3714" s="27" t="s">
        <v>38</v>
      </c>
      <c r="F3714" s="29"/>
      <c r="G3714" s="30">
        <v>461.57</v>
      </c>
    </row>
    <row r="3715" spans="1:7" hidden="1" x14ac:dyDescent="0.25">
      <c r="A3715" s="28">
        <v>43800</v>
      </c>
      <c r="B3715" s="27" t="s">
        <v>2</v>
      </c>
      <c r="C3715" s="27" t="s">
        <v>50</v>
      </c>
      <c r="D3715" s="27" t="s">
        <v>7</v>
      </c>
      <c r="E3715" s="27" t="s">
        <v>23</v>
      </c>
      <c r="F3715" s="29"/>
      <c r="G3715" s="30">
        <v>507.62</v>
      </c>
    </row>
    <row r="3716" spans="1:7" hidden="1" x14ac:dyDescent="0.25">
      <c r="A3716" s="28">
        <v>43800</v>
      </c>
      <c r="B3716" s="27" t="s">
        <v>2</v>
      </c>
      <c r="C3716" s="27" t="s">
        <v>50</v>
      </c>
      <c r="D3716" s="27" t="s">
        <v>7</v>
      </c>
      <c r="E3716" s="27" t="s">
        <v>22</v>
      </c>
      <c r="F3716" s="29"/>
      <c r="G3716" s="30">
        <v>1185.6199999999999</v>
      </c>
    </row>
    <row r="3717" spans="1:7" hidden="1" x14ac:dyDescent="0.25">
      <c r="A3717" s="28">
        <v>43800</v>
      </c>
      <c r="B3717" s="27" t="s">
        <v>36</v>
      </c>
      <c r="C3717" s="27" t="s">
        <v>50</v>
      </c>
      <c r="D3717" s="27" t="s">
        <v>6</v>
      </c>
      <c r="E3717" s="27" t="s">
        <v>8</v>
      </c>
      <c r="F3717" s="29"/>
      <c r="G3717" s="30">
        <v>321.07</v>
      </c>
    </row>
    <row r="3718" spans="1:7" hidden="1" x14ac:dyDescent="0.25">
      <c r="A3718" s="28">
        <v>43800</v>
      </c>
      <c r="B3718" s="27" t="s">
        <v>36</v>
      </c>
      <c r="C3718" s="27" t="s">
        <v>50</v>
      </c>
      <c r="D3718" s="27" t="s">
        <v>6</v>
      </c>
      <c r="E3718" s="27" t="s">
        <v>9</v>
      </c>
      <c r="F3718" s="29"/>
      <c r="G3718" s="30">
        <v>56</v>
      </c>
    </row>
    <row r="3719" spans="1:7" hidden="1" x14ac:dyDescent="0.25">
      <c r="A3719" s="28">
        <v>43800</v>
      </c>
      <c r="B3719" s="27" t="s">
        <v>36</v>
      </c>
      <c r="C3719" s="27" t="s">
        <v>50</v>
      </c>
      <c r="D3719" s="27" t="s">
        <v>6</v>
      </c>
      <c r="E3719" s="27" t="s">
        <v>64</v>
      </c>
      <c r="F3719" s="29"/>
      <c r="G3719" s="30">
        <v>56</v>
      </c>
    </row>
    <row r="3720" spans="1:7" hidden="1" x14ac:dyDescent="0.25">
      <c r="A3720" s="28">
        <v>43800</v>
      </c>
      <c r="B3720" s="27" t="s">
        <v>36</v>
      </c>
      <c r="C3720" s="27" t="s">
        <v>50</v>
      </c>
      <c r="D3720" s="27" t="s">
        <v>6</v>
      </c>
      <c r="E3720" s="27" t="s">
        <v>21</v>
      </c>
      <c r="F3720" s="29"/>
      <c r="G3720" s="30">
        <v>92.28</v>
      </c>
    </row>
    <row r="3721" spans="1:7" hidden="1" x14ac:dyDescent="0.25">
      <c r="A3721" s="28">
        <v>43800</v>
      </c>
      <c r="B3721" s="27" t="s">
        <v>36</v>
      </c>
      <c r="C3721" s="27" t="s">
        <v>50</v>
      </c>
      <c r="D3721" s="27" t="s">
        <v>6</v>
      </c>
      <c r="E3721" s="27" t="s">
        <v>10</v>
      </c>
      <c r="F3721" s="29"/>
      <c r="G3721" s="30">
        <v>481.07</v>
      </c>
    </row>
    <row r="3722" spans="1:7" hidden="1" x14ac:dyDescent="0.25">
      <c r="A3722" s="28">
        <v>43800</v>
      </c>
      <c r="B3722" s="27" t="s">
        <v>36</v>
      </c>
      <c r="C3722" s="27" t="s">
        <v>50</v>
      </c>
      <c r="D3722" s="27" t="s">
        <v>6</v>
      </c>
      <c r="E3722" s="27" t="s">
        <v>11</v>
      </c>
      <c r="F3722" s="29"/>
      <c r="G3722" s="30">
        <v>196</v>
      </c>
    </row>
    <row r="3723" spans="1:7" hidden="1" x14ac:dyDescent="0.25">
      <c r="A3723" s="28">
        <v>43800</v>
      </c>
      <c r="B3723" s="27" t="s">
        <v>36</v>
      </c>
      <c r="C3723" s="27" t="s">
        <v>50</v>
      </c>
      <c r="D3723" s="27" t="s">
        <v>6</v>
      </c>
      <c r="E3723" s="27" t="s">
        <v>12</v>
      </c>
      <c r="F3723" s="29"/>
      <c r="G3723" s="30">
        <v>78.69</v>
      </c>
    </row>
    <row r="3724" spans="1:7" hidden="1" x14ac:dyDescent="0.25">
      <c r="A3724" s="28">
        <v>43800</v>
      </c>
      <c r="B3724" s="27" t="s">
        <v>36</v>
      </c>
      <c r="C3724" s="27" t="s">
        <v>50</v>
      </c>
      <c r="D3724" s="27" t="s">
        <v>6</v>
      </c>
      <c r="E3724" s="27" t="s">
        <v>13</v>
      </c>
      <c r="F3724" s="29"/>
      <c r="G3724" s="30">
        <v>56</v>
      </c>
    </row>
    <row r="3725" spans="1:7" hidden="1" x14ac:dyDescent="0.25">
      <c r="A3725" s="28">
        <v>43800</v>
      </c>
      <c r="B3725" s="27" t="s">
        <v>36</v>
      </c>
      <c r="C3725" s="27" t="s">
        <v>50</v>
      </c>
      <c r="D3725" s="27" t="s">
        <v>6</v>
      </c>
      <c r="E3725" s="27" t="s">
        <v>14</v>
      </c>
      <c r="F3725" s="29"/>
      <c r="G3725" s="30">
        <v>78.69</v>
      </c>
    </row>
    <row r="3726" spans="1:7" hidden="1" x14ac:dyDescent="0.25">
      <c r="A3726" s="28">
        <v>43800</v>
      </c>
      <c r="B3726" s="27" t="s">
        <v>36</v>
      </c>
      <c r="C3726" s="27" t="s">
        <v>50</v>
      </c>
      <c r="D3726" s="27" t="s">
        <v>6</v>
      </c>
      <c r="E3726" s="27" t="s">
        <v>15</v>
      </c>
      <c r="F3726" s="29"/>
      <c r="G3726" s="30">
        <v>307.60000000000002</v>
      </c>
    </row>
    <row r="3727" spans="1:7" hidden="1" x14ac:dyDescent="0.25">
      <c r="A3727" s="28">
        <v>43800</v>
      </c>
      <c r="B3727" s="27" t="s">
        <v>36</v>
      </c>
      <c r="C3727" s="27" t="s">
        <v>50</v>
      </c>
      <c r="D3727" s="27" t="s">
        <v>6</v>
      </c>
      <c r="E3727" s="27" t="s">
        <v>16</v>
      </c>
      <c r="F3727" s="29"/>
      <c r="G3727" s="30">
        <v>319.60000000000002</v>
      </c>
    </row>
    <row r="3728" spans="1:7" hidden="1" x14ac:dyDescent="0.25">
      <c r="A3728" s="28">
        <v>43800</v>
      </c>
      <c r="B3728" s="27" t="s">
        <v>36</v>
      </c>
      <c r="C3728" s="27" t="s">
        <v>50</v>
      </c>
      <c r="D3728" s="27" t="s">
        <v>6</v>
      </c>
      <c r="E3728" s="27" t="s">
        <v>17</v>
      </c>
      <c r="F3728" s="29"/>
      <c r="G3728" s="30">
        <v>184</v>
      </c>
    </row>
    <row r="3729" spans="1:7" hidden="1" x14ac:dyDescent="0.25">
      <c r="A3729" s="28">
        <v>43800</v>
      </c>
      <c r="B3729" s="27" t="s">
        <v>36</v>
      </c>
      <c r="C3729" s="27" t="s">
        <v>50</v>
      </c>
      <c r="D3729" s="27" t="s">
        <v>6</v>
      </c>
      <c r="E3729" s="27" t="s">
        <v>18</v>
      </c>
      <c r="F3729" s="29"/>
      <c r="G3729" s="30">
        <v>56</v>
      </c>
    </row>
    <row r="3730" spans="1:7" hidden="1" x14ac:dyDescent="0.25">
      <c r="A3730" s="28">
        <v>43800</v>
      </c>
      <c r="B3730" s="27" t="s">
        <v>36</v>
      </c>
      <c r="C3730" s="27" t="s">
        <v>50</v>
      </c>
      <c r="D3730" s="27" t="s">
        <v>6</v>
      </c>
      <c r="E3730" s="27" t="s">
        <v>19</v>
      </c>
      <c r="F3730" s="29"/>
      <c r="G3730" s="30">
        <v>353.99</v>
      </c>
    </row>
    <row r="3731" spans="1:7" hidden="1" x14ac:dyDescent="0.25">
      <c r="A3731" s="28">
        <v>43800</v>
      </c>
      <c r="B3731" s="27" t="s">
        <v>36</v>
      </c>
      <c r="C3731" s="27" t="s">
        <v>50</v>
      </c>
      <c r="D3731" s="27" t="s">
        <v>6</v>
      </c>
      <c r="E3731" s="27" t="s">
        <v>20</v>
      </c>
      <c r="F3731" s="29"/>
      <c r="G3731" s="30">
        <v>56</v>
      </c>
    </row>
    <row r="3732" spans="1:7" hidden="1" x14ac:dyDescent="0.25">
      <c r="A3732" s="28">
        <v>43800</v>
      </c>
      <c r="B3732" s="27" t="s">
        <v>36</v>
      </c>
      <c r="C3732" s="27" t="s">
        <v>50</v>
      </c>
      <c r="D3732" s="27" t="s">
        <v>6</v>
      </c>
      <c r="E3732" s="27" t="s">
        <v>38</v>
      </c>
      <c r="F3732" s="29"/>
      <c r="G3732" s="30">
        <v>56</v>
      </c>
    </row>
    <row r="3733" spans="1:7" hidden="1" x14ac:dyDescent="0.25">
      <c r="A3733" s="28">
        <v>43800</v>
      </c>
      <c r="B3733" s="27" t="s">
        <v>36</v>
      </c>
      <c r="C3733" s="27" t="s">
        <v>50</v>
      </c>
      <c r="D3733" s="27" t="s">
        <v>6</v>
      </c>
      <c r="E3733" s="27" t="s">
        <v>23</v>
      </c>
      <c r="F3733" s="29"/>
      <c r="G3733" s="30">
        <v>275.60000000000002</v>
      </c>
    </row>
    <row r="3734" spans="1:7" hidden="1" x14ac:dyDescent="0.25">
      <c r="A3734" s="28">
        <v>43800</v>
      </c>
      <c r="B3734" s="27" t="s">
        <v>36</v>
      </c>
      <c r="C3734" s="27" t="s">
        <v>50</v>
      </c>
      <c r="D3734" s="27" t="s">
        <v>6</v>
      </c>
      <c r="E3734" s="27" t="s">
        <v>22</v>
      </c>
      <c r="F3734" s="29"/>
      <c r="G3734" s="30">
        <v>304</v>
      </c>
    </row>
    <row r="3735" spans="1:7" hidden="1" x14ac:dyDescent="0.25">
      <c r="A3735" s="28">
        <v>43800</v>
      </c>
      <c r="B3735" s="27" t="s">
        <v>200</v>
      </c>
      <c r="C3735" s="27" t="s">
        <v>53</v>
      </c>
      <c r="D3735" s="27" t="s">
        <v>6</v>
      </c>
      <c r="E3735" s="27" t="s">
        <v>8</v>
      </c>
      <c r="F3735" s="29"/>
      <c r="G3735" s="30">
        <f t="shared" ref="G3735:G3754" si="66">5115.56231111111/20</f>
        <v>255.7781155555555</v>
      </c>
    </row>
    <row r="3736" spans="1:7" hidden="1" x14ac:dyDescent="0.25">
      <c r="A3736" s="28">
        <v>43800</v>
      </c>
      <c r="B3736" s="27" t="s">
        <v>200</v>
      </c>
      <c r="C3736" s="27" t="s">
        <v>53</v>
      </c>
      <c r="D3736" s="27" t="s">
        <v>6</v>
      </c>
      <c r="E3736" s="27" t="s">
        <v>9</v>
      </c>
      <c r="F3736" s="29"/>
      <c r="G3736" s="30">
        <f t="shared" si="66"/>
        <v>255.7781155555555</v>
      </c>
    </row>
    <row r="3737" spans="1:7" hidden="1" x14ac:dyDescent="0.25">
      <c r="A3737" s="28">
        <v>43800</v>
      </c>
      <c r="B3737" s="27" t="s">
        <v>200</v>
      </c>
      <c r="C3737" s="27" t="s">
        <v>53</v>
      </c>
      <c r="D3737" s="27" t="s">
        <v>6</v>
      </c>
      <c r="E3737" s="27" t="s">
        <v>64</v>
      </c>
      <c r="F3737" s="29"/>
      <c r="G3737" s="30">
        <f t="shared" si="66"/>
        <v>255.7781155555555</v>
      </c>
    </row>
    <row r="3738" spans="1:7" hidden="1" x14ac:dyDescent="0.25">
      <c r="A3738" s="28">
        <v>43800</v>
      </c>
      <c r="B3738" s="27" t="s">
        <v>200</v>
      </c>
      <c r="C3738" s="27" t="s">
        <v>53</v>
      </c>
      <c r="D3738" s="27" t="s">
        <v>6</v>
      </c>
      <c r="E3738" s="27" t="s">
        <v>21</v>
      </c>
      <c r="F3738" s="29"/>
      <c r="G3738" s="30">
        <f t="shared" si="66"/>
        <v>255.7781155555555</v>
      </c>
    </row>
    <row r="3739" spans="1:7" hidden="1" x14ac:dyDescent="0.25">
      <c r="A3739" s="28">
        <v>43800</v>
      </c>
      <c r="B3739" s="27" t="s">
        <v>200</v>
      </c>
      <c r="C3739" s="27" t="s">
        <v>53</v>
      </c>
      <c r="D3739" s="27" t="s">
        <v>6</v>
      </c>
      <c r="E3739" s="27" t="s">
        <v>10</v>
      </c>
      <c r="F3739" s="29"/>
      <c r="G3739" s="30">
        <f t="shared" si="66"/>
        <v>255.7781155555555</v>
      </c>
    </row>
    <row r="3740" spans="1:7" hidden="1" x14ac:dyDescent="0.25">
      <c r="A3740" s="28">
        <v>43800</v>
      </c>
      <c r="B3740" s="27" t="s">
        <v>200</v>
      </c>
      <c r="C3740" s="27" t="s">
        <v>53</v>
      </c>
      <c r="D3740" s="27" t="s">
        <v>6</v>
      </c>
      <c r="E3740" s="27" t="s">
        <v>11</v>
      </c>
      <c r="F3740" s="29"/>
      <c r="G3740" s="30">
        <f t="shared" si="66"/>
        <v>255.7781155555555</v>
      </c>
    </row>
    <row r="3741" spans="1:7" hidden="1" x14ac:dyDescent="0.25">
      <c r="A3741" s="28">
        <v>43800</v>
      </c>
      <c r="B3741" s="27" t="s">
        <v>200</v>
      </c>
      <c r="C3741" s="27" t="s">
        <v>53</v>
      </c>
      <c r="D3741" s="27" t="s">
        <v>6</v>
      </c>
      <c r="E3741" s="27" t="s">
        <v>12</v>
      </c>
      <c r="F3741" s="29"/>
      <c r="G3741" s="30">
        <f t="shared" si="66"/>
        <v>255.7781155555555</v>
      </c>
    </row>
    <row r="3742" spans="1:7" hidden="1" x14ac:dyDescent="0.25">
      <c r="A3742" s="28">
        <v>43800</v>
      </c>
      <c r="B3742" s="27" t="s">
        <v>200</v>
      </c>
      <c r="C3742" s="27" t="s">
        <v>53</v>
      </c>
      <c r="D3742" s="27" t="s">
        <v>6</v>
      </c>
      <c r="E3742" s="27" t="s">
        <v>13</v>
      </c>
      <c r="F3742" s="29"/>
      <c r="G3742" s="30">
        <f t="shared" si="66"/>
        <v>255.7781155555555</v>
      </c>
    </row>
    <row r="3743" spans="1:7" hidden="1" x14ac:dyDescent="0.25">
      <c r="A3743" s="28">
        <v>43800</v>
      </c>
      <c r="B3743" s="27" t="s">
        <v>200</v>
      </c>
      <c r="C3743" s="27" t="s">
        <v>53</v>
      </c>
      <c r="D3743" s="27" t="s">
        <v>6</v>
      </c>
      <c r="E3743" s="27" t="s">
        <v>14</v>
      </c>
      <c r="F3743" s="29"/>
      <c r="G3743" s="30">
        <f t="shared" si="66"/>
        <v>255.7781155555555</v>
      </c>
    </row>
    <row r="3744" spans="1:7" hidden="1" x14ac:dyDescent="0.25">
      <c r="A3744" s="28">
        <v>43800</v>
      </c>
      <c r="B3744" s="27" t="s">
        <v>200</v>
      </c>
      <c r="C3744" s="27" t="s">
        <v>53</v>
      </c>
      <c r="D3744" s="27" t="s">
        <v>6</v>
      </c>
      <c r="E3744" s="27" t="s">
        <v>15</v>
      </c>
      <c r="F3744" s="29"/>
      <c r="G3744" s="30">
        <f t="shared" si="66"/>
        <v>255.7781155555555</v>
      </c>
    </row>
    <row r="3745" spans="1:7" hidden="1" x14ac:dyDescent="0.25">
      <c r="A3745" s="28">
        <v>43800</v>
      </c>
      <c r="B3745" s="27" t="s">
        <v>200</v>
      </c>
      <c r="C3745" s="27" t="s">
        <v>53</v>
      </c>
      <c r="D3745" s="27" t="s">
        <v>6</v>
      </c>
      <c r="E3745" s="27" t="s">
        <v>16</v>
      </c>
      <c r="F3745" s="29"/>
      <c r="G3745" s="30">
        <f t="shared" si="66"/>
        <v>255.7781155555555</v>
      </c>
    </row>
    <row r="3746" spans="1:7" hidden="1" x14ac:dyDescent="0.25">
      <c r="A3746" s="28">
        <v>43800</v>
      </c>
      <c r="B3746" s="27" t="s">
        <v>200</v>
      </c>
      <c r="C3746" s="27" t="s">
        <v>53</v>
      </c>
      <c r="D3746" s="27" t="s">
        <v>6</v>
      </c>
      <c r="E3746" s="27" t="s">
        <v>17</v>
      </c>
      <c r="F3746" s="29"/>
      <c r="G3746" s="30">
        <f t="shared" si="66"/>
        <v>255.7781155555555</v>
      </c>
    </row>
    <row r="3747" spans="1:7" hidden="1" x14ac:dyDescent="0.25">
      <c r="A3747" s="28">
        <v>43800</v>
      </c>
      <c r="B3747" s="27" t="s">
        <v>200</v>
      </c>
      <c r="C3747" s="27" t="s">
        <v>53</v>
      </c>
      <c r="D3747" s="27" t="s">
        <v>6</v>
      </c>
      <c r="E3747" s="27" t="s">
        <v>18</v>
      </c>
      <c r="F3747" s="29"/>
      <c r="G3747" s="30">
        <f t="shared" si="66"/>
        <v>255.7781155555555</v>
      </c>
    </row>
    <row r="3748" spans="1:7" hidden="1" x14ac:dyDescent="0.25">
      <c r="A3748" s="28">
        <v>43800</v>
      </c>
      <c r="B3748" s="27" t="s">
        <v>200</v>
      </c>
      <c r="C3748" s="27" t="s">
        <v>53</v>
      </c>
      <c r="D3748" s="27" t="s">
        <v>6</v>
      </c>
      <c r="E3748" s="27" t="s">
        <v>19</v>
      </c>
      <c r="F3748" s="29"/>
      <c r="G3748" s="30">
        <f t="shared" si="66"/>
        <v>255.7781155555555</v>
      </c>
    </row>
    <row r="3749" spans="1:7" hidden="1" x14ac:dyDescent="0.25">
      <c r="A3749" s="28">
        <v>43800</v>
      </c>
      <c r="B3749" s="27" t="s">
        <v>200</v>
      </c>
      <c r="C3749" s="27" t="s">
        <v>53</v>
      </c>
      <c r="D3749" s="27" t="s">
        <v>6</v>
      </c>
      <c r="E3749" s="27" t="s">
        <v>20</v>
      </c>
      <c r="F3749" s="29"/>
      <c r="G3749" s="30">
        <f t="shared" si="66"/>
        <v>255.7781155555555</v>
      </c>
    </row>
    <row r="3750" spans="1:7" hidden="1" x14ac:dyDescent="0.25">
      <c r="A3750" s="28">
        <v>43800</v>
      </c>
      <c r="B3750" s="27" t="s">
        <v>200</v>
      </c>
      <c r="C3750" s="27" t="s">
        <v>53</v>
      </c>
      <c r="D3750" s="27" t="s">
        <v>6</v>
      </c>
      <c r="E3750" s="27" t="s">
        <v>38</v>
      </c>
      <c r="F3750" s="29"/>
      <c r="G3750" s="30">
        <f t="shared" si="66"/>
        <v>255.7781155555555</v>
      </c>
    </row>
    <row r="3751" spans="1:7" hidden="1" x14ac:dyDescent="0.25">
      <c r="A3751" s="28">
        <v>43800</v>
      </c>
      <c r="B3751" s="27" t="s">
        <v>200</v>
      </c>
      <c r="C3751" s="27" t="s">
        <v>53</v>
      </c>
      <c r="D3751" s="27" t="s">
        <v>6</v>
      </c>
      <c r="E3751" s="27" t="s">
        <v>23</v>
      </c>
      <c r="F3751" s="29"/>
      <c r="G3751" s="30">
        <f t="shared" si="66"/>
        <v>255.7781155555555</v>
      </c>
    </row>
    <row r="3752" spans="1:7" hidden="1" x14ac:dyDescent="0.25">
      <c r="A3752" s="28">
        <v>43800</v>
      </c>
      <c r="B3752" s="27" t="s">
        <v>200</v>
      </c>
      <c r="C3752" s="27" t="s">
        <v>53</v>
      </c>
      <c r="D3752" s="27" t="s">
        <v>6</v>
      </c>
      <c r="E3752" s="27" t="s">
        <v>22</v>
      </c>
      <c r="F3752" s="29"/>
      <c r="G3752" s="30">
        <f t="shared" si="66"/>
        <v>255.7781155555555</v>
      </c>
    </row>
    <row r="3753" spans="1:7" hidden="1" x14ac:dyDescent="0.25">
      <c r="A3753" s="28">
        <v>43800</v>
      </c>
      <c r="B3753" s="27" t="s">
        <v>200</v>
      </c>
      <c r="C3753" s="27" t="s">
        <v>53</v>
      </c>
      <c r="D3753" s="27" t="s">
        <v>6</v>
      </c>
      <c r="E3753" s="27" t="s">
        <v>204</v>
      </c>
      <c r="F3753" s="29"/>
      <c r="G3753" s="30">
        <f t="shared" si="66"/>
        <v>255.7781155555555</v>
      </c>
    </row>
    <row r="3754" spans="1:7" hidden="1" x14ac:dyDescent="0.25">
      <c r="A3754" s="28">
        <v>43800</v>
      </c>
      <c r="B3754" s="27" t="s">
        <v>200</v>
      </c>
      <c r="C3754" s="27" t="s">
        <v>53</v>
      </c>
      <c r="D3754" s="27" t="s">
        <v>6</v>
      </c>
      <c r="E3754" s="27" t="s">
        <v>205</v>
      </c>
      <c r="F3754" s="29"/>
      <c r="G3754" s="30">
        <f t="shared" si="66"/>
        <v>255.7781155555555</v>
      </c>
    </row>
    <row r="3755" spans="1:7" hidden="1" x14ac:dyDescent="0.25">
      <c r="A3755" s="28">
        <v>43800</v>
      </c>
      <c r="B3755" s="27" t="s">
        <v>200</v>
      </c>
      <c r="C3755" s="27" t="s">
        <v>54</v>
      </c>
      <c r="D3755" s="27" t="s">
        <v>7</v>
      </c>
      <c r="E3755" s="27" t="s">
        <v>8</v>
      </c>
      <c r="F3755" s="29"/>
      <c r="G3755" s="30">
        <f t="shared" ref="G3755:G3772" si="67">1182.91/18</f>
        <v>65.717222222222233</v>
      </c>
    </row>
    <row r="3756" spans="1:7" hidden="1" x14ac:dyDescent="0.25">
      <c r="A3756" s="28">
        <v>43800</v>
      </c>
      <c r="B3756" s="27" t="s">
        <v>200</v>
      </c>
      <c r="C3756" s="27" t="s">
        <v>54</v>
      </c>
      <c r="D3756" s="27" t="s">
        <v>7</v>
      </c>
      <c r="E3756" s="27" t="s">
        <v>9</v>
      </c>
      <c r="F3756" s="29"/>
      <c r="G3756" s="30">
        <f t="shared" si="67"/>
        <v>65.717222222222233</v>
      </c>
    </row>
    <row r="3757" spans="1:7" hidden="1" x14ac:dyDescent="0.25">
      <c r="A3757" s="28">
        <v>43800</v>
      </c>
      <c r="B3757" s="27" t="s">
        <v>200</v>
      </c>
      <c r="C3757" s="27" t="s">
        <v>54</v>
      </c>
      <c r="D3757" s="27" t="s">
        <v>7</v>
      </c>
      <c r="E3757" s="27" t="s">
        <v>64</v>
      </c>
      <c r="F3757" s="29"/>
      <c r="G3757" s="30">
        <f t="shared" si="67"/>
        <v>65.717222222222233</v>
      </c>
    </row>
    <row r="3758" spans="1:7" hidden="1" x14ac:dyDescent="0.25">
      <c r="A3758" s="28">
        <v>43800</v>
      </c>
      <c r="B3758" s="27" t="s">
        <v>200</v>
      </c>
      <c r="C3758" s="27" t="s">
        <v>54</v>
      </c>
      <c r="D3758" s="27" t="s">
        <v>7</v>
      </c>
      <c r="E3758" s="27" t="s">
        <v>21</v>
      </c>
      <c r="F3758" s="29"/>
      <c r="G3758" s="30">
        <f t="shared" si="67"/>
        <v>65.717222222222233</v>
      </c>
    </row>
    <row r="3759" spans="1:7" hidden="1" x14ac:dyDescent="0.25">
      <c r="A3759" s="28">
        <v>43800</v>
      </c>
      <c r="B3759" s="27" t="s">
        <v>200</v>
      </c>
      <c r="C3759" s="27" t="s">
        <v>54</v>
      </c>
      <c r="D3759" s="27" t="s">
        <v>7</v>
      </c>
      <c r="E3759" s="27" t="s">
        <v>10</v>
      </c>
      <c r="F3759" s="29"/>
      <c r="G3759" s="30">
        <f t="shared" si="67"/>
        <v>65.717222222222233</v>
      </c>
    </row>
    <row r="3760" spans="1:7" hidden="1" x14ac:dyDescent="0.25">
      <c r="A3760" s="28">
        <v>43800</v>
      </c>
      <c r="B3760" s="27" t="s">
        <v>200</v>
      </c>
      <c r="C3760" s="27" t="s">
        <v>54</v>
      </c>
      <c r="D3760" s="27" t="s">
        <v>7</v>
      </c>
      <c r="E3760" s="27" t="s">
        <v>11</v>
      </c>
      <c r="F3760" s="29"/>
      <c r="G3760" s="30">
        <f t="shared" si="67"/>
        <v>65.717222222222233</v>
      </c>
    </row>
    <row r="3761" spans="1:7" hidden="1" x14ac:dyDescent="0.25">
      <c r="A3761" s="28">
        <v>43800</v>
      </c>
      <c r="B3761" s="27" t="s">
        <v>200</v>
      </c>
      <c r="C3761" s="27" t="s">
        <v>54</v>
      </c>
      <c r="D3761" s="27" t="s">
        <v>7</v>
      </c>
      <c r="E3761" s="27" t="s">
        <v>12</v>
      </c>
      <c r="F3761" s="29"/>
      <c r="G3761" s="30">
        <f t="shared" si="67"/>
        <v>65.717222222222233</v>
      </c>
    </row>
    <row r="3762" spans="1:7" hidden="1" x14ac:dyDescent="0.25">
      <c r="A3762" s="28">
        <v>43800</v>
      </c>
      <c r="B3762" s="27" t="s">
        <v>200</v>
      </c>
      <c r="C3762" s="27" t="s">
        <v>54</v>
      </c>
      <c r="D3762" s="27" t="s">
        <v>7</v>
      </c>
      <c r="E3762" s="27" t="s">
        <v>13</v>
      </c>
      <c r="F3762" s="29"/>
      <c r="G3762" s="30">
        <f t="shared" si="67"/>
        <v>65.717222222222233</v>
      </c>
    </row>
    <row r="3763" spans="1:7" hidden="1" x14ac:dyDescent="0.25">
      <c r="A3763" s="28">
        <v>43800</v>
      </c>
      <c r="B3763" s="27" t="s">
        <v>200</v>
      </c>
      <c r="C3763" s="27" t="s">
        <v>54</v>
      </c>
      <c r="D3763" s="27" t="s">
        <v>7</v>
      </c>
      <c r="E3763" s="27" t="s">
        <v>14</v>
      </c>
      <c r="F3763" s="29"/>
      <c r="G3763" s="30">
        <f t="shared" si="67"/>
        <v>65.717222222222233</v>
      </c>
    </row>
    <row r="3764" spans="1:7" hidden="1" x14ac:dyDescent="0.25">
      <c r="A3764" s="28">
        <v>43800</v>
      </c>
      <c r="B3764" s="27" t="s">
        <v>200</v>
      </c>
      <c r="C3764" s="27" t="s">
        <v>54</v>
      </c>
      <c r="D3764" s="27" t="s">
        <v>7</v>
      </c>
      <c r="E3764" s="27" t="s">
        <v>15</v>
      </c>
      <c r="F3764" s="29"/>
      <c r="G3764" s="30">
        <f t="shared" si="67"/>
        <v>65.717222222222233</v>
      </c>
    </row>
    <row r="3765" spans="1:7" hidden="1" x14ac:dyDescent="0.25">
      <c r="A3765" s="28">
        <v>43800</v>
      </c>
      <c r="B3765" s="27" t="s">
        <v>200</v>
      </c>
      <c r="C3765" s="27" t="s">
        <v>54</v>
      </c>
      <c r="D3765" s="27" t="s">
        <v>7</v>
      </c>
      <c r="E3765" s="27" t="s">
        <v>16</v>
      </c>
      <c r="F3765" s="29"/>
      <c r="G3765" s="30">
        <f t="shared" si="67"/>
        <v>65.717222222222233</v>
      </c>
    </row>
    <row r="3766" spans="1:7" hidden="1" x14ac:dyDescent="0.25">
      <c r="A3766" s="28">
        <v>43800</v>
      </c>
      <c r="B3766" s="27" t="s">
        <v>200</v>
      </c>
      <c r="C3766" s="27" t="s">
        <v>54</v>
      </c>
      <c r="D3766" s="27" t="s">
        <v>7</v>
      </c>
      <c r="E3766" s="27" t="s">
        <v>17</v>
      </c>
      <c r="F3766" s="29"/>
      <c r="G3766" s="30">
        <f t="shared" si="67"/>
        <v>65.717222222222233</v>
      </c>
    </row>
    <row r="3767" spans="1:7" hidden="1" x14ac:dyDescent="0.25">
      <c r="A3767" s="28">
        <v>43800</v>
      </c>
      <c r="B3767" s="27" t="s">
        <v>200</v>
      </c>
      <c r="C3767" s="27" t="s">
        <v>54</v>
      </c>
      <c r="D3767" s="27" t="s">
        <v>7</v>
      </c>
      <c r="E3767" s="27" t="s">
        <v>18</v>
      </c>
      <c r="F3767" s="29"/>
      <c r="G3767" s="30">
        <f t="shared" si="67"/>
        <v>65.717222222222233</v>
      </c>
    </row>
    <row r="3768" spans="1:7" hidden="1" x14ac:dyDescent="0.25">
      <c r="A3768" s="28">
        <v>43800</v>
      </c>
      <c r="B3768" s="27" t="s">
        <v>200</v>
      </c>
      <c r="C3768" s="27" t="s">
        <v>54</v>
      </c>
      <c r="D3768" s="27" t="s">
        <v>7</v>
      </c>
      <c r="E3768" s="27" t="s">
        <v>19</v>
      </c>
      <c r="F3768" s="29"/>
      <c r="G3768" s="30">
        <f t="shared" si="67"/>
        <v>65.717222222222233</v>
      </c>
    </row>
    <row r="3769" spans="1:7" hidden="1" x14ac:dyDescent="0.25">
      <c r="A3769" s="28">
        <v>43800</v>
      </c>
      <c r="B3769" s="27" t="s">
        <v>200</v>
      </c>
      <c r="C3769" s="27" t="s">
        <v>54</v>
      </c>
      <c r="D3769" s="27" t="s">
        <v>7</v>
      </c>
      <c r="E3769" s="27" t="s">
        <v>38</v>
      </c>
      <c r="F3769" s="29"/>
      <c r="G3769" s="30">
        <f t="shared" si="67"/>
        <v>65.717222222222233</v>
      </c>
    </row>
    <row r="3770" spans="1:7" hidden="1" x14ac:dyDescent="0.25">
      <c r="A3770" s="28">
        <v>43800</v>
      </c>
      <c r="B3770" s="27" t="s">
        <v>200</v>
      </c>
      <c r="C3770" s="27" t="s">
        <v>54</v>
      </c>
      <c r="D3770" s="27" t="s">
        <v>7</v>
      </c>
      <c r="E3770" s="27" t="s">
        <v>23</v>
      </c>
      <c r="F3770" s="29"/>
      <c r="G3770" s="30">
        <f t="shared" si="67"/>
        <v>65.717222222222233</v>
      </c>
    </row>
    <row r="3771" spans="1:7" hidden="1" x14ac:dyDescent="0.25">
      <c r="A3771" s="28">
        <v>43800</v>
      </c>
      <c r="B3771" s="27" t="s">
        <v>200</v>
      </c>
      <c r="C3771" s="27" t="s">
        <v>54</v>
      </c>
      <c r="D3771" s="27" t="s">
        <v>7</v>
      </c>
      <c r="E3771" s="27" t="s">
        <v>22</v>
      </c>
      <c r="F3771" s="29"/>
      <c r="G3771" s="30">
        <f t="shared" si="67"/>
        <v>65.717222222222233</v>
      </c>
    </row>
    <row r="3772" spans="1:7" hidden="1" x14ac:dyDescent="0.25">
      <c r="A3772" s="28">
        <v>43800</v>
      </c>
      <c r="B3772" s="27" t="s">
        <v>200</v>
      </c>
      <c r="C3772" s="27" t="s">
        <v>54</v>
      </c>
      <c r="D3772" s="27" t="s">
        <v>7</v>
      </c>
      <c r="E3772" s="27" t="s">
        <v>37</v>
      </c>
      <c r="F3772" s="29"/>
      <c r="G3772" s="30">
        <f t="shared" si="67"/>
        <v>65.717222222222233</v>
      </c>
    </row>
    <row r="3773" spans="1:7" hidden="1" x14ac:dyDescent="0.25">
      <c r="A3773" s="28">
        <v>43800</v>
      </c>
      <c r="B3773" s="27" t="s">
        <v>200</v>
      </c>
      <c r="C3773" s="27" t="s">
        <v>55</v>
      </c>
      <c r="D3773" s="27" t="s">
        <v>6</v>
      </c>
      <c r="E3773" s="27" t="s">
        <v>8</v>
      </c>
      <c r="F3773" s="29"/>
      <c r="G3773" s="30">
        <f t="shared" ref="G3773:G3792" si="68">55174.636449235/20</f>
        <v>2758.7318224617497</v>
      </c>
    </row>
    <row r="3774" spans="1:7" hidden="1" x14ac:dyDescent="0.25">
      <c r="A3774" s="28">
        <v>43800</v>
      </c>
      <c r="B3774" s="27" t="s">
        <v>200</v>
      </c>
      <c r="C3774" s="27" t="s">
        <v>55</v>
      </c>
      <c r="D3774" s="27" t="s">
        <v>6</v>
      </c>
      <c r="E3774" s="27" t="s">
        <v>9</v>
      </c>
      <c r="F3774" s="29"/>
      <c r="G3774" s="30">
        <f t="shared" si="68"/>
        <v>2758.7318224617497</v>
      </c>
    </row>
    <row r="3775" spans="1:7" hidden="1" x14ac:dyDescent="0.25">
      <c r="A3775" s="28">
        <v>43800</v>
      </c>
      <c r="B3775" s="27" t="s">
        <v>200</v>
      </c>
      <c r="C3775" s="27" t="s">
        <v>55</v>
      </c>
      <c r="D3775" s="27" t="s">
        <v>6</v>
      </c>
      <c r="E3775" s="27" t="s">
        <v>64</v>
      </c>
      <c r="F3775" s="29"/>
      <c r="G3775" s="30">
        <f t="shared" si="68"/>
        <v>2758.7318224617497</v>
      </c>
    </row>
    <row r="3776" spans="1:7" hidden="1" x14ac:dyDescent="0.25">
      <c r="A3776" s="28">
        <v>43800</v>
      </c>
      <c r="B3776" s="27" t="s">
        <v>200</v>
      </c>
      <c r="C3776" s="27" t="s">
        <v>55</v>
      </c>
      <c r="D3776" s="27" t="s">
        <v>6</v>
      </c>
      <c r="E3776" s="27" t="s">
        <v>21</v>
      </c>
      <c r="F3776" s="29"/>
      <c r="G3776" s="30">
        <f t="shared" si="68"/>
        <v>2758.7318224617497</v>
      </c>
    </row>
    <row r="3777" spans="1:7" hidden="1" x14ac:dyDescent="0.25">
      <c r="A3777" s="28">
        <v>43800</v>
      </c>
      <c r="B3777" s="27" t="s">
        <v>200</v>
      </c>
      <c r="C3777" s="27" t="s">
        <v>55</v>
      </c>
      <c r="D3777" s="27" t="s">
        <v>6</v>
      </c>
      <c r="E3777" s="27" t="s">
        <v>10</v>
      </c>
      <c r="F3777" s="29"/>
      <c r="G3777" s="30">
        <f t="shared" si="68"/>
        <v>2758.7318224617497</v>
      </c>
    </row>
    <row r="3778" spans="1:7" hidden="1" x14ac:dyDescent="0.25">
      <c r="A3778" s="28">
        <v>43800</v>
      </c>
      <c r="B3778" s="27" t="s">
        <v>200</v>
      </c>
      <c r="C3778" s="27" t="s">
        <v>55</v>
      </c>
      <c r="D3778" s="27" t="s">
        <v>6</v>
      </c>
      <c r="E3778" s="27" t="s">
        <v>11</v>
      </c>
      <c r="F3778" s="29"/>
      <c r="G3778" s="30">
        <f t="shared" si="68"/>
        <v>2758.7318224617497</v>
      </c>
    </row>
    <row r="3779" spans="1:7" hidden="1" x14ac:dyDescent="0.25">
      <c r="A3779" s="28">
        <v>43800</v>
      </c>
      <c r="B3779" s="27" t="s">
        <v>200</v>
      </c>
      <c r="C3779" s="27" t="s">
        <v>55</v>
      </c>
      <c r="D3779" s="27" t="s">
        <v>6</v>
      </c>
      <c r="E3779" s="27" t="s">
        <v>12</v>
      </c>
      <c r="F3779" s="29"/>
      <c r="G3779" s="30">
        <f t="shared" si="68"/>
        <v>2758.7318224617497</v>
      </c>
    </row>
    <row r="3780" spans="1:7" hidden="1" x14ac:dyDescent="0.25">
      <c r="A3780" s="28">
        <v>43800</v>
      </c>
      <c r="B3780" s="27" t="s">
        <v>200</v>
      </c>
      <c r="C3780" s="27" t="s">
        <v>55</v>
      </c>
      <c r="D3780" s="27" t="s">
        <v>6</v>
      </c>
      <c r="E3780" s="27" t="s">
        <v>13</v>
      </c>
      <c r="F3780" s="29"/>
      <c r="G3780" s="30">
        <f t="shared" si="68"/>
        <v>2758.7318224617497</v>
      </c>
    </row>
    <row r="3781" spans="1:7" hidden="1" x14ac:dyDescent="0.25">
      <c r="A3781" s="28">
        <v>43800</v>
      </c>
      <c r="B3781" s="27" t="s">
        <v>200</v>
      </c>
      <c r="C3781" s="27" t="s">
        <v>55</v>
      </c>
      <c r="D3781" s="27" t="s">
        <v>6</v>
      </c>
      <c r="E3781" s="27" t="s">
        <v>14</v>
      </c>
      <c r="F3781" s="29"/>
      <c r="G3781" s="30">
        <f t="shared" si="68"/>
        <v>2758.7318224617497</v>
      </c>
    </row>
    <row r="3782" spans="1:7" hidden="1" x14ac:dyDescent="0.25">
      <c r="A3782" s="28">
        <v>43800</v>
      </c>
      <c r="B3782" s="27" t="s">
        <v>200</v>
      </c>
      <c r="C3782" s="27" t="s">
        <v>55</v>
      </c>
      <c r="D3782" s="27" t="s">
        <v>6</v>
      </c>
      <c r="E3782" s="27" t="s">
        <v>15</v>
      </c>
      <c r="F3782" s="29"/>
      <c r="G3782" s="30">
        <f t="shared" si="68"/>
        <v>2758.7318224617497</v>
      </c>
    </row>
    <row r="3783" spans="1:7" hidden="1" x14ac:dyDescent="0.25">
      <c r="A3783" s="28">
        <v>43800</v>
      </c>
      <c r="B3783" s="27" t="s">
        <v>200</v>
      </c>
      <c r="C3783" s="27" t="s">
        <v>55</v>
      </c>
      <c r="D3783" s="27" t="s">
        <v>6</v>
      </c>
      <c r="E3783" s="27" t="s">
        <v>16</v>
      </c>
      <c r="F3783" s="29"/>
      <c r="G3783" s="30">
        <f t="shared" si="68"/>
        <v>2758.7318224617497</v>
      </c>
    </row>
    <row r="3784" spans="1:7" hidden="1" x14ac:dyDescent="0.25">
      <c r="A3784" s="28">
        <v>43800</v>
      </c>
      <c r="B3784" s="27" t="s">
        <v>200</v>
      </c>
      <c r="C3784" s="27" t="s">
        <v>55</v>
      </c>
      <c r="D3784" s="27" t="s">
        <v>6</v>
      </c>
      <c r="E3784" s="27" t="s">
        <v>17</v>
      </c>
      <c r="F3784" s="29"/>
      <c r="G3784" s="30">
        <f t="shared" si="68"/>
        <v>2758.7318224617497</v>
      </c>
    </row>
    <row r="3785" spans="1:7" hidden="1" x14ac:dyDescent="0.25">
      <c r="A3785" s="28">
        <v>43800</v>
      </c>
      <c r="B3785" s="27" t="s">
        <v>200</v>
      </c>
      <c r="C3785" s="27" t="s">
        <v>55</v>
      </c>
      <c r="D3785" s="27" t="s">
        <v>6</v>
      </c>
      <c r="E3785" s="27" t="s">
        <v>18</v>
      </c>
      <c r="F3785" s="29"/>
      <c r="G3785" s="30">
        <f t="shared" si="68"/>
        <v>2758.7318224617497</v>
      </c>
    </row>
    <row r="3786" spans="1:7" hidden="1" x14ac:dyDescent="0.25">
      <c r="A3786" s="28">
        <v>43800</v>
      </c>
      <c r="B3786" s="27" t="s">
        <v>200</v>
      </c>
      <c r="C3786" s="27" t="s">
        <v>55</v>
      </c>
      <c r="D3786" s="27" t="s">
        <v>6</v>
      </c>
      <c r="E3786" s="27" t="s">
        <v>19</v>
      </c>
      <c r="F3786" s="29"/>
      <c r="G3786" s="30">
        <f t="shared" si="68"/>
        <v>2758.7318224617497</v>
      </c>
    </row>
    <row r="3787" spans="1:7" hidden="1" x14ac:dyDescent="0.25">
      <c r="A3787" s="28">
        <v>43800</v>
      </c>
      <c r="B3787" s="27" t="s">
        <v>200</v>
      </c>
      <c r="C3787" s="27" t="s">
        <v>55</v>
      </c>
      <c r="D3787" s="27" t="s">
        <v>6</v>
      </c>
      <c r="E3787" s="27" t="s">
        <v>20</v>
      </c>
      <c r="F3787" s="29"/>
      <c r="G3787" s="30">
        <f t="shared" si="68"/>
        <v>2758.7318224617497</v>
      </c>
    </row>
    <row r="3788" spans="1:7" hidden="1" x14ac:dyDescent="0.25">
      <c r="A3788" s="28">
        <v>43800</v>
      </c>
      <c r="B3788" s="27" t="s">
        <v>200</v>
      </c>
      <c r="C3788" s="27" t="s">
        <v>55</v>
      </c>
      <c r="D3788" s="27" t="s">
        <v>6</v>
      </c>
      <c r="E3788" s="27" t="s">
        <v>38</v>
      </c>
      <c r="F3788" s="29"/>
      <c r="G3788" s="30">
        <f t="shared" si="68"/>
        <v>2758.7318224617497</v>
      </c>
    </row>
    <row r="3789" spans="1:7" hidden="1" x14ac:dyDescent="0.25">
      <c r="A3789" s="28">
        <v>43800</v>
      </c>
      <c r="B3789" s="27" t="s">
        <v>200</v>
      </c>
      <c r="C3789" s="27" t="s">
        <v>55</v>
      </c>
      <c r="D3789" s="27" t="s">
        <v>6</v>
      </c>
      <c r="E3789" s="27" t="s">
        <v>23</v>
      </c>
      <c r="F3789" s="29"/>
      <c r="G3789" s="30">
        <f t="shared" si="68"/>
        <v>2758.7318224617497</v>
      </c>
    </row>
    <row r="3790" spans="1:7" hidden="1" x14ac:dyDescent="0.25">
      <c r="A3790" s="28">
        <v>43800</v>
      </c>
      <c r="B3790" s="27" t="s">
        <v>200</v>
      </c>
      <c r="C3790" s="27" t="s">
        <v>55</v>
      </c>
      <c r="D3790" s="27" t="s">
        <v>6</v>
      </c>
      <c r="E3790" s="27" t="s">
        <v>22</v>
      </c>
      <c r="F3790" s="29"/>
      <c r="G3790" s="30">
        <f t="shared" si="68"/>
        <v>2758.7318224617497</v>
      </c>
    </row>
    <row r="3791" spans="1:7" hidden="1" x14ac:dyDescent="0.25">
      <c r="A3791" s="28">
        <v>43800</v>
      </c>
      <c r="B3791" s="27" t="s">
        <v>200</v>
      </c>
      <c r="C3791" s="27" t="s">
        <v>55</v>
      </c>
      <c r="D3791" s="27" t="s">
        <v>6</v>
      </c>
      <c r="E3791" s="27" t="s">
        <v>204</v>
      </c>
      <c r="F3791" s="29"/>
      <c r="G3791" s="30">
        <f t="shared" si="68"/>
        <v>2758.7318224617497</v>
      </c>
    </row>
    <row r="3792" spans="1:7" hidden="1" x14ac:dyDescent="0.25">
      <c r="A3792" s="28">
        <v>43800</v>
      </c>
      <c r="B3792" s="27" t="s">
        <v>200</v>
      </c>
      <c r="C3792" s="27" t="s">
        <v>55</v>
      </c>
      <c r="D3792" s="27" t="s">
        <v>6</v>
      </c>
      <c r="E3792" s="27" t="s">
        <v>205</v>
      </c>
      <c r="F3792" s="29"/>
      <c r="G3792" s="30">
        <f t="shared" si="68"/>
        <v>2758.7318224617497</v>
      </c>
    </row>
    <row r="3793" spans="1:7" hidden="1" x14ac:dyDescent="0.25">
      <c r="A3793" s="28">
        <v>43800</v>
      </c>
      <c r="B3793" s="27" t="s">
        <v>200</v>
      </c>
      <c r="C3793" s="27" t="s">
        <v>183</v>
      </c>
      <c r="D3793" s="27" t="s">
        <v>7</v>
      </c>
      <c r="E3793" s="27" t="s">
        <v>8</v>
      </c>
      <c r="F3793" s="29"/>
      <c r="G3793" s="30">
        <f t="shared" ref="G3793:G3810" si="69">4800.01/18</f>
        <v>266.66722222222222</v>
      </c>
    </row>
    <row r="3794" spans="1:7" hidden="1" x14ac:dyDescent="0.25">
      <c r="A3794" s="28">
        <v>43800</v>
      </c>
      <c r="B3794" s="27" t="s">
        <v>200</v>
      </c>
      <c r="C3794" s="27" t="s">
        <v>183</v>
      </c>
      <c r="D3794" s="27" t="s">
        <v>7</v>
      </c>
      <c r="E3794" s="27" t="s">
        <v>9</v>
      </c>
      <c r="F3794" s="29"/>
      <c r="G3794" s="30">
        <f t="shared" si="69"/>
        <v>266.66722222222222</v>
      </c>
    </row>
    <row r="3795" spans="1:7" hidden="1" x14ac:dyDescent="0.25">
      <c r="A3795" s="28">
        <v>43800</v>
      </c>
      <c r="B3795" s="27" t="s">
        <v>200</v>
      </c>
      <c r="C3795" s="27" t="s">
        <v>183</v>
      </c>
      <c r="D3795" s="27" t="s">
        <v>7</v>
      </c>
      <c r="E3795" s="27" t="s">
        <v>64</v>
      </c>
      <c r="F3795" s="29"/>
      <c r="G3795" s="30">
        <f t="shared" si="69"/>
        <v>266.66722222222222</v>
      </c>
    </row>
    <row r="3796" spans="1:7" hidden="1" x14ac:dyDescent="0.25">
      <c r="A3796" s="28">
        <v>43800</v>
      </c>
      <c r="B3796" s="27" t="s">
        <v>200</v>
      </c>
      <c r="C3796" s="27" t="s">
        <v>183</v>
      </c>
      <c r="D3796" s="27" t="s">
        <v>7</v>
      </c>
      <c r="E3796" s="27" t="s">
        <v>21</v>
      </c>
      <c r="F3796" s="29"/>
      <c r="G3796" s="30">
        <f t="shared" si="69"/>
        <v>266.66722222222222</v>
      </c>
    </row>
    <row r="3797" spans="1:7" hidden="1" x14ac:dyDescent="0.25">
      <c r="A3797" s="28">
        <v>43800</v>
      </c>
      <c r="B3797" s="27" t="s">
        <v>200</v>
      </c>
      <c r="C3797" s="27" t="s">
        <v>183</v>
      </c>
      <c r="D3797" s="27" t="s">
        <v>7</v>
      </c>
      <c r="E3797" s="27" t="s">
        <v>10</v>
      </c>
      <c r="F3797" s="29"/>
      <c r="G3797" s="30">
        <f t="shared" si="69"/>
        <v>266.66722222222222</v>
      </c>
    </row>
    <row r="3798" spans="1:7" hidden="1" x14ac:dyDescent="0.25">
      <c r="A3798" s="28">
        <v>43800</v>
      </c>
      <c r="B3798" s="27" t="s">
        <v>200</v>
      </c>
      <c r="C3798" s="27" t="s">
        <v>183</v>
      </c>
      <c r="D3798" s="27" t="s">
        <v>7</v>
      </c>
      <c r="E3798" s="27" t="s">
        <v>11</v>
      </c>
      <c r="F3798" s="29"/>
      <c r="G3798" s="30">
        <f t="shared" si="69"/>
        <v>266.66722222222222</v>
      </c>
    </row>
    <row r="3799" spans="1:7" hidden="1" x14ac:dyDescent="0.25">
      <c r="A3799" s="28">
        <v>43800</v>
      </c>
      <c r="B3799" s="27" t="s">
        <v>200</v>
      </c>
      <c r="C3799" s="27" t="s">
        <v>183</v>
      </c>
      <c r="D3799" s="27" t="s">
        <v>7</v>
      </c>
      <c r="E3799" s="27" t="s">
        <v>12</v>
      </c>
      <c r="F3799" s="29"/>
      <c r="G3799" s="30">
        <f t="shared" si="69"/>
        <v>266.66722222222222</v>
      </c>
    </row>
    <row r="3800" spans="1:7" hidden="1" x14ac:dyDescent="0.25">
      <c r="A3800" s="28">
        <v>43800</v>
      </c>
      <c r="B3800" s="27" t="s">
        <v>200</v>
      </c>
      <c r="C3800" s="27" t="s">
        <v>183</v>
      </c>
      <c r="D3800" s="27" t="s">
        <v>7</v>
      </c>
      <c r="E3800" s="27" t="s">
        <v>13</v>
      </c>
      <c r="F3800" s="29"/>
      <c r="G3800" s="30">
        <f t="shared" si="69"/>
        <v>266.66722222222222</v>
      </c>
    </row>
    <row r="3801" spans="1:7" hidden="1" x14ac:dyDescent="0.25">
      <c r="A3801" s="28">
        <v>43800</v>
      </c>
      <c r="B3801" s="27" t="s">
        <v>200</v>
      </c>
      <c r="C3801" s="27" t="s">
        <v>183</v>
      </c>
      <c r="D3801" s="27" t="s">
        <v>7</v>
      </c>
      <c r="E3801" s="27" t="s">
        <v>14</v>
      </c>
      <c r="F3801" s="29"/>
      <c r="G3801" s="30">
        <f t="shared" si="69"/>
        <v>266.66722222222222</v>
      </c>
    </row>
    <row r="3802" spans="1:7" hidden="1" x14ac:dyDescent="0.25">
      <c r="A3802" s="28">
        <v>43800</v>
      </c>
      <c r="B3802" s="27" t="s">
        <v>200</v>
      </c>
      <c r="C3802" s="27" t="s">
        <v>183</v>
      </c>
      <c r="D3802" s="27" t="s">
        <v>7</v>
      </c>
      <c r="E3802" s="27" t="s">
        <v>15</v>
      </c>
      <c r="F3802" s="29"/>
      <c r="G3802" s="30">
        <f t="shared" si="69"/>
        <v>266.66722222222222</v>
      </c>
    </row>
    <row r="3803" spans="1:7" hidden="1" x14ac:dyDescent="0.25">
      <c r="A3803" s="28">
        <v>43800</v>
      </c>
      <c r="B3803" s="27" t="s">
        <v>200</v>
      </c>
      <c r="C3803" s="27" t="s">
        <v>183</v>
      </c>
      <c r="D3803" s="27" t="s">
        <v>7</v>
      </c>
      <c r="E3803" s="27" t="s">
        <v>16</v>
      </c>
      <c r="F3803" s="29"/>
      <c r="G3803" s="30">
        <f t="shared" si="69"/>
        <v>266.66722222222222</v>
      </c>
    </row>
    <row r="3804" spans="1:7" hidden="1" x14ac:dyDescent="0.25">
      <c r="A3804" s="28">
        <v>43800</v>
      </c>
      <c r="B3804" s="27" t="s">
        <v>200</v>
      </c>
      <c r="C3804" s="27" t="s">
        <v>183</v>
      </c>
      <c r="D3804" s="27" t="s">
        <v>7</v>
      </c>
      <c r="E3804" s="27" t="s">
        <v>17</v>
      </c>
      <c r="F3804" s="29"/>
      <c r="G3804" s="30">
        <f t="shared" si="69"/>
        <v>266.66722222222222</v>
      </c>
    </row>
    <row r="3805" spans="1:7" hidden="1" x14ac:dyDescent="0.25">
      <c r="A3805" s="28">
        <v>43800</v>
      </c>
      <c r="B3805" s="27" t="s">
        <v>200</v>
      </c>
      <c r="C3805" s="27" t="s">
        <v>183</v>
      </c>
      <c r="D3805" s="27" t="s">
        <v>7</v>
      </c>
      <c r="E3805" s="27" t="s">
        <v>18</v>
      </c>
      <c r="F3805" s="29"/>
      <c r="G3805" s="30">
        <f t="shared" si="69"/>
        <v>266.66722222222222</v>
      </c>
    </row>
    <row r="3806" spans="1:7" hidden="1" x14ac:dyDescent="0.25">
      <c r="A3806" s="28">
        <v>43800</v>
      </c>
      <c r="B3806" s="27" t="s">
        <v>200</v>
      </c>
      <c r="C3806" s="27" t="s">
        <v>183</v>
      </c>
      <c r="D3806" s="27" t="s">
        <v>7</v>
      </c>
      <c r="E3806" s="27" t="s">
        <v>19</v>
      </c>
      <c r="F3806" s="29"/>
      <c r="G3806" s="30">
        <f t="shared" si="69"/>
        <v>266.66722222222222</v>
      </c>
    </row>
    <row r="3807" spans="1:7" hidden="1" x14ac:dyDescent="0.25">
      <c r="A3807" s="28">
        <v>43800</v>
      </c>
      <c r="B3807" s="27" t="s">
        <v>200</v>
      </c>
      <c r="C3807" s="27" t="s">
        <v>183</v>
      </c>
      <c r="D3807" s="27" t="s">
        <v>7</v>
      </c>
      <c r="E3807" s="27" t="s">
        <v>38</v>
      </c>
      <c r="F3807" s="29"/>
      <c r="G3807" s="30">
        <f t="shared" si="69"/>
        <v>266.66722222222222</v>
      </c>
    </row>
    <row r="3808" spans="1:7" hidden="1" x14ac:dyDescent="0.25">
      <c r="A3808" s="28">
        <v>43800</v>
      </c>
      <c r="B3808" s="27" t="s">
        <v>200</v>
      </c>
      <c r="C3808" s="27" t="s">
        <v>183</v>
      </c>
      <c r="D3808" s="27" t="s">
        <v>7</v>
      </c>
      <c r="E3808" s="27" t="s">
        <v>23</v>
      </c>
      <c r="F3808" s="29"/>
      <c r="G3808" s="30">
        <f t="shared" si="69"/>
        <v>266.66722222222222</v>
      </c>
    </row>
    <row r="3809" spans="1:7" hidden="1" x14ac:dyDescent="0.25">
      <c r="A3809" s="28">
        <v>43800</v>
      </c>
      <c r="B3809" s="27" t="s">
        <v>200</v>
      </c>
      <c r="C3809" s="27" t="s">
        <v>183</v>
      </c>
      <c r="D3809" s="27" t="s">
        <v>7</v>
      </c>
      <c r="E3809" s="27" t="s">
        <v>22</v>
      </c>
      <c r="F3809" s="29"/>
      <c r="G3809" s="30">
        <f t="shared" si="69"/>
        <v>266.66722222222222</v>
      </c>
    </row>
    <row r="3810" spans="1:7" hidden="1" x14ac:dyDescent="0.25">
      <c r="A3810" s="28">
        <v>43800</v>
      </c>
      <c r="B3810" s="27" t="s">
        <v>200</v>
      </c>
      <c r="C3810" s="27" t="s">
        <v>183</v>
      </c>
      <c r="D3810" s="27" t="s">
        <v>7</v>
      </c>
      <c r="E3810" s="27" t="s">
        <v>37</v>
      </c>
      <c r="F3810" s="29"/>
      <c r="G3810" s="30">
        <f t="shared" si="69"/>
        <v>266.66722222222222</v>
      </c>
    </row>
    <row r="3811" spans="1:7" hidden="1" x14ac:dyDescent="0.25">
      <c r="A3811" s="28">
        <v>43800</v>
      </c>
      <c r="B3811" s="27" t="s">
        <v>200</v>
      </c>
      <c r="C3811" s="27" t="s">
        <v>56</v>
      </c>
      <c r="D3811" s="27" t="s">
        <v>6</v>
      </c>
      <c r="E3811" s="27" t="s">
        <v>8</v>
      </c>
      <c r="F3811" s="29"/>
      <c r="G3811" s="30">
        <f t="shared" ref="G3811:G3830" si="70">37378.1185333332/20</f>
        <v>1868.9059266666602</v>
      </c>
    </row>
    <row r="3812" spans="1:7" hidden="1" x14ac:dyDescent="0.25">
      <c r="A3812" s="28">
        <v>43800</v>
      </c>
      <c r="B3812" s="27" t="s">
        <v>200</v>
      </c>
      <c r="C3812" s="27" t="s">
        <v>56</v>
      </c>
      <c r="D3812" s="27" t="s">
        <v>6</v>
      </c>
      <c r="E3812" s="27" t="s">
        <v>9</v>
      </c>
      <c r="F3812" s="29"/>
      <c r="G3812" s="30">
        <f t="shared" si="70"/>
        <v>1868.9059266666602</v>
      </c>
    </row>
    <row r="3813" spans="1:7" hidden="1" x14ac:dyDescent="0.25">
      <c r="A3813" s="28">
        <v>43800</v>
      </c>
      <c r="B3813" s="27" t="s">
        <v>200</v>
      </c>
      <c r="C3813" s="27" t="s">
        <v>56</v>
      </c>
      <c r="D3813" s="27" t="s">
        <v>6</v>
      </c>
      <c r="E3813" s="27" t="s">
        <v>64</v>
      </c>
      <c r="F3813" s="29"/>
      <c r="G3813" s="30">
        <f t="shared" si="70"/>
        <v>1868.9059266666602</v>
      </c>
    </row>
    <row r="3814" spans="1:7" hidden="1" x14ac:dyDescent="0.25">
      <c r="A3814" s="28">
        <v>43800</v>
      </c>
      <c r="B3814" s="27" t="s">
        <v>200</v>
      </c>
      <c r="C3814" s="27" t="s">
        <v>56</v>
      </c>
      <c r="D3814" s="27" t="s">
        <v>6</v>
      </c>
      <c r="E3814" s="27" t="s">
        <v>21</v>
      </c>
      <c r="F3814" s="29"/>
      <c r="G3814" s="30">
        <f t="shared" si="70"/>
        <v>1868.9059266666602</v>
      </c>
    </row>
    <row r="3815" spans="1:7" hidden="1" x14ac:dyDescent="0.25">
      <c r="A3815" s="28">
        <v>43800</v>
      </c>
      <c r="B3815" s="27" t="s">
        <v>200</v>
      </c>
      <c r="C3815" s="27" t="s">
        <v>56</v>
      </c>
      <c r="D3815" s="27" t="s">
        <v>6</v>
      </c>
      <c r="E3815" s="27" t="s">
        <v>10</v>
      </c>
      <c r="F3815" s="29"/>
      <c r="G3815" s="30">
        <f t="shared" si="70"/>
        <v>1868.9059266666602</v>
      </c>
    </row>
    <row r="3816" spans="1:7" hidden="1" x14ac:dyDescent="0.25">
      <c r="A3816" s="28">
        <v>43800</v>
      </c>
      <c r="B3816" s="27" t="s">
        <v>200</v>
      </c>
      <c r="C3816" s="27" t="s">
        <v>56</v>
      </c>
      <c r="D3816" s="27" t="s">
        <v>6</v>
      </c>
      <c r="E3816" s="27" t="s">
        <v>11</v>
      </c>
      <c r="F3816" s="29"/>
      <c r="G3816" s="30">
        <f t="shared" si="70"/>
        <v>1868.9059266666602</v>
      </c>
    </row>
    <row r="3817" spans="1:7" hidden="1" x14ac:dyDescent="0.25">
      <c r="A3817" s="28">
        <v>43800</v>
      </c>
      <c r="B3817" s="27" t="s">
        <v>200</v>
      </c>
      <c r="C3817" s="27" t="s">
        <v>56</v>
      </c>
      <c r="D3817" s="27" t="s">
        <v>6</v>
      </c>
      <c r="E3817" s="27" t="s">
        <v>12</v>
      </c>
      <c r="F3817" s="29"/>
      <c r="G3817" s="30">
        <f t="shared" si="70"/>
        <v>1868.9059266666602</v>
      </c>
    </row>
    <row r="3818" spans="1:7" hidden="1" x14ac:dyDescent="0.25">
      <c r="A3818" s="28">
        <v>43800</v>
      </c>
      <c r="B3818" s="27" t="s">
        <v>200</v>
      </c>
      <c r="C3818" s="27" t="s">
        <v>56</v>
      </c>
      <c r="D3818" s="27" t="s">
        <v>6</v>
      </c>
      <c r="E3818" s="27" t="s">
        <v>13</v>
      </c>
      <c r="F3818" s="29"/>
      <c r="G3818" s="30">
        <f t="shared" si="70"/>
        <v>1868.9059266666602</v>
      </c>
    </row>
    <row r="3819" spans="1:7" hidden="1" x14ac:dyDescent="0.25">
      <c r="A3819" s="28">
        <v>43800</v>
      </c>
      <c r="B3819" s="27" t="s">
        <v>200</v>
      </c>
      <c r="C3819" s="27" t="s">
        <v>56</v>
      </c>
      <c r="D3819" s="27" t="s">
        <v>6</v>
      </c>
      <c r="E3819" s="27" t="s">
        <v>14</v>
      </c>
      <c r="F3819" s="29"/>
      <c r="G3819" s="30">
        <f t="shared" si="70"/>
        <v>1868.9059266666602</v>
      </c>
    </row>
    <row r="3820" spans="1:7" hidden="1" x14ac:dyDescent="0.25">
      <c r="A3820" s="28">
        <v>43800</v>
      </c>
      <c r="B3820" s="27" t="s">
        <v>200</v>
      </c>
      <c r="C3820" s="27" t="s">
        <v>56</v>
      </c>
      <c r="D3820" s="27" t="s">
        <v>6</v>
      </c>
      <c r="E3820" s="27" t="s">
        <v>15</v>
      </c>
      <c r="F3820" s="29"/>
      <c r="G3820" s="30">
        <f t="shared" si="70"/>
        <v>1868.9059266666602</v>
      </c>
    </row>
    <row r="3821" spans="1:7" hidden="1" x14ac:dyDescent="0.25">
      <c r="A3821" s="28">
        <v>43800</v>
      </c>
      <c r="B3821" s="27" t="s">
        <v>200</v>
      </c>
      <c r="C3821" s="27" t="s">
        <v>56</v>
      </c>
      <c r="D3821" s="27" t="s">
        <v>6</v>
      </c>
      <c r="E3821" s="27" t="s">
        <v>16</v>
      </c>
      <c r="F3821" s="29"/>
      <c r="G3821" s="30">
        <f t="shared" si="70"/>
        <v>1868.9059266666602</v>
      </c>
    </row>
    <row r="3822" spans="1:7" hidden="1" x14ac:dyDescent="0.25">
      <c r="A3822" s="28">
        <v>43800</v>
      </c>
      <c r="B3822" s="27" t="s">
        <v>200</v>
      </c>
      <c r="C3822" s="27" t="s">
        <v>56</v>
      </c>
      <c r="D3822" s="27" t="s">
        <v>6</v>
      </c>
      <c r="E3822" s="27" t="s">
        <v>17</v>
      </c>
      <c r="F3822" s="29"/>
      <c r="G3822" s="30">
        <f t="shared" si="70"/>
        <v>1868.9059266666602</v>
      </c>
    </row>
    <row r="3823" spans="1:7" hidden="1" x14ac:dyDescent="0.25">
      <c r="A3823" s="28">
        <v>43800</v>
      </c>
      <c r="B3823" s="27" t="s">
        <v>200</v>
      </c>
      <c r="C3823" s="27" t="s">
        <v>56</v>
      </c>
      <c r="D3823" s="27" t="s">
        <v>6</v>
      </c>
      <c r="E3823" s="27" t="s">
        <v>18</v>
      </c>
      <c r="F3823" s="29"/>
      <c r="G3823" s="30">
        <f t="shared" si="70"/>
        <v>1868.9059266666602</v>
      </c>
    </row>
    <row r="3824" spans="1:7" hidden="1" x14ac:dyDescent="0.25">
      <c r="A3824" s="28">
        <v>43800</v>
      </c>
      <c r="B3824" s="27" t="s">
        <v>200</v>
      </c>
      <c r="C3824" s="27" t="s">
        <v>56</v>
      </c>
      <c r="D3824" s="27" t="s">
        <v>6</v>
      </c>
      <c r="E3824" s="27" t="s">
        <v>19</v>
      </c>
      <c r="F3824" s="29"/>
      <c r="G3824" s="30">
        <f t="shared" si="70"/>
        <v>1868.9059266666602</v>
      </c>
    </row>
    <row r="3825" spans="1:7" hidden="1" x14ac:dyDescent="0.25">
      <c r="A3825" s="28">
        <v>43800</v>
      </c>
      <c r="B3825" s="27" t="s">
        <v>200</v>
      </c>
      <c r="C3825" s="27" t="s">
        <v>56</v>
      </c>
      <c r="D3825" s="27" t="s">
        <v>6</v>
      </c>
      <c r="E3825" s="27" t="s">
        <v>20</v>
      </c>
      <c r="F3825" s="29"/>
      <c r="G3825" s="30">
        <f t="shared" si="70"/>
        <v>1868.9059266666602</v>
      </c>
    </row>
    <row r="3826" spans="1:7" hidden="1" x14ac:dyDescent="0.25">
      <c r="A3826" s="28">
        <v>43800</v>
      </c>
      <c r="B3826" s="27" t="s">
        <v>200</v>
      </c>
      <c r="C3826" s="27" t="s">
        <v>56</v>
      </c>
      <c r="D3826" s="27" t="s">
        <v>6</v>
      </c>
      <c r="E3826" s="27" t="s">
        <v>38</v>
      </c>
      <c r="F3826" s="29"/>
      <c r="G3826" s="30">
        <f t="shared" si="70"/>
        <v>1868.9059266666602</v>
      </c>
    </row>
    <row r="3827" spans="1:7" hidden="1" x14ac:dyDescent="0.25">
      <c r="A3827" s="28">
        <v>43800</v>
      </c>
      <c r="B3827" s="27" t="s">
        <v>200</v>
      </c>
      <c r="C3827" s="27" t="s">
        <v>56</v>
      </c>
      <c r="D3827" s="27" t="s">
        <v>6</v>
      </c>
      <c r="E3827" s="27" t="s">
        <v>23</v>
      </c>
      <c r="F3827" s="29"/>
      <c r="G3827" s="30">
        <f t="shared" si="70"/>
        <v>1868.9059266666602</v>
      </c>
    </row>
    <row r="3828" spans="1:7" hidden="1" x14ac:dyDescent="0.25">
      <c r="A3828" s="28">
        <v>43800</v>
      </c>
      <c r="B3828" s="27" t="s">
        <v>200</v>
      </c>
      <c r="C3828" s="27" t="s">
        <v>56</v>
      </c>
      <c r="D3828" s="27" t="s">
        <v>6</v>
      </c>
      <c r="E3828" s="27" t="s">
        <v>22</v>
      </c>
      <c r="F3828" s="29"/>
      <c r="G3828" s="30">
        <f t="shared" si="70"/>
        <v>1868.9059266666602</v>
      </c>
    </row>
    <row r="3829" spans="1:7" hidden="1" x14ac:dyDescent="0.25">
      <c r="A3829" s="28">
        <v>43800</v>
      </c>
      <c r="B3829" s="27" t="s">
        <v>200</v>
      </c>
      <c r="C3829" s="27" t="s">
        <v>56</v>
      </c>
      <c r="D3829" s="27" t="s">
        <v>6</v>
      </c>
      <c r="E3829" s="27" t="s">
        <v>204</v>
      </c>
      <c r="F3829" s="29"/>
      <c r="G3829" s="30">
        <f t="shared" si="70"/>
        <v>1868.9059266666602</v>
      </c>
    </row>
    <row r="3830" spans="1:7" hidden="1" x14ac:dyDescent="0.25">
      <c r="A3830" s="28">
        <v>43800</v>
      </c>
      <c r="B3830" s="27" t="s">
        <v>200</v>
      </c>
      <c r="C3830" s="27" t="s">
        <v>56</v>
      </c>
      <c r="D3830" s="27" t="s">
        <v>6</v>
      </c>
      <c r="E3830" s="27" t="s">
        <v>205</v>
      </c>
      <c r="F3830" s="29"/>
      <c r="G3830" s="30">
        <f t="shared" si="70"/>
        <v>1868.9059266666602</v>
      </c>
    </row>
    <row r="3831" spans="1:7" hidden="1" x14ac:dyDescent="0.25">
      <c r="A3831" s="28">
        <v>43800</v>
      </c>
      <c r="B3831" s="27" t="s">
        <v>200</v>
      </c>
      <c r="C3831" s="27" t="s">
        <v>182</v>
      </c>
      <c r="D3831" s="27" t="s">
        <v>7</v>
      </c>
      <c r="E3831" s="27" t="s">
        <v>8</v>
      </c>
      <c r="F3831" s="29"/>
      <c r="G3831" s="30">
        <f t="shared" ref="G3831:G3848" si="71">5184.04/18</f>
        <v>288.0022222222222</v>
      </c>
    </row>
    <row r="3832" spans="1:7" hidden="1" x14ac:dyDescent="0.25">
      <c r="A3832" s="28">
        <v>43800</v>
      </c>
      <c r="B3832" s="27" t="s">
        <v>200</v>
      </c>
      <c r="C3832" s="27" t="s">
        <v>182</v>
      </c>
      <c r="D3832" s="27" t="s">
        <v>7</v>
      </c>
      <c r="E3832" s="27" t="s">
        <v>9</v>
      </c>
      <c r="F3832" s="29"/>
      <c r="G3832" s="30">
        <f t="shared" si="71"/>
        <v>288.0022222222222</v>
      </c>
    </row>
    <row r="3833" spans="1:7" hidden="1" x14ac:dyDescent="0.25">
      <c r="A3833" s="28">
        <v>43800</v>
      </c>
      <c r="B3833" s="27" t="s">
        <v>200</v>
      </c>
      <c r="C3833" s="27" t="s">
        <v>182</v>
      </c>
      <c r="D3833" s="27" t="s">
        <v>7</v>
      </c>
      <c r="E3833" s="27" t="s">
        <v>64</v>
      </c>
      <c r="F3833" s="29"/>
      <c r="G3833" s="30">
        <f t="shared" si="71"/>
        <v>288.0022222222222</v>
      </c>
    </row>
    <row r="3834" spans="1:7" hidden="1" x14ac:dyDescent="0.25">
      <c r="A3834" s="28">
        <v>43800</v>
      </c>
      <c r="B3834" s="27" t="s">
        <v>200</v>
      </c>
      <c r="C3834" s="27" t="s">
        <v>182</v>
      </c>
      <c r="D3834" s="27" t="s">
        <v>7</v>
      </c>
      <c r="E3834" s="27" t="s">
        <v>21</v>
      </c>
      <c r="F3834" s="29"/>
      <c r="G3834" s="30">
        <f t="shared" si="71"/>
        <v>288.0022222222222</v>
      </c>
    </row>
    <row r="3835" spans="1:7" hidden="1" x14ac:dyDescent="0.25">
      <c r="A3835" s="28">
        <v>43800</v>
      </c>
      <c r="B3835" s="27" t="s">
        <v>200</v>
      </c>
      <c r="C3835" s="27" t="s">
        <v>182</v>
      </c>
      <c r="D3835" s="27" t="s">
        <v>7</v>
      </c>
      <c r="E3835" s="27" t="s">
        <v>10</v>
      </c>
      <c r="F3835" s="29"/>
      <c r="G3835" s="30">
        <f t="shared" si="71"/>
        <v>288.0022222222222</v>
      </c>
    </row>
    <row r="3836" spans="1:7" hidden="1" x14ac:dyDescent="0.25">
      <c r="A3836" s="28">
        <v>43800</v>
      </c>
      <c r="B3836" s="27" t="s">
        <v>200</v>
      </c>
      <c r="C3836" s="27" t="s">
        <v>182</v>
      </c>
      <c r="D3836" s="27" t="s">
        <v>7</v>
      </c>
      <c r="E3836" s="27" t="s">
        <v>11</v>
      </c>
      <c r="F3836" s="29"/>
      <c r="G3836" s="30">
        <f t="shared" si="71"/>
        <v>288.0022222222222</v>
      </c>
    </row>
    <row r="3837" spans="1:7" hidden="1" x14ac:dyDescent="0.25">
      <c r="A3837" s="28">
        <v>43800</v>
      </c>
      <c r="B3837" s="27" t="s">
        <v>200</v>
      </c>
      <c r="C3837" s="27" t="s">
        <v>182</v>
      </c>
      <c r="D3837" s="27" t="s">
        <v>7</v>
      </c>
      <c r="E3837" s="27" t="s">
        <v>12</v>
      </c>
      <c r="F3837" s="29"/>
      <c r="G3837" s="30">
        <f t="shared" si="71"/>
        <v>288.0022222222222</v>
      </c>
    </row>
    <row r="3838" spans="1:7" hidden="1" x14ac:dyDescent="0.25">
      <c r="A3838" s="28">
        <v>43800</v>
      </c>
      <c r="B3838" s="27" t="s">
        <v>200</v>
      </c>
      <c r="C3838" s="27" t="s">
        <v>182</v>
      </c>
      <c r="D3838" s="27" t="s">
        <v>7</v>
      </c>
      <c r="E3838" s="27" t="s">
        <v>13</v>
      </c>
      <c r="F3838" s="29"/>
      <c r="G3838" s="30">
        <f t="shared" si="71"/>
        <v>288.0022222222222</v>
      </c>
    </row>
    <row r="3839" spans="1:7" hidden="1" x14ac:dyDescent="0.25">
      <c r="A3839" s="28">
        <v>43800</v>
      </c>
      <c r="B3839" s="27" t="s">
        <v>200</v>
      </c>
      <c r="C3839" s="27" t="s">
        <v>182</v>
      </c>
      <c r="D3839" s="27" t="s">
        <v>7</v>
      </c>
      <c r="E3839" s="27" t="s">
        <v>14</v>
      </c>
      <c r="F3839" s="29"/>
      <c r="G3839" s="30">
        <f t="shared" si="71"/>
        <v>288.0022222222222</v>
      </c>
    </row>
    <row r="3840" spans="1:7" hidden="1" x14ac:dyDescent="0.25">
      <c r="A3840" s="28">
        <v>43800</v>
      </c>
      <c r="B3840" s="27" t="s">
        <v>200</v>
      </c>
      <c r="C3840" s="27" t="s">
        <v>182</v>
      </c>
      <c r="D3840" s="27" t="s">
        <v>7</v>
      </c>
      <c r="E3840" s="27" t="s">
        <v>15</v>
      </c>
      <c r="F3840" s="29"/>
      <c r="G3840" s="30">
        <f t="shared" si="71"/>
        <v>288.0022222222222</v>
      </c>
    </row>
    <row r="3841" spans="1:7" hidden="1" x14ac:dyDescent="0.25">
      <c r="A3841" s="28">
        <v>43800</v>
      </c>
      <c r="B3841" s="27" t="s">
        <v>200</v>
      </c>
      <c r="C3841" s="27" t="s">
        <v>182</v>
      </c>
      <c r="D3841" s="27" t="s">
        <v>7</v>
      </c>
      <c r="E3841" s="27" t="s">
        <v>16</v>
      </c>
      <c r="F3841" s="29"/>
      <c r="G3841" s="30">
        <f t="shared" si="71"/>
        <v>288.0022222222222</v>
      </c>
    </row>
    <row r="3842" spans="1:7" hidden="1" x14ac:dyDescent="0.25">
      <c r="A3842" s="28">
        <v>43800</v>
      </c>
      <c r="B3842" s="27" t="s">
        <v>200</v>
      </c>
      <c r="C3842" s="27" t="s">
        <v>182</v>
      </c>
      <c r="D3842" s="27" t="s">
        <v>7</v>
      </c>
      <c r="E3842" s="27" t="s">
        <v>17</v>
      </c>
      <c r="F3842" s="29"/>
      <c r="G3842" s="30">
        <f t="shared" si="71"/>
        <v>288.0022222222222</v>
      </c>
    </row>
    <row r="3843" spans="1:7" hidden="1" x14ac:dyDescent="0.25">
      <c r="A3843" s="28">
        <v>43800</v>
      </c>
      <c r="B3843" s="27" t="s">
        <v>200</v>
      </c>
      <c r="C3843" s="27" t="s">
        <v>182</v>
      </c>
      <c r="D3843" s="27" t="s">
        <v>7</v>
      </c>
      <c r="E3843" s="27" t="s">
        <v>18</v>
      </c>
      <c r="F3843" s="29"/>
      <c r="G3843" s="30">
        <f t="shared" si="71"/>
        <v>288.0022222222222</v>
      </c>
    </row>
    <row r="3844" spans="1:7" hidden="1" x14ac:dyDescent="0.25">
      <c r="A3844" s="28">
        <v>43800</v>
      </c>
      <c r="B3844" s="27" t="s">
        <v>200</v>
      </c>
      <c r="C3844" s="27" t="s">
        <v>182</v>
      </c>
      <c r="D3844" s="27" t="s">
        <v>7</v>
      </c>
      <c r="E3844" s="27" t="s">
        <v>19</v>
      </c>
      <c r="F3844" s="29"/>
      <c r="G3844" s="30">
        <f t="shared" si="71"/>
        <v>288.0022222222222</v>
      </c>
    </row>
    <row r="3845" spans="1:7" hidden="1" x14ac:dyDescent="0.25">
      <c r="A3845" s="28">
        <v>43800</v>
      </c>
      <c r="B3845" s="27" t="s">
        <v>200</v>
      </c>
      <c r="C3845" s="27" t="s">
        <v>182</v>
      </c>
      <c r="D3845" s="27" t="s">
        <v>7</v>
      </c>
      <c r="E3845" s="27" t="s">
        <v>38</v>
      </c>
      <c r="F3845" s="29"/>
      <c r="G3845" s="30">
        <f t="shared" si="71"/>
        <v>288.0022222222222</v>
      </c>
    </row>
    <row r="3846" spans="1:7" hidden="1" x14ac:dyDescent="0.25">
      <c r="A3846" s="28">
        <v>43800</v>
      </c>
      <c r="B3846" s="27" t="s">
        <v>200</v>
      </c>
      <c r="C3846" s="27" t="s">
        <v>182</v>
      </c>
      <c r="D3846" s="27" t="s">
        <v>7</v>
      </c>
      <c r="E3846" s="27" t="s">
        <v>23</v>
      </c>
      <c r="F3846" s="29"/>
      <c r="G3846" s="30">
        <f t="shared" si="71"/>
        <v>288.0022222222222</v>
      </c>
    </row>
    <row r="3847" spans="1:7" hidden="1" x14ac:dyDescent="0.25">
      <c r="A3847" s="28">
        <v>43800</v>
      </c>
      <c r="B3847" s="27" t="s">
        <v>200</v>
      </c>
      <c r="C3847" s="27" t="s">
        <v>182</v>
      </c>
      <c r="D3847" s="27" t="s">
        <v>7</v>
      </c>
      <c r="E3847" s="27" t="s">
        <v>22</v>
      </c>
      <c r="F3847" s="29"/>
      <c r="G3847" s="30">
        <f t="shared" si="71"/>
        <v>288.0022222222222</v>
      </c>
    </row>
    <row r="3848" spans="1:7" hidden="1" x14ac:dyDescent="0.25">
      <c r="A3848" s="28">
        <v>43800</v>
      </c>
      <c r="B3848" s="27" t="s">
        <v>200</v>
      </c>
      <c r="C3848" s="27" t="s">
        <v>182</v>
      </c>
      <c r="D3848" s="27" t="s">
        <v>7</v>
      </c>
      <c r="E3848" s="27" t="s">
        <v>37</v>
      </c>
      <c r="F3848" s="29"/>
      <c r="G3848" s="30">
        <f t="shared" si="71"/>
        <v>288.0022222222222</v>
      </c>
    </row>
    <row r="3849" spans="1:7" hidden="1" x14ac:dyDescent="0.25">
      <c r="A3849" s="28">
        <v>43800</v>
      </c>
      <c r="B3849" s="27" t="s">
        <v>35</v>
      </c>
      <c r="C3849" s="27" t="s">
        <v>50</v>
      </c>
      <c r="D3849" s="27" t="s">
        <v>6</v>
      </c>
      <c r="E3849" s="27" t="s">
        <v>8</v>
      </c>
      <c r="F3849" s="29"/>
      <c r="G3849" s="30">
        <v>448.17055555555555</v>
      </c>
    </row>
    <row r="3850" spans="1:7" hidden="1" x14ac:dyDescent="0.25">
      <c r="A3850" s="28">
        <v>43800</v>
      </c>
      <c r="B3850" s="27" t="s">
        <v>35</v>
      </c>
      <c r="C3850" s="27" t="s">
        <v>50</v>
      </c>
      <c r="D3850" s="27" t="s">
        <v>6</v>
      </c>
      <c r="E3850" s="27" t="s">
        <v>9</v>
      </c>
      <c r="F3850" s="29"/>
      <c r="G3850" s="30">
        <v>448.17055555555555</v>
      </c>
    </row>
    <row r="3851" spans="1:7" hidden="1" x14ac:dyDescent="0.25">
      <c r="A3851" s="28">
        <v>43800</v>
      </c>
      <c r="B3851" s="27" t="s">
        <v>35</v>
      </c>
      <c r="C3851" s="27" t="s">
        <v>50</v>
      </c>
      <c r="D3851" s="27" t="s">
        <v>6</v>
      </c>
      <c r="E3851" s="27" t="s">
        <v>64</v>
      </c>
      <c r="F3851" s="29"/>
      <c r="G3851" s="30">
        <v>448.17055555555555</v>
      </c>
    </row>
    <row r="3852" spans="1:7" hidden="1" x14ac:dyDescent="0.25">
      <c r="A3852" s="28">
        <v>43800</v>
      </c>
      <c r="B3852" s="27" t="s">
        <v>35</v>
      </c>
      <c r="C3852" s="27" t="s">
        <v>50</v>
      </c>
      <c r="D3852" s="27" t="s">
        <v>6</v>
      </c>
      <c r="E3852" s="27" t="s">
        <v>21</v>
      </c>
      <c r="F3852" s="29"/>
      <c r="G3852" s="30">
        <v>448.17055555555555</v>
      </c>
    </row>
    <row r="3853" spans="1:7" hidden="1" x14ac:dyDescent="0.25">
      <c r="A3853" s="28">
        <v>43800</v>
      </c>
      <c r="B3853" s="27" t="s">
        <v>35</v>
      </c>
      <c r="C3853" s="27" t="s">
        <v>50</v>
      </c>
      <c r="D3853" s="27" t="s">
        <v>6</v>
      </c>
      <c r="E3853" s="27" t="s">
        <v>10</v>
      </c>
      <c r="F3853" s="29"/>
      <c r="G3853" s="30">
        <v>448.17055555555555</v>
      </c>
    </row>
    <row r="3854" spans="1:7" hidden="1" x14ac:dyDescent="0.25">
      <c r="A3854" s="28">
        <v>43800</v>
      </c>
      <c r="B3854" s="27" t="s">
        <v>35</v>
      </c>
      <c r="C3854" s="27" t="s">
        <v>50</v>
      </c>
      <c r="D3854" s="27" t="s">
        <v>6</v>
      </c>
      <c r="E3854" s="27" t="s">
        <v>11</v>
      </c>
      <c r="F3854" s="29"/>
      <c r="G3854" s="30">
        <v>448.17055555555555</v>
      </c>
    </row>
    <row r="3855" spans="1:7" hidden="1" x14ac:dyDescent="0.25">
      <c r="A3855" s="28">
        <v>43800</v>
      </c>
      <c r="B3855" s="27" t="s">
        <v>35</v>
      </c>
      <c r="C3855" s="27" t="s">
        <v>50</v>
      </c>
      <c r="D3855" s="27" t="s">
        <v>6</v>
      </c>
      <c r="E3855" s="27" t="s">
        <v>12</v>
      </c>
      <c r="F3855" s="29"/>
      <c r="G3855" s="30">
        <v>448.17055555555555</v>
      </c>
    </row>
    <row r="3856" spans="1:7" hidden="1" x14ac:dyDescent="0.25">
      <c r="A3856" s="28">
        <v>43800</v>
      </c>
      <c r="B3856" s="27" t="s">
        <v>35</v>
      </c>
      <c r="C3856" s="27" t="s">
        <v>50</v>
      </c>
      <c r="D3856" s="27" t="s">
        <v>6</v>
      </c>
      <c r="E3856" s="27" t="s">
        <v>13</v>
      </c>
      <c r="F3856" s="29"/>
      <c r="G3856" s="30">
        <v>448.17055555555555</v>
      </c>
    </row>
    <row r="3857" spans="1:7" hidden="1" x14ac:dyDescent="0.25">
      <c r="A3857" s="28">
        <v>43800</v>
      </c>
      <c r="B3857" s="27" t="s">
        <v>35</v>
      </c>
      <c r="C3857" s="27" t="s">
        <v>50</v>
      </c>
      <c r="D3857" s="27" t="s">
        <v>6</v>
      </c>
      <c r="E3857" s="27" t="s">
        <v>14</v>
      </c>
      <c r="F3857" s="29"/>
      <c r="G3857" s="30">
        <v>448.17055555555555</v>
      </c>
    </row>
    <row r="3858" spans="1:7" hidden="1" x14ac:dyDescent="0.25">
      <c r="A3858" s="28">
        <v>43800</v>
      </c>
      <c r="B3858" s="27" t="s">
        <v>35</v>
      </c>
      <c r="C3858" s="27" t="s">
        <v>50</v>
      </c>
      <c r="D3858" s="27" t="s">
        <v>6</v>
      </c>
      <c r="E3858" s="27" t="s">
        <v>15</v>
      </c>
      <c r="F3858" s="29"/>
      <c r="G3858" s="30">
        <v>448.17055555555555</v>
      </c>
    </row>
    <row r="3859" spans="1:7" hidden="1" x14ac:dyDescent="0.25">
      <c r="A3859" s="28">
        <v>43800</v>
      </c>
      <c r="B3859" s="27" t="s">
        <v>35</v>
      </c>
      <c r="C3859" s="27" t="s">
        <v>50</v>
      </c>
      <c r="D3859" s="27" t="s">
        <v>6</v>
      </c>
      <c r="E3859" s="27" t="s">
        <v>16</v>
      </c>
      <c r="F3859" s="29"/>
      <c r="G3859" s="30">
        <v>448.17055555555555</v>
      </c>
    </row>
    <row r="3860" spans="1:7" hidden="1" x14ac:dyDescent="0.25">
      <c r="A3860" s="28">
        <v>43800</v>
      </c>
      <c r="B3860" s="27" t="s">
        <v>35</v>
      </c>
      <c r="C3860" s="27" t="s">
        <v>50</v>
      </c>
      <c r="D3860" s="27" t="s">
        <v>6</v>
      </c>
      <c r="E3860" s="27" t="s">
        <v>17</v>
      </c>
      <c r="F3860" s="29"/>
      <c r="G3860" s="30">
        <v>448.17055555555555</v>
      </c>
    </row>
    <row r="3861" spans="1:7" hidden="1" x14ac:dyDescent="0.25">
      <c r="A3861" s="28">
        <v>43800</v>
      </c>
      <c r="B3861" s="27" t="s">
        <v>35</v>
      </c>
      <c r="C3861" s="27" t="s">
        <v>50</v>
      </c>
      <c r="D3861" s="27" t="s">
        <v>6</v>
      </c>
      <c r="E3861" s="27" t="s">
        <v>18</v>
      </c>
      <c r="F3861" s="29"/>
      <c r="G3861" s="30">
        <v>448.17055555555555</v>
      </c>
    </row>
    <row r="3862" spans="1:7" hidden="1" x14ac:dyDescent="0.25">
      <c r="A3862" s="28">
        <v>43800</v>
      </c>
      <c r="B3862" s="27" t="s">
        <v>35</v>
      </c>
      <c r="C3862" s="27" t="s">
        <v>50</v>
      </c>
      <c r="D3862" s="27" t="s">
        <v>6</v>
      </c>
      <c r="E3862" s="27" t="s">
        <v>19</v>
      </c>
      <c r="F3862" s="29"/>
      <c r="G3862" s="30">
        <v>448.17055555555555</v>
      </c>
    </row>
    <row r="3863" spans="1:7" hidden="1" x14ac:dyDescent="0.25">
      <c r="A3863" s="28">
        <v>43800</v>
      </c>
      <c r="B3863" s="27" t="s">
        <v>35</v>
      </c>
      <c r="C3863" s="27" t="s">
        <v>50</v>
      </c>
      <c r="D3863" s="27" t="s">
        <v>6</v>
      </c>
      <c r="E3863" s="27" t="s">
        <v>20</v>
      </c>
      <c r="F3863" s="29"/>
      <c r="G3863" s="30">
        <v>448.17055555555555</v>
      </c>
    </row>
    <row r="3864" spans="1:7" hidden="1" x14ac:dyDescent="0.25">
      <c r="A3864" s="28">
        <v>43800</v>
      </c>
      <c r="B3864" s="27" t="s">
        <v>35</v>
      </c>
      <c r="C3864" s="27" t="s">
        <v>50</v>
      </c>
      <c r="D3864" s="27" t="s">
        <v>6</v>
      </c>
      <c r="E3864" s="27" t="s">
        <v>38</v>
      </c>
      <c r="F3864" s="29"/>
      <c r="G3864" s="30">
        <v>448.17055555555555</v>
      </c>
    </row>
    <row r="3865" spans="1:7" hidden="1" x14ac:dyDescent="0.25">
      <c r="A3865" s="28">
        <v>43800</v>
      </c>
      <c r="B3865" s="27" t="s">
        <v>35</v>
      </c>
      <c r="C3865" s="27" t="s">
        <v>50</v>
      </c>
      <c r="D3865" s="27" t="s">
        <v>6</v>
      </c>
      <c r="E3865" s="27" t="s">
        <v>23</v>
      </c>
      <c r="F3865" s="29"/>
      <c r="G3865" s="30">
        <v>448.17055555555555</v>
      </c>
    </row>
    <row r="3866" spans="1:7" hidden="1" x14ac:dyDescent="0.25">
      <c r="A3866" s="28">
        <v>43800</v>
      </c>
      <c r="B3866" s="27" t="s">
        <v>35</v>
      </c>
      <c r="C3866" s="27" t="s">
        <v>50</v>
      </c>
      <c r="D3866" s="27" t="s">
        <v>6</v>
      </c>
      <c r="E3866" s="27" t="s">
        <v>22</v>
      </c>
      <c r="F3866" s="29"/>
      <c r="G3866" s="30">
        <v>448.17055555555555</v>
      </c>
    </row>
    <row r="3867" spans="1:7" hidden="1" x14ac:dyDescent="0.25">
      <c r="A3867" s="28">
        <v>43800</v>
      </c>
      <c r="B3867" s="27" t="s">
        <v>34</v>
      </c>
      <c r="C3867" s="27" t="s">
        <v>50</v>
      </c>
      <c r="D3867" s="27" t="s">
        <v>6</v>
      </c>
      <c r="E3867" s="27" t="s">
        <v>8</v>
      </c>
      <c r="F3867" s="29"/>
      <c r="G3867" s="30">
        <v>552.0533333333334</v>
      </c>
    </row>
    <row r="3868" spans="1:7" hidden="1" x14ac:dyDescent="0.25">
      <c r="A3868" s="28">
        <v>43800</v>
      </c>
      <c r="B3868" s="27" t="s">
        <v>34</v>
      </c>
      <c r="C3868" s="27" t="s">
        <v>50</v>
      </c>
      <c r="D3868" s="27" t="s">
        <v>6</v>
      </c>
      <c r="E3868" s="27" t="s">
        <v>9</v>
      </c>
      <c r="F3868" s="29"/>
      <c r="G3868" s="30">
        <v>864.49749999999995</v>
      </c>
    </row>
    <row r="3869" spans="1:7" hidden="1" x14ac:dyDescent="0.25">
      <c r="A3869" s="28">
        <v>43800</v>
      </c>
      <c r="B3869" s="27" t="s">
        <v>34</v>
      </c>
      <c r="C3869" s="27" t="s">
        <v>50</v>
      </c>
      <c r="D3869" s="27" t="s">
        <v>6</v>
      </c>
      <c r="E3869" s="27" t="s">
        <v>64</v>
      </c>
      <c r="F3869" s="29"/>
      <c r="G3869" s="30">
        <v>698.10416666666663</v>
      </c>
    </row>
    <row r="3870" spans="1:7" hidden="1" x14ac:dyDescent="0.25">
      <c r="A3870" s="28">
        <v>43800</v>
      </c>
      <c r="B3870" s="27" t="s">
        <v>34</v>
      </c>
      <c r="C3870" s="27" t="s">
        <v>50</v>
      </c>
      <c r="D3870" s="27" t="s">
        <v>6</v>
      </c>
      <c r="E3870" s="27" t="s">
        <v>21</v>
      </c>
      <c r="F3870" s="29"/>
      <c r="G3870" s="30">
        <v>656.62166666666667</v>
      </c>
    </row>
    <row r="3871" spans="1:7" hidden="1" x14ac:dyDescent="0.25">
      <c r="A3871" s="28">
        <v>43800</v>
      </c>
      <c r="B3871" s="27" t="s">
        <v>34</v>
      </c>
      <c r="C3871" s="27" t="s">
        <v>50</v>
      </c>
      <c r="D3871" s="27" t="s">
        <v>6</v>
      </c>
      <c r="E3871" s="27" t="s">
        <v>10</v>
      </c>
      <c r="F3871" s="29"/>
      <c r="G3871" s="30">
        <v>832.49083333333328</v>
      </c>
    </row>
    <row r="3872" spans="1:7" hidden="1" x14ac:dyDescent="0.25">
      <c r="A3872" s="28">
        <v>43800</v>
      </c>
      <c r="B3872" s="27" t="s">
        <v>34</v>
      </c>
      <c r="C3872" s="27" t="s">
        <v>50</v>
      </c>
      <c r="D3872" s="27" t="s">
        <v>6</v>
      </c>
      <c r="E3872" s="27" t="s">
        <v>11</v>
      </c>
      <c r="F3872" s="29"/>
      <c r="G3872" s="30">
        <v>418.92500000000001</v>
      </c>
    </row>
    <row r="3873" spans="1:7" hidden="1" x14ac:dyDescent="0.25">
      <c r="A3873" s="28">
        <v>43800</v>
      </c>
      <c r="B3873" s="27" t="s">
        <v>34</v>
      </c>
      <c r="C3873" s="27" t="s">
        <v>50</v>
      </c>
      <c r="D3873" s="27" t="s">
        <v>6</v>
      </c>
      <c r="E3873" s="27" t="s">
        <v>12</v>
      </c>
      <c r="F3873" s="29"/>
      <c r="G3873" s="30">
        <v>388.7</v>
      </c>
    </row>
    <row r="3874" spans="1:7" hidden="1" x14ac:dyDescent="0.25">
      <c r="A3874" s="28">
        <v>43800</v>
      </c>
      <c r="B3874" s="27" t="s">
        <v>34</v>
      </c>
      <c r="C3874" s="27" t="s">
        <v>50</v>
      </c>
      <c r="D3874" s="27" t="s">
        <v>6</v>
      </c>
      <c r="E3874" s="27" t="s">
        <v>13</v>
      </c>
      <c r="F3874" s="29"/>
      <c r="G3874" s="30">
        <v>537.06416666666667</v>
      </c>
    </row>
    <row r="3875" spans="1:7" hidden="1" x14ac:dyDescent="0.25">
      <c r="A3875" s="28">
        <v>43800</v>
      </c>
      <c r="B3875" s="27" t="s">
        <v>34</v>
      </c>
      <c r="C3875" s="27" t="s">
        <v>50</v>
      </c>
      <c r="D3875" s="27" t="s">
        <v>6</v>
      </c>
      <c r="E3875" s="27" t="s">
        <v>14</v>
      </c>
      <c r="F3875" s="29"/>
      <c r="G3875" s="30">
        <v>165.58333333333334</v>
      </c>
    </row>
    <row r="3876" spans="1:7" hidden="1" x14ac:dyDescent="0.25">
      <c r="A3876" s="28">
        <v>43800</v>
      </c>
      <c r="B3876" s="27" t="s">
        <v>34</v>
      </c>
      <c r="C3876" s="27" t="s">
        <v>50</v>
      </c>
      <c r="D3876" s="27" t="s">
        <v>6</v>
      </c>
      <c r="E3876" s="27" t="s">
        <v>15</v>
      </c>
      <c r="F3876" s="29"/>
      <c r="G3876" s="30">
        <v>409.28999999999996</v>
      </c>
    </row>
    <row r="3877" spans="1:7" hidden="1" x14ac:dyDescent="0.25">
      <c r="A3877" s="28">
        <v>43800</v>
      </c>
      <c r="B3877" s="27" t="s">
        <v>34</v>
      </c>
      <c r="C3877" s="27" t="s">
        <v>50</v>
      </c>
      <c r="D3877" s="27" t="s">
        <v>6</v>
      </c>
      <c r="E3877" s="27" t="s">
        <v>16</v>
      </c>
      <c r="F3877" s="29"/>
      <c r="G3877" s="30">
        <v>657.78499999999997</v>
      </c>
    </row>
    <row r="3878" spans="1:7" hidden="1" x14ac:dyDescent="0.25">
      <c r="A3878" s="28">
        <v>43800</v>
      </c>
      <c r="B3878" s="27" t="s">
        <v>34</v>
      </c>
      <c r="C3878" s="27" t="s">
        <v>50</v>
      </c>
      <c r="D3878" s="27" t="s">
        <v>6</v>
      </c>
      <c r="E3878" s="27" t="s">
        <v>17</v>
      </c>
      <c r="F3878" s="29"/>
      <c r="G3878" s="30">
        <v>835.00750000000005</v>
      </c>
    </row>
    <row r="3879" spans="1:7" hidden="1" x14ac:dyDescent="0.25">
      <c r="A3879" s="28">
        <v>43800</v>
      </c>
      <c r="B3879" s="27" t="s">
        <v>34</v>
      </c>
      <c r="C3879" s="27" t="s">
        <v>50</v>
      </c>
      <c r="D3879" s="27" t="s">
        <v>6</v>
      </c>
      <c r="E3879" s="27" t="s">
        <v>18</v>
      </c>
      <c r="F3879" s="29"/>
      <c r="G3879" s="30">
        <v>369.30749999999995</v>
      </c>
    </row>
    <row r="3880" spans="1:7" hidden="1" x14ac:dyDescent="0.25">
      <c r="A3880" s="28">
        <v>43800</v>
      </c>
      <c r="B3880" s="27" t="s">
        <v>34</v>
      </c>
      <c r="C3880" s="27" t="s">
        <v>50</v>
      </c>
      <c r="D3880" s="27" t="s">
        <v>6</v>
      </c>
      <c r="E3880" s="27" t="s">
        <v>19</v>
      </c>
      <c r="F3880" s="29"/>
      <c r="G3880" s="30">
        <v>289.51</v>
      </c>
    </row>
    <row r="3881" spans="1:7" hidden="1" x14ac:dyDescent="0.25">
      <c r="A3881" s="28">
        <v>43800</v>
      </c>
      <c r="B3881" s="27" t="s">
        <v>34</v>
      </c>
      <c r="C3881" s="27" t="s">
        <v>50</v>
      </c>
      <c r="D3881" s="27" t="s">
        <v>6</v>
      </c>
      <c r="E3881" s="27" t="s">
        <v>20</v>
      </c>
      <c r="F3881" s="29"/>
      <c r="G3881" s="30">
        <v>550.26900000000001</v>
      </c>
    </row>
    <row r="3882" spans="1:7" hidden="1" x14ac:dyDescent="0.25">
      <c r="A3882" s="28">
        <v>43800</v>
      </c>
      <c r="B3882" s="27" t="s">
        <v>34</v>
      </c>
      <c r="C3882" s="27" t="s">
        <v>50</v>
      </c>
      <c r="D3882" s="27" t="s">
        <v>6</v>
      </c>
      <c r="E3882" s="27" t="s">
        <v>38</v>
      </c>
      <c r="F3882" s="29"/>
      <c r="G3882" s="30">
        <v>10.922000000000001</v>
      </c>
    </row>
    <row r="3883" spans="1:7" hidden="1" x14ac:dyDescent="0.25">
      <c r="A3883" s="28">
        <v>43800</v>
      </c>
      <c r="B3883" s="27" t="s">
        <v>34</v>
      </c>
      <c r="C3883" s="27" t="s">
        <v>50</v>
      </c>
      <c r="D3883" s="27" t="s">
        <v>6</v>
      </c>
      <c r="E3883" s="27" t="s">
        <v>23</v>
      </c>
      <c r="F3883" s="29"/>
      <c r="G3883" s="30">
        <v>1219.03</v>
      </c>
    </row>
    <row r="3884" spans="1:7" hidden="1" x14ac:dyDescent="0.25">
      <c r="A3884" s="28">
        <v>43800</v>
      </c>
      <c r="B3884" s="27" t="s">
        <v>34</v>
      </c>
      <c r="C3884" s="27" t="s">
        <v>50</v>
      </c>
      <c r="D3884" s="27" t="s">
        <v>6</v>
      </c>
      <c r="E3884" s="27" t="s">
        <v>22</v>
      </c>
      <c r="F3884" s="29"/>
      <c r="G3884" s="30">
        <v>1708.9799999999998</v>
      </c>
    </row>
    <row r="3885" spans="1:7" hidden="1" x14ac:dyDescent="0.25">
      <c r="A3885" s="28">
        <v>43800</v>
      </c>
      <c r="B3885" s="27" t="s">
        <v>34</v>
      </c>
      <c r="C3885" s="27" t="s">
        <v>50</v>
      </c>
      <c r="D3885" s="27" t="s">
        <v>6</v>
      </c>
      <c r="E3885" s="27" t="s">
        <v>204</v>
      </c>
      <c r="F3885" s="29"/>
      <c r="G3885" s="30">
        <v>164.41666666666666</v>
      </c>
    </row>
    <row r="3886" spans="1:7" hidden="1" x14ac:dyDescent="0.25">
      <c r="A3886" s="28">
        <v>43831</v>
      </c>
      <c r="B3886" s="27" t="s">
        <v>33</v>
      </c>
      <c r="C3886" s="27" t="s">
        <v>50</v>
      </c>
      <c r="D3886" s="27" t="s">
        <v>7</v>
      </c>
      <c r="E3886" s="27" t="s">
        <v>8</v>
      </c>
      <c r="F3886" s="29"/>
      <c r="G3886" s="30">
        <v>2038.0227777777779</v>
      </c>
    </row>
    <row r="3887" spans="1:7" hidden="1" x14ac:dyDescent="0.25">
      <c r="A3887" s="28">
        <v>43831</v>
      </c>
      <c r="B3887" s="27" t="s">
        <v>33</v>
      </c>
      <c r="C3887" s="27" t="s">
        <v>50</v>
      </c>
      <c r="D3887" s="27" t="s">
        <v>7</v>
      </c>
      <c r="E3887" s="27" t="s">
        <v>9</v>
      </c>
      <c r="F3887" s="29"/>
      <c r="G3887" s="30">
        <v>2038.0227777777779</v>
      </c>
    </row>
    <row r="3888" spans="1:7" hidden="1" x14ac:dyDescent="0.25">
      <c r="A3888" s="28">
        <v>43831</v>
      </c>
      <c r="B3888" s="27" t="s">
        <v>33</v>
      </c>
      <c r="C3888" s="27" t="s">
        <v>50</v>
      </c>
      <c r="D3888" s="27" t="s">
        <v>7</v>
      </c>
      <c r="E3888" s="27" t="s">
        <v>22</v>
      </c>
      <c r="F3888" s="29"/>
      <c r="G3888" s="30">
        <v>2038.0227777777779</v>
      </c>
    </row>
    <row r="3889" spans="1:7" hidden="1" x14ac:dyDescent="0.25">
      <c r="A3889" s="28">
        <v>43831</v>
      </c>
      <c r="B3889" s="27" t="s">
        <v>33</v>
      </c>
      <c r="C3889" s="27" t="s">
        <v>50</v>
      </c>
      <c r="D3889" s="27" t="s">
        <v>7</v>
      </c>
      <c r="E3889" s="27" t="s">
        <v>64</v>
      </c>
      <c r="F3889" s="29"/>
      <c r="G3889" s="30">
        <v>2038.0227777777779</v>
      </c>
    </row>
    <row r="3890" spans="1:7" hidden="1" x14ac:dyDescent="0.25">
      <c r="A3890" s="28">
        <v>43831</v>
      </c>
      <c r="B3890" s="27" t="s">
        <v>33</v>
      </c>
      <c r="C3890" s="27" t="s">
        <v>50</v>
      </c>
      <c r="D3890" s="27" t="s">
        <v>7</v>
      </c>
      <c r="E3890" s="27" t="s">
        <v>21</v>
      </c>
      <c r="F3890" s="29"/>
      <c r="G3890" s="30">
        <v>2038.0227777777779</v>
      </c>
    </row>
    <row r="3891" spans="1:7" hidden="1" x14ac:dyDescent="0.25">
      <c r="A3891" s="28">
        <v>43831</v>
      </c>
      <c r="B3891" s="27" t="s">
        <v>33</v>
      </c>
      <c r="C3891" s="27" t="s">
        <v>50</v>
      </c>
      <c r="D3891" s="27" t="s">
        <v>7</v>
      </c>
      <c r="E3891" s="27" t="s">
        <v>10</v>
      </c>
      <c r="F3891" s="29"/>
      <c r="G3891" s="30">
        <v>2038.0227777777779</v>
      </c>
    </row>
    <row r="3892" spans="1:7" hidden="1" x14ac:dyDescent="0.25">
      <c r="A3892" s="28">
        <v>43831</v>
      </c>
      <c r="B3892" s="27" t="s">
        <v>33</v>
      </c>
      <c r="C3892" s="27" t="s">
        <v>50</v>
      </c>
      <c r="D3892" s="27" t="s">
        <v>7</v>
      </c>
      <c r="E3892" s="27" t="s">
        <v>11</v>
      </c>
      <c r="F3892" s="29"/>
      <c r="G3892" s="30">
        <v>2038.0227777777779</v>
      </c>
    </row>
    <row r="3893" spans="1:7" hidden="1" x14ac:dyDescent="0.25">
      <c r="A3893" s="28">
        <v>43831</v>
      </c>
      <c r="B3893" s="27" t="s">
        <v>33</v>
      </c>
      <c r="C3893" s="27" t="s">
        <v>50</v>
      </c>
      <c r="D3893" s="27" t="s">
        <v>7</v>
      </c>
      <c r="E3893" s="27" t="s">
        <v>12</v>
      </c>
      <c r="F3893" s="29"/>
      <c r="G3893" s="30">
        <v>2038.0227777777779</v>
      </c>
    </row>
    <row r="3894" spans="1:7" hidden="1" x14ac:dyDescent="0.25">
      <c r="A3894" s="28">
        <v>43831</v>
      </c>
      <c r="B3894" s="27" t="s">
        <v>33</v>
      </c>
      <c r="C3894" s="27" t="s">
        <v>50</v>
      </c>
      <c r="D3894" s="27" t="s">
        <v>7</v>
      </c>
      <c r="E3894" s="27" t="s">
        <v>13</v>
      </c>
      <c r="F3894" s="29"/>
      <c r="G3894" s="30">
        <v>2038.0227777777779</v>
      </c>
    </row>
    <row r="3895" spans="1:7" hidden="1" x14ac:dyDescent="0.25">
      <c r="A3895" s="28">
        <v>43831</v>
      </c>
      <c r="B3895" s="27" t="s">
        <v>33</v>
      </c>
      <c r="C3895" s="27" t="s">
        <v>50</v>
      </c>
      <c r="D3895" s="27" t="s">
        <v>7</v>
      </c>
      <c r="E3895" s="27" t="s">
        <v>14</v>
      </c>
      <c r="F3895" s="29"/>
      <c r="G3895" s="30">
        <v>2038.0227777777779</v>
      </c>
    </row>
    <row r="3896" spans="1:7" hidden="1" x14ac:dyDescent="0.25">
      <c r="A3896" s="28">
        <v>43831</v>
      </c>
      <c r="B3896" s="27" t="s">
        <v>33</v>
      </c>
      <c r="C3896" s="27" t="s">
        <v>50</v>
      </c>
      <c r="D3896" s="27" t="s">
        <v>7</v>
      </c>
      <c r="E3896" s="27" t="s">
        <v>15</v>
      </c>
      <c r="F3896" s="29"/>
      <c r="G3896" s="30">
        <v>2038.0227777777779</v>
      </c>
    </row>
    <row r="3897" spans="1:7" hidden="1" x14ac:dyDescent="0.25">
      <c r="A3897" s="28">
        <v>43831</v>
      </c>
      <c r="B3897" s="27" t="s">
        <v>33</v>
      </c>
      <c r="C3897" s="27" t="s">
        <v>50</v>
      </c>
      <c r="D3897" s="27" t="s">
        <v>7</v>
      </c>
      <c r="E3897" s="27" t="s">
        <v>16</v>
      </c>
      <c r="F3897" s="29"/>
      <c r="G3897" s="30">
        <v>2038.0227777777779</v>
      </c>
    </row>
    <row r="3898" spans="1:7" hidden="1" x14ac:dyDescent="0.25">
      <c r="A3898" s="28">
        <v>43831</v>
      </c>
      <c r="B3898" s="27" t="s">
        <v>33</v>
      </c>
      <c r="C3898" s="27" t="s">
        <v>50</v>
      </c>
      <c r="D3898" s="27" t="s">
        <v>7</v>
      </c>
      <c r="E3898" s="27" t="s">
        <v>17</v>
      </c>
      <c r="F3898" s="29"/>
      <c r="G3898" s="30">
        <v>2038.0227777777779</v>
      </c>
    </row>
    <row r="3899" spans="1:7" hidden="1" x14ac:dyDescent="0.25">
      <c r="A3899" s="28">
        <v>43831</v>
      </c>
      <c r="B3899" s="27" t="s">
        <v>33</v>
      </c>
      <c r="C3899" s="27" t="s">
        <v>50</v>
      </c>
      <c r="D3899" s="27" t="s">
        <v>7</v>
      </c>
      <c r="E3899" s="27" t="s">
        <v>18</v>
      </c>
      <c r="F3899" s="29"/>
      <c r="G3899" s="30">
        <v>2038.0227777777779</v>
      </c>
    </row>
    <row r="3900" spans="1:7" hidden="1" x14ac:dyDescent="0.25">
      <c r="A3900" s="28">
        <v>43831</v>
      </c>
      <c r="B3900" s="27" t="s">
        <v>33</v>
      </c>
      <c r="C3900" s="27" t="s">
        <v>50</v>
      </c>
      <c r="D3900" s="27" t="s">
        <v>7</v>
      </c>
      <c r="E3900" s="27" t="s">
        <v>19</v>
      </c>
      <c r="F3900" s="29"/>
      <c r="G3900" s="30">
        <v>2038.0227777777779</v>
      </c>
    </row>
    <row r="3901" spans="1:7" hidden="1" x14ac:dyDescent="0.25">
      <c r="A3901" s="28">
        <v>43831</v>
      </c>
      <c r="B3901" s="27" t="s">
        <v>33</v>
      </c>
      <c r="C3901" s="27" t="s">
        <v>50</v>
      </c>
      <c r="D3901" s="27" t="s">
        <v>7</v>
      </c>
      <c r="E3901" s="27" t="s">
        <v>20</v>
      </c>
      <c r="F3901" s="29"/>
      <c r="G3901" s="30">
        <v>2038.0227777777779</v>
      </c>
    </row>
    <row r="3902" spans="1:7" hidden="1" x14ac:dyDescent="0.25">
      <c r="A3902" s="28">
        <v>43831</v>
      </c>
      <c r="B3902" s="27" t="s">
        <v>33</v>
      </c>
      <c r="C3902" s="27" t="s">
        <v>50</v>
      </c>
      <c r="D3902" s="27" t="s">
        <v>7</v>
      </c>
      <c r="E3902" s="27" t="s">
        <v>38</v>
      </c>
      <c r="F3902" s="29"/>
      <c r="G3902" s="30">
        <v>2038.0227777777779</v>
      </c>
    </row>
    <row r="3903" spans="1:7" hidden="1" x14ac:dyDescent="0.25">
      <c r="A3903" s="28">
        <v>43831</v>
      </c>
      <c r="B3903" s="27" t="s">
        <v>33</v>
      </c>
      <c r="C3903" s="27" t="s">
        <v>50</v>
      </c>
      <c r="D3903" s="27" t="s">
        <v>7</v>
      </c>
      <c r="E3903" s="27" t="s">
        <v>23</v>
      </c>
      <c r="F3903" s="29"/>
      <c r="G3903" s="30">
        <v>2038.0227777777779</v>
      </c>
    </row>
    <row r="3904" spans="1:7" hidden="1" x14ac:dyDescent="0.25">
      <c r="A3904" s="28">
        <v>43831</v>
      </c>
      <c r="B3904" s="27" t="s">
        <v>4</v>
      </c>
      <c r="C3904" s="27" t="s">
        <v>50</v>
      </c>
      <c r="D3904" s="27" t="s">
        <v>7</v>
      </c>
      <c r="E3904" s="27" t="s">
        <v>8</v>
      </c>
      <c r="F3904" s="29"/>
      <c r="G3904" s="30">
        <v>2591.65</v>
      </c>
    </row>
    <row r="3905" spans="1:7" hidden="1" x14ac:dyDescent="0.25">
      <c r="A3905" s="28">
        <v>43831</v>
      </c>
      <c r="B3905" s="27" t="s">
        <v>4</v>
      </c>
      <c r="C3905" s="27" t="s">
        <v>50</v>
      </c>
      <c r="D3905" s="27" t="s">
        <v>7</v>
      </c>
      <c r="E3905" s="27" t="s">
        <v>9</v>
      </c>
      <c r="F3905" s="29"/>
      <c r="G3905" s="30">
        <v>2234.04</v>
      </c>
    </row>
    <row r="3906" spans="1:7" hidden="1" x14ac:dyDescent="0.25">
      <c r="A3906" s="28">
        <v>43831</v>
      </c>
      <c r="B3906" s="27" t="s">
        <v>4</v>
      </c>
      <c r="C3906" s="27" t="s">
        <v>50</v>
      </c>
      <c r="D3906" s="27" t="s">
        <v>7</v>
      </c>
      <c r="E3906" s="27" t="s">
        <v>22</v>
      </c>
      <c r="F3906" s="29"/>
      <c r="G3906" s="30">
        <v>3733.89</v>
      </c>
    </row>
    <row r="3907" spans="1:7" hidden="1" x14ac:dyDescent="0.25">
      <c r="A3907" s="28">
        <v>43831</v>
      </c>
      <c r="B3907" s="27" t="s">
        <v>4</v>
      </c>
      <c r="C3907" s="27" t="s">
        <v>50</v>
      </c>
      <c r="D3907" s="27" t="s">
        <v>7</v>
      </c>
      <c r="E3907" s="27" t="s">
        <v>64</v>
      </c>
      <c r="F3907" s="29"/>
      <c r="G3907" s="30">
        <v>2119.41</v>
      </c>
    </row>
    <row r="3908" spans="1:7" hidden="1" x14ac:dyDescent="0.25">
      <c r="A3908" s="28">
        <v>43831</v>
      </c>
      <c r="B3908" s="27" t="s">
        <v>4</v>
      </c>
      <c r="C3908" s="27" t="s">
        <v>50</v>
      </c>
      <c r="D3908" s="27" t="s">
        <v>7</v>
      </c>
      <c r="E3908" s="27" t="s">
        <v>21</v>
      </c>
      <c r="F3908" s="29"/>
      <c r="G3908" s="30">
        <v>3735.97</v>
      </c>
    </row>
    <row r="3909" spans="1:7" hidden="1" x14ac:dyDescent="0.25">
      <c r="A3909" s="28">
        <v>43831</v>
      </c>
      <c r="B3909" s="27" t="s">
        <v>4</v>
      </c>
      <c r="C3909" s="27" t="s">
        <v>50</v>
      </c>
      <c r="D3909" s="27" t="s">
        <v>7</v>
      </c>
      <c r="E3909" s="27" t="s">
        <v>10</v>
      </c>
      <c r="F3909" s="29"/>
      <c r="G3909" s="30">
        <v>4030.06</v>
      </c>
    </row>
    <row r="3910" spans="1:7" hidden="1" x14ac:dyDescent="0.25">
      <c r="A3910" s="28">
        <v>43831</v>
      </c>
      <c r="B3910" s="27" t="s">
        <v>4</v>
      </c>
      <c r="C3910" s="27" t="s">
        <v>50</v>
      </c>
      <c r="D3910" s="27" t="s">
        <v>7</v>
      </c>
      <c r="E3910" s="27" t="s">
        <v>11</v>
      </c>
      <c r="F3910" s="29"/>
      <c r="G3910" s="30">
        <v>1943.7</v>
      </c>
    </row>
    <row r="3911" spans="1:7" hidden="1" x14ac:dyDescent="0.25">
      <c r="A3911" s="28">
        <v>43831</v>
      </c>
      <c r="B3911" s="27" t="s">
        <v>4</v>
      </c>
      <c r="C3911" s="27" t="s">
        <v>50</v>
      </c>
      <c r="D3911" s="27" t="s">
        <v>7</v>
      </c>
      <c r="E3911" s="27" t="s">
        <v>12</v>
      </c>
      <c r="F3911" s="29"/>
      <c r="G3911" s="30">
        <v>1777.3</v>
      </c>
    </row>
    <row r="3912" spans="1:7" hidden="1" x14ac:dyDescent="0.25">
      <c r="A3912" s="28">
        <v>43831</v>
      </c>
      <c r="B3912" s="27" t="s">
        <v>4</v>
      </c>
      <c r="C3912" s="27" t="s">
        <v>50</v>
      </c>
      <c r="D3912" s="27" t="s">
        <v>7</v>
      </c>
      <c r="E3912" s="27" t="s">
        <v>13</v>
      </c>
      <c r="F3912" s="29"/>
      <c r="G3912" s="30">
        <v>3084.19</v>
      </c>
    </row>
    <row r="3913" spans="1:7" hidden="1" x14ac:dyDescent="0.25">
      <c r="A3913" s="28">
        <v>43831</v>
      </c>
      <c r="B3913" s="27" t="s">
        <v>4</v>
      </c>
      <c r="C3913" s="27" t="s">
        <v>50</v>
      </c>
      <c r="D3913" s="27" t="s">
        <v>7</v>
      </c>
      <c r="E3913" s="27" t="s">
        <v>14</v>
      </c>
      <c r="F3913" s="29"/>
      <c r="G3913" s="30">
        <v>759.05</v>
      </c>
    </row>
    <row r="3914" spans="1:7" hidden="1" x14ac:dyDescent="0.25">
      <c r="A3914" s="28">
        <v>43831</v>
      </c>
      <c r="B3914" s="27" t="s">
        <v>4</v>
      </c>
      <c r="C3914" s="27" t="s">
        <v>50</v>
      </c>
      <c r="D3914" s="27" t="s">
        <v>7</v>
      </c>
      <c r="E3914" s="27" t="s">
        <v>15</v>
      </c>
      <c r="F3914" s="29"/>
      <c r="G3914" s="30">
        <v>3592.02</v>
      </c>
    </row>
    <row r="3915" spans="1:7" hidden="1" x14ac:dyDescent="0.25">
      <c r="A3915" s="28">
        <v>43831</v>
      </c>
      <c r="B3915" s="27" t="s">
        <v>4</v>
      </c>
      <c r="C3915" s="27" t="s">
        <v>50</v>
      </c>
      <c r="D3915" s="27" t="s">
        <v>7</v>
      </c>
      <c r="E3915" s="27" t="s">
        <v>16</v>
      </c>
      <c r="F3915" s="29"/>
      <c r="G3915" s="30">
        <v>3418.09</v>
      </c>
    </row>
    <row r="3916" spans="1:7" hidden="1" x14ac:dyDescent="0.25">
      <c r="A3916" s="28">
        <v>43831</v>
      </c>
      <c r="B3916" s="27" t="s">
        <v>4</v>
      </c>
      <c r="C3916" s="27" t="s">
        <v>50</v>
      </c>
      <c r="D3916" s="27" t="s">
        <v>7</v>
      </c>
      <c r="E3916" s="27" t="s">
        <v>17</v>
      </c>
      <c r="F3916" s="29"/>
      <c r="G3916" s="30">
        <v>3506.31</v>
      </c>
    </row>
    <row r="3917" spans="1:7" hidden="1" x14ac:dyDescent="0.25">
      <c r="A3917" s="28">
        <v>43831</v>
      </c>
      <c r="B3917" s="27" t="s">
        <v>4</v>
      </c>
      <c r="C3917" s="27" t="s">
        <v>50</v>
      </c>
      <c r="D3917" s="27" t="s">
        <v>7</v>
      </c>
      <c r="E3917" s="27" t="s">
        <v>18</v>
      </c>
      <c r="F3917" s="29"/>
      <c r="G3917" s="30">
        <v>1879.65</v>
      </c>
    </row>
    <row r="3918" spans="1:7" hidden="1" x14ac:dyDescent="0.25">
      <c r="A3918" s="28">
        <v>43831</v>
      </c>
      <c r="B3918" s="27" t="s">
        <v>4</v>
      </c>
      <c r="C3918" s="27" t="s">
        <v>50</v>
      </c>
      <c r="D3918" s="27" t="s">
        <v>7</v>
      </c>
      <c r="E3918" s="27" t="s">
        <v>19</v>
      </c>
      <c r="F3918" s="29"/>
      <c r="G3918" s="30">
        <v>5095.96</v>
      </c>
    </row>
    <row r="3919" spans="1:7" hidden="1" x14ac:dyDescent="0.25">
      <c r="A3919" s="28">
        <v>43831</v>
      </c>
      <c r="B3919" s="27" t="s">
        <v>4</v>
      </c>
      <c r="C3919" s="27" t="s">
        <v>50</v>
      </c>
      <c r="D3919" s="27" t="s">
        <v>7</v>
      </c>
      <c r="E3919" s="27" t="s">
        <v>20</v>
      </c>
      <c r="F3919" s="29"/>
      <c r="G3919" s="30">
        <v>2721.57</v>
      </c>
    </row>
    <row r="3920" spans="1:7" hidden="1" x14ac:dyDescent="0.25">
      <c r="A3920" s="28">
        <v>43831</v>
      </c>
      <c r="B3920" s="27" t="s">
        <v>4</v>
      </c>
      <c r="C3920" s="27" t="s">
        <v>50</v>
      </c>
      <c r="D3920" s="27" t="s">
        <v>7</v>
      </c>
      <c r="E3920" s="27" t="s">
        <v>38</v>
      </c>
      <c r="F3920" s="29"/>
      <c r="G3920" s="30">
        <v>1353.85</v>
      </c>
    </row>
    <row r="3921" spans="1:7" hidden="1" x14ac:dyDescent="0.25">
      <c r="A3921" s="28">
        <v>43831</v>
      </c>
      <c r="B3921" s="27" t="s">
        <v>4</v>
      </c>
      <c r="C3921" s="27" t="s">
        <v>50</v>
      </c>
      <c r="D3921" s="27" t="s">
        <v>7</v>
      </c>
      <c r="E3921" s="27" t="s">
        <v>23</v>
      </c>
      <c r="F3921" s="29"/>
      <c r="G3921" s="30">
        <v>4354.2700000000004</v>
      </c>
    </row>
    <row r="3922" spans="1:7" hidden="1" x14ac:dyDescent="0.25">
      <c r="A3922" s="28">
        <v>43831</v>
      </c>
      <c r="B3922" s="27" t="s">
        <v>4</v>
      </c>
      <c r="C3922" s="27" t="s">
        <v>50</v>
      </c>
      <c r="D3922" s="27" t="s">
        <v>7</v>
      </c>
      <c r="E3922" s="27" t="s">
        <v>37</v>
      </c>
      <c r="F3922" s="29"/>
      <c r="G3922" s="30">
        <v>315</v>
      </c>
    </row>
    <row r="3923" spans="1:7" hidden="1" x14ac:dyDescent="0.25">
      <c r="A3923" s="28">
        <v>43831</v>
      </c>
      <c r="B3923" s="27" t="s">
        <v>26</v>
      </c>
      <c r="C3923" s="27" t="s">
        <v>50</v>
      </c>
      <c r="D3923" s="27" t="s">
        <v>6</v>
      </c>
      <c r="E3923" s="27" t="s">
        <v>8</v>
      </c>
      <c r="F3923" s="29"/>
      <c r="G3923" s="30">
        <v>1194.25</v>
      </c>
    </row>
    <row r="3924" spans="1:7" hidden="1" x14ac:dyDescent="0.25">
      <c r="A3924" s="28">
        <v>43831</v>
      </c>
      <c r="B3924" s="27" t="s">
        <v>26</v>
      </c>
      <c r="C3924" s="27" t="s">
        <v>50</v>
      </c>
      <c r="D3924" s="27" t="s">
        <v>6</v>
      </c>
      <c r="E3924" s="27" t="s">
        <v>9</v>
      </c>
      <c r="F3924" s="29"/>
      <c r="G3924" s="30">
        <v>1550.9166666666667</v>
      </c>
    </row>
    <row r="3925" spans="1:7" hidden="1" x14ac:dyDescent="0.25">
      <c r="A3925" s="28">
        <v>43831</v>
      </c>
      <c r="B3925" s="27" t="s">
        <v>26</v>
      </c>
      <c r="C3925" s="27" t="s">
        <v>50</v>
      </c>
      <c r="D3925" s="27" t="s">
        <v>6</v>
      </c>
      <c r="E3925" s="27" t="s">
        <v>22</v>
      </c>
      <c r="F3925" s="29"/>
      <c r="G3925" s="30">
        <v>1270.3500000000001</v>
      </c>
    </row>
    <row r="3926" spans="1:7" hidden="1" x14ac:dyDescent="0.25">
      <c r="A3926" s="28">
        <v>43831</v>
      </c>
      <c r="B3926" s="27" t="s">
        <v>26</v>
      </c>
      <c r="C3926" s="27" t="s">
        <v>50</v>
      </c>
      <c r="D3926" s="27" t="s">
        <v>6</v>
      </c>
      <c r="E3926" s="27" t="s">
        <v>64</v>
      </c>
      <c r="F3926" s="29"/>
      <c r="G3926" s="30">
        <v>1359.4166666666667</v>
      </c>
    </row>
    <row r="3927" spans="1:7" hidden="1" x14ac:dyDescent="0.25">
      <c r="A3927" s="28">
        <v>43831</v>
      </c>
      <c r="B3927" s="27" t="s">
        <v>26</v>
      </c>
      <c r="C3927" s="27" t="s">
        <v>50</v>
      </c>
      <c r="D3927" s="27" t="s">
        <v>6</v>
      </c>
      <c r="E3927" s="27" t="s">
        <v>21</v>
      </c>
      <c r="F3927" s="29"/>
      <c r="G3927" s="30">
        <v>1359.4166666666667</v>
      </c>
    </row>
    <row r="3928" spans="1:7" hidden="1" x14ac:dyDescent="0.25">
      <c r="A3928" s="28">
        <v>43831</v>
      </c>
      <c r="B3928" s="27" t="s">
        <v>26</v>
      </c>
      <c r="C3928" s="27" t="s">
        <v>50</v>
      </c>
      <c r="D3928" s="27" t="s">
        <v>6</v>
      </c>
      <c r="E3928" s="27" t="s">
        <v>10</v>
      </c>
      <c r="F3928" s="29"/>
      <c r="G3928" s="30">
        <v>1998.9666666666669</v>
      </c>
    </row>
    <row r="3929" spans="1:7" hidden="1" x14ac:dyDescent="0.25">
      <c r="A3929" s="28">
        <v>43831</v>
      </c>
      <c r="B3929" s="27" t="s">
        <v>26</v>
      </c>
      <c r="C3929" s="27" t="s">
        <v>50</v>
      </c>
      <c r="D3929" s="27" t="s">
        <v>6</v>
      </c>
      <c r="E3929" s="27" t="s">
        <v>11</v>
      </c>
      <c r="F3929" s="29"/>
      <c r="G3929" s="30">
        <v>1340.7166666666667</v>
      </c>
    </row>
    <row r="3930" spans="1:7" hidden="1" x14ac:dyDescent="0.25">
      <c r="A3930" s="28">
        <v>43831</v>
      </c>
      <c r="B3930" s="27" t="s">
        <v>26</v>
      </c>
      <c r="C3930" s="27" t="s">
        <v>50</v>
      </c>
      <c r="D3930" s="27" t="s">
        <v>6</v>
      </c>
      <c r="E3930" s="27" t="s">
        <v>12</v>
      </c>
      <c r="F3930" s="29"/>
      <c r="G3930" s="30">
        <v>1350.1166666666668</v>
      </c>
    </row>
    <row r="3931" spans="1:7" hidden="1" x14ac:dyDescent="0.25">
      <c r="A3931" s="28">
        <v>43831</v>
      </c>
      <c r="B3931" s="27" t="s">
        <v>26</v>
      </c>
      <c r="C3931" s="27" t="s">
        <v>50</v>
      </c>
      <c r="D3931" s="27" t="s">
        <v>6</v>
      </c>
      <c r="E3931" s="27" t="s">
        <v>13</v>
      </c>
      <c r="F3931" s="29"/>
      <c r="G3931" s="30">
        <v>1901.5</v>
      </c>
    </row>
    <row r="3932" spans="1:7" hidden="1" x14ac:dyDescent="0.25">
      <c r="A3932" s="28">
        <v>43831</v>
      </c>
      <c r="B3932" s="27" t="s">
        <v>26</v>
      </c>
      <c r="C3932" s="27" t="s">
        <v>50</v>
      </c>
      <c r="D3932" s="27" t="s">
        <v>6</v>
      </c>
      <c r="E3932" s="27" t="s">
        <v>14</v>
      </c>
      <c r="F3932" s="29"/>
      <c r="G3932" s="30">
        <v>701.7833333333333</v>
      </c>
    </row>
    <row r="3933" spans="1:7" hidden="1" x14ac:dyDescent="0.25">
      <c r="A3933" s="28">
        <v>43831</v>
      </c>
      <c r="B3933" s="27" t="s">
        <v>26</v>
      </c>
      <c r="C3933" s="27" t="s">
        <v>50</v>
      </c>
      <c r="D3933" s="27" t="s">
        <v>6</v>
      </c>
      <c r="E3933" s="27" t="s">
        <v>15</v>
      </c>
      <c r="F3933" s="29"/>
      <c r="G3933" s="30">
        <v>1820.5500000000002</v>
      </c>
    </row>
    <row r="3934" spans="1:7" hidden="1" x14ac:dyDescent="0.25">
      <c r="A3934" s="28">
        <v>43831</v>
      </c>
      <c r="B3934" s="27" t="s">
        <v>26</v>
      </c>
      <c r="C3934" s="27" t="s">
        <v>50</v>
      </c>
      <c r="D3934" s="27" t="s">
        <v>6</v>
      </c>
      <c r="E3934" s="27" t="s">
        <v>16</v>
      </c>
      <c r="F3934" s="29"/>
      <c r="G3934" s="30">
        <v>1992.5833333333333</v>
      </c>
    </row>
    <row r="3935" spans="1:7" hidden="1" x14ac:dyDescent="0.25">
      <c r="A3935" s="28">
        <v>43831</v>
      </c>
      <c r="B3935" s="27" t="s">
        <v>26</v>
      </c>
      <c r="C3935" s="27" t="s">
        <v>50</v>
      </c>
      <c r="D3935" s="27" t="s">
        <v>6</v>
      </c>
      <c r="E3935" s="27" t="s">
        <v>17</v>
      </c>
      <c r="F3935" s="29"/>
      <c r="G3935" s="30">
        <v>2822.1166666666668</v>
      </c>
    </row>
    <row r="3936" spans="1:7" hidden="1" x14ac:dyDescent="0.25">
      <c r="A3936" s="28">
        <v>43831</v>
      </c>
      <c r="B3936" s="27" t="s">
        <v>26</v>
      </c>
      <c r="C3936" s="27" t="s">
        <v>50</v>
      </c>
      <c r="D3936" s="27" t="s">
        <v>6</v>
      </c>
      <c r="E3936" s="27" t="s">
        <v>18</v>
      </c>
      <c r="F3936" s="29"/>
      <c r="G3936" s="30">
        <v>1488.6666666666667</v>
      </c>
    </row>
    <row r="3937" spans="1:7" hidden="1" x14ac:dyDescent="0.25">
      <c r="A3937" s="28">
        <v>43831</v>
      </c>
      <c r="B3937" s="27" t="s">
        <v>26</v>
      </c>
      <c r="C3937" s="27" t="s">
        <v>50</v>
      </c>
      <c r="D3937" s="27" t="s">
        <v>6</v>
      </c>
      <c r="E3937" s="27" t="s">
        <v>19</v>
      </c>
      <c r="F3937" s="29"/>
      <c r="G3937" s="30">
        <v>2454.8833333333337</v>
      </c>
    </row>
    <row r="3938" spans="1:7" hidden="1" x14ac:dyDescent="0.25">
      <c r="A3938" s="28">
        <v>43831</v>
      </c>
      <c r="B3938" s="27" t="s">
        <v>26</v>
      </c>
      <c r="C3938" s="27" t="s">
        <v>50</v>
      </c>
      <c r="D3938" s="27" t="s">
        <v>6</v>
      </c>
      <c r="E3938" s="27" t="s">
        <v>20</v>
      </c>
      <c r="F3938" s="29"/>
      <c r="G3938" s="30">
        <v>1590.3833333333334</v>
      </c>
    </row>
    <row r="3939" spans="1:7" hidden="1" x14ac:dyDescent="0.25">
      <c r="A3939" s="28">
        <v>43831</v>
      </c>
      <c r="B3939" s="27" t="s">
        <v>26</v>
      </c>
      <c r="C3939" s="27" t="s">
        <v>50</v>
      </c>
      <c r="D3939" s="27" t="s">
        <v>6</v>
      </c>
      <c r="E3939" s="27" t="s">
        <v>38</v>
      </c>
      <c r="F3939" s="29"/>
      <c r="G3939" s="30">
        <v>602</v>
      </c>
    </row>
    <row r="3940" spans="1:7" hidden="1" x14ac:dyDescent="0.25">
      <c r="A3940" s="28">
        <v>43831</v>
      </c>
      <c r="B3940" s="27" t="s">
        <v>26</v>
      </c>
      <c r="C3940" s="27" t="s">
        <v>50</v>
      </c>
      <c r="D3940" s="27" t="s">
        <v>6</v>
      </c>
      <c r="E3940" s="27" t="s">
        <v>23</v>
      </c>
      <c r="F3940" s="29"/>
      <c r="G3940" s="30">
        <v>2997.5</v>
      </c>
    </row>
    <row r="3941" spans="1:7" hidden="1" x14ac:dyDescent="0.25">
      <c r="A3941" s="28">
        <v>43831</v>
      </c>
      <c r="B3941" s="27" t="s">
        <v>26</v>
      </c>
      <c r="C3941" s="27" t="s">
        <v>50</v>
      </c>
      <c r="D3941" s="27" t="s">
        <v>6</v>
      </c>
      <c r="E3941" s="27" t="s">
        <v>37</v>
      </c>
      <c r="F3941" s="29"/>
      <c r="G3941" s="30">
        <v>250</v>
      </c>
    </row>
    <row r="3942" spans="1:7" hidden="1" x14ac:dyDescent="0.25">
      <c r="A3942" s="28">
        <v>43831</v>
      </c>
      <c r="B3942" s="27" t="s">
        <v>3</v>
      </c>
      <c r="C3942" s="27" t="s">
        <v>50</v>
      </c>
      <c r="D3942" s="27" t="s">
        <v>7</v>
      </c>
      <c r="E3942" s="27" t="s">
        <v>8</v>
      </c>
      <c r="F3942" s="29"/>
      <c r="G3942" s="30">
        <v>628.69111111111113</v>
      </c>
    </row>
    <row r="3943" spans="1:7" hidden="1" x14ac:dyDescent="0.25">
      <c r="A3943" s="28">
        <v>43831</v>
      </c>
      <c r="B3943" s="27" t="s">
        <v>3</v>
      </c>
      <c r="C3943" s="27" t="s">
        <v>50</v>
      </c>
      <c r="D3943" s="27" t="s">
        <v>7</v>
      </c>
      <c r="E3943" s="27" t="s">
        <v>9</v>
      </c>
      <c r="F3943" s="29"/>
      <c r="G3943" s="30">
        <v>628.69111111111113</v>
      </c>
    </row>
    <row r="3944" spans="1:7" hidden="1" x14ac:dyDescent="0.25">
      <c r="A3944" s="28">
        <v>43831</v>
      </c>
      <c r="B3944" s="27" t="s">
        <v>3</v>
      </c>
      <c r="C3944" s="27" t="s">
        <v>50</v>
      </c>
      <c r="D3944" s="27" t="s">
        <v>7</v>
      </c>
      <c r="E3944" s="27" t="s">
        <v>22</v>
      </c>
      <c r="F3944" s="29"/>
      <c r="G3944" s="30">
        <v>628.69111111111113</v>
      </c>
    </row>
    <row r="3945" spans="1:7" hidden="1" x14ac:dyDescent="0.25">
      <c r="A3945" s="28">
        <v>43831</v>
      </c>
      <c r="B3945" s="27" t="s">
        <v>3</v>
      </c>
      <c r="C3945" s="27" t="s">
        <v>50</v>
      </c>
      <c r="D3945" s="27" t="s">
        <v>7</v>
      </c>
      <c r="E3945" s="27" t="s">
        <v>64</v>
      </c>
      <c r="F3945" s="29"/>
      <c r="G3945" s="30">
        <v>628.69111111111113</v>
      </c>
    </row>
    <row r="3946" spans="1:7" hidden="1" x14ac:dyDescent="0.25">
      <c r="A3946" s="28">
        <v>43831</v>
      </c>
      <c r="B3946" s="27" t="s">
        <v>3</v>
      </c>
      <c r="C3946" s="27" t="s">
        <v>50</v>
      </c>
      <c r="D3946" s="27" t="s">
        <v>7</v>
      </c>
      <c r="E3946" s="27" t="s">
        <v>21</v>
      </c>
      <c r="F3946" s="29"/>
      <c r="G3946" s="30">
        <v>628.69111111111113</v>
      </c>
    </row>
    <row r="3947" spans="1:7" hidden="1" x14ac:dyDescent="0.25">
      <c r="A3947" s="28">
        <v>43831</v>
      </c>
      <c r="B3947" s="27" t="s">
        <v>3</v>
      </c>
      <c r="C3947" s="27" t="s">
        <v>50</v>
      </c>
      <c r="D3947" s="27" t="s">
        <v>7</v>
      </c>
      <c r="E3947" s="27" t="s">
        <v>10</v>
      </c>
      <c r="F3947" s="29"/>
      <c r="G3947" s="30">
        <v>628.69111111111113</v>
      </c>
    </row>
    <row r="3948" spans="1:7" hidden="1" x14ac:dyDescent="0.25">
      <c r="A3948" s="28">
        <v>43831</v>
      </c>
      <c r="B3948" s="27" t="s">
        <v>3</v>
      </c>
      <c r="C3948" s="27" t="s">
        <v>50</v>
      </c>
      <c r="D3948" s="27" t="s">
        <v>7</v>
      </c>
      <c r="E3948" s="27" t="s">
        <v>11</v>
      </c>
      <c r="F3948" s="29"/>
      <c r="G3948" s="30">
        <v>628.69111111111113</v>
      </c>
    </row>
    <row r="3949" spans="1:7" hidden="1" x14ac:dyDescent="0.25">
      <c r="A3949" s="28">
        <v>43831</v>
      </c>
      <c r="B3949" s="27" t="s">
        <v>3</v>
      </c>
      <c r="C3949" s="27" t="s">
        <v>50</v>
      </c>
      <c r="D3949" s="27" t="s">
        <v>7</v>
      </c>
      <c r="E3949" s="27" t="s">
        <v>12</v>
      </c>
      <c r="F3949" s="29"/>
      <c r="G3949" s="30">
        <v>628.69111111111113</v>
      </c>
    </row>
    <row r="3950" spans="1:7" hidden="1" x14ac:dyDescent="0.25">
      <c r="A3950" s="28">
        <v>43831</v>
      </c>
      <c r="B3950" s="27" t="s">
        <v>3</v>
      </c>
      <c r="C3950" s="27" t="s">
        <v>50</v>
      </c>
      <c r="D3950" s="27" t="s">
        <v>7</v>
      </c>
      <c r="E3950" s="27" t="s">
        <v>13</v>
      </c>
      <c r="F3950" s="29"/>
      <c r="G3950" s="30">
        <v>628.69111111111113</v>
      </c>
    </row>
    <row r="3951" spans="1:7" hidden="1" x14ac:dyDescent="0.25">
      <c r="A3951" s="28">
        <v>43831</v>
      </c>
      <c r="B3951" s="27" t="s">
        <v>3</v>
      </c>
      <c r="C3951" s="27" t="s">
        <v>50</v>
      </c>
      <c r="D3951" s="27" t="s">
        <v>7</v>
      </c>
      <c r="E3951" s="27" t="s">
        <v>14</v>
      </c>
      <c r="F3951" s="29"/>
      <c r="G3951" s="30">
        <v>628.69111111111113</v>
      </c>
    </row>
    <row r="3952" spans="1:7" hidden="1" x14ac:dyDescent="0.25">
      <c r="A3952" s="28">
        <v>43831</v>
      </c>
      <c r="B3952" s="27" t="s">
        <v>3</v>
      </c>
      <c r="C3952" s="27" t="s">
        <v>50</v>
      </c>
      <c r="D3952" s="27" t="s">
        <v>7</v>
      </c>
      <c r="E3952" s="27" t="s">
        <v>15</v>
      </c>
      <c r="F3952" s="29"/>
      <c r="G3952" s="30">
        <v>628.69111111111113</v>
      </c>
    </row>
    <row r="3953" spans="1:7" hidden="1" x14ac:dyDescent="0.25">
      <c r="A3953" s="28">
        <v>43831</v>
      </c>
      <c r="B3953" s="27" t="s">
        <v>3</v>
      </c>
      <c r="C3953" s="27" t="s">
        <v>50</v>
      </c>
      <c r="D3953" s="27" t="s">
        <v>7</v>
      </c>
      <c r="E3953" s="27" t="s">
        <v>16</v>
      </c>
      <c r="F3953" s="29"/>
      <c r="G3953" s="30">
        <v>628.69111111111113</v>
      </c>
    </row>
    <row r="3954" spans="1:7" hidden="1" x14ac:dyDescent="0.25">
      <c r="A3954" s="28">
        <v>43831</v>
      </c>
      <c r="B3954" s="27" t="s">
        <v>3</v>
      </c>
      <c r="C3954" s="27" t="s">
        <v>50</v>
      </c>
      <c r="D3954" s="27" t="s">
        <v>7</v>
      </c>
      <c r="E3954" s="27" t="s">
        <v>17</v>
      </c>
      <c r="F3954" s="29"/>
      <c r="G3954" s="30">
        <v>628.69111111111113</v>
      </c>
    </row>
    <row r="3955" spans="1:7" hidden="1" x14ac:dyDescent="0.25">
      <c r="A3955" s="28">
        <v>43831</v>
      </c>
      <c r="B3955" s="27" t="s">
        <v>3</v>
      </c>
      <c r="C3955" s="27" t="s">
        <v>50</v>
      </c>
      <c r="D3955" s="27" t="s">
        <v>7</v>
      </c>
      <c r="E3955" s="27" t="s">
        <v>18</v>
      </c>
      <c r="F3955" s="29"/>
      <c r="G3955" s="30">
        <v>628.69111111111113</v>
      </c>
    </row>
    <row r="3956" spans="1:7" hidden="1" x14ac:dyDescent="0.25">
      <c r="A3956" s="28">
        <v>43831</v>
      </c>
      <c r="B3956" s="27" t="s">
        <v>3</v>
      </c>
      <c r="C3956" s="27" t="s">
        <v>50</v>
      </c>
      <c r="D3956" s="27" t="s">
        <v>7</v>
      </c>
      <c r="E3956" s="27" t="s">
        <v>19</v>
      </c>
      <c r="F3956" s="29"/>
      <c r="G3956" s="30">
        <v>628.69111111111113</v>
      </c>
    </row>
    <row r="3957" spans="1:7" hidden="1" x14ac:dyDescent="0.25">
      <c r="A3957" s="28">
        <v>43831</v>
      </c>
      <c r="B3957" s="27" t="s">
        <v>3</v>
      </c>
      <c r="C3957" s="27" t="s">
        <v>50</v>
      </c>
      <c r="D3957" s="27" t="s">
        <v>7</v>
      </c>
      <c r="E3957" s="27" t="s">
        <v>20</v>
      </c>
      <c r="F3957" s="29"/>
      <c r="G3957" s="30">
        <v>628.69111111111113</v>
      </c>
    </row>
    <row r="3958" spans="1:7" hidden="1" x14ac:dyDescent="0.25">
      <c r="A3958" s="28">
        <v>43831</v>
      </c>
      <c r="B3958" s="27" t="s">
        <v>3</v>
      </c>
      <c r="C3958" s="27" t="s">
        <v>50</v>
      </c>
      <c r="D3958" s="27" t="s">
        <v>7</v>
      </c>
      <c r="E3958" s="27" t="s">
        <v>38</v>
      </c>
      <c r="F3958" s="29"/>
      <c r="G3958" s="30">
        <v>628.69111111111113</v>
      </c>
    </row>
    <row r="3959" spans="1:7" hidden="1" x14ac:dyDescent="0.25">
      <c r="A3959" s="28">
        <v>43831</v>
      </c>
      <c r="B3959" s="27" t="s">
        <v>3</v>
      </c>
      <c r="C3959" s="27" t="s">
        <v>50</v>
      </c>
      <c r="D3959" s="27" t="s">
        <v>7</v>
      </c>
      <c r="E3959" s="27" t="s">
        <v>23</v>
      </c>
      <c r="F3959" s="29"/>
      <c r="G3959" s="30">
        <v>628.69111111111113</v>
      </c>
    </row>
    <row r="3960" spans="1:7" hidden="1" x14ac:dyDescent="0.25">
      <c r="A3960" s="28">
        <v>43831</v>
      </c>
      <c r="B3960" s="27" t="s">
        <v>179</v>
      </c>
      <c r="C3960" s="27" t="s">
        <v>50</v>
      </c>
      <c r="D3960" s="27" t="s">
        <v>6</v>
      </c>
      <c r="E3960" s="27" t="s">
        <v>8</v>
      </c>
      <c r="F3960" s="29"/>
      <c r="G3960" s="30">
        <v>303.58</v>
      </c>
    </row>
    <row r="3961" spans="1:7" hidden="1" x14ac:dyDescent="0.25">
      <c r="A3961" s="28">
        <v>43831</v>
      </c>
      <c r="B3961" s="27" t="s">
        <v>179</v>
      </c>
      <c r="C3961" s="27" t="s">
        <v>50</v>
      </c>
      <c r="D3961" s="27" t="s">
        <v>6</v>
      </c>
      <c r="E3961" s="27" t="s">
        <v>9</v>
      </c>
      <c r="F3961" s="29"/>
      <c r="G3961" s="30">
        <v>379.11</v>
      </c>
    </row>
    <row r="3962" spans="1:7" hidden="1" x14ac:dyDescent="0.25">
      <c r="A3962" s="28">
        <v>43831</v>
      </c>
      <c r="B3962" s="27" t="s">
        <v>179</v>
      </c>
      <c r="C3962" s="27" t="s">
        <v>50</v>
      </c>
      <c r="D3962" s="27" t="s">
        <v>6</v>
      </c>
      <c r="E3962" s="27" t="s">
        <v>22</v>
      </c>
      <c r="F3962" s="29"/>
      <c r="G3962" s="30">
        <v>478.90999999999997</v>
      </c>
    </row>
    <row r="3963" spans="1:7" hidden="1" x14ac:dyDescent="0.25">
      <c r="A3963" s="28">
        <v>43831</v>
      </c>
      <c r="B3963" s="27" t="s">
        <v>179</v>
      </c>
      <c r="C3963" s="27" t="s">
        <v>50</v>
      </c>
      <c r="D3963" s="27" t="s">
        <v>6</v>
      </c>
      <c r="E3963" s="27" t="s">
        <v>64</v>
      </c>
      <c r="F3963" s="29"/>
      <c r="G3963" s="30">
        <v>317.95999999999998</v>
      </c>
    </row>
    <row r="3964" spans="1:7" hidden="1" x14ac:dyDescent="0.25">
      <c r="A3964" s="28">
        <v>43831</v>
      </c>
      <c r="B3964" s="27" t="s">
        <v>179</v>
      </c>
      <c r="C3964" s="27" t="s">
        <v>50</v>
      </c>
      <c r="D3964" s="27" t="s">
        <v>6</v>
      </c>
      <c r="E3964" s="27" t="s">
        <v>21</v>
      </c>
      <c r="F3964" s="29"/>
      <c r="G3964" s="30">
        <v>355.92999999999995</v>
      </c>
    </row>
    <row r="3965" spans="1:7" hidden="1" x14ac:dyDescent="0.25">
      <c r="A3965" s="28">
        <v>43831</v>
      </c>
      <c r="B3965" s="27" t="s">
        <v>179</v>
      </c>
      <c r="C3965" s="27" t="s">
        <v>50</v>
      </c>
      <c r="D3965" s="27" t="s">
        <v>6</v>
      </c>
      <c r="E3965" s="27" t="s">
        <v>10</v>
      </c>
      <c r="F3965" s="29"/>
      <c r="G3965" s="30">
        <v>438.99</v>
      </c>
    </row>
    <row r="3966" spans="1:7" hidden="1" x14ac:dyDescent="0.25">
      <c r="A3966" s="28">
        <v>43831</v>
      </c>
      <c r="B3966" s="27" t="s">
        <v>179</v>
      </c>
      <c r="C3966" s="27" t="s">
        <v>50</v>
      </c>
      <c r="D3966" s="27" t="s">
        <v>6</v>
      </c>
      <c r="E3966" s="27" t="s">
        <v>11</v>
      </c>
      <c r="F3966" s="29"/>
      <c r="G3966" s="30">
        <v>352.46999999999997</v>
      </c>
    </row>
    <row r="3967" spans="1:7" hidden="1" x14ac:dyDescent="0.25">
      <c r="A3967" s="28">
        <v>43831</v>
      </c>
      <c r="B3967" s="27" t="s">
        <v>179</v>
      </c>
      <c r="C3967" s="27" t="s">
        <v>50</v>
      </c>
      <c r="D3967" s="27" t="s">
        <v>6</v>
      </c>
      <c r="E3967" s="27" t="s">
        <v>12</v>
      </c>
      <c r="F3967" s="29"/>
      <c r="G3967" s="30">
        <v>360.05999999999995</v>
      </c>
    </row>
    <row r="3968" spans="1:7" hidden="1" x14ac:dyDescent="0.25">
      <c r="A3968" s="28">
        <v>43831</v>
      </c>
      <c r="B3968" s="27" t="s">
        <v>179</v>
      </c>
      <c r="C3968" s="27" t="s">
        <v>50</v>
      </c>
      <c r="D3968" s="27" t="s">
        <v>6</v>
      </c>
      <c r="E3968" s="27" t="s">
        <v>13</v>
      </c>
      <c r="F3968" s="29"/>
      <c r="G3968" s="30">
        <v>462.01</v>
      </c>
    </row>
    <row r="3969" spans="1:7" hidden="1" x14ac:dyDescent="0.25">
      <c r="A3969" s="28">
        <v>43831</v>
      </c>
      <c r="B3969" s="27" t="s">
        <v>179</v>
      </c>
      <c r="C3969" s="27" t="s">
        <v>50</v>
      </c>
      <c r="D3969" s="27" t="s">
        <v>6</v>
      </c>
      <c r="E3969" s="27" t="s">
        <v>14</v>
      </c>
      <c r="F3969" s="29"/>
      <c r="G3969" s="30">
        <v>425.28</v>
      </c>
    </row>
    <row r="3970" spans="1:7" hidden="1" x14ac:dyDescent="0.25">
      <c r="A3970" s="28">
        <v>43831</v>
      </c>
      <c r="B3970" s="27" t="s">
        <v>179</v>
      </c>
      <c r="C3970" s="27" t="s">
        <v>50</v>
      </c>
      <c r="D3970" s="27" t="s">
        <v>6</v>
      </c>
      <c r="E3970" s="27" t="s">
        <v>15</v>
      </c>
      <c r="F3970" s="29"/>
      <c r="G3970" s="30">
        <v>122.55</v>
      </c>
    </row>
    <row r="3971" spans="1:7" hidden="1" x14ac:dyDescent="0.25">
      <c r="A3971" s="28">
        <v>43831</v>
      </c>
      <c r="B3971" s="27" t="s">
        <v>179</v>
      </c>
      <c r="C3971" s="27" t="s">
        <v>50</v>
      </c>
      <c r="D3971" s="27" t="s">
        <v>6</v>
      </c>
      <c r="E3971" s="27" t="s">
        <v>16</v>
      </c>
      <c r="F3971" s="29"/>
      <c r="G3971" s="30">
        <v>453.96000000000004</v>
      </c>
    </row>
    <row r="3972" spans="1:7" hidden="1" x14ac:dyDescent="0.25">
      <c r="A3972" s="28">
        <v>43831</v>
      </c>
      <c r="B3972" s="27" t="s">
        <v>179</v>
      </c>
      <c r="C3972" s="27" t="s">
        <v>50</v>
      </c>
      <c r="D3972" s="27" t="s">
        <v>6</v>
      </c>
      <c r="E3972" s="27" t="s">
        <v>17</v>
      </c>
      <c r="F3972" s="29"/>
      <c r="G3972" s="30">
        <v>656.01</v>
      </c>
    </row>
    <row r="3973" spans="1:7" hidden="1" x14ac:dyDescent="0.25">
      <c r="A3973" s="28">
        <v>43831</v>
      </c>
      <c r="B3973" s="27" t="s">
        <v>179</v>
      </c>
      <c r="C3973" s="27" t="s">
        <v>50</v>
      </c>
      <c r="D3973" s="27" t="s">
        <v>6</v>
      </c>
      <c r="E3973" s="27" t="s">
        <v>18</v>
      </c>
      <c r="F3973" s="29"/>
      <c r="G3973" s="30">
        <v>848.75</v>
      </c>
    </row>
    <row r="3974" spans="1:7" hidden="1" x14ac:dyDescent="0.25">
      <c r="A3974" s="28">
        <v>43831</v>
      </c>
      <c r="B3974" s="27" t="s">
        <v>179</v>
      </c>
      <c r="C3974" s="27" t="s">
        <v>50</v>
      </c>
      <c r="D3974" s="27" t="s">
        <v>6</v>
      </c>
      <c r="E3974" s="27" t="s">
        <v>19</v>
      </c>
      <c r="F3974" s="29"/>
      <c r="G3974" s="30">
        <v>601.54999999999995</v>
      </c>
    </row>
    <row r="3975" spans="1:7" hidden="1" x14ac:dyDescent="0.25">
      <c r="A3975" s="28">
        <v>43831</v>
      </c>
      <c r="B3975" s="27" t="s">
        <v>179</v>
      </c>
      <c r="C3975" s="27" t="s">
        <v>50</v>
      </c>
      <c r="D3975" s="27" t="s">
        <v>6</v>
      </c>
      <c r="E3975" s="27" t="s">
        <v>20</v>
      </c>
      <c r="F3975" s="29"/>
      <c r="G3975" s="30">
        <v>1025.75</v>
      </c>
    </row>
    <row r="3976" spans="1:7" hidden="1" x14ac:dyDescent="0.25">
      <c r="A3976" s="28">
        <v>43831</v>
      </c>
      <c r="B3976" s="27" t="s">
        <v>179</v>
      </c>
      <c r="C3976" s="27" t="s">
        <v>50</v>
      </c>
      <c r="D3976" s="27" t="s">
        <v>6</v>
      </c>
      <c r="E3976" s="27" t="s">
        <v>38</v>
      </c>
      <c r="F3976" s="29"/>
      <c r="G3976" s="30">
        <v>517.54999999999995</v>
      </c>
    </row>
    <row r="3977" spans="1:7" hidden="1" x14ac:dyDescent="0.25">
      <c r="A3977" s="28">
        <v>43831</v>
      </c>
      <c r="B3977" s="27" t="s">
        <v>179</v>
      </c>
      <c r="C3977" s="27" t="s">
        <v>50</v>
      </c>
      <c r="D3977" s="27" t="s">
        <v>6</v>
      </c>
      <c r="E3977" s="27" t="s">
        <v>23</v>
      </c>
      <c r="F3977" s="29"/>
      <c r="G3977" s="30">
        <v>683.68</v>
      </c>
    </row>
    <row r="3978" spans="1:7" hidden="1" x14ac:dyDescent="0.25">
      <c r="A3978" s="28">
        <v>43831</v>
      </c>
      <c r="B3978" s="27" t="s">
        <v>32</v>
      </c>
      <c r="C3978" s="27" t="s">
        <v>50</v>
      </c>
      <c r="D3978" s="27" t="s">
        <v>7</v>
      </c>
      <c r="E3978" s="27" t="s">
        <v>10</v>
      </c>
      <c r="F3978" s="29"/>
      <c r="G3978" s="30">
        <v>30</v>
      </c>
    </row>
    <row r="3979" spans="1:7" hidden="1" x14ac:dyDescent="0.25">
      <c r="A3979" s="28">
        <v>43831</v>
      </c>
      <c r="B3979" s="27" t="s">
        <v>32</v>
      </c>
      <c r="C3979" s="27" t="s">
        <v>50</v>
      </c>
      <c r="D3979" s="27" t="s">
        <v>7</v>
      </c>
      <c r="E3979" s="27" t="s">
        <v>17</v>
      </c>
      <c r="F3979" s="29"/>
      <c r="G3979" s="30">
        <v>30</v>
      </c>
    </row>
    <row r="3980" spans="1:7" hidden="1" x14ac:dyDescent="0.25">
      <c r="A3980" s="28">
        <v>43831</v>
      </c>
      <c r="B3980" s="27" t="s">
        <v>5</v>
      </c>
      <c r="C3980" s="27" t="s">
        <v>51</v>
      </c>
      <c r="D3980" s="27" t="s">
        <v>51</v>
      </c>
      <c r="E3980" s="27" t="s">
        <v>8</v>
      </c>
      <c r="F3980" s="29">
        <v>2528</v>
      </c>
      <c r="G3980" s="30">
        <v>7.0943562988100535</v>
      </c>
    </row>
    <row r="3981" spans="1:7" hidden="1" x14ac:dyDescent="0.25">
      <c r="A3981" s="28">
        <v>43831</v>
      </c>
      <c r="B3981" s="27" t="s">
        <v>5</v>
      </c>
      <c r="C3981" s="27" t="s">
        <v>51</v>
      </c>
      <c r="D3981" s="27" t="s">
        <v>51</v>
      </c>
      <c r="E3981" s="27" t="s">
        <v>9</v>
      </c>
      <c r="F3981" s="29">
        <v>1602</v>
      </c>
      <c r="G3981" s="30">
        <v>9.998059856465968</v>
      </c>
    </row>
    <row r="3982" spans="1:7" hidden="1" x14ac:dyDescent="0.25">
      <c r="A3982" s="28">
        <v>43831</v>
      </c>
      <c r="B3982" s="27" t="s">
        <v>5</v>
      </c>
      <c r="C3982" s="27" t="s">
        <v>51</v>
      </c>
      <c r="D3982" s="27" t="s">
        <v>51</v>
      </c>
      <c r="E3982" s="27" t="s">
        <v>22</v>
      </c>
      <c r="F3982" s="29">
        <v>4581</v>
      </c>
      <c r="G3982" s="30">
        <v>2.9405315920960082</v>
      </c>
    </row>
    <row r="3983" spans="1:7" hidden="1" x14ac:dyDescent="0.25">
      <c r="A3983" s="28">
        <v>43831</v>
      </c>
      <c r="B3983" s="27" t="s">
        <v>5</v>
      </c>
      <c r="C3983" s="27" t="s">
        <v>51</v>
      </c>
      <c r="D3983" s="27" t="s">
        <v>51</v>
      </c>
      <c r="E3983" s="27" t="s">
        <v>64</v>
      </c>
      <c r="F3983" s="29">
        <v>1963</v>
      </c>
      <c r="G3983" s="30">
        <v>5.8554989251444116</v>
      </c>
    </row>
    <row r="3984" spans="1:7" hidden="1" x14ac:dyDescent="0.25">
      <c r="A3984" s="28">
        <v>43831</v>
      </c>
      <c r="B3984" s="27" t="s">
        <v>5</v>
      </c>
      <c r="C3984" s="27" t="s">
        <v>51</v>
      </c>
      <c r="D3984" s="27" t="s">
        <v>51</v>
      </c>
      <c r="E3984" s="27" t="s">
        <v>21</v>
      </c>
      <c r="F3984" s="29">
        <v>3461</v>
      </c>
      <c r="G3984" s="30">
        <v>4.4175893932558452</v>
      </c>
    </row>
    <row r="3985" spans="1:7" hidden="1" x14ac:dyDescent="0.25">
      <c r="A3985" s="28">
        <v>43831</v>
      </c>
      <c r="B3985" s="27" t="s">
        <v>5</v>
      </c>
      <c r="C3985" s="27" t="s">
        <v>51</v>
      </c>
      <c r="D3985" s="27" t="s">
        <v>51</v>
      </c>
      <c r="E3985" s="27" t="s">
        <v>10</v>
      </c>
      <c r="F3985" s="29">
        <v>4033</v>
      </c>
      <c r="G3985" s="30">
        <v>3.8685003446710837</v>
      </c>
    </row>
    <row r="3986" spans="1:7" hidden="1" x14ac:dyDescent="0.25">
      <c r="A3986" s="28">
        <v>43831</v>
      </c>
      <c r="B3986" s="27" t="s">
        <v>5</v>
      </c>
      <c r="C3986" s="27" t="s">
        <v>51</v>
      </c>
      <c r="D3986" s="27" t="s">
        <v>51</v>
      </c>
      <c r="E3986" s="27" t="s">
        <v>11</v>
      </c>
      <c r="F3986" s="29">
        <v>4037</v>
      </c>
      <c r="G3986" s="30">
        <v>3.1173673247605849</v>
      </c>
    </row>
    <row r="3987" spans="1:7" hidden="1" x14ac:dyDescent="0.25">
      <c r="A3987" s="28">
        <v>43831</v>
      </c>
      <c r="B3987" s="27" t="s">
        <v>5</v>
      </c>
      <c r="C3987" s="27" t="s">
        <v>51</v>
      </c>
      <c r="D3987" s="27" t="s">
        <v>51</v>
      </c>
      <c r="E3987" s="27" t="s">
        <v>12</v>
      </c>
      <c r="F3987" s="29">
        <v>2795</v>
      </c>
      <c r="G3987" s="30">
        <v>5.0243038962642146</v>
      </c>
    </row>
    <row r="3988" spans="1:7" hidden="1" x14ac:dyDescent="0.25">
      <c r="A3988" s="28">
        <v>43831</v>
      </c>
      <c r="B3988" s="27" t="s">
        <v>5</v>
      </c>
      <c r="C3988" s="27" t="s">
        <v>51</v>
      </c>
      <c r="D3988" s="27" t="s">
        <v>51</v>
      </c>
      <c r="E3988" s="27" t="s">
        <v>13</v>
      </c>
      <c r="F3988" s="29">
        <v>4063</v>
      </c>
      <c r="G3988" s="30">
        <v>3.2087497473275448</v>
      </c>
    </row>
    <row r="3989" spans="1:7" hidden="1" x14ac:dyDescent="0.25">
      <c r="A3989" s="28">
        <v>43831</v>
      </c>
      <c r="B3989" s="27" t="s">
        <v>5</v>
      </c>
      <c r="C3989" s="27" t="s">
        <v>51</v>
      </c>
      <c r="D3989" s="27" t="s">
        <v>51</v>
      </c>
      <c r="E3989" s="27" t="s">
        <v>14</v>
      </c>
      <c r="F3989" s="29">
        <v>2808</v>
      </c>
      <c r="G3989" s="30">
        <v>3.1991884105146537</v>
      </c>
    </row>
    <row r="3990" spans="1:7" hidden="1" x14ac:dyDescent="0.25">
      <c r="A3990" s="28">
        <v>43831</v>
      </c>
      <c r="B3990" s="27" t="s">
        <v>5</v>
      </c>
      <c r="C3990" s="27" t="s">
        <v>51</v>
      </c>
      <c r="D3990" s="27" t="s">
        <v>51</v>
      </c>
      <c r="E3990" s="27" t="s">
        <v>15</v>
      </c>
      <c r="F3990" s="29">
        <v>5218</v>
      </c>
      <c r="G3990" s="30">
        <v>2.580823155115334</v>
      </c>
    </row>
    <row r="3991" spans="1:7" hidden="1" x14ac:dyDescent="0.25">
      <c r="A3991" s="28">
        <v>43831</v>
      </c>
      <c r="B3991" s="27" t="s">
        <v>5</v>
      </c>
      <c r="C3991" s="27" t="s">
        <v>51</v>
      </c>
      <c r="D3991" s="27" t="s">
        <v>51</v>
      </c>
      <c r="E3991" s="27" t="s">
        <v>16</v>
      </c>
      <c r="F3991" s="29">
        <v>4251</v>
      </c>
      <c r="G3991" s="30">
        <v>3.2584335583921775</v>
      </c>
    </row>
    <row r="3992" spans="1:7" hidden="1" x14ac:dyDescent="0.25">
      <c r="A3992" s="28">
        <v>43831</v>
      </c>
      <c r="B3992" s="27" t="s">
        <v>5</v>
      </c>
      <c r="C3992" s="27" t="s">
        <v>51</v>
      </c>
      <c r="D3992" s="27" t="s">
        <v>51</v>
      </c>
      <c r="E3992" s="27" t="s">
        <v>17</v>
      </c>
      <c r="F3992" s="29">
        <v>4103</v>
      </c>
      <c r="G3992" s="30">
        <v>3.6300821082277555</v>
      </c>
    </row>
    <row r="3993" spans="1:7" hidden="1" x14ac:dyDescent="0.25">
      <c r="A3993" s="28">
        <v>43831</v>
      </c>
      <c r="B3993" s="27" t="s">
        <v>5</v>
      </c>
      <c r="C3993" s="27" t="s">
        <v>51</v>
      </c>
      <c r="D3993" s="27" t="s">
        <v>51</v>
      </c>
      <c r="E3993" s="27" t="s">
        <v>18</v>
      </c>
      <c r="F3993" s="29">
        <v>3604</v>
      </c>
      <c r="G3993" s="30">
        <v>3.0865654522914761</v>
      </c>
    </row>
    <row r="3994" spans="1:7" hidden="1" x14ac:dyDescent="0.25">
      <c r="A3994" s="28">
        <v>43831</v>
      </c>
      <c r="B3994" s="27" t="s">
        <v>5</v>
      </c>
      <c r="C3994" s="27" t="s">
        <v>51</v>
      </c>
      <c r="D3994" s="27" t="s">
        <v>51</v>
      </c>
      <c r="E3994" s="27" t="s">
        <v>19</v>
      </c>
      <c r="F3994" s="29">
        <v>6096</v>
      </c>
      <c r="G3994" s="30">
        <v>2.7886201700664612</v>
      </c>
    </row>
    <row r="3995" spans="1:7" hidden="1" x14ac:dyDescent="0.25">
      <c r="A3995" s="28">
        <v>43831</v>
      </c>
      <c r="B3995" s="27" t="s">
        <v>5</v>
      </c>
      <c r="C3995" s="27" t="s">
        <v>51</v>
      </c>
      <c r="D3995" s="27" t="s">
        <v>51</v>
      </c>
      <c r="E3995" s="27" t="s">
        <v>20</v>
      </c>
      <c r="F3995" s="29">
        <v>5253</v>
      </c>
      <c r="G3995" s="30">
        <v>2.6655565499191218</v>
      </c>
    </row>
    <row r="3996" spans="1:7" hidden="1" x14ac:dyDescent="0.25">
      <c r="A3996" s="28">
        <v>43831</v>
      </c>
      <c r="B3996" s="27" t="s">
        <v>5</v>
      </c>
      <c r="C3996" s="27" t="s">
        <v>51</v>
      </c>
      <c r="D3996" s="27" t="s">
        <v>51</v>
      </c>
      <c r="E3996" s="27" t="s">
        <v>38</v>
      </c>
      <c r="F3996" s="29">
        <v>2746</v>
      </c>
      <c r="G3996" s="30">
        <v>3.6308759007253508</v>
      </c>
    </row>
    <row r="3997" spans="1:7" hidden="1" x14ac:dyDescent="0.25">
      <c r="A3997" s="28">
        <v>43831</v>
      </c>
      <c r="B3997" s="27" t="s">
        <v>5</v>
      </c>
      <c r="C3997" s="27" t="s">
        <v>51</v>
      </c>
      <c r="D3997" s="27" t="s">
        <v>51</v>
      </c>
      <c r="E3997" s="27" t="s">
        <v>23</v>
      </c>
      <c r="F3997" s="29">
        <v>4376</v>
      </c>
      <c r="G3997" s="30">
        <v>3.6845195894405425</v>
      </c>
    </row>
    <row r="3998" spans="1:7" hidden="1" x14ac:dyDescent="0.25">
      <c r="A3998" s="28">
        <v>43831</v>
      </c>
      <c r="B3998" s="27" t="s">
        <v>180</v>
      </c>
      <c r="C3998" s="27" t="s">
        <v>50</v>
      </c>
      <c r="D3998" s="27" t="s">
        <v>7</v>
      </c>
      <c r="E3998" s="27" t="s">
        <v>8</v>
      </c>
      <c r="F3998" s="29"/>
      <c r="G3998" s="30">
        <v>6117.84</v>
      </c>
    </row>
    <row r="3999" spans="1:7" hidden="1" x14ac:dyDescent="0.25">
      <c r="A3999" s="28">
        <v>43831</v>
      </c>
      <c r="B3999" s="27" t="s">
        <v>180</v>
      </c>
      <c r="C3999" s="27" t="s">
        <v>50</v>
      </c>
      <c r="D3999" s="27" t="s">
        <v>7</v>
      </c>
      <c r="E3999" s="27" t="s">
        <v>9</v>
      </c>
      <c r="F3999" s="29"/>
      <c r="G3999" s="30">
        <v>4416.5</v>
      </c>
    </row>
    <row r="4000" spans="1:7" hidden="1" x14ac:dyDescent="0.25">
      <c r="A4000" s="28">
        <v>43831</v>
      </c>
      <c r="B4000" s="27" t="s">
        <v>180</v>
      </c>
      <c r="C4000" s="27" t="s">
        <v>50</v>
      </c>
      <c r="D4000" s="27" t="s">
        <v>7</v>
      </c>
      <c r="E4000" s="27" t="s">
        <v>22</v>
      </c>
      <c r="F4000" s="29"/>
      <c r="G4000" s="30">
        <v>180</v>
      </c>
    </row>
    <row r="4001" spans="1:7" hidden="1" x14ac:dyDescent="0.25">
      <c r="A4001" s="28">
        <v>43831</v>
      </c>
      <c r="B4001" s="27" t="s">
        <v>180</v>
      </c>
      <c r="C4001" s="27" t="s">
        <v>50</v>
      </c>
      <c r="D4001" s="27" t="s">
        <v>7</v>
      </c>
      <c r="E4001" s="27" t="s">
        <v>64</v>
      </c>
      <c r="F4001" s="29"/>
      <c r="G4001" s="30">
        <v>233</v>
      </c>
    </row>
    <row r="4002" spans="1:7" hidden="1" x14ac:dyDescent="0.25">
      <c r="A4002" s="28">
        <v>43831</v>
      </c>
      <c r="B4002" s="27" t="s">
        <v>180</v>
      </c>
      <c r="C4002" s="27" t="s">
        <v>50</v>
      </c>
      <c r="D4002" s="27" t="s">
        <v>7</v>
      </c>
      <c r="E4002" s="27" t="s">
        <v>21</v>
      </c>
      <c r="F4002" s="29"/>
      <c r="G4002" s="30">
        <v>2481</v>
      </c>
    </row>
    <row r="4003" spans="1:7" hidden="1" x14ac:dyDescent="0.25">
      <c r="A4003" s="28">
        <v>43831</v>
      </c>
      <c r="B4003" s="27" t="s">
        <v>180</v>
      </c>
      <c r="C4003" s="27" t="s">
        <v>50</v>
      </c>
      <c r="D4003" s="27" t="s">
        <v>7</v>
      </c>
      <c r="E4003" s="27" t="s">
        <v>10</v>
      </c>
      <c r="F4003" s="29"/>
      <c r="G4003" s="30">
        <v>729</v>
      </c>
    </row>
    <row r="4004" spans="1:7" hidden="1" x14ac:dyDescent="0.25">
      <c r="A4004" s="28">
        <v>43831</v>
      </c>
      <c r="B4004" s="27" t="s">
        <v>180</v>
      </c>
      <c r="C4004" s="27" t="s">
        <v>50</v>
      </c>
      <c r="D4004" s="27" t="s">
        <v>7</v>
      </c>
      <c r="E4004" s="27" t="s">
        <v>11</v>
      </c>
      <c r="F4004" s="29"/>
      <c r="G4004" s="30">
        <v>1306</v>
      </c>
    </row>
    <row r="4005" spans="1:7" hidden="1" x14ac:dyDescent="0.25">
      <c r="A4005" s="28">
        <v>43831</v>
      </c>
      <c r="B4005" s="27" t="s">
        <v>180</v>
      </c>
      <c r="C4005" s="27" t="s">
        <v>50</v>
      </c>
      <c r="D4005" s="27" t="s">
        <v>7</v>
      </c>
      <c r="E4005" s="27" t="s">
        <v>12</v>
      </c>
      <c r="F4005" s="29"/>
      <c r="G4005" s="30">
        <v>3215</v>
      </c>
    </row>
    <row r="4006" spans="1:7" hidden="1" x14ac:dyDescent="0.25">
      <c r="A4006" s="28">
        <v>43831</v>
      </c>
      <c r="B4006" s="27" t="s">
        <v>180</v>
      </c>
      <c r="C4006" s="27" t="s">
        <v>50</v>
      </c>
      <c r="D4006" s="27" t="s">
        <v>7</v>
      </c>
      <c r="E4006" s="27" t="s">
        <v>13</v>
      </c>
      <c r="F4006" s="29"/>
      <c r="G4006" s="30">
        <v>150</v>
      </c>
    </row>
    <row r="4007" spans="1:7" hidden="1" x14ac:dyDescent="0.25">
      <c r="A4007" s="28">
        <v>43831</v>
      </c>
      <c r="B4007" s="27" t="s">
        <v>180</v>
      </c>
      <c r="C4007" s="27" t="s">
        <v>50</v>
      </c>
      <c r="D4007" s="27" t="s">
        <v>7</v>
      </c>
      <c r="E4007" s="27" t="s">
        <v>15</v>
      </c>
      <c r="F4007" s="29"/>
      <c r="G4007" s="30">
        <v>120</v>
      </c>
    </row>
    <row r="4008" spans="1:7" hidden="1" x14ac:dyDescent="0.25">
      <c r="A4008" s="28">
        <v>43831</v>
      </c>
      <c r="B4008" s="27" t="s">
        <v>180</v>
      </c>
      <c r="C4008" s="27" t="s">
        <v>50</v>
      </c>
      <c r="D4008" s="27" t="s">
        <v>7</v>
      </c>
      <c r="E4008" s="27" t="s">
        <v>16</v>
      </c>
      <c r="F4008" s="29"/>
      <c r="G4008" s="30">
        <v>80</v>
      </c>
    </row>
    <row r="4009" spans="1:7" hidden="1" x14ac:dyDescent="0.25">
      <c r="A4009" s="28">
        <v>43831</v>
      </c>
      <c r="B4009" s="27" t="s">
        <v>180</v>
      </c>
      <c r="C4009" s="27" t="s">
        <v>50</v>
      </c>
      <c r="D4009" s="27" t="s">
        <v>7</v>
      </c>
      <c r="E4009" s="27" t="s">
        <v>18</v>
      </c>
      <c r="F4009" s="29"/>
      <c r="G4009" s="30">
        <v>170</v>
      </c>
    </row>
    <row r="4010" spans="1:7" hidden="1" x14ac:dyDescent="0.25">
      <c r="A4010" s="28">
        <v>43831</v>
      </c>
      <c r="B4010" s="27" t="s">
        <v>180</v>
      </c>
      <c r="C4010" s="27" t="s">
        <v>50</v>
      </c>
      <c r="D4010" s="27" t="s">
        <v>7</v>
      </c>
      <c r="E4010" s="27" t="s">
        <v>19</v>
      </c>
      <c r="F4010" s="29"/>
      <c r="G4010" s="30">
        <v>940</v>
      </c>
    </row>
    <row r="4011" spans="1:7" hidden="1" x14ac:dyDescent="0.25">
      <c r="A4011" s="28">
        <v>43831</v>
      </c>
      <c r="B4011" s="27" t="s">
        <v>180</v>
      </c>
      <c r="C4011" s="27" t="s">
        <v>50</v>
      </c>
      <c r="D4011" s="27" t="s">
        <v>7</v>
      </c>
      <c r="E4011" s="27" t="s">
        <v>20</v>
      </c>
      <c r="F4011" s="29"/>
      <c r="G4011" s="30">
        <v>1648.8</v>
      </c>
    </row>
    <row r="4012" spans="1:7" hidden="1" x14ac:dyDescent="0.25">
      <c r="A4012" s="28">
        <v>43831</v>
      </c>
      <c r="B4012" s="27" t="s">
        <v>180</v>
      </c>
      <c r="C4012" s="27" t="s">
        <v>50</v>
      </c>
      <c r="D4012" s="27" t="s">
        <v>7</v>
      </c>
      <c r="E4012" s="27" t="s">
        <v>23</v>
      </c>
      <c r="F4012" s="29"/>
      <c r="G4012" s="30">
        <v>740</v>
      </c>
    </row>
    <row r="4013" spans="1:7" hidden="1" x14ac:dyDescent="0.25">
      <c r="A4013" s="28">
        <v>43831</v>
      </c>
      <c r="B4013" s="27" t="s">
        <v>181</v>
      </c>
      <c r="C4013" s="27" t="s">
        <v>50</v>
      </c>
      <c r="D4013" s="27" t="s">
        <v>6</v>
      </c>
      <c r="E4013" s="27" t="s">
        <v>8</v>
      </c>
      <c r="F4013" s="29"/>
      <c r="G4013" s="30">
        <v>70</v>
      </c>
    </row>
    <row r="4014" spans="1:7" hidden="1" x14ac:dyDescent="0.25">
      <c r="A4014" s="28">
        <v>43831</v>
      </c>
      <c r="B4014" s="27" t="s">
        <v>181</v>
      </c>
      <c r="C4014" s="27" t="s">
        <v>50</v>
      </c>
      <c r="D4014" s="27" t="s">
        <v>6</v>
      </c>
      <c r="E4014" s="27" t="s">
        <v>9</v>
      </c>
      <c r="F4014" s="29"/>
      <c r="G4014" s="30">
        <v>170</v>
      </c>
    </row>
    <row r="4015" spans="1:7" hidden="1" x14ac:dyDescent="0.25">
      <c r="A4015" s="28">
        <v>43831</v>
      </c>
      <c r="B4015" s="27" t="s">
        <v>181</v>
      </c>
      <c r="C4015" s="27" t="s">
        <v>50</v>
      </c>
      <c r="D4015" s="27" t="s">
        <v>6</v>
      </c>
      <c r="E4015" s="27" t="s">
        <v>10</v>
      </c>
      <c r="F4015" s="29"/>
      <c r="G4015" s="30">
        <v>359.99</v>
      </c>
    </row>
    <row r="4016" spans="1:7" hidden="1" x14ac:dyDescent="0.25">
      <c r="A4016" s="28">
        <v>43831</v>
      </c>
      <c r="B4016" s="27" t="s">
        <v>181</v>
      </c>
      <c r="C4016" s="27" t="s">
        <v>50</v>
      </c>
      <c r="D4016" s="27" t="s">
        <v>6</v>
      </c>
      <c r="E4016" s="27" t="s">
        <v>12</v>
      </c>
      <c r="F4016" s="29"/>
      <c r="G4016" s="30">
        <v>114.98</v>
      </c>
    </row>
    <row r="4017" spans="1:7" hidden="1" x14ac:dyDescent="0.25">
      <c r="A4017" s="28">
        <v>43831</v>
      </c>
      <c r="B4017" s="27" t="s">
        <v>181</v>
      </c>
      <c r="C4017" s="27" t="s">
        <v>50</v>
      </c>
      <c r="D4017" s="27" t="s">
        <v>6</v>
      </c>
      <c r="E4017" s="27" t="s">
        <v>16</v>
      </c>
      <c r="F4017" s="29"/>
      <c r="G4017" s="30">
        <v>215</v>
      </c>
    </row>
    <row r="4018" spans="1:7" hidden="1" x14ac:dyDescent="0.25">
      <c r="A4018" s="28">
        <v>43831</v>
      </c>
      <c r="B4018" s="27" t="s">
        <v>181</v>
      </c>
      <c r="C4018" s="27" t="s">
        <v>50</v>
      </c>
      <c r="D4018" s="27" t="s">
        <v>6</v>
      </c>
      <c r="E4018" s="27" t="s">
        <v>17</v>
      </c>
      <c r="F4018" s="29"/>
      <c r="G4018" s="30">
        <v>179.99</v>
      </c>
    </row>
    <row r="4019" spans="1:7" hidden="1" x14ac:dyDescent="0.25">
      <c r="A4019" s="28">
        <v>43831</v>
      </c>
      <c r="B4019" s="27" t="s">
        <v>181</v>
      </c>
      <c r="C4019" s="27" t="s">
        <v>50</v>
      </c>
      <c r="D4019" s="27" t="s">
        <v>6</v>
      </c>
      <c r="E4019" s="27" t="s">
        <v>19</v>
      </c>
      <c r="F4019" s="29"/>
      <c r="G4019" s="30">
        <v>20</v>
      </c>
    </row>
    <row r="4020" spans="1:7" hidden="1" x14ac:dyDescent="0.25">
      <c r="A4020" s="28">
        <v>43831</v>
      </c>
      <c r="B4020" s="27" t="s">
        <v>181</v>
      </c>
      <c r="C4020" s="27" t="s">
        <v>50</v>
      </c>
      <c r="D4020" s="27" t="s">
        <v>6</v>
      </c>
      <c r="E4020" s="27" t="s">
        <v>38</v>
      </c>
      <c r="F4020" s="29"/>
      <c r="G4020" s="30">
        <v>452.07</v>
      </c>
    </row>
    <row r="4021" spans="1:7" hidden="1" x14ac:dyDescent="0.25">
      <c r="A4021" s="28">
        <v>43831</v>
      </c>
      <c r="B4021" s="27" t="s">
        <v>25</v>
      </c>
      <c r="C4021" s="27" t="s">
        <v>50</v>
      </c>
      <c r="D4021" s="27" t="s">
        <v>7</v>
      </c>
      <c r="E4021" s="27" t="s">
        <v>16</v>
      </c>
      <c r="F4021" s="29"/>
      <c r="G4021" s="30">
        <v>104.13</v>
      </c>
    </row>
    <row r="4022" spans="1:7" hidden="1" x14ac:dyDescent="0.25">
      <c r="A4022" s="28">
        <v>43831</v>
      </c>
      <c r="B4022" s="27" t="s">
        <v>2</v>
      </c>
      <c r="C4022" s="27" t="s">
        <v>50</v>
      </c>
      <c r="D4022" s="27" t="s">
        <v>7</v>
      </c>
      <c r="E4022" s="27" t="s">
        <v>8</v>
      </c>
      <c r="F4022" s="29"/>
      <c r="G4022" s="30">
        <v>296.07</v>
      </c>
    </row>
    <row r="4023" spans="1:7" hidden="1" x14ac:dyDescent="0.25">
      <c r="A4023" s="28">
        <v>43831</v>
      </c>
      <c r="B4023" s="27" t="s">
        <v>2</v>
      </c>
      <c r="C4023" s="27" t="s">
        <v>50</v>
      </c>
      <c r="D4023" s="27" t="s">
        <v>7</v>
      </c>
      <c r="E4023" s="27" t="s">
        <v>9</v>
      </c>
      <c r="F4023" s="29"/>
      <c r="G4023" s="30">
        <v>226.9</v>
      </c>
    </row>
    <row r="4024" spans="1:7" hidden="1" x14ac:dyDescent="0.25">
      <c r="A4024" s="28">
        <v>43831</v>
      </c>
      <c r="B4024" s="27" t="s">
        <v>2</v>
      </c>
      <c r="C4024" s="27" t="s">
        <v>50</v>
      </c>
      <c r="D4024" s="27" t="s">
        <v>7</v>
      </c>
      <c r="E4024" s="27" t="s">
        <v>22</v>
      </c>
      <c r="F4024" s="29"/>
      <c r="G4024" s="30">
        <v>668</v>
      </c>
    </row>
    <row r="4025" spans="1:7" hidden="1" x14ac:dyDescent="0.25">
      <c r="A4025" s="28">
        <v>43831</v>
      </c>
      <c r="B4025" s="27" t="s">
        <v>2</v>
      </c>
      <c r="C4025" s="27" t="s">
        <v>50</v>
      </c>
      <c r="D4025" s="27" t="s">
        <v>7</v>
      </c>
      <c r="E4025" s="27" t="s">
        <v>64</v>
      </c>
      <c r="F4025" s="29"/>
      <c r="G4025" s="30">
        <v>379.27</v>
      </c>
    </row>
    <row r="4026" spans="1:7" hidden="1" x14ac:dyDescent="0.25">
      <c r="A4026" s="28">
        <v>43831</v>
      </c>
      <c r="B4026" s="27" t="s">
        <v>2</v>
      </c>
      <c r="C4026" s="27" t="s">
        <v>50</v>
      </c>
      <c r="D4026" s="27" t="s">
        <v>7</v>
      </c>
      <c r="E4026" s="27" t="s">
        <v>21</v>
      </c>
      <c r="F4026" s="29"/>
      <c r="G4026" s="30">
        <v>263.87</v>
      </c>
    </row>
    <row r="4027" spans="1:7" hidden="1" x14ac:dyDescent="0.25">
      <c r="A4027" s="28">
        <v>43831</v>
      </c>
      <c r="B4027" s="27" t="s">
        <v>2</v>
      </c>
      <c r="C4027" s="27" t="s">
        <v>50</v>
      </c>
      <c r="D4027" s="27" t="s">
        <v>7</v>
      </c>
      <c r="E4027" s="27" t="s">
        <v>10</v>
      </c>
      <c r="F4027" s="29"/>
      <c r="G4027" s="30">
        <v>635.07000000000005</v>
      </c>
    </row>
    <row r="4028" spans="1:7" hidden="1" x14ac:dyDescent="0.25">
      <c r="A4028" s="28">
        <v>43831</v>
      </c>
      <c r="B4028" s="27" t="s">
        <v>2</v>
      </c>
      <c r="C4028" s="27" t="s">
        <v>50</v>
      </c>
      <c r="D4028" s="27" t="s">
        <v>7</v>
      </c>
      <c r="E4028" s="27" t="s">
        <v>11</v>
      </c>
      <c r="F4028" s="29"/>
      <c r="G4028" s="30">
        <v>395.67</v>
      </c>
    </row>
    <row r="4029" spans="1:7" hidden="1" x14ac:dyDescent="0.25">
      <c r="A4029" s="28">
        <v>43831</v>
      </c>
      <c r="B4029" s="27" t="s">
        <v>2</v>
      </c>
      <c r="C4029" s="27" t="s">
        <v>50</v>
      </c>
      <c r="D4029" s="27" t="s">
        <v>7</v>
      </c>
      <c r="E4029" s="27" t="s">
        <v>12</v>
      </c>
      <c r="F4029" s="29"/>
      <c r="G4029" s="30">
        <v>149.07</v>
      </c>
    </row>
    <row r="4030" spans="1:7" hidden="1" x14ac:dyDescent="0.25">
      <c r="A4030" s="28">
        <v>43831</v>
      </c>
      <c r="B4030" s="27" t="s">
        <v>2</v>
      </c>
      <c r="C4030" s="27" t="s">
        <v>50</v>
      </c>
      <c r="D4030" s="27" t="s">
        <v>7</v>
      </c>
      <c r="E4030" s="27" t="s">
        <v>13</v>
      </c>
      <c r="F4030" s="29"/>
      <c r="G4030" s="30">
        <v>462.2</v>
      </c>
    </row>
    <row r="4031" spans="1:7" hidden="1" x14ac:dyDescent="0.25">
      <c r="A4031" s="28">
        <v>43831</v>
      </c>
      <c r="B4031" s="27" t="s">
        <v>2</v>
      </c>
      <c r="C4031" s="27" t="s">
        <v>50</v>
      </c>
      <c r="D4031" s="27" t="s">
        <v>7</v>
      </c>
      <c r="E4031" s="27" t="s">
        <v>14</v>
      </c>
      <c r="F4031" s="29"/>
      <c r="G4031" s="30">
        <v>69.72</v>
      </c>
    </row>
    <row r="4032" spans="1:7" hidden="1" x14ac:dyDescent="0.25">
      <c r="A4032" s="28">
        <v>43831</v>
      </c>
      <c r="B4032" s="27" t="s">
        <v>2</v>
      </c>
      <c r="C4032" s="27" t="s">
        <v>50</v>
      </c>
      <c r="D4032" s="27" t="s">
        <v>7</v>
      </c>
      <c r="E4032" s="27" t="s">
        <v>15</v>
      </c>
      <c r="F4032" s="29"/>
      <c r="G4032" s="30">
        <v>285.20999999999998</v>
      </c>
    </row>
    <row r="4033" spans="1:7" hidden="1" x14ac:dyDescent="0.25">
      <c r="A4033" s="28">
        <v>43831</v>
      </c>
      <c r="B4033" s="27" t="s">
        <v>2</v>
      </c>
      <c r="C4033" s="27" t="s">
        <v>50</v>
      </c>
      <c r="D4033" s="27" t="s">
        <v>7</v>
      </c>
      <c r="E4033" s="27" t="s">
        <v>16</v>
      </c>
      <c r="F4033" s="29"/>
      <c r="G4033" s="30">
        <v>379.41</v>
      </c>
    </row>
    <row r="4034" spans="1:7" hidden="1" x14ac:dyDescent="0.25">
      <c r="A4034" s="28">
        <v>43831</v>
      </c>
      <c r="B4034" s="27" t="s">
        <v>2</v>
      </c>
      <c r="C4034" s="27" t="s">
        <v>50</v>
      </c>
      <c r="D4034" s="27" t="s">
        <v>7</v>
      </c>
      <c r="E4034" s="27" t="s">
        <v>17</v>
      </c>
      <c r="F4034" s="29"/>
      <c r="G4034" s="30">
        <v>653.19000000000005</v>
      </c>
    </row>
    <row r="4035" spans="1:7" hidden="1" x14ac:dyDescent="0.25">
      <c r="A4035" s="28">
        <v>43831</v>
      </c>
      <c r="B4035" s="27" t="s">
        <v>2</v>
      </c>
      <c r="C4035" s="27" t="s">
        <v>50</v>
      </c>
      <c r="D4035" s="27" t="s">
        <v>7</v>
      </c>
      <c r="E4035" s="27" t="s">
        <v>18</v>
      </c>
      <c r="F4035" s="29"/>
      <c r="G4035" s="30">
        <v>49.72</v>
      </c>
    </row>
    <row r="4036" spans="1:7" hidden="1" x14ac:dyDescent="0.25">
      <c r="A4036" s="28">
        <v>43831</v>
      </c>
      <c r="B4036" s="27" t="s">
        <v>2</v>
      </c>
      <c r="C4036" s="27" t="s">
        <v>50</v>
      </c>
      <c r="D4036" s="27" t="s">
        <v>7</v>
      </c>
      <c r="E4036" s="27" t="s">
        <v>19</v>
      </c>
      <c r="F4036" s="29"/>
      <c r="G4036" s="30">
        <v>801.31</v>
      </c>
    </row>
    <row r="4037" spans="1:7" hidden="1" x14ac:dyDescent="0.25">
      <c r="A4037" s="28">
        <v>43831</v>
      </c>
      <c r="B4037" s="27" t="s">
        <v>2</v>
      </c>
      <c r="C4037" s="27" t="s">
        <v>50</v>
      </c>
      <c r="D4037" s="27" t="s">
        <v>7</v>
      </c>
      <c r="E4037" s="27" t="s">
        <v>20</v>
      </c>
      <c r="F4037" s="29"/>
      <c r="G4037" s="30">
        <v>461.22</v>
      </c>
    </row>
    <row r="4038" spans="1:7" hidden="1" x14ac:dyDescent="0.25">
      <c r="A4038" s="28">
        <v>43831</v>
      </c>
      <c r="B4038" s="27" t="s">
        <v>2</v>
      </c>
      <c r="C4038" s="27" t="s">
        <v>50</v>
      </c>
      <c r="D4038" s="27" t="s">
        <v>7</v>
      </c>
      <c r="E4038" s="27" t="s">
        <v>38</v>
      </c>
      <c r="F4038" s="29"/>
      <c r="G4038" s="30">
        <v>109.32</v>
      </c>
    </row>
    <row r="4039" spans="1:7" hidden="1" x14ac:dyDescent="0.25">
      <c r="A4039" s="28">
        <v>43831</v>
      </c>
      <c r="B4039" s="27" t="s">
        <v>2</v>
      </c>
      <c r="C4039" s="27" t="s">
        <v>50</v>
      </c>
      <c r="D4039" s="27" t="s">
        <v>7</v>
      </c>
      <c r="E4039" s="27" t="s">
        <v>23</v>
      </c>
      <c r="F4039" s="29"/>
      <c r="G4039" s="30">
        <v>270.14999999999998</v>
      </c>
    </row>
    <row r="4040" spans="1:7" hidden="1" x14ac:dyDescent="0.25">
      <c r="A4040" s="28">
        <v>43831</v>
      </c>
      <c r="B4040" s="27" t="s">
        <v>36</v>
      </c>
      <c r="C4040" s="27" t="s">
        <v>50</v>
      </c>
      <c r="D4040" s="27" t="s">
        <v>6</v>
      </c>
      <c r="E4040" s="27" t="s">
        <v>8</v>
      </c>
      <c r="F4040" s="29"/>
      <c r="G4040" s="30">
        <v>321.07</v>
      </c>
    </row>
    <row r="4041" spans="1:7" hidden="1" x14ac:dyDescent="0.25">
      <c r="A4041" s="28">
        <v>43831</v>
      </c>
      <c r="B4041" s="27" t="s">
        <v>36</v>
      </c>
      <c r="C4041" s="27" t="s">
        <v>50</v>
      </c>
      <c r="D4041" s="27" t="s">
        <v>6</v>
      </c>
      <c r="E4041" s="27" t="s">
        <v>9</v>
      </c>
      <c r="F4041" s="29"/>
      <c r="G4041" s="30">
        <v>56</v>
      </c>
    </row>
    <row r="4042" spans="1:7" hidden="1" x14ac:dyDescent="0.25">
      <c r="A4042" s="28">
        <v>43831</v>
      </c>
      <c r="B4042" s="27" t="s">
        <v>36</v>
      </c>
      <c r="C4042" s="27" t="s">
        <v>50</v>
      </c>
      <c r="D4042" s="27" t="s">
        <v>6</v>
      </c>
      <c r="E4042" s="27" t="s">
        <v>22</v>
      </c>
      <c r="F4042" s="29"/>
      <c r="G4042" s="30">
        <v>230.85</v>
      </c>
    </row>
    <row r="4043" spans="1:7" hidden="1" x14ac:dyDescent="0.25">
      <c r="A4043" s="28">
        <v>43831</v>
      </c>
      <c r="B4043" s="27" t="s">
        <v>36</v>
      </c>
      <c r="C4043" s="27" t="s">
        <v>50</v>
      </c>
      <c r="D4043" s="27" t="s">
        <v>6</v>
      </c>
      <c r="E4043" s="27" t="s">
        <v>64</v>
      </c>
      <c r="F4043" s="29"/>
      <c r="G4043" s="30">
        <v>56</v>
      </c>
    </row>
    <row r="4044" spans="1:7" hidden="1" x14ac:dyDescent="0.25">
      <c r="A4044" s="28">
        <v>43831</v>
      </c>
      <c r="B4044" s="27" t="s">
        <v>36</v>
      </c>
      <c r="C4044" s="27" t="s">
        <v>50</v>
      </c>
      <c r="D4044" s="27" t="s">
        <v>6</v>
      </c>
      <c r="E4044" s="27" t="s">
        <v>21</v>
      </c>
      <c r="F4044" s="29"/>
      <c r="G4044" s="30">
        <v>92.28</v>
      </c>
    </row>
    <row r="4045" spans="1:7" hidden="1" x14ac:dyDescent="0.25">
      <c r="A4045" s="28">
        <v>43831</v>
      </c>
      <c r="B4045" s="27" t="s">
        <v>36</v>
      </c>
      <c r="C4045" s="27" t="s">
        <v>50</v>
      </c>
      <c r="D4045" s="27" t="s">
        <v>6</v>
      </c>
      <c r="E4045" s="27" t="s">
        <v>10</v>
      </c>
      <c r="F4045" s="29"/>
      <c r="G4045" s="30">
        <v>441.07</v>
      </c>
    </row>
    <row r="4046" spans="1:7" hidden="1" x14ac:dyDescent="0.25">
      <c r="A4046" s="28">
        <v>43831</v>
      </c>
      <c r="B4046" s="27" t="s">
        <v>36</v>
      </c>
      <c r="C4046" s="27" t="s">
        <v>50</v>
      </c>
      <c r="D4046" s="27" t="s">
        <v>6</v>
      </c>
      <c r="E4046" s="27" t="s">
        <v>11</v>
      </c>
      <c r="F4046" s="29"/>
      <c r="G4046" s="30">
        <v>242.85</v>
      </c>
    </row>
    <row r="4047" spans="1:7" hidden="1" x14ac:dyDescent="0.25">
      <c r="A4047" s="28">
        <v>43831</v>
      </c>
      <c r="B4047" s="27" t="s">
        <v>36</v>
      </c>
      <c r="C4047" s="27" t="s">
        <v>50</v>
      </c>
      <c r="D4047" s="27" t="s">
        <v>6</v>
      </c>
      <c r="E4047" s="27" t="s">
        <v>12</v>
      </c>
      <c r="F4047" s="29"/>
      <c r="G4047" s="30">
        <v>78.69</v>
      </c>
    </row>
    <row r="4048" spans="1:7" hidden="1" x14ac:dyDescent="0.25">
      <c r="A4048" s="28">
        <v>43831</v>
      </c>
      <c r="B4048" s="27" t="s">
        <v>36</v>
      </c>
      <c r="C4048" s="27" t="s">
        <v>50</v>
      </c>
      <c r="D4048" s="27" t="s">
        <v>6</v>
      </c>
      <c r="E4048" s="27" t="s">
        <v>13</v>
      </c>
      <c r="F4048" s="29"/>
      <c r="G4048" s="30">
        <v>56</v>
      </c>
    </row>
    <row r="4049" spans="1:7" hidden="1" x14ac:dyDescent="0.25">
      <c r="A4049" s="28">
        <v>43831</v>
      </c>
      <c r="B4049" s="27" t="s">
        <v>36</v>
      </c>
      <c r="C4049" s="27" t="s">
        <v>50</v>
      </c>
      <c r="D4049" s="27" t="s">
        <v>6</v>
      </c>
      <c r="E4049" s="27" t="s">
        <v>14</v>
      </c>
      <c r="F4049" s="29"/>
      <c r="G4049" s="30">
        <v>78.69</v>
      </c>
    </row>
    <row r="4050" spans="1:7" hidden="1" x14ac:dyDescent="0.25">
      <c r="A4050" s="28">
        <v>43831</v>
      </c>
      <c r="B4050" s="27" t="s">
        <v>36</v>
      </c>
      <c r="C4050" s="27" t="s">
        <v>50</v>
      </c>
      <c r="D4050" s="27" t="s">
        <v>6</v>
      </c>
      <c r="E4050" s="27" t="s">
        <v>15</v>
      </c>
      <c r="F4050" s="29"/>
      <c r="G4050" s="30">
        <v>269.14</v>
      </c>
    </row>
    <row r="4051" spans="1:7" hidden="1" x14ac:dyDescent="0.25">
      <c r="A4051" s="28">
        <v>43831</v>
      </c>
      <c r="B4051" s="27" t="s">
        <v>36</v>
      </c>
      <c r="C4051" s="27" t="s">
        <v>50</v>
      </c>
      <c r="D4051" s="27" t="s">
        <v>6</v>
      </c>
      <c r="E4051" s="27" t="s">
        <v>16</v>
      </c>
      <c r="F4051" s="29"/>
      <c r="G4051" s="30">
        <v>281.14</v>
      </c>
    </row>
    <row r="4052" spans="1:7" hidden="1" x14ac:dyDescent="0.25">
      <c r="A4052" s="28">
        <v>43831</v>
      </c>
      <c r="B4052" s="27" t="s">
        <v>36</v>
      </c>
      <c r="C4052" s="27" t="s">
        <v>50</v>
      </c>
      <c r="D4052" s="27" t="s">
        <v>6</v>
      </c>
      <c r="E4052" s="27" t="s">
        <v>17</v>
      </c>
      <c r="F4052" s="29"/>
      <c r="G4052" s="30">
        <v>270.86</v>
      </c>
    </row>
    <row r="4053" spans="1:7" hidden="1" x14ac:dyDescent="0.25">
      <c r="A4053" s="28">
        <v>43831</v>
      </c>
      <c r="B4053" s="27" t="s">
        <v>36</v>
      </c>
      <c r="C4053" s="27" t="s">
        <v>50</v>
      </c>
      <c r="D4053" s="27" t="s">
        <v>6</v>
      </c>
      <c r="E4053" s="27" t="s">
        <v>18</v>
      </c>
      <c r="F4053" s="29"/>
      <c r="G4053" s="30">
        <v>56</v>
      </c>
    </row>
    <row r="4054" spans="1:7" hidden="1" x14ac:dyDescent="0.25">
      <c r="A4054" s="28">
        <v>43831</v>
      </c>
      <c r="B4054" s="27" t="s">
        <v>36</v>
      </c>
      <c r="C4054" s="27" t="s">
        <v>50</v>
      </c>
      <c r="D4054" s="27" t="s">
        <v>6</v>
      </c>
      <c r="E4054" s="27" t="s">
        <v>19</v>
      </c>
      <c r="F4054" s="29"/>
      <c r="G4054" s="30">
        <v>269.13</v>
      </c>
    </row>
    <row r="4055" spans="1:7" hidden="1" x14ac:dyDescent="0.25">
      <c r="A4055" s="28">
        <v>43831</v>
      </c>
      <c r="B4055" s="27" t="s">
        <v>36</v>
      </c>
      <c r="C4055" s="27" t="s">
        <v>50</v>
      </c>
      <c r="D4055" s="27" t="s">
        <v>6</v>
      </c>
      <c r="E4055" s="27" t="s">
        <v>20</v>
      </c>
      <c r="F4055" s="29"/>
      <c r="G4055" s="30">
        <v>56</v>
      </c>
    </row>
    <row r="4056" spans="1:7" hidden="1" x14ac:dyDescent="0.25">
      <c r="A4056" s="28">
        <v>43831</v>
      </c>
      <c r="B4056" s="27" t="s">
        <v>36</v>
      </c>
      <c r="C4056" s="27" t="s">
        <v>50</v>
      </c>
      <c r="D4056" s="27" t="s">
        <v>6</v>
      </c>
      <c r="E4056" s="27" t="s">
        <v>38</v>
      </c>
      <c r="F4056" s="29"/>
      <c r="G4056" s="30">
        <v>56</v>
      </c>
    </row>
    <row r="4057" spans="1:7" hidden="1" x14ac:dyDescent="0.25">
      <c r="A4057" s="28">
        <v>43831</v>
      </c>
      <c r="B4057" s="27" t="s">
        <v>36</v>
      </c>
      <c r="C4057" s="27" t="s">
        <v>50</v>
      </c>
      <c r="D4057" s="27" t="s">
        <v>6</v>
      </c>
      <c r="E4057" s="27" t="s">
        <v>23</v>
      </c>
      <c r="F4057" s="29"/>
      <c r="G4057" s="30">
        <v>322.86</v>
      </c>
    </row>
    <row r="4058" spans="1:7" hidden="1" x14ac:dyDescent="0.25">
      <c r="A4058" s="28">
        <v>43831</v>
      </c>
      <c r="B4058" s="27" t="s">
        <v>200</v>
      </c>
      <c r="C4058" s="27" t="s">
        <v>53</v>
      </c>
      <c r="D4058" s="27" t="s">
        <v>6</v>
      </c>
      <c r="E4058" s="27" t="s">
        <v>8</v>
      </c>
      <c r="F4058" s="29"/>
      <c r="G4058" s="30">
        <f t="shared" ref="G4058:G4075" si="72">7450.42111111111/18</f>
        <v>413.91228395061722</v>
      </c>
    </row>
    <row r="4059" spans="1:7" hidden="1" x14ac:dyDescent="0.25">
      <c r="A4059" s="28">
        <v>43831</v>
      </c>
      <c r="B4059" s="27" t="s">
        <v>200</v>
      </c>
      <c r="C4059" s="27" t="s">
        <v>53</v>
      </c>
      <c r="D4059" s="27" t="s">
        <v>6</v>
      </c>
      <c r="E4059" s="27" t="s">
        <v>9</v>
      </c>
      <c r="F4059" s="29"/>
      <c r="G4059" s="30">
        <f t="shared" si="72"/>
        <v>413.91228395061722</v>
      </c>
    </row>
    <row r="4060" spans="1:7" hidden="1" x14ac:dyDescent="0.25">
      <c r="A4060" s="28">
        <v>43831</v>
      </c>
      <c r="B4060" s="27" t="s">
        <v>200</v>
      </c>
      <c r="C4060" s="27" t="s">
        <v>53</v>
      </c>
      <c r="D4060" s="27" t="s">
        <v>6</v>
      </c>
      <c r="E4060" s="27" t="s">
        <v>22</v>
      </c>
      <c r="F4060" s="29"/>
      <c r="G4060" s="30">
        <f t="shared" si="72"/>
        <v>413.91228395061722</v>
      </c>
    </row>
    <row r="4061" spans="1:7" hidden="1" x14ac:dyDescent="0.25">
      <c r="A4061" s="28">
        <v>43831</v>
      </c>
      <c r="B4061" s="27" t="s">
        <v>200</v>
      </c>
      <c r="C4061" s="27" t="s">
        <v>53</v>
      </c>
      <c r="D4061" s="27" t="s">
        <v>6</v>
      </c>
      <c r="E4061" s="27" t="s">
        <v>64</v>
      </c>
      <c r="F4061" s="29"/>
      <c r="G4061" s="30">
        <f t="shared" si="72"/>
        <v>413.91228395061722</v>
      </c>
    </row>
    <row r="4062" spans="1:7" hidden="1" x14ac:dyDescent="0.25">
      <c r="A4062" s="28">
        <v>43831</v>
      </c>
      <c r="B4062" s="27" t="s">
        <v>200</v>
      </c>
      <c r="C4062" s="27" t="s">
        <v>53</v>
      </c>
      <c r="D4062" s="27" t="s">
        <v>6</v>
      </c>
      <c r="E4062" s="27" t="s">
        <v>21</v>
      </c>
      <c r="F4062" s="29"/>
      <c r="G4062" s="30">
        <f t="shared" si="72"/>
        <v>413.91228395061722</v>
      </c>
    </row>
    <row r="4063" spans="1:7" hidden="1" x14ac:dyDescent="0.25">
      <c r="A4063" s="28">
        <v>43831</v>
      </c>
      <c r="B4063" s="27" t="s">
        <v>200</v>
      </c>
      <c r="C4063" s="27" t="s">
        <v>53</v>
      </c>
      <c r="D4063" s="27" t="s">
        <v>6</v>
      </c>
      <c r="E4063" s="27" t="s">
        <v>10</v>
      </c>
      <c r="F4063" s="29"/>
      <c r="G4063" s="30">
        <f t="shared" si="72"/>
        <v>413.91228395061722</v>
      </c>
    </row>
    <row r="4064" spans="1:7" hidden="1" x14ac:dyDescent="0.25">
      <c r="A4064" s="28">
        <v>43831</v>
      </c>
      <c r="B4064" s="27" t="s">
        <v>200</v>
      </c>
      <c r="C4064" s="27" t="s">
        <v>53</v>
      </c>
      <c r="D4064" s="27" t="s">
        <v>6</v>
      </c>
      <c r="E4064" s="27" t="s">
        <v>11</v>
      </c>
      <c r="F4064" s="29"/>
      <c r="G4064" s="30">
        <f t="shared" si="72"/>
        <v>413.91228395061722</v>
      </c>
    </row>
    <row r="4065" spans="1:7" hidden="1" x14ac:dyDescent="0.25">
      <c r="A4065" s="28">
        <v>43831</v>
      </c>
      <c r="B4065" s="27" t="s">
        <v>200</v>
      </c>
      <c r="C4065" s="27" t="s">
        <v>53</v>
      </c>
      <c r="D4065" s="27" t="s">
        <v>6</v>
      </c>
      <c r="E4065" s="27" t="s">
        <v>12</v>
      </c>
      <c r="F4065" s="29"/>
      <c r="G4065" s="30">
        <f t="shared" si="72"/>
        <v>413.91228395061722</v>
      </c>
    </row>
    <row r="4066" spans="1:7" hidden="1" x14ac:dyDescent="0.25">
      <c r="A4066" s="28">
        <v>43831</v>
      </c>
      <c r="B4066" s="27" t="s">
        <v>200</v>
      </c>
      <c r="C4066" s="27" t="s">
        <v>53</v>
      </c>
      <c r="D4066" s="27" t="s">
        <v>6</v>
      </c>
      <c r="E4066" s="27" t="s">
        <v>13</v>
      </c>
      <c r="F4066" s="29"/>
      <c r="G4066" s="30">
        <f t="shared" si="72"/>
        <v>413.91228395061722</v>
      </c>
    </row>
    <row r="4067" spans="1:7" hidden="1" x14ac:dyDescent="0.25">
      <c r="A4067" s="28">
        <v>43831</v>
      </c>
      <c r="B4067" s="27" t="s">
        <v>200</v>
      </c>
      <c r="C4067" s="27" t="s">
        <v>53</v>
      </c>
      <c r="D4067" s="27" t="s">
        <v>6</v>
      </c>
      <c r="E4067" s="27" t="s">
        <v>14</v>
      </c>
      <c r="F4067" s="29"/>
      <c r="G4067" s="30">
        <f t="shared" si="72"/>
        <v>413.91228395061722</v>
      </c>
    </row>
    <row r="4068" spans="1:7" hidden="1" x14ac:dyDescent="0.25">
      <c r="A4068" s="28">
        <v>43831</v>
      </c>
      <c r="B4068" s="27" t="s">
        <v>200</v>
      </c>
      <c r="C4068" s="27" t="s">
        <v>53</v>
      </c>
      <c r="D4068" s="27" t="s">
        <v>6</v>
      </c>
      <c r="E4068" s="27" t="s">
        <v>15</v>
      </c>
      <c r="F4068" s="29"/>
      <c r="G4068" s="30">
        <f t="shared" si="72"/>
        <v>413.91228395061722</v>
      </c>
    </row>
    <row r="4069" spans="1:7" hidden="1" x14ac:dyDescent="0.25">
      <c r="A4069" s="28">
        <v>43831</v>
      </c>
      <c r="B4069" s="27" t="s">
        <v>200</v>
      </c>
      <c r="C4069" s="27" t="s">
        <v>53</v>
      </c>
      <c r="D4069" s="27" t="s">
        <v>6</v>
      </c>
      <c r="E4069" s="27" t="s">
        <v>16</v>
      </c>
      <c r="F4069" s="29"/>
      <c r="G4069" s="30">
        <f t="shared" si="72"/>
        <v>413.91228395061722</v>
      </c>
    </row>
    <row r="4070" spans="1:7" hidden="1" x14ac:dyDescent="0.25">
      <c r="A4070" s="28">
        <v>43831</v>
      </c>
      <c r="B4070" s="27" t="s">
        <v>200</v>
      </c>
      <c r="C4070" s="27" t="s">
        <v>53</v>
      </c>
      <c r="D4070" s="27" t="s">
        <v>6</v>
      </c>
      <c r="E4070" s="27" t="s">
        <v>17</v>
      </c>
      <c r="F4070" s="29"/>
      <c r="G4070" s="30">
        <f t="shared" si="72"/>
        <v>413.91228395061722</v>
      </c>
    </row>
    <row r="4071" spans="1:7" hidden="1" x14ac:dyDescent="0.25">
      <c r="A4071" s="28">
        <v>43831</v>
      </c>
      <c r="B4071" s="27" t="s">
        <v>200</v>
      </c>
      <c r="C4071" s="27" t="s">
        <v>53</v>
      </c>
      <c r="D4071" s="27" t="s">
        <v>6</v>
      </c>
      <c r="E4071" s="27" t="s">
        <v>18</v>
      </c>
      <c r="F4071" s="29"/>
      <c r="G4071" s="30">
        <f t="shared" si="72"/>
        <v>413.91228395061722</v>
      </c>
    </row>
    <row r="4072" spans="1:7" hidden="1" x14ac:dyDescent="0.25">
      <c r="A4072" s="28">
        <v>43831</v>
      </c>
      <c r="B4072" s="27" t="s">
        <v>200</v>
      </c>
      <c r="C4072" s="27" t="s">
        <v>53</v>
      </c>
      <c r="D4072" s="27" t="s">
        <v>6</v>
      </c>
      <c r="E4072" s="27" t="s">
        <v>19</v>
      </c>
      <c r="F4072" s="29"/>
      <c r="G4072" s="30">
        <f t="shared" si="72"/>
        <v>413.91228395061722</v>
      </c>
    </row>
    <row r="4073" spans="1:7" hidden="1" x14ac:dyDescent="0.25">
      <c r="A4073" s="28">
        <v>43831</v>
      </c>
      <c r="B4073" s="27" t="s">
        <v>200</v>
      </c>
      <c r="C4073" s="27" t="s">
        <v>53</v>
      </c>
      <c r="D4073" s="27" t="s">
        <v>6</v>
      </c>
      <c r="E4073" s="27" t="s">
        <v>20</v>
      </c>
      <c r="F4073" s="29"/>
      <c r="G4073" s="30">
        <f t="shared" si="72"/>
        <v>413.91228395061722</v>
      </c>
    </row>
    <row r="4074" spans="1:7" hidden="1" x14ac:dyDescent="0.25">
      <c r="A4074" s="28">
        <v>43831</v>
      </c>
      <c r="B4074" s="27" t="s">
        <v>200</v>
      </c>
      <c r="C4074" s="27" t="s">
        <v>53</v>
      </c>
      <c r="D4074" s="27" t="s">
        <v>6</v>
      </c>
      <c r="E4074" s="27" t="s">
        <v>38</v>
      </c>
      <c r="F4074" s="29"/>
      <c r="G4074" s="30">
        <f t="shared" si="72"/>
        <v>413.91228395061722</v>
      </c>
    </row>
    <row r="4075" spans="1:7" hidden="1" x14ac:dyDescent="0.25">
      <c r="A4075" s="28">
        <v>43831</v>
      </c>
      <c r="B4075" s="27" t="s">
        <v>200</v>
      </c>
      <c r="C4075" s="27" t="s">
        <v>53</v>
      </c>
      <c r="D4075" s="27" t="s">
        <v>6</v>
      </c>
      <c r="E4075" s="27" t="s">
        <v>23</v>
      </c>
      <c r="F4075" s="29"/>
      <c r="G4075" s="30">
        <f t="shared" si="72"/>
        <v>413.91228395061722</v>
      </c>
    </row>
    <row r="4076" spans="1:7" hidden="1" x14ac:dyDescent="0.25">
      <c r="A4076" s="28">
        <v>43831</v>
      </c>
      <c r="B4076" s="27" t="s">
        <v>200</v>
      </c>
      <c r="C4076" s="27" t="s">
        <v>54</v>
      </c>
      <c r="D4076" s="27" t="s">
        <v>7</v>
      </c>
      <c r="E4076" s="27" t="s">
        <v>8</v>
      </c>
      <c r="F4076" s="29"/>
      <c r="G4076" s="30">
        <f t="shared" ref="G4076:G4094" si="73">52.28/19</f>
        <v>2.7515789473684209</v>
      </c>
    </row>
    <row r="4077" spans="1:7" hidden="1" x14ac:dyDescent="0.25">
      <c r="A4077" s="28">
        <v>43831</v>
      </c>
      <c r="B4077" s="27" t="s">
        <v>200</v>
      </c>
      <c r="C4077" s="27" t="s">
        <v>54</v>
      </c>
      <c r="D4077" s="27" t="s">
        <v>7</v>
      </c>
      <c r="E4077" s="27" t="s">
        <v>9</v>
      </c>
      <c r="F4077" s="29"/>
      <c r="G4077" s="30">
        <f t="shared" si="73"/>
        <v>2.7515789473684209</v>
      </c>
    </row>
    <row r="4078" spans="1:7" hidden="1" x14ac:dyDescent="0.25">
      <c r="A4078" s="28">
        <v>43831</v>
      </c>
      <c r="B4078" s="27" t="s">
        <v>200</v>
      </c>
      <c r="C4078" s="27" t="s">
        <v>54</v>
      </c>
      <c r="D4078" s="27" t="s">
        <v>7</v>
      </c>
      <c r="E4078" s="27" t="s">
        <v>22</v>
      </c>
      <c r="F4078" s="29"/>
      <c r="G4078" s="30">
        <f t="shared" si="73"/>
        <v>2.7515789473684209</v>
      </c>
    </row>
    <row r="4079" spans="1:7" hidden="1" x14ac:dyDescent="0.25">
      <c r="A4079" s="28">
        <v>43831</v>
      </c>
      <c r="B4079" s="27" t="s">
        <v>200</v>
      </c>
      <c r="C4079" s="27" t="s">
        <v>54</v>
      </c>
      <c r="D4079" s="27" t="s">
        <v>7</v>
      </c>
      <c r="E4079" s="27" t="s">
        <v>64</v>
      </c>
      <c r="F4079" s="29"/>
      <c r="G4079" s="30">
        <f t="shared" si="73"/>
        <v>2.7515789473684209</v>
      </c>
    </row>
    <row r="4080" spans="1:7" hidden="1" x14ac:dyDescent="0.25">
      <c r="A4080" s="28">
        <v>43831</v>
      </c>
      <c r="B4080" s="27" t="s">
        <v>200</v>
      </c>
      <c r="C4080" s="27" t="s">
        <v>54</v>
      </c>
      <c r="D4080" s="27" t="s">
        <v>7</v>
      </c>
      <c r="E4080" s="27" t="s">
        <v>21</v>
      </c>
      <c r="F4080" s="29"/>
      <c r="G4080" s="30">
        <f t="shared" si="73"/>
        <v>2.7515789473684209</v>
      </c>
    </row>
    <row r="4081" spans="1:7" hidden="1" x14ac:dyDescent="0.25">
      <c r="A4081" s="28">
        <v>43831</v>
      </c>
      <c r="B4081" s="27" t="s">
        <v>200</v>
      </c>
      <c r="C4081" s="27" t="s">
        <v>54</v>
      </c>
      <c r="D4081" s="27" t="s">
        <v>7</v>
      </c>
      <c r="E4081" s="27" t="s">
        <v>10</v>
      </c>
      <c r="F4081" s="29"/>
      <c r="G4081" s="30">
        <f t="shared" si="73"/>
        <v>2.7515789473684209</v>
      </c>
    </row>
    <row r="4082" spans="1:7" hidden="1" x14ac:dyDescent="0.25">
      <c r="A4082" s="28">
        <v>43831</v>
      </c>
      <c r="B4082" s="27" t="s">
        <v>200</v>
      </c>
      <c r="C4082" s="27" t="s">
        <v>54</v>
      </c>
      <c r="D4082" s="27" t="s">
        <v>7</v>
      </c>
      <c r="E4082" s="27" t="s">
        <v>11</v>
      </c>
      <c r="F4082" s="29"/>
      <c r="G4082" s="30">
        <f t="shared" si="73"/>
        <v>2.7515789473684209</v>
      </c>
    </row>
    <row r="4083" spans="1:7" hidden="1" x14ac:dyDescent="0.25">
      <c r="A4083" s="28">
        <v>43831</v>
      </c>
      <c r="B4083" s="27" t="s">
        <v>200</v>
      </c>
      <c r="C4083" s="27" t="s">
        <v>54</v>
      </c>
      <c r="D4083" s="27" t="s">
        <v>7</v>
      </c>
      <c r="E4083" s="27" t="s">
        <v>12</v>
      </c>
      <c r="F4083" s="29"/>
      <c r="G4083" s="30">
        <f t="shared" si="73"/>
        <v>2.7515789473684209</v>
      </c>
    </row>
    <row r="4084" spans="1:7" hidden="1" x14ac:dyDescent="0.25">
      <c r="A4084" s="28">
        <v>43831</v>
      </c>
      <c r="B4084" s="27" t="s">
        <v>200</v>
      </c>
      <c r="C4084" s="27" t="s">
        <v>54</v>
      </c>
      <c r="D4084" s="27" t="s">
        <v>7</v>
      </c>
      <c r="E4084" s="27" t="s">
        <v>13</v>
      </c>
      <c r="F4084" s="29"/>
      <c r="G4084" s="30">
        <f t="shared" si="73"/>
        <v>2.7515789473684209</v>
      </c>
    </row>
    <row r="4085" spans="1:7" hidden="1" x14ac:dyDescent="0.25">
      <c r="A4085" s="28">
        <v>43831</v>
      </c>
      <c r="B4085" s="27" t="s">
        <v>200</v>
      </c>
      <c r="C4085" s="27" t="s">
        <v>54</v>
      </c>
      <c r="D4085" s="27" t="s">
        <v>7</v>
      </c>
      <c r="E4085" s="27" t="s">
        <v>14</v>
      </c>
      <c r="F4085" s="29"/>
      <c r="G4085" s="30">
        <f t="shared" si="73"/>
        <v>2.7515789473684209</v>
      </c>
    </row>
    <row r="4086" spans="1:7" hidden="1" x14ac:dyDescent="0.25">
      <c r="A4086" s="28">
        <v>43831</v>
      </c>
      <c r="B4086" s="27" t="s">
        <v>200</v>
      </c>
      <c r="C4086" s="27" t="s">
        <v>54</v>
      </c>
      <c r="D4086" s="27" t="s">
        <v>7</v>
      </c>
      <c r="E4086" s="27" t="s">
        <v>15</v>
      </c>
      <c r="F4086" s="29"/>
      <c r="G4086" s="30">
        <f t="shared" si="73"/>
        <v>2.7515789473684209</v>
      </c>
    </row>
    <row r="4087" spans="1:7" hidden="1" x14ac:dyDescent="0.25">
      <c r="A4087" s="28">
        <v>43831</v>
      </c>
      <c r="B4087" s="27" t="s">
        <v>200</v>
      </c>
      <c r="C4087" s="27" t="s">
        <v>54</v>
      </c>
      <c r="D4087" s="27" t="s">
        <v>7</v>
      </c>
      <c r="E4087" s="27" t="s">
        <v>16</v>
      </c>
      <c r="F4087" s="29"/>
      <c r="G4087" s="30">
        <f t="shared" si="73"/>
        <v>2.7515789473684209</v>
      </c>
    </row>
    <row r="4088" spans="1:7" hidden="1" x14ac:dyDescent="0.25">
      <c r="A4088" s="28">
        <v>43831</v>
      </c>
      <c r="B4088" s="27" t="s">
        <v>200</v>
      </c>
      <c r="C4088" s="27" t="s">
        <v>54</v>
      </c>
      <c r="D4088" s="27" t="s">
        <v>7</v>
      </c>
      <c r="E4088" s="27" t="s">
        <v>17</v>
      </c>
      <c r="F4088" s="29"/>
      <c r="G4088" s="30">
        <f t="shared" si="73"/>
        <v>2.7515789473684209</v>
      </c>
    </row>
    <row r="4089" spans="1:7" hidden="1" x14ac:dyDescent="0.25">
      <c r="A4089" s="28">
        <v>43831</v>
      </c>
      <c r="B4089" s="27" t="s">
        <v>200</v>
      </c>
      <c r="C4089" s="27" t="s">
        <v>54</v>
      </c>
      <c r="D4089" s="27" t="s">
        <v>7</v>
      </c>
      <c r="E4089" s="27" t="s">
        <v>18</v>
      </c>
      <c r="F4089" s="29"/>
      <c r="G4089" s="30">
        <f t="shared" si="73"/>
        <v>2.7515789473684209</v>
      </c>
    </row>
    <row r="4090" spans="1:7" hidden="1" x14ac:dyDescent="0.25">
      <c r="A4090" s="28">
        <v>43831</v>
      </c>
      <c r="B4090" s="27" t="s">
        <v>200</v>
      </c>
      <c r="C4090" s="27" t="s">
        <v>54</v>
      </c>
      <c r="D4090" s="27" t="s">
        <v>7</v>
      </c>
      <c r="E4090" s="27" t="s">
        <v>19</v>
      </c>
      <c r="F4090" s="29"/>
      <c r="G4090" s="30">
        <f t="shared" si="73"/>
        <v>2.7515789473684209</v>
      </c>
    </row>
    <row r="4091" spans="1:7" hidden="1" x14ac:dyDescent="0.25">
      <c r="A4091" s="28">
        <v>43831</v>
      </c>
      <c r="B4091" s="27" t="s">
        <v>200</v>
      </c>
      <c r="C4091" s="27" t="s">
        <v>54</v>
      </c>
      <c r="D4091" s="27" t="s">
        <v>7</v>
      </c>
      <c r="E4091" s="27" t="s">
        <v>20</v>
      </c>
      <c r="F4091" s="29"/>
      <c r="G4091" s="30">
        <f t="shared" si="73"/>
        <v>2.7515789473684209</v>
      </c>
    </row>
    <row r="4092" spans="1:7" hidden="1" x14ac:dyDescent="0.25">
      <c r="A4092" s="28">
        <v>43831</v>
      </c>
      <c r="B4092" s="27" t="s">
        <v>200</v>
      </c>
      <c r="C4092" s="27" t="s">
        <v>54</v>
      </c>
      <c r="D4092" s="27" t="s">
        <v>7</v>
      </c>
      <c r="E4092" s="27" t="s">
        <v>38</v>
      </c>
      <c r="F4092" s="29"/>
      <c r="G4092" s="30">
        <f t="shared" si="73"/>
        <v>2.7515789473684209</v>
      </c>
    </row>
    <row r="4093" spans="1:7" hidden="1" x14ac:dyDescent="0.25">
      <c r="A4093" s="28">
        <v>43831</v>
      </c>
      <c r="B4093" s="27" t="s">
        <v>200</v>
      </c>
      <c r="C4093" s="27" t="s">
        <v>54</v>
      </c>
      <c r="D4093" s="27" t="s">
        <v>7</v>
      </c>
      <c r="E4093" s="27" t="s">
        <v>23</v>
      </c>
      <c r="F4093" s="29"/>
      <c r="G4093" s="30">
        <f t="shared" si="73"/>
        <v>2.7515789473684209</v>
      </c>
    </row>
    <row r="4094" spans="1:7" hidden="1" x14ac:dyDescent="0.25">
      <c r="A4094" s="28">
        <v>43831</v>
      </c>
      <c r="B4094" s="27" t="s">
        <v>200</v>
      </c>
      <c r="C4094" s="27" t="s">
        <v>54</v>
      </c>
      <c r="D4094" s="27" t="s">
        <v>7</v>
      </c>
      <c r="E4094" s="27" t="s">
        <v>37</v>
      </c>
      <c r="F4094" s="29"/>
      <c r="G4094" s="30">
        <f t="shared" si="73"/>
        <v>2.7515789473684209</v>
      </c>
    </row>
    <row r="4095" spans="1:7" hidden="1" x14ac:dyDescent="0.25">
      <c r="A4095" s="28">
        <v>43831</v>
      </c>
      <c r="B4095" s="27" t="s">
        <v>200</v>
      </c>
      <c r="C4095" s="27" t="s">
        <v>55</v>
      </c>
      <c r="D4095" s="27" t="s">
        <v>6</v>
      </c>
      <c r="E4095" s="27" t="s">
        <v>8</v>
      </c>
      <c r="F4095" s="29"/>
      <c r="G4095" s="30">
        <f t="shared" ref="G4095:G4112" si="74">20990.5958666667/18</f>
        <v>1166.1442148148167</v>
      </c>
    </row>
    <row r="4096" spans="1:7" hidden="1" x14ac:dyDescent="0.25">
      <c r="A4096" s="28">
        <v>43831</v>
      </c>
      <c r="B4096" s="27" t="s">
        <v>200</v>
      </c>
      <c r="C4096" s="27" t="s">
        <v>55</v>
      </c>
      <c r="D4096" s="27" t="s">
        <v>6</v>
      </c>
      <c r="E4096" s="27" t="s">
        <v>9</v>
      </c>
      <c r="F4096" s="29"/>
      <c r="G4096" s="30">
        <f t="shared" si="74"/>
        <v>1166.1442148148167</v>
      </c>
    </row>
    <row r="4097" spans="1:7" hidden="1" x14ac:dyDescent="0.25">
      <c r="A4097" s="28">
        <v>43831</v>
      </c>
      <c r="B4097" s="27" t="s">
        <v>200</v>
      </c>
      <c r="C4097" s="27" t="s">
        <v>55</v>
      </c>
      <c r="D4097" s="27" t="s">
        <v>6</v>
      </c>
      <c r="E4097" s="27" t="s">
        <v>22</v>
      </c>
      <c r="F4097" s="29"/>
      <c r="G4097" s="30">
        <f t="shared" si="74"/>
        <v>1166.1442148148167</v>
      </c>
    </row>
    <row r="4098" spans="1:7" hidden="1" x14ac:dyDescent="0.25">
      <c r="A4098" s="28">
        <v>43831</v>
      </c>
      <c r="B4098" s="27" t="s">
        <v>200</v>
      </c>
      <c r="C4098" s="27" t="s">
        <v>55</v>
      </c>
      <c r="D4098" s="27" t="s">
        <v>6</v>
      </c>
      <c r="E4098" s="27" t="s">
        <v>64</v>
      </c>
      <c r="F4098" s="29"/>
      <c r="G4098" s="30">
        <f t="shared" si="74"/>
        <v>1166.1442148148167</v>
      </c>
    </row>
    <row r="4099" spans="1:7" hidden="1" x14ac:dyDescent="0.25">
      <c r="A4099" s="28">
        <v>43831</v>
      </c>
      <c r="B4099" s="27" t="s">
        <v>200</v>
      </c>
      <c r="C4099" s="27" t="s">
        <v>55</v>
      </c>
      <c r="D4099" s="27" t="s">
        <v>6</v>
      </c>
      <c r="E4099" s="27" t="s">
        <v>21</v>
      </c>
      <c r="F4099" s="29"/>
      <c r="G4099" s="30">
        <f t="shared" si="74"/>
        <v>1166.1442148148167</v>
      </c>
    </row>
    <row r="4100" spans="1:7" hidden="1" x14ac:dyDescent="0.25">
      <c r="A4100" s="28">
        <v>43831</v>
      </c>
      <c r="B4100" s="27" t="s">
        <v>200</v>
      </c>
      <c r="C4100" s="27" t="s">
        <v>55</v>
      </c>
      <c r="D4100" s="27" t="s">
        <v>6</v>
      </c>
      <c r="E4100" s="27" t="s">
        <v>10</v>
      </c>
      <c r="F4100" s="29"/>
      <c r="G4100" s="30">
        <f t="shared" si="74"/>
        <v>1166.1442148148167</v>
      </c>
    </row>
    <row r="4101" spans="1:7" hidden="1" x14ac:dyDescent="0.25">
      <c r="A4101" s="28">
        <v>43831</v>
      </c>
      <c r="B4101" s="27" t="s">
        <v>200</v>
      </c>
      <c r="C4101" s="27" t="s">
        <v>55</v>
      </c>
      <c r="D4101" s="27" t="s">
        <v>6</v>
      </c>
      <c r="E4101" s="27" t="s">
        <v>11</v>
      </c>
      <c r="F4101" s="29"/>
      <c r="G4101" s="30">
        <f t="shared" si="74"/>
        <v>1166.1442148148167</v>
      </c>
    </row>
    <row r="4102" spans="1:7" hidden="1" x14ac:dyDescent="0.25">
      <c r="A4102" s="28">
        <v>43831</v>
      </c>
      <c r="B4102" s="27" t="s">
        <v>200</v>
      </c>
      <c r="C4102" s="27" t="s">
        <v>55</v>
      </c>
      <c r="D4102" s="27" t="s">
        <v>6</v>
      </c>
      <c r="E4102" s="27" t="s">
        <v>12</v>
      </c>
      <c r="F4102" s="29"/>
      <c r="G4102" s="30">
        <f t="shared" si="74"/>
        <v>1166.1442148148167</v>
      </c>
    </row>
    <row r="4103" spans="1:7" hidden="1" x14ac:dyDescent="0.25">
      <c r="A4103" s="28">
        <v>43831</v>
      </c>
      <c r="B4103" s="27" t="s">
        <v>200</v>
      </c>
      <c r="C4103" s="27" t="s">
        <v>55</v>
      </c>
      <c r="D4103" s="27" t="s">
        <v>6</v>
      </c>
      <c r="E4103" s="27" t="s">
        <v>13</v>
      </c>
      <c r="F4103" s="29"/>
      <c r="G4103" s="30">
        <f t="shared" si="74"/>
        <v>1166.1442148148167</v>
      </c>
    </row>
    <row r="4104" spans="1:7" hidden="1" x14ac:dyDescent="0.25">
      <c r="A4104" s="28">
        <v>43831</v>
      </c>
      <c r="B4104" s="27" t="s">
        <v>200</v>
      </c>
      <c r="C4104" s="27" t="s">
        <v>55</v>
      </c>
      <c r="D4104" s="27" t="s">
        <v>6</v>
      </c>
      <c r="E4104" s="27" t="s">
        <v>14</v>
      </c>
      <c r="F4104" s="29"/>
      <c r="G4104" s="30">
        <f t="shared" si="74"/>
        <v>1166.1442148148167</v>
      </c>
    </row>
    <row r="4105" spans="1:7" hidden="1" x14ac:dyDescent="0.25">
      <c r="A4105" s="28">
        <v>43831</v>
      </c>
      <c r="B4105" s="27" t="s">
        <v>200</v>
      </c>
      <c r="C4105" s="27" t="s">
        <v>55</v>
      </c>
      <c r="D4105" s="27" t="s">
        <v>6</v>
      </c>
      <c r="E4105" s="27" t="s">
        <v>15</v>
      </c>
      <c r="F4105" s="29"/>
      <c r="G4105" s="30">
        <f t="shared" si="74"/>
        <v>1166.1442148148167</v>
      </c>
    </row>
    <row r="4106" spans="1:7" hidden="1" x14ac:dyDescent="0.25">
      <c r="A4106" s="28">
        <v>43831</v>
      </c>
      <c r="B4106" s="27" t="s">
        <v>200</v>
      </c>
      <c r="C4106" s="27" t="s">
        <v>55</v>
      </c>
      <c r="D4106" s="27" t="s">
        <v>6</v>
      </c>
      <c r="E4106" s="27" t="s">
        <v>16</v>
      </c>
      <c r="F4106" s="29"/>
      <c r="G4106" s="30">
        <f t="shared" si="74"/>
        <v>1166.1442148148167</v>
      </c>
    </row>
    <row r="4107" spans="1:7" hidden="1" x14ac:dyDescent="0.25">
      <c r="A4107" s="28">
        <v>43831</v>
      </c>
      <c r="B4107" s="27" t="s">
        <v>200</v>
      </c>
      <c r="C4107" s="27" t="s">
        <v>55</v>
      </c>
      <c r="D4107" s="27" t="s">
        <v>6</v>
      </c>
      <c r="E4107" s="27" t="s">
        <v>17</v>
      </c>
      <c r="F4107" s="29"/>
      <c r="G4107" s="30">
        <f t="shared" si="74"/>
        <v>1166.1442148148167</v>
      </c>
    </row>
    <row r="4108" spans="1:7" hidden="1" x14ac:dyDescent="0.25">
      <c r="A4108" s="28">
        <v>43831</v>
      </c>
      <c r="B4108" s="27" t="s">
        <v>200</v>
      </c>
      <c r="C4108" s="27" t="s">
        <v>55</v>
      </c>
      <c r="D4108" s="27" t="s">
        <v>6</v>
      </c>
      <c r="E4108" s="27" t="s">
        <v>18</v>
      </c>
      <c r="F4108" s="29"/>
      <c r="G4108" s="30">
        <f t="shared" si="74"/>
        <v>1166.1442148148167</v>
      </c>
    </row>
    <row r="4109" spans="1:7" hidden="1" x14ac:dyDescent="0.25">
      <c r="A4109" s="28">
        <v>43831</v>
      </c>
      <c r="B4109" s="27" t="s">
        <v>200</v>
      </c>
      <c r="C4109" s="27" t="s">
        <v>55</v>
      </c>
      <c r="D4109" s="27" t="s">
        <v>6</v>
      </c>
      <c r="E4109" s="27" t="s">
        <v>19</v>
      </c>
      <c r="F4109" s="29"/>
      <c r="G4109" s="30">
        <f t="shared" si="74"/>
        <v>1166.1442148148167</v>
      </c>
    </row>
    <row r="4110" spans="1:7" hidden="1" x14ac:dyDescent="0.25">
      <c r="A4110" s="28">
        <v>43831</v>
      </c>
      <c r="B4110" s="27" t="s">
        <v>200</v>
      </c>
      <c r="C4110" s="27" t="s">
        <v>55</v>
      </c>
      <c r="D4110" s="27" t="s">
        <v>6</v>
      </c>
      <c r="E4110" s="27" t="s">
        <v>20</v>
      </c>
      <c r="F4110" s="29"/>
      <c r="G4110" s="30">
        <f t="shared" si="74"/>
        <v>1166.1442148148167</v>
      </c>
    </row>
    <row r="4111" spans="1:7" hidden="1" x14ac:dyDescent="0.25">
      <c r="A4111" s="28">
        <v>43831</v>
      </c>
      <c r="B4111" s="27" t="s">
        <v>200</v>
      </c>
      <c r="C4111" s="27" t="s">
        <v>55</v>
      </c>
      <c r="D4111" s="27" t="s">
        <v>6</v>
      </c>
      <c r="E4111" s="27" t="s">
        <v>38</v>
      </c>
      <c r="F4111" s="29"/>
      <c r="G4111" s="30">
        <f t="shared" si="74"/>
        <v>1166.1442148148167</v>
      </c>
    </row>
    <row r="4112" spans="1:7" hidden="1" x14ac:dyDescent="0.25">
      <c r="A4112" s="28">
        <v>43831</v>
      </c>
      <c r="B4112" s="27" t="s">
        <v>200</v>
      </c>
      <c r="C4112" s="27" t="s">
        <v>55</v>
      </c>
      <c r="D4112" s="27" t="s">
        <v>6</v>
      </c>
      <c r="E4112" s="27" t="s">
        <v>23</v>
      </c>
      <c r="F4112" s="29"/>
      <c r="G4112" s="30">
        <f t="shared" si="74"/>
        <v>1166.1442148148167</v>
      </c>
    </row>
    <row r="4113" spans="1:7" hidden="1" x14ac:dyDescent="0.25">
      <c r="A4113" s="28">
        <v>43831</v>
      </c>
      <c r="B4113" s="27" t="s">
        <v>200</v>
      </c>
      <c r="C4113" s="27" t="s">
        <v>183</v>
      </c>
      <c r="D4113" s="27" t="s">
        <v>7</v>
      </c>
      <c r="E4113" s="27" t="s">
        <v>8</v>
      </c>
      <c r="F4113" s="29"/>
      <c r="G4113" s="30">
        <f t="shared" ref="G4113:G4131" si="75">545.84/19</f>
        <v>28.728421052631582</v>
      </c>
    </row>
    <row r="4114" spans="1:7" hidden="1" x14ac:dyDescent="0.25">
      <c r="A4114" s="28">
        <v>43831</v>
      </c>
      <c r="B4114" s="27" t="s">
        <v>200</v>
      </c>
      <c r="C4114" s="27" t="s">
        <v>183</v>
      </c>
      <c r="D4114" s="27" t="s">
        <v>7</v>
      </c>
      <c r="E4114" s="27" t="s">
        <v>9</v>
      </c>
      <c r="F4114" s="29"/>
      <c r="G4114" s="30">
        <f t="shared" si="75"/>
        <v>28.728421052631582</v>
      </c>
    </row>
    <row r="4115" spans="1:7" hidden="1" x14ac:dyDescent="0.25">
      <c r="A4115" s="28">
        <v>43831</v>
      </c>
      <c r="B4115" s="27" t="s">
        <v>200</v>
      </c>
      <c r="C4115" s="27" t="s">
        <v>183</v>
      </c>
      <c r="D4115" s="27" t="s">
        <v>7</v>
      </c>
      <c r="E4115" s="27" t="s">
        <v>22</v>
      </c>
      <c r="F4115" s="29"/>
      <c r="G4115" s="30">
        <f t="shared" si="75"/>
        <v>28.728421052631582</v>
      </c>
    </row>
    <row r="4116" spans="1:7" hidden="1" x14ac:dyDescent="0.25">
      <c r="A4116" s="28">
        <v>43831</v>
      </c>
      <c r="B4116" s="27" t="s">
        <v>200</v>
      </c>
      <c r="C4116" s="27" t="s">
        <v>183</v>
      </c>
      <c r="D4116" s="27" t="s">
        <v>7</v>
      </c>
      <c r="E4116" s="27" t="s">
        <v>64</v>
      </c>
      <c r="F4116" s="29"/>
      <c r="G4116" s="30">
        <f t="shared" si="75"/>
        <v>28.728421052631582</v>
      </c>
    </row>
    <row r="4117" spans="1:7" hidden="1" x14ac:dyDescent="0.25">
      <c r="A4117" s="28">
        <v>43831</v>
      </c>
      <c r="B4117" s="27" t="s">
        <v>200</v>
      </c>
      <c r="C4117" s="27" t="s">
        <v>183</v>
      </c>
      <c r="D4117" s="27" t="s">
        <v>7</v>
      </c>
      <c r="E4117" s="27" t="s">
        <v>21</v>
      </c>
      <c r="F4117" s="29"/>
      <c r="G4117" s="30">
        <f t="shared" si="75"/>
        <v>28.728421052631582</v>
      </c>
    </row>
    <row r="4118" spans="1:7" hidden="1" x14ac:dyDescent="0.25">
      <c r="A4118" s="28">
        <v>43831</v>
      </c>
      <c r="B4118" s="27" t="s">
        <v>200</v>
      </c>
      <c r="C4118" s="27" t="s">
        <v>183</v>
      </c>
      <c r="D4118" s="27" t="s">
        <v>7</v>
      </c>
      <c r="E4118" s="27" t="s">
        <v>10</v>
      </c>
      <c r="F4118" s="29"/>
      <c r="G4118" s="30">
        <f t="shared" si="75"/>
        <v>28.728421052631582</v>
      </c>
    </row>
    <row r="4119" spans="1:7" hidden="1" x14ac:dyDescent="0.25">
      <c r="A4119" s="28">
        <v>43831</v>
      </c>
      <c r="B4119" s="27" t="s">
        <v>200</v>
      </c>
      <c r="C4119" s="27" t="s">
        <v>183</v>
      </c>
      <c r="D4119" s="27" t="s">
        <v>7</v>
      </c>
      <c r="E4119" s="27" t="s">
        <v>11</v>
      </c>
      <c r="F4119" s="29"/>
      <c r="G4119" s="30">
        <f t="shared" si="75"/>
        <v>28.728421052631582</v>
      </c>
    </row>
    <row r="4120" spans="1:7" hidden="1" x14ac:dyDescent="0.25">
      <c r="A4120" s="28">
        <v>43831</v>
      </c>
      <c r="B4120" s="27" t="s">
        <v>200</v>
      </c>
      <c r="C4120" s="27" t="s">
        <v>183</v>
      </c>
      <c r="D4120" s="27" t="s">
        <v>7</v>
      </c>
      <c r="E4120" s="27" t="s">
        <v>12</v>
      </c>
      <c r="F4120" s="29"/>
      <c r="G4120" s="30">
        <f t="shared" si="75"/>
        <v>28.728421052631582</v>
      </c>
    </row>
    <row r="4121" spans="1:7" hidden="1" x14ac:dyDescent="0.25">
      <c r="A4121" s="28">
        <v>43831</v>
      </c>
      <c r="B4121" s="27" t="s">
        <v>200</v>
      </c>
      <c r="C4121" s="27" t="s">
        <v>183</v>
      </c>
      <c r="D4121" s="27" t="s">
        <v>7</v>
      </c>
      <c r="E4121" s="27" t="s">
        <v>13</v>
      </c>
      <c r="F4121" s="29"/>
      <c r="G4121" s="30">
        <f t="shared" si="75"/>
        <v>28.728421052631582</v>
      </c>
    </row>
    <row r="4122" spans="1:7" hidden="1" x14ac:dyDescent="0.25">
      <c r="A4122" s="28">
        <v>43831</v>
      </c>
      <c r="B4122" s="27" t="s">
        <v>200</v>
      </c>
      <c r="C4122" s="27" t="s">
        <v>183</v>
      </c>
      <c r="D4122" s="27" t="s">
        <v>7</v>
      </c>
      <c r="E4122" s="27" t="s">
        <v>14</v>
      </c>
      <c r="F4122" s="29"/>
      <c r="G4122" s="30">
        <f t="shared" si="75"/>
        <v>28.728421052631582</v>
      </c>
    </row>
    <row r="4123" spans="1:7" hidden="1" x14ac:dyDescent="0.25">
      <c r="A4123" s="28">
        <v>43831</v>
      </c>
      <c r="B4123" s="27" t="s">
        <v>200</v>
      </c>
      <c r="C4123" s="27" t="s">
        <v>183</v>
      </c>
      <c r="D4123" s="27" t="s">
        <v>7</v>
      </c>
      <c r="E4123" s="27" t="s">
        <v>15</v>
      </c>
      <c r="F4123" s="29"/>
      <c r="G4123" s="30">
        <f t="shared" si="75"/>
        <v>28.728421052631582</v>
      </c>
    </row>
    <row r="4124" spans="1:7" hidden="1" x14ac:dyDescent="0.25">
      <c r="A4124" s="28">
        <v>43831</v>
      </c>
      <c r="B4124" s="27" t="s">
        <v>200</v>
      </c>
      <c r="C4124" s="27" t="s">
        <v>183</v>
      </c>
      <c r="D4124" s="27" t="s">
        <v>7</v>
      </c>
      <c r="E4124" s="27" t="s">
        <v>16</v>
      </c>
      <c r="F4124" s="29"/>
      <c r="G4124" s="30">
        <f t="shared" si="75"/>
        <v>28.728421052631582</v>
      </c>
    </row>
    <row r="4125" spans="1:7" hidden="1" x14ac:dyDescent="0.25">
      <c r="A4125" s="28">
        <v>43831</v>
      </c>
      <c r="B4125" s="27" t="s">
        <v>200</v>
      </c>
      <c r="C4125" s="27" t="s">
        <v>183</v>
      </c>
      <c r="D4125" s="27" t="s">
        <v>7</v>
      </c>
      <c r="E4125" s="27" t="s">
        <v>17</v>
      </c>
      <c r="F4125" s="29"/>
      <c r="G4125" s="30">
        <f t="shared" si="75"/>
        <v>28.728421052631582</v>
      </c>
    </row>
    <row r="4126" spans="1:7" hidden="1" x14ac:dyDescent="0.25">
      <c r="A4126" s="28">
        <v>43831</v>
      </c>
      <c r="B4126" s="27" t="s">
        <v>200</v>
      </c>
      <c r="C4126" s="27" t="s">
        <v>183</v>
      </c>
      <c r="D4126" s="27" t="s">
        <v>7</v>
      </c>
      <c r="E4126" s="27" t="s">
        <v>18</v>
      </c>
      <c r="F4126" s="29"/>
      <c r="G4126" s="30">
        <f t="shared" si="75"/>
        <v>28.728421052631582</v>
      </c>
    </row>
    <row r="4127" spans="1:7" hidden="1" x14ac:dyDescent="0.25">
      <c r="A4127" s="28">
        <v>43831</v>
      </c>
      <c r="B4127" s="27" t="s">
        <v>200</v>
      </c>
      <c r="C4127" s="27" t="s">
        <v>183</v>
      </c>
      <c r="D4127" s="27" t="s">
        <v>7</v>
      </c>
      <c r="E4127" s="27" t="s">
        <v>19</v>
      </c>
      <c r="F4127" s="29"/>
      <c r="G4127" s="30">
        <f t="shared" si="75"/>
        <v>28.728421052631582</v>
      </c>
    </row>
    <row r="4128" spans="1:7" hidden="1" x14ac:dyDescent="0.25">
      <c r="A4128" s="28">
        <v>43831</v>
      </c>
      <c r="B4128" s="27" t="s">
        <v>200</v>
      </c>
      <c r="C4128" s="27" t="s">
        <v>183</v>
      </c>
      <c r="D4128" s="27" t="s">
        <v>7</v>
      </c>
      <c r="E4128" s="27" t="s">
        <v>20</v>
      </c>
      <c r="F4128" s="29"/>
      <c r="G4128" s="30">
        <f t="shared" si="75"/>
        <v>28.728421052631582</v>
      </c>
    </row>
    <row r="4129" spans="1:7" hidden="1" x14ac:dyDescent="0.25">
      <c r="A4129" s="28">
        <v>43831</v>
      </c>
      <c r="B4129" s="27" t="s">
        <v>200</v>
      </c>
      <c r="C4129" s="27" t="s">
        <v>183</v>
      </c>
      <c r="D4129" s="27" t="s">
        <v>7</v>
      </c>
      <c r="E4129" s="27" t="s">
        <v>38</v>
      </c>
      <c r="F4129" s="29"/>
      <c r="G4129" s="30">
        <f t="shared" si="75"/>
        <v>28.728421052631582</v>
      </c>
    </row>
    <row r="4130" spans="1:7" hidden="1" x14ac:dyDescent="0.25">
      <c r="A4130" s="28">
        <v>43831</v>
      </c>
      <c r="B4130" s="27" t="s">
        <v>200</v>
      </c>
      <c r="C4130" s="27" t="s">
        <v>183</v>
      </c>
      <c r="D4130" s="27" t="s">
        <v>7</v>
      </c>
      <c r="E4130" s="27" t="s">
        <v>23</v>
      </c>
      <c r="F4130" s="29"/>
      <c r="G4130" s="30">
        <f t="shared" si="75"/>
        <v>28.728421052631582</v>
      </c>
    </row>
    <row r="4131" spans="1:7" hidden="1" x14ac:dyDescent="0.25">
      <c r="A4131" s="28">
        <v>43831</v>
      </c>
      <c r="B4131" s="27" t="s">
        <v>200</v>
      </c>
      <c r="C4131" s="27" t="s">
        <v>183</v>
      </c>
      <c r="D4131" s="27" t="s">
        <v>7</v>
      </c>
      <c r="E4131" s="27" t="s">
        <v>37</v>
      </c>
      <c r="F4131" s="29"/>
      <c r="G4131" s="30">
        <f t="shared" si="75"/>
        <v>28.728421052631582</v>
      </c>
    </row>
    <row r="4132" spans="1:7" hidden="1" x14ac:dyDescent="0.25">
      <c r="A4132" s="28">
        <v>43831</v>
      </c>
      <c r="B4132" s="27" t="s">
        <v>200</v>
      </c>
      <c r="C4132" s="27" t="s">
        <v>56</v>
      </c>
      <c r="D4132" s="27" t="s">
        <v>6</v>
      </c>
      <c r="E4132" s="27" t="s">
        <v>8</v>
      </c>
      <c r="F4132" s="29"/>
      <c r="G4132" s="30">
        <f t="shared" ref="G4132:G4149" si="76">46630.5233777778/18</f>
        <v>2590.5846320987666</v>
      </c>
    </row>
    <row r="4133" spans="1:7" hidden="1" x14ac:dyDescent="0.25">
      <c r="A4133" s="28">
        <v>43831</v>
      </c>
      <c r="B4133" s="27" t="s">
        <v>200</v>
      </c>
      <c r="C4133" s="27" t="s">
        <v>56</v>
      </c>
      <c r="D4133" s="27" t="s">
        <v>6</v>
      </c>
      <c r="E4133" s="27" t="s">
        <v>9</v>
      </c>
      <c r="F4133" s="29"/>
      <c r="G4133" s="30">
        <f t="shared" si="76"/>
        <v>2590.5846320987666</v>
      </c>
    </row>
    <row r="4134" spans="1:7" hidden="1" x14ac:dyDescent="0.25">
      <c r="A4134" s="28">
        <v>43831</v>
      </c>
      <c r="B4134" s="27" t="s">
        <v>200</v>
      </c>
      <c r="C4134" s="27" t="s">
        <v>56</v>
      </c>
      <c r="D4134" s="27" t="s">
        <v>6</v>
      </c>
      <c r="E4134" s="27" t="s">
        <v>22</v>
      </c>
      <c r="F4134" s="29"/>
      <c r="G4134" s="30">
        <f t="shared" si="76"/>
        <v>2590.5846320987666</v>
      </c>
    </row>
    <row r="4135" spans="1:7" hidden="1" x14ac:dyDescent="0.25">
      <c r="A4135" s="28">
        <v>43831</v>
      </c>
      <c r="B4135" s="27" t="s">
        <v>200</v>
      </c>
      <c r="C4135" s="27" t="s">
        <v>56</v>
      </c>
      <c r="D4135" s="27" t="s">
        <v>6</v>
      </c>
      <c r="E4135" s="27" t="s">
        <v>64</v>
      </c>
      <c r="F4135" s="29"/>
      <c r="G4135" s="30">
        <f t="shared" si="76"/>
        <v>2590.5846320987666</v>
      </c>
    </row>
    <row r="4136" spans="1:7" hidden="1" x14ac:dyDescent="0.25">
      <c r="A4136" s="28">
        <v>43831</v>
      </c>
      <c r="B4136" s="27" t="s">
        <v>200</v>
      </c>
      <c r="C4136" s="27" t="s">
        <v>56</v>
      </c>
      <c r="D4136" s="27" t="s">
        <v>6</v>
      </c>
      <c r="E4136" s="27" t="s">
        <v>21</v>
      </c>
      <c r="F4136" s="29"/>
      <c r="G4136" s="30">
        <f t="shared" si="76"/>
        <v>2590.5846320987666</v>
      </c>
    </row>
    <row r="4137" spans="1:7" hidden="1" x14ac:dyDescent="0.25">
      <c r="A4137" s="28">
        <v>43831</v>
      </c>
      <c r="B4137" s="27" t="s">
        <v>200</v>
      </c>
      <c r="C4137" s="27" t="s">
        <v>56</v>
      </c>
      <c r="D4137" s="27" t="s">
        <v>6</v>
      </c>
      <c r="E4137" s="27" t="s">
        <v>10</v>
      </c>
      <c r="F4137" s="29"/>
      <c r="G4137" s="30">
        <f t="shared" si="76"/>
        <v>2590.5846320987666</v>
      </c>
    </row>
    <row r="4138" spans="1:7" hidden="1" x14ac:dyDescent="0.25">
      <c r="A4138" s="28">
        <v>43831</v>
      </c>
      <c r="B4138" s="27" t="s">
        <v>200</v>
      </c>
      <c r="C4138" s="27" t="s">
        <v>56</v>
      </c>
      <c r="D4138" s="27" t="s">
        <v>6</v>
      </c>
      <c r="E4138" s="27" t="s">
        <v>11</v>
      </c>
      <c r="F4138" s="29"/>
      <c r="G4138" s="30">
        <f t="shared" si="76"/>
        <v>2590.5846320987666</v>
      </c>
    </row>
    <row r="4139" spans="1:7" hidden="1" x14ac:dyDescent="0.25">
      <c r="A4139" s="28">
        <v>43831</v>
      </c>
      <c r="B4139" s="27" t="s">
        <v>200</v>
      </c>
      <c r="C4139" s="27" t="s">
        <v>56</v>
      </c>
      <c r="D4139" s="27" t="s">
        <v>6</v>
      </c>
      <c r="E4139" s="27" t="s">
        <v>12</v>
      </c>
      <c r="F4139" s="29"/>
      <c r="G4139" s="30">
        <f t="shared" si="76"/>
        <v>2590.5846320987666</v>
      </c>
    </row>
    <row r="4140" spans="1:7" hidden="1" x14ac:dyDescent="0.25">
      <c r="A4140" s="28">
        <v>43831</v>
      </c>
      <c r="B4140" s="27" t="s">
        <v>200</v>
      </c>
      <c r="C4140" s="27" t="s">
        <v>56</v>
      </c>
      <c r="D4140" s="27" t="s">
        <v>6</v>
      </c>
      <c r="E4140" s="27" t="s">
        <v>13</v>
      </c>
      <c r="F4140" s="29"/>
      <c r="G4140" s="30">
        <f t="shared" si="76"/>
        <v>2590.5846320987666</v>
      </c>
    </row>
    <row r="4141" spans="1:7" hidden="1" x14ac:dyDescent="0.25">
      <c r="A4141" s="28">
        <v>43831</v>
      </c>
      <c r="B4141" s="27" t="s">
        <v>200</v>
      </c>
      <c r="C4141" s="27" t="s">
        <v>56</v>
      </c>
      <c r="D4141" s="27" t="s">
        <v>6</v>
      </c>
      <c r="E4141" s="27" t="s">
        <v>14</v>
      </c>
      <c r="F4141" s="29"/>
      <c r="G4141" s="30">
        <f t="shared" si="76"/>
        <v>2590.5846320987666</v>
      </c>
    </row>
    <row r="4142" spans="1:7" hidden="1" x14ac:dyDescent="0.25">
      <c r="A4142" s="28">
        <v>43831</v>
      </c>
      <c r="B4142" s="27" t="s">
        <v>200</v>
      </c>
      <c r="C4142" s="27" t="s">
        <v>56</v>
      </c>
      <c r="D4142" s="27" t="s">
        <v>6</v>
      </c>
      <c r="E4142" s="27" t="s">
        <v>15</v>
      </c>
      <c r="F4142" s="29"/>
      <c r="G4142" s="30">
        <f t="shared" si="76"/>
        <v>2590.5846320987666</v>
      </c>
    </row>
    <row r="4143" spans="1:7" hidden="1" x14ac:dyDescent="0.25">
      <c r="A4143" s="28">
        <v>43831</v>
      </c>
      <c r="B4143" s="27" t="s">
        <v>200</v>
      </c>
      <c r="C4143" s="27" t="s">
        <v>56</v>
      </c>
      <c r="D4143" s="27" t="s">
        <v>6</v>
      </c>
      <c r="E4143" s="27" t="s">
        <v>16</v>
      </c>
      <c r="F4143" s="29"/>
      <c r="G4143" s="30">
        <f t="shared" si="76"/>
        <v>2590.5846320987666</v>
      </c>
    </row>
    <row r="4144" spans="1:7" hidden="1" x14ac:dyDescent="0.25">
      <c r="A4144" s="28">
        <v>43831</v>
      </c>
      <c r="B4144" s="27" t="s">
        <v>200</v>
      </c>
      <c r="C4144" s="27" t="s">
        <v>56</v>
      </c>
      <c r="D4144" s="27" t="s">
        <v>6</v>
      </c>
      <c r="E4144" s="27" t="s">
        <v>17</v>
      </c>
      <c r="F4144" s="29"/>
      <c r="G4144" s="30">
        <f t="shared" si="76"/>
        <v>2590.5846320987666</v>
      </c>
    </row>
    <row r="4145" spans="1:7" hidden="1" x14ac:dyDescent="0.25">
      <c r="A4145" s="28">
        <v>43831</v>
      </c>
      <c r="B4145" s="27" t="s">
        <v>200</v>
      </c>
      <c r="C4145" s="27" t="s">
        <v>56</v>
      </c>
      <c r="D4145" s="27" t="s">
        <v>6</v>
      </c>
      <c r="E4145" s="27" t="s">
        <v>18</v>
      </c>
      <c r="F4145" s="29"/>
      <c r="G4145" s="30">
        <f t="shared" si="76"/>
        <v>2590.5846320987666</v>
      </c>
    </row>
    <row r="4146" spans="1:7" hidden="1" x14ac:dyDescent="0.25">
      <c r="A4146" s="28">
        <v>43831</v>
      </c>
      <c r="B4146" s="27" t="s">
        <v>200</v>
      </c>
      <c r="C4146" s="27" t="s">
        <v>56</v>
      </c>
      <c r="D4146" s="27" t="s">
        <v>6</v>
      </c>
      <c r="E4146" s="27" t="s">
        <v>19</v>
      </c>
      <c r="F4146" s="29"/>
      <c r="G4146" s="30">
        <f t="shared" si="76"/>
        <v>2590.5846320987666</v>
      </c>
    </row>
    <row r="4147" spans="1:7" hidden="1" x14ac:dyDescent="0.25">
      <c r="A4147" s="28">
        <v>43831</v>
      </c>
      <c r="B4147" s="27" t="s">
        <v>200</v>
      </c>
      <c r="C4147" s="27" t="s">
        <v>56</v>
      </c>
      <c r="D4147" s="27" t="s">
        <v>6</v>
      </c>
      <c r="E4147" s="27" t="s">
        <v>20</v>
      </c>
      <c r="F4147" s="29"/>
      <c r="G4147" s="30">
        <f t="shared" si="76"/>
        <v>2590.5846320987666</v>
      </c>
    </row>
    <row r="4148" spans="1:7" hidden="1" x14ac:dyDescent="0.25">
      <c r="A4148" s="28">
        <v>43831</v>
      </c>
      <c r="B4148" s="27" t="s">
        <v>200</v>
      </c>
      <c r="C4148" s="27" t="s">
        <v>56</v>
      </c>
      <c r="D4148" s="27" t="s">
        <v>6</v>
      </c>
      <c r="E4148" s="27" t="s">
        <v>38</v>
      </c>
      <c r="F4148" s="29"/>
      <c r="G4148" s="30">
        <f t="shared" si="76"/>
        <v>2590.5846320987666</v>
      </c>
    </row>
    <row r="4149" spans="1:7" hidden="1" x14ac:dyDescent="0.25">
      <c r="A4149" s="28">
        <v>43831</v>
      </c>
      <c r="B4149" s="27" t="s">
        <v>200</v>
      </c>
      <c r="C4149" s="27" t="s">
        <v>56</v>
      </c>
      <c r="D4149" s="27" t="s">
        <v>6</v>
      </c>
      <c r="E4149" s="27" t="s">
        <v>23</v>
      </c>
      <c r="F4149" s="29"/>
      <c r="G4149" s="30">
        <f t="shared" si="76"/>
        <v>2590.5846320987666</v>
      </c>
    </row>
    <row r="4150" spans="1:7" hidden="1" x14ac:dyDescent="0.25">
      <c r="A4150" s="28">
        <v>43831</v>
      </c>
      <c r="B4150" s="27" t="s">
        <v>200</v>
      </c>
      <c r="C4150" s="27" t="s">
        <v>182</v>
      </c>
      <c r="D4150" s="27" t="s">
        <v>7</v>
      </c>
      <c r="E4150" s="27" t="s">
        <v>8</v>
      </c>
      <c r="F4150" s="29"/>
      <c r="G4150" s="30">
        <f t="shared" ref="G4150:G4168" si="77">4472.84/19</f>
        <v>235.41263157894738</v>
      </c>
    </row>
    <row r="4151" spans="1:7" hidden="1" x14ac:dyDescent="0.25">
      <c r="A4151" s="28">
        <v>43831</v>
      </c>
      <c r="B4151" s="27" t="s">
        <v>200</v>
      </c>
      <c r="C4151" s="27" t="s">
        <v>182</v>
      </c>
      <c r="D4151" s="27" t="s">
        <v>7</v>
      </c>
      <c r="E4151" s="27" t="s">
        <v>9</v>
      </c>
      <c r="F4151" s="29"/>
      <c r="G4151" s="30">
        <f t="shared" si="77"/>
        <v>235.41263157894738</v>
      </c>
    </row>
    <row r="4152" spans="1:7" hidden="1" x14ac:dyDescent="0.25">
      <c r="A4152" s="28">
        <v>43831</v>
      </c>
      <c r="B4152" s="27" t="s">
        <v>200</v>
      </c>
      <c r="C4152" s="27" t="s">
        <v>182</v>
      </c>
      <c r="D4152" s="27" t="s">
        <v>7</v>
      </c>
      <c r="E4152" s="27" t="s">
        <v>22</v>
      </c>
      <c r="F4152" s="29"/>
      <c r="G4152" s="30">
        <f t="shared" si="77"/>
        <v>235.41263157894738</v>
      </c>
    </row>
    <row r="4153" spans="1:7" hidden="1" x14ac:dyDescent="0.25">
      <c r="A4153" s="28">
        <v>43831</v>
      </c>
      <c r="B4153" s="27" t="s">
        <v>200</v>
      </c>
      <c r="C4153" s="27" t="s">
        <v>182</v>
      </c>
      <c r="D4153" s="27" t="s">
        <v>7</v>
      </c>
      <c r="E4153" s="27" t="s">
        <v>64</v>
      </c>
      <c r="F4153" s="29"/>
      <c r="G4153" s="30">
        <f t="shared" si="77"/>
        <v>235.41263157894738</v>
      </c>
    </row>
    <row r="4154" spans="1:7" hidden="1" x14ac:dyDescent="0.25">
      <c r="A4154" s="28">
        <v>43831</v>
      </c>
      <c r="B4154" s="27" t="s">
        <v>200</v>
      </c>
      <c r="C4154" s="27" t="s">
        <v>182</v>
      </c>
      <c r="D4154" s="27" t="s">
        <v>7</v>
      </c>
      <c r="E4154" s="27" t="s">
        <v>21</v>
      </c>
      <c r="F4154" s="29"/>
      <c r="G4154" s="30">
        <f t="shared" si="77"/>
        <v>235.41263157894738</v>
      </c>
    </row>
    <row r="4155" spans="1:7" hidden="1" x14ac:dyDescent="0.25">
      <c r="A4155" s="28">
        <v>43831</v>
      </c>
      <c r="B4155" s="27" t="s">
        <v>200</v>
      </c>
      <c r="C4155" s="27" t="s">
        <v>182</v>
      </c>
      <c r="D4155" s="27" t="s">
        <v>7</v>
      </c>
      <c r="E4155" s="27" t="s">
        <v>10</v>
      </c>
      <c r="F4155" s="29"/>
      <c r="G4155" s="30">
        <f t="shared" si="77"/>
        <v>235.41263157894738</v>
      </c>
    </row>
    <row r="4156" spans="1:7" hidden="1" x14ac:dyDescent="0.25">
      <c r="A4156" s="28">
        <v>43831</v>
      </c>
      <c r="B4156" s="27" t="s">
        <v>200</v>
      </c>
      <c r="C4156" s="27" t="s">
        <v>182</v>
      </c>
      <c r="D4156" s="27" t="s">
        <v>7</v>
      </c>
      <c r="E4156" s="27" t="s">
        <v>11</v>
      </c>
      <c r="F4156" s="29"/>
      <c r="G4156" s="30">
        <f t="shared" si="77"/>
        <v>235.41263157894738</v>
      </c>
    </row>
    <row r="4157" spans="1:7" hidden="1" x14ac:dyDescent="0.25">
      <c r="A4157" s="28">
        <v>43831</v>
      </c>
      <c r="B4157" s="27" t="s">
        <v>200</v>
      </c>
      <c r="C4157" s="27" t="s">
        <v>182</v>
      </c>
      <c r="D4157" s="27" t="s">
        <v>7</v>
      </c>
      <c r="E4157" s="27" t="s">
        <v>12</v>
      </c>
      <c r="F4157" s="29"/>
      <c r="G4157" s="30">
        <f t="shared" si="77"/>
        <v>235.41263157894738</v>
      </c>
    </row>
    <row r="4158" spans="1:7" hidden="1" x14ac:dyDescent="0.25">
      <c r="A4158" s="28">
        <v>43831</v>
      </c>
      <c r="B4158" s="27" t="s">
        <v>200</v>
      </c>
      <c r="C4158" s="27" t="s">
        <v>182</v>
      </c>
      <c r="D4158" s="27" t="s">
        <v>7</v>
      </c>
      <c r="E4158" s="27" t="s">
        <v>13</v>
      </c>
      <c r="F4158" s="29"/>
      <c r="G4158" s="30">
        <f t="shared" si="77"/>
        <v>235.41263157894738</v>
      </c>
    </row>
    <row r="4159" spans="1:7" hidden="1" x14ac:dyDescent="0.25">
      <c r="A4159" s="28">
        <v>43831</v>
      </c>
      <c r="B4159" s="27" t="s">
        <v>200</v>
      </c>
      <c r="C4159" s="27" t="s">
        <v>182</v>
      </c>
      <c r="D4159" s="27" t="s">
        <v>7</v>
      </c>
      <c r="E4159" s="27" t="s">
        <v>14</v>
      </c>
      <c r="F4159" s="29"/>
      <c r="G4159" s="30">
        <f t="shared" si="77"/>
        <v>235.41263157894738</v>
      </c>
    </row>
    <row r="4160" spans="1:7" hidden="1" x14ac:dyDescent="0.25">
      <c r="A4160" s="28">
        <v>43831</v>
      </c>
      <c r="B4160" s="27" t="s">
        <v>200</v>
      </c>
      <c r="C4160" s="27" t="s">
        <v>182</v>
      </c>
      <c r="D4160" s="27" t="s">
        <v>7</v>
      </c>
      <c r="E4160" s="27" t="s">
        <v>15</v>
      </c>
      <c r="F4160" s="29"/>
      <c r="G4160" s="30">
        <f t="shared" si="77"/>
        <v>235.41263157894738</v>
      </c>
    </row>
    <row r="4161" spans="1:7" hidden="1" x14ac:dyDescent="0.25">
      <c r="A4161" s="28">
        <v>43831</v>
      </c>
      <c r="B4161" s="27" t="s">
        <v>200</v>
      </c>
      <c r="C4161" s="27" t="s">
        <v>182</v>
      </c>
      <c r="D4161" s="27" t="s">
        <v>7</v>
      </c>
      <c r="E4161" s="27" t="s">
        <v>16</v>
      </c>
      <c r="F4161" s="29"/>
      <c r="G4161" s="30">
        <f t="shared" si="77"/>
        <v>235.41263157894738</v>
      </c>
    </row>
    <row r="4162" spans="1:7" hidden="1" x14ac:dyDescent="0.25">
      <c r="A4162" s="28">
        <v>43831</v>
      </c>
      <c r="B4162" s="27" t="s">
        <v>200</v>
      </c>
      <c r="C4162" s="27" t="s">
        <v>182</v>
      </c>
      <c r="D4162" s="27" t="s">
        <v>7</v>
      </c>
      <c r="E4162" s="27" t="s">
        <v>17</v>
      </c>
      <c r="F4162" s="29"/>
      <c r="G4162" s="30">
        <f t="shared" si="77"/>
        <v>235.41263157894738</v>
      </c>
    </row>
    <row r="4163" spans="1:7" hidden="1" x14ac:dyDescent="0.25">
      <c r="A4163" s="28">
        <v>43831</v>
      </c>
      <c r="B4163" s="27" t="s">
        <v>200</v>
      </c>
      <c r="C4163" s="27" t="s">
        <v>182</v>
      </c>
      <c r="D4163" s="27" t="s">
        <v>7</v>
      </c>
      <c r="E4163" s="27" t="s">
        <v>18</v>
      </c>
      <c r="F4163" s="29"/>
      <c r="G4163" s="30">
        <f t="shared" si="77"/>
        <v>235.41263157894738</v>
      </c>
    </row>
    <row r="4164" spans="1:7" hidden="1" x14ac:dyDescent="0.25">
      <c r="A4164" s="28">
        <v>43831</v>
      </c>
      <c r="B4164" s="27" t="s">
        <v>200</v>
      </c>
      <c r="C4164" s="27" t="s">
        <v>182</v>
      </c>
      <c r="D4164" s="27" t="s">
        <v>7</v>
      </c>
      <c r="E4164" s="27" t="s">
        <v>19</v>
      </c>
      <c r="F4164" s="29"/>
      <c r="G4164" s="30">
        <f t="shared" si="77"/>
        <v>235.41263157894738</v>
      </c>
    </row>
    <row r="4165" spans="1:7" hidden="1" x14ac:dyDescent="0.25">
      <c r="A4165" s="28">
        <v>43831</v>
      </c>
      <c r="B4165" s="27" t="s">
        <v>200</v>
      </c>
      <c r="C4165" s="27" t="s">
        <v>182</v>
      </c>
      <c r="D4165" s="27" t="s">
        <v>7</v>
      </c>
      <c r="E4165" s="27" t="s">
        <v>20</v>
      </c>
      <c r="F4165" s="29"/>
      <c r="G4165" s="30">
        <f t="shared" si="77"/>
        <v>235.41263157894738</v>
      </c>
    </row>
    <row r="4166" spans="1:7" hidden="1" x14ac:dyDescent="0.25">
      <c r="A4166" s="28">
        <v>43831</v>
      </c>
      <c r="B4166" s="27" t="s">
        <v>200</v>
      </c>
      <c r="C4166" s="27" t="s">
        <v>182</v>
      </c>
      <c r="D4166" s="27" t="s">
        <v>7</v>
      </c>
      <c r="E4166" s="27" t="s">
        <v>38</v>
      </c>
      <c r="F4166" s="29"/>
      <c r="G4166" s="30">
        <f t="shared" si="77"/>
        <v>235.41263157894738</v>
      </c>
    </row>
    <row r="4167" spans="1:7" hidden="1" x14ac:dyDescent="0.25">
      <c r="A4167" s="28">
        <v>43831</v>
      </c>
      <c r="B4167" s="27" t="s">
        <v>200</v>
      </c>
      <c r="C4167" s="27" t="s">
        <v>182</v>
      </c>
      <c r="D4167" s="27" t="s">
        <v>7</v>
      </c>
      <c r="E4167" s="27" t="s">
        <v>23</v>
      </c>
      <c r="F4167" s="29"/>
      <c r="G4167" s="30">
        <f t="shared" si="77"/>
        <v>235.41263157894738</v>
      </c>
    </row>
    <row r="4168" spans="1:7" hidden="1" x14ac:dyDescent="0.25">
      <c r="A4168" s="28">
        <v>43831</v>
      </c>
      <c r="B4168" s="27" t="s">
        <v>200</v>
      </c>
      <c r="C4168" s="27" t="s">
        <v>182</v>
      </c>
      <c r="D4168" s="27" t="s">
        <v>7</v>
      </c>
      <c r="E4168" s="27" t="s">
        <v>37</v>
      </c>
      <c r="F4168" s="29"/>
      <c r="G4168" s="30">
        <f t="shared" si="77"/>
        <v>235.41263157894738</v>
      </c>
    </row>
    <row r="4169" spans="1:7" hidden="1" x14ac:dyDescent="0.25">
      <c r="A4169" s="28">
        <v>43831</v>
      </c>
      <c r="B4169" s="27" t="s">
        <v>35</v>
      </c>
      <c r="C4169" s="27" t="s">
        <v>50</v>
      </c>
      <c r="D4169" s="27" t="s">
        <v>6</v>
      </c>
      <c r="E4169" s="27" t="s">
        <v>8</v>
      </c>
      <c r="F4169" s="29"/>
      <c r="G4169" s="30">
        <v>404.35833333333335</v>
      </c>
    </row>
    <row r="4170" spans="1:7" hidden="1" x14ac:dyDescent="0.25">
      <c r="A4170" s="28">
        <v>43831</v>
      </c>
      <c r="B4170" s="27" t="s">
        <v>35</v>
      </c>
      <c r="C4170" s="27" t="s">
        <v>50</v>
      </c>
      <c r="D4170" s="27" t="s">
        <v>6</v>
      </c>
      <c r="E4170" s="27" t="s">
        <v>9</v>
      </c>
      <c r="F4170" s="29"/>
      <c r="G4170" s="30">
        <v>404.35833333333335</v>
      </c>
    </row>
    <row r="4171" spans="1:7" hidden="1" x14ac:dyDescent="0.25">
      <c r="A4171" s="28">
        <v>43831</v>
      </c>
      <c r="B4171" s="27" t="s">
        <v>35</v>
      </c>
      <c r="C4171" s="27" t="s">
        <v>50</v>
      </c>
      <c r="D4171" s="27" t="s">
        <v>6</v>
      </c>
      <c r="E4171" s="27" t="s">
        <v>22</v>
      </c>
      <c r="F4171" s="29"/>
      <c r="G4171" s="30">
        <v>404.35833333333335</v>
      </c>
    </row>
    <row r="4172" spans="1:7" hidden="1" x14ac:dyDescent="0.25">
      <c r="A4172" s="28">
        <v>43831</v>
      </c>
      <c r="B4172" s="27" t="s">
        <v>35</v>
      </c>
      <c r="C4172" s="27" t="s">
        <v>50</v>
      </c>
      <c r="D4172" s="27" t="s">
        <v>6</v>
      </c>
      <c r="E4172" s="27" t="s">
        <v>64</v>
      </c>
      <c r="F4172" s="29"/>
      <c r="G4172" s="30">
        <v>404.35833333333335</v>
      </c>
    </row>
    <row r="4173" spans="1:7" hidden="1" x14ac:dyDescent="0.25">
      <c r="A4173" s="28">
        <v>43831</v>
      </c>
      <c r="B4173" s="27" t="s">
        <v>35</v>
      </c>
      <c r="C4173" s="27" t="s">
        <v>50</v>
      </c>
      <c r="D4173" s="27" t="s">
        <v>6</v>
      </c>
      <c r="E4173" s="27" t="s">
        <v>21</v>
      </c>
      <c r="F4173" s="29"/>
      <c r="G4173" s="30">
        <v>404.35833333333335</v>
      </c>
    </row>
    <row r="4174" spans="1:7" hidden="1" x14ac:dyDescent="0.25">
      <c r="A4174" s="28">
        <v>43831</v>
      </c>
      <c r="B4174" s="27" t="s">
        <v>35</v>
      </c>
      <c r="C4174" s="27" t="s">
        <v>50</v>
      </c>
      <c r="D4174" s="27" t="s">
        <v>6</v>
      </c>
      <c r="E4174" s="27" t="s">
        <v>10</v>
      </c>
      <c r="F4174" s="29"/>
      <c r="G4174" s="30">
        <v>404.35833333333335</v>
      </c>
    </row>
    <row r="4175" spans="1:7" hidden="1" x14ac:dyDescent="0.25">
      <c r="A4175" s="28">
        <v>43831</v>
      </c>
      <c r="B4175" s="27" t="s">
        <v>35</v>
      </c>
      <c r="C4175" s="27" t="s">
        <v>50</v>
      </c>
      <c r="D4175" s="27" t="s">
        <v>6</v>
      </c>
      <c r="E4175" s="27" t="s">
        <v>11</v>
      </c>
      <c r="F4175" s="29"/>
      <c r="G4175" s="30">
        <v>404.35833333333335</v>
      </c>
    </row>
    <row r="4176" spans="1:7" hidden="1" x14ac:dyDescent="0.25">
      <c r="A4176" s="28">
        <v>43831</v>
      </c>
      <c r="B4176" s="27" t="s">
        <v>35</v>
      </c>
      <c r="C4176" s="27" t="s">
        <v>50</v>
      </c>
      <c r="D4176" s="27" t="s">
        <v>6</v>
      </c>
      <c r="E4176" s="27" t="s">
        <v>12</v>
      </c>
      <c r="F4176" s="29"/>
      <c r="G4176" s="30">
        <v>404.35833333333335</v>
      </c>
    </row>
    <row r="4177" spans="1:7" hidden="1" x14ac:dyDescent="0.25">
      <c r="A4177" s="28">
        <v>43831</v>
      </c>
      <c r="B4177" s="27" t="s">
        <v>35</v>
      </c>
      <c r="C4177" s="27" t="s">
        <v>50</v>
      </c>
      <c r="D4177" s="27" t="s">
        <v>6</v>
      </c>
      <c r="E4177" s="27" t="s">
        <v>13</v>
      </c>
      <c r="F4177" s="29"/>
      <c r="G4177" s="30">
        <v>404.35833333333335</v>
      </c>
    </row>
    <row r="4178" spans="1:7" hidden="1" x14ac:dyDescent="0.25">
      <c r="A4178" s="28">
        <v>43831</v>
      </c>
      <c r="B4178" s="27" t="s">
        <v>35</v>
      </c>
      <c r="C4178" s="27" t="s">
        <v>50</v>
      </c>
      <c r="D4178" s="27" t="s">
        <v>6</v>
      </c>
      <c r="E4178" s="27" t="s">
        <v>14</v>
      </c>
      <c r="F4178" s="29"/>
      <c r="G4178" s="30">
        <v>404.35833333333335</v>
      </c>
    </row>
    <row r="4179" spans="1:7" hidden="1" x14ac:dyDescent="0.25">
      <c r="A4179" s="28">
        <v>43831</v>
      </c>
      <c r="B4179" s="27" t="s">
        <v>35</v>
      </c>
      <c r="C4179" s="27" t="s">
        <v>50</v>
      </c>
      <c r="D4179" s="27" t="s">
        <v>6</v>
      </c>
      <c r="E4179" s="27" t="s">
        <v>15</v>
      </c>
      <c r="F4179" s="29"/>
      <c r="G4179" s="30">
        <v>404.35833333333335</v>
      </c>
    </row>
    <row r="4180" spans="1:7" hidden="1" x14ac:dyDescent="0.25">
      <c r="A4180" s="28">
        <v>43831</v>
      </c>
      <c r="B4180" s="27" t="s">
        <v>35</v>
      </c>
      <c r="C4180" s="27" t="s">
        <v>50</v>
      </c>
      <c r="D4180" s="27" t="s">
        <v>6</v>
      </c>
      <c r="E4180" s="27" t="s">
        <v>16</v>
      </c>
      <c r="F4180" s="29"/>
      <c r="G4180" s="30">
        <v>404.35833333333335</v>
      </c>
    </row>
    <row r="4181" spans="1:7" hidden="1" x14ac:dyDescent="0.25">
      <c r="A4181" s="28">
        <v>43831</v>
      </c>
      <c r="B4181" s="27" t="s">
        <v>35</v>
      </c>
      <c r="C4181" s="27" t="s">
        <v>50</v>
      </c>
      <c r="D4181" s="27" t="s">
        <v>6</v>
      </c>
      <c r="E4181" s="27" t="s">
        <v>17</v>
      </c>
      <c r="F4181" s="29"/>
      <c r="G4181" s="30">
        <v>404.35833333333335</v>
      </c>
    </row>
    <row r="4182" spans="1:7" hidden="1" x14ac:dyDescent="0.25">
      <c r="A4182" s="28">
        <v>43831</v>
      </c>
      <c r="B4182" s="27" t="s">
        <v>35</v>
      </c>
      <c r="C4182" s="27" t="s">
        <v>50</v>
      </c>
      <c r="D4182" s="27" t="s">
        <v>6</v>
      </c>
      <c r="E4182" s="27" t="s">
        <v>18</v>
      </c>
      <c r="F4182" s="29"/>
      <c r="G4182" s="30">
        <v>404.35833333333335</v>
      </c>
    </row>
    <row r="4183" spans="1:7" hidden="1" x14ac:dyDescent="0.25">
      <c r="A4183" s="28">
        <v>43831</v>
      </c>
      <c r="B4183" s="27" t="s">
        <v>35</v>
      </c>
      <c r="C4183" s="27" t="s">
        <v>50</v>
      </c>
      <c r="D4183" s="27" t="s">
        <v>6</v>
      </c>
      <c r="E4183" s="27" t="s">
        <v>19</v>
      </c>
      <c r="F4183" s="29"/>
      <c r="G4183" s="30">
        <v>404.35833333333335</v>
      </c>
    </row>
    <row r="4184" spans="1:7" hidden="1" x14ac:dyDescent="0.25">
      <c r="A4184" s="28">
        <v>43831</v>
      </c>
      <c r="B4184" s="27" t="s">
        <v>35</v>
      </c>
      <c r="C4184" s="27" t="s">
        <v>50</v>
      </c>
      <c r="D4184" s="27" t="s">
        <v>6</v>
      </c>
      <c r="E4184" s="27" t="s">
        <v>20</v>
      </c>
      <c r="F4184" s="29"/>
      <c r="G4184" s="30">
        <v>404.35833333333335</v>
      </c>
    </row>
    <row r="4185" spans="1:7" hidden="1" x14ac:dyDescent="0.25">
      <c r="A4185" s="28">
        <v>43831</v>
      </c>
      <c r="B4185" s="27" t="s">
        <v>35</v>
      </c>
      <c r="C4185" s="27" t="s">
        <v>50</v>
      </c>
      <c r="D4185" s="27" t="s">
        <v>6</v>
      </c>
      <c r="E4185" s="27" t="s">
        <v>38</v>
      </c>
      <c r="F4185" s="29"/>
      <c r="G4185" s="30">
        <v>404.35833333333335</v>
      </c>
    </row>
    <row r="4186" spans="1:7" hidden="1" x14ac:dyDescent="0.25">
      <c r="A4186" s="28">
        <v>43831</v>
      </c>
      <c r="B4186" s="27" t="s">
        <v>35</v>
      </c>
      <c r="C4186" s="27" t="s">
        <v>50</v>
      </c>
      <c r="D4186" s="27" t="s">
        <v>6</v>
      </c>
      <c r="E4186" s="27" t="s">
        <v>23</v>
      </c>
      <c r="F4186" s="29"/>
      <c r="G4186" s="30">
        <v>404.35833333333335</v>
      </c>
    </row>
    <row r="4187" spans="1:7" hidden="1" x14ac:dyDescent="0.25">
      <c r="A4187" s="28">
        <v>43831</v>
      </c>
      <c r="B4187" s="27" t="s">
        <v>34</v>
      </c>
      <c r="C4187" s="27" t="s">
        <v>50</v>
      </c>
      <c r="D4187" s="27" t="s">
        <v>6</v>
      </c>
      <c r="E4187" s="27" t="s">
        <v>22</v>
      </c>
      <c r="F4187" s="29"/>
      <c r="G4187" s="30">
        <v>1708.97</v>
      </c>
    </row>
    <row r="4188" spans="1:7" hidden="1" x14ac:dyDescent="0.25">
      <c r="A4188" s="28">
        <v>43862</v>
      </c>
      <c r="B4188" s="27" t="s">
        <v>33</v>
      </c>
      <c r="C4188" s="27" t="s">
        <v>50</v>
      </c>
      <c r="D4188" s="27" t="s">
        <v>7</v>
      </c>
      <c r="E4188" s="27" t="s">
        <v>8</v>
      </c>
      <c r="F4188" s="29"/>
      <c r="G4188" s="30">
        <v>2028.5572222222222</v>
      </c>
    </row>
    <row r="4189" spans="1:7" hidden="1" x14ac:dyDescent="0.25">
      <c r="A4189" s="28">
        <v>43862</v>
      </c>
      <c r="B4189" s="27" t="s">
        <v>33</v>
      </c>
      <c r="C4189" s="27" t="s">
        <v>50</v>
      </c>
      <c r="D4189" s="27" t="s">
        <v>7</v>
      </c>
      <c r="E4189" s="27" t="s">
        <v>9</v>
      </c>
      <c r="F4189" s="29"/>
      <c r="G4189" s="30">
        <v>2028.5572222222222</v>
      </c>
    </row>
    <row r="4190" spans="1:7" hidden="1" x14ac:dyDescent="0.25">
      <c r="A4190" s="28">
        <v>43862</v>
      </c>
      <c r="B4190" s="27" t="s">
        <v>33</v>
      </c>
      <c r="C4190" s="27" t="s">
        <v>50</v>
      </c>
      <c r="D4190" s="27" t="s">
        <v>7</v>
      </c>
      <c r="E4190" s="27" t="s">
        <v>22</v>
      </c>
      <c r="F4190" s="29"/>
      <c r="G4190" s="30">
        <v>2028.5572222222222</v>
      </c>
    </row>
    <row r="4191" spans="1:7" hidden="1" x14ac:dyDescent="0.25">
      <c r="A4191" s="28">
        <v>43862</v>
      </c>
      <c r="B4191" s="27" t="s">
        <v>33</v>
      </c>
      <c r="C4191" s="27" t="s">
        <v>50</v>
      </c>
      <c r="D4191" s="27" t="s">
        <v>7</v>
      </c>
      <c r="E4191" s="27" t="s">
        <v>64</v>
      </c>
      <c r="F4191" s="29"/>
      <c r="G4191" s="30">
        <v>2028.5572222222222</v>
      </c>
    </row>
    <row r="4192" spans="1:7" hidden="1" x14ac:dyDescent="0.25">
      <c r="A4192" s="28">
        <v>43862</v>
      </c>
      <c r="B4192" s="27" t="s">
        <v>33</v>
      </c>
      <c r="C4192" s="27" t="s">
        <v>50</v>
      </c>
      <c r="D4192" s="27" t="s">
        <v>7</v>
      </c>
      <c r="E4192" s="27" t="s">
        <v>21</v>
      </c>
      <c r="F4192" s="29"/>
      <c r="G4192" s="30">
        <v>2028.5572222222222</v>
      </c>
    </row>
    <row r="4193" spans="1:7" hidden="1" x14ac:dyDescent="0.25">
      <c r="A4193" s="28">
        <v>43862</v>
      </c>
      <c r="B4193" s="27" t="s">
        <v>33</v>
      </c>
      <c r="C4193" s="27" t="s">
        <v>50</v>
      </c>
      <c r="D4193" s="27" t="s">
        <v>7</v>
      </c>
      <c r="E4193" s="27" t="s">
        <v>10</v>
      </c>
      <c r="F4193" s="29"/>
      <c r="G4193" s="30">
        <v>2028.5572222222222</v>
      </c>
    </row>
    <row r="4194" spans="1:7" hidden="1" x14ac:dyDescent="0.25">
      <c r="A4194" s="28">
        <v>43862</v>
      </c>
      <c r="B4194" s="27" t="s">
        <v>33</v>
      </c>
      <c r="C4194" s="27" t="s">
        <v>50</v>
      </c>
      <c r="D4194" s="27" t="s">
        <v>7</v>
      </c>
      <c r="E4194" s="27" t="s">
        <v>11</v>
      </c>
      <c r="F4194" s="29"/>
      <c r="G4194" s="30">
        <v>2028.5572222222222</v>
      </c>
    </row>
    <row r="4195" spans="1:7" hidden="1" x14ac:dyDescent="0.25">
      <c r="A4195" s="28">
        <v>43862</v>
      </c>
      <c r="B4195" s="27" t="s">
        <v>33</v>
      </c>
      <c r="C4195" s="27" t="s">
        <v>50</v>
      </c>
      <c r="D4195" s="27" t="s">
        <v>7</v>
      </c>
      <c r="E4195" s="27" t="s">
        <v>12</v>
      </c>
      <c r="F4195" s="29"/>
      <c r="G4195" s="30">
        <v>2028.5572222222222</v>
      </c>
    </row>
    <row r="4196" spans="1:7" hidden="1" x14ac:dyDescent="0.25">
      <c r="A4196" s="28">
        <v>43862</v>
      </c>
      <c r="B4196" s="27" t="s">
        <v>33</v>
      </c>
      <c r="C4196" s="27" t="s">
        <v>50</v>
      </c>
      <c r="D4196" s="27" t="s">
        <v>7</v>
      </c>
      <c r="E4196" s="27" t="s">
        <v>13</v>
      </c>
      <c r="F4196" s="29"/>
      <c r="G4196" s="30">
        <v>2028.5572222222222</v>
      </c>
    </row>
    <row r="4197" spans="1:7" hidden="1" x14ac:dyDescent="0.25">
      <c r="A4197" s="28">
        <v>43862</v>
      </c>
      <c r="B4197" s="27" t="s">
        <v>33</v>
      </c>
      <c r="C4197" s="27" t="s">
        <v>50</v>
      </c>
      <c r="D4197" s="27" t="s">
        <v>7</v>
      </c>
      <c r="E4197" s="27" t="s">
        <v>14</v>
      </c>
      <c r="F4197" s="29"/>
      <c r="G4197" s="30">
        <v>2028.5572222222222</v>
      </c>
    </row>
    <row r="4198" spans="1:7" hidden="1" x14ac:dyDescent="0.25">
      <c r="A4198" s="28">
        <v>43862</v>
      </c>
      <c r="B4198" s="27" t="s">
        <v>33</v>
      </c>
      <c r="C4198" s="27" t="s">
        <v>50</v>
      </c>
      <c r="D4198" s="27" t="s">
        <v>7</v>
      </c>
      <c r="E4198" s="27" t="s">
        <v>15</v>
      </c>
      <c r="F4198" s="29"/>
      <c r="G4198" s="30">
        <v>2028.5572222222222</v>
      </c>
    </row>
    <row r="4199" spans="1:7" hidden="1" x14ac:dyDescent="0.25">
      <c r="A4199" s="28">
        <v>43862</v>
      </c>
      <c r="B4199" s="27" t="s">
        <v>33</v>
      </c>
      <c r="C4199" s="27" t="s">
        <v>50</v>
      </c>
      <c r="D4199" s="27" t="s">
        <v>7</v>
      </c>
      <c r="E4199" s="27" t="s">
        <v>16</v>
      </c>
      <c r="F4199" s="29"/>
      <c r="G4199" s="30">
        <v>2028.5572222222222</v>
      </c>
    </row>
    <row r="4200" spans="1:7" hidden="1" x14ac:dyDescent="0.25">
      <c r="A4200" s="28">
        <v>43862</v>
      </c>
      <c r="B4200" s="27" t="s">
        <v>33</v>
      </c>
      <c r="C4200" s="27" t="s">
        <v>50</v>
      </c>
      <c r="D4200" s="27" t="s">
        <v>7</v>
      </c>
      <c r="E4200" s="27" t="s">
        <v>17</v>
      </c>
      <c r="F4200" s="29"/>
      <c r="G4200" s="30">
        <v>2028.5572222222222</v>
      </c>
    </row>
    <row r="4201" spans="1:7" hidden="1" x14ac:dyDescent="0.25">
      <c r="A4201" s="28">
        <v>43862</v>
      </c>
      <c r="B4201" s="27" t="s">
        <v>33</v>
      </c>
      <c r="C4201" s="27" t="s">
        <v>50</v>
      </c>
      <c r="D4201" s="27" t="s">
        <v>7</v>
      </c>
      <c r="E4201" s="27" t="s">
        <v>18</v>
      </c>
      <c r="F4201" s="29"/>
      <c r="G4201" s="30">
        <v>2028.5572222222222</v>
      </c>
    </row>
    <row r="4202" spans="1:7" hidden="1" x14ac:dyDescent="0.25">
      <c r="A4202" s="28">
        <v>43862</v>
      </c>
      <c r="B4202" s="27" t="s">
        <v>33</v>
      </c>
      <c r="C4202" s="27" t="s">
        <v>50</v>
      </c>
      <c r="D4202" s="27" t="s">
        <v>7</v>
      </c>
      <c r="E4202" s="27" t="s">
        <v>19</v>
      </c>
      <c r="F4202" s="29"/>
      <c r="G4202" s="30">
        <v>2028.5572222222222</v>
      </c>
    </row>
    <row r="4203" spans="1:7" hidden="1" x14ac:dyDescent="0.25">
      <c r="A4203" s="28">
        <v>43862</v>
      </c>
      <c r="B4203" s="27" t="s">
        <v>33</v>
      </c>
      <c r="C4203" s="27" t="s">
        <v>50</v>
      </c>
      <c r="D4203" s="27" t="s">
        <v>7</v>
      </c>
      <c r="E4203" s="27" t="s">
        <v>20</v>
      </c>
      <c r="F4203" s="29"/>
      <c r="G4203" s="30">
        <v>2028.5572222222222</v>
      </c>
    </row>
    <row r="4204" spans="1:7" hidden="1" x14ac:dyDescent="0.25">
      <c r="A4204" s="28">
        <v>43862</v>
      </c>
      <c r="B4204" s="27" t="s">
        <v>33</v>
      </c>
      <c r="C4204" s="27" t="s">
        <v>50</v>
      </c>
      <c r="D4204" s="27" t="s">
        <v>7</v>
      </c>
      <c r="E4204" s="27" t="s">
        <v>38</v>
      </c>
      <c r="F4204" s="29"/>
      <c r="G4204" s="30">
        <v>2028.5572222222222</v>
      </c>
    </row>
    <row r="4205" spans="1:7" hidden="1" x14ac:dyDescent="0.25">
      <c r="A4205" s="28">
        <v>43862</v>
      </c>
      <c r="B4205" s="27" t="s">
        <v>33</v>
      </c>
      <c r="C4205" s="27" t="s">
        <v>50</v>
      </c>
      <c r="D4205" s="27" t="s">
        <v>7</v>
      </c>
      <c r="E4205" s="27" t="s">
        <v>23</v>
      </c>
      <c r="F4205" s="29"/>
      <c r="G4205" s="30">
        <v>2028.5572222222222</v>
      </c>
    </row>
    <row r="4206" spans="1:7" hidden="1" x14ac:dyDescent="0.25">
      <c r="A4206" s="28">
        <v>43862</v>
      </c>
      <c r="B4206" s="27" t="s">
        <v>4</v>
      </c>
      <c r="C4206" s="27" t="s">
        <v>50</v>
      </c>
      <c r="D4206" s="27" t="s">
        <v>7</v>
      </c>
      <c r="E4206" s="27" t="s">
        <v>8</v>
      </c>
      <c r="F4206" s="29"/>
      <c r="G4206" s="30">
        <v>6093.16</v>
      </c>
    </row>
    <row r="4207" spans="1:7" hidden="1" x14ac:dyDescent="0.25">
      <c r="A4207" s="28">
        <v>43862</v>
      </c>
      <c r="B4207" s="27" t="s">
        <v>4</v>
      </c>
      <c r="C4207" s="27" t="s">
        <v>50</v>
      </c>
      <c r="D4207" s="27" t="s">
        <v>7</v>
      </c>
      <c r="E4207" s="27" t="s">
        <v>9</v>
      </c>
      <c r="F4207" s="29"/>
      <c r="G4207" s="30">
        <v>2637.74</v>
      </c>
    </row>
    <row r="4208" spans="1:7" hidden="1" x14ac:dyDescent="0.25">
      <c r="A4208" s="28">
        <v>43862</v>
      </c>
      <c r="B4208" s="27" t="s">
        <v>4</v>
      </c>
      <c r="C4208" s="27" t="s">
        <v>50</v>
      </c>
      <c r="D4208" s="27" t="s">
        <v>7</v>
      </c>
      <c r="E4208" s="27" t="s">
        <v>22</v>
      </c>
      <c r="F4208" s="29"/>
      <c r="G4208" s="30">
        <v>3218.43</v>
      </c>
    </row>
    <row r="4209" spans="1:7" hidden="1" x14ac:dyDescent="0.25">
      <c r="A4209" s="28">
        <v>43862</v>
      </c>
      <c r="B4209" s="27" t="s">
        <v>4</v>
      </c>
      <c r="C4209" s="27" t="s">
        <v>50</v>
      </c>
      <c r="D4209" s="27" t="s">
        <v>7</v>
      </c>
      <c r="E4209" s="27" t="s">
        <v>64</v>
      </c>
      <c r="F4209" s="29"/>
      <c r="G4209" s="30">
        <v>1523.8</v>
      </c>
    </row>
    <row r="4210" spans="1:7" hidden="1" x14ac:dyDescent="0.25">
      <c r="A4210" s="28">
        <v>43862</v>
      </c>
      <c r="B4210" s="27" t="s">
        <v>4</v>
      </c>
      <c r="C4210" s="27" t="s">
        <v>50</v>
      </c>
      <c r="D4210" s="27" t="s">
        <v>7</v>
      </c>
      <c r="E4210" s="27" t="s">
        <v>21</v>
      </c>
      <c r="F4210" s="29"/>
      <c r="G4210" s="30">
        <v>4426.8999999999996</v>
      </c>
    </row>
    <row r="4211" spans="1:7" hidden="1" x14ac:dyDescent="0.25">
      <c r="A4211" s="28">
        <v>43862</v>
      </c>
      <c r="B4211" s="27" t="s">
        <v>4</v>
      </c>
      <c r="C4211" s="27" t="s">
        <v>50</v>
      </c>
      <c r="D4211" s="27" t="s">
        <v>7</v>
      </c>
      <c r="E4211" s="27" t="s">
        <v>10</v>
      </c>
      <c r="F4211" s="29"/>
      <c r="G4211" s="30">
        <v>3185.48</v>
      </c>
    </row>
    <row r="4212" spans="1:7" hidden="1" x14ac:dyDescent="0.25">
      <c r="A4212" s="28">
        <v>43862</v>
      </c>
      <c r="B4212" s="27" t="s">
        <v>4</v>
      </c>
      <c r="C4212" s="27" t="s">
        <v>50</v>
      </c>
      <c r="D4212" s="27" t="s">
        <v>7</v>
      </c>
      <c r="E4212" s="27" t="s">
        <v>11</v>
      </c>
      <c r="F4212" s="29"/>
      <c r="G4212" s="30">
        <v>1626.99</v>
      </c>
    </row>
    <row r="4213" spans="1:7" hidden="1" x14ac:dyDescent="0.25">
      <c r="A4213" s="28">
        <v>43862</v>
      </c>
      <c r="B4213" s="27" t="s">
        <v>4</v>
      </c>
      <c r="C4213" s="27" t="s">
        <v>50</v>
      </c>
      <c r="D4213" s="27" t="s">
        <v>7</v>
      </c>
      <c r="E4213" s="27" t="s">
        <v>12</v>
      </c>
      <c r="F4213" s="29"/>
      <c r="G4213" s="30">
        <v>1655.3</v>
      </c>
    </row>
    <row r="4214" spans="1:7" hidden="1" x14ac:dyDescent="0.25">
      <c r="A4214" s="28">
        <v>43862</v>
      </c>
      <c r="B4214" s="27" t="s">
        <v>4</v>
      </c>
      <c r="C4214" s="27" t="s">
        <v>50</v>
      </c>
      <c r="D4214" s="27" t="s">
        <v>7</v>
      </c>
      <c r="E4214" s="27" t="s">
        <v>13</v>
      </c>
      <c r="F4214" s="29"/>
      <c r="G4214" s="30">
        <v>3980.62</v>
      </c>
    </row>
    <row r="4215" spans="1:7" hidden="1" x14ac:dyDescent="0.25">
      <c r="A4215" s="28">
        <v>43862</v>
      </c>
      <c r="B4215" s="27" t="s">
        <v>4</v>
      </c>
      <c r="C4215" s="27" t="s">
        <v>50</v>
      </c>
      <c r="D4215" s="27" t="s">
        <v>7</v>
      </c>
      <c r="E4215" s="27" t="s">
        <v>14</v>
      </c>
      <c r="F4215" s="29"/>
      <c r="G4215" s="30">
        <v>1175.32</v>
      </c>
    </row>
    <row r="4216" spans="1:7" hidden="1" x14ac:dyDescent="0.25">
      <c r="A4216" s="28">
        <v>43862</v>
      </c>
      <c r="B4216" s="27" t="s">
        <v>4</v>
      </c>
      <c r="C4216" s="27" t="s">
        <v>50</v>
      </c>
      <c r="D4216" s="27" t="s">
        <v>7</v>
      </c>
      <c r="E4216" s="27" t="s">
        <v>15</v>
      </c>
      <c r="F4216" s="29"/>
      <c r="G4216" s="30">
        <v>2959.9</v>
      </c>
    </row>
    <row r="4217" spans="1:7" hidden="1" x14ac:dyDescent="0.25">
      <c r="A4217" s="28">
        <v>43862</v>
      </c>
      <c r="B4217" s="27" t="s">
        <v>4</v>
      </c>
      <c r="C4217" s="27" t="s">
        <v>50</v>
      </c>
      <c r="D4217" s="27" t="s">
        <v>7</v>
      </c>
      <c r="E4217" s="27" t="s">
        <v>16</v>
      </c>
      <c r="F4217" s="29"/>
      <c r="G4217" s="30">
        <v>4671.71</v>
      </c>
    </row>
    <row r="4218" spans="1:7" hidden="1" x14ac:dyDescent="0.25">
      <c r="A4218" s="28">
        <v>43862</v>
      </c>
      <c r="B4218" s="27" t="s">
        <v>4</v>
      </c>
      <c r="C4218" s="27" t="s">
        <v>50</v>
      </c>
      <c r="D4218" s="27" t="s">
        <v>7</v>
      </c>
      <c r="E4218" s="27" t="s">
        <v>17</v>
      </c>
      <c r="F4218" s="29"/>
      <c r="G4218" s="30">
        <v>3257.34</v>
      </c>
    </row>
    <row r="4219" spans="1:7" hidden="1" x14ac:dyDescent="0.25">
      <c r="A4219" s="28">
        <v>43862</v>
      </c>
      <c r="B4219" s="27" t="s">
        <v>4</v>
      </c>
      <c r="C4219" s="27" t="s">
        <v>50</v>
      </c>
      <c r="D4219" s="27" t="s">
        <v>7</v>
      </c>
      <c r="E4219" s="27" t="s">
        <v>18</v>
      </c>
      <c r="F4219" s="29"/>
      <c r="G4219" s="30">
        <v>2009.65</v>
      </c>
    </row>
    <row r="4220" spans="1:7" hidden="1" x14ac:dyDescent="0.25">
      <c r="A4220" s="28">
        <v>43862</v>
      </c>
      <c r="B4220" s="27" t="s">
        <v>4</v>
      </c>
      <c r="C4220" s="27" t="s">
        <v>50</v>
      </c>
      <c r="D4220" s="27" t="s">
        <v>7</v>
      </c>
      <c r="E4220" s="27" t="s">
        <v>19</v>
      </c>
      <c r="F4220" s="29"/>
      <c r="G4220" s="30">
        <v>3354.88</v>
      </c>
    </row>
    <row r="4221" spans="1:7" hidden="1" x14ac:dyDescent="0.25">
      <c r="A4221" s="28">
        <v>43862</v>
      </c>
      <c r="B4221" s="27" t="s">
        <v>4</v>
      </c>
      <c r="C4221" s="27" t="s">
        <v>50</v>
      </c>
      <c r="D4221" s="27" t="s">
        <v>7</v>
      </c>
      <c r="E4221" s="27" t="s">
        <v>20</v>
      </c>
      <c r="F4221" s="29"/>
      <c r="G4221" s="30">
        <v>2720.18</v>
      </c>
    </row>
    <row r="4222" spans="1:7" hidden="1" x14ac:dyDescent="0.25">
      <c r="A4222" s="28">
        <v>43862</v>
      </c>
      <c r="B4222" s="27" t="s">
        <v>4</v>
      </c>
      <c r="C4222" s="27" t="s">
        <v>50</v>
      </c>
      <c r="D4222" s="27" t="s">
        <v>7</v>
      </c>
      <c r="E4222" s="27" t="s">
        <v>38</v>
      </c>
      <c r="F4222" s="29"/>
      <c r="G4222" s="30">
        <v>2847.15</v>
      </c>
    </row>
    <row r="4223" spans="1:7" hidden="1" x14ac:dyDescent="0.25">
      <c r="A4223" s="28">
        <v>43862</v>
      </c>
      <c r="B4223" s="27" t="s">
        <v>4</v>
      </c>
      <c r="C4223" s="27" t="s">
        <v>50</v>
      </c>
      <c r="D4223" s="27" t="s">
        <v>7</v>
      </c>
      <c r="E4223" s="27" t="s">
        <v>23</v>
      </c>
      <c r="F4223" s="29"/>
      <c r="G4223" s="30">
        <v>3160.09</v>
      </c>
    </row>
    <row r="4224" spans="1:7" hidden="1" x14ac:dyDescent="0.25">
      <c r="A4224" s="28">
        <v>43862</v>
      </c>
      <c r="B4224" s="27" t="s">
        <v>4</v>
      </c>
      <c r="C4224" s="27" t="s">
        <v>50</v>
      </c>
      <c r="D4224" s="27" t="s">
        <v>7</v>
      </c>
      <c r="E4224" s="27" t="s">
        <v>37</v>
      </c>
      <c r="F4224" s="29"/>
      <c r="G4224" s="30">
        <v>315</v>
      </c>
    </row>
    <row r="4225" spans="1:7" hidden="1" x14ac:dyDescent="0.25">
      <c r="A4225" s="28">
        <v>43862</v>
      </c>
      <c r="B4225" s="27" t="s">
        <v>26</v>
      </c>
      <c r="C4225" s="27" t="s">
        <v>50</v>
      </c>
      <c r="D4225" s="27" t="s">
        <v>6</v>
      </c>
      <c r="E4225" s="27" t="s">
        <v>8</v>
      </c>
      <c r="F4225" s="29"/>
      <c r="G4225" s="30">
        <v>1194.25</v>
      </c>
    </row>
    <row r="4226" spans="1:7" hidden="1" x14ac:dyDescent="0.25">
      <c r="A4226" s="28">
        <v>43862</v>
      </c>
      <c r="B4226" s="27" t="s">
        <v>26</v>
      </c>
      <c r="C4226" s="27" t="s">
        <v>50</v>
      </c>
      <c r="D4226" s="27" t="s">
        <v>6</v>
      </c>
      <c r="E4226" s="27" t="s">
        <v>9</v>
      </c>
      <c r="F4226" s="29"/>
      <c r="G4226" s="30">
        <v>1550.9166666666667</v>
      </c>
    </row>
    <row r="4227" spans="1:7" hidden="1" x14ac:dyDescent="0.25">
      <c r="A4227" s="28">
        <v>43862</v>
      </c>
      <c r="B4227" s="27" t="s">
        <v>26</v>
      </c>
      <c r="C4227" s="27" t="s">
        <v>50</v>
      </c>
      <c r="D4227" s="27" t="s">
        <v>6</v>
      </c>
      <c r="E4227" s="27" t="s">
        <v>22</v>
      </c>
      <c r="F4227" s="29"/>
      <c r="G4227" s="30">
        <v>1270.3500000000001</v>
      </c>
    </row>
    <row r="4228" spans="1:7" hidden="1" x14ac:dyDescent="0.25">
      <c r="A4228" s="28">
        <v>43862</v>
      </c>
      <c r="B4228" s="27" t="s">
        <v>26</v>
      </c>
      <c r="C4228" s="27" t="s">
        <v>50</v>
      </c>
      <c r="D4228" s="27" t="s">
        <v>6</v>
      </c>
      <c r="E4228" s="27" t="s">
        <v>64</v>
      </c>
      <c r="F4228" s="29"/>
      <c r="G4228" s="30">
        <v>1359.4166666666667</v>
      </c>
    </row>
    <row r="4229" spans="1:7" hidden="1" x14ac:dyDescent="0.25">
      <c r="A4229" s="28">
        <v>43862</v>
      </c>
      <c r="B4229" s="27" t="s">
        <v>26</v>
      </c>
      <c r="C4229" s="27" t="s">
        <v>50</v>
      </c>
      <c r="D4229" s="27" t="s">
        <v>6</v>
      </c>
      <c r="E4229" s="27" t="s">
        <v>21</v>
      </c>
      <c r="F4229" s="29"/>
      <c r="G4229" s="30">
        <v>1359.4166666666667</v>
      </c>
    </row>
    <row r="4230" spans="1:7" hidden="1" x14ac:dyDescent="0.25">
      <c r="A4230" s="28">
        <v>43862</v>
      </c>
      <c r="B4230" s="27" t="s">
        <v>26</v>
      </c>
      <c r="C4230" s="27" t="s">
        <v>50</v>
      </c>
      <c r="D4230" s="27" t="s">
        <v>6</v>
      </c>
      <c r="E4230" s="27" t="s">
        <v>10</v>
      </c>
      <c r="F4230" s="29"/>
      <c r="G4230" s="30">
        <v>1998.9666666666669</v>
      </c>
    </row>
    <row r="4231" spans="1:7" hidden="1" x14ac:dyDescent="0.25">
      <c r="A4231" s="28">
        <v>43862</v>
      </c>
      <c r="B4231" s="27" t="s">
        <v>26</v>
      </c>
      <c r="C4231" s="27" t="s">
        <v>50</v>
      </c>
      <c r="D4231" s="27" t="s">
        <v>6</v>
      </c>
      <c r="E4231" s="27" t="s">
        <v>11</v>
      </c>
      <c r="F4231" s="29"/>
      <c r="G4231" s="30">
        <v>1340.7166666666667</v>
      </c>
    </row>
    <row r="4232" spans="1:7" hidden="1" x14ac:dyDescent="0.25">
      <c r="A4232" s="28">
        <v>43862</v>
      </c>
      <c r="B4232" s="27" t="s">
        <v>26</v>
      </c>
      <c r="C4232" s="27" t="s">
        <v>50</v>
      </c>
      <c r="D4232" s="27" t="s">
        <v>6</v>
      </c>
      <c r="E4232" s="27" t="s">
        <v>12</v>
      </c>
      <c r="F4232" s="29"/>
      <c r="G4232" s="30">
        <v>1350.1166666666668</v>
      </c>
    </row>
    <row r="4233" spans="1:7" hidden="1" x14ac:dyDescent="0.25">
      <c r="A4233" s="28">
        <v>43862</v>
      </c>
      <c r="B4233" s="27" t="s">
        <v>26</v>
      </c>
      <c r="C4233" s="27" t="s">
        <v>50</v>
      </c>
      <c r="D4233" s="27" t="s">
        <v>6</v>
      </c>
      <c r="E4233" s="27" t="s">
        <v>13</v>
      </c>
      <c r="F4233" s="29"/>
      <c r="G4233" s="30">
        <v>1901.5</v>
      </c>
    </row>
    <row r="4234" spans="1:7" hidden="1" x14ac:dyDescent="0.25">
      <c r="A4234" s="28">
        <v>43862</v>
      </c>
      <c r="B4234" s="27" t="s">
        <v>26</v>
      </c>
      <c r="C4234" s="27" t="s">
        <v>50</v>
      </c>
      <c r="D4234" s="27" t="s">
        <v>6</v>
      </c>
      <c r="E4234" s="27" t="s">
        <v>14</v>
      </c>
      <c r="F4234" s="29"/>
      <c r="G4234" s="30">
        <v>701.7833333333333</v>
      </c>
    </row>
    <row r="4235" spans="1:7" hidden="1" x14ac:dyDescent="0.25">
      <c r="A4235" s="28">
        <v>43862</v>
      </c>
      <c r="B4235" s="27" t="s">
        <v>26</v>
      </c>
      <c r="C4235" s="27" t="s">
        <v>50</v>
      </c>
      <c r="D4235" s="27" t="s">
        <v>6</v>
      </c>
      <c r="E4235" s="27" t="s">
        <v>15</v>
      </c>
      <c r="F4235" s="29"/>
      <c r="G4235" s="30">
        <v>1820.5500000000002</v>
      </c>
    </row>
    <row r="4236" spans="1:7" hidden="1" x14ac:dyDescent="0.25">
      <c r="A4236" s="28">
        <v>43862</v>
      </c>
      <c r="B4236" s="27" t="s">
        <v>26</v>
      </c>
      <c r="C4236" s="27" t="s">
        <v>50</v>
      </c>
      <c r="D4236" s="27" t="s">
        <v>6</v>
      </c>
      <c r="E4236" s="27" t="s">
        <v>16</v>
      </c>
      <c r="F4236" s="29"/>
      <c r="G4236" s="30">
        <v>1992.5833333333333</v>
      </c>
    </row>
    <row r="4237" spans="1:7" hidden="1" x14ac:dyDescent="0.25">
      <c r="A4237" s="28">
        <v>43862</v>
      </c>
      <c r="B4237" s="27" t="s">
        <v>26</v>
      </c>
      <c r="C4237" s="27" t="s">
        <v>50</v>
      </c>
      <c r="D4237" s="27" t="s">
        <v>6</v>
      </c>
      <c r="E4237" s="27" t="s">
        <v>17</v>
      </c>
      <c r="F4237" s="29"/>
      <c r="G4237" s="30">
        <v>2822.1166666666668</v>
      </c>
    </row>
    <row r="4238" spans="1:7" hidden="1" x14ac:dyDescent="0.25">
      <c r="A4238" s="28">
        <v>43862</v>
      </c>
      <c r="B4238" s="27" t="s">
        <v>26</v>
      </c>
      <c r="C4238" s="27" t="s">
        <v>50</v>
      </c>
      <c r="D4238" s="27" t="s">
        <v>6</v>
      </c>
      <c r="E4238" s="27" t="s">
        <v>18</v>
      </c>
      <c r="F4238" s="29"/>
      <c r="G4238" s="30">
        <v>1488.6666666666667</v>
      </c>
    </row>
    <row r="4239" spans="1:7" hidden="1" x14ac:dyDescent="0.25">
      <c r="A4239" s="28">
        <v>43862</v>
      </c>
      <c r="B4239" s="27" t="s">
        <v>26</v>
      </c>
      <c r="C4239" s="27" t="s">
        <v>50</v>
      </c>
      <c r="D4239" s="27" t="s">
        <v>6</v>
      </c>
      <c r="E4239" s="27" t="s">
        <v>19</v>
      </c>
      <c r="F4239" s="29"/>
      <c r="G4239" s="30">
        <v>2454.8833333333337</v>
      </c>
    </row>
    <row r="4240" spans="1:7" hidden="1" x14ac:dyDescent="0.25">
      <c r="A4240" s="28">
        <v>43862</v>
      </c>
      <c r="B4240" s="27" t="s">
        <v>26</v>
      </c>
      <c r="C4240" s="27" t="s">
        <v>50</v>
      </c>
      <c r="D4240" s="27" t="s">
        <v>6</v>
      </c>
      <c r="E4240" s="27" t="s">
        <v>20</v>
      </c>
      <c r="F4240" s="29"/>
      <c r="G4240" s="30">
        <v>1590.3833333333334</v>
      </c>
    </row>
    <row r="4241" spans="1:7" hidden="1" x14ac:dyDescent="0.25">
      <c r="A4241" s="28">
        <v>43862</v>
      </c>
      <c r="B4241" s="27" t="s">
        <v>26</v>
      </c>
      <c r="C4241" s="27" t="s">
        <v>50</v>
      </c>
      <c r="D4241" s="27" t="s">
        <v>6</v>
      </c>
      <c r="E4241" s="27" t="s">
        <v>38</v>
      </c>
      <c r="F4241" s="29"/>
      <c r="G4241" s="30">
        <v>602</v>
      </c>
    </row>
    <row r="4242" spans="1:7" hidden="1" x14ac:dyDescent="0.25">
      <c r="A4242" s="28">
        <v>43862</v>
      </c>
      <c r="B4242" s="27" t="s">
        <v>26</v>
      </c>
      <c r="C4242" s="27" t="s">
        <v>50</v>
      </c>
      <c r="D4242" s="27" t="s">
        <v>6</v>
      </c>
      <c r="E4242" s="27" t="s">
        <v>23</v>
      </c>
      <c r="F4242" s="29"/>
      <c r="G4242" s="30">
        <v>2997.5</v>
      </c>
    </row>
    <row r="4243" spans="1:7" hidden="1" x14ac:dyDescent="0.25">
      <c r="A4243" s="28">
        <v>43862</v>
      </c>
      <c r="B4243" s="27" t="s">
        <v>26</v>
      </c>
      <c r="C4243" s="27" t="s">
        <v>50</v>
      </c>
      <c r="D4243" s="27" t="s">
        <v>6</v>
      </c>
      <c r="E4243" s="27" t="s">
        <v>37</v>
      </c>
      <c r="F4243" s="29"/>
      <c r="G4243" s="30">
        <v>250</v>
      </c>
    </row>
    <row r="4244" spans="1:7" hidden="1" x14ac:dyDescent="0.25">
      <c r="A4244" s="28">
        <v>43862</v>
      </c>
      <c r="B4244" s="27" t="s">
        <v>3</v>
      </c>
      <c r="C4244" s="27" t="s">
        <v>50</v>
      </c>
      <c r="D4244" s="27" t="s">
        <v>7</v>
      </c>
      <c r="E4244" s="27" t="s">
        <v>8</v>
      </c>
      <c r="F4244" s="29"/>
      <c r="G4244" s="30">
        <v>627.80666666666673</v>
      </c>
    </row>
    <row r="4245" spans="1:7" hidden="1" x14ac:dyDescent="0.25">
      <c r="A4245" s="28">
        <v>43862</v>
      </c>
      <c r="B4245" s="27" t="s">
        <v>3</v>
      </c>
      <c r="C4245" s="27" t="s">
        <v>50</v>
      </c>
      <c r="D4245" s="27" t="s">
        <v>7</v>
      </c>
      <c r="E4245" s="27" t="s">
        <v>9</v>
      </c>
      <c r="F4245" s="29"/>
      <c r="G4245" s="30">
        <v>627.80666666666673</v>
      </c>
    </row>
    <row r="4246" spans="1:7" hidden="1" x14ac:dyDescent="0.25">
      <c r="A4246" s="28">
        <v>43862</v>
      </c>
      <c r="B4246" s="27" t="s">
        <v>3</v>
      </c>
      <c r="C4246" s="27" t="s">
        <v>50</v>
      </c>
      <c r="D4246" s="27" t="s">
        <v>7</v>
      </c>
      <c r="E4246" s="27" t="s">
        <v>22</v>
      </c>
      <c r="F4246" s="29"/>
      <c r="G4246" s="30">
        <v>627.80666666666673</v>
      </c>
    </row>
    <row r="4247" spans="1:7" hidden="1" x14ac:dyDescent="0.25">
      <c r="A4247" s="28">
        <v>43862</v>
      </c>
      <c r="B4247" s="27" t="s">
        <v>3</v>
      </c>
      <c r="C4247" s="27" t="s">
        <v>50</v>
      </c>
      <c r="D4247" s="27" t="s">
        <v>7</v>
      </c>
      <c r="E4247" s="27" t="s">
        <v>64</v>
      </c>
      <c r="F4247" s="29"/>
      <c r="G4247" s="30">
        <v>627.80666666666673</v>
      </c>
    </row>
    <row r="4248" spans="1:7" hidden="1" x14ac:dyDescent="0.25">
      <c r="A4248" s="28">
        <v>43862</v>
      </c>
      <c r="B4248" s="27" t="s">
        <v>3</v>
      </c>
      <c r="C4248" s="27" t="s">
        <v>50</v>
      </c>
      <c r="D4248" s="27" t="s">
        <v>7</v>
      </c>
      <c r="E4248" s="27" t="s">
        <v>21</v>
      </c>
      <c r="F4248" s="29"/>
      <c r="G4248" s="30">
        <v>627.80666666666673</v>
      </c>
    </row>
    <row r="4249" spans="1:7" hidden="1" x14ac:dyDescent="0.25">
      <c r="A4249" s="28">
        <v>43862</v>
      </c>
      <c r="B4249" s="27" t="s">
        <v>3</v>
      </c>
      <c r="C4249" s="27" t="s">
        <v>50</v>
      </c>
      <c r="D4249" s="27" t="s">
        <v>7</v>
      </c>
      <c r="E4249" s="27" t="s">
        <v>10</v>
      </c>
      <c r="F4249" s="29"/>
      <c r="G4249" s="30">
        <v>627.80666666666673</v>
      </c>
    </row>
    <row r="4250" spans="1:7" hidden="1" x14ac:dyDescent="0.25">
      <c r="A4250" s="28">
        <v>43862</v>
      </c>
      <c r="B4250" s="27" t="s">
        <v>3</v>
      </c>
      <c r="C4250" s="27" t="s">
        <v>50</v>
      </c>
      <c r="D4250" s="27" t="s">
        <v>7</v>
      </c>
      <c r="E4250" s="27" t="s">
        <v>11</v>
      </c>
      <c r="F4250" s="29"/>
      <c r="G4250" s="30">
        <v>627.80666666666673</v>
      </c>
    </row>
    <row r="4251" spans="1:7" hidden="1" x14ac:dyDescent="0.25">
      <c r="A4251" s="28">
        <v>43862</v>
      </c>
      <c r="B4251" s="27" t="s">
        <v>3</v>
      </c>
      <c r="C4251" s="27" t="s">
        <v>50</v>
      </c>
      <c r="D4251" s="27" t="s">
        <v>7</v>
      </c>
      <c r="E4251" s="27" t="s">
        <v>12</v>
      </c>
      <c r="F4251" s="29"/>
      <c r="G4251" s="30">
        <v>627.80666666666673</v>
      </c>
    </row>
    <row r="4252" spans="1:7" hidden="1" x14ac:dyDescent="0.25">
      <c r="A4252" s="28">
        <v>43862</v>
      </c>
      <c r="B4252" s="27" t="s">
        <v>3</v>
      </c>
      <c r="C4252" s="27" t="s">
        <v>50</v>
      </c>
      <c r="D4252" s="27" t="s">
        <v>7</v>
      </c>
      <c r="E4252" s="27" t="s">
        <v>13</v>
      </c>
      <c r="F4252" s="29"/>
      <c r="G4252" s="30">
        <v>627.80666666666673</v>
      </c>
    </row>
    <row r="4253" spans="1:7" hidden="1" x14ac:dyDescent="0.25">
      <c r="A4253" s="28">
        <v>43862</v>
      </c>
      <c r="B4253" s="27" t="s">
        <v>3</v>
      </c>
      <c r="C4253" s="27" t="s">
        <v>50</v>
      </c>
      <c r="D4253" s="27" t="s">
        <v>7</v>
      </c>
      <c r="E4253" s="27" t="s">
        <v>14</v>
      </c>
      <c r="F4253" s="29"/>
      <c r="G4253" s="30">
        <v>627.80666666666673</v>
      </c>
    </row>
    <row r="4254" spans="1:7" hidden="1" x14ac:dyDescent="0.25">
      <c r="A4254" s="28">
        <v>43862</v>
      </c>
      <c r="B4254" s="27" t="s">
        <v>3</v>
      </c>
      <c r="C4254" s="27" t="s">
        <v>50</v>
      </c>
      <c r="D4254" s="27" t="s">
        <v>7</v>
      </c>
      <c r="E4254" s="27" t="s">
        <v>15</v>
      </c>
      <c r="F4254" s="29"/>
      <c r="G4254" s="30">
        <v>627.80666666666673</v>
      </c>
    </row>
    <row r="4255" spans="1:7" hidden="1" x14ac:dyDescent="0.25">
      <c r="A4255" s="28">
        <v>43862</v>
      </c>
      <c r="B4255" s="27" t="s">
        <v>3</v>
      </c>
      <c r="C4255" s="27" t="s">
        <v>50</v>
      </c>
      <c r="D4255" s="27" t="s">
        <v>7</v>
      </c>
      <c r="E4255" s="27" t="s">
        <v>16</v>
      </c>
      <c r="F4255" s="29"/>
      <c r="G4255" s="30">
        <v>627.80666666666673</v>
      </c>
    </row>
    <row r="4256" spans="1:7" hidden="1" x14ac:dyDescent="0.25">
      <c r="A4256" s="28">
        <v>43862</v>
      </c>
      <c r="B4256" s="27" t="s">
        <v>3</v>
      </c>
      <c r="C4256" s="27" t="s">
        <v>50</v>
      </c>
      <c r="D4256" s="27" t="s">
        <v>7</v>
      </c>
      <c r="E4256" s="27" t="s">
        <v>17</v>
      </c>
      <c r="F4256" s="29"/>
      <c r="G4256" s="30">
        <v>627.80666666666673</v>
      </c>
    </row>
    <row r="4257" spans="1:7" hidden="1" x14ac:dyDescent="0.25">
      <c r="A4257" s="28">
        <v>43862</v>
      </c>
      <c r="B4257" s="27" t="s">
        <v>3</v>
      </c>
      <c r="C4257" s="27" t="s">
        <v>50</v>
      </c>
      <c r="D4257" s="27" t="s">
        <v>7</v>
      </c>
      <c r="E4257" s="27" t="s">
        <v>18</v>
      </c>
      <c r="F4257" s="29"/>
      <c r="G4257" s="30">
        <v>627.80666666666673</v>
      </c>
    </row>
    <row r="4258" spans="1:7" hidden="1" x14ac:dyDescent="0.25">
      <c r="A4258" s="28">
        <v>43862</v>
      </c>
      <c r="B4258" s="27" t="s">
        <v>3</v>
      </c>
      <c r="C4258" s="27" t="s">
        <v>50</v>
      </c>
      <c r="D4258" s="27" t="s">
        <v>7</v>
      </c>
      <c r="E4258" s="27" t="s">
        <v>19</v>
      </c>
      <c r="F4258" s="29"/>
      <c r="G4258" s="30">
        <v>627.80666666666673</v>
      </c>
    </row>
    <row r="4259" spans="1:7" hidden="1" x14ac:dyDescent="0.25">
      <c r="A4259" s="28">
        <v>43862</v>
      </c>
      <c r="B4259" s="27" t="s">
        <v>3</v>
      </c>
      <c r="C4259" s="27" t="s">
        <v>50</v>
      </c>
      <c r="D4259" s="27" t="s">
        <v>7</v>
      </c>
      <c r="E4259" s="27" t="s">
        <v>20</v>
      </c>
      <c r="F4259" s="29"/>
      <c r="G4259" s="30">
        <v>627.80666666666673</v>
      </c>
    </row>
    <row r="4260" spans="1:7" hidden="1" x14ac:dyDescent="0.25">
      <c r="A4260" s="28">
        <v>43862</v>
      </c>
      <c r="B4260" s="27" t="s">
        <v>3</v>
      </c>
      <c r="C4260" s="27" t="s">
        <v>50</v>
      </c>
      <c r="D4260" s="27" t="s">
        <v>7</v>
      </c>
      <c r="E4260" s="27" t="s">
        <v>38</v>
      </c>
      <c r="F4260" s="29"/>
      <c r="G4260" s="30">
        <v>627.80666666666673</v>
      </c>
    </row>
    <row r="4261" spans="1:7" hidden="1" x14ac:dyDescent="0.25">
      <c r="A4261" s="28">
        <v>43862</v>
      </c>
      <c r="B4261" s="27" t="s">
        <v>3</v>
      </c>
      <c r="C4261" s="27" t="s">
        <v>50</v>
      </c>
      <c r="D4261" s="27" t="s">
        <v>7</v>
      </c>
      <c r="E4261" s="27" t="s">
        <v>23</v>
      </c>
      <c r="F4261" s="29"/>
      <c r="G4261" s="30">
        <v>627.80666666666673</v>
      </c>
    </row>
    <row r="4262" spans="1:7" hidden="1" x14ac:dyDescent="0.25">
      <c r="A4262" s="28">
        <v>43862</v>
      </c>
      <c r="B4262" s="27" t="s">
        <v>179</v>
      </c>
      <c r="C4262" s="27" t="s">
        <v>50</v>
      </c>
      <c r="D4262" s="27" t="s">
        <v>6</v>
      </c>
      <c r="E4262" s="27" t="s">
        <v>8</v>
      </c>
      <c r="F4262" s="29"/>
      <c r="G4262" s="30">
        <v>181.03</v>
      </c>
    </row>
    <row r="4263" spans="1:7" hidden="1" x14ac:dyDescent="0.25">
      <c r="A4263" s="28">
        <v>43862</v>
      </c>
      <c r="B4263" s="27" t="s">
        <v>179</v>
      </c>
      <c r="C4263" s="27" t="s">
        <v>50</v>
      </c>
      <c r="D4263" s="27" t="s">
        <v>6</v>
      </c>
      <c r="E4263" s="27" t="s">
        <v>9</v>
      </c>
      <c r="F4263" s="29"/>
      <c r="G4263" s="30">
        <v>256.56</v>
      </c>
    </row>
    <row r="4264" spans="1:7" hidden="1" x14ac:dyDescent="0.25">
      <c r="A4264" s="28">
        <v>43862</v>
      </c>
      <c r="B4264" s="27" t="s">
        <v>179</v>
      </c>
      <c r="C4264" s="27" t="s">
        <v>50</v>
      </c>
      <c r="D4264" s="27" t="s">
        <v>6</v>
      </c>
      <c r="E4264" s="27" t="s">
        <v>22</v>
      </c>
      <c r="F4264" s="29"/>
      <c r="G4264" s="30">
        <v>356.36</v>
      </c>
    </row>
    <row r="4265" spans="1:7" hidden="1" x14ac:dyDescent="0.25">
      <c r="A4265" s="28">
        <v>43862</v>
      </c>
      <c r="B4265" s="27" t="s">
        <v>179</v>
      </c>
      <c r="C4265" s="27" t="s">
        <v>50</v>
      </c>
      <c r="D4265" s="27" t="s">
        <v>6</v>
      </c>
      <c r="E4265" s="27" t="s">
        <v>64</v>
      </c>
      <c r="F4265" s="29"/>
      <c r="G4265" s="30">
        <v>195.41</v>
      </c>
    </row>
    <row r="4266" spans="1:7" hidden="1" x14ac:dyDescent="0.25">
      <c r="A4266" s="28">
        <v>43862</v>
      </c>
      <c r="B4266" s="27" t="s">
        <v>179</v>
      </c>
      <c r="C4266" s="27" t="s">
        <v>50</v>
      </c>
      <c r="D4266" s="27" t="s">
        <v>6</v>
      </c>
      <c r="E4266" s="27" t="s">
        <v>21</v>
      </c>
      <c r="F4266" s="29"/>
      <c r="G4266" s="30">
        <v>233.38</v>
      </c>
    </row>
    <row r="4267" spans="1:7" hidden="1" x14ac:dyDescent="0.25">
      <c r="A4267" s="28">
        <v>43862</v>
      </c>
      <c r="B4267" s="27" t="s">
        <v>179</v>
      </c>
      <c r="C4267" s="27" t="s">
        <v>50</v>
      </c>
      <c r="D4267" s="27" t="s">
        <v>6</v>
      </c>
      <c r="E4267" s="27" t="s">
        <v>10</v>
      </c>
      <c r="F4267" s="29"/>
      <c r="G4267" s="30">
        <v>316.44</v>
      </c>
    </row>
    <row r="4268" spans="1:7" hidden="1" x14ac:dyDescent="0.25">
      <c r="A4268" s="28">
        <v>43862</v>
      </c>
      <c r="B4268" s="27" t="s">
        <v>179</v>
      </c>
      <c r="C4268" s="27" t="s">
        <v>50</v>
      </c>
      <c r="D4268" s="27" t="s">
        <v>6</v>
      </c>
      <c r="E4268" s="27" t="s">
        <v>11</v>
      </c>
      <c r="F4268" s="29"/>
      <c r="G4268" s="30">
        <v>229.92</v>
      </c>
    </row>
    <row r="4269" spans="1:7" hidden="1" x14ac:dyDescent="0.25">
      <c r="A4269" s="28">
        <v>43862</v>
      </c>
      <c r="B4269" s="27" t="s">
        <v>179</v>
      </c>
      <c r="C4269" s="27" t="s">
        <v>50</v>
      </c>
      <c r="D4269" s="27" t="s">
        <v>6</v>
      </c>
      <c r="E4269" s="27" t="s">
        <v>12</v>
      </c>
      <c r="F4269" s="29"/>
      <c r="G4269" s="30">
        <v>237.51</v>
      </c>
    </row>
    <row r="4270" spans="1:7" hidden="1" x14ac:dyDescent="0.25">
      <c r="A4270" s="28">
        <v>43862</v>
      </c>
      <c r="B4270" s="27" t="s">
        <v>179</v>
      </c>
      <c r="C4270" s="27" t="s">
        <v>50</v>
      </c>
      <c r="D4270" s="27" t="s">
        <v>6</v>
      </c>
      <c r="E4270" s="27" t="s">
        <v>13</v>
      </c>
      <c r="F4270" s="29"/>
      <c r="G4270" s="30">
        <v>339.46</v>
      </c>
    </row>
    <row r="4271" spans="1:7" hidden="1" x14ac:dyDescent="0.25">
      <c r="A4271" s="28">
        <v>43862</v>
      </c>
      <c r="B4271" s="27" t="s">
        <v>179</v>
      </c>
      <c r="C4271" s="27" t="s">
        <v>50</v>
      </c>
      <c r="D4271" s="27" t="s">
        <v>6</v>
      </c>
      <c r="E4271" s="27" t="s">
        <v>14</v>
      </c>
      <c r="F4271" s="29"/>
      <c r="G4271" s="30">
        <v>302.73</v>
      </c>
    </row>
    <row r="4272" spans="1:7" hidden="1" x14ac:dyDescent="0.25">
      <c r="A4272" s="28">
        <v>43862</v>
      </c>
      <c r="B4272" s="27" t="s">
        <v>179</v>
      </c>
      <c r="C4272" s="27" t="s">
        <v>50</v>
      </c>
      <c r="D4272" s="27" t="s">
        <v>6</v>
      </c>
      <c r="E4272" s="27" t="s">
        <v>15</v>
      </c>
      <c r="F4272" s="29"/>
      <c r="G4272" s="30">
        <v>325.68</v>
      </c>
    </row>
    <row r="4273" spans="1:7" hidden="1" x14ac:dyDescent="0.25">
      <c r="A4273" s="28">
        <v>43862</v>
      </c>
      <c r="B4273" s="27" t="s">
        <v>179</v>
      </c>
      <c r="C4273" s="27" t="s">
        <v>50</v>
      </c>
      <c r="D4273" s="27" t="s">
        <v>6</v>
      </c>
      <c r="E4273" s="27" t="s">
        <v>16</v>
      </c>
      <c r="F4273" s="29"/>
      <c r="G4273" s="30">
        <v>331.41</v>
      </c>
    </row>
    <row r="4274" spans="1:7" hidden="1" x14ac:dyDescent="0.25">
      <c r="A4274" s="28">
        <v>43862</v>
      </c>
      <c r="B4274" s="27" t="s">
        <v>179</v>
      </c>
      <c r="C4274" s="27" t="s">
        <v>50</v>
      </c>
      <c r="D4274" s="27" t="s">
        <v>6</v>
      </c>
      <c r="E4274" s="27" t="s">
        <v>17</v>
      </c>
      <c r="F4274" s="29"/>
      <c r="G4274" s="30">
        <v>533.46</v>
      </c>
    </row>
    <row r="4275" spans="1:7" hidden="1" x14ac:dyDescent="0.25">
      <c r="A4275" s="28">
        <v>43862</v>
      </c>
      <c r="B4275" s="27" t="s">
        <v>179</v>
      </c>
      <c r="C4275" s="27" t="s">
        <v>50</v>
      </c>
      <c r="D4275" s="27" t="s">
        <v>6</v>
      </c>
      <c r="E4275" s="27" t="s">
        <v>18</v>
      </c>
      <c r="F4275" s="29"/>
      <c r="G4275" s="30">
        <v>726.2</v>
      </c>
    </row>
    <row r="4276" spans="1:7" hidden="1" x14ac:dyDescent="0.25">
      <c r="A4276" s="28">
        <v>43862</v>
      </c>
      <c r="B4276" s="27" t="s">
        <v>179</v>
      </c>
      <c r="C4276" s="27" t="s">
        <v>50</v>
      </c>
      <c r="D4276" s="27" t="s">
        <v>6</v>
      </c>
      <c r="E4276" s="27" t="s">
        <v>19</v>
      </c>
      <c r="F4276" s="29"/>
      <c r="G4276" s="30">
        <v>479</v>
      </c>
    </row>
    <row r="4277" spans="1:7" hidden="1" x14ac:dyDescent="0.25">
      <c r="A4277" s="28">
        <v>43862</v>
      </c>
      <c r="B4277" s="27" t="s">
        <v>179</v>
      </c>
      <c r="C4277" s="27" t="s">
        <v>50</v>
      </c>
      <c r="D4277" s="27" t="s">
        <v>6</v>
      </c>
      <c r="E4277" s="27" t="s">
        <v>20</v>
      </c>
      <c r="F4277" s="29"/>
      <c r="G4277" s="30">
        <v>903.2</v>
      </c>
    </row>
    <row r="4278" spans="1:7" hidden="1" x14ac:dyDescent="0.25">
      <c r="A4278" s="28">
        <v>43862</v>
      </c>
      <c r="B4278" s="27" t="s">
        <v>179</v>
      </c>
      <c r="C4278" s="27" t="s">
        <v>50</v>
      </c>
      <c r="D4278" s="27" t="s">
        <v>6</v>
      </c>
      <c r="E4278" s="27" t="s">
        <v>38</v>
      </c>
      <c r="F4278" s="29"/>
      <c r="G4278" s="30">
        <v>395</v>
      </c>
    </row>
    <row r="4279" spans="1:7" hidden="1" x14ac:dyDescent="0.25">
      <c r="A4279" s="28">
        <v>43862</v>
      </c>
      <c r="B4279" s="27" t="s">
        <v>179</v>
      </c>
      <c r="C4279" s="27" t="s">
        <v>50</v>
      </c>
      <c r="D4279" s="27" t="s">
        <v>6</v>
      </c>
      <c r="E4279" s="27" t="s">
        <v>23</v>
      </c>
      <c r="F4279" s="29"/>
      <c r="G4279" s="30">
        <v>561.13</v>
      </c>
    </row>
    <row r="4280" spans="1:7" hidden="1" x14ac:dyDescent="0.25">
      <c r="A4280" s="28">
        <v>43862</v>
      </c>
      <c r="B4280" s="27" t="s">
        <v>32</v>
      </c>
      <c r="C4280" s="27" t="s">
        <v>50</v>
      </c>
      <c r="D4280" s="27" t="s">
        <v>7</v>
      </c>
      <c r="E4280" s="27" t="s">
        <v>10</v>
      </c>
      <c r="F4280" s="29"/>
      <c r="G4280" s="30">
        <v>30</v>
      </c>
    </row>
    <row r="4281" spans="1:7" hidden="1" x14ac:dyDescent="0.25">
      <c r="A4281" s="28">
        <v>43862</v>
      </c>
      <c r="B4281" s="27" t="s">
        <v>32</v>
      </c>
      <c r="C4281" s="27" t="s">
        <v>50</v>
      </c>
      <c r="D4281" s="27" t="s">
        <v>7</v>
      </c>
      <c r="E4281" s="27" t="s">
        <v>17</v>
      </c>
      <c r="F4281" s="29"/>
      <c r="G4281" s="30">
        <v>25</v>
      </c>
    </row>
    <row r="4282" spans="1:7" hidden="1" x14ac:dyDescent="0.25">
      <c r="A4282" s="28">
        <v>43862</v>
      </c>
      <c r="B4282" s="27" t="s">
        <v>5</v>
      </c>
      <c r="C4282" s="27" t="s">
        <v>51</v>
      </c>
      <c r="D4282" s="27" t="s">
        <v>51</v>
      </c>
      <c r="E4282" s="27" t="s">
        <v>8</v>
      </c>
      <c r="F4282" s="29">
        <v>6742</v>
      </c>
      <c r="G4282" s="30">
        <v>2.6055257210191507</v>
      </c>
    </row>
    <row r="4283" spans="1:7" hidden="1" x14ac:dyDescent="0.25">
      <c r="A4283" s="28">
        <v>43862</v>
      </c>
      <c r="B4283" s="27" t="s">
        <v>5</v>
      </c>
      <c r="C4283" s="27" t="s">
        <v>51</v>
      </c>
      <c r="D4283" s="27" t="s">
        <v>51</v>
      </c>
      <c r="E4283" s="27" t="s">
        <v>9</v>
      </c>
      <c r="F4283" s="29">
        <v>3647</v>
      </c>
      <c r="G4283" s="30">
        <v>3.5412787435639643</v>
      </c>
    </row>
    <row r="4284" spans="1:7" hidden="1" x14ac:dyDescent="0.25">
      <c r="A4284" s="28">
        <v>43862</v>
      </c>
      <c r="B4284" s="27" t="s">
        <v>5</v>
      </c>
      <c r="C4284" s="27" t="s">
        <v>51</v>
      </c>
      <c r="D4284" s="27" t="s">
        <v>51</v>
      </c>
      <c r="E4284" s="27" t="s">
        <v>22</v>
      </c>
      <c r="F4284" s="29">
        <v>3271</v>
      </c>
      <c r="G4284" s="30">
        <v>3.9604637453717859</v>
      </c>
    </row>
    <row r="4285" spans="1:7" hidden="1" x14ac:dyDescent="0.25">
      <c r="A4285" s="28">
        <v>43862</v>
      </c>
      <c r="B4285" s="27" t="s">
        <v>5</v>
      </c>
      <c r="C4285" s="27" t="s">
        <v>51</v>
      </c>
      <c r="D4285" s="27" t="s">
        <v>51</v>
      </c>
      <c r="E4285" s="27" t="s">
        <v>64</v>
      </c>
      <c r="F4285" s="29">
        <v>1858</v>
      </c>
      <c r="G4285" s="30">
        <v>5.9639860483195797</v>
      </c>
    </row>
    <row r="4286" spans="1:7" hidden="1" x14ac:dyDescent="0.25">
      <c r="A4286" s="28">
        <v>43862</v>
      </c>
      <c r="B4286" s="27" t="s">
        <v>5</v>
      </c>
      <c r="C4286" s="27" t="s">
        <v>51</v>
      </c>
      <c r="D4286" s="27" t="s">
        <v>51</v>
      </c>
      <c r="E4286" s="27" t="s">
        <v>21</v>
      </c>
      <c r="F4286" s="29">
        <v>4196</v>
      </c>
      <c r="G4286" s="30">
        <v>4.4670825971825021</v>
      </c>
    </row>
    <row r="4287" spans="1:7" hidden="1" x14ac:dyDescent="0.25">
      <c r="A4287" s="28">
        <v>43862</v>
      </c>
      <c r="B4287" s="27" t="s">
        <v>5</v>
      </c>
      <c r="C4287" s="27" t="s">
        <v>51</v>
      </c>
      <c r="D4287" s="27" t="s">
        <v>51</v>
      </c>
      <c r="E4287" s="27" t="s">
        <v>10</v>
      </c>
      <c r="F4287" s="29">
        <v>2558</v>
      </c>
      <c r="G4287" s="30">
        <v>5.609442368169578</v>
      </c>
    </row>
    <row r="4288" spans="1:7" hidden="1" x14ac:dyDescent="0.25">
      <c r="A4288" s="28">
        <v>43862</v>
      </c>
      <c r="B4288" s="27" t="s">
        <v>5</v>
      </c>
      <c r="C4288" s="27" t="s">
        <v>51</v>
      </c>
      <c r="D4288" s="27" t="s">
        <v>51</v>
      </c>
      <c r="E4288" s="27" t="s">
        <v>11</v>
      </c>
      <c r="F4288" s="29">
        <v>2582</v>
      </c>
      <c r="G4288" s="30">
        <v>4.4720966606420527</v>
      </c>
    </row>
    <row r="4289" spans="1:7" hidden="1" x14ac:dyDescent="0.25">
      <c r="A4289" s="28">
        <v>43862</v>
      </c>
      <c r="B4289" s="27" t="s">
        <v>5</v>
      </c>
      <c r="C4289" s="27" t="s">
        <v>51</v>
      </c>
      <c r="D4289" s="27" t="s">
        <v>51</v>
      </c>
      <c r="E4289" s="27" t="s">
        <v>12</v>
      </c>
      <c r="F4289" s="29">
        <v>2454</v>
      </c>
      <c r="G4289" s="30">
        <v>5.5508439599746451</v>
      </c>
    </row>
    <row r="4290" spans="1:7" hidden="1" x14ac:dyDescent="0.25">
      <c r="A4290" s="28">
        <v>43862</v>
      </c>
      <c r="B4290" s="27" t="s">
        <v>5</v>
      </c>
      <c r="C4290" s="27" t="s">
        <v>51</v>
      </c>
      <c r="D4290" s="27" t="s">
        <v>51</v>
      </c>
      <c r="E4290" s="27" t="s">
        <v>13</v>
      </c>
      <c r="F4290" s="29">
        <v>5391</v>
      </c>
      <c r="G4290" s="30">
        <v>3.0216215750530719</v>
      </c>
    </row>
    <row r="4291" spans="1:7" hidden="1" x14ac:dyDescent="0.25">
      <c r="A4291" s="28">
        <v>43862</v>
      </c>
      <c r="B4291" s="27" t="s">
        <v>5</v>
      </c>
      <c r="C4291" s="27" t="s">
        <v>51</v>
      </c>
      <c r="D4291" s="27" t="s">
        <v>51</v>
      </c>
      <c r="E4291" s="27" t="s">
        <v>14</v>
      </c>
      <c r="F4291" s="29">
        <v>3084</v>
      </c>
      <c r="G4291" s="30">
        <v>3.1707337044242689</v>
      </c>
    </row>
    <row r="4292" spans="1:7" hidden="1" x14ac:dyDescent="0.25">
      <c r="A4292" s="28">
        <v>43862</v>
      </c>
      <c r="B4292" s="27" t="s">
        <v>5</v>
      </c>
      <c r="C4292" s="27" t="s">
        <v>51</v>
      </c>
      <c r="D4292" s="27" t="s">
        <v>51</v>
      </c>
      <c r="E4292" s="27" t="s">
        <v>15</v>
      </c>
      <c r="F4292" s="29">
        <v>4402</v>
      </c>
      <c r="G4292" s="30">
        <v>2.9805104296027061</v>
      </c>
    </row>
    <row r="4293" spans="1:7" hidden="1" x14ac:dyDescent="0.25">
      <c r="A4293" s="28">
        <v>43862</v>
      </c>
      <c r="B4293" s="27" t="s">
        <v>5</v>
      </c>
      <c r="C4293" s="27" t="s">
        <v>51</v>
      </c>
      <c r="D4293" s="27" t="s">
        <v>51</v>
      </c>
      <c r="E4293" s="27" t="s">
        <v>16</v>
      </c>
      <c r="F4293" s="29">
        <v>6641</v>
      </c>
      <c r="G4293" s="30">
        <v>2.3487852348207268</v>
      </c>
    </row>
    <row r="4294" spans="1:7" hidden="1" x14ac:dyDescent="0.25">
      <c r="A4294" s="28">
        <v>43862</v>
      </c>
      <c r="B4294" s="27" t="s">
        <v>5</v>
      </c>
      <c r="C4294" s="27" t="s">
        <v>51</v>
      </c>
      <c r="D4294" s="27" t="s">
        <v>51</v>
      </c>
      <c r="E4294" s="27" t="s">
        <v>17</v>
      </c>
      <c r="F4294" s="29">
        <v>3124</v>
      </c>
      <c r="G4294" s="30">
        <v>4.6339560108123488</v>
      </c>
    </row>
    <row r="4295" spans="1:7" hidden="1" x14ac:dyDescent="0.25">
      <c r="A4295" s="28">
        <v>43862</v>
      </c>
      <c r="B4295" s="27" t="s">
        <v>5</v>
      </c>
      <c r="C4295" s="27" t="s">
        <v>51</v>
      </c>
      <c r="D4295" s="27" t="s">
        <v>51</v>
      </c>
      <c r="E4295" s="27" t="s">
        <v>18</v>
      </c>
      <c r="F4295" s="29">
        <v>4335</v>
      </c>
      <c r="G4295" s="30">
        <v>2.7229143201332824</v>
      </c>
    </row>
    <row r="4296" spans="1:7" hidden="1" x14ac:dyDescent="0.25">
      <c r="A4296" s="28">
        <v>43862</v>
      </c>
      <c r="B4296" s="27" t="s">
        <v>5</v>
      </c>
      <c r="C4296" s="27" t="s">
        <v>51</v>
      </c>
      <c r="D4296" s="27" t="s">
        <v>51</v>
      </c>
      <c r="E4296" s="27" t="s">
        <v>19</v>
      </c>
      <c r="F4296" s="29">
        <v>5629</v>
      </c>
      <c r="G4296" s="30">
        <v>2.6499982669114313</v>
      </c>
    </row>
    <row r="4297" spans="1:7" hidden="1" x14ac:dyDescent="0.25">
      <c r="A4297" s="28">
        <v>43862</v>
      </c>
      <c r="B4297" s="27" t="s">
        <v>5</v>
      </c>
      <c r="C4297" s="27" t="s">
        <v>51</v>
      </c>
      <c r="D4297" s="27" t="s">
        <v>51</v>
      </c>
      <c r="E4297" s="27" t="s">
        <v>20</v>
      </c>
      <c r="F4297" s="29">
        <v>6522</v>
      </c>
      <c r="G4297" s="30">
        <v>2.1413416504821292</v>
      </c>
    </row>
    <row r="4298" spans="1:7" hidden="1" x14ac:dyDescent="0.25">
      <c r="A4298" s="28">
        <v>43862</v>
      </c>
      <c r="B4298" s="27" t="s">
        <v>5</v>
      </c>
      <c r="C4298" s="27" t="s">
        <v>51</v>
      </c>
      <c r="D4298" s="27" t="s">
        <v>51</v>
      </c>
      <c r="E4298" s="27" t="s">
        <v>38</v>
      </c>
      <c r="F4298" s="29">
        <v>3698</v>
      </c>
      <c r="G4298" s="30">
        <v>3.1858753139835354</v>
      </c>
    </row>
    <row r="4299" spans="1:7" hidden="1" x14ac:dyDescent="0.25">
      <c r="A4299" s="28">
        <v>43862</v>
      </c>
      <c r="B4299" s="27" t="s">
        <v>5</v>
      </c>
      <c r="C4299" s="27" t="s">
        <v>51</v>
      </c>
      <c r="D4299" s="27" t="s">
        <v>51</v>
      </c>
      <c r="E4299" s="27" t="s">
        <v>23</v>
      </c>
      <c r="F4299" s="29">
        <v>3546</v>
      </c>
      <c r="G4299" s="30">
        <v>4.6893794165569975</v>
      </c>
    </row>
    <row r="4300" spans="1:7" hidden="1" x14ac:dyDescent="0.25">
      <c r="A4300" s="28">
        <v>43862</v>
      </c>
      <c r="B4300" s="27" t="s">
        <v>180</v>
      </c>
      <c r="C4300" s="27" t="s">
        <v>50</v>
      </c>
      <c r="D4300" s="27" t="s">
        <v>7</v>
      </c>
      <c r="E4300" s="27" t="s">
        <v>8</v>
      </c>
      <c r="F4300" s="29"/>
      <c r="G4300" s="30">
        <v>1305.8</v>
      </c>
    </row>
    <row r="4301" spans="1:7" hidden="1" x14ac:dyDescent="0.25">
      <c r="A4301" s="28">
        <v>43862</v>
      </c>
      <c r="B4301" s="27" t="s">
        <v>180</v>
      </c>
      <c r="C4301" s="27" t="s">
        <v>50</v>
      </c>
      <c r="D4301" s="27" t="s">
        <v>7</v>
      </c>
      <c r="E4301" s="27" t="s">
        <v>9</v>
      </c>
      <c r="F4301" s="29"/>
      <c r="G4301" s="30">
        <v>693</v>
      </c>
    </row>
    <row r="4302" spans="1:7" hidden="1" x14ac:dyDescent="0.25">
      <c r="A4302" s="28">
        <v>43862</v>
      </c>
      <c r="B4302" s="27" t="s">
        <v>180</v>
      </c>
      <c r="C4302" s="27" t="s">
        <v>50</v>
      </c>
      <c r="D4302" s="27" t="s">
        <v>7</v>
      </c>
      <c r="E4302" s="27" t="s">
        <v>64</v>
      </c>
      <c r="F4302" s="29"/>
      <c r="G4302" s="30">
        <v>441</v>
      </c>
    </row>
    <row r="4303" spans="1:7" hidden="1" x14ac:dyDescent="0.25">
      <c r="A4303" s="28">
        <v>43862</v>
      </c>
      <c r="B4303" s="27" t="s">
        <v>180</v>
      </c>
      <c r="C4303" s="27" t="s">
        <v>50</v>
      </c>
      <c r="D4303" s="27" t="s">
        <v>7</v>
      </c>
      <c r="E4303" s="27" t="s">
        <v>21</v>
      </c>
      <c r="F4303" s="29"/>
      <c r="G4303" s="30">
        <v>4519.05</v>
      </c>
    </row>
    <row r="4304" spans="1:7" hidden="1" x14ac:dyDescent="0.25">
      <c r="A4304" s="28">
        <v>43862</v>
      </c>
      <c r="B4304" s="27" t="s">
        <v>180</v>
      </c>
      <c r="C4304" s="27" t="s">
        <v>50</v>
      </c>
      <c r="D4304" s="27" t="s">
        <v>7</v>
      </c>
      <c r="E4304" s="27" t="s">
        <v>10</v>
      </c>
      <c r="F4304" s="29"/>
      <c r="G4304" s="30">
        <v>866.39</v>
      </c>
    </row>
    <row r="4305" spans="1:7" hidden="1" x14ac:dyDescent="0.25">
      <c r="A4305" s="28">
        <v>43862</v>
      </c>
      <c r="B4305" s="27" t="s">
        <v>180</v>
      </c>
      <c r="C4305" s="27" t="s">
        <v>50</v>
      </c>
      <c r="D4305" s="27" t="s">
        <v>7</v>
      </c>
      <c r="E4305" s="27" t="s">
        <v>11</v>
      </c>
      <c r="F4305" s="29"/>
      <c r="G4305" s="30">
        <v>159.99</v>
      </c>
    </row>
    <row r="4306" spans="1:7" hidden="1" x14ac:dyDescent="0.25">
      <c r="A4306" s="28">
        <v>43862</v>
      </c>
      <c r="B4306" s="27" t="s">
        <v>180</v>
      </c>
      <c r="C4306" s="27" t="s">
        <v>50</v>
      </c>
      <c r="D4306" s="27" t="s">
        <v>7</v>
      </c>
      <c r="E4306" s="27" t="s">
        <v>12</v>
      </c>
      <c r="F4306" s="29"/>
      <c r="G4306" s="30">
        <v>751.4</v>
      </c>
    </row>
    <row r="4307" spans="1:7" hidden="1" x14ac:dyDescent="0.25">
      <c r="A4307" s="28">
        <v>43862</v>
      </c>
      <c r="B4307" s="27" t="s">
        <v>180</v>
      </c>
      <c r="C4307" s="27" t="s">
        <v>50</v>
      </c>
      <c r="D4307" s="27" t="s">
        <v>7</v>
      </c>
      <c r="E4307" s="27" t="s">
        <v>13</v>
      </c>
      <c r="F4307" s="29"/>
      <c r="G4307" s="30">
        <v>1642</v>
      </c>
    </row>
    <row r="4308" spans="1:7" hidden="1" x14ac:dyDescent="0.25">
      <c r="A4308" s="28">
        <v>43862</v>
      </c>
      <c r="B4308" s="27" t="s">
        <v>180</v>
      </c>
      <c r="C4308" s="27" t="s">
        <v>50</v>
      </c>
      <c r="D4308" s="27" t="s">
        <v>7</v>
      </c>
      <c r="E4308" s="27" t="s">
        <v>14</v>
      </c>
      <c r="F4308" s="29"/>
      <c r="G4308" s="30">
        <v>195</v>
      </c>
    </row>
    <row r="4309" spans="1:7" hidden="1" x14ac:dyDescent="0.25">
      <c r="A4309" s="28">
        <v>43862</v>
      </c>
      <c r="B4309" s="27" t="s">
        <v>180</v>
      </c>
      <c r="C4309" s="27" t="s">
        <v>50</v>
      </c>
      <c r="D4309" s="27" t="s">
        <v>7</v>
      </c>
      <c r="E4309" s="27" t="s">
        <v>15</v>
      </c>
      <c r="F4309" s="29"/>
      <c r="G4309" s="30">
        <v>215</v>
      </c>
    </row>
    <row r="4310" spans="1:7" hidden="1" x14ac:dyDescent="0.25">
      <c r="A4310" s="28">
        <v>43862</v>
      </c>
      <c r="B4310" s="27" t="s">
        <v>180</v>
      </c>
      <c r="C4310" s="27" t="s">
        <v>50</v>
      </c>
      <c r="D4310" s="27" t="s">
        <v>7</v>
      </c>
      <c r="E4310" s="27" t="s">
        <v>16</v>
      </c>
      <c r="F4310" s="29"/>
      <c r="G4310" s="30">
        <v>86</v>
      </c>
    </row>
    <row r="4311" spans="1:7" hidden="1" x14ac:dyDescent="0.25">
      <c r="A4311" s="28">
        <v>43862</v>
      </c>
      <c r="B4311" s="27" t="s">
        <v>180</v>
      </c>
      <c r="C4311" s="27" t="s">
        <v>50</v>
      </c>
      <c r="D4311" s="27" t="s">
        <v>7</v>
      </c>
      <c r="E4311" s="27" t="s">
        <v>17</v>
      </c>
      <c r="F4311" s="29"/>
      <c r="G4311" s="30">
        <v>89.99</v>
      </c>
    </row>
    <row r="4312" spans="1:7" hidden="1" x14ac:dyDescent="0.25">
      <c r="A4312" s="28">
        <v>43862</v>
      </c>
      <c r="B4312" s="27" t="s">
        <v>180</v>
      </c>
      <c r="C4312" s="27" t="s">
        <v>50</v>
      </c>
      <c r="D4312" s="27" t="s">
        <v>7</v>
      </c>
      <c r="E4312" s="27" t="s">
        <v>18</v>
      </c>
      <c r="F4312" s="29"/>
      <c r="G4312" s="30">
        <v>70</v>
      </c>
    </row>
    <row r="4313" spans="1:7" hidden="1" x14ac:dyDescent="0.25">
      <c r="A4313" s="28">
        <v>43862</v>
      </c>
      <c r="B4313" s="27" t="s">
        <v>180</v>
      </c>
      <c r="C4313" s="27" t="s">
        <v>50</v>
      </c>
      <c r="D4313" s="27" t="s">
        <v>7</v>
      </c>
      <c r="E4313" s="27" t="s">
        <v>19</v>
      </c>
      <c r="F4313" s="29"/>
      <c r="G4313" s="30">
        <v>305</v>
      </c>
    </row>
    <row r="4314" spans="1:7" hidden="1" x14ac:dyDescent="0.25">
      <c r="A4314" s="28">
        <v>43862</v>
      </c>
      <c r="B4314" s="27" t="s">
        <v>180</v>
      </c>
      <c r="C4314" s="27" t="s">
        <v>50</v>
      </c>
      <c r="D4314" s="27" t="s">
        <v>7</v>
      </c>
      <c r="E4314" s="27" t="s">
        <v>20</v>
      </c>
      <c r="F4314" s="29"/>
      <c r="G4314" s="30">
        <v>1130</v>
      </c>
    </row>
    <row r="4315" spans="1:7" hidden="1" x14ac:dyDescent="0.25">
      <c r="A4315" s="28">
        <v>43862</v>
      </c>
      <c r="B4315" s="27" t="s">
        <v>180</v>
      </c>
      <c r="C4315" s="27" t="s">
        <v>50</v>
      </c>
      <c r="D4315" s="27" t="s">
        <v>7</v>
      </c>
      <c r="E4315" s="27" t="s">
        <v>38</v>
      </c>
      <c r="F4315" s="29"/>
      <c r="G4315" s="30">
        <v>260</v>
      </c>
    </row>
    <row r="4316" spans="1:7" hidden="1" x14ac:dyDescent="0.25">
      <c r="A4316" s="28">
        <v>43862</v>
      </c>
      <c r="B4316" s="27" t="s">
        <v>180</v>
      </c>
      <c r="C4316" s="27" t="s">
        <v>50</v>
      </c>
      <c r="D4316" s="27" t="s">
        <v>7</v>
      </c>
      <c r="E4316" s="27" t="s">
        <v>23</v>
      </c>
      <c r="F4316" s="29"/>
      <c r="G4316" s="30">
        <v>525</v>
      </c>
    </row>
    <row r="4317" spans="1:7" hidden="1" x14ac:dyDescent="0.25">
      <c r="A4317" s="28">
        <v>43862</v>
      </c>
      <c r="B4317" s="27" t="s">
        <v>181</v>
      </c>
      <c r="C4317" s="27" t="s">
        <v>50</v>
      </c>
      <c r="D4317" s="27" t="s">
        <v>6</v>
      </c>
      <c r="E4317" s="27" t="s">
        <v>11</v>
      </c>
      <c r="F4317" s="29"/>
      <c r="G4317" s="30">
        <v>263</v>
      </c>
    </row>
    <row r="4318" spans="1:7" hidden="1" x14ac:dyDescent="0.25">
      <c r="A4318" s="28">
        <v>43862</v>
      </c>
      <c r="B4318" s="27" t="s">
        <v>181</v>
      </c>
      <c r="C4318" s="27" t="s">
        <v>50</v>
      </c>
      <c r="D4318" s="27" t="s">
        <v>6</v>
      </c>
      <c r="E4318" s="27" t="s">
        <v>12</v>
      </c>
      <c r="F4318" s="29"/>
      <c r="G4318" s="30">
        <v>1647.07</v>
      </c>
    </row>
    <row r="4319" spans="1:7" hidden="1" x14ac:dyDescent="0.25">
      <c r="A4319" s="28">
        <v>43862</v>
      </c>
      <c r="B4319" s="27" t="s">
        <v>181</v>
      </c>
      <c r="C4319" s="27" t="s">
        <v>50</v>
      </c>
      <c r="D4319" s="27" t="s">
        <v>6</v>
      </c>
      <c r="E4319" s="27" t="s">
        <v>16</v>
      </c>
      <c r="F4319" s="29"/>
      <c r="G4319" s="30">
        <v>70</v>
      </c>
    </row>
    <row r="4320" spans="1:7" hidden="1" x14ac:dyDescent="0.25">
      <c r="A4320" s="28">
        <v>43862</v>
      </c>
      <c r="B4320" s="27" t="s">
        <v>181</v>
      </c>
      <c r="C4320" s="27" t="s">
        <v>50</v>
      </c>
      <c r="D4320" s="27" t="s">
        <v>6</v>
      </c>
      <c r="E4320" s="27" t="s">
        <v>18</v>
      </c>
      <c r="F4320" s="29"/>
      <c r="G4320" s="30">
        <v>507.5</v>
      </c>
    </row>
    <row r="4321" spans="1:7" hidden="1" x14ac:dyDescent="0.25">
      <c r="A4321" s="28">
        <v>43862</v>
      </c>
      <c r="B4321" s="27" t="s">
        <v>181</v>
      </c>
      <c r="C4321" s="27" t="s">
        <v>50</v>
      </c>
      <c r="D4321" s="27" t="s">
        <v>6</v>
      </c>
      <c r="E4321" s="27" t="s">
        <v>19</v>
      </c>
      <c r="F4321" s="29"/>
      <c r="G4321" s="30">
        <v>20</v>
      </c>
    </row>
    <row r="4322" spans="1:7" hidden="1" x14ac:dyDescent="0.25">
      <c r="A4322" s="28">
        <v>43862</v>
      </c>
      <c r="B4322" s="27" t="s">
        <v>181</v>
      </c>
      <c r="C4322" s="27" t="s">
        <v>50</v>
      </c>
      <c r="D4322" s="27" t="s">
        <v>6</v>
      </c>
      <c r="E4322" s="27" t="s">
        <v>23</v>
      </c>
      <c r="F4322" s="29"/>
      <c r="G4322" s="30">
        <v>1662</v>
      </c>
    </row>
    <row r="4323" spans="1:7" hidden="1" x14ac:dyDescent="0.25">
      <c r="A4323" s="28">
        <v>43862</v>
      </c>
      <c r="B4323" s="27" t="s">
        <v>25</v>
      </c>
      <c r="C4323" s="27" t="s">
        <v>50</v>
      </c>
      <c r="D4323" s="27" t="s">
        <v>7</v>
      </c>
      <c r="E4323" s="27" t="s">
        <v>17</v>
      </c>
      <c r="F4323" s="29"/>
      <c r="G4323" s="30">
        <v>104.13</v>
      </c>
    </row>
    <row r="4324" spans="1:7" hidden="1" x14ac:dyDescent="0.25">
      <c r="A4324" s="28">
        <v>43862</v>
      </c>
      <c r="B4324" s="27" t="s">
        <v>2</v>
      </c>
      <c r="C4324" s="27" t="s">
        <v>50</v>
      </c>
      <c r="D4324" s="27" t="s">
        <v>7</v>
      </c>
      <c r="E4324" s="27" t="s">
        <v>8</v>
      </c>
      <c r="F4324" s="29"/>
      <c r="G4324" s="30">
        <v>1114.97</v>
      </c>
    </row>
    <row r="4325" spans="1:7" hidden="1" x14ac:dyDescent="0.25">
      <c r="A4325" s="28">
        <v>43862</v>
      </c>
      <c r="B4325" s="27" t="s">
        <v>2</v>
      </c>
      <c r="C4325" s="27" t="s">
        <v>50</v>
      </c>
      <c r="D4325" s="27" t="s">
        <v>7</v>
      </c>
      <c r="E4325" s="27" t="s">
        <v>9</v>
      </c>
      <c r="F4325" s="29"/>
      <c r="G4325" s="30">
        <v>421.3</v>
      </c>
    </row>
    <row r="4326" spans="1:7" hidden="1" x14ac:dyDescent="0.25">
      <c r="A4326" s="28">
        <v>43862</v>
      </c>
      <c r="B4326" s="27" t="s">
        <v>2</v>
      </c>
      <c r="C4326" s="27" t="s">
        <v>50</v>
      </c>
      <c r="D4326" s="27" t="s">
        <v>7</v>
      </c>
      <c r="E4326" s="27" t="s">
        <v>22</v>
      </c>
      <c r="F4326" s="29"/>
      <c r="G4326" s="30">
        <v>505.3</v>
      </c>
    </row>
    <row r="4327" spans="1:7" hidden="1" x14ac:dyDescent="0.25">
      <c r="A4327" s="28">
        <v>43862</v>
      </c>
      <c r="B4327" s="27" t="s">
        <v>2</v>
      </c>
      <c r="C4327" s="27" t="s">
        <v>50</v>
      </c>
      <c r="D4327" s="27" t="s">
        <v>7</v>
      </c>
      <c r="E4327" s="27" t="s">
        <v>64</v>
      </c>
      <c r="F4327" s="29"/>
      <c r="G4327" s="30">
        <v>216.07</v>
      </c>
    </row>
    <row r="4328" spans="1:7" hidden="1" x14ac:dyDescent="0.25">
      <c r="A4328" s="28">
        <v>43862</v>
      </c>
      <c r="B4328" s="27" t="s">
        <v>2</v>
      </c>
      <c r="C4328" s="27" t="s">
        <v>50</v>
      </c>
      <c r="D4328" s="27" t="s">
        <v>7</v>
      </c>
      <c r="E4328" s="27" t="s">
        <v>21</v>
      </c>
      <c r="F4328" s="29"/>
      <c r="G4328" s="30">
        <v>795.94</v>
      </c>
    </row>
    <row r="4329" spans="1:7" hidden="1" x14ac:dyDescent="0.25">
      <c r="A4329" s="28">
        <v>43862</v>
      </c>
      <c r="B4329" s="27" t="s">
        <v>2</v>
      </c>
      <c r="C4329" s="27" t="s">
        <v>50</v>
      </c>
      <c r="D4329" s="27" t="s">
        <v>7</v>
      </c>
      <c r="E4329" s="27" t="s">
        <v>10</v>
      </c>
      <c r="F4329" s="29"/>
      <c r="G4329" s="30">
        <v>307.27</v>
      </c>
    </row>
    <row r="4330" spans="1:7" hidden="1" x14ac:dyDescent="0.25">
      <c r="A4330" s="28">
        <v>43862</v>
      </c>
      <c r="B4330" s="27" t="s">
        <v>2</v>
      </c>
      <c r="C4330" s="27" t="s">
        <v>50</v>
      </c>
      <c r="D4330" s="27" t="s">
        <v>7</v>
      </c>
      <c r="E4330" s="27" t="s">
        <v>11</v>
      </c>
      <c r="F4330" s="29"/>
      <c r="G4330" s="30">
        <v>347.27</v>
      </c>
    </row>
    <row r="4331" spans="1:7" hidden="1" x14ac:dyDescent="0.25">
      <c r="A4331" s="28">
        <v>43862</v>
      </c>
      <c r="B4331" s="27" t="s">
        <v>2</v>
      </c>
      <c r="C4331" s="27" t="s">
        <v>50</v>
      </c>
      <c r="D4331" s="27" t="s">
        <v>7</v>
      </c>
      <c r="E4331" s="27" t="s">
        <v>12</v>
      </c>
      <c r="F4331" s="29"/>
      <c r="G4331" s="30">
        <v>587.87</v>
      </c>
    </row>
    <row r="4332" spans="1:7" hidden="1" x14ac:dyDescent="0.25">
      <c r="A4332" s="28">
        <v>43862</v>
      </c>
      <c r="B4332" s="27" t="s">
        <v>2</v>
      </c>
      <c r="C4332" s="27" t="s">
        <v>50</v>
      </c>
      <c r="D4332" s="27" t="s">
        <v>7</v>
      </c>
      <c r="E4332" s="27" t="s">
        <v>13</v>
      </c>
      <c r="F4332" s="29"/>
      <c r="G4332" s="30">
        <v>1132.6300000000001</v>
      </c>
    </row>
    <row r="4333" spans="1:7" hidden="1" x14ac:dyDescent="0.25">
      <c r="A4333" s="28">
        <v>43862</v>
      </c>
      <c r="B4333" s="27" t="s">
        <v>2</v>
      </c>
      <c r="C4333" s="27" t="s">
        <v>50</v>
      </c>
      <c r="D4333" s="27" t="s">
        <v>7</v>
      </c>
      <c r="E4333" s="27" t="s">
        <v>14</v>
      </c>
      <c r="F4333" s="29"/>
      <c r="G4333" s="30">
        <v>60.12</v>
      </c>
    </row>
    <row r="4334" spans="1:7" hidden="1" x14ac:dyDescent="0.25">
      <c r="A4334" s="28">
        <v>43862</v>
      </c>
      <c r="B4334" s="27" t="s">
        <v>2</v>
      </c>
      <c r="C4334" s="27" t="s">
        <v>50</v>
      </c>
      <c r="D4334" s="27" t="s">
        <v>7</v>
      </c>
      <c r="E4334" s="27" t="s">
        <v>15</v>
      </c>
      <c r="F4334" s="29"/>
      <c r="G4334" s="30">
        <v>259.81</v>
      </c>
    </row>
    <row r="4335" spans="1:7" hidden="1" x14ac:dyDescent="0.25">
      <c r="A4335" s="28">
        <v>43862</v>
      </c>
      <c r="B4335" s="27" t="s">
        <v>2</v>
      </c>
      <c r="C4335" s="27" t="s">
        <v>50</v>
      </c>
      <c r="D4335" s="27" t="s">
        <v>7</v>
      </c>
      <c r="E4335" s="27" t="s">
        <v>16</v>
      </c>
      <c r="F4335" s="29"/>
      <c r="G4335" s="30">
        <v>923.61</v>
      </c>
    </row>
    <row r="4336" spans="1:7" hidden="1" x14ac:dyDescent="0.25">
      <c r="A4336" s="28">
        <v>43862</v>
      </c>
      <c r="B4336" s="27" t="s">
        <v>2</v>
      </c>
      <c r="C4336" s="27" t="s">
        <v>50</v>
      </c>
      <c r="D4336" s="27" t="s">
        <v>7</v>
      </c>
      <c r="E4336" s="27" t="s">
        <v>17</v>
      </c>
      <c r="F4336" s="29"/>
      <c r="G4336" s="30">
        <v>333.01</v>
      </c>
    </row>
    <row r="4337" spans="1:7" hidden="1" x14ac:dyDescent="0.25">
      <c r="A4337" s="28">
        <v>43862</v>
      </c>
      <c r="B4337" s="27" t="s">
        <v>2</v>
      </c>
      <c r="C4337" s="27" t="s">
        <v>50</v>
      </c>
      <c r="D4337" s="27" t="s">
        <v>7</v>
      </c>
      <c r="E4337" s="27" t="s">
        <v>18</v>
      </c>
      <c r="F4337" s="29"/>
      <c r="G4337" s="30">
        <v>54.52</v>
      </c>
    </row>
    <row r="4338" spans="1:7" hidden="1" x14ac:dyDescent="0.25">
      <c r="A4338" s="28">
        <v>43862</v>
      </c>
      <c r="B4338" s="27" t="s">
        <v>2</v>
      </c>
      <c r="C4338" s="27" t="s">
        <v>50</v>
      </c>
      <c r="D4338" s="27" t="s">
        <v>7</v>
      </c>
      <c r="E4338" s="27" t="s">
        <v>19</v>
      </c>
      <c r="F4338" s="29"/>
      <c r="G4338" s="30">
        <v>890.8</v>
      </c>
    </row>
    <row r="4339" spans="1:7" hidden="1" x14ac:dyDescent="0.25">
      <c r="A4339" s="28">
        <v>43862</v>
      </c>
      <c r="B4339" s="27" t="s">
        <v>2</v>
      </c>
      <c r="C4339" s="27" t="s">
        <v>50</v>
      </c>
      <c r="D4339" s="27" t="s">
        <v>7</v>
      </c>
      <c r="E4339" s="27" t="s">
        <v>20</v>
      </c>
      <c r="F4339" s="29"/>
      <c r="G4339" s="30">
        <v>751.52</v>
      </c>
    </row>
    <row r="4340" spans="1:7" hidden="1" x14ac:dyDescent="0.25">
      <c r="A4340" s="28">
        <v>43862</v>
      </c>
      <c r="B4340" s="27" t="s">
        <v>2</v>
      </c>
      <c r="C4340" s="27" t="s">
        <v>50</v>
      </c>
      <c r="D4340" s="27" t="s">
        <v>7</v>
      </c>
      <c r="E4340" s="27" t="s">
        <v>38</v>
      </c>
      <c r="F4340" s="29"/>
      <c r="G4340" s="30">
        <v>369.52</v>
      </c>
    </row>
    <row r="4341" spans="1:7" hidden="1" x14ac:dyDescent="0.25">
      <c r="A4341" s="28">
        <v>43862</v>
      </c>
      <c r="B4341" s="27" t="s">
        <v>2</v>
      </c>
      <c r="C4341" s="27" t="s">
        <v>50</v>
      </c>
      <c r="D4341" s="27" t="s">
        <v>7</v>
      </c>
      <c r="E4341" s="27" t="s">
        <v>23</v>
      </c>
      <c r="F4341" s="29"/>
      <c r="G4341" s="30">
        <v>260.14999999999998</v>
      </c>
    </row>
    <row r="4342" spans="1:7" hidden="1" x14ac:dyDescent="0.25">
      <c r="A4342" s="28">
        <v>43862</v>
      </c>
      <c r="B4342" s="27" t="s">
        <v>36</v>
      </c>
      <c r="C4342" s="27" t="s">
        <v>50</v>
      </c>
      <c r="D4342" s="27" t="s">
        <v>6</v>
      </c>
      <c r="E4342" s="27" t="s">
        <v>8</v>
      </c>
      <c r="F4342" s="29"/>
      <c r="G4342" s="30">
        <v>321.07</v>
      </c>
    </row>
    <row r="4343" spans="1:7" hidden="1" x14ac:dyDescent="0.25">
      <c r="A4343" s="28">
        <v>43862</v>
      </c>
      <c r="B4343" s="27" t="s">
        <v>36</v>
      </c>
      <c r="C4343" s="27" t="s">
        <v>50</v>
      </c>
      <c r="D4343" s="27" t="s">
        <v>6</v>
      </c>
      <c r="E4343" s="27" t="s">
        <v>9</v>
      </c>
      <c r="F4343" s="29"/>
      <c r="G4343" s="30">
        <v>56</v>
      </c>
    </row>
    <row r="4344" spans="1:7" hidden="1" x14ac:dyDescent="0.25">
      <c r="A4344" s="28">
        <v>43862</v>
      </c>
      <c r="B4344" s="27" t="s">
        <v>36</v>
      </c>
      <c r="C4344" s="27" t="s">
        <v>50</v>
      </c>
      <c r="D4344" s="27" t="s">
        <v>6</v>
      </c>
      <c r="E4344" s="27" t="s">
        <v>22</v>
      </c>
      <c r="F4344" s="29"/>
      <c r="G4344" s="30">
        <v>379.56</v>
      </c>
    </row>
    <row r="4345" spans="1:7" hidden="1" x14ac:dyDescent="0.25">
      <c r="A4345" s="28">
        <v>43862</v>
      </c>
      <c r="B4345" s="27" t="s">
        <v>36</v>
      </c>
      <c r="C4345" s="27" t="s">
        <v>50</v>
      </c>
      <c r="D4345" s="27" t="s">
        <v>6</v>
      </c>
      <c r="E4345" s="27" t="s">
        <v>21</v>
      </c>
      <c r="F4345" s="29"/>
      <c r="G4345" s="30">
        <v>92.28</v>
      </c>
    </row>
    <row r="4346" spans="1:7" hidden="1" x14ac:dyDescent="0.25">
      <c r="A4346" s="28">
        <v>43862</v>
      </c>
      <c r="B4346" s="27" t="s">
        <v>36</v>
      </c>
      <c r="C4346" s="27" t="s">
        <v>50</v>
      </c>
      <c r="D4346" s="27" t="s">
        <v>6</v>
      </c>
      <c r="E4346" s="27" t="s">
        <v>10</v>
      </c>
      <c r="F4346" s="29"/>
      <c r="G4346" s="30">
        <v>389.79</v>
      </c>
    </row>
    <row r="4347" spans="1:7" hidden="1" x14ac:dyDescent="0.25">
      <c r="A4347" s="28">
        <v>43862</v>
      </c>
      <c r="B4347" s="27" t="s">
        <v>36</v>
      </c>
      <c r="C4347" s="27" t="s">
        <v>50</v>
      </c>
      <c r="D4347" s="27" t="s">
        <v>6</v>
      </c>
      <c r="E4347" s="27" t="s">
        <v>11</v>
      </c>
      <c r="F4347" s="29"/>
      <c r="G4347" s="30">
        <v>259.56</v>
      </c>
    </row>
    <row r="4348" spans="1:7" hidden="1" x14ac:dyDescent="0.25">
      <c r="A4348" s="28">
        <v>43862</v>
      </c>
      <c r="B4348" s="27" t="s">
        <v>36</v>
      </c>
      <c r="C4348" s="27" t="s">
        <v>50</v>
      </c>
      <c r="D4348" s="27" t="s">
        <v>6</v>
      </c>
      <c r="E4348" s="27" t="s">
        <v>12</v>
      </c>
      <c r="F4348" s="29"/>
      <c r="G4348" s="30">
        <v>78.69</v>
      </c>
    </row>
    <row r="4349" spans="1:7" hidden="1" x14ac:dyDescent="0.25">
      <c r="A4349" s="28">
        <v>43862</v>
      </c>
      <c r="B4349" s="27" t="s">
        <v>36</v>
      </c>
      <c r="C4349" s="27" t="s">
        <v>50</v>
      </c>
      <c r="D4349" s="27" t="s">
        <v>6</v>
      </c>
      <c r="E4349" s="27" t="s">
        <v>13</v>
      </c>
      <c r="F4349" s="29"/>
      <c r="G4349" s="30">
        <v>56</v>
      </c>
    </row>
    <row r="4350" spans="1:7" hidden="1" x14ac:dyDescent="0.25">
      <c r="A4350" s="28">
        <v>43862</v>
      </c>
      <c r="B4350" s="27" t="s">
        <v>36</v>
      </c>
      <c r="C4350" s="27" t="s">
        <v>50</v>
      </c>
      <c r="D4350" s="27" t="s">
        <v>6</v>
      </c>
      <c r="E4350" s="27" t="s">
        <v>14</v>
      </c>
      <c r="F4350" s="29"/>
      <c r="G4350" s="30">
        <v>78.69</v>
      </c>
    </row>
    <row r="4351" spans="1:7" hidden="1" x14ac:dyDescent="0.25">
      <c r="A4351" s="28">
        <v>43862</v>
      </c>
      <c r="B4351" s="27" t="s">
        <v>36</v>
      </c>
      <c r="C4351" s="27" t="s">
        <v>50</v>
      </c>
      <c r="D4351" s="27" t="s">
        <v>6</v>
      </c>
      <c r="E4351" s="27" t="s">
        <v>15</v>
      </c>
      <c r="F4351" s="29"/>
      <c r="G4351" s="30">
        <v>291.58</v>
      </c>
    </row>
    <row r="4352" spans="1:7" hidden="1" x14ac:dyDescent="0.25">
      <c r="A4352" s="28">
        <v>43862</v>
      </c>
      <c r="B4352" s="27" t="s">
        <v>36</v>
      </c>
      <c r="C4352" s="27" t="s">
        <v>50</v>
      </c>
      <c r="D4352" s="27" t="s">
        <v>6</v>
      </c>
      <c r="E4352" s="27" t="s">
        <v>16</v>
      </c>
      <c r="F4352" s="29"/>
      <c r="G4352" s="30">
        <v>279.58</v>
      </c>
    </row>
    <row r="4353" spans="1:7" hidden="1" x14ac:dyDescent="0.25">
      <c r="A4353" s="28">
        <v>43862</v>
      </c>
      <c r="B4353" s="27" t="s">
        <v>36</v>
      </c>
      <c r="C4353" s="27" t="s">
        <v>50</v>
      </c>
      <c r="D4353" s="27" t="s">
        <v>6</v>
      </c>
      <c r="E4353" s="27" t="s">
        <v>17</v>
      </c>
      <c r="F4353" s="29"/>
      <c r="G4353" s="30">
        <v>219.58</v>
      </c>
    </row>
    <row r="4354" spans="1:7" hidden="1" x14ac:dyDescent="0.25">
      <c r="A4354" s="28">
        <v>43862</v>
      </c>
      <c r="B4354" s="27" t="s">
        <v>36</v>
      </c>
      <c r="C4354" s="27" t="s">
        <v>50</v>
      </c>
      <c r="D4354" s="27" t="s">
        <v>6</v>
      </c>
      <c r="E4354" s="27" t="s">
        <v>19</v>
      </c>
      <c r="F4354" s="29"/>
      <c r="G4354" s="30">
        <v>279.58</v>
      </c>
    </row>
    <row r="4355" spans="1:7" hidden="1" x14ac:dyDescent="0.25">
      <c r="A4355" s="28">
        <v>43862</v>
      </c>
      <c r="B4355" s="27" t="s">
        <v>36</v>
      </c>
      <c r="C4355" s="27" t="s">
        <v>50</v>
      </c>
      <c r="D4355" s="27" t="s">
        <v>6</v>
      </c>
      <c r="E4355" s="27" t="s">
        <v>20</v>
      </c>
      <c r="F4355" s="29"/>
      <c r="G4355" s="30">
        <v>56</v>
      </c>
    </row>
    <row r="4356" spans="1:7" hidden="1" x14ac:dyDescent="0.25">
      <c r="A4356" s="28">
        <v>43862</v>
      </c>
      <c r="B4356" s="27" t="s">
        <v>36</v>
      </c>
      <c r="C4356" s="27" t="s">
        <v>50</v>
      </c>
      <c r="D4356" s="27" t="s">
        <v>6</v>
      </c>
      <c r="E4356" s="27" t="s">
        <v>38</v>
      </c>
      <c r="F4356" s="29"/>
      <c r="G4356" s="30">
        <v>112</v>
      </c>
    </row>
    <row r="4357" spans="1:7" hidden="1" x14ac:dyDescent="0.25">
      <c r="A4357" s="28">
        <v>43862</v>
      </c>
      <c r="B4357" s="27" t="s">
        <v>36</v>
      </c>
      <c r="C4357" s="27" t="s">
        <v>50</v>
      </c>
      <c r="D4357" s="27" t="s">
        <v>6</v>
      </c>
      <c r="E4357" s="27" t="s">
        <v>23</v>
      </c>
      <c r="F4357" s="29"/>
      <c r="G4357" s="30">
        <v>391.57</v>
      </c>
    </row>
    <row r="4358" spans="1:7" hidden="1" x14ac:dyDescent="0.25">
      <c r="A4358" s="28">
        <v>43862</v>
      </c>
      <c r="B4358" s="27" t="s">
        <v>200</v>
      </c>
      <c r="C4358" s="27" t="s">
        <v>53</v>
      </c>
      <c r="D4358" s="27" t="s">
        <v>6</v>
      </c>
      <c r="E4358" s="27" t="s">
        <v>8</v>
      </c>
      <c r="F4358" s="29"/>
      <c r="G4358" s="30">
        <f t="shared" ref="G4358:G4375" si="78">8589.09688888889/18</f>
        <v>477.17204938271607</v>
      </c>
    </row>
    <row r="4359" spans="1:7" hidden="1" x14ac:dyDescent="0.25">
      <c r="A4359" s="28">
        <v>43862</v>
      </c>
      <c r="B4359" s="27" t="s">
        <v>200</v>
      </c>
      <c r="C4359" s="27" t="s">
        <v>53</v>
      </c>
      <c r="D4359" s="27" t="s">
        <v>6</v>
      </c>
      <c r="E4359" s="27" t="s">
        <v>9</v>
      </c>
      <c r="F4359" s="29"/>
      <c r="G4359" s="30">
        <f t="shared" si="78"/>
        <v>477.17204938271607</v>
      </c>
    </row>
    <row r="4360" spans="1:7" hidden="1" x14ac:dyDescent="0.25">
      <c r="A4360" s="28">
        <v>43862</v>
      </c>
      <c r="B4360" s="27" t="s">
        <v>200</v>
      </c>
      <c r="C4360" s="27" t="s">
        <v>53</v>
      </c>
      <c r="D4360" s="27" t="s">
        <v>6</v>
      </c>
      <c r="E4360" s="27" t="s">
        <v>22</v>
      </c>
      <c r="F4360" s="29"/>
      <c r="G4360" s="30">
        <f t="shared" si="78"/>
        <v>477.17204938271607</v>
      </c>
    </row>
    <row r="4361" spans="1:7" hidden="1" x14ac:dyDescent="0.25">
      <c r="A4361" s="28">
        <v>43862</v>
      </c>
      <c r="B4361" s="27" t="s">
        <v>200</v>
      </c>
      <c r="C4361" s="27" t="s">
        <v>53</v>
      </c>
      <c r="D4361" s="27" t="s">
        <v>6</v>
      </c>
      <c r="E4361" s="27" t="s">
        <v>64</v>
      </c>
      <c r="F4361" s="29"/>
      <c r="G4361" s="30">
        <f t="shared" si="78"/>
        <v>477.17204938271607</v>
      </c>
    </row>
    <row r="4362" spans="1:7" hidden="1" x14ac:dyDescent="0.25">
      <c r="A4362" s="28">
        <v>43862</v>
      </c>
      <c r="B4362" s="27" t="s">
        <v>200</v>
      </c>
      <c r="C4362" s="27" t="s">
        <v>53</v>
      </c>
      <c r="D4362" s="27" t="s">
        <v>6</v>
      </c>
      <c r="E4362" s="27" t="s">
        <v>21</v>
      </c>
      <c r="F4362" s="29"/>
      <c r="G4362" s="30">
        <f t="shared" si="78"/>
        <v>477.17204938271607</v>
      </c>
    </row>
    <row r="4363" spans="1:7" hidden="1" x14ac:dyDescent="0.25">
      <c r="A4363" s="28">
        <v>43862</v>
      </c>
      <c r="B4363" s="27" t="s">
        <v>200</v>
      </c>
      <c r="C4363" s="27" t="s">
        <v>53</v>
      </c>
      <c r="D4363" s="27" t="s">
        <v>6</v>
      </c>
      <c r="E4363" s="27" t="s">
        <v>10</v>
      </c>
      <c r="F4363" s="29"/>
      <c r="G4363" s="30">
        <f t="shared" si="78"/>
        <v>477.17204938271607</v>
      </c>
    </row>
    <row r="4364" spans="1:7" hidden="1" x14ac:dyDescent="0.25">
      <c r="A4364" s="28">
        <v>43862</v>
      </c>
      <c r="B4364" s="27" t="s">
        <v>200</v>
      </c>
      <c r="C4364" s="27" t="s">
        <v>53</v>
      </c>
      <c r="D4364" s="27" t="s">
        <v>6</v>
      </c>
      <c r="E4364" s="27" t="s">
        <v>11</v>
      </c>
      <c r="F4364" s="29"/>
      <c r="G4364" s="30">
        <f t="shared" si="78"/>
        <v>477.17204938271607</v>
      </c>
    </row>
    <row r="4365" spans="1:7" hidden="1" x14ac:dyDescent="0.25">
      <c r="A4365" s="28">
        <v>43862</v>
      </c>
      <c r="B4365" s="27" t="s">
        <v>200</v>
      </c>
      <c r="C4365" s="27" t="s">
        <v>53</v>
      </c>
      <c r="D4365" s="27" t="s">
        <v>6</v>
      </c>
      <c r="E4365" s="27" t="s">
        <v>12</v>
      </c>
      <c r="F4365" s="29"/>
      <c r="G4365" s="30">
        <f t="shared" si="78"/>
        <v>477.17204938271607</v>
      </c>
    </row>
    <row r="4366" spans="1:7" hidden="1" x14ac:dyDescent="0.25">
      <c r="A4366" s="28">
        <v>43862</v>
      </c>
      <c r="B4366" s="27" t="s">
        <v>200</v>
      </c>
      <c r="C4366" s="27" t="s">
        <v>53</v>
      </c>
      <c r="D4366" s="27" t="s">
        <v>6</v>
      </c>
      <c r="E4366" s="27" t="s">
        <v>13</v>
      </c>
      <c r="F4366" s="29"/>
      <c r="G4366" s="30">
        <f t="shared" si="78"/>
        <v>477.17204938271607</v>
      </c>
    </row>
    <row r="4367" spans="1:7" hidden="1" x14ac:dyDescent="0.25">
      <c r="A4367" s="28">
        <v>43862</v>
      </c>
      <c r="B4367" s="27" t="s">
        <v>200</v>
      </c>
      <c r="C4367" s="27" t="s">
        <v>53</v>
      </c>
      <c r="D4367" s="27" t="s">
        <v>6</v>
      </c>
      <c r="E4367" s="27" t="s">
        <v>14</v>
      </c>
      <c r="F4367" s="29"/>
      <c r="G4367" s="30">
        <f t="shared" si="78"/>
        <v>477.17204938271607</v>
      </c>
    </row>
    <row r="4368" spans="1:7" hidden="1" x14ac:dyDescent="0.25">
      <c r="A4368" s="28">
        <v>43862</v>
      </c>
      <c r="B4368" s="27" t="s">
        <v>200</v>
      </c>
      <c r="C4368" s="27" t="s">
        <v>53</v>
      </c>
      <c r="D4368" s="27" t="s">
        <v>6</v>
      </c>
      <c r="E4368" s="27" t="s">
        <v>15</v>
      </c>
      <c r="F4368" s="29"/>
      <c r="G4368" s="30">
        <f t="shared" si="78"/>
        <v>477.17204938271607</v>
      </c>
    </row>
    <row r="4369" spans="1:7" hidden="1" x14ac:dyDescent="0.25">
      <c r="A4369" s="28">
        <v>43862</v>
      </c>
      <c r="B4369" s="27" t="s">
        <v>200</v>
      </c>
      <c r="C4369" s="27" t="s">
        <v>53</v>
      </c>
      <c r="D4369" s="27" t="s">
        <v>6</v>
      </c>
      <c r="E4369" s="27" t="s">
        <v>16</v>
      </c>
      <c r="F4369" s="29"/>
      <c r="G4369" s="30">
        <f t="shared" si="78"/>
        <v>477.17204938271607</v>
      </c>
    </row>
    <row r="4370" spans="1:7" hidden="1" x14ac:dyDescent="0.25">
      <c r="A4370" s="28">
        <v>43862</v>
      </c>
      <c r="B4370" s="27" t="s">
        <v>200</v>
      </c>
      <c r="C4370" s="27" t="s">
        <v>53</v>
      </c>
      <c r="D4370" s="27" t="s">
        <v>6</v>
      </c>
      <c r="E4370" s="27" t="s">
        <v>17</v>
      </c>
      <c r="F4370" s="29"/>
      <c r="G4370" s="30">
        <f t="shared" si="78"/>
        <v>477.17204938271607</v>
      </c>
    </row>
    <row r="4371" spans="1:7" hidden="1" x14ac:dyDescent="0.25">
      <c r="A4371" s="28">
        <v>43862</v>
      </c>
      <c r="B4371" s="27" t="s">
        <v>200</v>
      </c>
      <c r="C4371" s="27" t="s">
        <v>53</v>
      </c>
      <c r="D4371" s="27" t="s">
        <v>6</v>
      </c>
      <c r="E4371" s="27" t="s">
        <v>18</v>
      </c>
      <c r="F4371" s="29"/>
      <c r="G4371" s="30">
        <f t="shared" si="78"/>
        <v>477.17204938271607</v>
      </c>
    </row>
    <row r="4372" spans="1:7" hidden="1" x14ac:dyDescent="0.25">
      <c r="A4372" s="28">
        <v>43862</v>
      </c>
      <c r="B4372" s="27" t="s">
        <v>200</v>
      </c>
      <c r="C4372" s="27" t="s">
        <v>53</v>
      </c>
      <c r="D4372" s="27" t="s">
        <v>6</v>
      </c>
      <c r="E4372" s="27" t="s">
        <v>19</v>
      </c>
      <c r="F4372" s="29"/>
      <c r="G4372" s="30">
        <f t="shared" si="78"/>
        <v>477.17204938271607</v>
      </c>
    </row>
    <row r="4373" spans="1:7" hidden="1" x14ac:dyDescent="0.25">
      <c r="A4373" s="28">
        <v>43862</v>
      </c>
      <c r="B4373" s="27" t="s">
        <v>200</v>
      </c>
      <c r="C4373" s="27" t="s">
        <v>53</v>
      </c>
      <c r="D4373" s="27" t="s">
        <v>6</v>
      </c>
      <c r="E4373" s="27" t="s">
        <v>20</v>
      </c>
      <c r="F4373" s="29"/>
      <c r="G4373" s="30">
        <f t="shared" si="78"/>
        <v>477.17204938271607</v>
      </c>
    </row>
    <row r="4374" spans="1:7" hidden="1" x14ac:dyDescent="0.25">
      <c r="A4374" s="28">
        <v>43862</v>
      </c>
      <c r="B4374" s="27" t="s">
        <v>200</v>
      </c>
      <c r="C4374" s="27" t="s">
        <v>53</v>
      </c>
      <c r="D4374" s="27" t="s">
        <v>6</v>
      </c>
      <c r="E4374" s="27" t="s">
        <v>38</v>
      </c>
      <c r="F4374" s="29"/>
      <c r="G4374" s="30">
        <f t="shared" si="78"/>
        <v>477.17204938271607</v>
      </c>
    </row>
    <row r="4375" spans="1:7" hidden="1" x14ac:dyDescent="0.25">
      <c r="A4375" s="28">
        <v>43862</v>
      </c>
      <c r="B4375" s="27" t="s">
        <v>200</v>
      </c>
      <c r="C4375" s="27" t="s">
        <v>53</v>
      </c>
      <c r="D4375" s="27" t="s">
        <v>6</v>
      </c>
      <c r="E4375" s="27" t="s">
        <v>23</v>
      </c>
      <c r="F4375" s="29"/>
      <c r="G4375" s="30">
        <f t="shared" si="78"/>
        <v>477.17204938271607</v>
      </c>
    </row>
    <row r="4376" spans="1:7" hidden="1" x14ac:dyDescent="0.25">
      <c r="A4376" s="28">
        <v>43862</v>
      </c>
      <c r="B4376" s="27" t="s">
        <v>200</v>
      </c>
      <c r="C4376" s="27" t="s">
        <v>54</v>
      </c>
      <c r="D4376" s="27" t="s">
        <v>7</v>
      </c>
      <c r="E4376" s="27" t="s">
        <v>8</v>
      </c>
      <c r="F4376" s="29"/>
      <c r="G4376" s="30">
        <f t="shared" ref="G4376:G4394" si="79">132.19/19</f>
        <v>6.9573684210526316</v>
      </c>
    </row>
    <row r="4377" spans="1:7" hidden="1" x14ac:dyDescent="0.25">
      <c r="A4377" s="28">
        <v>43862</v>
      </c>
      <c r="B4377" s="27" t="s">
        <v>200</v>
      </c>
      <c r="C4377" s="27" t="s">
        <v>54</v>
      </c>
      <c r="D4377" s="27" t="s">
        <v>7</v>
      </c>
      <c r="E4377" s="27" t="s">
        <v>9</v>
      </c>
      <c r="F4377" s="29"/>
      <c r="G4377" s="30">
        <f t="shared" si="79"/>
        <v>6.9573684210526316</v>
      </c>
    </row>
    <row r="4378" spans="1:7" hidden="1" x14ac:dyDescent="0.25">
      <c r="A4378" s="28">
        <v>43862</v>
      </c>
      <c r="B4378" s="27" t="s">
        <v>200</v>
      </c>
      <c r="C4378" s="27" t="s">
        <v>54</v>
      </c>
      <c r="D4378" s="27" t="s">
        <v>7</v>
      </c>
      <c r="E4378" s="27" t="s">
        <v>22</v>
      </c>
      <c r="F4378" s="29"/>
      <c r="G4378" s="30">
        <f t="shared" si="79"/>
        <v>6.9573684210526316</v>
      </c>
    </row>
    <row r="4379" spans="1:7" hidden="1" x14ac:dyDescent="0.25">
      <c r="A4379" s="28">
        <v>43862</v>
      </c>
      <c r="B4379" s="27" t="s">
        <v>200</v>
      </c>
      <c r="C4379" s="27" t="s">
        <v>54</v>
      </c>
      <c r="D4379" s="27" t="s">
        <v>7</v>
      </c>
      <c r="E4379" s="27" t="s">
        <v>64</v>
      </c>
      <c r="F4379" s="29"/>
      <c r="G4379" s="30">
        <f t="shared" si="79"/>
        <v>6.9573684210526316</v>
      </c>
    </row>
    <row r="4380" spans="1:7" hidden="1" x14ac:dyDescent="0.25">
      <c r="A4380" s="28">
        <v>43862</v>
      </c>
      <c r="B4380" s="27" t="s">
        <v>200</v>
      </c>
      <c r="C4380" s="27" t="s">
        <v>54</v>
      </c>
      <c r="D4380" s="27" t="s">
        <v>7</v>
      </c>
      <c r="E4380" s="27" t="s">
        <v>21</v>
      </c>
      <c r="F4380" s="29"/>
      <c r="G4380" s="30">
        <f t="shared" si="79"/>
        <v>6.9573684210526316</v>
      </c>
    </row>
    <row r="4381" spans="1:7" hidden="1" x14ac:dyDescent="0.25">
      <c r="A4381" s="28">
        <v>43862</v>
      </c>
      <c r="B4381" s="27" t="s">
        <v>200</v>
      </c>
      <c r="C4381" s="27" t="s">
        <v>54</v>
      </c>
      <c r="D4381" s="27" t="s">
        <v>7</v>
      </c>
      <c r="E4381" s="27" t="s">
        <v>10</v>
      </c>
      <c r="F4381" s="29"/>
      <c r="G4381" s="30">
        <f t="shared" si="79"/>
        <v>6.9573684210526316</v>
      </c>
    </row>
    <row r="4382" spans="1:7" hidden="1" x14ac:dyDescent="0.25">
      <c r="A4382" s="28">
        <v>43862</v>
      </c>
      <c r="B4382" s="27" t="s">
        <v>200</v>
      </c>
      <c r="C4382" s="27" t="s">
        <v>54</v>
      </c>
      <c r="D4382" s="27" t="s">
        <v>7</v>
      </c>
      <c r="E4382" s="27" t="s">
        <v>11</v>
      </c>
      <c r="F4382" s="29"/>
      <c r="G4382" s="30">
        <f t="shared" si="79"/>
        <v>6.9573684210526316</v>
      </c>
    </row>
    <row r="4383" spans="1:7" hidden="1" x14ac:dyDescent="0.25">
      <c r="A4383" s="28">
        <v>43862</v>
      </c>
      <c r="B4383" s="27" t="s">
        <v>200</v>
      </c>
      <c r="C4383" s="27" t="s">
        <v>54</v>
      </c>
      <c r="D4383" s="27" t="s">
        <v>7</v>
      </c>
      <c r="E4383" s="27" t="s">
        <v>12</v>
      </c>
      <c r="F4383" s="29"/>
      <c r="G4383" s="30">
        <f t="shared" si="79"/>
        <v>6.9573684210526316</v>
      </c>
    </row>
    <row r="4384" spans="1:7" hidden="1" x14ac:dyDescent="0.25">
      <c r="A4384" s="28">
        <v>43862</v>
      </c>
      <c r="B4384" s="27" t="s">
        <v>200</v>
      </c>
      <c r="C4384" s="27" t="s">
        <v>54</v>
      </c>
      <c r="D4384" s="27" t="s">
        <v>7</v>
      </c>
      <c r="E4384" s="27" t="s">
        <v>13</v>
      </c>
      <c r="F4384" s="29"/>
      <c r="G4384" s="30">
        <f t="shared" si="79"/>
        <v>6.9573684210526316</v>
      </c>
    </row>
    <row r="4385" spans="1:7" hidden="1" x14ac:dyDescent="0.25">
      <c r="A4385" s="28">
        <v>43862</v>
      </c>
      <c r="B4385" s="27" t="s">
        <v>200</v>
      </c>
      <c r="C4385" s="27" t="s">
        <v>54</v>
      </c>
      <c r="D4385" s="27" t="s">
        <v>7</v>
      </c>
      <c r="E4385" s="27" t="s">
        <v>14</v>
      </c>
      <c r="F4385" s="29"/>
      <c r="G4385" s="30">
        <f t="shared" si="79"/>
        <v>6.9573684210526316</v>
      </c>
    </row>
    <row r="4386" spans="1:7" hidden="1" x14ac:dyDescent="0.25">
      <c r="A4386" s="28">
        <v>43862</v>
      </c>
      <c r="B4386" s="27" t="s">
        <v>200</v>
      </c>
      <c r="C4386" s="27" t="s">
        <v>54</v>
      </c>
      <c r="D4386" s="27" t="s">
        <v>7</v>
      </c>
      <c r="E4386" s="27" t="s">
        <v>15</v>
      </c>
      <c r="F4386" s="29"/>
      <c r="G4386" s="30">
        <f t="shared" si="79"/>
        <v>6.9573684210526316</v>
      </c>
    </row>
    <row r="4387" spans="1:7" hidden="1" x14ac:dyDescent="0.25">
      <c r="A4387" s="28">
        <v>43862</v>
      </c>
      <c r="B4387" s="27" t="s">
        <v>200</v>
      </c>
      <c r="C4387" s="27" t="s">
        <v>54</v>
      </c>
      <c r="D4387" s="27" t="s">
        <v>7</v>
      </c>
      <c r="E4387" s="27" t="s">
        <v>16</v>
      </c>
      <c r="F4387" s="29"/>
      <c r="G4387" s="30">
        <f t="shared" si="79"/>
        <v>6.9573684210526316</v>
      </c>
    </row>
    <row r="4388" spans="1:7" hidden="1" x14ac:dyDescent="0.25">
      <c r="A4388" s="28">
        <v>43862</v>
      </c>
      <c r="B4388" s="27" t="s">
        <v>200</v>
      </c>
      <c r="C4388" s="27" t="s">
        <v>54</v>
      </c>
      <c r="D4388" s="27" t="s">
        <v>7</v>
      </c>
      <c r="E4388" s="27" t="s">
        <v>17</v>
      </c>
      <c r="F4388" s="29"/>
      <c r="G4388" s="30">
        <f t="shared" si="79"/>
        <v>6.9573684210526316</v>
      </c>
    </row>
    <row r="4389" spans="1:7" hidden="1" x14ac:dyDescent="0.25">
      <c r="A4389" s="28">
        <v>43862</v>
      </c>
      <c r="B4389" s="27" t="s">
        <v>200</v>
      </c>
      <c r="C4389" s="27" t="s">
        <v>54</v>
      </c>
      <c r="D4389" s="27" t="s">
        <v>7</v>
      </c>
      <c r="E4389" s="27" t="s">
        <v>18</v>
      </c>
      <c r="F4389" s="29"/>
      <c r="G4389" s="30">
        <f t="shared" si="79"/>
        <v>6.9573684210526316</v>
      </c>
    </row>
    <row r="4390" spans="1:7" hidden="1" x14ac:dyDescent="0.25">
      <c r="A4390" s="28">
        <v>43862</v>
      </c>
      <c r="B4390" s="27" t="s">
        <v>200</v>
      </c>
      <c r="C4390" s="27" t="s">
        <v>54</v>
      </c>
      <c r="D4390" s="27" t="s">
        <v>7</v>
      </c>
      <c r="E4390" s="27" t="s">
        <v>19</v>
      </c>
      <c r="F4390" s="29"/>
      <c r="G4390" s="30">
        <f t="shared" si="79"/>
        <v>6.9573684210526316</v>
      </c>
    </row>
    <row r="4391" spans="1:7" hidden="1" x14ac:dyDescent="0.25">
      <c r="A4391" s="28">
        <v>43862</v>
      </c>
      <c r="B4391" s="27" t="s">
        <v>200</v>
      </c>
      <c r="C4391" s="27" t="s">
        <v>54</v>
      </c>
      <c r="D4391" s="27" t="s">
        <v>7</v>
      </c>
      <c r="E4391" s="27" t="s">
        <v>20</v>
      </c>
      <c r="F4391" s="29"/>
      <c r="G4391" s="30">
        <f t="shared" si="79"/>
        <v>6.9573684210526316</v>
      </c>
    </row>
    <row r="4392" spans="1:7" hidden="1" x14ac:dyDescent="0.25">
      <c r="A4392" s="28">
        <v>43862</v>
      </c>
      <c r="B4392" s="27" t="s">
        <v>200</v>
      </c>
      <c r="C4392" s="27" t="s">
        <v>54</v>
      </c>
      <c r="D4392" s="27" t="s">
        <v>7</v>
      </c>
      <c r="E4392" s="27" t="s">
        <v>38</v>
      </c>
      <c r="F4392" s="29"/>
      <c r="G4392" s="30">
        <f t="shared" si="79"/>
        <v>6.9573684210526316</v>
      </c>
    </row>
    <row r="4393" spans="1:7" hidden="1" x14ac:dyDescent="0.25">
      <c r="A4393" s="28">
        <v>43862</v>
      </c>
      <c r="B4393" s="27" t="s">
        <v>200</v>
      </c>
      <c r="C4393" s="27" t="s">
        <v>54</v>
      </c>
      <c r="D4393" s="27" t="s">
        <v>7</v>
      </c>
      <c r="E4393" s="27" t="s">
        <v>23</v>
      </c>
      <c r="F4393" s="29"/>
      <c r="G4393" s="30">
        <f t="shared" si="79"/>
        <v>6.9573684210526316</v>
      </c>
    </row>
    <row r="4394" spans="1:7" hidden="1" x14ac:dyDescent="0.25">
      <c r="A4394" s="28">
        <v>43862</v>
      </c>
      <c r="B4394" s="27" t="s">
        <v>200</v>
      </c>
      <c r="C4394" s="27" t="s">
        <v>54</v>
      </c>
      <c r="D4394" s="27" t="s">
        <v>7</v>
      </c>
      <c r="E4394" s="27" t="s">
        <v>37</v>
      </c>
      <c r="F4394" s="29"/>
      <c r="G4394" s="30">
        <f t="shared" si="79"/>
        <v>6.9573684210526316</v>
      </c>
    </row>
    <row r="4395" spans="1:7" hidden="1" x14ac:dyDescent="0.25">
      <c r="A4395" s="28">
        <v>43862</v>
      </c>
      <c r="B4395" s="27" t="s">
        <v>200</v>
      </c>
      <c r="C4395" s="27" t="s">
        <v>55</v>
      </c>
      <c r="D4395" s="27" t="s">
        <v>6</v>
      </c>
      <c r="E4395" s="27" t="s">
        <v>8</v>
      </c>
      <c r="F4395" s="29"/>
      <c r="G4395" s="30">
        <f t="shared" ref="G4395:G4412" si="80">20896.6060888889/18</f>
        <v>1160.9225604938279</v>
      </c>
    </row>
    <row r="4396" spans="1:7" hidden="1" x14ac:dyDescent="0.25">
      <c r="A4396" s="28">
        <v>43862</v>
      </c>
      <c r="B4396" s="27" t="s">
        <v>200</v>
      </c>
      <c r="C4396" s="27" t="s">
        <v>55</v>
      </c>
      <c r="D4396" s="27" t="s">
        <v>6</v>
      </c>
      <c r="E4396" s="27" t="s">
        <v>9</v>
      </c>
      <c r="F4396" s="29"/>
      <c r="G4396" s="30">
        <f t="shared" si="80"/>
        <v>1160.9225604938279</v>
      </c>
    </row>
    <row r="4397" spans="1:7" hidden="1" x14ac:dyDescent="0.25">
      <c r="A4397" s="28">
        <v>43862</v>
      </c>
      <c r="B4397" s="27" t="s">
        <v>200</v>
      </c>
      <c r="C4397" s="27" t="s">
        <v>55</v>
      </c>
      <c r="D4397" s="27" t="s">
        <v>6</v>
      </c>
      <c r="E4397" s="27" t="s">
        <v>22</v>
      </c>
      <c r="F4397" s="29"/>
      <c r="G4397" s="30">
        <f t="shared" si="80"/>
        <v>1160.9225604938279</v>
      </c>
    </row>
    <row r="4398" spans="1:7" hidden="1" x14ac:dyDescent="0.25">
      <c r="A4398" s="28">
        <v>43862</v>
      </c>
      <c r="B4398" s="27" t="s">
        <v>200</v>
      </c>
      <c r="C4398" s="27" t="s">
        <v>55</v>
      </c>
      <c r="D4398" s="27" t="s">
        <v>6</v>
      </c>
      <c r="E4398" s="27" t="s">
        <v>64</v>
      </c>
      <c r="F4398" s="29"/>
      <c r="G4398" s="30">
        <f t="shared" si="80"/>
        <v>1160.9225604938279</v>
      </c>
    </row>
    <row r="4399" spans="1:7" hidden="1" x14ac:dyDescent="0.25">
      <c r="A4399" s="28">
        <v>43862</v>
      </c>
      <c r="B4399" s="27" t="s">
        <v>200</v>
      </c>
      <c r="C4399" s="27" t="s">
        <v>55</v>
      </c>
      <c r="D4399" s="27" t="s">
        <v>6</v>
      </c>
      <c r="E4399" s="27" t="s">
        <v>21</v>
      </c>
      <c r="F4399" s="29"/>
      <c r="G4399" s="30">
        <f t="shared" si="80"/>
        <v>1160.9225604938279</v>
      </c>
    </row>
    <row r="4400" spans="1:7" hidden="1" x14ac:dyDescent="0.25">
      <c r="A4400" s="28">
        <v>43862</v>
      </c>
      <c r="B4400" s="27" t="s">
        <v>200</v>
      </c>
      <c r="C4400" s="27" t="s">
        <v>55</v>
      </c>
      <c r="D4400" s="27" t="s">
        <v>6</v>
      </c>
      <c r="E4400" s="27" t="s">
        <v>10</v>
      </c>
      <c r="F4400" s="29"/>
      <c r="G4400" s="30">
        <f t="shared" si="80"/>
        <v>1160.9225604938279</v>
      </c>
    </row>
    <row r="4401" spans="1:7" hidden="1" x14ac:dyDescent="0.25">
      <c r="A4401" s="28">
        <v>43862</v>
      </c>
      <c r="B4401" s="27" t="s">
        <v>200</v>
      </c>
      <c r="C4401" s="27" t="s">
        <v>55</v>
      </c>
      <c r="D4401" s="27" t="s">
        <v>6</v>
      </c>
      <c r="E4401" s="27" t="s">
        <v>11</v>
      </c>
      <c r="F4401" s="29"/>
      <c r="G4401" s="30">
        <f t="shared" si="80"/>
        <v>1160.9225604938279</v>
      </c>
    </row>
    <row r="4402" spans="1:7" hidden="1" x14ac:dyDescent="0.25">
      <c r="A4402" s="28">
        <v>43862</v>
      </c>
      <c r="B4402" s="27" t="s">
        <v>200</v>
      </c>
      <c r="C4402" s="27" t="s">
        <v>55</v>
      </c>
      <c r="D4402" s="27" t="s">
        <v>6</v>
      </c>
      <c r="E4402" s="27" t="s">
        <v>12</v>
      </c>
      <c r="F4402" s="29"/>
      <c r="G4402" s="30">
        <f t="shared" si="80"/>
        <v>1160.9225604938279</v>
      </c>
    </row>
    <row r="4403" spans="1:7" hidden="1" x14ac:dyDescent="0.25">
      <c r="A4403" s="28">
        <v>43862</v>
      </c>
      <c r="B4403" s="27" t="s">
        <v>200</v>
      </c>
      <c r="C4403" s="27" t="s">
        <v>55</v>
      </c>
      <c r="D4403" s="27" t="s">
        <v>6</v>
      </c>
      <c r="E4403" s="27" t="s">
        <v>13</v>
      </c>
      <c r="F4403" s="29"/>
      <c r="G4403" s="30">
        <f t="shared" si="80"/>
        <v>1160.9225604938279</v>
      </c>
    </row>
    <row r="4404" spans="1:7" hidden="1" x14ac:dyDescent="0.25">
      <c r="A4404" s="28">
        <v>43862</v>
      </c>
      <c r="B4404" s="27" t="s">
        <v>200</v>
      </c>
      <c r="C4404" s="27" t="s">
        <v>55</v>
      </c>
      <c r="D4404" s="27" t="s">
        <v>6</v>
      </c>
      <c r="E4404" s="27" t="s">
        <v>14</v>
      </c>
      <c r="F4404" s="29"/>
      <c r="G4404" s="30">
        <f t="shared" si="80"/>
        <v>1160.9225604938279</v>
      </c>
    </row>
    <row r="4405" spans="1:7" hidden="1" x14ac:dyDescent="0.25">
      <c r="A4405" s="28">
        <v>43862</v>
      </c>
      <c r="B4405" s="27" t="s">
        <v>200</v>
      </c>
      <c r="C4405" s="27" t="s">
        <v>55</v>
      </c>
      <c r="D4405" s="27" t="s">
        <v>6</v>
      </c>
      <c r="E4405" s="27" t="s">
        <v>15</v>
      </c>
      <c r="F4405" s="29"/>
      <c r="G4405" s="30">
        <f t="shared" si="80"/>
        <v>1160.9225604938279</v>
      </c>
    </row>
    <row r="4406" spans="1:7" hidden="1" x14ac:dyDescent="0.25">
      <c r="A4406" s="28">
        <v>43862</v>
      </c>
      <c r="B4406" s="27" t="s">
        <v>200</v>
      </c>
      <c r="C4406" s="27" t="s">
        <v>55</v>
      </c>
      <c r="D4406" s="27" t="s">
        <v>6</v>
      </c>
      <c r="E4406" s="27" t="s">
        <v>16</v>
      </c>
      <c r="F4406" s="29"/>
      <c r="G4406" s="30">
        <f t="shared" si="80"/>
        <v>1160.9225604938279</v>
      </c>
    </row>
    <row r="4407" spans="1:7" hidden="1" x14ac:dyDescent="0.25">
      <c r="A4407" s="28">
        <v>43862</v>
      </c>
      <c r="B4407" s="27" t="s">
        <v>200</v>
      </c>
      <c r="C4407" s="27" t="s">
        <v>55</v>
      </c>
      <c r="D4407" s="27" t="s">
        <v>6</v>
      </c>
      <c r="E4407" s="27" t="s">
        <v>17</v>
      </c>
      <c r="F4407" s="29"/>
      <c r="G4407" s="30">
        <f t="shared" si="80"/>
        <v>1160.9225604938279</v>
      </c>
    </row>
    <row r="4408" spans="1:7" hidden="1" x14ac:dyDescent="0.25">
      <c r="A4408" s="28">
        <v>43862</v>
      </c>
      <c r="B4408" s="27" t="s">
        <v>200</v>
      </c>
      <c r="C4408" s="27" t="s">
        <v>55</v>
      </c>
      <c r="D4408" s="27" t="s">
        <v>6</v>
      </c>
      <c r="E4408" s="27" t="s">
        <v>18</v>
      </c>
      <c r="F4408" s="29"/>
      <c r="G4408" s="30">
        <f t="shared" si="80"/>
        <v>1160.9225604938279</v>
      </c>
    </row>
    <row r="4409" spans="1:7" hidden="1" x14ac:dyDescent="0.25">
      <c r="A4409" s="28">
        <v>43862</v>
      </c>
      <c r="B4409" s="27" t="s">
        <v>200</v>
      </c>
      <c r="C4409" s="27" t="s">
        <v>55</v>
      </c>
      <c r="D4409" s="27" t="s">
        <v>6</v>
      </c>
      <c r="E4409" s="27" t="s">
        <v>19</v>
      </c>
      <c r="F4409" s="29"/>
      <c r="G4409" s="30">
        <f t="shared" si="80"/>
        <v>1160.9225604938279</v>
      </c>
    </row>
    <row r="4410" spans="1:7" hidden="1" x14ac:dyDescent="0.25">
      <c r="A4410" s="28">
        <v>43862</v>
      </c>
      <c r="B4410" s="27" t="s">
        <v>200</v>
      </c>
      <c r="C4410" s="27" t="s">
        <v>55</v>
      </c>
      <c r="D4410" s="27" t="s">
        <v>6</v>
      </c>
      <c r="E4410" s="27" t="s">
        <v>20</v>
      </c>
      <c r="F4410" s="29"/>
      <c r="G4410" s="30">
        <f t="shared" si="80"/>
        <v>1160.9225604938279</v>
      </c>
    </row>
    <row r="4411" spans="1:7" hidden="1" x14ac:dyDescent="0.25">
      <c r="A4411" s="28">
        <v>43862</v>
      </c>
      <c r="B4411" s="27" t="s">
        <v>200</v>
      </c>
      <c r="C4411" s="27" t="s">
        <v>55</v>
      </c>
      <c r="D4411" s="27" t="s">
        <v>6</v>
      </c>
      <c r="E4411" s="27" t="s">
        <v>38</v>
      </c>
      <c r="F4411" s="29"/>
      <c r="G4411" s="30">
        <f t="shared" si="80"/>
        <v>1160.9225604938279</v>
      </c>
    </row>
    <row r="4412" spans="1:7" hidden="1" x14ac:dyDescent="0.25">
      <c r="A4412" s="28">
        <v>43862</v>
      </c>
      <c r="B4412" s="27" t="s">
        <v>200</v>
      </c>
      <c r="C4412" s="27" t="s">
        <v>55</v>
      </c>
      <c r="D4412" s="27" t="s">
        <v>6</v>
      </c>
      <c r="E4412" s="27" t="s">
        <v>23</v>
      </c>
      <c r="F4412" s="29"/>
      <c r="G4412" s="30">
        <f t="shared" si="80"/>
        <v>1160.9225604938279</v>
      </c>
    </row>
    <row r="4413" spans="1:7" hidden="1" x14ac:dyDescent="0.25">
      <c r="A4413" s="28">
        <v>43862</v>
      </c>
      <c r="B4413" s="27" t="s">
        <v>200</v>
      </c>
      <c r="C4413" s="27" t="s">
        <v>183</v>
      </c>
      <c r="D4413" s="27" t="s">
        <v>7</v>
      </c>
      <c r="E4413" s="27" t="s">
        <v>8</v>
      </c>
      <c r="F4413" s="29"/>
      <c r="G4413" s="30">
        <f t="shared" ref="G4413:G4431" si="81">1286.27/19</f>
        <v>67.698421052631574</v>
      </c>
    </row>
    <row r="4414" spans="1:7" hidden="1" x14ac:dyDescent="0.25">
      <c r="A4414" s="28">
        <v>43862</v>
      </c>
      <c r="B4414" s="27" t="s">
        <v>200</v>
      </c>
      <c r="C4414" s="27" t="s">
        <v>183</v>
      </c>
      <c r="D4414" s="27" t="s">
        <v>7</v>
      </c>
      <c r="E4414" s="27" t="s">
        <v>9</v>
      </c>
      <c r="F4414" s="29"/>
      <c r="G4414" s="30">
        <f t="shared" si="81"/>
        <v>67.698421052631574</v>
      </c>
    </row>
    <row r="4415" spans="1:7" hidden="1" x14ac:dyDescent="0.25">
      <c r="A4415" s="28">
        <v>43862</v>
      </c>
      <c r="B4415" s="27" t="s">
        <v>200</v>
      </c>
      <c r="C4415" s="27" t="s">
        <v>183</v>
      </c>
      <c r="D4415" s="27" t="s">
        <v>7</v>
      </c>
      <c r="E4415" s="27" t="s">
        <v>22</v>
      </c>
      <c r="F4415" s="29"/>
      <c r="G4415" s="30">
        <f t="shared" si="81"/>
        <v>67.698421052631574</v>
      </c>
    </row>
    <row r="4416" spans="1:7" hidden="1" x14ac:dyDescent="0.25">
      <c r="A4416" s="28">
        <v>43862</v>
      </c>
      <c r="B4416" s="27" t="s">
        <v>200</v>
      </c>
      <c r="C4416" s="27" t="s">
        <v>183</v>
      </c>
      <c r="D4416" s="27" t="s">
        <v>7</v>
      </c>
      <c r="E4416" s="27" t="s">
        <v>64</v>
      </c>
      <c r="F4416" s="29"/>
      <c r="G4416" s="30">
        <f t="shared" si="81"/>
        <v>67.698421052631574</v>
      </c>
    </row>
    <row r="4417" spans="1:7" hidden="1" x14ac:dyDescent="0.25">
      <c r="A4417" s="28">
        <v>43862</v>
      </c>
      <c r="B4417" s="27" t="s">
        <v>200</v>
      </c>
      <c r="C4417" s="27" t="s">
        <v>183</v>
      </c>
      <c r="D4417" s="27" t="s">
        <v>7</v>
      </c>
      <c r="E4417" s="27" t="s">
        <v>21</v>
      </c>
      <c r="F4417" s="29"/>
      <c r="G4417" s="30">
        <f t="shared" si="81"/>
        <v>67.698421052631574</v>
      </c>
    </row>
    <row r="4418" spans="1:7" hidden="1" x14ac:dyDescent="0.25">
      <c r="A4418" s="28">
        <v>43862</v>
      </c>
      <c r="B4418" s="27" t="s">
        <v>200</v>
      </c>
      <c r="C4418" s="27" t="s">
        <v>183</v>
      </c>
      <c r="D4418" s="27" t="s">
        <v>7</v>
      </c>
      <c r="E4418" s="27" t="s">
        <v>10</v>
      </c>
      <c r="F4418" s="29"/>
      <c r="G4418" s="30">
        <f t="shared" si="81"/>
        <v>67.698421052631574</v>
      </c>
    </row>
    <row r="4419" spans="1:7" hidden="1" x14ac:dyDescent="0.25">
      <c r="A4419" s="28">
        <v>43862</v>
      </c>
      <c r="B4419" s="27" t="s">
        <v>200</v>
      </c>
      <c r="C4419" s="27" t="s">
        <v>183</v>
      </c>
      <c r="D4419" s="27" t="s">
        <v>7</v>
      </c>
      <c r="E4419" s="27" t="s">
        <v>11</v>
      </c>
      <c r="F4419" s="29"/>
      <c r="G4419" s="30">
        <f t="shared" si="81"/>
        <v>67.698421052631574</v>
      </c>
    </row>
    <row r="4420" spans="1:7" hidden="1" x14ac:dyDescent="0.25">
      <c r="A4420" s="28">
        <v>43862</v>
      </c>
      <c r="B4420" s="27" t="s">
        <v>200</v>
      </c>
      <c r="C4420" s="27" t="s">
        <v>183</v>
      </c>
      <c r="D4420" s="27" t="s">
        <v>7</v>
      </c>
      <c r="E4420" s="27" t="s">
        <v>12</v>
      </c>
      <c r="F4420" s="29"/>
      <c r="G4420" s="30">
        <f t="shared" si="81"/>
        <v>67.698421052631574</v>
      </c>
    </row>
    <row r="4421" spans="1:7" hidden="1" x14ac:dyDescent="0.25">
      <c r="A4421" s="28">
        <v>43862</v>
      </c>
      <c r="B4421" s="27" t="s">
        <v>200</v>
      </c>
      <c r="C4421" s="27" t="s">
        <v>183</v>
      </c>
      <c r="D4421" s="27" t="s">
        <v>7</v>
      </c>
      <c r="E4421" s="27" t="s">
        <v>13</v>
      </c>
      <c r="F4421" s="29"/>
      <c r="G4421" s="30">
        <f t="shared" si="81"/>
        <v>67.698421052631574</v>
      </c>
    </row>
    <row r="4422" spans="1:7" hidden="1" x14ac:dyDescent="0.25">
      <c r="A4422" s="28">
        <v>43862</v>
      </c>
      <c r="B4422" s="27" t="s">
        <v>200</v>
      </c>
      <c r="C4422" s="27" t="s">
        <v>183</v>
      </c>
      <c r="D4422" s="27" t="s">
        <v>7</v>
      </c>
      <c r="E4422" s="27" t="s">
        <v>14</v>
      </c>
      <c r="F4422" s="29"/>
      <c r="G4422" s="30">
        <f t="shared" si="81"/>
        <v>67.698421052631574</v>
      </c>
    </row>
    <row r="4423" spans="1:7" hidden="1" x14ac:dyDescent="0.25">
      <c r="A4423" s="28">
        <v>43862</v>
      </c>
      <c r="B4423" s="27" t="s">
        <v>200</v>
      </c>
      <c r="C4423" s="27" t="s">
        <v>183</v>
      </c>
      <c r="D4423" s="27" t="s">
        <v>7</v>
      </c>
      <c r="E4423" s="27" t="s">
        <v>15</v>
      </c>
      <c r="F4423" s="29"/>
      <c r="G4423" s="30">
        <f t="shared" si="81"/>
        <v>67.698421052631574</v>
      </c>
    </row>
    <row r="4424" spans="1:7" hidden="1" x14ac:dyDescent="0.25">
      <c r="A4424" s="28">
        <v>43862</v>
      </c>
      <c r="B4424" s="27" t="s">
        <v>200</v>
      </c>
      <c r="C4424" s="27" t="s">
        <v>183</v>
      </c>
      <c r="D4424" s="27" t="s">
        <v>7</v>
      </c>
      <c r="E4424" s="27" t="s">
        <v>16</v>
      </c>
      <c r="F4424" s="29"/>
      <c r="G4424" s="30">
        <f t="shared" si="81"/>
        <v>67.698421052631574</v>
      </c>
    </row>
    <row r="4425" spans="1:7" hidden="1" x14ac:dyDescent="0.25">
      <c r="A4425" s="28">
        <v>43862</v>
      </c>
      <c r="B4425" s="27" t="s">
        <v>200</v>
      </c>
      <c r="C4425" s="27" t="s">
        <v>183</v>
      </c>
      <c r="D4425" s="27" t="s">
        <v>7</v>
      </c>
      <c r="E4425" s="27" t="s">
        <v>17</v>
      </c>
      <c r="F4425" s="29"/>
      <c r="G4425" s="30">
        <f t="shared" si="81"/>
        <v>67.698421052631574</v>
      </c>
    </row>
    <row r="4426" spans="1:7" hidden="1" x14ac:dyDescent="0.25">
      <c r="A4426" s="28">
        <v>43862</v>
      </c>
      <c r="B4426" s="27" t="s">
        <v>200</v>
      </c>
      <c r="C4426" s="27" t="s">
        <v>183</v>
      </c>
      <c r="D4426" s="27" t="s">
        <v>7</v>
      </c>
      <c r="E4426" s="27" t="s">
        <v>18</v>
      </c>
      <c r="F4426" s="29"/>
      <c r="G4426" s="30">
        <f t="shared" si="81"/>
        <v>67.698421052631574</v>
      </c>
    </row>
    <row r="4427" spans="1:7" hidden="1" x14ac:dyDescent="0.25">
      <c r="A4427" s="28">
        <v>43862</v>
      </c>
      <c r="B4427" s="27" t="s">
        <v>200</v>
      </c>
      <c r="C4427" s="27" t="s">
        <v>183</v>
      </c>
      <c r="D4427" s="27" t="s">
        <v>7</v>
      </c>
      <c r="E4427" s="27" t="s">
        <v>19</v>
      </c>
      <c r="F4427" s="29"/>
      <c r="G4427" s="30">
        <f t="shared" si="81"/>
        <v>67.698421052631574</v>
      </c>
    </row>
    <row r="4428" spans="1:7" hidden="1" x14ac:dyDescent="0.25">
      <c r="A4428" s="28">
        <v>43862</v>
      </c>
      <c r="B4428" s="27" t="s">
        <v>200</v>
      </c>
      <c r="C4428" s="27" t="s">
        <v>183</v>
      </c>
      <c r="D4428" s="27" t="s">
        <v>7</v>
      </c>
      <c r="E4428" s="27" t="s">
        <v>20</v>
      </c>
      <c r="F4428" s="29"/>
      <c r="G4428" s="30">
        <f t="shared" si="81"/>
        <v>67.698421052631574</v>
      </c>
    </row>
    <row r="4429" spans="1:7" hidden="1" x14ac:dyDescent="0.25">
      <c r="A4429" s="28">
        <v>43862</v>
      </c>
      <c r="B4429" s="27" t="s">
        <v>200</v>
      </c>
      <c r="C4429" s="27" t="s">
        <v>183</v>
      </c>
      <c r="D4429" s="27" t="s">
        <v>7</v>
      </c>
      <c r="E4429" s="27" t="s">
        <v>38</v>
      </c>
      <c r="F4429" s="29"/>
      <c r="G4429" s="30">
        <f t="shared" si="81"/>
        <v>67.698421052631574</v>
      </c>
    </row>
    <row r="4430" spans="1:7" hidden="1" x14ac:dyDescent="0.25">
      <c r="A4430" s="28">
        <v>43862</v>
      </c>
      <c r="B4430" s="27" t="s">
        <v>200</v>
      </c>
      <c r="C4430" s="27" t="s">
        <v>183</v>
      </c>
      <c r="D4430" s="27" t="s">
        <v>7</v>
      </c>
      <c r="E4430" s="27" t="s">
        <v>23</v>
      </c>
      <c r="F4430" s="29"/>
      <c r="G4430" s="30">
        <f t="shared" si="81"/>
        <v>67.698421052631574</v>
      </c>
    </row>
    <row r="4431" spans="1:7" hidden="1" x14ac:dyDescent="0.25">
      <c r="A4431" s="28">
        <v>43862</v>
      </c>
      <c r="B4431" s="27" t="s">
        <v>200</v>
      </c>
      <c r="C4431" s="27" t="s">
        <v>183</v>
      </c>
      <c r="D4431" s="27" t="s">
        <v>7</v>
      </c>
      <c r="E4431" s="27" t="s">
        <v>37</v>
      </c>
      <c r="F4431" s="29"/>
      <c r="G4431" s="30">
        <f t="shared" si="81"/>
        <v>67.698421052631574</v>
      </c>
    </row>
    <row r="4432" spans="1:7" hidden="1" x14ac:dyDescent="0.25">
      <c r="A4432" s="28">
        <v>43862</v>
      </c>
      <c r="B4432" s="27" t="s">
        <v>200</v>
      </c>
      <c r="C4432" s="27" t="s">
        <v>56</v>
      </c>
      <c r="D4432" s="27" t="s">
        <v>6</v>
      </c>
      <c r="E4432" s="27" t="s">
        <v>8</v>
      </c>
      <c r="F4432" s="29"/>
      <c r="G4432" s="30">
        <f t="shared" ref="G4432:G4449" si="82">49600.11/18</f>
        <v>2755.5616666666665</v>
      </c>
    </row>
    <row r="4433" spans="1:7" hidden="1" x14ac:dyDescent="0.25">
      <c r="A4433" s="28">
        <v>43862</v>
      </c>
      <c r="B4433" s="27" t="s">
        <v>200</v>
      </c>
      <c r="C4433" s="27" t="s">
        <v>56</v>
      </c>
      <c r="D4433" s="27" t="s">
        <v>6</v>
      </c>
      <c r="E4433" s="27" t="s">
        <v>9</v>
      </c>
      <c r="F4433" s="29"/>
      <c r="G4433" s="30">
        <f t="shared" si="82"/>
        <v>2755.5616666666665</v>
      </c>
    </row>
    <row r="4434" spans="1:7" hidden="1" x14ac:dyDescent="0.25">
      <c r="A4434" s="28">
        <v>43862</v>
      </c>
      <c r="B4434" s="27" t="s">
        <v>200</v>
      </c>
      <c r="C4434" s="27" t="s">
        <v>56</v>
      </c>
      <c r="D4434" s="27" t="s">
        <v>6</v>
      </c>
      <c r="E4434" s="27" t="s">
        <v>22</v>
      </c>
      <c r="F4434" s="29"/>
      <c r="G4434" s="30">
        <f t="shared" si="82"/>
        <v>2755.5616666666665</v>
      </c>
    </row>
    <row r="4435" spans="1:7" hidden="1" x14ac:dyDescent="0.25">
      <c r="A4435" s="28">
        <v>43862</v>
      </c>
      <c r="B4435" s="27" t="s">
        <v>200</v>
      </c>
      <c r="C4435" s="27" t="s">
        <v>56</v>
      </c>
      <c r="D4435" s="27" t="s">
        <v>6</v>
      </c>
      <c r="E4435" s="27" t="s">
        <v>64</v>
      </c>
      <c r="F4435" s="29"/>
      <c r="G4435" s="30">
        <f t="shared" si="82"/>
        <v>2755.5616666666665</v>
      </c>
    </row>
    <row r="4436" spans="1:7" hidden="1" x14ac:dyDescent="0.25">
      <c r="A4436" s="28">
        <v>43862</v>
      </c>
      <c r="B4436" s="27" t="s">
        <v>200</v>
      </c>
      <c r="C4436" s="27" t="s">
        <v>56</v>
      </c>
      <c r="D4436" s="27" t="s">
        <v>6</v>
      </c>
      <c r="E4436" s="27" t="s">
        <v>21</v>
      </c>
      <c r="F4436" s="29"/>
      <c r="G4436" s="30">
        <f t="shared" si="82"/>
        <v>2755.5616666666665</v>
      </c>
    </row>
    <row r="4437" spans="1:7" hidden="1" x14ac:dyDescent="0.25">
      <c r="A4437" s="28">
        <v>43862</v>
      </c>
      <c r="B4437" s="27" t="s">
        <v>200</v>
      </c>
      <c r="C4437" s="27" t="s">
        <v>56</v>
      </c>
      <c r="D4437" s="27" t="s">
        <v>6</v>
      </c>
      <c r="E4437" s="27" t="s">
        <v>10</v>
      </c>
      <c r="F4437" s="29"/>
      <c r="G4437" s="30">
        <f t="shared" si="82"/>
        <v>2755.5616666666665</v>
      </c>
    </row>
    <row r="4438" spans="1:7" hidden="1" x14ac:dyDescent="0.25">
      <c r="A4438" s="28">
        <v>43862</v>
      </c>
      <c r="B4438" s="27" t="s">
        <v>200</v>
      </c>
      <c r="C4438" s="27" t="s">
        <v>56</v>
      </c>
      <c r="D4438" s="27" t="s">
        <v>6</v>
      </c>
      <c r="E4438" s="27" t="s">
        <v>11</v>
      </c>
      <c r="F4438" s="29"/>
      <c r="G4438" s="30">
        <f t="shared" si="82"/>
        <v>2755.5616666666665</v>
      </c>
    </row>
    <row r="4439" spans="1:7" hidden="1" x14ac:dyDescent="0.25">
      <c r="A4439" s="28">
        <v>43862</v>
      </c>
      <c r="B4439" s="27" t="s">
        <v>200</v>
      </c>
      <c r="C4439" s="27" t="s">
        <v>56</v>
      </c>
      <c r="D4439" s="27" t="s">
        <v>6</v>
      </c>
      <c r="E4439" s="27" t="s">
        <v>12</v>
      </c>
      <c r="F4439" s="29"/>
      <c r="G4439" s="30">
        <f t="shared" si="82"/>
        <v>2755.5616666666665</v>
      </c>
    </row>
    <row r="4440" spans="1:7" hidden="1" x14ac:dyDescent="0.25">
      <c r="A4440" s="28">
        <v>43862</v>
      </c>
      <c r="B4440" s="27" t="s">
        <v>200</v>
      </c>
      <c r="C4440" s="27" t="s">
        <v>56</v>
      </c>
      <c r="D4440" s="27" t="s">
        <v>6</v>
      </c>
      <c r="E4440" s="27" t="s">
        <v>13</v>
      </c>
      <c r="F4440" s="29"/>
      <c r="G4440" s="30">
        <f t="shared" si="82"/>
        <v>2755.5616666666665</v>
      </c>
    </row>
    <row r="4441" spans="1:7" hidden="1" x14ac:dyDescent="0.25">
      <c r="A4441" s="28">
        <v>43862</v>
      </c>
      <c r="B4441" s="27" t="s">
        <v>200</v>
      </c>
      <c r="C4441" s="27" t="s">
        <v>56</v>
      </c>
      <c r="D4441" s="27" t="s">
        <v>6</v>
      </c>
      <c r="E4441" s="27" t="s">
        <v>14</v>
      </c>
      <c r="F4441" s="29"/>
      <c r="G4441" s="30">
        <f t="shared" si="82"/>
        <v>2755.5616666666665</v>
      </c>
    </row>
    <row r="4442" spans="1:7" hidden="1" x14ac:dyDescent="0.25">
      <c r="A4442" s="28">
        <v>43862</v>
      </c>
      <c r="B4442" s="27" t="s">
        <v>200</v>
      </c>
      <c r="C4442" s="27" t="s">
        <v>56</v>
      </c>
      <c r="D4442" s="27" t="s">
        <v>6</v>
      </c>
      <c r="E4442" s="27" t="s">
        <v>15</v>
      </c>
      <c r="F4442" s="29"/>
      <c r="G4442" s="30">
        <f t="shared" si="82"/>
        <v>2755.5616666666665</v>
      </c>
    </row>
    <row r="4443" spans="1:7" hidden="1" x14ac:dyDescent="0.25">
      <c r="A4443" s="28">
        <v>43862</v>
      </c>
      <c r="B4443" s="27" t="s">
        <v>200</v>
      </c>
      <c r="C4443" s="27" t="s">
        <v>56</v>
      </c>
      <c r="D4443" s="27" t="s">
        <v>6</v>
      </c>
      <c r="E4443" s="27" t="s">
        <v>16</v>
      </c>
      <c r="F4443" s="29"/>
      <c r="G4443" s="30">
        <f t="shared" si="82"/>
        <v>2755.5616666666665</v>
      </c>
    </row>
    <row r="4444" spans="1:7" hidden="1" x14ac:dyDescent="0.25">
      <c r="A4444" s="28">
        <v>43862</v>
      </c>
      <c r="B4444" s="27" t="s">
        <v>200</v>
      </c>
      <c r="C4444" s="27" t="s">
        <v>56</v>
      </c>
      <c r="D4444" s="27" t="s">
        <v>6</v>
      </c>
      <c r="E4444" s="27" t="s">
        <v>17</v>
      </c>
      <c r="F4444" s="29"/>
      <c r="G4444" s="30">
        <f t="shared" si="82"/>
        <v>2755.5616666666665</v>
      </c>
    </row>
    <row r="4445" spans="1:7" hidden="1" x14ac:dyDescent="0.25">
      <c r="A4445" s="28">
        <v>43862</v>
      </c>
      <c r="B4445" s="27" t="s">
        <v>200</v>
      </c>
      <c r="C4445" s="27" t="s">
        <v>56</v>
      </c>
      <c r="D4445" s="27" t="s">
        <v>6</v>
      </c>
      <c r="E4445" s="27" t="s">
        <v>18</v>
      </c>
      <c r="F4445" s="29"/>
      <c r="G4445" s="30">
        <f t="shared" si="82"/>
        <v>2755.5616666666665</v>
      </c>
    </row>
    <row r="4446" spans="1:7" hidden="1" x14ac:dyDescent="0.25">
      <c r="A4446" s="28">
        <v>43862</v>
      </c>
      <c r="B4446" s="27" t="s">
        <v>200</v>
      </c>
      <c r="C4446" s="27" t="s">
        <v>56</v>
      </c>
      <c r="D4446" s="27" t="s">
        <v>6</v>
      </c>
      <c r="E4446" s="27" t="s">
        <v>19</v>
      </c>
      <c r="F4446" s="29"/>
      <c r="G4446" s="30">
        <f t="shared" si="82"/>
        <v>2755.5616666666665</v>
      </c>
    </row>
    <row r="4447" spans="1:7" hidden="1" x14ac:dyDescent="0.25">
      <c r="A4447" s="28">
        <v>43862</v>
      </c>
      <c r="B4447" s="27" t="s">
        <v>200</v>
      </c>
      <c r="C4447" s="27" t="s">
        <v>56</v>
      </c>
      <c r="D4447" s="27" t="s">
        <v>6</v>
      </c>
      <c r="E4447" s="27" t="s">
        <v>20</v>
      </c>
      <c r="F4447" s="29"/>
      <c r="G4447" s="30">
        <f t="shared" si="82"/>
        <v>2755.5616666666665</v>
      </c>
    </row>
    <row r="4448" spans="1:7" hidden="1" x14ac:dyDescent="0.25">
      <c r="A4448" s="28">
        <v>43862</v>
      </c>
      <c r="B4448" s="27" t="s">
        <v>200</v>
      </c>
      <c r="C4448" s="27" t="s">
        <v>56</v>
      </c>
      <c r="D4448" s="27" t="s">
        <v>6</v>
      </c>
      <c r="E4448" s="27" t="s">
        <v>38</v>
      </c>
      <c r="F4448" s="29"/>
      <c r="G4448" s="30">
        <f t="shared" si="82"/>
        <v>2755.5616666666665</v>
      </c>
    </row>
    <row r="4449" spans="1:7" hidden="1" x14ac:dyDescent="0.25">
      <c r="A4449" s="28">
        <v>43862</v>
      </c>
      <c r="B4449" s="27" t="s">
        <v>200</v>
      </c>
      <c r="C4449" s="27" t="s">
        <v>56</v>
      </c>
      <c r="D4449" s="27" t="s">
        <v>6</v>
      </c>
      <c r="E4449" s="27" t="s">
        <v>23</v>
      </c>
      <c r="F4449" s="29"/>
      <c r="G4449" s="30">
        <f t="shared" si="82"/>
        <v>2755.5616666666665</v>
      </c>
    </row>
    <row r="4450" spans="1:7" hidden="1" x14ac:dyDescent="0.25">
      <c r="A4450" s="28">
        <v>43862</v>
      </c>
      <c r="B4450" s="27" t="s">
        <v>200</v>
      </c>
      <c r="C4450" s="27" t="s">
        <v>182</v>
      </c>
      <c r="D4450" s="27" t="s">
        <v>7</v>
      </c>
      <c r="E4450" s="27" t="s">
        <v>8</v>
      </c>
      <c r="F4450" s="29"/>
      <c r="G4450" s="30">
        <f t="shared" ref="G4450:G4468" si="83">3594.83/19</f>
        <v>189.2015789473684</v>
      </c>
    </row>
    <row r="4451" spans="1:7" hidden="1" x14ac:dyDescent="0.25">
      <c r="A4451" s="28">
        <v>43862</v>
      </c>
      <c r="B4451" s="27" t="s">
        <v>200</v>
      </c>
      <c r="C4451" s="27" t="s">
        <v>182</v>
      </c>
      <c r="D4451" s="27" t="s">
        <v>7</v>
      </c>
      <c r="E4451" s="27" t="s">
        <v>9</v>
      </c>
      <c r="F4451" s="29"/>
      <c r="G4451" s="30">
        <f t="shared" si="83"/>
        <v>189.2015789473684</v>
      </c>
    </row>
    <row r="4452" spans="1:7" hidden="1" x14ac:dyDescent="0.25">
      <c r="A4452" s="28">
        <v>43862</v>
      </c>
      <c r="B4452" s="27" t="s">
        <v>200</v>
      </c>
      <c r="C4452" s="27" t="s">
        <v>182</v>
      </c>
      <c r="D4452" s="27" t="s">
        <v>7</v>
      </c>
      <c r="E4452" s="27" t="s">
        <v>22</v>
      </c>
      <c r="F4452" s="29"/>
      <c r="G4452" s="30">
        <f t="shared" si="83"/>
        <v>189.2015789473684</v>
      </c>
    </row>
    <row r="4453" spans="1:7" hidden="1" x14ac:dyDescent="0.25">
      <c r="A4453" s="28">
        <v>43862</v>
      </c>
      <c r="B4453" s="27" t="s">
        <v>200</v>
      </c>
      <c r="C4453" s="27" t="s">
        <v>182</v>
      </c>
      <c r="D4453" s="27" t="s">
        <v>7</v>
      </c>
      <c r="E4453" s="27" t="s">
        <v>64</v>
      </c>
      <c r="F4453" s="29"/>
      <c r="G4453" s="30">
        <f t="shared" si="83"/>
        <v>189.2015789473684</v>
      </c>
    </row>
    <row r="4454" spans="1:7" hidden="1" x14ac:dyDescent="0.25">
      <c r="A4454" s="28">
        <v>43862</v>
      </c>
      <c r="B4454" s="27" t="s">
        <v>200</v>
      </c>
      <c r="C4454" s="27" t="s">
        <v>182</v>
      </c>
      <c r="D4454" s="27" t="s">
        <v>7</v>
      </c>
      <c r="E4454" s="27" t="s">
        <v>21</v>
      </c>
      <c r="F4454" s="29"/>
      <c r="G4454" s="30">
        <f t="shared" si="83"/>
        <v>189.2015789473684</v>
      </c>
    </row>
    <row r="4455" spans="1:7" hidden="1" x14ac:dyDescent="0.25">
      <c r="A4455" s="28">
        <v>43862</v>
      </c>
      <c r="B4455" s="27" t="s">
        <v>200</v>
      </c>
      <c r="C4455" s="27" t="s">
        <v>182</v>
      </c>
      <c r="D4455" s="27" t="s">
        <v>7</v>
      </c>
      <c r="E4455" s="27" t="s">
        <v>10</v>
      </c>
      <c r="F4455" s="29"/>
      <c r="G4455" s="30">
        <f t="shared" si="83"/>
        <v>189.2015789473684</v>
      </c>
    </row>
    <row r="4456" spans="1:7" hidden="1" x14ac:dyDescent="0.25">
      <c r="A4456" s="28">
        <v>43862</v>
      </c>
      <c r="B4456" s="27" t="s">
        <v>200</v>
      </c>
      <c r="C4456" s="27" t="s">
        <v>182</v>
      </c>
      <c r="D4456" s="27" t="s">
        <v>7</v>
      </c>
      <c r="E4456" s="27" t="s">
        <v>11</v>
      </c>
      <c r="F4456" s="29"/>
      <c r="G4456" s="30">
        <f t="shared" si="83"/>
        <v>189.2015789473684</v>
      </c>
    </row>
    <row r="4457" spans="1:7" hidden="1" x14ac:dyDescent="0.25">
      <c r="A4457" s="28">
        <v>43862</v>
      </c>
      <c r="B4457" s="27" t="s">
        <v>200</v>
      </c>
      <c r="C4457" s="27" t="s">
        <v>182</v>
      </c>
      <c r="D4457" s="27" t="s">
        <v>7</v>
      </c>
      <c r="E4457" s="27" t="s">
        <v>12</v>
      </c>
      <c r="F4457" s="29"/>
      <c r="G4457" s="30">
        <f t="shared" si="83"/>
        <v>189.2015789473684</v>
      </c>
    </row>
    <row r="4458" spans="1:7" hidden="1" x14ac:dyDescent="0.25">
      <c r="A4458" s="28">
        <v>43862</v>
      </c>
      <c r="B4458" s="27" t="s">
        <v>200</v>
      </c>
      <c r="C4458" s="27" t="s">
        <v>182</v>
      </c>
      <c r="D4458" s="27" t="s">
        <v>7</v>
      </c>
      <c r="E4458" s="27" t="s">
        <v>13</v>
      </c>
      <c r="F4458" s="29"/>
      <c r="G4458" s="30">
        <f t="shared" si="83"/>
        <v>189.2015789473684</v>
      </c>
    </row>
    <row r="4459" spans="1:7" hidden="1" x14ac:dyDescent="0.25">
      <c r="A4459" s="28">
        <v>43862</v>
      </c>
      <c r="B4459" s="27" t="s">
        <v>200</v>
      </c>
      <c r="C4459" s="27" t="s">
        <v>182</v>
      </c>
      <c r="D4459" s="27" t="s">
        <v>7</v>
      </c>
      <c r="E4459" s="27" t="s">
        <v>14</v>
      </c>
      <c r="F4459" s="29"/>
      <c r="G4459" s="30">
        <f t="shared" si="83"/>
        <v>189.2015789473684</v>
      </c>
    </row>
    <row r="4460" spans="1:7" hidden="1" x14ac:dyDescent="0.25">
      <c r="A4460" s="28">
        <v>43862</v>
      </c>
      <c r="B4460" s="27" t="s">
        <v>200</v>
      </c>
      <c r="C4460" s="27" t="s">
        <v>182</v>
      </c>
      <c r="D4460" s="27" t="s">
        <v>7</v>
      </c>
      <c r="E4460" s="27" t="s">
        <v>15</v>
      </c>
      <c r="F4460" s="29"/>
      <c r="G4460" s="30">
        <f t="shared" si="83"/>
        <v>189.2015789473684</v>
      </c>
    </row>
    <row r="4461" spans="1:7" hidden="1" x14ac:dyDescent="0.25">
      <c r="A4461" s="28">
        <v>43862</v>
      </c>
      <c r="B4461" s="27" t="s">
        <v>200</v>
      </c>
      <c r="C4461" s="27" t="s">
        <v>182</v>
      </c>
      <c r="D4461" s="27" t="s">
        <v>7</v>
      </c>
      <c r="E4461" s="27" t="s">
        <v>16</v>
      </c>
      <c r="F4461" s="29"/>
      <c r="G4461" s="30">
        <f t="shared" si="83"/>
        <v>189.2015789473684</v>
      </c>
    </row>
    <row r="4462" spans="1:7" hidden="1" x14ac:dyDescent="0.25">
      <c r="A4462" s="28">
        <v>43862</v>
      </c>
      <c r="B4462" s="27" t="s">
        <v>200</v>
      </c>
      <c r="C4462" s="27" t="s">
        <v>182</v>
      </c>
      <c r="D4462" s="27" t="s">
        <v>7</v>
      </c>
      <c r="E4462" s="27" t="s">
        <v>17</v>
      </c>
      <c r="F4462" s="29"/>
      <c r="G4462" s="30">
        <f t="shared" si="83"/>
        <v>189.2015789473684</v>
      </c>
    </row>
    <row r="4463" spans="1:7" hidden="1" x14ac:dyDescent="0.25">
      <c r="A4463" s="28">
        <v>43862</v>
      </c>
      <c r="B4463" s="27" t="s">
        <v>200</v>
      </c>
      <c r="C4463" s="27" t="s">
        <v>182</v>
      </c>
      <c r="D4463" s="27" t="s">
        <v>7</v>
      </c>
      <c r="E4463" s="27" t="s">
        <v>18</v>
      </c>
      <c r="F4463" s="29"/>
      <c r="G4463" s="30">
        <f t="shared" si="83"/>
        <v>189.2015789473684</v>
      </c>
    </row>
    <row r="4464" spans="1:7" hidden="1" x14ac:dyDescent="0.25">
      <c r="A4464" s="28">
        <v>43862</v>
      </c>
      <c r="B4464" s="27" t="s">
        <v>200</v>
      </c>
      <c r="C4464" s="27" t="s">
        <v>182</v>
      </c>
      <c r="D4464" s="27" t="s">
        <v>7</v>
      </c>
      <c r="E4464" s="27" t="s">
        <v>19</v>
      </c>
      <c r="F4464" s="29"/>
      <c r="G4464" s="30">
        <f t="shared" si="83"/>
        <v>189.2015789473684</v>
      </c>
    </row>
    <row r="4465" spans="1:7" hidden="1" x14ac:dyDescent="0.25">
      <c r="A4465" s="28">
        <v>43862</v>
      </c>
      <c r="B4465" s="27" t="s">
        <v>200</v>
      </c>
      <c r="C4465" s="27" t="s">
        <v>182</v>
      </c>
      <c r="D4465" s="27" t="s">
        <v>7</v>
      </c>
      <c r="E4465" s="27" t="s">
        <v>20</v>
      </c>
      <c r="F4465" s="29"/>
      <c r="G4465" s="30">
        <f t="shared" si="83"/>
        <v>189.2015789473684</v>
      </c>
    </row>
    <row r="4466" spans="1:7" hidden="1" x14ac:dyDescent="0.25">
      <c r="A4466" s="28">
        <v>43862</v>
      </c>
      <c r="B4466" s="27" t="s">
        <v>200</v>
      </c>
      <c r="C4466" s="27" t="s">
        <v>182</v>
      </c>
      <c r="D4466" s="27" t="s">
        <v>7</v>
      </c>
      <c r="E4466" s="27" t="s">
        <v>38</v>
      </c>
      <c r="F4466" s="29"/>
      <c r="G4466" s="30">
        <f t="shared" si="83"/>
        <v>189.2015789473684</v>
      </c>
    </row>
    <row r="4467" spans="1:7" hidden="1" x14ac:dyDescent="0.25">
      <c r="A4467" s="28">
        <v>43862</v>
      </c>
      <c r="B4467" s="27" t="s">
        <v>200</v>
      </c>
      <c r="C4467" s="27" t="s">
        <v>182</v>
      </c>
      <c r="D4467" s="27" t="s">
        <v>7</v>
      </c>
      <c r="E4467" s="27" t="s">
        <v>23</v>
      </c>
      <c r="F4467" s="29"/>
      <c r="G4467" s="30">
        <f t="shared" si="83"/>
        <v>189.2015789473684</v>
      </c>
    </row>
    <row r="4468" spans="1:7" hidden="1" x14ac:dyDescent="0.25">
      <c r="A4468" s="28">
        <v>43862</v>
      </c>
      <c r="B4468" s="27" t="s">
        <v>200</v>
      </c>
      <c r="C4468" s="27" t="s">
        <v>182</v>
      </c>
      <c r="D4468" s="27" t="s">
        <v>7</v>
      </c>
      <c r="E4468" s="27" t="s">
        <v>37</v>
      </c>
      <c r="F4468" s="29"/>
      <c r="G4468" s="30">
        <f t="shared" si="83"/>
        <v>189.2015789473684</v>
      </c>
    </row>
    <row r="4469" spans="1:7" hidden="1" x14ac:dyDescent="0.25">
      <c r="A4469" s="28">
        <v>43862</v>
      </c>
      <c r="B4469" s="27" t="s">
        <v>35</v>
      </c>
      <c r="C4469" s="27" t="s">
        <v>50</v>
      </c>
      <c r="D4469" s="27" t="s">
        <v>6</v>
      </c>
      <c r="E4469" s="27" t="s">
        <v>8</v>
      </c>
      <c r="F4469" s="29"/>
      <c r="G4469" s="30">
        <v>400.01777777777778</v>
      </c>
    </row>
    <row r="4470" spans="1:7" hidden="1" x14ac:dyDescent="0.25">
      <c r="A4470" s="28">
        <v>43862</v>
      </c>
      <c r="B4470" s="27" t="s">
        <v>35</v>
      </c>
      <c r="C4470" s="27" t="s">
        <v>50</v>
      </c>
      <c r="D4470" s="27" t="s">
        <v>6</v>
      </c>
      <c r="E4470" s="27" t="s">
        <v>9</v>
      </c>
      <c r="F4470" s="29"/>
      <c r="G4470" s="30">
        <v>400.01777777777778</v>
      </c>
    </row>
    <row r="4471" spans="1:7" hidden="1" x14ac:dyDescent="0.25">
      <c r="A4471" s="28">
        <v>43862</v>
      </c>
      <c r="B4471" s="27" t="s">
        <v>35</v>
      </c>
      <c r="C4471" s="27" t="s">
        <v>50</v>
      </c>
      <c r="D4471" s="27" t="s">
        <v>6</v>
      </c>
      <c r="E4471" s="27" t="s">
        <v>22</v>
      </c>
      <c r="F4471" s="29"/>
      <c r="G4471" s="30">
        <v>400.01777777777778</v>
      </c>
    </row>
    <row r="4472" spans="1:7" hidden="1" x14ac:dyDescent="0.25">
      <c r="A4472" s="28">
        <v>43862</v>
      </c>
      <c r="B4472" s="27" t="s">
        <v>35</v>
      </c>
      <c r="C4472" s="27" t="s">
        <v>50</v>
      </c>
      <c r="D4472" s="27" t="s">
        <v>6</v>
      </c>
      <c r="E4472" s="27" t="s">
        <v>64</v>
      </c>
      <c r="F4472" s="29"/>
      <c r="G4472" s="30">
        <v>400.01777777777778</v>
      </c>
    </row>
    <row r="4473" spans="1:7" hidden="1" x14ac:dyDescent="0.25">
      <c r="A4473" s="28">
        <v>43862</v>
      </c>
      <c r="B4473" s="27" t="s">
        <v>35</v>
      </c>
      <c r="C4473" s="27" t="s">
        <v>50</v>
      </c>
      <c r="D4473" s="27" t="s">
        <v>6</v>
      </c>
      <c r="E4473" s="27" t="s">
        <v>21</v>
      </c>
      <c r="F4473" s="29"/>
      <c r="G4473" s="30">
        <v>400.01777777777778</v>
      </c>
    </row>
    <row r="4474" spans="1:7" hidden="1" x14ac:dyDescent="0.25">
      <c r="A4474" s="28">
        <v>43862</v>
      </c>
      <c r="B4474" s="27" t="s">
        <v>35</v>
      </c>
      <c r="C4474" s="27" t="s">
        <v>50</v>
      </c>
      <c r="D4474" s="27" t="s">
        <v>6</v>
      </c>
      <c r="E4474" s="27" t="s">
        <v>10</v>
      </c>
      <c r="F4474" s="29"/>
      <c r="G4474" s="30">
        <v>400.01777777777778</v>
      </c>
    </row>
    <row r="4475" spans="1:7" hidden="1" x14ac:dyDescent="0.25">
      <c r="A4475" s="28">
        <v>43862</v>
      </c>
      <c r="B4475" s="27" t="s">
        <v>35</v>
      </c>
      <c r="C4475" s="27" t="s">
        <v>50</v>
      </c>
      <c r="D4475" s="27" t="s">
        <v>6</v>
      </c>
      <c r="E4475" s="27" t="s">
        <v>11</v>
      </c>
      <c r="F4475" s="29"/>
      <c r="G4475" s="30">
        <v>400.01777777777778</v>
      </c>
    </row>
    <row r="4476" spans="1:7" hidden="1" x14ac:dyDescent="0.25">
      <c r="A4476" s="28">
        <v>43862</v>
      </c>
      <c r="B4476" s="27" t="s">
        <v>35</v>
      </c>
      <c r="C4476" s="27" t="s">
        <v>50</v>
      </c>
      <c r="D4476" s="27" t="s">
        <v>6</v>
      </c>
      <c r="E4476" s="27" t="s">
        <v>12</v>
      </c>
      <c r="F4476" s="29"/>
      <c r="G4476" s="30">
        <v>400.01777777777778</v>
      </c>
    </row>
    <row r="4477" spans="1:7" hidden="1" x14ac:dyDescent="0.25">
      <c r="A4477" s="28">
        <v>43862</v>
      </c>
      <c r="B4477" s="27" t="s">
        <v>35</v>
      </c>
      <c r="C4477" s="27" t="s">
        <v>50</v>
      </c>
      <c r="D4477" s="27" t="s">
        <v>6</v>
      </c>
      <c r="E4477" s="27" t="s">
        <v>13</v>
      </c>
      <c r="F4477" s="29"/>
      <c r="G4477" s="30">
        <v>400.01777777777778</v>
      </c>
    </row>
    <row r="4478" spans="1:7" hidden="1" x14ac:dyDescent="0.25">
      <c r="A4478" s="28">
        <v>43862</v>
      </c>
      <c r="B4478" s="27" t="s">
        <v>35</v>
      </c>
      <c r="C4478" s="27" t="s">
        <v>50</v>
      </c>
      <c r="D4478" s="27" t="s">
        <v>6</v>
      </c>
      <c r="E4478" s="27" t="s">
        <v>14</v>
      </c>
      <c r="F4478" s="29"/>
      <c r="G4478" s="30">
        <v>400.01777777777778</v>
      </c>
    </row>
    <row r="4479" spans="1:7" hidden="1" x14ac:dyDescent="0.25">
      <c r="A4479" s="28">
        <v>43862</v>
      </c>
      <c r="B4479" s="27" t="s">
        <v>35</v>
      </c>
      <c r="C4479" s="27" t="s">
        <v>50</v>
      </c>
      <c r="D4479" s="27" t="s">
        <v>6</v>
      </c>
      <c r="E4479" s="27" t="s">
        <v>15</v>
      </c>
      <c r="F4479" s="29"/>
      <c r="G4479" s="30">
        <v>400.01777777777778</v>
      </c>
    </row>
    <row r="4480" spans="1:7" hidden="1" x14ac:dyDescent="0.25">
      <c r="A4480" s="28">
        <v>43862</v>
      </c>
      <c r="B4480" s="27" t="s">
        <v>35</v>
      </c>
      <c r="C4480" s="27" t="s">
        <v>50</v>
      </c>
      <c r="D4480" s="27" t="s">
        <v>6</v>
      </c>
      <c r="E4480" s="27" t="s">
        <v>16</v>
      </c>
      <c r="F4480" s="29"/>
      <c r="G4480" s="30">
        <v>400.01777777777778</v>
      </c>
    </row>
    <row r="4481" spans="1:7" hidden="1" x14ac:dyDescent="0.25">
      <c r="A4481" s="28">
        <v>43862</v>
      </c>
      <c r="B4481" s="27" t="s">
        <v>35</v>
      </c>
      <c r="C4481" s="27" t="s">
        <v>50</v>
      </c>
      <c r="D4481" s="27" t="s">
        <v>6</v>
      </c>
      <c r="E4481" s="27" t="s">
        <v>17</v>
      </c>
      <c r="F4481" s="29"/>
      <c r="G4481" s="30">
        <v>400.01777777777778</v>
      </c>
    </row>
    <row r="4482" spans="1:7" hidden="1" x14ac:dyDescent="0.25">
      <c r="A4482" s="28">
        <v>43862</v>
      </c>
      <c r="B4482" s="27" t="s">
        <v>35</v>
      </c>
      <c r="C4482" s="27" t="s">
        <v>50</v>
      </c>
      <c r="D4482" s="27" t="s">
        <v>6</v>
      </c>
      <c r="E4482" s="27" t="s">
        <v>18</v>
      </c>
      <c r="F4482" s="29"/>
      <c r="G4482" s="30">
        <v>400.01777777777778</v>
      </c>
    </row>
    <row r="4483" spans="1:7" hidden="1" x14ac:dyDescent="0.25">
      <c r="A4483" s="28">
        <v>43862</v>
      </c>
      <c r="B4483" s="27" t="s">
        <v>35</v>
      </c>
      <c r="C4483" s="27" t="s">
        <v>50</v>
      </c>
      <c r="D4483" s="27" t="s">
        <v>6</v>
      </c>
      <c r="E4483" s="27" t="s">
        <v>19</v>
      </c>
      <c r="F4483" s="29"/>
      <c r="G4483" s="30">
        <v>400.01777777777778</v>
      </c>
    </row>
    <row r="4484" spans="1:7" hidden="1" x14ac:dyDescent="0.25">
      <c r="A4484" s="28">
        <v>43862</v>
      </c>
      <c r="B4484" s="27" t="s">
        <v>35</v>
      </c>
      <c r="C4484" s="27" t="s">
        <v>50</v>
      </c>
      <c r="D4484" s="27" t="s">
        <v>6</v>
      </c>
      <c r="E4484" s="27" t="s">
        <v>20</v>
      </c>
      <c r="F4484" s="29"/>
      <c r="G4484" s="30">
        <v>400.01777777777778</v>
      </c>
    </row>
    <row r="4485" spans="1:7" hidden="1" x14ac:dyDescent="0.25">
      <c r="A4485" s="28">
        <v>43862</v>
      </c>
      <c r="B4485" s="27" t="s">
        <v>35</v>
      </c>
      <c r="C4485" s="27" t="s">
        <v>50</v>
      </c>
      <c r="D4485" s="27" t="s">
        <v>6</v>
      </c>
      <c r="E4485" s="27" t="s">
        <v>38</v>
      </c>
      <c r="F4485" s="29"/>
      <c r="G4485" s="30">
        <v>400.01777777777778</v>
      </c>
    </row>
    <row r="4486" spans="1:7" hidden="1" x14ac:dyDescent="0.25">
      <c r="A4486" s="28">
        <v>43862</v>
      </c>
      <c r="B4486" s="27" t="s">
        <v>35</v>
      </c>
      <c r="C4486" s="27" t="s">
        <v>50</v>
      </c>
      <c r="D4486" s="27" t="s">
        <v>6</v>
      </c>
      <c r="E4486" s="27" t="s">
        <v>23</v>
      </c>
      <c r="F4486" s="29"/>
      <c r="G4486" s="30">
        <v>400.01777777777778</v>
      </c>
    </row>
    <row r="4487" spans="1:7" hidden="1" x14ac:dyDescent="0.25">
      <c r="A4487" s="28">
        <v>43862</v>
      </c>
      <c r="B4487" s="27" t="s">
        <v>34</v>
      </c>
      <c r="C4487" s="27" t="s">
        <v>50</v>
      </c>
      <c r="D4487" s="27" t="s">
        <v>6</v>
      </c>
      <c r="E4487" s="27" t="s">
        <v>23</v>
      </c>
      <c r="F4487" s="29"/>
      <c r="G4487" s="30">
        <v>1219.02</v>
      </c>
    </row>
    <row r="4488" spans="1:7" hidden="1" x14ac:dyDescent="0.25">
      <c r="A4488" s="28">
        <v>43891</v>
      </c>
      <c r="B4488" s="27" t="s">
        <v>33</v>
      </c>
      <c r="C4488" s="27" t="s">
        <v>50</v>
      </c>
      <c r="D4488" s="27" t="s">
        <v>7</v>
      </c>
      <c r="E4488" s="27" t="s">
        <v>8</v>
      </c>
      <c r="F4488" s="29"/>
      <c r="G4488" s="30">
        <v>2114.4555555555553</v>
      </c>
    </row>
    <row r="4489" spans="1:7" hidden="1" x14ac:dyDescent="0.25">
      <c r="A4489" s="28">
        <v>43891</v>
      </c>
      <c r="B4489" s="27" t="s">
        <v>33</v>
      </c>
      <c r="C4489" s="27" t="s">
        <v>50</v>
      </c>
      <c r="D4489" s="27" t="s">
        <v>7</v>
      </c>
      <c r="E4489" s="27" t="s">
        <v>9</v>
      </c>
      <c r="F4489" s="29"/>
      <c r="G4489" s="30">
        <v>2114.4555555555553</v>
      </c>
    </row>
    <row r="4490" spans="1:7" hidden="1" x14ac:dyDescent="0.25">
      <c r="A4490" s="28">
        <v>43891</v>
      </c>
      <c r="B4490" s="27" t="s">
        <v>33</v>
      </c>
      <c r="C4490" s="27" t="s">
        <v>50</v>
      </c>
      <c r="D4490" s="27" t="s">
        <v>7</v>
      </c>
      <c r="E4490" s="27" t="s">
        <v>22</v>
      </c>
      <c r="F4490" s="29"/>
      <c r="G4490" s="30">
        <v>2114.4555555555553</v>
      </c>
    </row>
    <row r="4491" spans="1:7" hidden="1" x14ac:dyDescent="0.25">
      <c r="A4491" s="28">
        <v>43891</v>
      </c>
      <c r="B4491" s="27" t="s">
        <v>33</v>
      </c>
      <c r="C4491" s="27" t="s">
        <v>50</v>
      </c>
      <c r="D4491" s="27" t="s">
        <v>7</v>
      </c>
      <c r="E4491" s="27" t="s">
        <v>64</v>
      </c>
      <c r="F4491" s="29"/>
      <c r="G4491" s="30">
        <v>2114.4555555555553</v>
      </c>
    </row>
    <row r="4492" spans="1:7" hidden="1" x14ac:dyDescent="0.25">
      <c r="A4492" s="28">
        <v>43891</v>
      </c>
      <c r="B4492" s="27" t="s">
        <v>33</v>
      </c>
      <c r="C4492" s="27" t="s">
        <v>50</v>
      </c>
      <c r="D4492" s="27" t="s">
        <v>7</v>
      </c>
      <c r="E4492" s="27" t="s">
        <v>21</v>
      </c>
      <c r="F4492" s="29"/>
      <c r="G4492" s="30">
        <v>2114.4555555555553</v>
      </c>
    </row>
    <row r="4493" spans="1:7" hidden="1" x14ac:dyDescent="0.25">
      <c r="A4493" s="28">
        <v>43891</v>
      </c>
      <c r="B4493" s="27" t="s">
        <v>33</v>
      </c>
      <c r="C4493" s="27" t="s">
        <v>50</v>
      </c>
      <c r="D4493" s="27" t="s">
        <v>7</v>
      </c>
      <c r="E4493" s="27" t="s">
        <v>10</v>
      </c>
      <c r="F4493" s="29"/>
      <c r="G4493" s="30">
        <v>2114.4555555555553</v>
      </c>
    </row>
    <row r="4494" spans="1:7" hidden="1" x14ac:dyDescent="0.25">
      <c r="A4494" s="28">
        <v>43891</v>
      </c>
      <c r="B4494" s="27" t="s">
        <v>33</v>
      </c>
      <c r="C4494" s="27" t="s">
        <v>50</v>
      </c>
      <c r="D4494" s="27" t="s">
        <v>7</v>
      </c>
      <c r="E4494" s="27" t="s">
        <v>11</v>
      </c>
      <c r="F4494" s="29"/>
      <c r="G4494" s="30">
        <v>2114.4555555555553</v>
      </c>
    </row>
    <row r="4495" spans="1:7" hidden="1" x14ac:dyDescent="0.25">
      <c r="A4495" s="28">
        <v>43891</v>
      </c>
      <c r="B4495" s="27" t="s">
        <v>33</v>
      </c>
      <c r="C4495" s="27" t="s">
        <v>50</v>
      </c>
      <c r="D4495" s="27" t="s">
        <v>7</v>
      </c>
      <c r="E4495" s="27" t="s">
        <v>12</v>
      </c>
      <c r="F4495" s="29"/>
      <c r="G4495" s="30">
        <v>2114.4555555555553</v>
      </c>
    </row>
    <row r="4496" spans="1:7" hidden="1" x14ac:dyDescent="0.25">
      <c r="A4496" s="28">
        <v>43891</v>
      </c>
      <c r="B4496" s="27" t="s">
        <v>33</v>
      </c>
      <c r="C4496" s="27" t="s">
        <v>50</v>
      </c>
      <c r="D4496" s="27" t="s">
        <v>7</v>
      </c>
      <c r="E4496" s="27" t="s">
        <v>13</v>
      </c>
      <c r="F4496" s="29"/>
      <c r="G4496" s="30">
        <v>2114.4555555555553</v>
      </c>
    </row>
    <row r="4497" spans="1:7" hidden="1" x14ac:dyDescent="0.25">
      <c r="A4497" s="28">
        <v>43891</v>
      </c>
      <c r="B4497" s="27" t="s">
        <v>33</v>
      </c>
      <c r="C4497" s="27" t="s">
        <v>50</v>
      </c>
      <c r="D4497" s="27" t="s">
        <v>7</v>
      </c>
      <c r="E4497" s="27" t="s">
        <v>14</v>
      </c>
      <c r="F4497" s="29"/>
      <c r="G4497" s="30">
        <v>2114.4555555555553</v>
      </c>
    </row>
    <row r="4498" spans="1:7" hidden="1" x14ac:dyDescent="0.25">
      <c r="A4498" s="28">
        <v>43891</v>
      </c>
      <c r="B4498" s="27" t="s">
        <v>33</v>
      </c>
      <c r="C4498" s="27" t="s">
        <v>50</v>
      </c>
      <c r="D4498" s="27" t="s">
        <v>7</v>
      </c>
      <c r="E4498" s="27" t="s">
        <v>15</v>
      </c>
      <c r="F4498" s="29"/>
      <c r="G4498" s="30">
        <v>2114.4555555555553</v>
      </c>
    </row>
    <row r="4499" spans="1:7" hidden="1" x14ac:dyDescent="0.25">
      <c r="A4499" s="28">
        <v>43891</v>
      </c>
      <c r="B4499" s="27" t="s">
        <v>33</v>
      </c>
      <c r="C4499" s="27" t="s">
        <v>50</v>
      </c>
      <c r="D4499" s="27" t="s">
        <v>7</v>
      </c>
      <c r="E4499" s="27" t="s">
        <v>16</v>
      </c>
      <c r="F4499" s="29"/>
      <c r="G4499" s="30">
        <v>2114.4555555555553</v>
      </c>
    </row>
    <row r="4500" spans="1:7" hidden="1" x14ac:dyDescent="0.25">
      <c r="A4500" s="28">
        <v>43891</v>
      </c>
      <c r="B4500" s="27" t="s">
        <v>33</v>
      </c>
      <c r="C4500" s="27" t="s">
        <v>50</v>
      </c>
      <c r="D4500" s="27" t="s">
        <v>7</v>
      </c>
      <c r="E4500" s="27" t="s">
        <v>17</v>
      </c>
      <c r="F4500" s="29"/>
      <c r="G4500" s="30">
        <v>2114.4555555555553</v>
      </c>
    </row>
    <row r="4501" spans="1:7" hidden="1" x14ac:dyDescent="0.25">
      <c r="A4501" s="28">
        <v>43891</v>
      </c>
      <c r="B4501" s="27" t="s">
        <v>33</v>
      </c>
      <c r="C4501" s="27" t="s">
        <v>50</v>
      </c>
      <c r="D4501" s="27" t="s">
        <v>7</v>
      </c>
      <c r="E4501" s="27" t="s">
        <v>18</v>
      </c>
      <c r="F4501" s="29"/>
      <c r="G4501" s="30">
        <v>2114.4555555555553</v>
      </c>
    </row>
    <row r="4502" spans="1:7" hidden="1" x14ac:dyDescent="0.25">
      <c r="A4502" s="28">
        <v>43891</v>
      </c>
      <c r="B4502" s="27" t="s">
        <v>33</v>
      </c>
      <c r="C4502" s="27" t="s">
        <v>50</v>
      </c>
      <c r="D4502" s="27" t="s">
        <v>7</v>
      </c>
      <c r="E4502" s="27" t="s">
        <v>19</v>
      </c>
      <c r="F4502" s="29"/>
      <c r="G4502" s="30">
        <v>2114.4555555555553</v>
      </c>
    </row>
    <row r="4503" spans="1:7" hidden="1" x14ac:dyDescent="0.25">
      <c r="A4503" s="28">
        <v>43891</v>
      </c>
      <c r="B4503" s="27" t="s">
        <v>33</v>
      </c>
      <c r="C4503" s="27" t="s">
        <v>50</v>
      </c>
      <c r="D4503" s="27" t="s">
        <v>7</v>
      </c>
      <c r="E4503" s="27" t="s">
        <v>20</v>
      </c>
      <c r="F4503" s="29"/>
      <c r="G4503" s="30">
        <v>2114.4555555555553</v>
      </c>
    </row>
    <row r="4504" spans="1:7" hidden="1" x14ac:dyDescent="0.25">
      <c r="A4504" s="28">
        <v>43891</v>
      </c>
      <c r="B4504" s="27" t="s">
        <v>33</v>
      </c>
      <c r="C4504" s="27" t="s">
        <v>50</v>
      </c>
      <c r="D4504" s="27" t="s">
        <v>7</v>
      </c>
      <c r="E4504" s="27" t="s">
        <v>38</v>
      </c>
      <c r="F4504" s="29"/>
      <c r="G4504" s="30">
        <v>2114.4555555555553</v>
      </c>
    </row>
    <row r="4505" spans="1:7" hidden="1" x14ac:dyDescent="0.25">
      <c r="A4505" s="28">
        <v>43891</v>
      </c>
      <c r="B4505" s="27" t="s">
        <v>33</v>
      </c>
      <c r="C4505" s="27" t="s">
        <v>50</v>
      </c>
      <c r="D4505" s="27" t="s">
        <v>7</v>
      </c>
      <c r="E4505" s="27" t="s">
        <v>23</v>
      </c>
      <c r="F4505" s="29"/>
      <c r="G4505" s="30">
        <v>2114.4555555555553</v>
      </c>
    </row>
    <row r="4506" spans="1:7" hidden="1" x14ac:dyDescent="0.25">
      <c r="A4506" s="28">
        <v>43891</v>
      </c>
      <c r="B4506" s="27" t="s">
        <v>4</v>
      </c>
      <c r="C4506" s="27" t="s">
        <v>50</v>
      </c>
      <c r="D4506" s="27" t="s">
        <v>7</v>
      </c>
      <c r="E4506" s="27" t="s">
        <v>8</v>
      </c>
      <c r="F4506" s="29"/>
      <c r="G4506" s="30">
        <v>2972.62</v>
      </c>
    </row>
    <row r="4507" spans="1:7" hidden="1" x14ac:dyDescent="0.25">
      <c r="A4507" s="28">
        <v>43891</v>
      </c>
      <c r="B4507" s="27" t="s">
        <v>4</v>
      </c>
      <c r="C4507" s="27" t="s">
        <v>50</v>
      </c>
      <c r="D4507" s="27" t="s">
        <v>7</v>
      </c>
      <c r="E4507" s="27" t="s">
        <v>9</v>
      </c>
      <c r="F4507" s="29"/>
      <c r="G4507" s="30">
        <v>2433.65</v>
      </c>
    </row>
    <row r="4508" spans="1:7" hidden="1" x14ac:dyDescent="0.25">
      <c r="A4508" s="28">
        <v>43891</v>
      </c>
      <c r="B4508" s="27" t="s">
        <v>4</v>
      </c>
      <c r="C4508" s="27" t="s">
        <v>50</v>
      </c>
      <c r="D4508" s="27" t="s">
        <v>7</v>
      </c>
      <c r="E4508" s="27" t="s">
        <v>22</v>
      </c>
      <c r="F4508" s="29"/>
      <c r="G4508" s="30">
        <v>2303.3000000000002</v>
      </c>
    </row>
    <row r="4509" spans="1:7" hidden="1" x14ac:dyDescent="0.25">
      <c r="A4509" s="28">
        <v>43891</v>
      </c>
      <c r="B4509" s="27" t="s">
        <v>4</v>
      </c>
      <c r="C4509" s="27" t="s">
        <v>50</v>
      </c>
      <c r="D4509" s="27" t="s">
        <v>7</v>
      </c>
      <c r="E4509" s="27" t="s">
        <v>64</v>
      </c>
      <c r="F4509" s="29"/>
      <c r="G4509" s="30">
        <v>4030.67</v>
      </c>
    </row>
    <row r="4510" spans="1:7" hidden="1" x14ac:dyDescent="0.25">
      <c r="A4510" s="28">
        <v>43891</v>
      </c>
      <c r="B4510" s="27" t="s">
        <v>4</v>
      </c>
      <c r="C4510" s="27" t="s">
        <v>50</v>
      </c>
      <c r="D4510" s="27" t="s">
        <v>7</v>
      </c>
      <c r="E4510" s="27" t="s">
        <v>21</v>
      </c>
      <c r="F4510" s="29"/>
      <c r="G4510" s="30">
        <v>3965.98</v>
      </c>
    </row>
    <row r="4511" spans="1:7" hidden="1" x14ac:dyDescent="0.25">
      <c r="A4511" s="28">
        <v>43891</v>
      </c>
      <c r="B4511" s="27" t="s">
        <v>4</v>
      </c>
      <c r="C4511" s="27" t="s">
        <v>50</v>
      </c>
      <c r="D4511" s="27" t="s">
        <v>7</v>
      </c>
      <c r="E4511" s="27" t="s">
        <v>10</v>
      </c>
      <c r="F4511" s="29"/>
      <c r="G4511" s="30">
        <v>2844.89</v>
      </c>
    </row>
    <row r="4512" spans="1:7" hidden="1" x14ac:dyDescent="0.25">
      <c r="A4512" s="28">
        <v>43891</v>
      </c>
      <c r="B4512" s="27" t="s">
        <v>4</v>
      </c>
      <c r="C4512" s="27" t="s">
        <v>50</v>
      </c>
      <c r="D4512" s="27" t="s">
        <v>7</v>
      </c>
      <c r="E4512" s="27" t="s">
        <v>11</v>
      </c>
      <c r="F4512" s="29"/>
      <c r="G4512" s="30">
        <v>2432.96</v>
      </c>
    </row>
    <row r="4513" spans="1:7" hidden="1" x14ac:dyDescent="0.25">
      <c r="A4513" s="28">
        <v>43891</v>
      </c>
      <c r="B4513" s="27" t="s">
        <v>4</v>
      </c>
      <c r="C4513" s="27" t="s">
        <v>50</v>
      </c>
      <c r="D4513" s="27" t="s">
        <v>7</v>
      </c>
      <c r="E4513" s="27" t="s">
        <v>12</v>
      </c>
      <c r="F4513" s="29"/>
      <c r="G4513" s="30">
        <v>2305.4899999999998</v>
      </c>
    </row>
    <row r="4514" spans="1:7" hidden="1" x14ac:dyDescent="0.25">
      <c r="A4514" s="28">
        <v>43891</v>
      </c>
      <c r="B4514" s="27" t="s">
        <v>4</v>
      </c>
      <c r="C4514" s="27" t="s">
        <v>50</v>
      </c>
      <c r="D4514" s="27" t="s">
        <v>7</v>
      </c>
      <c r="E4514" s="27" t="s">
        <v>13</v>
      </c>
      <c r="F4514" s="29"/>
      <c r="G4514" s="30">
        <v>5486.48</v>
      </c>
    </row>
    <row r="4515" spans="1:7" hidden="1" x14ac:dyDescent="0.25">
      <c r="A4515" s="28">
        <v>43891</v>
      </c>
      <c r="B4515" s="27" t="s">
        <v>4</v>
      </c>
      <c r="C4515" s="27" t="s">
        <v>50</v>
      </c>
      <c r="D4515" s="27" t="s">
        <v>7</v>
      </c>
      <c r="E4515" s="27" t="s">
        <v>14</v>
      </c>
      <c r="F4515" s="29"/>
      <c r="G4515" s="30">
        <v>2267</v>
      </c>
    </row>
    <row r="4516" spans="1:7" hidden="1" x14ac:dyDescent="0.25">
      <c r="A4516" s="28">
        <v>43891</v>
      </c>
      <c r="B4516" s="27" t="s">
        <v>4</v>
      </c>
      <c r="C4516" s="27" t="s">
        <v>50</v>
      </c>
      <c r="D4516" s="27" t="s">
        <v>7</v>
      </c>
      <c r="E4516" s="27" t="s">
        <v>15</v>
      </c>
      <c r="F4516" s="29"/>
      <c r="G4516" s="30">
        <v>1903.8</v>
      </c>
    </row>
    <row r="4517" spans="1:7" hidden="1" x14ac:dyDescent="0.25">
      <c r="A4517" s="28">
        <v>43891</v>
      </c>
      <c r="B4517" s="27" t="s">
        <v>4</v>
      </c>
      <c r="C4517" s="27" t="s">
        <v>50</v>
      </c>
      <c r="D4517" s="27" t="s">
        <v>7</v>
      </c>
      <c r="E4517" s="27" t="s">
        <v>16</v>
      </c>
      <c r="F4517" s="29"/>
      <c r="G4517" s="30">
        <v>1882.57</v>
      </c>
    </row>
    <row r="4518" spans="1:7" hidden="1" x14ac:dyDescent="0.25">
      <c r="A4518" s="28">
        <v>43891</v>
      </c>
      <c r="B4518" s="27" t="s">
        <v>4</v>
      </c>
      <c r="C4518" s="27" t="s">
        <v>50</v>
      </c>
      <c r="D4518" s="27" t="s">
        <v>7</v>
      </c>
      <c r="E4518" s="27" t="s">
        <v>17</v>
      </c>
      <c r="F4518" s="29"/>
      <c r="G4518" s="30">
        <v>3207.94</v>
      </c>
    </row>
    <row r="4519" spans="1:7" hidden="1" x14ac:dyDescent="0.25">
      <c r="A4519" s="28">
        <v>43891</v>
      </c>
      <c r="B4519" s="27" t="s">
        <v>4</v>
      </c>
      <c r="C4519" s="27" t="s">
        <v>50</v>
      </c>
      <c r="D4519" s="27" t="s">
        <v>7</v>
      </c>
      <c r="E4519" s="27" t="s">
        <v>18</v>
      </c>
      <c r="F4519" s="29"/>
      <c r="G4519" s="30">
        <v>2767.35</v>
      </c>
    </row>
    <row r="4520" spans="1:7" hidden="1" x14ac:dyDescent="0.25">
      <c r="A4520" s="28">
        <v>43891</v>
      </c>
      <c r="B4520" s="27" t="s">
        <v>4</v>
      </c>
      <c r="C4520" s="27" t="s">
        <v>50</v>
      </c>
      <c r="D4520" s="27" t="s">
        <v>7</v>
      </c>
      <c r="E4520" s="27" t="s">
        <v>19</v>
      </c>
      <c r="F4520" s="29"/>
      <c r="G4520" s="30">
        <v>3373.23</v>
      </c>
    </row>
    <row r="4521" spans="1:7" hidden="1" x14ac:dyDescent="0.25">
      <c r="A4521" s="28">
        <v>43891</v>
      </c>
      <c r="B4521" s="27" t="s">
        <v>4</v>
      </c>
      <c r="C4521" s="27" t="s">
        <v>50</v>
      </c>
      <c r="D4521" s="27" t="s">
        <v>7</v>
      </c>
      <c r="E4521" s="27" t="s">
        <v>20</v>
      </c>
      <c r="F4521" s="29"/>
      <c r="G4521" s="30">
        <v>1750.94</v>
      </c>
    </row>
    <row r="4522" spans="1:7" hidden="1" x14ac:dyDescent="0.25">
      <c r="A4522" s="28">
        <v>43891</v>
      </c>
      <c r="B4522" s="27" t="s">
        <v>4</v>
      </c>
      <c r="C4522" s="27" t="s">
        <v>50</v>
      </c>
      <c r="D4522" s="27" t="s">
        <v>7</v>
      </c>
      <c r="E4522" s="27" t="s">
        <v>38</v>
      </c>
      <c r="F4522" s="29"/>
      <c r="G4522" s="30">
        <v>2310.6999999999998</v>
      </c>
    </row>
    <row r="4523" spans="1:7" hidden="1" x14ac:dyDescent="0.25">
      <c r="A4523" s="28">
        <v>43891</v>
      </c>
      <c r="B4523" s="27" t="s">
        <v>4</v>
      </c>
      <c r="C4523" s="27" t="s">
        <v>50</v>
      </c>
      <c r="D4523" s="27" t="s">
        <v>7</v>
      </c>
      <c r="E4523" s="27" t="s">
        <v>23</v>
      </c>
      <c r="F4523" s="29"/>
      <c r="G4523" s="30">
        <v>3752.35</v>
      </c>
    </row>
    <row r="4524" spans="1:7" hidden="1" x14ac:dyDescent="0.25">
      <c r="A4524" s="28">
        <v>43891</v>
      </c>
      <c r="B4524" s="27" t="s">
        <v>4</v>
      </c>
      <c r="C4524" s="27" t="s">
        <v>50</v>
      </c>
      <c r="D4524" s="27" t="s">
        <v>7</v>
      </c>
      <c r="E4524" s="27" t="s">
        <v>37</v>
      </c>
      <c r="F4524" s="29"/>
      <c r="G4524" s="30">
        <v>459</v>
      </c>
    </row>
    <row r="4525" spans="1:7" hidden="1" x14ac:dyDescent="0.25">
      <c r="A4525" s="28">
        <v>43891</v>
      </c>
      <c r="B4525" s="27" t="s">
        <v>26</v>
      </c>
      <c r="C4525" s="27" t="s">
        <v>50</v>
      </c>
      <c r="D4525" s="27" t="s">
        <v>6</v>
      </c>
      <c r="E4525" s="27" t="s">
        <v>8</v>
      </c>
      <c r="F4525" s="29"/>
      <c r="G4525" s="30">
        <v>1194.25</v>
      </c>
    </row>
    <row r="4526" spans="1:7" hidden="1" x14ac:dyDescent="0.25">
      <c r="A4526" s="28">
        <v>43891</v>
      </c>
      <c r="B4526" s="27" t="s">
        <v>26</v>
      </c>
      <c r="C4526" s="27" t="s">
        <v>50</v>
      </c>
      <c r="D4526" s="27" t="s">
        <v>6</v>
      </c>
      <c r="E4526" s="27" t="s">
        <v>9</v>
      </c>
      <c r="F4526" s="29"/>
      <c r="G4526" s="30">
        <v>1550.9166666666667</v>
      </c>
    </row>
    <row r="4527" spans="1:7" hidden="1" x14ac:dyDescent="0.25">
      <c r="A4527" s="28">
        <v>43891</v>
      </c>
      <c r="B4527" s="27" t="s">
        <v>26</v>
      </c>
      <c r="C4527" s="27" t="s">
        <v>50</v>
      </c>
      <c r="D4527" s="27" t="s">
        <v>6</v>
      </c>
      <c r="E4527" s="27" t="s">
        <v>22</v>
      </c>
      <c r="F4527" s="29"/>
      <c r="G4527" s="30">
        <v>1270.3500000000001</v>
      </c>
    </row>
    <row r="4528" spans="1:7" hidden="1" x14ac:dyDescent="0.25">
      <c r="A4528" s="28">
        <v>43891</v>
      </c>
      <c r="B4528" s="27" t="s">
        <v>26</v>
      </c>
      <c r="C4528" s="27" t="s">
        <v>50</v>
      </c>
      <c r="D4528" s="27" t="s">
        <v>6</v>
      </c>
      <c r="E4528" s="27" t="s">
        <v>64</v>
      </c>
      <c r="F4528" s="29"/>
      <c r="G4528" s="30">
        <v>1359.4166666666667</v>
      </c>
    </row>
    <row r="4529" spans="1:7" hidden="1" x14ac:dyDescent="0.25">
      <c r="A4529" s="28">
        <v>43891</v>
      </c>
      <c r="B4529" s="27" t="s">
        <v>26</v>
      </c>
      <c r="C4529" s="27" t="s">
        <v>50</v>
      </c>
      <c r="D4529" s="27" t="s">
        <v>6</v>
      </c>
      <c r="E4529" s="27" t="s">
        <v>21</v>
      </c>
      <c r="F4529" s="29"/>
      <c r="G4529" s="30">
        <v>1359.4166666666667</v>
      </c>
    </row>
    <row r="4530" spans="1:7" hidden="1" x14ac:dyDescent="0.25">
      <c r="A4530" s="28">
        <v>43891</v>
      </c>
      <c r="B4530" s="27" t="s">
        <v>26</v>
      </c>
      <c r="C4530" s="27" t="s">
        <v>50</v>
      </c>
      <c r="D4530" s="27" t="s">
        <v>6</v>
      </c>
      <c r="E4530" s="27" t="s">
        <v>10</v>
      </c>
      <c r="F4530" s="29"/>
      <c r="G4530" s="30">
        <v>1998.9666666666669</v>
      </c>
    </row>
    <row r="4531" spans="1:7" hidden="1" x14ac:dyDescent="0.25">
      <c r="A4531" s="28">
        <v>43891</v>
      </c>
      <c r="B4531" s="27" t="s">
        <v>26</v>
      </c>
      <c r="C4531" s="27" t="s">
        <v>50</v>
      </c>
      <c r="D4531" s="27" t="s">
        <v>6</v>
      </c>
      <c r="E4531" s="27" t="s">
        <v>11</v>
      </c>
      <c r="F4531" s="29"/>
      <c r="G4531" s="30">
        <v>1340.7166666666667</v>
      </c>
    </row>
    <row r="4532" spans="1:7" hidden="1" x14ac:dyDescent="0.25">
      <c r="A4532" s="28">
        <v>43891</v>
      </c>
      <c r="B4532" s="27" t="s">
        <v>26</v>
      </c>
      <c r="C4532" s="27" t="s">
        <v>50</v>
      </c>
      <c r="D4532" s="27" t="s">
        <v>6</v>
      </c>
      <c r="E4532" s="27" t="s">
        <v>12</v>
      </c>
      <c r="F4532" s="29"/>
      <c r="G4532" s="30">
        <v>1350.1166666666668</v>
      </c>
    </row>
    <row r="4533" spans="1:7" hidden="1" x14ac:dyDescent="0.25">
      <c r="A4533" s="28">
        <v>43891</v>
      </c>
      <c r="B4533" s="27" t="s">
        <v>26</v>
      </c>
      <c r="C4533" s="27" t="s">
        <v>50</v>
      </c>
      <c r="D4533" s="27" t="s">
        <v>6</v>
      </c>
      <c r="E4533" s="27" t="s">
        <v>13</v>
      </c>
      <c r="F4533" s="29"/>
      <c r="G4533" s="30">
        <v>1901.5</v>
      </c>
    </row>
    <row r="4534" spans="1:7" hidden="1" x14ac:dyDescent="0.25">
      <c r="A4534" s="28">
        <v>43891</v>
      </c>
      <c r="B4534" s="27" t="s">
        <v>26</v>
      </c>
      <c r="C4534" s="27" t="s">
        <v>50</v>
      </c>
      <c r="D4534" s="27" t="s">
        <v>6</v>
      </c>
      <c r="E4534" s="27" t="s">
        <v>14</v>
      </c>
      <c r="F4534" s="29"/>
      <c r="G4534" s="30">
        <v>701.7833333333333</v>
      </c>
    </row>
    <row r="4535" spans="1:7" hidden="1" x14ac:dyDescent="0.25">
      <c r="A4535" s="28">
        <v>43891</v>
      </c>
      <c r="B4535" s="27" t="s">
        <v>26</v>
      </c>
      <c r="C4535" s="27" t="s">
        <v>50</v>
      </c>
      <c r="D4535" s="27" t="s">
        <v>6</v>
      </c>
      <c r="E4535" s="27" t="s">
        <v>15</v>
      </c>
      <c r="F4535" s="29"/>
      <c r="G4535" s="30">
        <v>1820.5500000000002</v>
      </c>
    </row>
    <row r="4536" spans="1:7" hidden="1" x14ac:dyDescent="0.25">
      <c r="A4536" s="28">
        <v>43891</v>
      </c>
      <c r="B4536" s="27" t="s">
        <v>26</v>
      </c>
      <c r="C4536" s="27" t="s">
        <v>50</v>
      </c>
      <c r="D4536" s="27" t="s">
        <v>6</v>
      </c>
      <c r="E4536" s="27" t="s">
        <v>16</v>
      </c>
      <c r="F4536" s="29"/>
      <c r="G4536" s="30">
        <v>1992.5833333333333</v>
      </c>
    </row>
    <row r="4537" spans="1:7" hidden="1" x14ac:dyDescent="0.25">
      <c r="A4537" s="28">
        <v>43891</v>
      </c>
      <c r="B4537" s="27" t="s">
        <v>26</v>
      </c>
      <c r="C4537" s="27" t="s">
        <v>50</v>
      </c>
      <c r="D4537" s="27" t="s">
        <v>6</v>
      </c>
      <c r="E4537" s="27" t="s">
        <v>17</v>
      </c>
      <c r="F4537" s="29"/>
      <c r="G4537" s="30">
        <v>2822.1166666666668</v>
      </c>
    </row>
    <row r="4538" spans="1:7" hidden="1" x14ac:dyDescent="0.25">
      <c r="A4538" s="28">
        <v>43891</v>
      </c>
      <c r="B4538" s="27" t="s">
        <v>26</v>
      </c>
      <c r="C4538" s="27" t="s">
        <v>50</v>
      </c>
      <c r="D4538" s="27" t="s">
        <v>6</v>
      </c>
      <c r="E4538" s="27" t="s">
        <v>18</v>
      </c>
      <c r="F4538" s="29"/>
      <c r="G4538" s="30">
        <v>1488.6666666666667</v>
      </c>
    </row>
    <row r="4539" spans="1:7" hidden="1" x14ac:dyDescent="0.25">
      <c r="A4539" s="28">
        <v>43891</v>
      </c>
      <c r="B4539" s="27" t="s">
        <v>26</v>
      </c>
      <c r="C4539" s="27" t="s">
        <v>50</v>
      </c>
      <c r="D4539" s="27" t="s">
        <v>6</v>
      </c>
      <c r="E4539" s="27" t="s">
        <v>19</v>
      </c>
      <c r="F4539" s="29"/>
      <c r="G4539" s="30">
        <v>2454.8833333333337</v>
      </c>
    </row>
    <row r="4540" spans="1:7" hidden="1" x14ac:dyDescent="0.25">
      <c r="A4540" s="28">
        <v>43891</v>
      </c>
      <c r="B4540" s="27" t="s">
        <v>26</v>
      </c>
      <c r="C4540" s="27" t="s">
        <v>50</v>
      </c>
      <c r="D4540" s="27" t="s">
        <v>6</v>
      </c>
      <c r="E4540" s="27" t="s">
        <v>20</v>
      </c>
      <c r="F4540" s="29"/>
      <c r="G4540" s="30">
        <v>1590.3833333333334</v>
      </c>
    </row>
    <row r="4541" spans="1:7" hidden="1" x14ac:dyDescent="0.25">
      <c r="A4541" s="28">
        <v>43891</v>
      </c>
      <c r="B4541" s="27" t="s">
        <v>26</v>
      </c>
      <c r="C4541" s="27" t="s">
        <v>50</v>
      </c>
      <c r="D4541" s="27" t="s">
        <v>6</v>
      </c>
      <c r="E4541" s="27" t="s">
        <v>38</v>
      </c>
      <c r="F4541" s="29"/>
      <c r="G4541" s="30">
        <v>602</v>
      </c>
    </row>
    <row r="4542" spans="1:7" hidden="1" x14ac:dyDescent="0.25">
      <c r="A4542" s="28">
        <v>43891</v>
      </c>
      <c r="B4542" s="27" t="s">
        <v>26</v>
      </c>
      <c r="C4542" s="27" t="s">
        <v>50</v>
      </c>
      <c r="D4542" s="27" t="s">
        <v>6</v>
      </c>
      <c r="E4542" s="27" t="s">
        <v>23</v>
      </c>
      <c r="F4542" s="29"/>
      <c r="G4542" s="30">
        <v>2997.5</v>
      </c>
    </row>
    <row r="4543" spans="1:7" hidden="1" x14ac:dyDescent="0.25">
      <c r="A4543" s="28">
        <v>43891</v>
      </c>
      <c r="B4543" s="27" t="s">
        <v>26</v>
      </c>
      <c r="C4543" s="27" t="s">
        <v>50</v>
      </c>
      <c r="D4543" s="27" t="s">
        <v>6</v>
      </c>
      <c r="E4543" s="27" t="s">
        <v>37</v>
      </c>
      <c r="F4543" s="29"/>
      <c r="G4543" s="30">
        <v>250</v>
      </c>
    </row>
    <row r="4544" spans="1:7" hidden="1" x14ac:dyDescent="0.25">
      <c r="A4544" s="28">
        <v>43891</v>
      </c>
      <c r="B4544" s="27" t="s">
        <v>3</v>
      </c>
      <c r="C4544" s="27" t="s">
        <v>50</v>
      </c>
      <c r="D4544" s="27" t="s">
        <v>7</v>
      </c>
      <c r="E4544" s="27" t="s">
        <v>8</v>
      </c>
      <c r="F4544" s="29"/>
      <c r="G4544" s="30">
        <v>679.69333333333327</v>
      </c>
    </row>
    <row r="4545" spans="1:7" hidden="1" x14ac:dyDescent="0.25">
      <c r="A4545" s="28">
        <v>43891</v>
      </c>
      <c r="B4545" s="27" t="s">
        <v>3</v>
      </c>
      <c r="C4545" s="27" t="s">
        <v>50</v>
      </c>
      <c r="D4545" s="27" t="s">
        <v>7</v>
      </c>
      <c r="E4545" s="27" t="s">
        <v>9</v>
      </c>
      <c r="F4545" s="29"/>
      <c r="G4545" s="30">
        <v>679.69333333333327</v>
      </c>
    </row>
    <row r="4546" spans="1:7" hidden="1" x14ac:dyDescent="0.25">
      <c r="A4546" s="28">
        <v>43891</v>
      </c>
      <c r="B4546" s="27" t="s">
        <v>3</v>
      </c>
      <c r="C4546" s="27" t="s">
        <v>50</v>
      </c>
      <c r="D4546" s="27" t="s">
        <v>7</v>
      </c>
      <c r="E4546" s="27" t="s">
        <v>22</v>
      </c>
      <c r="F4546" s="29"/>
      <c r="G4546" s="30">
        <v>679.69333333333327</v>
      </c>
    </row>
    <row r="4547" spans="1:7" hidden="1" x14ac:dyDescent="0.25">
      <c r="A4547" s="28">
        <v>43891</v>
      </c>
      <c r="B4547" s="27" t="s">
        <v>3</v>
      </c>
      <c r="C4547" s="27" t="s">
        <v>50</v>
      </c>
      <c r="D4547" s="27" t="s">
        <v>7</v>
      </c>
      <c r="E4547" s="27" t="s">
        <v>64</v>
      </c>
      <c r="F4547" s="29"/>
      <c r="G4547" s="30">
        <v>679.69333333333327</v>
      </c>
    </row>
    <row r="4548" spans="1:7" hidden="1" x14ac:dyDescent="0.25">
      <c r="A4548" s="28">
        <v>43891</v>
      </c>
      <c r="B4548" s="27" t="s">
        <v>3</v>
      </c>
      <c r="C4548" s="27" t="s">
        <v>50</v>
      </c>
      <c r="D4548" s="27" t="s">
        <v>7</v>
      </c>
      <c r="E4548" s="27" t="s">
        <v>21</v>
      </c>
      <c r="F4548" s="29"/>
      <c r="G4548" s="30">
        <v>679.69333333333327</v>
      </c>
    </row>
    <row r="4549" spans="1:7" hidden="1" x14ac:dyDescent="0.25">
      <c r="A4549" s="28">
        <v>43891</v>
      </c>
      <c r="B4549" s="27" t="s">
        <v>3</v>
      </c>
      <c r="C4549" s="27" t="s">
        <v>50</v>
      </c>
      <c r="D4549" s="27" t="s">
        <v>7</v>
      </c>
      <c r="E4549" s="27" t="s">
        <v>10</v>
      </c>
      <c r="F4549" s="29"/>
      <c r="G4549" s="30">
        <v>679.69333333333327</v>
      </c>
    </row>
    <row r="4550" spans="1:7" hidden="1" x14ac:dyDescent="0.25">
      <c r="A4550" s="28">
        <v>43891</v>
      </c>
      <c r="B4550" s="27" t="s">
        <v>3</v>
      </c>
      <c r="C4550" s="27" t="s">
        <v>50</v>
      </c>
      <c r="D4550" s="27" t="s">
        <v>7</v>
      </c>
      <c r="E4550" s="27" t="s">
        <v>11</v>
      </c>
      <c r="F4550" s="29"/>
      <c r="G4550" s="30">
        <v>679.69333333333327</v>
      </c>
    </row>
    <row r="4551" spans="1:7" hidden="1" x14ac:dyDescent="0.25">
      <c r="A4551" s="28">
        <v>43891</v>
      </c>
      <c r="B4551" s="27" t="s">
        <v>3</v>
      </c>
      <c r="C4551" s="27" t="s">
        <v>50</v>
      </c>
      <c r="D4551" s="27" t="s">
        <v>7</v>
      </c>
      <c r="E4551" s="27" t="s">
        <v>12</v>
      </c>
      <c r="F4551" s="29"/>
      <c r="G4551" s="30">
        <v>679.69333333333327</v>
      </c>
    </row>
    <row r="4552" spans="1:7" hidden="1" x14ac:dyDescent="0.25">
      <c r="A4552" s="28">
        <v>43891</v>
      </c>
      <c r="B4552" s="27" t="s">
        <v>3</v>
      </c>
      <c r="C4552" s="27" t="s">
        <v>50</v>
      </c>
      <c r="D4552" s="27" t="s">
        <v>7</v>
      </c>
      <c r="E4552" s="27" t="s">
        <v>13</v>
      </c>
      <c r="F4552" s="29"/>
      <c r="G4552" s="30">
        <v>679.69333333333327</v>
      </c>
    </row>
    <row r="4553" spans="1:7" hidden="1" x14ac:dyDescent="0.25">
      <c r="A4553" s="28">
        <v>43891</v>
      </c>
      <c r="B4553" s="27" t="s">
        <v>3</v>
      </c>
      <c r="C4553" s="27" t="s">
        <v>50</v>
      </c>
      <c r="D4553" s="27" t="s">
        <v>7</v>
      </c>
      <c r="E4553" s="27" t="s">
        <v>14</v>
      </c>
      <c r="F4553" s="29"/>
      <c r="G4553" s="30">
        <v>679.69333333333327</v>
      </c>
    </row>
    <row r="4554" spans="1:7" hidden="1" x14ac:dyDescent="0.25">
      <c r="A4554" s="28">
        <v>43891</v>
      </c>
      <c r="B4554" s="27" t="s">
        <v>3</v>
      </c>
      <c r="C4554" s="27" t="s">
        <v>50</v>
      </c>
      <c r="D4554" s="27" t="s">
        <v>7</v>
      </c>
      <c r="E4554" s="27" t="s">
        <v>15</v>
      </c>
      <c r="F4554" s="29"/>
      <c r="G4554" s="30">
        <v>679.69333333333327</v>
      </c>
    </row>
    <row r="4555" spans="1:7" hidden="1" x14ac:dyDescent="0.25">
      <c r="A4555" s="28">
        <v>43891</v>
      </c>
      <c r="B4555" s="27" t="s">
        <v>3</v>
      </c>
      <c r="C4555" s="27" t="s">
        <v>50</v>
      </c>
      <c r="D4555" s="27" t="s">
        <v>7</v>
      </c>
      <c r="E4555" s="27" t="s">
        <v>16</v>
      </c>
      <c r="F4555" s="29"/>
      <c r="G4555" s="30">
        <v>679.69333333333327</v>
      </c>
    </row>
    <row r="4556" spans="1:7" hidden="1" x14ac:dyDescent="0.25">
      <c r="A4556" s="28">
        <v>43891</v>
      </c>
      <c r="B4556" s="27" t="s">
        <v>3</v>
      </c>
      <c r="C4556" s="27" t="s">
        <v>50</v>
      </c>
      <c r="D4556" s="27" t="s">
        <v>7</v>
      </c>
      <c r="E4556" s="27" t="s">
        <v>17</v>
      </c>
      <c r="F4556" s="29"/>
      <c r="G4556" s="30">
        <v>679.69333333333327</v>
      </c>
    </row>
    <row r="4557" spans="1:7" hidden="1" x14ac:dyDescent="0.25">
      <c r="A4557" s="28">
        <v>43891</v>
      </c>
      <c r="B4557" s="27" t="s">
        <v>3</v>
      </c>
      <c r="C4557" s="27" t="s">
        <v>50</v>
      </c>
      <c r="D4557" s="27" t="s">
        <v>7</v>
      </c>
      <c r="E4557" s="27" t="s">
        <v>18</v>
      </c>
      <c r="F4557" s="29"/>
      <c r="G4557" s="30">
        <v>679.69333333333327</v>
      </c>
    </row>
    <row r="4558" spans="1:7" hidden="1" x14ac:dyDescent="0.25">
      <c r="A4558" s="28">
        <v>43891</v>
      </c>
      <c r="B4558" s="27" t="s">
        <v>3</v>
      </c>
      <c r="C4558" s="27" t="s">
        <v>50</v>
      </c>
      <c r="D4558" s="27" t="s">
        <v>7</v>
      </c>
      <c r="E4558" s="27" t="s">
        <v>19</v>
      </c>
      <c r="F4558" s="29"/>
      <c r="G4558" s="30">
        <v>679.69333333333327</v>
      </c>
    </row>
    <row r="4559" spans="1:7" hidden="1" x14ac:dyDescent="0.25">
      <c r="A4559" s="28">
        <v>43891</v>
      </c>
      <c r="B4559" s="27" t="s">
        <v>3</v>
      </c>
      <c r="C4559" s="27" t="s">
        <v>50</v>
      </c>
      <c r="D4559" s="27" t="s">
        <v>7</v>
      </c>
      <c r="E4559" s="27" t="s">
        <v>20</v>
      </c>
      <c r="F4559" s="29"/>
      <c r="G4559" s="30">
        <v>679.69333333333327</v>
      </c>
    </row>
    <row r="4560" spans="1:7" hidden="1" x14ac:dyDescent="0.25">
      <c r="A4560" s="28">
        <v>43891</v>
      </c>
      <c r="B4560" s="27" t="s">
        <v>3</v>
      </c>
      <c r="C4560" s="27" t="s">
        <v>50</v>
      </c>
      <c r="D4560" s="27" t="s">
        <v>7</v>
      </c>
      <c r="E4560" s="27" t="s">
        <v>38</v>
      </c>
      <c r="F4560" s="29"/>
      <c r="G4560" s="30">
        <v>679.69333333333327</v>
      </c>
    </row>
    <row r="4561" spans="1:7" hidden="1" x14ac:dyDescent="0.25">
      <c r="A4561" s="28">
        <v>43891</v>
      </c>
      <c r="B4561" s="27" t="s">
        <v>3</v>
      </c>
      <c r="C4561" s="27" t="s">
        <v>50</v>
      </c>
      <c r="D4561" s="27" t="s">
        <v>7</v>
      </c>
      <c r="E4561" s="27" t="s">
        <v>23</v>
      </c>
      <c r="F4561" s="29"/>
      <c r="G4561" s="30">
        <v>679.69333333333327</v>
      </c>
    </row>
    <row r="4562" spans="1:7" hidden="1" x14ac:dyDescent="0.25">
      <c r="A4562" s="28">
        <v>43891</v>
      </c>
      <c r="B4562" s="27" t="s">
        <v>179</v>
      </c>
      <c r="C4562" s="27" t="s">
        <v>50</v>
      </c>
      <c r="D4562" s="27" t="s">
        <v>6</v>
      </c>
      <c r="E4562" s="27" t="s">
        <v>8</v>
      </c>
      <c r="F4562" s="29"/>
      <c r="G4562" s="30">
        <v>181.03</v>
      </c>
    </row>
    <row r="4563" spans="1:7" hidden="1" x14ac:dyDescent="0.25">
      <c r="A4563" s="28">
        <v>43891</v>
      </c>
      <c r="B4563" s="27" t="s">
        <v>179</v>
      </c>
      <c r="C4563" s="27" t="s">
        <v>50</v>
      </c>
      <c r="D4563" s="27" t="s">
        <v>6</v>
      </c>
      <c r="E4563" s="27" t="s">
        <v>9</v>
      </c>
      <c r="F4563" s="29"/>
      <c r="G4563" s="30">
        <v>256.56</v>
      </c>
    </row>
    <row r="4564" spans="1:7" hidden="1" x14ac:dyDescent="0.25">
      <c r="A4564" s="28">
        <v>43891</v>
      </c>
      <c r="B4564" s="27" t="s">
        <v>179</v>
      </c>
      <c r="C4564" s="27" t="s">
        <v>50</v>
      </c>
      <c r="D4564" s="27" t="s">
        <v>6</v>
      </c>
      <c r="E4564" s="27" t="s">
        <v>22</v>
      </c>
      <c r="F4564" s="29"/>
      <c r="G4564" s="30">
        <v>356.36</v>
      </c>
    </row>
    <row r="4565" spans="1:7" hidden="1" x14ac:dyDescent="0.25">
      <c r="A4565" s="28">
        <v>43891</v>
      </c>
      <c r="B4565" s="27" t="s">
        <v>179</v>
      </c>
      <c r="C4565" s="27" t="s">
        <v>50</v>
      </c>
      <c r="D4565" s="27" t="s">
        <v>6</v>
      </c>
      <c r="E4565" s="27" t="s">
        <v>64</v>
      </c>
      <c r="F4565" s="29"/>
      <c r="G4565" s="30">
        <v>195.41</v>
      </c>
    </row>
    <row r="4566" spans="1:7" hidden="1" x14ac:dyDescent="0.25">
      <c r="A4566" s="28">
        <v>43891</v>
      </c>
      <c r="B4566" s="27" t="s">
        <v>179</v>
      </c>
      <c r="C4566" s="27" t="s">
        <v>50</v>
      </c>
      <c r="D4566" s="27" t="s">
        <v>6</v>
      </c>
      <c r="E4566" s="27" t="s">
        <v>21</v>
      </c>
      <c r="F4566" s="29"/>
      <c r="G4566" s="30">
        <v>233.38</v>
      </c>
    </row>
    <row r="4567" spans="1:7" hidden="1" x14ac:dyDescent="0.25">
      <c r="A4567" s="28">
        <v>43891</v>
      </c>
      <c r="B4567" s="27" t="s">
        <v>179</v>
      </c>
      <c r="C4567" s="27" t="s">
        <v>50</v>
      </c>
      <c r="D4567" s="27" t="s">
        <v>6</v>
      </c>
      <c r="E4567" s="27" t="s">
        <v>10</v>
      </c>
      <c r="F4567" s="29"/>
      <c r="G4567" s="30">
        <v>316.44</v>
      </c>
    </row>
    <row r="4568" spans="1:7" hidden="1" x14ac:dyDescent="0.25">
      <c r="A4568" s="28">
        <v>43891</v>
      </c>
      <c r="B4568" s="27" t="s">
        <v>179</v>
      </c>
      <c r="C4568" s="27" t="s">
        <v>50</v>
      </c>
      <c r="D4568" s="27" t="s">
        <v>6</v>
      </c>
      <c r="E4568" s="27" t="s">
        <v>11</v>
      </c>
      <c r="F4568" s="29"/>
      <c r="G4568" s="30">
        <v>229.92</v>
      </c>
    </row>
    <row r="4569" spans="1:7" hidden="1" x14ac:dyDescent="0.25">
      <c r="A4569" s="28">
        <v>43891</v>
      </c>
      <c r="B4569" s="27" t="s">
        <v>179</v>
      </c>
      <c r="C4569" s="27" t="s">
        <v>50</v>
      </c>
      <c r="D4569" s="27" t="s">
        <v>6</v>
      </c>
      <c r="E4569" s="27" t="s">
        <v>12</v>
      </c>
      <c r="F4569" s="29"/>
      <c r="G4569" s="30">
        <v>237.51</v>
      </c>
    </row>
    <row r="4570" spans="1:7" hidden="1" x14ac:dyDescent="0.25">
      <c r="A4570" s="28">
        <v>43891</v>
      </c>
      <c r="B4570" s="27" t="s">
        <v>179</v>
      </c>
      <c r="C4570" s="27" t="s">
        <v>50</v>
      </c>
      <c r="D4570" s="27" t="s">
        <v>6</v>
      </c>
      <c r="E4570" s="27" t="s">
        <v>13</v>
      </c>
      <c r="F4570" s="29"/>
      <c r="G4570" s="30">
        <v>339.46</v>
      </c>
    </row>
    <row r="4571" spans="1:7" hidden="1" x14ac:dyDescent="0.25">
      <c r="A4571" s="28">
        <v>43891</v>
      </c>
      <c r="B4571" s="27" t="s">
        <v>179</v>
      </c>
      <c r="C4571" s="27" t="s">
        <v>50</v>
      </c>
      <c r="D4571" s="27" t="s">
        <v>6</v>
      </c>
      <c r="E4571" s="27" t="s">
        <v>14</v>
      </c>
      <c r="F4571" s="29"/>
      <c r="G4571" s="30">
        <v>302.73</v>
      </c>
    </row>
    <row r="4572" spans="1:7" hidden="1" x14ac:dyDescent="0.25">
      <c r="A4572" s="28">
        <v>43891</v>
      </c>
      <c r="B4572" s="27" t="s">
        <v>179</v>
      </c>
      <c r="C4572" s="27" t="s">
        <v>50</v>
      </c>
      <c r="D4572" s="27" t="s">
        <v>6</v>
      </c>
      <c r="E4572" s="27" t="s">
        <v>15</v>
      </c>
      <c r="F4572" s="29"/>
      <c r="G4572" s="30">
        <v>325.68</v>
      </c>
    </row>
    <row r="4573" spans="1:7" hidden="1" x14ac:dyDescent="0.25">
      <c r="A4573" s="28">
        <v>43891</v>
      </c>
      <c r="B4573" s="27" t="s">
        <v>179</v>
      </c>
      <c r="C4573" s="27" t="s">
        <v>50</v>
      </c>
      <c r="D4573" s="27" t="s">
        <v>6</v>
      </c>
      <c r="E4573" s="27" t="s">
        <v>16</v>
      </c>
      <c r="F4573" s="29"/>
      <c r="G4573" s="30">
        <v>331.41</v>
      </c>
    </row>
    <row r="4574" spans="1:7" hidden="1" x14ac:dyDescent="0.25">
      <c r="A4574" s="28">
        <v>43891</v>
      </c>
      <c r="B4574" s="27" t="s">
        <v>179</v>
      </c>
      <c r="C4574" s="27" t="s">
        <v>50</v>
      </c>
      <c r="D4574" s="27" t="s">
        <v>6</v>
      </c>
      <c r="E4574" s="27" t="s">
        <v>17</v>
      </c>
      <c r="F4574" s="29"/>
      <c r="G4574" s="30">
        <v>533.46</v>
      </c>
    </row>
    <row r="4575" spans="1:7" hidden="1" x14ac:dyDescent="0.25">
      <c r="A4575" s="28">
        <v>43891</v>
      </c>
      <c r="B4575" s="27" t="s">
        <v>179</v>
      </c>
      <c r="C4575" s="27" t="s">
        <v>50</v>
      </c>
      <c r="D4575" s="27" t="s">
        <v>6</v>
      </c>
      <c r="E4575" s="27" t="s">
        <v>18</v>
      </c>
      <c r="F4575" s="29"/>
      <c r="G4575" s="30">
        <v>726.2</v>
      </c>
    </row>
    <row r="4576" spans="1:7" hidden="1" x14ac:dyDescent="0.25">
      <c r="A4576" s="28">
        <v>43891</v>
      </c>
      <c r="B4576" s="27" t="s">
        <v>179</v>
      </c>
      <c r="C4576" s="27" t="s">
        <v>50</v>
      </c>
      <c r="D4576" s="27" t="s">
        <v>6</v>
      </c>
      <c r="E4576" s="27" t="s">
        <v>19</v>
      </c>
      <c r="F4576" s="29"/>
      <c r="G4576" s="30">
        <v>479</v>
      </c>
    </row>
    <row r="4577" spans="1:7" hidden="1" x14ac:dyDescent="0.25">
      <c r="A4577" s="28">
        <v>43891</v>
      </c>
      <c r="B4577" s="27" t="s">
        <v>179</v>
      </c>
      <c r="C4577" s="27" t="s">
        <v>50</v>
      </c>
      <c r="D4577" s="27" t="s">
        <v>6</v>
      </c>
      <c r="E4577" s="27" t="s">
        <v>20</v>
      </c>
      <c r="F4577" s="29"/>
      <c r="G4577" s="30">
        <v>903.2</v>
      </c>
    </row>
    <row r="4578" spans="1:7" hidden="1" x14ac:dyDescent="0.25">
      <c r="A4578" s="28">
        <v>43891</v>
      </c>
      <c r="B4578" s="27" t="s">
        <v>179</v>
      </c>
      <c r="C4578" s="27" t="s">
        <v>50</v>
      </c>
      <c r="D4578" s="27" t="s">
        <v>6</v>
      </c>
      <c r="E4578" s="27" t="s">
        <v>38</v>
      </c>
      <c r="F4578" s="29"/>
      <c r="G4578" s="30">
        <v>395</v>
      </c>
    </row>
    <row r="4579" spans="1:7" hidden="1" x14ac:dyDescent="0.25">
      <c r="A4579" s="28">
        <v>43891</v>
      </c>
      <c r="B4579" s="27" t="s">
        <v>179</v>
      </c>
      <c r="C4579" s="27" t="s">
        <v>50</v>
      </c>
      <c r="D4579" s="27" t="s">
        <v>6</v>
      </c>
      <c r="E4579" s="27" t="s">
        <v>23</v>
      </c>
      <c r="F4579" s="29"/>
      <c r="G4579" s="30">
        <v>561.13</v>
      </c>
    </row>
    <row r="4580" spans="1:7" hidden="1" x14ac:dyDescent="0.25">
      <c r="A4580" s="28">
        <v>43891</v>
      </c>
      <c r="B4580" s="27" t="s">
        <v>32</v>
      </c>
      <c r="C4580" s="27" t="s">
        <v>50</v>
      </c>
      <c r="D4580" s="27" t="s">
        <v>7</v>
      </c>
      <c r="E4580" s="27" t="s">
        <v>10</v>
      </c>
      <c r="F4580" s="29"/>
      <c r="G4580" s="30">
        <v>30</v>
      </c>
    </row>
    <row r="4581" spans="1:7" hidden="1" x14ac:dyDescent="0.25">
      <c r="A4581" s="28">
        <v>43891</v>
      </c>
      <c r="B4581" s="27" t="s">
        <v>32</v>
      </c>
      <c r="C4581" s="27" t="s">
        <v>50</v>
      </c>
      <c r="D4581" s="27" t="s">
        <v>7</v>
      </c>
      <c r="E4581" s="27" t="s">
        <v>11</v>
      </c>
      <c r="F4581" s="29"/>
      <c r="G4581" s="30">
        <v>7</v>
      </c>
    </row>
    <row r="4582" spans="1:7" hidden="1" x14ac:dyDescent="0.25">
      <c r="A4582" s="28">
        <v>43891</v>
      </c>
      <c r="B4582" s="27" t="s">
        <v>32</v>
      </c>
      <c r="C4582" s="27" t="s">
        <v>50</v>
      </c>
      <c r="D4582" s="27" t="s">
        <v>7</v>
      </c>
      <c r="E4582" s="27" t="s">
        <v>17</v>
      </c>
      <c r="F4582" s="29"/>
      <c r="G4582" s="30">
        <v>30</v>
      </c>
    </row>
    <row r="4583" spans="1:7" hidden="1" x14ac:dyDescent="0.25">
      <c r="A4583" s="28">
        <v>43891</v>
      </c>
      <c r="B4583" s="27" t="s">
        <v>5</v>
      </c>
      <c r="C4583" s="27" t="s">
        <v>51</v>
      </c>
      <c r="D4583" s="27" t="s">
        <v>51</v>
      </c>
      <c r="E4583" s="27" t="s">
        <v>8</v>
      </c>
      <c r="F4583" s="29">
        <v>2947</v>
      </c>
      <c r="G4583" s="30">
        <v>4.5852604267200068</v>
      </c>
    </row>
    <row r="4584" spans="1:7" hidden="1" x14ac:dyDescent="0.25">
      <c r="A4584" s="28">
        <v>43891</v>
      </c>
      <c r="B4584" s="27" t="s">
        <v>5</v>
      </c>
      <c r="C4584" s="27" t="s">
        <v>51</v>
      </c>
      <c r="D4584" s="27" t="s">
        <v>51</v>
      </c>
      <c r="E4584" s="27" t="s">
        <v>9</v>
      </c>
      <c r="F4584" s="29">
        <v>3440</v>
      </c>
      <c r="G4584" s="30">
        <v>3.8955429198286406</v>
      </c>
    </row>
    <row r="4585" spans="1:7" hidden="1" x14ac:dyDescent="0.25">
      <c r="A4585" s="28">
        <v>43891</v>
      </c>
      <c r="B4585" s="27" t="s">
        <v>5</v>
      </c>
      <c r="C4585" s="27" t="s">
        <v>51</v>
      </c>
      <c r="D4585" s="27" t="s">
        <v>51</v>
      </c>
      <c r="E4585" s="27" t="s">
        <v>22</v>
      </c>
      <c r="F4585" s="29">
        <v>2699</v>
      </c>
      <c r="G4585" s="30">
        <v>4.8600852084267725</v>
      </c>
    </row>
    <row r="4586" spans="1:7" hidden="1" x14ac:dyDescent="0.25">
      <c r="A4586" s="28">
        <v>43891</v>
      </c>
      <c r="B4586" s="27" t="s">
        <v>5</v>
      </c>
      <c r="C4586" s="27" t="s">
        <v>51</v>
      </c>
      <c r="D4586" s="27" t="s">
        <v>51</v>
      </c>
      <c r="E4586" s="27" t="s">
        <v>64</v>
      </c>
      <c r="F4586" s="29">
        <v>4007</v>
      </c>
      <c r="G4586" s="30">
        <v>3.6535158832569321</v>
      </c>
    </row>
    <row r="4587" spans="1:7" hidden="1" x14ac:dyDescent="0.25">
      <c r="A4587" s="28">
        <v>43891</v>
      </c>
      <c r="B4587" s="27" t="s">
        <v>5</v>
      </c>
      <c r="C4587" s="27" t="s">
        <v>51</v>
      </c>
      <c r="D4587" s="27" t="s">
        <v>51</v>
      </c>
      <c r="E4587" s="27" t="s">
        <v>21</v>
      </c>
      <c r="F4587" s="29">
        <v>4277</v>
      </c>
      <c r="G4587" s="30">
        <v>4.0347654066426291</v>
      </c>
    </row>
    <row r="4588" spans="1:7" hidden="1" x14ac:dyDescent="0.25">
      <c r="A4588" s="28">
        <v>43891</v>
      </c>
      <c r="B4588" s="27" t="s">
        <v>5</v>
      </c>
      <c r="C4588" s="27" t="s">
        <v>51</v>
      </c>
      <c r="D4588" s="27" t="s">
        <v>51</v>
      </c>
      <c r="E4588" s="27" t="s">
        <v>10</v>
      </c>
      <c r="F4588" s="29">
        <v>3162</v>
      </c>
      <c r="G4588" s="30">
        <v>4.5732810386497551</v>
      </c>
    </row>
    <row r="4589" spans="1:7" hidden="1" x14ac:dyDescent="0.25">
      <c r="A4589" s="28">
        <v>43891</v>
      </c>
      <c r="B4589" s="27" t="s">
        <v>5</v>
      </c>
      <c r="C4589" s="27" t="s">
        <v>51</v>
      </c>
      <c r="D4589" s="27" t="s">
        <v>51</v>
      </c>
      <c r="E4589" s="27" t="s">
        <v>11</v>
      </c>
      <c r="F4589" s="29">
        <v>3878</v>
      </c>
      <c r="G4589" s="30">
        <v>3.4519537504410844</v>
      </c>
    </row>
    <row r="4590" spans="1:7" hidden="1" x14ac:dyDescent="0.25">
      <c r="A4590" s="28">
        <v>43891</v>
      </c>
      <c r="B4590" s="27" t="s">
        <v>5</v>
      </c>
      <c r="C4590" s="27" t="s">
        <v>51</v>
      </c>
      <c r="D4590" s="27" t="s">
        <v>51</v>
      </c>
      <c r="E4590" s="27" t="s">
        <v>12</v>
      </c>
      <c r="F4590" s="29">
        <v>2751</v>
      </c>
      <c r="G4590" s="30">
        <v>4.8007016154891051</v>
      </c>
    </row>
    <row r="4591" spans="1:7" hidden="1" x14ac:dyDescent="0.25">
      <c r="A4591" s="28">
        <v>43891</v>
      </c>
      <c r="B4591" s="27" t="s">
        <v>5</v>
      </c>
      <c r="C4591" s="27" t="s">
        <v>51</v>
      </c>
      <c r="D4591" s="27" t="s">
        <v>51</v>
      </c>
      <c r="E4591" s="27" t="s">
        <v>13</v>
      </c>
      <c r="F4591" s="29">
        <v>7688</v>
      </c>
      <c r="G4591" s="30">
        <v>2.2673791594099715</v>
      </c>
    </row>
    <row r="4592" spans="1:7" hidden="1" x14ac:dyDescent="0.25">
      <c r="A4592" s="28">
        <v>43891</v>
      </c>
      <c r="B4592" s="27" t="s">
        <v>5</v>
      </c>
      <c r="C4592" s="27" t="s">
        <v>51</v>
      </c>
      <c r="D4592" s="27" t="s">
        <v>51</v>
      </c>
      <c r="E4592" s="27" t="s">
        <v>14</v>
      </c>
      <c r="F4592" s="29">
        <v>2748</v>
      </c>
      <c r="G4592" s="30">
        <v>4.0518547346714664</v>
      </c>
    </row>
    <row r="4593" spans="1:7" hidden="1" x14ac:dyDescent="0.25">
      <c r="A4593" s="28">
        <v>43891</v>
      </c>
      <c r="B4593" s="27" t="s">
        <v>5</v>
      </c>
      <c r="C4593" s="27" t="s">
        <v>51</v>
      </c>
      <c r="D4593" s="27" t="s">
        <v>51</v>
      </c>
      <c r="E4593" s="27" t="s">
        <v>15</v>
      </c>
      <c r="F4593" s="29">
        <v>3879</v>
      </c>
      <c r="G4593" s="30">
        <v>3.5132724871213861</v>
      </c>
    </row>
    <row r="4594" spans="1:7" hidden="1" x14ac:dyDescent="0.25">
      <c r="A4594" s="28">
        <v>43891</v>
      </c>
      <c r="B4594" s="27" t="s">
        <v>5</v>
      </c>
      <c r="C4594" s="27" t="s">
        <v>51</v>
      </c>
      <c r="D4594" s="27" t="s">
        <v>51</v>
      </c>
      <c r="E4594" s="27" t="s">
        <v>16</v>
      </c>
      <c r="F4594" s="29">
        <v>2041</v>
      </c>
      <c r="G4594" s="30">
        <v>6.2425947138055822</v>
      </c>
    </row>
    <row r="4595" spans="1:7" hidden="1" x14ac:dyDescent="0.25">
      <c r="A4595" s="28">
        <v>43891</v>
      </c>
      <c r="B4595" s="27" t="s">
        <v>5</v>
      </c>
      <c r="C4595" s="27" t="s">
        <v>51</v>
      </c>
      <c r="D4595" s="27" t="s">
        <v>51</v>
      </c>
      <c r="E4595" s="27" t="s">
        <v>17</v>
      </c>
      <c r="F4595" s="29">
        <v>3986</v>
      </c>
      <c r="G4595" s="30">
        <v>4.0124790878601413</v>
      </c>
    </row>
    <row r="4596" spans="1:7" hidden="1" x14ac:dyDescent="0.25">
      <c r="A4596" s="28">
        <v>43891</v>
      </c>
      <c r="B4596" s="27" t="s">
        <v>5</v>
      </c>
      <c r="C4596" s="27" t="s">
        <v>51</v>
      </c>
      <c r="D4596" s="27" t="s">
        <v>51</v>
      </c>
      <c r="E4596" s="27" t="s">
        <v>18</v>
      </c>
      <c r="F4596" s="29">
        <v>4910</v>
      </c>
      <c r="G4596" s="30">
        <v>2.6721675446457285</v>
      </c>
    </row>
    <row r="4597" spans="1:7" hidden="1" x14ac:dyDescent="0.25">
      <c r="A4597" s="28">
        <v>43891</v>
      </c>
      <c r="B4597" s="27" t="s">
        <v>5</v>
      </c>
      <c r="C4597" s="27" t="s">
        <v>51</v>
      </c>
      <c r="D4597" s="27" t="s">
        <v>51</v>
      </c>
      <c r="E4597" s="27" t="s">
        <v>19</v>
      </c>
      <c r="F4597" s="29">
        <v>4573</v>
      </c>
      <c r="G4597" s="30">
        <v>3.8841909711080671</v>
      </c>
    </row>
    <row r="4598" spans="1:7" hidden="1" x14ac:dyDescent="0.25">
      <c r="A4598" s="28">
        <v>43891</v>
      </c>
      <c r="B4598" s="27" t="s">
        <v>5</v>
      </c>
      <c r="C4598" s="27" t="s">
        <v>51</v>
      </c>
      <c r="D4598" s="27" t="s">
        <v>51</v>
      </c>
      <c r="E4598" s="27" t="s">
        <v>20</v>
      </c>
      <c r="F4598" s="29">
        <v>3877</v>
      </c>
      <c r="G4598" s="30">
        <v>3.1684855070614364</v>
      </c>
    </row>
    <row r="4599" spans="1:7" hidden="1" x14ac:dyDescent="0.25">
      <c r="A4599" s="28">
        <v>43891</v>
      </c>
      <c r="B4599" s="27" t="s">
        <v>5</v>
      </c>
      <c r="C4599" s="27" t="s">
        <v>51</v>
      </c>
      <c r="D4599" s="27" t="s">
        <v>51</v>
      </c>
      <c r="E4599" s="27" t="s">
        <v>38</v>
      </c>
      <c r="F4599" s="29">
        <v>7081</v>
      </c>
      <c r="G4599" s="30">
        <v>1.6239916646722017</v>
      </c>
    </row>
    <row r="4600" spans="1:7" hidden="1" x14ac:dyDescent="0.25">
      <c r="A4600" s="28">
        <v>43891</v>
      </c>
      <c r="B4600" s="27" t="s">
        <v>5</v>
      </c>
      <c r="C4600" s="27" t="s">
        <v>51</v>
      </c>
      <c r="D4600" s="27" t="s">
        <v>51</v>
      </c>
      <c r="E4600" s="27" t="s">
        <v>23</v>
      </c>
      <c r="F4600" s="29">
        <v>3720</v>
      </c>
      <c r="G4600" s="30">
        <v>4.3611743219203927</v>
      </c>
    </row>
    <row r="4601" spans="1:7" hidden="1" x14ac:dyDescent="0.25">
      <c r="A4601" s="28">
        <v>43891</v>
      </c>
      <c r="B4601" s="27" t="s">
        <v>180</v>
      </c>
      <c r="C4601" s="27" t="s">
        <v>50</v>
      </c>
      <c r="D4601" s="27" t="s">
        <v>7</v>
      </c>
      <c r="E4601" s="27" t="s">
        <v>8</v>
      </c>
      <c r="F4601" s="29"/>
      <c r="G4601" s="30">
        <v>115</v>
      </c>
    </row>
    <row r="4602" spans="1:7" hidden="1" x14ac:dyDescent="0.25">
      <c r="A4602" s="28">
        <v>43891</v>
      </c>
      <c r="B4602" s="27" t="s">
        <v>180</v>
      </c>
      <c r="C4602" s="27" t="s">
        <v>50</v>
      </c>
      <c r="D4602" s="27" t="s">
        <v>7</v>
      </c>
      <c r="E4602" s="27" t="s">
        <v>9</v>
      </c>
      <c r="F4602" s="29"/>
      <c r="G4602" s="30">
        <v>482</v>
      </c>
    </row>
    <row r="4603" spans="1:7" hidden="1" x14ac:dyDescent="0.25">
      <c r="A4603" s="28">
        <v>43891</v>
      </c>
      <c r="B4603" s="27" t="s">
        <v>180</v>
      </c>
      <c r="C4603" s="27" t="s">
        <v>50</v>
      </c>
      <c r="D4603" s="27" t="s">
        <v>7</v>
      </c>
      <c r="E4603" s="27" t="s">
        <v>22</v>
      </c>
      <c r="F4603" s="29"/>
      <c r="G4603" s="30">
        <v>25</v>
      </c>
    </row>
    <row r="4604" spans="1:7" hidden="1" x14ac:dyDescent="0.25">
      <c r="A4604" s="28">
        <v>43891</v>
      </c>
      <c r="B4604" s="27" t="s">
        <v>180</v>
      </c>
      <c r="C4604" s="27" t="s">
        <v>50</v>
      </c>
      <c r="D4604" s="27" t="s">
        <v>7</v>
      </c>
      <c r="E4604" s="27" t="s">
        <v>64</v>
      </c>
      <c r="F4604" s="29"/>
      <c r="G4604" s="30">
        <v>195</v>
      </c>
    </row>
    <row r="4605" spans="1:7" hidden="1" x14ac:dyDescent="0.25">
      <c r="A4605" s="28">
        <v>43891</v>
      </c>
      <c r="B4605" s="27" t="s">
        <v>180</v>
      </c>
      <c r="C4605" s="27" t="s">
        <v>50</v>
      </c>
      <c r="D4605" s="27" t="s">
        <v>7</v>
      </c>
      <c r="E4605" s="27" t="s">
        <v>21</v>
      </c>
      <c r="F4605" s="29"/>
      <c r="G4605" s="30">
        <v>2626</v>
      </c>
    </row>
    <row r="4606" spans="1:7" hidden="1" x14ac:dyDescent="0.25">
      <c r="A4606" s="28">
        <v>43891</v>
      </c>
      <c r="B4606" s="27" t="s">
        <v>180</v>
      </c>
      <c r="C4606" s="27" t="s">
        <v>50</v>
      </c>
      <c r="D4606" s="27" t="s">
        <v>7</v>
      </c>
      <c r="E4606" s="27" t="s">
        <v>10</v>
      </c>
      <c r="F4606" s="29"/>
      <c r="G4606" s="30">
        <v>24.5</v>
      </c>
    </row>
    <row r="4607" spans="1:7" hidden="1" x14ac:dyDescent="0.25">
      <c r="A4607" s="28">
        <v>43891</v>
      </c>
      <c r="B4607" s="27" t="s">
        <v>180</v>
      </c>
      <c r="C4607" s="27" t="s">
        <v>50</v>
      </c>
      <c r="D4607" s="27" t="s">
        <v>7</v>
      </c>
      <c r="E4607" s="27" t="s">
        <v>11</v>
      </c>
      <c r="F4607" s="29"/>
      <c r="G4607" s="30">
        <v>160</v>
      </c>
    </row>
    <row r="4608" spans="1:7" hidden="1" x14ac:dyDescent="0.25">
      <c r="A4608" s="28">
        <v>43891</v>
      </c>
      <c r="B4608" s="27" t="s">
        <v>180</v>
      </c>
      <c r="C4608" s="27" t="s">
        <v>50</v>
      </c>
      <c r="D4608" s="27" t="s">
        <v>7</v>
      </c>
      <c r="E4608" s="27" t="s">
        <v>12</v>
      </c>
      <c r="F4608" s="29"/>
      <c r="G4608" s="30">
        <v>723.49</v>
      </c>
    </row>
    <row r="4609" spans="1:7" hidden="1" x14ac:dyDescent="0.25">
      <c r="A4609" s="28">
        <v>43891</v>
      </c>
      <c r="B4609" s="27" t="s">
        <v>180</v>
      </c>
      <c r="C4609" s="27" t="s">
        <v>50</v>
      </c>
      <c r="D4609" s="27" t="s">
        <v>7</v>
      </c>
      <c r="E4609" s="27" t="s">
        <v>13</v>
      </c>
      <c r="F4609" s="29"/>
      <c r="G4609" s="30">
        <v>100</v>
      </c>
    </row>
    <row r="4610" spans="1:7" hidden="1" x14ac:dyDescent="0.25">
      <c r="A4610" s="28">
        <v>43891</v>
      </c>
      <c r="B4610" s="27" t="s">
        <v>180</v>
      </c>
      <c r="C4610" s="27" t="s">
        <v>50</v>
      </c>
      <c r="D4610" s="27" t="s">
        <v>7</v>
      </c>
      <c r="E4610" s="27" t="s">
        <v>14</v>
      </c>
      <c r="F4610" s="29"/>
      <c r="G4610" s="30">
        <v>50</v>
      </c>
    </row>
    <row r="4611" spans="1:7" hidden="1" x14ac:dyDescent="0.25">
      <c r="A4611" s="28">
        <v>43891</v>
      </c>
      <c r="B4611" s="27" t="s">
        <v>180</v>
      </c>
      <c r="C4611" s="27" t="s">
        <v>50</v>
      </c>
      <c r="D4611" s="27" t="s">
        <v>7</v>
      </c>
      <c r="E4611" s="27" t="s">
        <v>15</v>
      </c>
      <c r="F4611" s="29"/>
      <c r="G4611" s="30">
        <v>1245</v>
      </c>
    </row>
    <row r="4612" spans="1:7" hidden="1" x14ac:dyDescent="0.25">
      <c r="A4612" s="28">
        <v>43891</v>
      </c>
      <c r="B4612" s="27" t="s">
        <v>180</v>
      </c>
      <c r="C4612" s="27" t="s">
        <v>50</v>
      </c>
      <c r="D4612" s="27" t="s">
        <v>7</v>
      </c>
      <c r="E4612" s="27" t="s">
        <v>16</v>
      </c>
      <c r="F4612" s="29"/>
      <c r="G4612" s="30">
        <v>52</v>
      </c>
    </row>
    <row r="4613" spans="1:7" hidden="1" x14ac:dyDescent="0.25">
      <c r="A4613" s="28">
        <v>43891</v>
      </c>
      <c r="B4613" s="27" t="s">
        <v>180</v>
      </c>
      <c r="C4613" s="27" t="s">
        <v>50</v>
      </c>
      <c r="D4613" s="27" t="s">
        <v>7</v>
      </c>
      <c r="E4613" s="27" t="s">
        <v>17</v>
      </c>
      <c r="F4613" s="29"/>
      <c r="G4613" s="30">
        <v>113.28</v>
      </c>
    </row>
    <row r="4614" spans="1:7" hidden="1" x14ac:dyDescent="0.25">
      <c r="A4614" s="28">
        <v>43891</v>
      </c>
      <c r="B4614" s="27" t="s">
        <v>180</v>
      </c>
      <c r="C4614" s="27" t="s">
        <v>50</v>
      </c>
      <c r="D4614" s="27" t="s">
        <v>7</v>
      </c>
      <c r="E4614" s="27" t="s">
        <v>18</v>
      </c>
      <c r="F4614" s="29"/>
      <c r="G4614" s="30">
        <v>352.95</v>
      </c>
    </row>
    <row r="4615" spans="1:7" hidden="1" x14ac:dyDescent="0.25">
      <c r="A4615" s="28">
        <v>43891</v>
      </c>
      <c r="B4615" s="27" t="s">
        <v>180</v>
      </c>
      <c r="C4615" s="27" t="s">
        <v>50</v>
      </c>
      <c r="D4615" s="27" t="s">
        <v>7</v>
      </c>
      <c r="E4615" s="27" t="s">
        <v>20</v>
      </c>
      <c r="F4615" s="29"/>
      <c r="G4615" s="30">
        <v>355</v>
      </c>
    </row>
    <row r="4616" spans="1:7" hidden="1" x14ac:dyDescent="0.25">
      <c r="A4616" s="28">
        <v>43891</v>
      </c>
      <c r="B4616" s="27" t="s">
        <v>180</v>
      </c>
      <c r="C4616" s="27" t="s">
        <v>50</v>
      </c>
      <c r="D4616" s="27" t="s">
        <v>7</v>
      </c>
      <c r="E4616" s="27" t="s">
        <v>23</v>
      </c>
      <c r="F4616" s="29"/>
      <c r="G4616" s="30">
        <v>165</v>
      </c>
    </row>
    <row r="4617" spans="1:7" hidden="1" x14ac:dyDescent="0.25">
      <c r="A4617" s="28">
        <v>43891</v>
      </c>
      <c r="B4617" s="27" t="s">
        <v>181</v>
      </c>
      <c r="C4617" s="27" t="s">
        <v>50</v>
      </c>
      <c r="D4617" s="27" t="s">
        <v>6</v>
      </c>
      <c r="E4617" s="27" t="s">
        <v>21</v>
      </c>
      <c r="F4617" s="29"/>
      <c r="G4617" s="30">
        <v>160</v>
      </c>
    </row>
    <row r="4618" spans="1:7" hidden="1" x14ac:dyDescent="0.25">
      <c r="A4618" s="28">
        <v>43891</v>
      </c>
      <c r="B4618" s="27" t="s">
        <v>181</v>
      </c>
      <c r="C4618" s="27" t="s">
        <v>50</v>
      </c>
      <c r="D4618" s="27" t="s">
        <v>6</v>
      </c>
      <c r="E4618" s="27" t="s">
        <v>10</v>
      </c>
      <c r="F4618" s="29"/>
      <c r="G4618" s="30">
        <v>149.99</v>
      </c>
    </row>
    <row r="4619" spans="1:7" hidden="1" x14ac:dyDescent="0.25">
      <c r="A4619" s="28">
        <v>43891</v>
      </c>
      <c r="B4619" s="27" t="s">
        <v>181</v>
      </c>
      <c r="C4619" s="27" t="s">
        <v>50</v>
      </c>
      <c r="D4619" s="27" t="s">
        <v>6</v>
      </c>
      <c r="E4619" s="27" t="s">
        <v>11</v>
      </c>
      <c r="F4619" s="29"/>
      <c r="G4619" s="30">
        <v>883.31</v>
      </c>
    </row>
    <row r="4620" spans="1:7" hidden="1" x14ac:dyDescent="0.25">
      <c r="A4620" s="28">
        <v>43891</v>
      </c>
      <c r="B4620" s="27" t="s">
        <v>181</v>
      </c>
      <c r="C4620" s="27" t="s">
        <v>50</v>
      </c>
      <c r="D4620" s="27" t="s">
        <v>6</v>
      </c>
      <c r="E4620" s="27" t="s">
        <v>12</v>
      </c>
      <c r="F4620" s="29"/>
      <c r="G4620" s="30">
        <v>147.99</v>
      </c>
    </row>
    <row r="4621" spans="1:7" hidden="1" x14ac:dyDescent="0.25">
      <c r="A4621" s="28">
        <v>43891</v>
      </c>
      <c r="B4621" s="27" t="s">
        <v>181</v>
      </c>
      <c r="C4621" s="27" t="s">
        <v>50</v>
      </c>
      <c r="D4621" s="27" t="s">
        <v>6</v>
      </c>
      <c r="E4621" s="27" t="s">
        <v>13</v>
      </c>
      <c r="F4621" s="29"/>
      <c r="G4621" s="30">
        <v>477</v>
      </c>
    </row>
    <row r="4622" spans="1:7" hidden="1" x14ac:dyDescent="0.25">
      <c r="A4622" s="28">
        <v>43891</v>
      </c>
      <c r="B4622" s="27" t="s">
        <v>181</v>
      </c>
      <c r="C4622" s="27" t="s">
        <v>50</v>
      </c>
      <c r="D4622" s="27" t="s">
        <v>6</v>
      </c>
      <c r="E4622" s="27" t="s">
        <v>14</v>
      </c>
      <c r="F4622" s="29"/>
      <c r="G4622" s="30">
        <v>172.5</v>
      </c>
    </row>
    <row r="4623" spans="1:7" hidden="1" x14ac:dyDescent="0.25">
      <c r="A4623" s="28">
        <v>43891</v>
      </c>
      <c r="B4623" s="27" t="s">
        <v>181</v>
      </c>
      <c r="C4623" s="27" t="s">
        <v>50</v>
      </c>
      <c r="D4623" s="27" t="s">
        <v>6</v>
      </c>
      <c r="E4623" s="27" t="s">
        <v>17</v>
      </c>
      <c r="F4623" s="29"/>
      <c r="G4623" s="30">
        <v>20</v>
      </c>
    </row>
    <row r="4624" spans="1:7" hidden="1" x14ac:dyDescent="0.25">
      <c r="A4624" s="28">
        <v>43891</v>
      </c>
      <c r="B4624" s="27" t="s">
        <v>181</v>
      </c>
      <c r="C4624" s="27" t="s">
        <v>50</v>
      </c>
      <c r="D4624" s="27" t="s">
        <v>6</v>
      </c>
      <c r="E4624" s="27" t="s">
        <v>19</v>
      </c>
      <c r="F4624" s="29"/>
      <c r="G4624" s="30">
        <v>2324</v>
      </c>
    </row>
    <row r="4625" spans="1:7" hidden="1" x14ac:dyDescent="0.25">
      <c r="A4625" s="28">
        <v>43891</v>
      </c>
      <c r="B4625" s="27" t="s">
        <v>181</v>
      </c>
      <c r="C4625" s="27" t="s">
        <v>50</v>
      </c>
      <c r="D4625" s="27" t="s">
        <v>6</v>
      </c>
      <c r="E4625" s="27" t="s">
        <v>38</v>
      </c>
      <c r="F4625" s="29"/>
      <c r="G4625" s="30">
        <v>60</v>
      </c>
    </row>
    <row r="4626" spans="1:7" hidden="1" x14ac:dyDescent="0.25">
      <c r="A4626" s="28">
        <v>43891</v>
      </c>
      <c r="B4626" s="27" t="s">
        <v>25</v>
      </c>
      <c r="C4626" s="27" t="s">
        <v>50</v>
      </c>
      <c r="D4626" s="27" t="s">
        <v>7</v>
      </c>
      <c r="E4626" s="27" t="s">
        <v>38</v>
      </c>
      <c r="F4626" s="29"/>
      <c r="G4626" s="30">
        <v>104.13</v>
      </c>
    </row>
    <row r="4627" spans="1:7" hidden="1" x14ac:dyDescent="0.25">
      <c r="A4627" s="28">
        <v>43891</v>
      </c>
      <c r="B4627" s="27" t="s">
        <v>2</v>
      </c>
      <c r="C4627" s="27" t="s">
        <v>50</v>
      </c>
      <c r="D4627" s="27" t="s">
        <v>7</v>
      </c>
      <c r="E4627" s="27" t="s">
        <v>8</v>
      </c>
      <c r="F4627" s="29"/>
      <c r="G4627" s="30">
        <v>638.07000000000005</v>
      </c>
    </row>
    <row r="4628" spans="1:7" hidden="1" x14ac:dyDescent="0.25">
      <c r="A4628" s="28">
        <v>43891</v>
      </c>
      <c r="B4628" s="27" t="s">
        <v>2</v>
      </c>
      <c r="C4628" s="27" t="s">
        <v>50</v>
      </c>
      <c r="D4628" s="27" t="s">
        <v>7</v>
      </c>
      <c r="E4628" s="27" t="s">
        <v>9</v>
      </c>
      <c r="F4628" s="29"/>
      <c r="G4628" s="30">
        <v>518.72</v>
      </c>
    </row>
    <row r="4629" spans="1:7" hidden="1" x14ac:dyDescent="0.25">
      <c r="A4629" s="28">
        <v>43891</v>
      </c>
      <c r="B4629" s="27" t="s">
        <v>2</v>
      </c>
      <c r="C4629" s="27" t="s">
        <v>50</v>
      </c>
      <c r="D4629" s="27" t="s">
        <v>7</v>
      </c>
      <c r="E4629" s="27" t="s">
        <v>22</v>
      </c>
      <c r="F4629" s="29"/>
      <c r="G4629" s="30">
        <v>539.6</v>
      </c>
    </row>
    <row r="4630" spans="1:7" hidden="1" x14ac:dyDescent="0.25">
      <c r="A4630" s="28">
        <v>43891</v>
      </c>
      <c r="B4630" s="27" t="s">
        <v>2</v>
      </c>
      <c r="C4630" s="27" t="s">
        <v>50</v>
      </c>
      <c r="D4630" s="27" t="s">
        <v>7</v>
      </c>
      <c r="E4630" s="27" t="s">
        <v>64</v>
      </c>
      <c r="F4630" s="29"/>
      <c r="G4630" s="30">
        <v>693.74</v>
      </c>
    </row>
    <row r="4631" spans="1:7" hidden="1" x14ac:dyDescent="0.25">
      <c r="A4631" s="28">
        <v>43891</v>
      </c>
      <c r="B4631" s="27" t="s">
        <v>2</v>
      </c>
      <c r="C4631" s="27" t="s">
        <v>50</v>
      </c>
      <c r="D4631" s="27" t="s">
        <v>7</v>
      </c>
      <c r="E4631" s="27" t="s">
        <v>21</v>
      </c>
      <c r="F4631" s="29"/>
      <c r="G4631" s="30">
        <v>725.05</v>
      </c>
    </row>
    <row r="4632" spans="1:7" hidden="1" x14ac:dyDescent="0.25">
      <c r="A4632" s="28">
        <v>43891</v>
      </c>
      <c r="B4632" s="27" t="s">
        <v>2</v>
      </c>
      <c r="C4632" s="27" t="s">
        <v>50</v>
      </c>
      <c r="D4632" s="27" t="s">
        <v>7</v>
      </c>
      <c r="E4632" s="27" t="s">
        <v>10</v>
      </c>
      <c r="F4632" s="29"/>
      <c r="G4632" s="30">
        <v>439.87</v>
      </c>
    </row>
    <row r="4633" spans="1:7" hidden="1" x14ac:dyDescent="0.25">
      <c r="A4633" s="28">
        <v>43891</v>
      </c>
      <c r="B4633" s="27" t="s">
        <v>2</v>
      </c>
      <c r="C4633" s="27" t="s">
        <v>50</v>
      </c>
      <c r="D4633" s="27" t="s">
        <v>7</v>
      </c>
      <c r="E4633" s="27" t="s">
        <v>11</v>
      </c>
      <c r="F4633" s="29"/>
      <c r="G4633" s="30">
        <v>451.27</v>
      </c>
    </row>
    <row r="4634" spans="1:7" hidden="1" x14ac:dyDescent="0.25">
      <c r="A4634" s="28">
        <v>43891</v>
      </c>
      <c r="B4634" s="27" t="s">
        <v>2</v>
      </c>
      <c r="C4634" s="27" t="s">
        <v>50</v>
      </c>
      <c r="D4634" s="27" t="s">
        <v>7</v>
      </c>
      <c r="E4634" s="27" t="s">
        <v>12</v>
      </c>
      <c r="F4634" s="29"/>
      <c r="G4634" s="30">
        <v>599.87</v>
      </c>
    </row>
    <row r="4635" spans="1:7" hidden="1" x14ac:dyDescent="0.25">
      <c r="A4635" s="28">
        <v>43891</v>
      </c>
      <c r="B4635" s="27" t="s">
        <v>2</v>
      </c>
      <c r="C4635" s="27" t="s">
        <v>50</v>
      </c>
      <c r="D4635" s="27" t="s">
        <v>7</v>
      </c>
      <c r="E4635" s="27" t="s">
        <v>13</v>
      </c>
      <c r="F4635" s="29"/>
      <c r="G4635" s="30">
        <v>1178.1400000000001</v>
      </c>
    </row>
    <row r="4636" spans="1:7" hidden="1" x14ac:dyDescent="0.25">
      <c r="A4636" s="28">
        <v>43891</v>
      </c>
      <c r="B4636" s="27" t="s">
        <v>2</v>
      </c>
      <c r="C4636" s="27" t="s">
        <v>50</v>
      </c>
      <c r="D4636" s="27" t="s">
        <v>7</v>
      </c>
      <c r="E4636" s="27" t="s">
        <v>14</v>
      </c>
      <c r="F4636" s="29"/>
      <c r="G4636" s="30">
        <v>111.32</v>
      </c>
    </row>
    <row r="4637" spans="1:7" hidden="1" x14ac:dyDescent="0.25">
      <c r="A4637" s="28">
        <v>43891</v>
      </c>
      <c r="B4637" s="27" t="s">
        <v>2</v>
      </c>
      <c r="C4637" s="27" t="s">
        <v>50</v>
      </c>
      <c r="D4637" s="27" t="s">
        <v>7</v>
      </c>
      <c r="E4637" s="27" t="s">
        <v>15</v>
      </c>
      <c r="F4637" s="29"/>
      <c r="G4637" s="30">
        <v>289.20999999999998</v>
      </c>
    </row>
    <row r="4638" spans="1:7" hidden="1" x14ac:dyDescent="0.25">
      <c r="A4638" s="28">
        <v>43891</v>
      </c>
      <c r="B4638" s="27" t="s">
        <v>2</v>
      </c>
      <c r="C4638" s="27" t="s">
        <v>50</v>
      </c>
      <c r="D4638" s="27" t="s">
        <v>7</v>
      </c>
      <c r="E4638" s="27" t="s">
        <v>16</v>
      </c>
      <c r="F4638" s="29"/>
      <c r="G4638" s="30">
        <v>306.61</v>
      </c>
    </row>
    <row r="4639" spans="1:7" hidden="1" x14ac:dyDescent="0.25">
      <c r="A4639" s="28">
        <v>43891</v>
      </c>
      <c r="B4639" s="27" t="s">
        <v>2</v>
      </c>
      <c r="C4639" s="27" t="s">
        <v>50</v>
      </c>
      <c r="D4639" s="27" t="s">
        <v>7</v>
      </c>
      <c r="E4639" s="27" t="s">
        <v>17</v>
      </c>
      <c r="F4639" s="29"/>
      <c r="G4639" s="30">
        <v>681.31</v>
      </c>
    </row>
    <row r="4640" spans="1:7" hidden="1" x14ac:dyDescent="0.25">
      <c r="A4640" s="28">
        <v>43891</v>
      </c>
      <c r="B4640" s="27" t="s">
        <v>2</v>
      </c>
      <c r="C4640" s="27" t="s">
        <v>50</v>
      </c>
      <c r="D4640" s="27" t="s">
        <v>7</v>
      </c>
      <c r="E4640" s="27" t="s">
        <v>18</v>
      </c>
      <c r="F4640" s="29"/>
      <c r="G4640" s="30">
        <v>86.52</v>
      </c>
    </row>
    <row r="4641" spans="1:7" hidden="1" x14ac:dyDescent="0.25">
      <c r="A4641" s="28">
        <v>43891</v>
      </c>
      <c r="B4641" s="27" t="s">
        <v>2</v>
      </c>
      <c r="C4641" s="27" t="s">
        <v>50</v>
      </c>
      <c r="D4641" s="27" t="s">
        <v>7</v>
      </c>
      <c r="E4641" s="27" t="s">
        <v>19</v>
      </c>
      <c r="F4641" s="29"/>
      <c r="G4641" s="30">
        <v>1013.33</v>
      </c>
    </row>
    <row r="4642" spans="1:7" hidden="1" x14ac:dyDescent="0.25">
      <c r="A4642" s="28">
        <v>43891</v>
      </c>
      <c r="B4642" s="27" t="s">
        <v>2</v>
      </c>
      <c r="C4642" s="27" t="s">
        <v>50</v>
      </c>
      <c r="D4642" s="27" t="s">
        <v>7</v>
      </c>
      <c r="E4642" s="27" t="s">
        <v>20</v>
      </c>
      <c r="F4642" s="29"/>
      <c r="G4642" s="30">
        <v>300.22000000000003</v>
      </c>
    </row>
    <row r="4643" spans="1:7" hidden="1" x14ac:dyDescent="0.25">
      <c r="A4643" s="28">
        <v>43891</v>
      </c>
      <c r="B4643" s="27" t="s">
        <v>2</v>
      </c>
      <c r="C4643" s="27" t="s">
        <v>50</v>
      </c>
      <c r="D4643" s="27" t="s">
        <v>7</v>
      </c>
      <c r="E4643" s="27" t="s">
        <v>38</v>
      </c>
      <c r="F4643" s="29"/>
      <c r="G4643" s="30">
        <v>577.41999999999996</v>
      </c>
    </row>
    <row r="4644" spans="1:7" hidden="1" x14ac:dyDescent="0.25">
      <c r="A4644" s="28">
        <v>43891</v>
      </c>
      <c r="B4644" s="27" t="s">
        <v>2</v>
      </c>
      <c r="C4644" s="27" t="s">
        <v>50</v>
      </c>
      <c r="D4644" s="27" t="s">
        <v>7</v>
      </c>
      <c r="E4644" s="27" t="s">
        <v>23</v>
      </c>
      <c r="F4644" s="29"/>
      <c r="G4644" s="30">
        <v>673.88</v>
      </c>
    </row>
    <row r="4645" spans="1:7" hidden="1" x14ac:dyDescent="0.25">
      <c r="A4645" s="28">
        <v>43891</v>
      </c>
      <c r="B4645" s="27" t="s">
        <v>36</v>
      </c>
      <c r="C4645" s="27" t="s">
        <v>50</v>
      </c>
      <c r="D4645" s="27" t="s">
        <v>6</v>
      </c>
      <c r="E4645" s="27" t="s">
        <v>8</v>
      </c>
      <c r="F4645" s="29"/>
      <c r="G4645" s="30">
        <v>330.97</v>
      </c>
    </row>
    <row r="4646" spans="1:7" hidden="1" x14ac:dyDescent="0.25">
      <c r="A4646" s="28">
        <v>43891</v>
      </c>
      <c r="B4646" s="27" t="s">
        <v>36</v>
      </c>
      <c r="C4646" s="27" t="s">
        <v>50</v>
      </c>
      <c r="D4646" s="27" t="s">
        <v>6</v>
      </c>
      <c r="E4646" s="27" t="s">
        <v>9</v>
      </c>
      <c r="F4646" s="29"/>
      <c r="G4646" s="30">
        <v>56</v>
      </c>
    </row>
    <row r="4647" spans="1:7" hidden="1" x14ac:dyDescent="0.25">
      <c r="A4647" s="28">
        <v>43891</v>
      </c>
      <c r="B4647" s="27" t="s">
        <v>36</v>
      </c>
      <c r="C4647" s="27" t="s">
        <v>50</v>
      </c>
      <c r="D4647" s="27" t="s">
        <v>6</v>
      </c>
      <c r="E4647" s="27" t="s">
        <v>22</v>
      </c>
      <c r="F4647" s="29"/>
      <c r="G4647" s="30">
        <v>325.5</v>
      </c>
    </row>
    <row r="4648" spans="1:7" hidden="1" x14ac:dyDescent="0.25">
      <c r="A4648" s="28">
        <v>43891</v>
      </c>
      <c r="B4648" s="27" t="s">
        <v>36</v>
      </c>
      <c r="C4648" s="27" t="s">
        <v>50</v>
      </c>
      <c r="D4648" s="27" t="s">
        <v>6</v>
      </c>
      <c r="E4648" s="27" t="s">
        <v>64</v>
      </c>
      <c r="F4648" s="29"/>
      <c r="G4648" s="30">
        <v>56</v>
      </c>
    </row>
    <row r="4649" spans="1:7" hidden="1" x14ac:dyDescent="0.25">
      <c r="A4649" s="28">
        <v>43891</v>
      </c>
      <c r="B4649" s="27" t="s">
        <v>36</v>
      </c>
      <c r="C4649" s="27" t="s">
        <v>50</v>
      </c>
      <c r="D4649" s="27" t="s">
        <v>6</v>
      </c>
      <c r="E4649" s="27" t="s">
        <v>21</v>
      </c>
      <c r="F4649" s="29"/>
      <c r="G4649" s="30">
        <v>98.57</v>
      </c>
    </row>
    <row r="4650" spans="1:7" hidden="1" x14ac:dyDescent="0.25">
      <c r="A4650" s="28">
        <v>43891</v>
      </c>
      <c r="B4650" s="27" t="s">
        <v>36</v>
      </c>
      <c r="C4650" s="27" t="s">
        <v>50</v>
      </c>
      <c r="D4650" s="27" t="s">
        <v>6</v>
      </c>
      <c r="E4650" s="27" t="s">
        <v>10</v>
      </c>
      <c r="F4650" s="29"/>
      <c r="G4650" s="30">
        <v>370.97</v>
      </c>
    </row>
    <row r="4651" spans="1:7" hidden="1" x14ac:dyDescent="0.25">
      <c r="A4651" s="28">
        <v>43891</v>
      </c>
      <c r="B4651" s="27" t="s">
        <v>36</v>
      </c>
      <c r="C4651" s="27" t="s">
        <v>50</v>
      </c>
      <c r="D4651" s="27" t="s">
        <v>6</v>
      </c>
      <c r="E4651" s="27" t="s">
        <v>11</v>
      </c>
      <c r="F4651" s="29"/>
      <c r="G4651" s="30">
        <v>153.5</v>
      </c>
    </row>
    <row r="4652" spans="1:7" hidden="1" x14ac:dyDescent="0.25">
      <c r="A4652" s="28">
        <v>43891</v>
      </c>
      <c r="B4652" s="27" t="s">
        <v>36</v>
      </c>
      <c r="C4652" s="27" t="s">
        <v>50</v>
      </c>
      <c r="D4652" s="27" t="s">
        <v>6</v>
      </c>
      <c r="E4652" s="27" t="s">
        <v>12</v>
      </c>
      <c r="F4652" s="29"/>
      <c r="G4652" s="30">
        <v>78.69</v>
      </c>
    </row>
    <row r="4653" spans="1:7" hidden="1" x14ac:dyDescent="0.25">
      <c r="A4653" s="28">
        <v>43891</v>
      </c>
      <c r="B4653" s="27" t="s">
        <v>36</v>
      </c>
      <c r="C4653" s="27" t="s">
        <v>50</v>
      </c>
      <c r="D4653" s="27" t="s">
        <v>6</v>
      </c>
      <c r="E4653" s="27" t="s">
        <v>13</v>
      </c>
      <c r="F4653" s="29"/>
      <c r="G4653" s="30">
        <v>56</v>
      </c>
    </row>
    <row r="4654" spans="1:7" hidden="1" x14ac:dyDescent="0.25">
      <c r="A4654" s="28">
        <v>43891</v>
      </c>
      <c r="B4654" s="27" t="s">
        <v>36</v>
      </c>
      <c r="C4654" s="27" t="s">
        <v>50</v>
      </c>
      <c r="D4654" s="27" t="s">
        <v>6</v>
      </c>
      <c r="E4654" s="27" t="s">
        <v>14</v>
      </c>
      <c r="F4654" s="29"/>
      <c r="G4654" s="30">
        <v>78.69</v>
      </c>
    </row>
    <row r="4655" spans="1:7" hidden="1" x14ac:dyDescent="0.25">
      <c r="A4655" s="28">
        <v>43891</v>
      </c>
      <c r="B4655" s="27" t="s">
        <v>36</v>
      </c>
      <c r="C4655" s="27" t="s">
        <v>50</v>
      </c>
      <c r="D4655" s="27" t="s">
        <v>6</v>
      </c>
      <c r="E4655" s="27" t="s">
        <v>15</v>
      </c>
      <c r="F4655" s="29"/>
      <c r="G4655" s="30">
        <v>275.32</v>
      </c>
    </row>
    <row r="4656" spans="1:7" hidden="1" x14ac:dyDescent="0.25">
      <c r="A4656" s="28">
        <v>43891</v>
      </c>
      <c r="B4656" s="27" t="s">
        <v>36</v>
      </c>
      <c r="C4656" s="27" t="s">
        <v>50</v>
      </c>
      <c r="D4656" s="27" t="s">
        <v>6</v>
      </c>
      <c r="E4656" s="27" t="s">
        <v>16</v>
      </c>
      <c r="F4656" s="29"/>
      <c r="G4656" s="30">
        <v>287.32</v>
      </c>
    </row>
    <row r="4657" spans="1:7" hidden="1" x14ac:dyDescent="0.25">
      <c r="A4657" s="28">
        <v>43891</v>
      </c>
      <c r="B4657" s="27" t="s">
        <v>36</v>
      </c>
      <c r="C4657" s="27" t="s">
        <v>50</v>
      </c>
      <c r="D4657" s="27" t="s">
        <v>6</v>
      </c>
      <c r="E4657" s="27" t="s">
        <v>17</v>
      </c>
      <c r="F4657" s="29"/>
      <c r="G4657" s="30">
        <v>325.5</v>
      </c>
    </row>
    <row r="4658" spans="1:7" hidden="1" x14ac:dyDescent="0.25">
      <c r="A4658" s="28">
        <v>43891</v>
      </c>
      <c r="B4658" s="27" t="s">
        <v>36</v>
      </c>
      <c r="C4658" s="27" t="s">
        <v>50</v>
      </c>
      <c r="D4658" s="27" t="s">
        <v>6</v>
      </c>
      <c r="E4658" s="27" t="s">
        <v>18</v>
      </c>
      <c r="F4658" s="29"/>
      <c r="G4658" s="30">
        <v>250.97</v>
      </c>
    </row>
    <row r="4659" spans="1:7" hidden="1" x14ac:dyDescent="0.25">
      <c r="A4659" s="28">
        <v>43891</v>
      </c>
      <c r="B4659" s="27" t="s">
        <v>36</v>
      </c>
      <c r="C4659" s="27" t="s">
        <v>50</v>
      </c>
      <c r="D4659" s="27" t="s">
        <v>6</v>
      </c>
      <c r="E4659" s="27" t="s">
        <v>19</v>
      </c>
      <c r="F4659" s="29"/>
      <c r="G4659" s="30">
        <v>275.33</v>
      </c>
    </row>
    <row r="4660" spans="1:7" hidden="1" x14ac:dyDescent="0.25">
      <c r="A4660" s="28">
        <v>43891</v>
      </c>
      <c r="B4660" s="27" t="s">
        <v>36</v>
      </c>
      <c r="C4660" s="27" t="s">
        <v>50</v>
      </c>
      <c r="D4660" s="27" t="s">
        <v>6</v>
      </c>
      <c r="E4660" s="27" t="s">
        <v>20</v>
      </c>
      <c r="F4660" s="29"/>
      <c r="G4660" s="30">
        <v>56</v>
      </c>
    </row>
    <row r="4661" spans="1:7" hidden="1" x14ac:dyDescent="0.25">
      <c r="A4661" s="28">
        <v>43891</v>
      </c>
      <c r="B4661" s="27" t="s">
        <v>36</v>
      </c>
      <c r="C4661" s="27" t="s">
        <v>50</v>
      </c>
      <c r="D4661" s="27" t="s">
        <v>6</v>
      </c>
      <c r="E4661" s="27" t="s">
        <v>38</v>
      </c>
      <c r="F4661" s="29"/>
      <c r="G4661" s="30">
        <v>56</v>
      </c>
    </row>
    <row r="4662" spans="1:7" hidden="1" x14ac:dyDescent="0.25">
      <c r="A4662" s="28">
        <v>43891</v>
      </c>
      <c r="B4662" s="27" t="s">
        <v>36</v>
      </c>
      <c r="C4662" s="27" t="s">
        <v>50</v>
      </c>
      <c r="D4662" s="27" t="s">
        <v>6</v>
      </c>
      <c r="E4662" s="27" t="s">
        <v>23</v>
      </c>
      <c r="F4662" s="29"/>
      <c r="G4662" s="30">
        <v>205.5</v>
      </c>
    </row>
    <row r="4663" spans="1:7" hidden="1" x14ac:dyDescent="0.25">
      <c r="A4663" s="28">
        <v>43891</v>
      </c>
      <c r="B4663" s="27" t="s">
        <v>200</v>
      </c>
      <c r="C4663" s="27" t="s">
        <v>53</v>
      </c>
      <c r="D4663" s="27" t="s">
        <v>6</v>
      </c>
      <c r="E4663" s="27" t="s">
        <v>8</v>
      </c>
      <c r="F4663" s="29"/>
      <c r="G4663" s="30">
        <f t="shared" ref="G4663:G4680" si="84">7828.64773333333/18</f>
        <v>434.92487407407384</v>
      </c>
    </row>
    <row r="4664" spans="1:7" hidden="1" x14ac:dyDescent="0.25">
      <c r="A4664" s="28">
        <v>43891</v>
      </c>
      <c r="B4664" s="27" t="s">
        <v>200</v>
      </c>
      <c r="C4664" s="27" t="s">
        <v>53</v>
      </c>
      <c r="D4664" s="27" t="s">
        <v>6</v>
      </c>
      <c r="E4664" s="27" t="s">
        <v>9</v>
      </c>
      <c r="F4664" s="29"/>
      <c r="G4664" s="30">
        <f t="shared" si="84"/>
        <v>434.92487407407384</v>
      </c>
    </row>
    <row r="4665" spans="1:7" hidden="1" x14ac:dyDescent="0.25">
      <c r="A4665" s="28">
        <v>43891</v>
      </c>
      <c r="B4665" s="27" t="s">
        <v>200</v>
      </c>
      <c r="C4665" s="27" t="s">
        <v>53</v>
      </c>
      <c r="D4665" s="27" t="s">
        <v>6</v>
      </c>
      <c r="E4665" s="27" t="s">
        <v>22</v>
      </c>
      <c r="F4665" s="29"/>
      <c r="G4665" s="30">
        <f t="shared" si="84"/>
        <v>434.92487407407384</v>
      </c>
    </row>
    <row r="4666" spans="1:7" hidden="1" x14ac:dyDescent="0.25">
      <c r="A4666" s="28">
        <v>43891</v>
      </c>
      <c r="B4666" s="27" t="s">
        <v>200</v>
      </c>
      <c r="C4666" s="27" t="s">
        <v>53</v>
      </c>
      <c r="D4666" s="27" t="s">
        <v>6</v>
      </c>
      <c r="E4666" s="27" t="s">
        <v>64</v>
      </c>
      <c r="F4666" s="29"/>
      <c r="G4666" s="30">
        <f t="shared" si="84"/>
        <v>434.92487407407384</v>
      </c>
    </row>
    <row r="4667" spans="1:7" hidden="1" x14ac:dyDescent="0.25">
      <c r="A4667" s="28">
        <v>43891</v>
      </c>
      <c r="B4667" s="27" t="s">
        <v>200</v>
      </c>
      <c r="C4667" s="27" t="s">
        <v>53</v>
      </c>
      <c r="D4667" s="27" t="s">
        <v>6</v>
      </c>
      <c r="E4667" s="27" t="s">
        <v>21</v>
      </c>
      <c r="F4667" s="29"/>
      <c r="G4667" s="30">
        <f t="shared" si="84"/>
        <v>434.92487407407384</v>
      </c>
    </row>
    <row r="4668" spans="1:7" hidden="1" x14ac:dyDescent="0.25">
      <c r="A4668" s="28">
        <v>43891</v>
      </c>
      <c r="B4668" s="27" t="s">
        <v>200</v>
      </c>
      <c r="C4668" s="27" t="s">
        <v>53</v>
      </c>
      <c r="D4668" s="27" t="s">
        <v>6</v>
      </c>
      <c r="E4668" s="27" t="s">
        <v>10</v>
      </c>
      <c r="F4668" s="29"/>
      <c r="G4668" s="30">
        <f t="shared" si="84"/>
        <v>434.92487407407384</v>
      </c>
    </row>
    <row r="4669" spans="1:7" hidden="1" x14ac:dyDescent="0.25">
      <c r="A4669" s="28">
        <v>43891</v>
      </c>
      <c r="B4669" s="27" t="s">
        <v>200</v>
      </c>
      <c r="C4669" s="27" t="s">
        <v>53</v>
      </c>
      <c r="D4669" s="27" t="s">
        <v>6</v>
      </c>
      <c r="E4669" s="27" t="s">
        <v>11</v>
      </c>
      <c r="F4669" s="29"/>
      <c r="G4669" s="30">
        <f t="shared" si="84"/>
        <v>434.92487407407384</v>
      </c>
    </row>
    <row r="4670" spans="1:7" hidden="1" x14ac:dyDescent="0.25">
      <c r="A4670" s="28">
        <v>43891</v>
      </c>
      <c r="B4670" s="27" t="s">
        <v>200</v>
      </c>
      <c r="C4670" s="27" t="s">
        <v>53</v>
      </c>
      <c r="D4670" s="27" t="s">
        <v>6</v>
      </c>
      <c r="E4670" s="27" t="s">
        <v>12</v>
      </c>
      <c r="F4670" s="29"/>
      <c r="G4670" s="30">
        <f t="shared" si="84"/>
        <v>434.92487407407384</v>
      </c>
    </row>
    <row r="4671" spans="1:7" hidden="1" x14ac:dyDescent="0.25">
      <c r="A4671" s="28">
        <v>43891</v>
      </c>
      <c r="B4671" s="27" t="s">
        <v>200</v>
      </c>
      <c r="C4671" s="27" t="s">
        <v>53</v>
      </c>
      <c r="D4671" s="27" t="s">
        <v>6</v>
      </c>
      <c r="E4671" s="27" t="s">
        <v>13</v>
      </c>
      <c r="F4671" s="29"/>
      <c r="G4671" s="30">
        <f t="shared" si="84"/>
        <v>434.92487407407384</v>
      </c>
    </row>
    <row r="4672" spans="1:7" hidden="1" x14ac:dyDescent="0.25">
      <c r="A4672" s="28">
        <v>43891</v>
      </c>
      <c r="B4672" s="27" t="s">
        <v>200</v>
      </c>
      <c r="C4672" s="27" t="s">
        <v>53</v>
      </c>
      <c r="D4672" s="27" t="s">
        <v>6</v>
      </c>
      <c r="E4672" s="27" t="s">
        <v>14</v>
      </c>
      <c r="F4672" s="29"/>
      <c r="G4672" s="30">
        <f t="shared" si="84"/>
        <v>434.92487407407384</v>
      </c>
    </row>
    <row r="4673" spans="1:7" hidden="1" x14ac:dyDescent="0.25">
      <c r="A4673" s="28">
        <v>43891</v>
      </c>
      <c r="B4673" s="27" t="s">
        <v>200</v>
      </c>
      <c r="C4673" s="27" t="s">
        <v>53</v>
      </c>
      <c r="D4673" s="27" t="s">
        <v>6</v>
      </c>
      <c r="E4673" s="27" t="s">
        <v>15</v>
      </c>
      <c r="F4673" s="29"/>
      <c r="G4673" s="30">
        <f t="shared" si="84"/>
        <v>434.92487407407384</v>
      </c>
    </row>
    <row r="4674" spans="1:7" hidden="1" x14ac:dyDescent="0.25">
      <c r="A4674" s="28">
        <v>43891</v>
      </c>
      <c r="B4674" s="27" t="s">
        <v>200</v>
      </c>
      <c r="C4674" s="27" t="s">
        <v>53</v>
      </c>
      <c r="D4674" s="27" t="s">
        <v>6</v>
      </c>
      <c r="E4674" s="27" t="s">
        <v>16</v>
      </c>
      <c r="F4674" s="29"/>
      <c r="G4674" s="30">
        <f t="shared" si="84"/>
        <v>434.92487407407384</v>
      </c>
    </row>
    <row r="4675" spans="1:7" hidden="1" x14ac:dyDescent="0.25">
      <c r="A4675" s="28">
        <v>43891</v>
      </c>
      <c r="B4675" s="27" t="s">
        <v>200</v>
      </c>
      <c r="C4675" s="27" t="s">
        <v>53</v>
      </c>
      <c r="D4675" s="27" t="s">
        <v>6</v>
      </c>
      <c r="E4675" s="27" t="s">
        <v>17</v>
      </c>
      <c r="F4675" s="29"/>
      <c r="G4675" s="30">
        <f t="shared" si="84"/>
        <v>434.92487407407384</v>
      </c>
    </row>
    <row r="4676" spans="1:7" hidden="1" x14ac:dyDescent="0.25">
      <c r="A4676" s="28">
        <v>43891</v>
      </c>
      <c r="B4676" s="27" t="s">
        <v>200</v>
      </c>
      <c r="C4676" s="27" t="s">
        <v>53</v>
      </c>
      <c r="D4676" s="27" t="s">
        <v>6</v>
      </c>
      <c r="E4676" s="27" t="s">
        <v>18</v>
      </c>
      <c r="F4676" s="29"/>
      <c r="G4676" s="30">
        <f t="shared" si="84"/>
        <v>434.92487407407384</v>
      </c>
    </row>
    <row r="4677" spans="1:7" hidden="1" x14ac:dyDescent="0.25">
      <c r="A4677" s="28">
        <v>43891</v>
      </c>
      <c r="B4677" s="27" t="s">
        <v>200</v>
      </c>
      <c r="C4677" s="27" t="s">
        <v>53</v>
      </c>
      <c r="D4677" s="27" t="s">
        <v>6</v>
      </c>
      <c r="E4677" s="27" t="s">
        <v>19</v>
      </c>
      <c r="F4677" s="29"/>
      <c r="G4677" s="30">
        <f t="shared" si="84"/>
        <v>434.92487407407384</v>
      </c>
    </row>
    <row r="4678" spans="1:7" hidden="1" x14ac:dyDescent="0.25">
      <c r="A4678" s="28">
        <v>43891</v>
      </c>
      <c r="B4678" s="27" t="s">
        <v>200</v>
      </c>
      <c r="C4678" s="27" t="s">
        <v>53</v>
      </c>
      <c r="D4678" s="27" t="s">
        <v>6</v>
      </c>
      <c r="E4678" s="27" t="s">
        <v>20</v>
      </c>
      <c r="F4678" s="29"/>
      <c r="G4678" s="30">
        <f t="shared" si="84"/>
        <v>434.92487407407384</v>
      </c>
    </row>
    <row r="4679" spans="1:7" hidden="1" x14ac:dyDescent="0.25">
      <c r="A4679" s="28">
        <v>43891</v>
      </c>
      <c r="B4679" s="27" t="s">
        <v>200</v>
      </c>
      <c r="C4679" s="27" t="s">
        <v>53</v>
      </c>
      <c r="D4679" s="27" t="s">
        <v>6</v>
      </c>
      <c r="E4679" s="27" t="s">
        <v>38</v>
      </c>
      <c r="F4679" s="29"/>
      <c r="G4679" s="30">
        <f t="shared" si="84"/>
        <v>434.92487407407384</v>
      </c>
    </row>
    <row r="4680" spans="1:7" hidden="1" x14ac:dyDescent="0.25">
      <c r="A4680" s="28">
        <v>43891</v>
      </c>
      <c r="B4680" s="27" t="s">
        <v>200</v>
      </c>
      <c r="C4680" s="27" t="s">
        <v>53</v>
      </c>
      <c r="D4680" s="27" t="s">
        <v>6</v>
      </c>
      <c r="E4680" s="27" t="s">
        <v>23</v>
      </c>
      <c r="F4680" s="29"/>
      <c r="G4680" s="30">
        <f t="shared" si="84"/>
        <v>434.92487407407384</v>
      </c>
    </row>
    <row r="4681" spans="1:7" hidden="1" x14ac:dyDescent="0.25">
      <c r="A4681" s="28">
        <v>43891</v>
      </c>
      <c r="B4681" s="27" t="s">
        <v>200</v>
      </c>
      <c r="C4681" s="27" t="s">
        <v>54</v>
      </c>
      <c r="D4681" s="27" t="s">
        <v>7</v>
      </c>
      <c r="E4681" s="27" t="s">
        <v>8</v>
      </c>
      <c r="F4681" s="29"/>
      <c r="G4681" s="30">
        <f t="shared" ref="G4681:G4699" si="85">98.13/19</f>
        <v>5.1647368421052633</v>
      </c>
    </row>
    <row r="4682" spans="1:7" hidden="1" x14ac:dyDescent="0.25">
      <c r="A4682" s="28">
        <v>43891</v>
      </c>
      <c r="B4682" s="27" t="s">
        <v>200</v>
      </c>
      <c r="C4682" s="27" t="s">
        <v>54</v>
      </c>
      <c r="D4682" s="27" t="s">
        <v>7</v>
      </c>
      <c r="E4682" s="27" t="s">
        <v>9</v>
      </c>
      <c r="F4682" s="29"/>
      <c r="G4682" s="30">
        <f t="shared" si="85"/>
        <v>5.1647368421052633</v>
      </c>
    </row>
    <row r="4683" spans="1:7" hidden="1" x14ac:dyDescent="0.25">
      <c r="A4683" s="28">
        <v>43891</v>
      </c>
      <c r="B4683" s="27" t="s">
        <v>200</v>
      </c>
      <c r="C4683" s="27" t="s">
        <v>54</v>
      </c>
      <c r="D4683" s="27" t="s">
        <v>7</v>
      </c>
      <c r="E4683" s="27" t="s">
        <v>22</v>
      </c>
      <c r="F4683" s="29"/>
      <c r="G4683" s="30">
        <f t="shared" si="85"/>
        <v>5.1647368421052633</v>
      </c>
    </row>
    <row r="4684" spans="1:7" hidden="1" x14ac:dyDescent="0.25">
      <c r="A4684" s="28">
        <v>43891</v>
      </c>
      <c r="B4684" s="27" t="s">
        <v>200</v>
      </c>
      <c r="C4684" s="27" t="s">
        <v>54</v>
      </c>
      <c r="D4684" s="27" t="s">
        <v>7</v>
      </c>
      <c r="E4684" s="27" t="s">
        <v>64</v>
      </c>
      <c r="F4684" s="29"/>
      <c r="G4684" s="30">
        <f t="shared" si="85"/>
        <v>5.1647368421052633</v>
      </c>
    </row>
    <row r="4685" spans="1:7" hidden="1" x14ac:dyDescent="0.25">
      <c r="A4685" s="28">
        <v>43891</v>
      </c>
      <c r="B4685" s="27" t="s">
        <v>200</v>
      </c>
      <c r="C4685" s="27" t="s">
        <v>54</v>
      </c>
      <c r="D4685" s="27" t="s">
        <v>7</v>
      </c>
      <c r="E4685" s="27" t="s">
        <v>21</v>
      </c>
      <c r="F4685" s="29"/>
      <c r="G4685" s="30">
        <f t="shared" si="85"/>
        <v>5.1647368421052633</v>
      </c>
    </row>
    <row r="4686" spans="1:7" hidden="1" x14ac:dyDescent="0.25">
      <c r="A4686" s="28">
        <v>43891</v>
      </c>
      <c r="B4686" s="27" t="s">
        <v>200</v>
      </c>
      <c r="C4686" s="27" t="s">
        <v>54</v>
      </c>
      <c r="D4686" s="27" t="s">
        <v>7</v>
      </c>
      <c r="E4686" s="27" t="s">
        <v>10</v>
      </c>
      <c r="F4686" s="29"/>
      <c r="G4686" s="30">
        <f t="shared" si="85"/>
        <v>5.1647368421052633</v>
      </c>
    </row>
    <row r="4687" spans="1:7" hidden="1" x14ac:dyDescent="0.25">
      <c r="A4687" s="28">
        <v>43891</v>
      </c>
      <c r="B4687" s="27" t="s">
        <v>200</v>
      </c>
      <c r="C4687" s="27" t="s">
        <v>54</v>
      </c>
      <c r="D4687" s="27" t="s">
        <v>7</v>
      </c>
      <c r="E4687" s="27" t="s">
        <v>11</v>
      </c>
      <c r="F4687" s="29"/>
      <c r="G4687" s="30">
        <f t="shared" si="85"/>
        <v>5.1647368421052633</v>
      </c>
    </row>
    <row r="4688" spans="1:7" hidden="1" x14ac:dyDescent="0.25">
      <c r="A4688" s="28">
        <v>43891</v>
      </c>
      <c r="B4688" s="27" t="s">
        <v>200</v>
      </c>
      <c r="C4688" s="27" t="s">
        <v>54</v>
      </c>
      <c r="D4688" s="27" t="s">
        <v>7</v>
      </c>
      <c r="E4688" s="27" t="s">
        <v>12</v>
      </c>
      <c r="F4688" s="29"/>
      <c r="G4688" s="30">
        <f t="shared" si="85"/>
        <v>5.1647368421052633</v>
      </c>
    </row>
    <row r="4689" spans="1:7" hidden="1" x14ac:dyDescent="0.25">
      <c r="A4689" s="28">
        <v>43891</v>
      </c>
      <c r="B4689" s="27" t="s">
        <v>200</v>
      </c>
      <c r="C4689" s="27" t="s">
        <v>54</v>
      </c>
      <c r="D4689" s="27" t="s">
        <v>7</v>
      </c>
      <c r="E4689" s="27" t="s">
        <v>13</v>
      </c>
      <c r="F4689" s="29"/>
      <c r="G4689" s="30">
        <f t="shared" si="85"/>
        <v>5.1647368421052633</v>
      </c>
    </row>
    <row r="4690" spans="1:7" hidden="1" x14ac:dyDescent="0.25">
      <c r="A4690" s="28">
        <v>43891</v>
      </c>
      <c r="B4690" s="27" t="s">
        <v>200</v>
      </c>
      <c r="C4690" s="27" t="s">
        <v>54</v>
      </c>
      <c r="D4690" s="27" t="s">
        <v>7</v>
      </c>
      <c r="E4690" s="27" t="s">
        <v>14</v>
      </c>
      <c r="F4690" s="29"/>
      <c r="G4690" s="30">
        <f t="shared" si="85"/>
        <v>5.1647368421052633</v>
      </c>
    </row>
    <row r="4691" spans="1:7" hidden="1" x14ac:dyDescent="0.25">
      <c r="A4691" s="28">
        <v>43891</v>
      </c>
      <c r="B4691" s="27" t="s">
        <v>200</v>
      </c>
      <c r="C4691" s="27" t="s">
        <v>54</v>
      </c>
      <c r="D4691" s="27" t="s">
        <v>7</v>
      </c>
      <c r="E4691" s="27" t="s">
        <v>15</v>
      </c>
      <c r="F4691" s="29"/>
      <c r="G4691" s="30">
        <f t="shared" si="85"/>
        <v>5.1647368421052633</v>
      </c>
    </row>
    <row r="4692" spans="1:7" hidden="1" x14ac:dyDescent="0.25">
      <c r="A4692" s="28">
        <v>43891</v>
      </c>
      <c r="B4692" s="27" t="s">
        <v>200</v>
      </c>
      <c r="C4692" s="27" t="s">
        <v>54</v>
      </c>
      <c r="D4692" s="27" t="s">
        <v>7</v>
      </c>
      <c r="E4692" s="27" t="s">
        <v>16</v>
      </c>
      <c r="F4692" s="29"/>
      <c r="G4692" s="30">
        <f t="shared" si="85"/>
        <v>5.1647368421052633</v>
      </c>
    </row>
    <row r="4693" spans="1:7" hidden="1" x14ac:dyDescent="0.25">
      <c r="A4693" s="28">
        <v>43891</v>
      </c>
      <c r="B4693" s="27" t="s">
        <v>200</v>
      </c>
      <c r="C4693" s="27" t="s">
        <v>54</v>
      </c>
      <c r="D4693" s="27" t="s">
        <v>7</v>
      </c>
      <c r="E4693" s="27" t="s">
        <v>17</v>
      </c>
      <c r="F4693" s="29"/>
      <c r="G4693" s="30">
        <f t="shared" si="85"/>
        <v>5.1647368421052633</v>
      </c>
    </row>
    <row r="4694" spans="1:7" hidden="1" x14ac:dyDescent="0.25">
      <c r="A4694" s="28">
        <v>43891</v>
      </c>
      <c r="B4694" s="27" t="s">
        <v>200</v>
      </c>
      <c r="C4694" s="27" t="s">
        <v>54</v>
      </c>
      <c r="D4694" s="27" t="s">
        <v>7</v>
      </c>
      <c r="E4694" s="27" t="s">
        <v>18</v>
      </c>
      <c r="F4694" s="29"/>
      <c r="G4694" s="30">
        <f t="shared" si="85"/>
        <v>5.1647368421052633</v>
      </c>
    </row>
    <row r="4695" spans="1:7" hidden="1" x14ac:dyDescent="0.25">
      <c r="A4695" s="28">
        <v>43891</v>
      </c>
      <c r="B4695" s="27" t="s">
        <v>200</v>
      </c>
      <c r="C4695" s="27" t="s">
        <v>54</v>
      </c>
      <c r="D4695" s="27" t="s">
        <v>7</v>
      </c>
      <c r="E4695" s="27" t="s">
        <v>19</v>
      </c>
      <c r="F4695" s="29"/>
      <c r="G4695" s="30">
        <f t="shared" si="85"/>
        <v>5.1647368421052633</v>
      </c>
    </row>
    <row r="4696" spans="1:7" hidden="1" x14ac:dyDescent="0.25">
      <c r="A4696" s="28">
        <v>43891</v>
      </c>
      <c r="B4696" s="27" t="s">
        <v>200</v>
      </c>
      <c r="C4696" s="27" t="s">
        <v>54</v>
      </c>
      <c r="D4696" s="27" t="s">
        <v>7</v>
      </c>
      <c r="E4696" s="27" t="s">
        <v>20</v>
      </c>
      <c r="F4696" s="29"/>
      <c r="G4696" s="30">
        <f t="shared" si="85"/>
        <v>5.1647368421052633</v>
      </c>
    </row>
    <row r="4697" spans="1:7" hidden="1" x14ac:dyDescent="0.25">
      <c r="A4697" s="28">
        <v>43891</v>
      </c>
      <c r="B4697" s="27" t="s">
        <v>200</v>
      </c>
      <c r="C4697" s="27" t="s">
        <v>54</v>
      </c>
      <c r="D4697" s="27" t="s">
        <v>7</v>
      </c>
      <c r="E4697" s="27" t="s">
        <v>38</v>
      </c>
      <c r="F4697" s="29"/>
      <c r="G4697" s="30">
        <f t="shared" si="85"/>
        <v>5.1647368421052633</v>
      </c>
    </row>
    <row r="4698" spans="1:7" hidden="1" x14ac:dyDescent="0.25">
      <c r="A4698" s="28">
        <v>43891</v>
      </c>
      <c r="B4698" s="27" t="s">
        <v>200</v>
      </c>
      <c r="C4698" s="27" t="s">
        <v>54</v>
      </c>
      <c r="D4698" s="27" t="s">
        <v>7</v>
      </c>
      <c r="E4698" s="27" t="s">
        <v>23</v>
      </c>
      <c r="F4698" s="29"/>
      <c r="G4698" s="30">
        <f t="shared" si="85"/>
        <v>5.1647368421052633</v>
      </c>
    </row>
    <row r="4699" spans="1:7" hidden="1" x14ac:dyDescent="0.25">
      <c r="A4699" s="28">
        <v>43891</v>
      </c>
      <c r="B4699" s="27" t="s">
        <v>200</v>
      </c>
      <c r="C4699" s="27" t="s">
        <v>54</v>
      </c>
      <c r="D4699" s="27" t="s">
        <v>7</v>
      </c>
      <c r="E4699" s="27" t="s">
        <v>37</v>
      </c>
      <c r="F4699" s="29"/>
      <c r="G4699" s="30">
        <f t="shared" si="85"/>
        <v>5.1647368421052633</v>
      </c>
    </row>
    <row r="4700" spans="1:7" hidden="1" x14ac:dyDescent="0.25">
      <c r="A4700" s="28">
        <v>43891</v>
      </c>
      <c r="B4700" s="27" t="s">
        <v>200</v>
      </c>
      <c r="C4700" s="27" t="s">
        <v>55</v>
      </c>
      <c r="D4700" s="27" t="s">
        <v>6</v>
      </c>
      <c r="E4700" s="27" t="s">
        <v>8</v>
      </c>
      <c r="F4700" s="29"/>
      <c r="G4700" s="30">
        <f t="shared" ref="G4700:G4716" si="86">21359.7355111111/18</f>
        <v>1186.6519728395056</v>
      </c>
    </row>
    <row r="4701" spans="1:7" hidden="1" x14ac:dyDescent="0.25">
      <c r="A4701" s="28">
        <v>43891</v>
      </c>
      <c r="B4701" s="27" t="s">
        <v>200</v>
      </c>
      <c r="C4701" s="27" t="s">
        <v>55</v>
      </c>
      <c r="D4701" s="27" t="s">
        <v>6</v>
      </c>
      <c r="E4701" s="27" t="s">
        <v>9</v>
      </c>
      <c r="F4701" s="29"/>
      <c r="G4701" s="30">
        <f t="shared" si="86"/>
        <v>1186.6519728395056</v>
      </c>
    </row>
    <row r="4702" spans="1:7" hidden="1" x14ac:dyDescent="0.25">
      <c r="A4702" s="28">
        <v>43891</v>
      </c>
      <c r="B4702" s="27" t="s">
        <v>200</v>
      </c>
      <c r="C4702" s="27" t="s">
        <v>55</v>
      </c>
      <c r="D4702" s="27" t="s">
        <v>6</v>
      </c>
      <c r="E4702" s="27" t="s">
        <v>22</v>
      </c>
      <c r="F4702" s="29"/>
      <c r="G4702" s="30">
        <f t="shared" si="86"/>
        <v>1186.6519728395056</v>
      </c>
    </row>
    <row r="4703" spans="1:7" hidden="1" x14ac:dyDescent="0.25">
      <c r="A4703" s="28">
        <v>43891</v>
      </c>
      <c r="B4703" s="27" t="s">
        <v>200</v>
      </c>
      <c r="C4703" s="27" t="s">
        <v>55</v>
      </c>
      <c r="D4703" s="27" t="s">
        <v>6</v>
      </c>
      <c r="E4703" s="27" t="s">
        <v>64</v>
      </c>
      <c r="F4703" s="29"/>
      <c r="G4703" s="30">
        <f t="shared" si="86"/>
        <v>1186.6519728395056</v>
      </c>
    </row>
    <row r="4704" spans="1:7" hidden="1" x14ac:dyDescent="0.25">
      <c r="A4704" s="28">
        <v>43891</v>
      </c>
      <c r="B4704" s="27" t="s">
        <v>200</v>
      </c>
      <c r="C4704" s="27" t="s">
        <v>55</v>
      </c>
      <c r="D4704" s="27" t="s">
        <v>6</v>
      </c>
      <c r="E4704" s="27" t="s">
        <v>21</v>
      </c>
      <c r="F4704" s="29"/>
      <c r="G4704" s="30">
        <f t="shared" si="86"/>
        <v>1186.6519728395056</v>
      </c>
    </row>
    <row r="4705" spans="1:7" hidden="1" x14ac:dyDescent="0.25">
      <c r="A4705" s="28">
        <v>43891</v>
      </c>
      <c r="B4705" s="27" t="s">
        <v>200</v>
      </c>
      <c r="C4705" s="27" t="s">
        <v>55</v>
      </c>
      <c r="D4705" s="27" t="s">
        <v>6</v>
      </c>
      <c r="E4705" s="27" t="s">
        <v>10</v>
      </c>
      <c r="F4705" s="29"/>
      <c r="G4705" s="30">
        <f t="shared" si="86"/>
        <v>1186.6519728395056</v>
      </c>
    </row>
    <row r="4706" spans="1:7" hidden="1" x14ac:dyDescent="0.25">
      <c r="A4706" s="28">
        <v>43891</v>
      </c>
      <c r="B4706" s="27" t="s">
        <v>200</v>
      </c>
      <c r="C4706" s="27" t="s">
        <v>55</v>
      </c>
      <c r="D4706" s="27" t="s">
        <v>6</v>
      </c>
      <c r="E4706" s="27" t="s">
        <v>11</v>
      </c>
      <c r="F4706" s="29"/>
      <c r="G4706" s="30">
        <f t="shared" si="86"/>
        <v>1186.6519728395056</v>
      </c>
    </row>
    <row r="4707" spans="1:7" hidden="1" x14ac:dyDescent="0.25">
      <c r="A4707" s="28">
        <v>43891</v>
      </c>
      <c r="B4707" s="27" t="s">
        <v>200</v>
      </c>
      <c r="C4707" s="27" t="s">
        <v>55</v>
      </c>
      <c r="D4707" s="27" t="s">
        <v>6</v>
      </c>
      <c r="E4707" s="27" t="s">
        <v>12</v>
      </c>
      <c r="F4707" s="29"/>
      <c r="G4707" s="30">
        <f t="shared" si="86"/>
        <v>1186.6519728395056</v>
      </c>
    </row>
    <row r="4708" spans="1:7" hidden="1" x14ac:dyDescent="0.25">
      <c r="A4708" s="28">
        <v>43891</v>
      </c>
      <c r="B4708" s="27" t="s">
        <v>200</v>
      </c>
      <c r="C4708" s="27" t="s">
        <v>55</v>
      </c>
      <c r="D4708" s="27" t="s">
        <v>6</v>
      </c>
      <c r="E4708" s="27" t="s">
        <v>13</v>
      </c>
      <c r="F4708" s="29"/>
      <c r="G4708" s="30">
        <f t="shared" si="86"/>
        <v>1186.6519728395056</v>
      </c>
    </row>
    <row r="4709" spans="1:7" hidden="1" x14ac:dyDescent="0.25">
      <c r="A4709" s="28">
        <v>43891</v>
      </c>
      <c r="B4709" s="27" t="s">
        <v>200</v>
      </c>
      <c r="C4709" s="27" t="s">
        <v>55</v>
      </c>
      <c r="D4709" s="27" t="s">
        <v>6</v>
      </c>
      <c r="E4709" s="27" t="s">
        <v>14</v>
      </c>
      <c r="F4709" s="29"/>
      <c r="G4709" s="30">
        <f t="shared" si="86"/>
        <v>1186.6519728395056</v>
      </c>
    </row>
    <row r="4710" spans="1:7" hidden="1" x14ac:dyDescent="0.25">
      <c r="A4710" s="28">
        <v>43891</v>
      </c>
      <c r="B4710" s="27" t="s">
        <v>200</v>
      </c>
      <c r="C4710" s="27" t="s">
        <v>55</v>
      </c>
      <c r="D4710" s="27" t="s">
        <v>6</v>
      </c>
      <c r="E4710" s="27" t="s">
        <v>15</v>
      </c>
      <c r="F4710" s="29"/>
      <c r="G4710" s="30">
        <f t="shared" si="86"/>
        <v>1186.6519728395056</v>
      </c>
    </row>
    <row r="4711" spans="1:7" hidden="1" x14ac:dyDescent="0.25">
      <c r="A4711" s="28">
        <v>43891</v>
      </c>
      <c r="B4711" s="27" t="s">
        <v>200</v>
      </c>
      <c r="C4711" s="27" t="s">
        <v>55</v>
      </c>
      <c r="D4711" s="27" t="s">
        <v>6</v>
      </c>
      <c r="E4711" s="27" t="s">
        <v>16</v>
      </c>
      <c r="F4711" s="29"/>
      <c r="G4711" s="30">
        <f t="shared" si="86"/>
        <v>1186.6519728395056</v>
      </c>
    </row>
    <row r="4712" spans="1:7" hidden="1" x14ac:dyDescent="0.25">
      <c r="A4712" s="28">
        <v>43891</v>
      </c>
      <c r="B4712" s="27" t="s">
        <v>200</v>
      </c>
      <c r="C4712" s="27" t="s">
        <v>55</v>
      </c>
      <c r="D4712" s="27" t="s">
        <v>6</v>
      </c>
      <c r="E4712" s="27" t="s">
        <v>17</v>
      </c>
      <c r="F4712" s="29"/>
      <c r="G4712" s="30">
        <f t="shared" si="86"/>
        <v>1186.6519728395056</v>
      </c>
    </row>
    <row r="4713" spans="1:7" hidden="1" x14ac:dyDescent="0.25">
      <c r="A4713" s="28">
        <v>43891</v>
      </c>
      <c r="B4713" s="27" t="s">
        <v>200</v>
      </c>
      <c r="C4713" s="27" t="s">
        <v>55</v>
      </c>
      <c r="D4713" s="27" t="s">
        <v>6</v>
      </c>
      <c r="E4713" s="27" t="s">
        <v>18</v>
      </c>
      <c r="F4713" s="29"/>
      <c r="G4713" s="30">
        <f t="shared" si="86"/>
        <v>1186.6519728395056</v>
      </c>
    </row>
    <row r="4714" spans="1:7" hidden="1" x14ac:dyDescent="0.25">
      <c r="A4714" s="28">
        <v>43891</v>
      </c>
      <c r="B4714" s="27" t="s">
        <v>200</v>
      </c>
      <c r="C4714" s="27" t="s">
        <v>55</v>
      </c>
      <c r="D4714" s="27" t="s">
        <v>6</v>
      </c>
      <c r="E4714" s="27" t="s">
        <v>19</v>
      </c>
      <c r="F4714" s="29"/>
      <c r="G4714" s="30">
        <f t="shared" si="86"/>
        <v>1186.6519728395056</v>
      </c>
    </row>
    <row r="4715" spans="1:7" hidden="1" x14ac:dyDescent="0.25">
      <c r="A4715" s="28">
        <v>43891</v>
      </c>
      <c r="B4715" s="27" t="s">
        <v>200</v>
      </c>
      <c r="C4715" s="27" t="s">
        <v>55</v>
      </c>
      <c r="D4715" s="27" t="s">
        <v>6</v>
      </c>
      <c r="E4715" s="27" t="s">
        <v>20</v>
      </c>
      <c r="F4715" s="29"/>
      <c r="G4715" s="30">
        <f t="shared" si="86"/>
        <v>1186.6519728395056</v>
      </c>
    </row>
    <row r="4716" spans="1:7" hidden="1" x14ac:dyDescent="0.25">
      <c r="A4716" s="28">
        <v>43891</v>
      </c>
      <c r="B4716" s="27" t="s">
        <v>200</v>
      </c>
      <c r="C4716" s="27" t="s">
        <v>55</v>
      </c>
      <c r="D4716" s="27" t="s">
        <v>6</v>
      </c>
      <c r="E4716" s="27" t="s">
        <v>38</v>
      </c>
      <c r="F4716" s="29"/>
      <c r="G4716" s="30">
        <f t="shared" si="86"/>
        <v>1186.6519728395056</v>
      </c>
    </row>
    <row r="4717" spans="1:7" hidden="1" x14ac:dyDescent="0.25">
      <c r="A4717" s="28">
        <v>43891</v>
      </c>
      <c r="B4717" s="27" t="s">
        <v>200</v>
      </c>
      <c r="C4717" s="27" t="s">
        <v>183</v>
      </c>
      <c r="D4717" s="27" t="s">
        <v>7</v>
      </c>
      <c r="E4717" s="27" t="s">
        <v>8</v>
      </c>
      <c r="F4717" s="29"/>
      <c r="G4717" s="30">
        <f t="shared" ref="G4717:G4735" si="87">792.88/19</f>
        <v>41.730526315789476</v>
      </c>
    </row>
    <row r="4718" spans="1:7" hidden="1" x14ac:dyDescent="0.25">
      <c r="A4718" s="28">
        <v>43891</v>
      </c>
      <c r="B4718" s="27" t="s">
        <v>200</v>
      </c>
      <c r="C4718" s="27" t="s">
        <v>183</v>
      </c>
      <c r="D4718" s="27" t="s">
        <v>7</v>
      </c>
      <c r="E4718" s="27" t="s">
        <v>9</v>
      </c>
      <c r="F4718" s="29"/>
      <c r="G4718" s="30">
        <f t="shared" si="87"/>
        <v>41.730526315789476</v>
      </c>
    </row>
    <row r="4719" spans="1:7" hidden="1" x14ac:dyDescent="0.25">
      <c r="A4719" s="28">
        <v>43891</v>
      </c>
      <c r="B4719" s="27" t="s">
        <v>200</v>
      </c>
      <c r="C4719" s="27" t="s">
        <v>183</v>
      </c>
      <c r="D4719" s="27" t="s">
        <v>7</v>
      </c>
      <c r="E4719" s="27" t="s">
        <v>22</v>
      </c>
      <c r="F4719" s="29"/>
      <c r="G4719" s="30">
        <f t="shared" si="87"/>
        <v>41.730526315789476</v>
      </c>
    </row>
    <row r="4720" spans="1:7" hidden="1" x14ac:dyDescent="0.25">
      <c r="A4720" s="28">
        <v>43891</v>
      </c>
      <c r="B4720" s="27" t="s">
        <v>200</v>
      </c>
      <c r="C4720" s="27" t="s">
        <v>183</v>
      </c>
      <c r="D4720" s="27" t="s">
        <v>7</v>
      </c>
      <c r="E4720" s="27" t="s">
        <v>64</v>
      </c>
      <c r="F4720" s="29"/>
      <c r="G4720" s="30">
        <f t="shared" si="87"/>
        <v>41.730526315789476</v>
      </c>
    </row>
    <row r="4721" spans="1:7" hidden="1" x14ac:dyDescent="0.25">
      <c r="A4721" s="28">
        <v>43891</v>
      </c>
      <c r="B4721" s="27" t="s">
        <v>200</v>
      </c>
      <c r="C4721" s="27" t="s">
        <v>183</v>
      </c>
      <c r="D4721" s="27" t="s">
        <v>7</v>
      </c>
      <c r="E4721" s="27" t="s">
        <v>21</v>
      </c>
      <c r="F4721" s="29"/>
      <c r="G4721" s="30">
        <f t="shared" si="87"/>
        <v>41.730526315789476</v>
      </c>
    </row>
    <row r="4722" spans="1:7" hidden="1" x14ac:dyDescent="0.25">
      <c r="A4722" s="28">
        <v>43891</v>
      </c>
      <c r="B4722" s="27" t="s">
        <v>200</v>
      </c>
      <c r="C4722" s="27" t="s">
        <v>183</v>
      </c>
      <c r="D4722" s="27" t="s">
        <v>7</v>
      </c>
      <c r="E4722" s="27" t="s">
        <v>10</v>
      </c>
      <c r="F4722" s="29"/>
      <c r="G4722" s="30">
        <f t="shared" si="87"/>
        <v>41.730526315789476</v>
      </c>
    </row>
    <row r="4723" spans="1:7" hidden="1" x14ac:dyDescent="0.25">
      <c r="A4723" s="28">
        <v>43891</v>
      </c>
      <c r="B4723" s="27" t="s">
        <v>200</v>
      </c>
      <c r="C4723" s="27" t="s">
        <v>183</v>
      </c>
      <c r="D4723" s="27" t="s">
        <v>7</v>
      </c>
      <c r="E4723" s="27" t="s">
        <v>11</v>
      </c>
      <c r="F4723" s="29"/>
      <c r="G4723" s="30">
        <f t="shared" si="87"/>
        <v>41.730526315789476</v>
      </c>
    </row>
    <row r="4724" spans="1:7" hidden="1" x14ac:dyDescent="0.25">
      <c r="A4724" s="28">
        <v>43891</v>
      </c>
      <c r="B4724" s="27" t="s">
        <v>200</v>
      </c>
      <c r="C4724" s="27" t="s">
        <v>183</v>
      </c>
      <c r="D4724" s="27" t="s">
        <v>7</v>
      </c>
      <c r="E4724" s="27" t="s">
        <v>12</v>
      </c>
      <c r="F4724" s="29"/>
      <c r="G4724" s="30">
        <f t="shared" si="87"/>
        <v>41.730526315789476</v>
      </c>
    </row>
    <row r="4725" spans="1:7" hidden="1" x14ac:dyDescent="0.25">
      <c r="A4725" s="28">
        <v>43891</v>
      </c>
      <c r="B4725" s="27" t="s">
        <v>200</v>
      </c>
      <c r="C4725" s="27" t="s">
        <v>183</v>
      </c>
      <c r="D4725" s="27" t="s">
        <v>7</v>
      </c>
      <c r="E4725" s="27" t="s">
        <v>13</v>
      </c>
      <c r="F4725" s="29"/>
      <c r="G4725" s="30">
        <f t="shared" si="87"/>
        <v>41.730526315789476</v>
      </c>
    </row>
    <row r="4726" spans="1:7" hidden="1" x14ac:dyDescent="0.25">
      <c r="A4726" s="28">
        <v>43891</v>
      </c>
      <c r="B4726" s="27" t="s">
        <v>200</v>
      </c>
      <c r="C4726" s="27" t="s">
        <v>183</v>
      </c>
      <c r="D4726" s="27" t="s">
        <v>7</v>
      </c>
      <c r="E4726" s="27" t="s">
        <v>14</v>
      </c>
      <c r="F4726" s="29"/>
      <c r="G4726" s="30">
        <f t="shared" si="87"/>
        <v>41.730526315789476</v>
      </c>
    </row>
    <row r="4727" spans="1:7" hidden="1" x14ac:dyDescent="0.25">
      <c r="A4727" s="28">
        <v>43891</v>
      </c>
      <c r="B4727" s="27" t="s">
        <v>200</v>
      </c>
      <c r="C4727" s="27" t="s">
        <v>183</v>
      </c>
      <c r="D4727" s="27" t="s">
        <v>7</v>
      </c>
      <c r="E4727" s="27" t="s">
        <v>15</v>
      </c>
      <c r="F4727" s="29"/>
      <c r="G4727" s="30">
        <f t="shared" si="87"/>
        <v>41.730526315789476</v>
      </c>
    </row>
    <row r="4728" spans="1:7" hidden="1" x14ac:dyDescent="0.25">
      <c r="A4728" s="28">
        <v>43891</v>
      </c>
      <c r="B4728" s="27" t="s">
        <v>200</v>
      </c>
      <c r="C4728" s="27" t="s">
        <v>183</v>
      </c>
      <c r="D4728" s="27" t="s">
        <v>7</v>
      </c>
      <c r="E4728" s="27" t="s">
        <v>16</v>
      </c>
      <c r="F4728" s="29"/>
      <c r="G4728" s="30">
        <f t="shared" si="87"/>
        <v>41.730526315789476</v>
      </c>
    </row>
    <row r="4729" spans="1:7" hidden="1" x14ac:dyDescent="0.25">
      <c r="A4729" s="28">
        <v>43891</v>
      </c>
      <c r="B4729" s="27" t="s">
        <v>200</v>
      </c>
      <c r="C4729" s="27" t="s">
        <v>183</v>
      </c>
      <c r="D4729" s="27" t="s">
        <v>7</v>
      </c>
      <c r="E4729" s="27" t="s">
        <v>17</v>
      </c>
      <c r="F4729" s="29"/>
      <c r="G4729" s="30">
        <f t="shared" si="87"/>
        <v>41.730526315789476</v>
      </c>
    </row>
    <row r="4730" spans="1:7" hidden="1" x14ac:dyDescent="0.25">
      <c r="A4730" s="28">
        <v>43891</v>
      </c>
      <c r="B4730" s="27" t="s">
        <v>200</v>
      </c>
      <c r="C4730" s="27" t="s">
        <v>183</v>
      </c>
      <c r="D4730" s="27" t="s">
        <v>7</v>
      </c>
      <c r="E4730" s="27" t="s">
        <v>18</v>
      </c>
      <c r="F4730" s="29"/>
      <c r="G4730" s="30">
        <f t="shared" si="87"/>
        <v>41.730526315789476</v>
      </c>
    </row>
    <row r="4731" spans="1:7" hidden="1" x14ac:dyDescent="0.25">
      <c r="A4731" s="28">
        <v>43891</v>
      </c>
      <c r="B4731" s="27" t="s">
        <v>200</v>
      </c>
      <c r="C4731" s="27" t="s">
        <v>183</v>
      </c>
      <c r="D4731" s="27" t="s">
        <v>7</v>
      </c>
      <c r="E4731" s="27" t="s">
        <v>19</v>
      </c>
      <c r="F4731" s="29"/>
      <c r="G4731" s="30">
        <f t="shared" si="87"/>
        <v>41.730526315789476</v>
      </c>
    </row>
    <row r="4732" spans="1:7" hidden="1" x14ac:dyDescent="0.25">
      <c r="A4732" s="28">
        <v>43891</v>
      </c>
      <c r="B4732" s="27" t="s">
        <v>200</v>
      </c>
      <c r="C4732" s="27" t="s">
        <v>183</v>
      </c>
      <c r="D4732" s="27" t="s">
        <v>7</v>
      </c>
      <c r="E4732" s="27" t="s">
        <v>20</v>
      </c>
      <c r="F4732" s="29"/>
      <c r="G4732" s="30">
        <f t="shared" si="87"/>
        <v>41.730526315789476</v>
      </c>
    </row>
    <row r="4733" spans="1:7" hidden="1" x14ac:dyDescent="0.25">
      <c r="A4733" s="28">
        <v>43891</v>
      </c>
      <c r="B4733" s="27" t="s">
        <v>200</v>
      </c>
      <c r="C4733" s="27" t="s">
        <v>183</v>
      </c>
      <c r="D4733" s="27" t="s">
        <v>7</v>
      </c>
      <c r="E4733" s="27" t="s">
        <v>38</v>
      </c>
      <c r="F4733" s="29"/>
      <c r="G4733" s="30">
        <f t="shared" si="87"/>
        <v>41.730526315789476</v>
      </c>
    </row>
    <row r="4734" spans="1:7" hidden="1" x14ac:dyDescent="0.25">
      <c r="A4734" s="28">
        <v>43891</v>
      </c>
      <c r="B4734" s="27" t="s">
        <v>200</v>
      </c>
      <c r="C4734" s="27" t="s">
        <v>183</v>
      </c>
      <c r="D4734" s="27" t="s">
        <v>7</v>
      </c>
      <c r="E4734" s="27" t="s">
        <v>23</v>
      </c>
      <c r="F4734" s="29"/>
      <c r="G4734" s="30">
        <f t="shared" si="87"/>
        <v>41.730526315789476</v>
      </c>
    </row>
    <row r="4735" spans="1:7" hidden="1" x14ac:dyDescent="0.25">
      <c r="A4735" s="28">
        <v>43891</v>
      </c>
      <c r="B4735" s="27" t="s">
        <v>200</v>
      </c>
      <c r="C4735" s="27" t="s">
        <v>183</v>
      </c>
      <c r="D4735" s="27" t="s">
        <v>7</v>
      </c>
      <c r="E4735" s="27" t="s">
        <v>37</v>
      </c>
      <c r="F4735" s="29"/>
      <c r="G4735" s="30">
        <f t="shared" si="87"/>
        <v>41.730526315789476</v>
      </c>
    </row>
    <row r="4736" spans="1:7" hidden="1" x14ac:dyDescent="0.25">
      <c r="A4736" s="28">
        <v>43891</v>
      </c>
      <c r="B4736" s="27" t="s">
        <v>200</v>
      </c>
      <c r="C4736" s="27" t="s">
        <v>56</v>
      </c>
      <c r="D4736" s="27" t="s">
        <v>6</v>
      </c>
      <c r="E4736" s="27" t="s">
        <v>8</v>
      </c>
      <c r="F4736" s="29"/>
      <c r="G4736" s="30">
        <f t="shared" ref="G4736:G4753" si="88">46820.9398844444/18</f>
        <v>2601.1633269135777</v>
      </c>
    </row>
    <row r="4737" spans="1:7" hidden="1" x14ac:dyDescent="0.25">
      <c r="A4737" s="28">
        <v>43891</v>
      </c>
      <c r="B4737" s="27" t="s">
        <v>200</v>
      </c>
      <c r="C4737" s="27" t="s">
        <v>56</v>
      </c>
      <c r="D4737" s="27" t="s">
        <v>6</v>
      </c>
      <c r="E4737" s="27" t="s">
        <v>9</v>
      </c>
      <c r="F4737" s="29"/>
      <c r="G4737" s="30">
        <f t="shared" si="88"/>
        <v>2601.1633269135777</v>
      </c>
    </row>
    <row r="4738" spans="1:7" hidden="1" x14ac:dyDescent="0.25">
      <c r="A4738" s="28">
        <v>43891</v>
      </c>
      <c r="B4738" s="27" t="s">
        <v>200</v>
      </c>
      <c r="C4738" s="27" t="s">
        <v>56</v>
      </c>
      <c r="D4738" s="27" t="s">
        <v>6</v>
      </c>
      <c r="E4738" s="27" t="s">
        <v>22</v>
      </c>
      <c r="F4738" s="29"/>
      <c r="G4738" s="30">
        <f t="shared" si="88"/>
        <v>2601.1633269135777</v>
      </c>
    </row>
    <row r="4739" spans="1:7" hidden="1" x14ac:dyDescent="0.25">
      <c r="A4739" s="28">
        <v>43891</v>
      </c>
      <c r="B4739" s="27" t="s">
        <v>200</v>
      </c>
      <c r="C4739" s="27" t="s">
        <v>56</v>
      </c>
      <c r="D4739" s="27" t="s">
        <v>6</v>
      </c>
      <c r="E4739" s="27" t="s">
        <v>64</v>
      </c>
      <c r="F4739" s="29"/>
      <c r="G4739" s="30">
        <f t="shared" si="88"/>
        <v>2601.1633269135777</v>
      </c>
    </row>
    <row r="4740" spans="1:7" hidden="1" x14ac:dyDescent="0.25">
      <c r="A4740" s="28">
        <v>43891</v>
      </c>
      <c r="B4740" s="27" t="s">
        <v>200</v>
      </c>
      <c r="C4740" s="27" t="s">
        <v>56</v>
      </c>
      <c r="D4740" s="27" t="s">
        <v>6</v>
      </c>
      <c r="E4740" s="27" t="s">
        <v>21</v>
      </c>
      <c r="F4740" s="29"/>
      <c r="G4740" s="30">
        <f t="shared" si="88"/>
        <v>2601.1633269135777</v>
      </c>
    </row>
    <row r="4741" spans="1:7" hidden="1" x14ac:dyDescent="0.25">
      <c r="A4741" s="28">
        <v>43891</v>
      </c>
      <c r="B4741" s="27" t="s">
        <v>200</v>
      </c>
      <c r="C4741" s="27" t="s">
        <v>56</v>
      </c>
      <c r="D4741" s="27" t="s">
        <v>6</v>
      </c>
      <c r="E4741" s="27" t="s">
        <v>10</v>
      </c>
      <c r="F4741" s="29"/>
      <c r="G4741" s="30">
        <f t="shared" si="88"/>
        <v>2601.1633269135777</v>
      </c>
    </row>
    <row r="4742" spans="1:7" hidden="1" x14ac:dyDescent="0.25">
      <c r="A4742" s="28">
        <v>43891</v>
      </c>
      <c r="B4742" s="27" t="s">
        <v>200</v>
      </c>
      <c r="C4742" s="27" t="s">
        <v>56</v>
      </c>
      <c r="D4742" s="27" t="s">
        <v>6</v>
      </c>
      <c r="E4742" s="27" t="s">
        <v>11</v>
      </c>
      <c r="F4742" s="29"/>
      <c r="G4742" s="30">
        <f t="shared" si="88"/>
        <v>2601.1633269135777</v>
      </c>
    </row>
    <row r="4743" spans="1:7" hidden="1" x14ac:dyDescent="0.25">
      <c r="A4743" s="28">
        <v>43891</v>
      </c>
      <c r="B4743" s="27" t="s">
        <v>200</v>
      </c>
      <c r="C4743" s="27" t="s">
        <v>56</v>
      </c>
      <c r="D4743" s="27" t="s">
        <v>6</v>
      </c>
      <c r="E4743" s="27" t="s">
        <v>12</v>
      </c>
      <c r="F4743" s="29"/>
      <c r="G4743" s="30">
        <f t="shared" si="88"/>
        <v>2601.1633269135777</v>
      </c>
    </row>
    <row r="4744" spans="1:7" hidden="1" x14ac:dyDescent="0.25">
      <c r="A4744" s="28">
        <v>43891</v>
      </c>
      <c r="B4744" s="27" t="s">
        <v>200</v>
      </c>
      <c r="C4744" s="27" t="s">
        <v>56</v>
      </c>
      <c r="D4744" s="27" t="s">
        <v>6</v>
      </c>
      <c r="E4744" s="27" t="s">
        <v>13</v>
      </c>
      <c r="F4744" s="29"/>
      <c r="G4744" s="30">
        <f t="shared" si="88"/>
        <v>2601.1633269135777</v>
      </c>
    </row>
    <row r="4745" spans="1:7" hidden="1" x14ac:dyDescent="0.25">
      <c r="A4745" s="28">
        <v>43891</v>
      </c>
      <c r="B4745" s="27" t="s">
        <v>200</v>
      </c>
      <c r="C4745" s="27" t="s">
        <v>56</v>
      </c>
      <c r="D4745" s="27" t="s">
        <v>6</v>
      </c>
      <c r="E4745" s="27" t="s">
        <v>14</v>
      </c>
      <c r="F4745" s="29"/>
      <c r="G4745" s="30">
        <f t="shared" si="88"/>
        <v>2601.1633269135777</v>
      </c>
    </row>
    <row r="4746" spans="1:7" hidden="1" x14ac:dyDescent="0.25">
      <c r="A4746" s="28">
        <v>43891</v>
      </c>
      <c r="B4746" s="27" t="s">
        <v>200</v>
      </c>
      <c r="C4746" s="27" t="s">
        <v>56</v>
      </c>
      <c r="D4746" s="27" t="s">
        <v>6</v>
      </c>
      <c r="E4746" s="27" t="s">
        <v>15</v>
      </c>
      <c r="F4746" s="29"/>
      <c r="G4746" s="30">
        <f t="shared" si="88"/>
        <v>2601.1633269135777</v>
      </c>
    </row>
    <row r="4747" spans="1:7" hidden="1" x14ac:dyDescent="0.25">
      <c r="A4747" s="28">
        <v>43891</v>
      </c>
      <c r="B4747" s="27" t="s">
        <v>200</v>
      </c>
      <c r="C4747" s="27" t="s">
        <v>56</v>
      </c>
      <c r="D4747" s="27" t="s">
        <v>6</v>
      </c>
      <c r="E4747" s="27" t="s">
        <v>16</v>
      </c>
      <c r="F4747" s="29"/>
      <c r="G4747" s="30">
        <f t="shared" si="88"/>
        <v>2601.1633269135777</v>
      </c>
    </row>
    <row r="4748" spans="1:7" hidden="1" x14ac:dyDescent="0.25">
      <c r="A4748" s="28">
        <v>43891</v>
      </c>
      <c r="B4748" s="27" t="s">
        <v>200</v>
      </c>
      <c r="C4748" s="27" t="s">
        <v>56</v>
      </c>
      <c r="D4748" s="27" t="s">
        <v>6</v>
      </c>
      <c r="E4748" s="27" t="s">
        <v>17</v>
      </c>
      <c r="F4748" s="29"/>
      <c r="G4748" s="30">
        <f t="shared" si="88"/>
        <v>2601.1633269135777</v>
      </c>
    </row>
    <row r="4749" spans="1:7" hidden="1" x14ac:dyDescent="0.25">
      <c r="A4749" s="28">
        <v>43891</v>
      </c>
      <c r="B4749" s="27" t="s">
        <v>200</v>
      </c>
      <c r="C4749" s="27" t="s">
        <v>56</v>
      </c>
      <c r="D4749" s="27" t="s">
        <v>6</v>
      </c>
      <c r="E4749" s="27" t="s">
        <v>18</v>
      </c>
      <c r="F4749" s="29"/>
      <c r="G4749" s="30">
        <f t="shared" si="88"/>
        <v>2601.1633269135777</v>
      </c>
    </row>
    <row r="4750" spans="1:7" hidden="1" x14ac:dyDescent="0.25">
      <c r="A4750" s="28">
        <v>43891</v>
      </c>
      <c r="B4750" s="27" t="s">
        <v>200</v>
      </c>
      <c r="C4750" s="27" t="s">
        <v>56</v>
      </c>
      <c r="D4750" s="27" t="s">
        <v>6</v>
      </c>
      <c r="E4750" s="27" t="s">
        <v>19</v>
      </c>
      <c r="F4750" s="29"/>
      <c r="G4750" s="30">
        <f t="shared" si="88"/>
        <v>2601.1633269135777</v>
      </c>
    </row>
    <row r="4751" spans="1:7" hidden="1" x14ac:dyDescent="0.25">
      <c r="A4751" s="28">
        <v>43891</v>
      </c>
      <c r="B4751" s="27" t="s">
        <v>200</v>
      </c>
      <c r="C4751" s="27" t="s">
        <v>56</v>
      </c>
      <c r="D4751" s="27" t="s">
        <v>6</v>
      </c>
      <c r="E4751" s="27" t="s">
        <v>20</v>
      </c>
      <c r="F4751" s="29"/>
      <c r="G4751" s="30">
        <f t="shared" si="88"/>
        <v>2601.1633269135777</v>
      </c>
    </row>
    <row r="4752" spans="1:7" hidden="1" x14ac:dyDescent="0.25">
      <c r="A4752" s="28">
        <v>43891</v>
      </c>
      <c r="B4752" s="27" t="s">
        <v>200</v>
      </c>
      <c r="C4752" s="27" t="s">
        <v>56</v>
      </c>
      <c r="D4752" s="27" t="s">
        <v>6</v>
      </c>
      <c r="E4752" s="27" t="s">
        <v>38</v>
      </c>
      <c r="F4752" s="29"/>
      <c r="G4752" s="30">
        <f t="shared" si="88"/>
        <v>2601.1633269135777</v>
      </c>
    </row>
    <row r="4753" spans="1:7" hidden="1" x14ac:dyDescent="0.25">
      <c r="A4753" s="28">
        <v>43891</v>
      </c>
      <c r="B4753" s="27" t="s">
        <v>200</v>
      </c>
      <c r="C4753" s="27" t="s">
        <v>56</v>
      </c>
      <c r="D4753" s="27" t="s">
        <v>6</v>
      </c>
      <c r="E4753" s="27" t="s">
        <v>23</v>
      </c>
      <c r="F4753" s="29"/>
      <c r="G4753" s="30">
        <f t="shared" si="88"/>
        <v>2601.1633269135777</v>
      </c>
    </row>
    <row r="4754" spans="1:7" hidden="1" x14ac:dyDescent="0.25">
      <c r="A4754" s="28">
        <v>43891</v>
      </c>
      <c r="B4754" s="27" t="s">
        <v>200</v>
      </c>
      <c r="C4754" s="27" t="s">
        <v>182</v>
      </c>
      <c r="D4754" s="27" t="s">
        <v>7</v>
      </c>
      <c r="E4754" s="27" t="s">
        <v>8</v>
      </c>
      <c r="F4754" s="29"/>
      <c r="G4754" s="30">
        <f t="shared" ref="G4754:G4772" si="89">4110.11/19</f>
        <v>216.32157894736841</v>
      </c>
    </row>
    <row r="4755" spans="1:7" hidden="1" x14ac:dyDescent="0.25">
      <c r="A4755" s="28">
        <v>43891</v>
      </c>
      <c r="B4755" s="27" t="s">
        <v>200</v>
      </c>
      <c r="C4755" s="27" t="s">
        <v>182</v>
      </c>
      <c r="D4755" s="27" t="s">
        <v>7</v>
      </c>
      <c r="E4755" s="27" t="s">
        <v>9</v>
      </c>
      <c r="F4755" s="29"/>
      <c r="G4755" s="30">
        <f t="shared" si="89"/>
        <v>216.32157894736841</v>
      </c>
    </row>
    <row r="4756" spans="1:7" hidden="1" x14ac:dyDescent="0.25">
      <c r="A4756" s="28">
        <v>43891</v>
      </c>
      <c r="B4756" s="27" t="s">
        <v>200</v>
      </c>
      <c r="C4756" s="27" t="s">
        <v>182</v>
      </c>
      <c r="D4756" s="27" t="s">
        <v>7</v>
      </c>
      <c r="E4756" s="27" t="s">
        <v>22</v>
      </c>
      <c r="F4756" s="29"/>
      <c r="G4756" s="30">
        <f t="shared" si="89"/>
        <v>216.32157894736841</v>
      </c>
    </row>
    <row r="4757" spans="1:7" hidden="1" x14ac:dyDescent="0.25">
      <c r="A4757" s="28">
        <v>43891</v>
      </c>
      <c r="B4757" s="27" t="s">
        <v>200</v>
      </c>
      <c r="C4757" s="27" t="s">
        <v>182</v>
      </c>
      <c r="D4757" s="27" t="s">
        <v>7</v>
      </c>
      <c r="E4757" s="27" t="s">
        <v>64</v>
      </c>
      <c r="F4757" s="29"/>
      <c r="G4757" s="30">
        <f t="shared" si="89"/>
        <v>216.32157894736841</v>
      </c>
    </row>
    <row r="4758" spans="1:7" hidden="1" x14ac:dyDescent="0.25">
      <c r="A4758" s="28">
        <v>43891</v>
      </c>
      <c r="B4758" s="27" t="s">
        <v>200</v>
      </c>
      <c r="C4758" s="27" t="s">
        <v>182</v>
      </c>
      <c r="D4758" s="27" t="s">
        <v>7</v>
      </c>
      <c r="E4758" s="27" t="s">
        <v>21</v>
      </c>
      <c r="F4758" s="29"/>
      <c r="G4758" s="30">
        <f t="shared" si="89"/>
        <v>216.32157894736841</v>
      </c>
    </row>
    <row r="4759" spans="1:7" hidden="1" x14ac:dyDescent="0.25">
      <c r="A4759" s="28">
        <v>43891</v>
      </c>
      <c r="B4759" s="27" t="s">
        <v>200</v>
      </c>
      <c r="C4759" s="27" t="s">
        <v>182</v>
      </c>
      <c r="D4759" s="27" t="s">
        <v>7</v>
      </c>
      <c r="E4759" s="27" t="s">
        <v>10</v>
      </c>
      <c r="F4759" s="29"/>
      <c r="G4759" s="30">
        <f t="shared" si="89"/>
        <v>216.32157894736841</v>
      </c>
    </row>
    <row r="4760" spans="1:7" hidden="1" x14ac:dyDescent="0.25">
      <c r="A4760" s="28">
        <v>43891</v>
      </c>
      <c r="B4760" s="27" t="s">
        <v>200</v>
      </c>
      <c r="C4760" s="27" t="s">
        <v>182</v>
      </c>
      <c r="D4760" s="27" t="s">
        <v>7</v>
      </c>
      <c r="E4760" s="27" t="s">
        <v>11</v>
      </c>
      <c r="F4760" s="29"/>
      <c r="G4760" s="30">
        <f t="shared" si="89"/>
        <v>216.32157894736841</v>
      </c>
    </row>
    <row r="4761" spans="1:7" hidden="1" x14ac:dyDescent="0.25">
      <c r="A4761" s="28">
        <v>43891</v>
      </c>
      <c r="B4761" s="27" t="s">
        <v>200</v>
      </c>
      <c r="C4761" s="27" t="s">
        <v>182</v>
      </c>
      <c r="D4761" s="27" t="s">
        <v>7</v>
      </c>
      <c r="E4761" s="27" t="s">
        <v>12</v>
      </c>
      <c r="F4761" s="29"/>
      <c r="G4761" s="30">
        <f t="shared" si="89"/>
        <v>216.32157894736841</v>
      </c>
    </row>
    <row r="4762" spans="1:7" hidden="1" x14ac:dyDescent="0.25">
      <c r="A4762" s="28">
        <v>43891</v>
      </c>
      <c r="B4762" s="27" t="s">
        <v>200</v>
      </c>
      <c r="C4762" s="27" t="s">
        <v>182</v>
      </c>
      <c r="D4762" s="27" t="s">
        <v>7</v>
      </c>
      <c r="E4762" s="27" t="s">
        <v>13</v>
      </c>
      <c r="F4762" s="29"/>
      <c r="G4762" s="30">
        <f t="shared" si="89"/>
        <v>216.32157894736841</v>
      </c>
    </row>
    <row r="4763" spans="1:7" hidden="1" x14ac:dyDescent="0.25">
      <c r="A4763" s="28">
        <v>43891</v>
      </c>
      <c r="B4763" s="27" t="s">
        <v>200</v>
      </c>
      <c r="C4763" s="27" t="s">
        <v>182</v>
      </c>
      <c r="D4763" s="27" t="s">
        <v>7</v>
      </c>
      <c r="E4763" s="27" t="s">
        <v>14</v>
      </c>
      <c r="F4763" s="29"/>
      <c r="G4763" s="30">
        <f t="shared" si="89"/>
        <v>216.32157894736841</v>
      </c>
    </row>
    <row r="4764" spans="1:7" hidden="1" x14ac:dyDescent="0.25">
      <c r="A4764" s="28">
        <v>43891</v>
      </c>
      <c r="B4764" s="27" t="s">
        <v>200</v>
      </c>
      <c r="C4764" s="27" t="s">
        <v>182</v>
      </c>
      <c r="D4764" s="27" t="s">
        <v>7</v>
      </c>
      <c r="E4764" s="27" t="s">
        <v>15</v>
      </c>
      <c r="F4764" s="29"/>
      <c r="G4764" s="30">
        <f t="shared" si="89"/>
        <v>216.32157894736841</v>
      </c>
    </row>
    <row r="4765" spans="1:7" hidden="1" x14ac:dyDescent="0.25">
      <c r="A4765" s="28">
        <v>43891</v>
      </c>
      <c r="B4765" s="27" t="s">
        <v>200</v>
      </c>
      <c r="C4765" s="27" t="s">
        <v>182</v>
      </c>
      <c r="D4765" s="27" t="s">
        <v>7</v>
      </c>
      <c r="E4765" s="27" t="s">
        <v>16</v>
      </c>
      <c r="F4765" s="29"/>
      <c r="G4765" s="30">
        <f t="shared" si="89"/>
        <v>216.32157894736841</v>
      </c>
    </row>
    <row r="4766" spans="1:7" hidden="1" x14ac:dyDescent="0.25">
      <c r="A4766" s="28">
        <v>43891</v>
      </c>
      <c r="B4766" s="27" t="s">
        <v>200</v>
      </c>
      <c r="C4766" s="27" t="s">
        <v>182</v>
      </c>
      <c r="D4766" s="27" t="s">
        <v>7</v>
      </c>
      <c r="E4766" s="27" t="s">
        <v>17</v>
      </c>
      <c r="F4766" s="29"/>
      <c r="G4766" s="30">
        <f t="shared" si="89"/>
        <v>216.32157894736841</v>
      </c>
    </row>
    <row r="4767" spans="1:7" hidden="1" x14ac:dyDescent="0.25">
      <c r="A4767" s="28">
        <v>43891</v>
      </c>
      <c r="B4767" s="27" t="s">
        <v>200</v>
      </c>
      <c r="C4767" s="27" t="s">
        <v>182</v>
      </c>
      <c r="D4767" s="27" t="s">
        <v>7</v>
      </c>
      <c r="E4767" s="27" t="s">
        <v>18</v>
      </c>
      <c r="F4767" s="29"/>
      <c r="G4767" s="30">
        <f t="shared" si="89"/>
        <v>216.32157894736841</v>
      </c>
    </row>
    <row r="4768" spans="1:7" hidden="1" x14ac:dyDescent="0.25">
      <c r="A4768" s="28">
        <v>43891</v>
      </c>
      <c r="B4768" s="27" t="s">
        <v>200</v>
      </c>
      <c r="C4768" s="27" t="s">
        <v>182</v>
      </c>
      <c r="D4768" s="27" t="s">
        <v>7</v>
      </c>
      <c r="E4768" s="27" t="s">
        <v>19</v>
      </c>
      <c r="F4768" s="29"/>
      <c r="G4768" s="30">
        <f t="shared" si="89"/>
        <v>216.32157894736841</v>
      </c>
    </row>
    <row r="4769" spans="1:7" hidden="1" x14ac:dyDescent="0.25">
      <c r="A4769" s="28">
        <v>43891</v>
      </c>
      <c r="B4769" s="27" t="s">
        <v>200</v>
      </c>
      <c r="C4769" s="27" t="s">
        <v>182</v>
      </c>
      <c r="D4769" s="27" t="s">
        <v>7</v>
      </c>
      <c r="E4769" s="27" t="s">
        <v>20</v>
      </c>
      <c r="F4769" s="29"/>
      <c r="G4769" s="30">
        <f t="shared" si="89"/>
        <v>216.32157894736841</v>
      </c>
    </row>
    <row r="4770" spans="1:7" hidden="1" x14ac:dyDescent="0.25">
      <c r="A4770" s="28">
        <v>43891</v>
      </c>
      <c r="B4770" s="27" t="s">
        <v>200</v>
      </c>
      <c r="C4770" s="27" t="s">
        <v>182</v>
      </c>
      <c r="D4770" s="27" t="s">
        <v>7</v>
      </c>
      <c r="E4770" s="27" t="s">
        <v>38</v>
      </c>
      <c r="F4770" s="29"/>
      <c r="G4770" s="30">
        <f t="shared" si="89"/>
        <v>216.32157894736841</v>
      </c>
    </row>
    <row r="4771" spans="1:7" hidden="1" x14ac:dyDescent="0.25">
      <c r="A4771" s="28">
        <v>43891</v>
      </c>
      <c r="B4771" s="27" t="s">
        <v>200</v>
      </c>
      <c r="C4771" s="27" t="s">
        <v>182</v>
      </c>
      <c r="D4771" s="27" t="s">
        <v>7</v>
      </c>
      <c r="E4771" s="27" t="s">
        <v>23</v>
      </c>
      <c r="F4771" s="29"/>
      <c r="G4771" s="30">
        <f t="shared" si="89"/>
        <v>216.32157894736841</v>
      </c>
    </row>
    <row r="4772" spans="1:7" hidden="1" x14ac:dyDescent="0.25">
      <c r="A4772" s="28">
        <v>43891</v>
      </c>
      <c r="B4772" s="27" t="s">
        <v>200</v>
      </c>
      <c r="C4772" s="27" t="s">
        <v>182</v>
      </c>
      <c r="D4772" s="27" t="s">
        <v>7</v>
      </c>
      <c r="E4772" s="27" t="s">
        <v>37</v>
      </c>
      <c r="F4772" s="29"/>
      <c r="G4772" s="30">
        <f t="shared" si="89"/>
        <v>216.32157894736841</v>
      </c>
    </row>
    <row r="4773" spans="1:7" hidden="1" x14ac:dyDescent="0.25">
      <c r="A4773" s="28">
        <v>43891</v>
      </c>
      <c r="B4773" s="27" t="s">
        <v>35</v>
      </c>
      <c r="C4773" s="27" t="s">
        <v>50</v>
      </c>
      <c r="D4773" s="27" t="s">
        <v>6</v>
      </c>
      <c r="E4773" s="27" t="s">
        <v>8</v>
      </c>
      <c r="F4773" s="29"/>
      <c r="G4773" s="30">
        <v>418.5888888888889</v>
      </c>
    </row>
    <row r="4774" spans="1:7" hidden="1" x14ac:dyDescent="0.25">
      <c r="A4774" s="28">
        <v>43891</v>
      </c>
      <c r="B4774" s="27" t="s">
        <v>35</v>
      </c>
      <c r="C4774" s="27" t="s">
        <v>50</v>
      </c>
      <c r="D4774" s="27" t="s">
        <v>6</v>
      </c>
      <c r="E4774" s="27" t="s">
        <v>9</v>
      </c>
      <c r="F4774" s="29"/>
      <c r="G4774" s="30">
        <v>418.5888888888889</v>
      </c>
    </row>
    <row r="4775" spans="1:7" hidden="1" x14ac:dyDescent="0.25">
      <c r="A4775" s="28">
        <v>43891</v>
      </c>
      <c r="B4775" s="27" t="s">
        <v>35</v>
      </c>
      <c r="C4775" s="27" t="s">
        <v>50</v>
      </c>
      <c r="D4775" s="27" t="s">
        <v>6</v>
      </c>
      <c r="E4775" s="27" t="s">
        <v>22</v>
      </c>
      <c r="F4775" s="29"/>
      <c r="G4775" s="30">
        <v>418.5888888888889</v>
      </c>
    </row>
    <row r="4776" spans="1:7" hidden="1" x14ac:dyDescent="0.25">
      <c r="A4776" s="28">
        <v>43891</v>
      </c>
      <c r="B4776" s="27" t="s">
        <v>35</v>
      </c>
      <c r="C4776" s="27" t="s">
        <v>50</v>
      </c>
      <c r="D4776" s="27" t="s">
        <v>6</v>
      </c>
      <c r="E4776" s="27" t="s">
        <v>64</v>
      </c>
      <c r="F4776" s="29"/>
      <c r="G4776" s="30">
        <v>418.5888888888889</v>
      </c>
    </row>
    <row r="4777" spans="1:7" hidden="1" x14ac:dyDescent="0.25">
      <c r="A4777" s="28">
        <v>43891</v>
      </c>
      <c r="B4777" s="27" t="s">
        <v>35</v>
      </c>
      <c r="C4777" s="27" t="s">
        <v>50</v>
      </c>
      <c r="D4777" s="27" t="s">
        <v>6</v>
      </c>
      <c r="E4777" s="27" t="s">
        <v>21</v>
      </c>
      <c r="F4777" s="29"/>
      <c r="G4777" s="30">
        <v>418.5888888888889</v>
      </c>
    </row>
    <row r="4778" spans="1:7" hidden="1" x14ac:dyDescent="0.25">
      <c r="A4778" s="28">
        <v>43891</v>
      </c>
      <c r="B4778" s="27" t="s">
        <v>35</v>
      </c>
      <c r="C4778" s="27" t="s">
        <v>50</v>
      </c>
      <c r="D4778" s="27" t="s">
        <v>6</v>
      </c>
      <c r="E4778" s="27" t="s">
        <v>10</v>
      </c>
      <c r="F4778" s="29"/>
      <c r="G4778" s="30">
        <v>418.5888888888889</v>
      </c>
    </row>
    <row r="4779" spans="1:7" hidden="1" x14ac:dyDescent="0.25">
      <c r="A4779" s="28">
        <v>43891</v>
      </c>
      <c r="B4779" s="27" t="s">
        <v>35</v>
      </c>
      <c r="C4779" s="27" t="s">
        <v>50</v>
      </c>
      <c r="D4779" s="27" t="s">
        <v>6</v>
      </c>
      <c r="E4779" s="27" t="s">
        <v>11</v>
      </c>
      <c r="F4779" s="29"/>
      <c r="G4779" s="30">
        <v>418.5888888888889</v>
      </c>
    </row>
    <row r="4780" spans="1:7" hidden="1" x14ac:dyDescent="0.25">
      <c r="A4780" s="28">
        <v>43891</v>
      </c>
      <c r="B4780" s="27" t="s">
        <v>35</v>
      </c>
      <c r="C4780" s="27" t="s">
        <v>50</v>
      </c>
      <c r="D4780" s="27" t="s">
        <v>6</v>
      </c>
      <c r="E4780" s="27" t="s">
        <v>12</v>
      </c>
      <c r="F4780" s="29"/>
      <c r="G4780" s="30">
        <v>418.5888888888889</v>
      </c>
    </row>
    <row r="4781" spans="1:7" hidden="1" x14ac:dyDescent="0.25">
      <c r="A4781" s="28">
        <v>43891</v>
      </c>
      <c r="B4781" s="27" t="s">
        <v>35</v>
      </c>
      <c r="C4781" s="27" t="s">
        <v>50</v>
      </c>
      <c r="D4781" s="27" t="s">
        <v>6</v>
      </c>
      <c r="E4781" s="27" t="s">
        <v>13</v>
      </c>
      <c r="F4781" s="29"/>
      <c r="G4781" s="30">
        <v>418.5888888888889</v>
      </c>
    </row>
    <row r="4782" spans="1:7" hidden="1" x14ac:dyDescent="0.25">
      <c r="A4782" s="28">
        <v>43891</v>
      </c>
      <c r="B4782" s="27" t="s">
        <v>35</v>
      </c>
      <c r="C4782" s="27" t="s">
        <v>50</v>
      </c>
      <c r="D4782" s="27" t="s">
        <v>6</v>
      </c>
      <c r="E4782" s="27" t="s">
        <v>14</v>
      </c>
      <c r="F4782" s="29"/>
      <c r="G4782" s="30">
        <v>418.5888888888889</v>
      </c>
    </row>
    <row r="4783" spans="1:7" hidden="1" x14ac:dyDescent="0.25">
      <c r="A4783" s="28">
        <v>43891</v>
      </c>
      <c r="B4783" s="27" t="s">
        <v>35</v>
      </c>
      <c r="C4783" s="27" t="s">
        <v>50</v>
      </c>
      <c r="D4783" s="27" t="s">
        <v>6</v>
      </c>
      <c r="E4783" s="27" t="s">
        <v>15</v>
      </c>
      <c r="F4783" s="29"/>
      <c r="G4783" s="30">
        <v>418.5888888888889</v>
      </c>
    </row>
    <row r="4784" spans="1:7" hidden="1" x14ac:dyDescent="0.25">
      <c r="A4784" s="28">
        <v>43891</v>
      </c>
      <c r="B4784" s="27" t="s">
        <v>35</v>
      </c>
      <c r="C4784" s="27" t="s">
        <v>50</v>
      </c>
      <c r="D4784" s="27" t="s">
        <v>6</v>
      </c>
      <c r="E4784" s="27" t="s">
        <v>16</v>
      </c>
      <c r="F4784" s="29"/>
      <c r="G4784" s="30">
        <v>418.5888888888889</v>
      </c>
    </row>
    <row r="4785" spans="1:7" hidden="1" x14ac:dyDescent="0.25">
      <c r="A4785" s="28">
        <v>43891</v>
      </c>
      <c r="B4785" s="27" t="s">
        <v>35</v>
      </c>
      <c r="C4785" s="27" t="s">
        <v>50</v>
      </c>
      <c r="D4785" s="27" t="s">
        <v>6</v>
      </c>
      <c r="E4785" s="27" t="s">
        <v>17</v>
      </c>
      <c r="F4785" s="29"/>
      <c r="G4785" s="30">
        <v>418.5888888888889</v>
      </c>
    </row>
    <row r="4786" spans="1:7" hidden="1" x14ac:dyDescent="0.25">
      <c r="A4786" s="28">
        <v>43891</v>
      </c>
      <c r="B4786" s="27" t="s">
        <v>35</v>
      </c>
      <c r="C4786" s="27" t="s">
        <v>50</v>
      </c>
      <c r="D4786" s="27" t="s">
        <v>6</v>
      </c>
      <c r="E4786" s="27" t="s">
        <v>18</v>
      </c>
      <c r="F4786" s="29"/>
      <c r="G4786" s="30">
        <v>418.5888888888889</v>
      </c>
    </row>
    <row r="4787" spans="1:7" hidden="1" x14ac:dyDescent="0.25">
      <c r="A4787" s="28">
        <v>43891</v>
      </c>
      <c r="B4787" s="27" t="s">
        <v>35</v>
      </c>
      <c r="C4787" s="27" t="s">
        <v>50</v>
      </c>
      <c r="D4787" s="27" t="s">
        <v>6</v>
      </c>
      <c r="E4787" s="27" t="s">
        <v>19</v>
      </c>
      <c r="F4787" s="29"/>
      <c r="G4787" s="30">
        <v>418.5888888888889</v>
      </c>
    </row>
    <row r="4788" spans="1:7" hidden="1" x14ac:dyDescent="0.25">
      <c r="A4788" s="28">
        <v>43891</v>
      </c>
      <c r="B4788" s="27" t="s">
        <v>35</v>
      </c>
      <c r="C4788" s="27" t="s">
        <v>50</v>
      </c>
      <c r="D4788" s="27" t="s">
        <v>6</v>
      </c>
      <c r="E4788" s="27" t="s">
        <v>20</v>
      </c>
      <c r="F4788" s="29"/>
      <c r="G4788" s="30">
        <v>418.5888888888889</v>
      </c>
    </row>
    <row r="4789" spans="1:7" hidden="1" x14ac:dyDescent="0.25">
      <c r="A4789" s="28">
        <v>43891</v>
      </c>
      <c r="B4789" s="27" t="s">
        <v>35</v>
      </c>
      <c r="C4789" s="27" t="s">
        <v>50</v>
      </c>
      <c r="D4789" s="27" t="s">
        <v>6</v>
      </c>
      <c r="E4789" s="27" t="s">
        <v>38</v>
      </c>
      <c r="F4789" s="29"/>
      <c r="G4789" s="30">
        <v>418.5888888888889</v>
      </c>
    </row>
    <row r="4790" spans="1:7" hidden="1" x14ac:dyDescent="0.25">
      <c r="A4790" s="28">
        <v>43891</v>
      </c>
      <c r="B4790" s="27" t="s">
        <v>35</v>
      </c>
      <c r="C4790" s="27" t="s">
        <v>50</v>
      </c>
      <c r="D4790" s="27" t="s">
        <v>6</v>
      </c>
      <c r="E4790" s="27" t="s">
        <v>23</v>
      </c>
      <c r="F4790" s="29"/>
      <c r="G4790" s="30">
        <v>418.5888888888889</v>
      </c>
    </row>
    <row r="4791" spans="1:7" hidden="1" x14ac:dyDescent="0.25">
      <c r="A4791" s="28">
        <v>43891</v>
      </c>
      <c r="B4791" s="27" t="s">
        <v>34</v>
      </c>
      <c r="C4791" s="27" t="s">
        <v>50</v>
      </c>
      <c r="D4791" s="27" t="s">
        <v>6</v>
      </c>
      <c r="E4791" s="27" t="s">
        <v>8</v>
      </c>
      <c r="F4791" s="29"/>
      <c r="G4791" s="30">
        <v>730.85299999999995</v>
      </c>
    </row>
    <row r="4792" spans="1:7" hidden="1" x14ac:dyDescent="0.25">
      <c r="A4792" s="28">
        <v>43891</v>
      </c>
      <c r="B4792" s="27" t="s">
        <v>34</v>
      </c>
      <c r="C4792" s="27" t="s">
        <v>50</v>
      </c>
      <c r="D4792" s="27" t="s">
        <v>6</v>
      </c>
      <c r="E4792" s="27" t="s">
        <v>9</v>
      </c>
      <c r="F4792" s="29"/>
      <c r="G4792" s="30">
        <v>809.49900000000002</v>
      </c>
    </row>
    <row r="4793" spans="1:7" hidden="1" x14ac:dyDescent="0.25">
      <c r="A4793" s="28">
        <v>43891</v>
      </c>
      <c r="B4793" s="27" t="s">
        <v>34</v>
      </c>
      <c r="C4793" s="27" t="s">
        <v>50</v>
      </c>
      <c r="D4793" s="27" t="s">
        <v>6</v>
      </c>
      <c r="E4793" s="27" t="s">
        <v>22</v>
      </c>
      <c r="F4793" s="29"/>
      <c r="G4793" s="30">
        <v>1078.788</v>
      </c>
    </row>
    <row r="4794" spans="1:7" hidden="1" x14ac:dyDescent="0.25">
      <c r="A4794" s="28">
        <v>43891</v>
      </c>
      <c r="B4794" s="27" t="s">
        <v>34</v>
      </c>
      <c r="C4794" s="27" t="s">
        <v>50</v>
      </c>
      <c r="D4794" s="27" t="s">
        <v>6</v>
      </c>
      <c r="E4794" s="27" t="s">
        <v>64</v>
      </c>
      <c r="F4794" s="29"/>
      <c r="G4794" s="30">
        <v>770.21699999999998</v>
      </c>
    </row>
    <row r="4795" spans="1:7" hidden="1" x14ac:dyDescent="0.25">
      <c r="A4795" s="28">
        <v>43891</v>
      </c>
      <c r="B4795" s="27" t="s">
        <v>34</v>
      </c>
      <c r="C4795" s="27" t="s">
        <v>50</v>
      </c>
      <c r="D4795" s="27" t="s">
        <v>6</v>
      </c>
      <c r="E4795" s="27" t="s">
        <v>21</v>
      </c>
      <c r="F4795" s="29"/>
      <c r="G4795" s="30">
        <v>777.58799999999997</v>
      </c>
    </row>
    <row r="4796" spans="1:7" hidden="1" x14ac:dyDescent="0.25">
      <c r="A4796" s="28">
        <v>43891</v>
      </c>
      <c r="B4796" s="27" t="s">
        <v>34</v>
      </c>
      <c r="C4796" s="27" t="s">
        <v>50</v>
      </c>
      <c r="D4796" s="27" t="s">
        <v>6</v>
      </c>
      <c r="E4796" s="27" t="s">
        <v>10</v>
      </c>
      <c r="F4796" s="29"/>
      <c r="G4796" s="30">
        <v>1036.6759999999999</v>
      </c>
    </row>
    <row r="4797" spans="1:7" hidden="1" x14ac:dyDescent="0.25">
      <c r="A4797" s="28">
        <v>43891</v>
      </c>
      <c r="B4797" s="27" t="s">
        <v>34</v>
      </c>
      <c r="C4797" s="27" t="s">
        <v>50</v>
      </c>
      <c r="D4797" s="27" t="s">
        <v>6</v>
      </c>
      <c r="E4797" s="27" t="s">
        <v>11</v>
      </c>
      <c r="F4797" s="29"/>
      <c r="G4797" s="30">
        <v>414.69799999999998</v>
      </c>
    </row>
    <row r="4798" spans="1:7" hidden="1" x14ac:dyDescent="0.25">
      <c r="A4798" s="28">
        <v>43891</v>
      </c>
      <c r="B4798" s="27" t="s">
        <v>34</v>
      </c>
      <c r="C4798" s="27" t="s">
        <v>50</v>
      </c>
      <c r="D4798" s="27" t="s">
        <v>6</v>
      </c>
      <c r="E4798" s="27" t="s">
        <v>12</v>
      </c>
      <c r="F4798" s="29"/>
      <c r="G4798" s="30">
        <v>455.96400000000006</v>
      </c>
    </row>
    <row r="4799" spans="1:7" hidden="1" x14ac:dyDescent="0.25">
      <c r="A4799" s="28">
        <v>43891</v>
      </c>
      <c r="B4799" s="27" t="s">
        <v>34</v>
      </c>
      <c r="C4799" s="27" t="s">
        <v>50</v>
      </c>
      <c r="D4799" s="27" t="s">
        <v>6</v>
      </c>
      <c r="E4799" s="27" t="s">
        <v>13</v>
      </c>
      <c r="F4799" s="29"/>
      <c r="G4799" s="30">
        <v>661.88400000000001</v>
      </c>
    </row>
    <row r="4800" spans="1:7" hidden="1" x14ac:dyDescent="0.25">
      <c r="A4800" s="28">
        <v>43891</v>
      </c>
      <c r="B4800" s="27" t="s">
        <v>34</v>
      </c>
      <c r="C4800" s="27" t="s">
        <v>50</v>
      </c>
      <c r="D4800" s="27" t="s">
        <v>6</v>
      </c>
      <c r="E4800" s="27" t="s">
        <v>14</v>
      </c>
      <c r="F4800" s="29"/>
      <c r="G4800" s="30">
        <v>191.779</v>
      </c>
    </row>
    <row r="4801" spans="1:7" hidden="1" x14ac:dyDescent="0.25">
      <c r="A4801" s="28">
        <v>43891</v>
      </c>
      <c r="B4801" s="27" t="s">
        <v>34</v>
      </c>
      <c r="C4801" s="27" t="s">
        <v>50</v>
      </c>
      <c r="D4801" s="27" t="s">
        <v>6</v>
      </c>
      <c r="E4801" s="27" t="s">
        <v>15</v>
      </c>
      <c r="F4801" s="29"/>
      <c r="G4801" s="30">
        <v>526.94200000000001</v>
      </c>
    </row>
    <row r="4802" spans="1:7" hidden="1" x14ac:dyDescent="0.25">
      <c r="A4802" s="28">
        <v>43891</v>
      </c>
      <c r="B4802" s="27" t="s">
        <v>34</v>
      </c>
      <c r="C4802" s="27" t="s">
        <v>50</v>
      </c>
      <c r="D4802" s="27" t="s">
        <v>6</v>
      </c>
      <c r="E4802" s="27" t="s">
        <v>16</v>
      </c>
      <c r="F4802" s="29"/>
      <c r="G4802" s="30">
        <v>651.45799999999997</v>
      </c>
    </row>
    <row r="4803" spans="1:7" hidden="1" x14ac:dyDescent="0.25">
      <c r="A4803" s="28">
        <v>43891</v>
      </c>
      <c r="B4803" s="27" t="s">
        <v>34</v>
      </c>
      <c r="C4803" s="27" t="s">
        <v>50</v>
      </c>
      <c r="D4803" s="27" t="s">
        <v>6</v>
      </c>
      <c r="E4803" s="27" t="s">
        <v>17</v>
      </c>
      <c r="F4803" s="29"/>
      <c r="G4803" s="30">
        <v>1174.4879999999998</v>
      </c>
    </row>
    <row r="4804" spans="1:7" hidden="1" x14ac:dyDescent="0.25">
      <c r="A4804" s="28">
        <v>43891</v>
      </c>
      <c r="B4804" s="27" t="s">
        <v>34</v>
      </c>
      <c r="C4804" s="27" t="s">
        <v>50</v>
      </c>
      <c r="D4804" s="27" t="s">
        <v>6</v>
      </c>
      <c r="E4804" s="27" t="s">
        <v>18</v>
      </c>
      <c r="F4804" s="29"/>
      <c r="G4804" s="30">
        <v>506.59399999999994</v>
      </c>
    </row>
    <row r="4805" spans="1:7" hidden="1" x14ac:dyDescent="0.25">
      <c r="A4805" s="28">
        <v>43891</v>
      </c>
      <c r="B4805" s="27" t="s">
        <v>34</v>
      </c>
      <c r="C4805" s="27" t="s">
        <v>50</v>
      </c>
      <c r="D4805" s="27" t="s">
        <v>6</v>
      </c>
      <c r="E4805" s="27" t="s">
        <v>19</v>
      </c>
      <c r="F4805" s="29"/>
      <c r="G4805" s="30">
        <v>716.14</v>
      </c>
    </row>
    <row r="4806" spans="1:7" hidden="1" x14ac:dyDescent="0.25">
      <c r="A4806" s="28">
        <v>43891</v>
      </c>
      <c r="B4806" s="27" t="s">
        <v>34</v>
      </c>
      <c r="C4806" s="27" t="s">
        <v>50</v>
      </c>
      <c r="D4806" s="27" t="s">
        <v>6</v>
      </c>
      <c r="E4806" s="27" t="s">
        <v>20</v>
      </c>
      <c r="F4806" s="29"/>
      <c r="G4806" s="30">
        <v>520.13300000000004</v>
      </c>
    </row>
    <row r="4807" spans="1:7" hidden="1" x14ac:dyDescent="0.25">
      <c r="A4807" s="28">
        <v>43891</v>
      </c>
      <c r="B4807" s="27" t="s">
        <v>34</v>
      </c>
      <c r="C4807" s="27" t="s">
        <v>50</v>
      </c>
      <c r="D4807" s="27" t="s">
        <v>6</v>
      </c>
      <c r="E4807" s="27" t="s">
        <v>38</v>
      </c>
      <c r="F4807" s="29"/>
      <c r="G4807" s="30">
        <v>204.74299999999999</v>
      </c>
    </row>
    <row r="4808" spans="1:7" hidden="1" x14ac:dyDescent="0.25">
      <c r="A4808" s="28">
        <v>43891</v>
      </c>
      <c r="B4808" s="27" t="s">
        <v>34</v>
      </c>
      <c r="C4808" s="27" t="s">
        <v>50</v>
      </c>
      <c r="D4808" s="27" t="s">
        <v>6</v>
      </c>
      <c r="E4808" s="27" t="s">
        <v>23</v>
      </c>
      <c r="F4808" s="29"/>
      <c r="G4808" s="30">
        <v>803.31400000000008</v>
      </c>
    </row>
    <row r="4809" spans="1:7" hidden="1" x14ac:dyDescent="0.25">
      <c r="A4809" s="28">
        <v>43922</v>
      </c>
      <c r="B4809" s="27" t="s">
        <v>33</v>
      </c>
      <c r="C4809" s="27" t="s">
        <v>50</v>
      </c>
      <c r="D4809" s="27" t="s">
        <v>7</v>
      </c>
      <c r="E4809" s="27" t="s">
        <v>8</v>
      </c>
      <c r="F4809" s="29"/>
      <c r="G4809" s="30">
        <v>847.98277777777776</v>
      </c>
    </row>
    <row r="4810" spans="1:7" hidden="1" x14ac:dyDescent="0.25">
      <c r="A4810" s="28">
        <v>43922</v>
      </c>
      <c r="B4810" s="27" t="s">
        <v>33</v>
      </c>
      <c r="C4810" s="27" t="s">
        <v>50</v>
      </c>
      <c r="D4810" s="27" t="s">
        <v>7</v>
      </c>
      <c r="E4810" s="27" t="s">
        <v>9</v>
      </c>
      <c r="F4810" s="29"/>
      <c r="G4810" s="30">
        <v>847.98277777777776</v>
      </c>
    </row>
    <row r="4811" spans="1:7" hidden="1" x14ac:dyDescent="0.25">
      <c r="A4811" s="28">
        <v>43922</v>
      </c>
      <c r="B4811" s="27" t="s">
        <v>33</v>
      </c>
      <c r="C4811" s="27" t="s">
        <v>50</v>
      </c>
      <c r="D4811" s="27" t="s">
        <v>7</v>
      </c>
      <c r="E4811" s="27" t="s">
        <v>22</v>
      </c>
      <c r="F4811" s="29"/>
      <c r="G4811" s="30">
        <v>847.98277777777776</v>
      </c>
    </row>
    <row r="4812" spans="1:7" hidden="1" x14ac:dyDescent="0.25">
      <c r="A4812" s="28">
        <v>43922</v>
      </c>
      <c r="B4812" s="27" t="s">
        <v>33</v>
      </c>
      <c r="C4812" s="27" t="s">
        <v>50</v>
      </c>
      <c r="D4812" s="27" t="s">
        <v>7</v>
      </c>
      <c r="E4812" s="27" t="s">
        <v>64</v>
      </c>
      <c r="F4812" s="29"/>
      <c r="G4812" s="30">
        <v>847.98277777777776</v>
      </c>
    </row>
    <row r="4813" spans="1:7" hidden="1" x14ac:dyDescent="0.25">
      <c r="A4813" s="28">
        <v>43922</v>
      </c>
      <c r="B4813" s="27" t="s">
        <v>33</v>
      </c>
      <c r="C4813" s="27" t="s">
        <v>50</v>
      </c>
      <c r="D4813" s="27" t="s">
        <v>7</v>
      </c>
      <c r="E4813" s="27" t="s">
        <v>21</v>
      </c>
      <c r="F4813" s="29"/>
      <c r="G4813" s="30">
        <v>847.98277777777776</v>
      </c>
    </row>
    <row r="4814" spans="1:7" hidden="1" x14ac:dyDescent="0.25">
      <c r="A4814" s="28">
        <v>43922</v>
      </c>
      <c r="B4814" s="27" t="s">
        <v>33</v>
      </c>
      <c r="C4814" s="27" t="s">
        <v>50</v>
      </c>
      <c r="D4814" s="27" t="s">
        <v>7</v>
      </c>
      <c r="E4814" s="27" t="s">
        <v>10</v>
      </c>
      <c r="F4814" s="29"/>
      <c r="G4814" s="30">
        <v>847.98277777777776</v>
      </c>
    </row>
    <row r="4815" spans="1:7" hidden="1" x14ac:dyDescent="0.25">
      <c r="A4815" s="28">
        <v>43922</v>
      </c>
      <c r="B4815" s="27" t="s">
        <v>33</v>
      </c>
      <c r="C4815" s="27" t="s">
        <v>50</v>
      </c>
      <c r="D4815" s="27" t="s">
        <v>7</v>
      </c>
      <c r="E4815" s="27" t="s">
        <v>11</v>
      </c>
      <c r="F4815" s="29"/>
      <c r="G4815" s="30">
        <v>847.98277777777776</v>
      </c>
    </row>
    <row r="4816" spans="1:7" hidden="1" x14ac:dyDescent="0.25">
      <c r="A4816" s="28">
        <v>43922</v>
      </c>
      <c r="B4816" s="27" t="s">
        <v>33</v>
      </c>
      <c r="C4816" s="27" t="s">
        <v>50</v>
      </c>
      <c r="D4816" s="27" t="s">
        <v>7</v>
      </c>
      <c r="E4816" s="27" t="s">
        <v>12</v>
      </c>
      <c r="F4816" s="29"/>
      <c r="G4816" s="30">
        <v>847.98277777777776</v>
      </c>
    </row>
    <row r="4817" spans="1:7" hidden="1" x14ac:dyDescent="0.25">
      <c r="A4817" s="28">
        <v>43922</v>
      </c>
      <c r="B4817" s="27" t="s">
        <v>33</v>
      </c>
      <c r="C4817" s="27" t="s">
        <v>50</v>
      </c>
      <c r="D4817" s="27" t="s">
        <v>7</v>
      </c>
      <c r="E4817" s="27" t="s">
        <v>13</v>
      </c>
      <c r="F4817" s="29"/>
      <c r="G4817" s="30">
        <v>847.98277777777776</v>
      </c>
    </row>
    <row r="4818" spans="1:7" hidden="1" x14ac:dyDescent="0.25">
      <c r="A4818" s="28">
        <v>43922</v>
      </c>
      <c r="B4818" s="27" t="s">
        <v>33</v>
      </c>
      <c r="C4818" s="27" t="s">
        <v>50</v>
      </c>
      <c r="D4818" s="27" t="s">
        <v>7</v>
      </c>
      <c r="E4818" s="27" t="s">
        <v>14</v>
      </c>
      <c r="F4818" s="29"/>
      <c r="G4818" s="30">
        <v>847.98277777777776</v>
      </c>
    </row>
    <row r="4819" spans="1:7" hidden="1" x14ac:dyDescent="0.25">
      <c r="A4819" s="28">
        <v>43922</v>
      </c>
      <c r="B4819" s="27" t="s">
        <v>33</v>
      </c>
      <c r="C4819" s="27" t="s">
        <v>50</v>
      </c>
      <c r="D4819" s="27" t="s">
        <v>7</v>
      </c>
      <c r="E4819" s="27" t="s">
        <v>15</v>
      </c>
      <c r="F4819" s="29"/>
      <c r="G4819" s="30">
        <v>847.98277777777776</v>
      </c>
    </row>
    <row r="4820" spans="1:7" hidden="1" x14ac:dyDescent="0.25">
      <c r="A4820" s="28">
        <v>43922</v>
      </c>
      <c r="B4820" s="27" t="s">
        <v>33</v>
      </c>
      <c r="C4820" s="27" t="s">
        <v>50</v>
      </c>
      <c r="D4820" s="27" t="s">
        <v>7</v>
      </c>
      <c r="E4820" s="27" t="s">
        <v>16</v>
      </c>
      <c r="F4820" s="29"/>
      <c r="G4820" s="30">
        <v>847.98277777777776</v>
      </c>
    </row>
    <row r="4821" spans="1:7" hidden="1" x14ac:dyDescent="0.25">
      <c r="A4821" s="28">
        <v>43922</v>
      </c>
      <c r="B4821" s="27" t="s">
        <v>33</v>
      </c>
      <c r="C4821" s="27" t="s">
        <v>50</v>
      </c>
      <c r="D4821" s="27" t="s">
        <v>7</v>
      </c>
      <c r="E4821" s="27" t="s">
        <v>17</v>
      </c>
      <c r="F4821" s="29"/>
      <c r="G4821" s="30">
        <v>847.98277777777776</v>
      </c>
    </row>
    <row r="4822" spans="1:7" hidden="1" x14ac:dyDescent="0.25">
      <c r="A4822" s="28">
        <v>43922</v>
      </c>
      <c r="B4822" s="27" t="s">
        <v>33</v>
      </c>
      <c r="C4822" s="27" t="s">
        <v>50</v>
      </c>
      <c r="D4822" s="27" t="s">
        <v>7</v>
      </c>
      <c r="E4822" s="27" t="s">
        <v>18</v>
      </c>
      <c r="F4822" s="29"/>
      <c r="G4822" s="30">
        <v>847.98277777777776</v>
      </c>
    </row>
    <row r="4823" spans="1:7" hidden="1" x14ac:dyDescent="0.25">
      <c r="A4823" s="28">
        <v>43922</v>
      </c>
      <c r="B4823" s="27" t="s">
        <v>33</v>
      </c>
      <c r="C4823" s="27" t="s">
        <v>50</v>
      </c>
      <c r="D4823" s="27" t="s">
        <v>7</v>
      </c>
      <c r="E4823" s="27" t="s">
        <v>19</v>
      </c>
      <c r="F4823" s="29"/>
      <c r="G4823" s="30">
        <v>847.98277777777776</v>
      </c>
    </row>
    <row r="4824" spans="1:7" hidden="1" x14ac:dyDescent="0.25">
      <c r="A4824" s="28">
        <v>43922</v>
      </c>
      <c r="B4824" s="27" t="s">
        <v>33</v>
      </c>
      <c r="C4824" s="27" t="s">
        <v>50</v>
      </c>
      <c r="D4824" s="27" t="s">
        <v>7</v>
      </c>
      <c r="E4824" s="27" t="s">
        <v>20</v>
      </c>
      <c r="F4824" s="29"/>
      <c r="G4824" s="30">
        <v>847.98277777777776</v>
      </c>
    </row>
    <row r="4825" spans="1:7" hidden="1" x14ac:dyDescent="0.25">
      <c r="A4825" s="28">
        <v>43922</v>
      </c>
      <c r="B4825" s="27" t="s">
        <v>33</v>
      </c>
      <c r="C4825" s="27" t="s">
        <v>50</v>
      </c>
      <c r="D4825" s="27" t="s">
        <v>7</v>
      </c>
      <c r="E4825" s="27" t="s">
        <v>38</v>
      </c>
      <c r="F4825" s="29"/>
      <c r="G4825" s="30">
        <v>847.98277777777776</v>
      </c>
    </row>
    <row r="4826" spans="1:7" hidden="1" x14ac:dyDescent="0.25">
      <c r="A4826" s="28">
        <v>43922</v>
      </c>
      <c r="B4826" s="27" t="s">
        <v>33</v>
      </c>
      <c r="C4826" s="27" t="s">
        <v>50</v>
      </c>
      <c r="D4826" s="27" t="s">
        <v>7</v>
      </c>
      <c r="E4826" s="27" t="s">
        <v>23</v>
      </c>
      <c r="F4826" s="29"/>
      <c r="G4826" s="30">
        <v>847.98277777777776</v>
      </c>
    </row>
    <row r="4827" spans="1:7" hidden="1" x14ac:dyDescent="0.25">
      <c r="A4827" s="28">
        <v>43922</v>
      </c>
      <c r="B4827" s="27" t="s">
        <v>4</v>
      </c>
      <c r="C4827" s="27" t="s">
        <v>50</v>
      </c>
      <c r="D4827" s="27" t="s">
        <v>7</v>
      </c>
      <c r="E4827" s="27" t="s">
        <v>8</v>
      </c>
      <c r="F4827" s="29"/>
      <c r="G4827" s="30">
        <v>830.17</v>
      </c>
    </row>
    <row r="4828" spans="1:7" hidden="1" x14ac:dyDescent="0.25">
      <c r="A4828" s="28">
        <v>43922</v>
      </c>
      <c r="B4828" s="27" t="s">
        <v>4</v>
      </c>
      <c r="C4828" s="27" t="s">
        <v>50</v>
      </c>
      <c r="D4828" s="27" t="s">
        <v>7</v>
      </c>
      <c r="E4828" s="27" t="s">
        <v>9</v>
      </c>
      <c r="F4828" s="29"/>
      <c r="G4828" s="30">
        <v>1627.37</v>
      </c>
    </row>
    <row r="4829" spans="1:7" hidden="1" x14ac:dyDescent="0.25">
      <c r="A4829" s="28">
        <v>43922</v>
      </c>
      <c r="B4829" s="27" t="s">
        <v>4</v>
      </c>
      <c r="C4829" s="27" t="s">
        <v>50</v>
      </c>
      <c r="D4829" s="27" t="s">
        <v>7</v>
      </c>
      <c r="E4829" s="27" t="s">
        <v>22</v>
      </c>
      <c r="F4829" s="29"/>
      <c r="G4829" s="30">
        <v>1419.41</v>
      </c>
    </row>
    <row r="4830" spans="1:7" hidden="1" x14ac:dyDescent="0.25">
      <c r="A4830" s="28">
        <v>43922</v>
      </c>
      <c r="B4830" s="27" t="s">
        <v>4</v>
      </c>
      <c r="C4830" s="27" t="s">
        <v>50</v>
      </c>
      <c r="D4830" s="27" t="s">
        <v>7</v>
      </c>
      <c r="E4830" s="27" t="s">
        <v>64</v>
      </c>
      <c r="F4830" s="29"/>
      <c r="G4830" s="30">
        <v>659.15</v>
      </c>
    </row>
    <row r="4831" spans="1:7" hidden="1" x14ac:dyDescent="0.25">
      <c r="A4831" s="28">
        <v>43922</v>
      </c>
      <c r="B4831" s="27" t="s">
        <v>4</v>
      </c>
      <c r="C4831" s="27" t="s">
        <v>50</v>
      </c>
      <c r="D4831" s="27" t="s">
        <v>7</v>
      </c>
      <c r="E4831" s="27" t="s">
        <v>21</v>
      </c>
      <c r="F4831" s="29"/>
      <c r="G4831" s="30">
        <v>2586.9899999999998</v>
      </c>
    </row>
    <row r="4832" spans="1:7" hidden="1" x14ac:dyDescent="0.25">
      <c r="A4832" s="28">
        <v>43922</v>
      </c>
      <c r="B4832" s="27" t="s">
        <v>4</v>
      </c>
      <c r="C4832" s="27" t="s">
        <v>50</v>
      </c>
      <c r="D4832" s="27" t="s">
        <v>7</v>
      </c>
      <c r="E4832" s="27" t="s">
        <v>10</v>
      </c>
      <c r="F4832" s="29"/>
      <c r="G4832" s="30">
        <v>340.02</v>
      </c>
    </row>
    <row r="4833" spans="1:7" hidden="1" x14ac:dyDescent="0.25">
      <c r="A4833" s="28">
        <v>43922</v>
      </c>
      <c r="B4833" s="27" t="s">
        <v>4</v>
      </c>
      <c r="C4833" s="27" t="s">
        <v>50</v>
      </c>
      <c r="D4833" s="27" t="s">
        <v>7</v>
      </c>
      <c r="E4833" s="27" t="s">
        <v>11</v>
      </c>
      <c r="F4833" s="29"/>
      <c r="G4833" s="30">
        <v>1185.0899999999999</v>
      </c>
    </row>
    <row r="4834" spans="1:7" hidden="1" x14ac:dyDescent="0.25">
      <c r="A4834" s="28">
        <v>43922</v>
      </c>
      <c r="B4834" s="27" t="s">
        <v>4</v>
      </c>
      <c r="C4834" s="27" t="s">
        <v>50</v>
      </c>
      <c r="D4834" s="27" t="s">
        <v>7</v>
      </c>
      <c r="E4834" s="27" t="s">
        <v>12</v>
      </c>
      <c r="F4834" s="29"/>
      <c r="G4834" s="30">
        <v>1318.82</v>
      </c>
    </row>
    <row r="4835" spans="1:7" hidden="1" x14ac:dyDescent="0.25">
      <c r="A4835" s="28">
        <v>43922</v>
      </c>
      <c r="B4835" s="27" t="s">
        <v>4</v>
      </c>
      <c r="C4835" s="27" t="s">
        <v>50</v>
      </c>
      <c r="D4835" s="27" t="s">
        <v>7</v>
      </c>
      <c r="E4835" s="27" t="s">
        <v>13</v>
      </c>
      <c r="F4835" s="29"/>
      <c r="G4835" s="30">
        <v>1244.76</v>
      </c>
    </row>
    <row r="4836" spans="1:7" hidden="1" x14ac:dyDescent="0.25">
      <c r="A4836" s="28">
        <v>43922</v>
      </c>
      <c r="B4836" s="27" t="s">
        <v>4</v>
      </c>
      <c r="C4836" s="27" t="s">
        <v>50</v>
      </c>
      <c r="D4836" s="27" t="s">
        <v>7</v>
      </c>
      <c r="E4836" s="27" t="s">
        <v>14</v>
      </c>
      <c r="F4836" s="29"/>
      <c r="G4836" s="30">
        <v>748.34</v>
      </c>
    </row>
    <row r="4837" spans="1:7" hidden="1" x14ac:dyDescent="0.25">
      <c r="A4837" s="28">
        <v>43922</v>
      </c>
      <c r="B4837" s="27" t="s">
        <v>4</v>
      </c>
      <c r="C4837" s="27" t="s">
        <v>50</v>
      </c>
      <c r="D4837" s="27" t="s">
        <v>7</v>
      </c>
      <c r="E4837" s="27" t="s">
        <v>15</v>
      </c>
      <c r="F4837" s="29"/>
      <c r="G4837" s="30">
        <v>2787.86</v>
      </c>
    </row>
    <row r="4838" spans="1:7" hidden="1" x14ac:dyDescent="0.25">
      <c r="A4838" s="28">
        <v>43922</v>
      </c>
      <c r="B4838" s="27" t="s">
        <v>4</v>
      </c>
      <c r="C4838" s="27" t="s">
        <v>50</v>
      </c>
      <c r="D4838" s="27" t="s">
        <v>7</v>
      </c>
      <c r="E4838" s="27" t="s">
        <v>16</v>
      </c>
      <c r="F4838" s="29"/>
      <c r="G4838" s="30">
        <v>738.09</v>
      </c>
    </row>
    <row r="4839" spans="1:7" hidden="1" x14ac:dyDescent="0.25">
      <c r="A4839" s="28">
        <v>43922</v>
      </c>
      <c r="B4839" s="27" t="s">
        <v>4</v>
      </c>
      <c r="C4839" s="27" t="s">
        <v>50</v>
      </c>
      <c r="D4839" s="27" t="s">
        <v>7</v>
      </c>
      <c r="E4839" s="27" t="s">
        <v>17</v>
      </c>
      <c r="F4839" s="29"/>
      <c r="G4839" s="30">
        <v>2359.4899999999998</v>
      </c>
    </row>
    <row r="4840" spans="1:7" hidden="1" x14ac:dyDescent="0.25">
      <c r="A4840" s="28">
        <v>43922</v>
      </c>
      <c r="B4840" s="27" t="s">
        <v>4</v>
      </c>
      <c r="C4840" s="27" t="s">
        <v>50</v>
      </c>
      <c r="D4840" s="27" t="s">
        <v>7</v>
      </c>
      <c r="E4840" s="27" t="s">
        <v>18</v>
      </c>
      <c r="F4840" s="29"/>
      <c r="G4840" s="30">
        <v>886.39</v>
      </c>
    </row>
    <row r="4841" spans="1:7" hidden="1" x14ac:dyDescent="0.25">
      <c r="A4841" s="28">
        <v>43922</v>
      </c>
      <c r="B4841" s="27" t="s">
        <v>4</v>
      </c>
      <c r="C4841" s="27" t="s">
        <v>50</v>
      </c>
      <c r="D4841" s="27" t="s">
        <v>7</v>
      </c>
      <c r="E4841" s="27" t="s">
        <v>19</v>
      </c>
      <c r="F4841" s="29"/>
      <c r="G4841" s="30">
        <v>1441.49</v>
      </c>
    </row>
    <row r="4842" spans="1:7" hidden="1" x14ac:dyDescent="0.25">
      <c r="A4842" s="28">
        <v>43922</v>
      </c>
      <c r="B4842" s="27" t="s">
        <v>4</v>
      </c>
      <c r="C4842" s="27" t="s">
        <v>50</v>
      </c>
      <c r="D4842" s="27" t="s">
        <v>7</v>
      </c>
      <c r="E4842" s="27" t="s">
        <v>20</v>
      </c>
      <c r="F4842" s="29"/>
      <c r="G4842" s="30">
        <v>1109.3800000000001</v>
      </c>
    </row>
    <row r="4843" spans="1:7" hidden="1" x14ac:dyDescent="0.25">
      <c r="A4843" s="28">
        <v>43922</v>
      </c>
      <c r="B4843" s="27" t="s">
        <v>4</v>
      </c>
      <c r="C4843" s="27" t="s">
        <v>50</v>
      </c>
      <c r="D4843" s="27" t="s">
        <v>7</v>
      </c>
      <c r="E4843" s="27" t="s">
        <v>38</v>
      </c>
      <c r="F4843" s="29"/>
      <c r="G4843" s="30">
        <v>1383.66</v>
      </c>
    </row>
    <row r="4844" spans="1:7" hidden="1" x14ac:dyDescent="0.25">
      <c r="A4844" s="28">
        <v>43922</v>
      </c>
      <c r="B4844" s="27" t="s">
        <v>4</v>
      </c>
      <c r="C4844" s="27" t="s">
        <v>50</v>
      </c>
      <c r="D4844" s="27" t="s">
        <v>7</v>
      </c>
      <c r="E4844" s="27" t="s">
        <v>23</v>
      </c>
      <c r="F4844" s="29"/>
      <c r="G4844" s="30">
        <v>2593.73</v>
      </c>
    </row>
    <row r="4845" spans="1:7" hidden="1" x14ac:dyDescent="0.25">
      <c r="A4845" s="28">
        <v>43922</v>
      </c>
      <c r="B4845" s="27" t="s">
        <v>4</v>
      </c>
      <c r="C4845" s="27" t="s">
        <v>50</v>
      </c>
      <c r="D4845" s="27" t="s">
        <v>7</v>
      </c>
      <c r="E4845" s="27" t="s">
        <v>37</v>
      </c>
      <c r="F4845" s="29"/>
      <c r="G4845" s="30">
        <v>230</v>
      </c>
    </row>
    <row r="4846" spans="1:7" hidden="1" x14ac:dyDescent="0.25">
      <c r="A4846" s="28">
        <v>43922</v>
      </c>
      <c r="B4846" s="27" t="s">
        <v>26</v>
      </c>
      <c r="C4846" s="27" t="s">
        <v>50</v>
      </c>
      <c r="D4846" s="27" t="s">
        <v>6</v>
      </c>
      <c r="E4846" s="27" t="s">
        <v>8</v>
      </c>
      <c r="F4846" s="29"/>
      <c r="G4846" s="30">
        <v>1194.25</v>
      </c>
    </row>
    <row r="4847" spans="1:7" hidden="1" x14ac:dyDescent="0.25">
      <c r="A4847" s="28">
        <v>43922</v>
      </c>
      <c r="B4847" s="27" t="s">
        <v>26</v>
      </c>
      <c r="C4847" s="27" t="s">
        <v>50</v>
      </c>
      <c r="D4847" s="27" t="s">
        <v>6</v>
      </c>
      <c r="E4847" s="27" t="s">
        <v>9</v>
      </c>
      <c r="F4847" s="29"/>
      <c r="G4847" s="30">
        <v>1550.9166666666667</v>
      </c>
    </row>
    <row r="4848" spans="1:7" hidden="1" x14ac:dyDescent="0.25">
      <c r="A4848" s="28">
        <v>43922</v>
      </c>
      <c r="B4848" s="27" t="s">
        <v>26</v>
      </c>
      <c r="C4848" s="27" t="s">
        <v>50</v>
      </c>
      <c r="D4848" s="27" t="s">
        <v>6</v>
      </c>
      <c r="E4848" s="27" t="s">
        <v>22</v>
      </c>
      <c r="F4848" s="29"/>
      <c r="G4848" s="30">
        <v>1270.3500000000001</v>
      </c>
    </row>
    <row r="4849" spans="1:7" hidden="1" x14ac:dyDescent="0.25">
      <c r="A4849" s="28">
        <v>43922</v>
      </c>
      <c r="B4849" s="27" t="s">
        <v>26</v>
      </c>
      <c r="C4849" s="27" t="s">
        <v>50</v>
      </c>
      <c r="D4849" s="27" t="s">
        <v>6</v>
      </c>
      <c r="E4849" s="27" t="s">
        <v>64</v>
      </c>
      <c r="F4849" s="29"/>
      <c r="G4849" s="30">
        <v>1359.4166666666667</v>
      </c>
    </row>
    <row r="4850" spans="1:7" hidden="1" x14ac:dyDescent="0.25">
      <c r="A4850" s="28">
        <v>43922</v>
      </c>
      <c r="B4850" s="27" t="s">
        <v>26</v>
      </c>
      <c r="C4850" s="27" t="s">
        <v>50</v>
      </c>
      <c r="D4850" s="27" t="s">
        <v>6</v>
      </c>
      <c r="E4850" s="27" t="s">
        <v>21</v>
      </c>
      <c r="F4850" s="29"/>
      <c r="G4850" s="30">
        <v>1359.4166666666667</v>
      </c>
    </row>
    <row r="4851" spans="1:7" hidden="1" x14ac:dyDescent="0.25">
      <c r="A4851" s="28">
        <v>43922</v>
      </c>
      <c r="B4851" s="27" t="s">
        <v>26</v>
      </c>
      <c r="C4851" s="27" t="s">
        <v>50</v>
      </c>
      <c r="D4851" s="27" t="s">
        <v>6</v>
      </c>
      <c r="E4851" s="27" t="s">
        <v>10</v>
      </c>
      <c r="F4851" s="29"/>
      <c r="G4851" s="30">
        <v>1998.9666666666669</v>
      </c>
    </row>
    <row r="4852" spans="1:7" hidden="1" x14ac:dyDescent="0.25">
      <c r="A4852" s="28">
        <v>43922</v>
      </c>
      <c r="B4852" s="27" t="s">
        <v>26</v>
      </c>
      <c r="C4852" s="27" t="s">
        <v>50</v>
      </c>
      <c r="D4852" s="27" t="s">
        <v>6</v>
      </c>
      <c r="E4852" s="27" t="s">
        <v>11</v>
      </c>
      <c r="F4852" s="29"/>
      <c r="G4852" s="30">
        <v>1340.7166666666667</v>
      </c>
    </row>
    <row r="4853" spans="1:7" hidden="1" x14ac:dyDescent="0.25">
      <c r="A4853" s="28">
        <v>43922</v>
      </c>
      <c r="B4853" s="27" t="s">
        <v>26</v>
      </c>
      <c r="C4853" s="27" t="s">
        <v>50</v>
      </c>
      <c r="D4853" s="27" t="s">
        <v>6</v>
      </c>
      <c r="E4853" s="27" t="s">
        <v>12</v>
      </c>
      <c r="F4853" s="29"/>
      <c r="G4853" s="30">
        <v>1350.1166666666668</v>
      </c>
    </row>
    <row r="4854" spans="1:7" hidden="1" x14ac:dyDescent="0.25">
      <c r="A4854" s="28">
        <v>43922</v>
      </c>
      <c r="B4854" s="27" t="s">
        <v>26</v>
      </c>
      <c r="C4854" s="27" t="s">
        <v>50</v>
      </c>
      <c r="D4854" s="27" t="s">
        <v>6</v>
      </c>
      <c r="E4854" s="27" t="s">
        <v>13</v>
      </c>
      <c r="F4854" s="29"/>
      <c r="G4854" s="30">
        <v>1901.5</v>
      </c>
    </row>
    <row r="4855" spans="1:7" hidden="1" x14ac:dyDescent="0.25">
      <c r="A4855" s="28">
        <v>43922</v>
      </c>
      <c r="B4855" s="27" t="s">
        <v>26</v>
      </c>
      <c r="C4855" s="27" t="s">
        <v>50</v>
      </c>
      <c r="D4855" s="27" t="s">
        <v>6</v>
      </c>
      <c r="E4855" s="27" t="s">
        <v>14</v>
      </c>
      <c r="F4855" s="29"/>
      <c r="G4855" s="30">
        <v>701.7833333333333</v>
      </c>
    </row>
    <row r="4856" spans="1:7" hidden="1" x14ac:dyDescent="0.25">
      <c r="A4856" s="28">
        <v>43922</v>
      </c>
      <c r="B4856" s="27" t="s">
        <v>26</v>
      </c>
      <c r="C4856" s="27" t="s">
        <v>50</v>
      </c>
      <c r="D4856" s="27" t="s">
        <v>6</v>
      </c>
      <c r="E4856" s="27" t="s">
        <v>15</v>
      </c>
      <c r="F4856" s="29"/>
      <c r="G4856" s="30">
        <v>1820.5500000000002</v>
      </c>
    </row>
    <row r="4857" spans="1:7" hidden="1" x14ac:dyDescent="0.25">
      <c r="A4857" s="28">
        <v>43922</v>
      </c>
      <c r="B4857" s="27" t="s">
        <v>26</v>
      </c>
      <c r="C4857" s="27" t="s">
        <v>50</v>
      </c>
      <c r="D4857" s="27" t="s">
        <v>6</v>
      </c>
      <c r="E4857" s="27" t="s">
        <v>16</v>
      </c>
      <c r="F4857" s="29"/>
      <c r="G4857" s="30">
        <v>1992.5833333333333</v>
      </c>
    </row>
    <row r="4858" spans="1:7" hidden="1" x14ac:dyDescent="0.25">
      <c r="A4858" s="28">
        <v>43922</v>
      </c>
      <c r="B4858" s="27" t="s">
        <v>26</v>
      </c>
      <c r="C4858" s="27" t="s">
        <v>50</v>
      </c>
      <c r="D4858" s="27" t="s">
        <v>6</v>
      </c>
      <c r="E4858" s="27" t="s">
        <v>17</v>
      </c>
      <c r="F4858" s="29"/>
      <c r="G4858" s="30">
        <v>2822.1166666666668</v>
      </c>
    </row>
    <row r="4859" spans="1:7" hidden="1" x14ac:dyDescent="0.25">
      <c r="A4859" s="28">
        <v>43922</v>
      </c>
      <c r="B4859" s="27" t="s">
        <v>26</v>
      </c>
      <c r="C4859" s="27" t="s">
        <v>50</v>
      </c>
      <c r="D4859" s="27" t="s">
        <v>6</v>
      </c>
      <c r="E4859" s="27" t="s">
        <v>18</v>
      </c>
      <c r="F4859" s="29"/>
      <c r="G4859" s="30">
        <v>1488.6666666666667</v>
      </c>
    </row>
    <row r="4860" spans="1:7" hidden="1" x14ac:dyDescent="0.25">
      <c r="A4860" s="28">
        <v>43922</v>
      </c>
      <c r="B4860" s="27" t="s">
        <v>26</v>
      </c>
      <c r="C4860" s="27" t="s">
        <v>50</v>
      </c>
      <c r="D4860" s="27" t="s">
        <v>6</v>
      </c>
      <c r="E4860" s="27" t="s">
        <v>19</v>
      </c>
      <c r="F4860" s="29"/>
      <c r="G4860" s="30">
        <v>2454.8833333333337</v>
      </c>
    </row>
    <row r="4861" spans="1:7" hidden="1" x14ac:dyDescent="0.25">
      <c r="A4861" s="28">
        <v>43922</v>
      </c>
      <c r="B4861" s="27" t="s">
        <v>26</v>
      </c>
      <c r="C4861" s="27" t="s">
        <v>50</v>
      </c>
      <c r="D4861" s="27" t="s">
        <v>6</v>
      </c>
      <c r="E4861" s="27" t="s">
        <v>20</v>
      </c>
      <c r="F4861" s="29"/>
      <c r="G4861" s="30">
        <v>1590.3833333333334</v>
      </c>
    </row>
    <row r="4862" spans="1:7" hidden="1" x14ac:dyDescent="0.25">
      <c r="A4862" s="28">
        <v>43922</v>
      </c>
      <c r="B4862" s="27" t="s">
        <v>26</v>
      </c>
      <c r="C4862" s="27" t="s">
        <v>50</v>
      </c>
      <c r="D4862" s="27" t="s">
        <v>6</v>
      </c>
      <c r="E4862" s="27" t="s">
        <v>38</v>
      </c>
      <c r="F4862" s="29"/>
      <c r="G4862" s="30">
        <v>602</v>
      </c>
    </row>
    <row r="4863" spans="1:7" hidden="1" x14ac:dyDescent="0.25">
      <c r="A4863" s="28">
        <v>43922</v>
      </c>
      <c r="B4863" s="27" t="s">
        <v>26</v>
      </c>
      <c r="C4863" s="27" t="s">
        <v>50</v>
      </c>
      <c r="D4863" s="27" t="s">
        <v>6</v>
      </c>
      <c r="E4863" s="27" t="s">
        <v>23</v>
      </c>
      <c r="F4863" s="29"/>
      <c r="G4863" s="30">
        <v>2997.5</v>
      </c>
    </row>
    <row r="4864" spans="1:7" hidden="1" x14ac:dyDescent="0.25">
      <c r="A4864" s="28">
        <v>43922</v>
      </c>
      <c r="B4864" s="27" t="s">
        <v>26</v>
      </c>
      <c r="C4864" s="27" t="s">
        <v>50</v>
      </c>
      <c r="D4864" s="27" t="s">
        <v>6</v>
      </c>
      <c r="E4864" s="27" t="s">
        <v>37</v>
      </c>
      <c r="F4864" s="29"/>
      <c r="G4864" s="30">
        <v>250</v>
      </c>
    </row>
    <row r="4865" spans="1:7" hidden="1" x14ac:dyDescent="0.25">
      <c r="A4865" s="28">
        <v>43922</v>
      </c>
      <c r="B4865" s="27" t="s">
        <v>3</v>
      </c>
      <c r="C4865" s="27" t="s">
        <v>50</v>
      </c>
      <c r="D4865" s="27" t="s">
        <v>7</v>
      </c>
      <c r="E4865" s="27" t="s">
        <v>8</v>
      </c>
      <c r="F4865" s="29"/>
      <c r="G4865" s="30">
        <v>218.25555555555556</v>
      </c>
    </row>
    <row r="4866" spans="1:7" hidden="1" x14ac:dyDescent="0.25">
      <c r="A4866" s="28">
        <v>43922</v>
      </c>
      <c r="B4866" s="27" t="s">
        <v>3</v>
      </c>
      <c r="C4866" s="27" t="s">
        <v>50</v>
      </c>
      <c r="D4866" s="27" t="s">
        <v>7</v>
      </c>
      <c r="E4866" s="27" t="s">
        <v>9</v>
      </c>
      <c r="F4866" s="29"/>
      <c r="G4866" s="30">
        <v>218.25555555555556</v>
      </c>
    </row>
    <row r="4867" spans="1:7" hidden="1" x14ac:dyDescent="0.25">
      <c r="A4867" s="28">
        <v>43922</v>
      </c>
      <c r="B4867" s="27" t="s">
        <v>3</v>
      </c>
      <c r="C4867" s="27" t="s">
        <v>50</v>
      </c>
      <c r="D4867" s="27" t="s">
        <v>7</v>
      </c>
      <c r="E4867" s="27" t="s">
        <v>22</v>
      </c>
      <c r="F4867" s="29"/>
      <c r="G4867" s="30">
        <v>218.25555555555556</v>
      </c>
    </row>
    <row r="4868" spans="1:7" hidden="1" x14ac:dyDescent="0.25">
      <c r="A4868" s="28">
        <v>43922</v>
      </c>
      <c r="B4868" s="27" t="s">
        <v>3</v>
      </c>
      <c r="C4868" s="27" t="s">
        <v>50</v>
      </c>
      <c r="D4868" s="27" t="s">
        <v>7</v>
      </c>
      <c r="E4868" s="27" t="s">
        <v>64</v>
      </c>
      <c r="F4868" s="29"/>
      <c r="G4868" s="30">
        <v>218.25555555555556</v>
      </c>
    </row>
    <row r="4869" spans="1:7" hidden="1" x14ac:dyDescent="0.25">
      <c r="A4869" s="28">
        <v>43922</v>
      </c>
      <c r="B4869" s="27" t="s">
        <v>3</v>
      </c>
      <c r="C4869" s="27" t="s">
        <v>50</v>
      </c>
      <c r="D4869" s="27" t="s">
        <v>7</v>
      </c>
      <c r="E4869" s="27" t="s">
        <v>21</v>
      </c>
      <c r="F4869" s="29"/>
      <c r="G4869" s="30">
        <v>218.25555555555556</v>
      </c>
    </row>
    <row r="4870" spans="1:7" hidden="1" x14ac:dyDescent="0.25">
      <c r="A4870" s="28">
        <v>43922</v>
      </c>
      <c r="B4870" s="27" t="s">
        <v>3</v>
      </c>
      <c r="C4870" s="27" t="s">
        <v>50</v>
      </c>
      <c r="D4870" s="27" t="s">
        <v>7</v>
      </c>
      <c r="E4870" s="27" t="s">
        <v>10</v>
      </c>
      <c r="F4870" s="29"/>
      <c r="G4870" s="30">
        <v>218.25555555555556</v>
      </c>
    </row>
    <row r="4871" spans="1:7" hidden="1" x14ac:dyDescent="0.25">
      <c r="A4871" s="28">
        <v>43922</v>
      </c>
      <c r="B4871" s="27" t="s">
        <v>3</v>
      </c>
      <c r="C4871" s="27" t="s">
        <v>50</v>
      </c>
      <c r="D4871" s="27" t="s">
        <v>7</v>
      </c>
      <c r="E4871" s="27" t="s">
        <v>11</v>
      </c>
      <c r="F4871" s="29"/>
      <c r="G4871" s="30">
        <v>218.25555555555556</v>
      </c>
    </row>
    <row r="4872" spans="1:7" hidden="1" x14ac:dyDescent="0.25">
      <c r="A4872" s="28">
        <v>43922</v>
      </c>
      <c r="B4872" s="27" t="s">
        <v>3</v>
      </c>
      <c r="C4872" s="27" t="s">
        <v>50</v>
      </c>
      <c r="D4872" s="27" t="s">
        <v>7</v>
      </c>
      <c r="E4872" s="27" t="s">
        <v>12</v>
      </c>
      <c r="F4872" s="29"/>
      <c r="G4872" s="30">
        <v>218.25555555555556</v>
      </c>
    </row>
    <row r="4873" spans="1:7" hidden="1" x14ac:dyDescent="0.25">
      <c r="A4873" s="28">
        <v>43922</v>
      </c>
      <c r="B4873" s="27" t="s">
        <v>3</v>
      </c>
      <c r="C4873" s="27" t="s">
        <v>50</v>
      </c>
      <c r="D4873" s="27" t="s">
        <v>7</v>
      </c>
      <c r="E4873" s="27" t="s">
        <v>13</v>
      </c>
      <c r="F4873" s="29"/>
      <c r="G4873" s="30">
        <v>218.25555555555556</v>
      </c>
    </row>
    <row r="4874" spans="1:7" hidden="1" x14ac:dyDescent="0.25">
      <c r="A4874" s="28">
        <v>43922</v>
      </c>
      <c r="B4874" s="27" t="s">
        <v>3</v>
      </c>
      <c r="C4874" s="27" t="s">
        <v>50</v>
      </c>
      <c r="D4874" s="27" t="s">
        <v>7</v>
      </c>
      <c r="E4874" s="27" t="s">
        <v>14</v>
      </c>
      <c r="F4874" s="29"/>
      <c r="G4874" s="30">
        <v>218.25555555555556</v>
      </c>
    </row>
    <row r="4875" spans="1:7" hidden="1" x14ac:dyDescent="0.25">
      <c r="A4875" s="28">
        <v>43922</v>
      </c>
      <c r="B4875" s="27" t="s">
        <v>3</v>
      </c>
      <c r="C4875" s="27" t="s">
        <v>50</v>
      </c>
      <c r="D4875" s="27" t="s">
        <v>7</v>
      </c>
      <c r="E4875" s="27" t="s">
        <v>15</v>
      </c>
      <c r="F4875" s="29"/>
      <c r="G4875" s="30">
        <v>218.25555555555556</v>
      </c>
    </row>
    <row r="4876" spans="1:7" hidden="1" x14ac:dyDescent="0.25">
      <c r="A4876" s="28">
        <v>43922</v>
      </c>
      <c r="B4876" s="27" t="s">
        <v>3</v>
      </c>
      <c r="C4876" s="27" t="s">
        <v>50</v>
      </c>
      <c r="D4876" s="27" t="s">
        <v>7</v>
      </c>
      <c r="E4876" s="27" t="s">
        <v>16</v>
      </c>
      <c r="F4876" s="29"/>
      <c r="G4876" s="30">
        <v>218.25555555555556</v>
      </c>
    </row>
    <row r="4877" spans="1:7" hidden="1" x14ac:dyDescent="0.25">
      <c r="A4877" s="28">
        <v>43922</v>
      </c>
      <c r="B4877" s="27" t="s">
        <v>3</v>
      </c>
      <c r="C4877" s="27" t="s">
        <v>50</v>
      </c>
      <c r="D4877" s="27" t="s">
        <v>7</v>
      </c>
      <c r="E4877" s="27" t="s">
        <v>17</v>
      </c>
      <c r="F4877" s="29"/>
      <c r="G4877" s="30">
        <v>218.25555555555556</v>
      </c>
    </row>
    <row r="4878" spans="1:7" hidden="1" x14ac:dyDescent="0.25">
      <c r="A4878" s="28">
        <v>43922</v>
      </c>
      <c r="B4878" s="27" t="s">
        <v>3</v>
      </c>
      <c r="C4878" s="27" t="s">
        <v>50</v>
      </c>
      <c r="D4878" s="27" t="s">
        <v>7</v>
      </c>
      <c r="E4878" s="27" t="s">
        <v>18</v>
      </c>
      <c r="F4878" s="29"/>
      <c r="G4878" s="30">
        <v>218.25555555555556</v>
      </c>
    </row>
    <row r="4879" spans="1:7" hidden="1" x14ac:dyDescent="0.25">
      <c r="A4879" s="28">
        <v>43922</v>
      </c>
      <c r="B4879" s="27" t="s">
        <v>3</v>
      </c>
      <c r="C4879" s="27" t="s">
        <v>50</v>
      </c>
      <c r="D4879" s="27" t="s">
        <v>7</v>
      </c>
      <c r="E4879" s="27" t="s">
        <v>19</v>
      </c>
      <c r="F4879" s="29"/>
      <c r="G4879" s="30">
        <v>218.25555555555556</v>
      </c>
    </row>
    <row r="4880" spans="1:7" hidden="1" x14ac:dyDescent="0.25">
      <c r="A4880" s="28">
        <v>43922</v>
      </c>
      <c r="B4880" s="27" t="s">
        <v>3</v>
      </c>
      <c r="C4880" s="27" t="s">
        <v>50</v>
      </c>
      <c r="D4880" s="27" t="s">
        <v>7</v>
      </c>
      <c r="E4880" s="27" t="s">
        <v>20</v>
      </c>
      <c r="F4880" s="29"/>
      <c r="G4880" s="30">
        <v>218.25555555555556</v>
      </c>
    </row>
    <row r="4881" spans="1:7" hidden="1" x14ac:dyDescent="0.25">
      <c r="A4881" s="28">
        <v>43922</v>
      </c>
      <c r="B4881" s="27" t="s">
        <v>3</v>
      </c>
      <c r="C4881" s="27" t="s">
        <v>50</v>
      </c>
      <c r="D4881" s="27" t="s">
        <v>7</v>
      </c>
      <c r="E4881" s="27" t="s">
        <v>38</v>
      </c>
      <c r="F4881" s="29"/>
      <c r="G4881" s="30">
        <v>218.25555555555556</v>
      </c>
    </row>
    <row r="4882" spans="1:7" hidden="1" x14ac:dyDescent="0.25">
      <c r="A4882" s="28">
        <v>43922</v>
      </c>
      <c r="B4882" s="27" t="s">
        <v>3</v>
      </c>
      <c r="C4882" s="27" t="s">
        <v>50</v>
      </c>
      <c r="D4882" s="27" t="s">
        <v>7</v>
      </c>
      <c r="E4882" s="27" t="s">
        <v>23</v>
      </c>
      <c r="F4882" s="29"/>
      <c r="G4882" s="30">
        <v>218.25555555555556</v>
      </c>
    </row>
    <row r="4883" spans="1:7" hidden="1" x14ac:dyDescent="0.25">
      <c r="A4883" s="28">
        <v>43922</v>
      </c>
      <c r="B4883" s="27" t="s">
        <v>179</v>
      </c>
      <c r="C4883" s="27" t="s">
        <v>50</v>
      </c>
      <c r="D4883" s="27" t="s">
        <v>6</v>
      </c>
      <c r="E4883" s="27" t="s">
        <v>8</v>
      </c>
      <c r="F4883" s="29"/>
      <c r="G4883" s="30">
        <v>54.554166666666667</v>
      </c>
    </row>
    <row r="4884" spans="1:7" hidden="1" x14ac:dyDescent="0.25">
      <c r="A4884" s="28">
        <v>43922</v>
      </c>
      <c r="B4884" s="27" t="s">
        <v>179</v>
      </c>
      <c r="C4884" s="27" t="s">
        <v>50</v>
      </c>
      <c r="D4884" s="27" t="s">
        <v>6</v>
      </c>
      <c r="E4884" s="27" t="s">
        <v>9</v>
      </c>
      <c r="F4884" s="29"/>
      <c r="G4884" s="30">
        <v>73.436666666666667</v>
      </c>
    </row>
    <row r="4885" spans="1:7" hidden="1" x14ac:dyDescent="0.25">
      <c r="A4885" s="28">
        <v>43922</v>
      </c>
      <c r="B4885" s="27" t="s">
        <v>179</v>
      </c>
      <c r="C4885" s="27" t="s">
        <v>50</v>
      </c>
      <c r="D4885" s="27" t="s">
        <v>6</v>
      </c>
      <c r="E4885" s="27" t="s">
        <v>22</v>
      </c>
      <c r="F4885" s="29"/>
      <c r="G4885" s="30">
        <v>98.38666666666667</v>
      </c>
    </row>
    <row r="4886" spans="1:7" hidden="1" x14ac:dyDescent="0.25">
      <c r="A4886" s="28">
        <v>43922</v>
      </c>
      <c r="B4886" s="27" t="s">
        <v>179</v>
      </c>
      <c r="C4886" s="27" t="s">
        <v>50</v>
      </c>
      <c r="D4886" s="27" t="s">
        <v>6</v>
      </c>
      <c r="E4886" s="27" t="s">
        <v>64</v>
      </c>
      <c r="F4886" s="29"/>
      <c r="G4886" s="30">
        <v>58.149166666666666</v>
      </c>
    </row>
    <row r="4887" spans="1:7" hidden="1" x14ac:dyDescent="0.25">
      <c r="A4887" s="28">
        <v>43922</v>
      </c>
      <c r="B4887" s="27" t="s">
        <v>179</v>
      </c>
      <c r="C4887" s="27" t="s">
        <v>50</v>
      </c>
      <c r="D4887" s="27" t="s">
        <v>6</v>
      </c>
      <c r="E4887" s="27" t="s">
        <v>21</v>
      </c>
      <c r="F4887" s="29"/>
      <c r="G4887" s="30">
        <v>67.641666666666666</v>
      </c>
    </row>
    <row r="4888" spans="1:7" hidden="1" x14ac:dyDescent="0.25">
      <c r="A4888" s="28">
        <v>43922</v>
      </c>
      <c r="B4888" s="27" t="s">
        <v>179</v>
      </c>
      <c r="C4888" s="27" t="s">
        <v>50</v>
      </c>
      <c r="D4888" s="27" t="s">
        <v>6</v>
      </c>
      <c r="E4888" s="27" t="s">
        <v>10</v>
      </c>
      <c r="F4888" s="29"/>
      <c r="G4888" s="30">
        <v>88.40666666666668</v>
      </c>
    </row>
    <row r="4889" spans="1:7" hidden="1" x14ac:dyDescent="0.25">
      <c r="A4889" s="28">
        <v>43922</v>
      </c>
      <c r="B4889" s="27" t="s">
        <v>179</v>
      </c>
      <c r="C4889" s="27" t="s">
        <v>50</v>
      </c>
      <c r="D4889" s="27" t="s">
        <v>6</v>
      </c>
      <c r="E4889" s="27" t="s">
        <v>11</v>
      </c>
      <c r="F4889" s="29"/>
      <c r="G4889" s="30">
        <v>66.776666666666671</v>
      </c>
    </row>
    <row r="4890" spans="1:7" hidden="1" x14ac:dyDescent="0.25">
      <c r="A4890" s="28">
        <v>43922</v>
      </c>
      <c r="B4890" s="27" t="s">
        <v>179</v>
      </c>
      <c r="C4890" s="27" t="s">
        <v>50</v>
      </c>
      <c r="D4890" s="27" t="s">
        <v>6</v>
      </c>
      <c r="E4890" s="27" t="s">
        <v>12</v>
      </c>
      <c r="F4890" s="29"/>
      <c r="G4890" s="30">
        <v>367.68416666666667</v>
      </c>
    </row>
    <row r="4891" spans="1:7" hidden="1" x14ac:dyDescent="0.25">
      <c r="A4891" s="28">
        <v>43922</v>
      </c>
      <c r="B4891" s="27" t="s">
        <v>179</v>
      </c>
      <c r="C4891" s="27" t="s">
        <v>50</v>
      </c>
      <c r="D4891" s="27" t="s">
        <v>6</v>
      </c>
      <c r="E4891" s="27" t="s">
        <v>13</v>
      </c>
      <c r="F4891" s="29"/>
      <c r="G4891" s="30">
        <v>94.161666666666676</v>
      </c>
    </row>
    <row r="4892" spans="1:7" hidden="1" x14ac:dyDescent="0.25">
      <c r="A4892" s="28">
        <v>43922</v>
      </c>
      <c r="B4892" s="27" t="s">
        <v>179</v>
      </c>
      <c r="C4892" s="27" t="s">
        <v>50</v>
      </c>
      <c r="D4892" s="27" t="s">
        <v>6</v>
      </c>
      <c r="E4892" s="27" t="s">
        <v>14</v>
      </c>
      <c r="F4892" s="29"/>
      <c r="G4892" s="30">
        <v>84.979166666666671</v>
      </c>
    </row>
    <row r="4893" spans="1:7" hidden="1" x14ac:dyDescent="0.25">
      <c r="A4893" s="28">
        <v>43922</v>
      </c>
      <c r="B4893" s="27" t="s">
        <v>179</v>
      </c>
      <c r="C4893" s="27" t="s">
        <v>50</v>
      </c>
      <c r="D4893" s="27" t="s">
        <v>6</v>
      </c>
      <c r="E4893" s="27" t="s">
        <v>15</v>
      </c>
      <c r="F4893" s="29"/>
      <c r="G4893" s="30">
        <v>90.716666666666654</v>
      </c>
    </row>
    <row r="4894" spans="1:7" hidden="1" x14ac:dyDescent="0.25">
      <c r="A4894" s="28">
        <v>43922</v>
      </c>
      <c r="B4894" s="27" t="s">
        <v>179</v>
      </c>
      <c r="C4894" s="27" t="s">
        <v>50</v>
      </c>
      <c r="D4894" s="27" t="s">
        <v>6</v>
      </c>
      <c r="E4894" s="27" t="s">
        <v>16</v>
      </c>
      <c r="F4894" s="29"/>
      <c r="G4894" s="30">
        <v>92.149166666666659</v>
      </c>
    </row>
    <row r="4895" spans="1:7" hidden="1" x14ac:dyDescent="0.25">
      <c r="A4895" s="28">
        <v>43922</v>
      </c>
      <c r="B4895" s="27" t="s">
        <v>179</v>
      </c>
      <c r="C4895" s="27" t="s">
        <v>50</v>
      </c>
      <c r="D4895" s="27" t="s">
        <v>6</v>
      </c>
      <c r="E4895" s="27" t="s">
        <v>17</v>
      </c>
      <c r="F4895" s="29"/>
      <c r="G4895" s="30">
        <v>142.66166666666666</v>
      </c>
    </row>
    <row r="4896" spans="1:7" hidden="1" x14ac:dyDescent="0.25">
      <c r="A4896" s="28">
        <v>43922</v>
      </c>
      <c r="B4896" s="27" t="s">
        <v>179</v>
      </c>
      <c r="C4896" s="27" t="s">
        <v>50</v>
      </c>
      <c r="D4896" s="27" t="s">
        <v>6</v>
      </c>
      <c r="E4896" s="27" t="s">
        <v>18</v>
      </c>
      <c r="F4896" s="29"/>
      <c r="G4896" s="30">
        <v>190.84666666666666</v>
      </c>
    </row>
    <row r="4897" spans="1:7" hidden="1" x14ac:dyDescent="0.25">
      <c r="A4897" s="28">
        <v>43922</v>
      </c>
      <c r="B4897" s="27" t="s">
        <v>179</v>
      </c>
      <c r="C4897" s="27" t="s">
        <v>50</v>
      </c>
      <c r="D4897" s="27" t="s">
        <v>6</v>
      </c>
      <c r="E4897" s="27" t="s">
        <v>19</v>
      </c>
      <c r="F4897" s="29"/>
      <c r="G4897" s="30">
        <v>129.04666666666665</v>
      </c>
    </row>
    <row r="4898" spans="1:7" hidden="1" x14ac:dyDescent="0.25">
      <c r="A4898" s="28">
        <v>43922</v>
      </c>
      <c r="B4898" s="27" t="s">
        <v>179</v>
      </c>
      <c r="C4898" s="27" t="s">
        <v>50</v>
      </c>
      <c r="D4898" s="27" t="s">
        <v>6</v>
      </c>
      <c r="E4898" s="27" t="s">
        <v>20</v>
      </c>
      <c r="F4898" s="29"/>
      <c r="G4898" s="30">
        <v>235.09666666666666</v>
      </c>
    </row>
    <row r="4899" spans="1:7" hidden="1" x14ac:dyDescent="0.25">
      <c r="A4899" s="28">
        <v>43922</v>
      </c>
      <c r="B4899" s="27" t="s">
        <v>179</v>
      </c>
      <c r="C4899" s="27" t="s">
        <v>50</v>
      </c>
      <c r="D4899" s="27" t="s">
        <v>6</v>
      </c>
      <c r="E4899" s="27" t="s">
        <v>38</v>
      </c>
      <c r="F4899" s="29"/>
      <c r="G4899" s="30">
        <v>108.04666666666667</v>
      </c>
    </row>
    <row r="4900" spans="1:7" hidden="1" x14ac:dyDescent="0.25">
      <c r="A4900" s="28">
        <v>43922</v>
      </c>
      <c r="B4900" s="27" t="s">
        <v>179</v>
      </c>
      <c r="C4900" s="27" t="s">
        <v>50</v>
      </c>
      <c r="D4900" s="27" t="s">
        <v>6</v>
      </c>
      <c r="E4900" s="27" t="s">
        <v>23</v>
      </c>
      <c r="F4900" s="29"/>
      <c r="G4900" s="30">
        <v>149.57916666666668</v>
      </c>
    </row>
    <row r="4901" spans="1:7" hidden="1" x14ac:dyDescent="0.25">
      <c r="A4901" s="28">
        <v>43922</v>
      </c>
      <c r="B4901" s="27" t="s">
        <v>179</v>
      </c>
      <c r="C4901" s="27" t="s">
        <v>50</v>
      </c>
      <c r="D4901" s="27" t="s">
        <v>6</v>
      </c>
      <c r="E4901" s="27" t="s">
        <v>40</v>
      </c>
      <c r="F4901" s="29"/>
      <c r="G4901" s="30">
        <v>421.1</v>
      </c>
    </row>
    <row r="4902" spans="1:7" hidden="1" x14ac:dyDescent="0.25">
      <c r="A4902" s="28">
        <v>43922</v>
      </c>
      <c r="B4902" s="27" t="s">
        <v>32</v>
      </c>
      <c r="C4902" s="27" t="s">
        <v>50</v>
      </c>
      <c r="D4902" s="27" t="s">
        <v>7</v>
      </c>
      <c r="E4902" s="27" t="s">
        <v>22</v>
      </c>
      <c r="F4902" s="29"/>
      <c r="G4902" s="30">
        <v>20</v>
      </c>
    </row>
    <row r="4903" spans="1:7" hidden="1" x14ac:dyDescent="0.25">
      <c r="A4903" s="28">
        <v>43922</v>
      </c>
      <c r="B4903" s="27" t="s">
        <v>32</v>
      </c>
      <c r="C4903" s="27" t="s">
        <v>50</v>
      </c>
      <c r="D4903" s="27" t="s">
        <v>7</v>
      </c>
      <c r="E4903" s="27" t="s">
        <v>10</v>
      </c>
      <c r="F4903" s="29"/>
      <c r="G4903" s="30">
        <v>30</v>
      </c>
    </row>
    <row r="4904" spans="1:7" hidden="1" x14ac:dyDescent="0.25">
      <c r="A4904" s="28">
        <v>43922</v>
      </c>
      <c r="B4904" s="27" t="s">
        <v>32</v>
      </c>
      <c r="C4904" s="27" t="s">
        <v>50</v>
      </c>
      <c r="D4904" s="27" t="s">
        <v>7</v>
      </c>
      <c r="E4904" s="27" t="s">
        <v>17</v>
      </c>
      <c r="F4904" s="29"/>
      <c r="G4904" s="30">
        <v>30</v>
      </c>
    </row>
    <row r="4905" spans="1:7" hidden="1" x14ac:dyDescent="0.25">
      <c r="A4905" s="28">
        <v>43922</v>
      </c>
      <c r="B4905" s="27" t="s">
        <v>5</v>
      </c>
      <c r="C4905" s="27" t="s">
        <v>51</v>
      </c>
      <c r="D4905" s="27" t="s">
        <v>51</v>
      </c>
      <c r="E4905" s="27" t="s">
        <v>8</v>
      </c>
      <c r="F4905" s="29">
        <v>1388</v>
      </c>
      <c r="G4905" s="30">
        <v>6.7251980202066166</v>
      </c>
    </row>
    <row r="4906" spans="1:7" hidden="1" x14ac:dyDescent="0.25">
      <c r="A4906" s="28">
        <v>43922</v>
      </c>
      <c r="B4906" s="27" t="s">
        <v>5</v>
      </c>
      <c r="C4906" s="27" t="s">
        <v>51</v>
      </c>
      <c r="D4906" s="27" t="s">
        <v>51</v>
      </c>
      <c r="E4906" s="27" t="s">
        <v>9</v>
      </c>
      <c r="F4906" s="29">
        <v>1603</v>
      </c>
      <c r="G4906" s="30">
        <v>7.3295882836640365</v>
      </c>
    </row>
    <row r="4907" spans="1:7" hidden="1" x14ac:dyDescent="0.25">
      <c r="A4907" s="28">
        <v>43922</v>
      </c>
      <c r="B4907" s="27" t="s">
        <v>5</v>
      </c>
      <c r="C4907" s="27" t="s">
        <v>51</v>
      </c>
      <c r="D4907" s="27" t="s">
        <v>51</v>
      </c>
      <c r="E4907" s="27" t="s">
        <v>22</v>
      </c>
      <c r="F4907" s="29">
        <v>1858</v>
      </c>
      <c r="G4907" s="30">
        <v>5.4709592852781395</v>
      </c>
    </row>
    <row r="4908" spans="1:7" hidden="1" x14ac:dyDescent="0.25">
      <c r="A4908" s="28">
        <v>43922</v>
      </c>
      <c r="B4908" s="27" t="s">
        <v>5</v>
      </c>
      <c r="C4908" s="27" t="s">
        <v>51</v>
      </c>
      <c r="D4908" s="27" t="s">
        <v>51</v>
      </c>
      <c r="E4908" s="27" t="s">
        <v>64</v>
      </c>
      <c r="F4908" s="29">
        <v>1113</v>
      </c>
      <c r="G4908" s="30">
        <v>7.9363077436778537</v>
      </c>
    </row>
    <row r="4909" spans="1:7" hidden="1" x14ac:dyDescent="0.25">
      <c r="A4909" s="28">
        <v>43922</v>
      </c>
      <c r="B4909" s="27" t="s">
        <v>5</v>
      </c>
      <c r="C4909" s="27" t="s">
        <v>51</v>
      </c>
      <c r="D4909" s="27" t="s">
        <v>51</v>
      </c>
      <c r="E4909" s="27" t="s">
        <v>21</v>
      </c>
      <c r="F4909" s="29">
        <v>2747</v>
      </c>
      <c r="G4909" s="30">
        <v>4.6572202470744264</v>
      </c>
    </row>
    <row r="4910" spans="1:7" hidden="1" x14ac:dyDescent="0.25">
      <c r="A4910" s="28">
        <v>43922</v>
      </c>
      <c r="B4910" s="27" t="s">
        <v>5</v>
      </c>
      <c r="C4910" s="27" t="s">
        <v>51</v>
      </c>
      <c r="D4910" s="27" t="s">
        <v>51</v>
      </c>
      <c r="E4910" s="27" t="s">
        <v>10</v>
      </c>
      <c r="F4910" s="29">
        <v>337</v>
      </c>
      <c r="G4910" s="30">
        <v>28.897973349298073</v>
      </c>
    </row>
    <row r="4911" spans="1:7" hidden="1" x14ac:dyDescent="0.25">
      <c r="A4911" s="28">
        <v>43922</v>
      </c>
      <c r="B4911" s="27" t="s">
        <v>5</v>
      </c>
      <c r="C4911" s="27" t="s">
        <v>51</v>
      </c>
      <c r="D4911" s="27" t="s">
        <v>51</v>
      </c>
      <c r="E4911" s="27" t="s">
        <v>11</v>
      </c>
      <c r="F4911" s="29">
        <v>2300</v>
      </c>
      <c r="G4911" s="30">
        <v>5.6331647907449787</v>
      </c>
    </row>
    <row r="4912" spans="1:7" hidden="1" x14ac:dyDescent="0.25">
      <c r="A4912" s="28">
        <v>43922</v>
      </c>
      <c r="B4912" s="27" t="s">
        <v>5</v>
      </c>
      <c r="C4912" s="27" t="s">
        <v>51</v>
      </c>
      <c r="D4912" s="27" t="s">
        <v>51</v>
      </c>
      <c r="E4912" s="27" t="s">
        <v>12</v>
      </c>
      <c r="F4912" s="29">
        <v>1243</v>
      </c>
      <c r="G4912" s="30">
        <v>7.6795032330759856</v>
      </c>
    </row>
    <row r="4913" spans="1:7" hidden="1" x14ac:dyDescent="0.25">
      <c r="A4913" s="28">
        <v>43922</v>
      </c>
      <c r="B4913" s="27" t="s">
        <v>5</v>
      </c>
      <c r="C4913" s="27" t="s">
        <v>51</v>
      </c>
      <c r="D4913" s="27" t="s">
        <v>51</v>
      </c>
      <c r="E4913" s="27" t="s">
        <v>13</v>
      </c>
      <c r="F4913" s="29">
        <v>1995</v>
      </c>
      <c r="G4913" s="30">
        <v>5.0662773694470093</v>
      </c>
    </row>
    <row r="4914" spans="1:7" hidden="1" x14ac:dyDescent="0.25">
      <c r="A4914" s="28">
        <v>43922</v>
      </c>
      <c r="B4914" s="27" t="s">
        <v>5</v>
      </c>
      <c r="C4914" s="27" t="s">
        <v>51</v>
      </c>
      <c r="D4914" s="27" t="s">
        <v>51</v>
      </c>
      <c r="E4914" s="27" t="s">
        <v>14</v>
      </c>
      <c r="F4914" s="29">
        <v>2709</v>
      </c>
      <c r="G4914" s="30">
        <v>2.9201178240605823</v>
      </c>
    </row>
    <row r="4915" spans="1:7" hidden="1" x14ac:dyDescent="0.25">
      <c r="A4915" s="28">
        <v>43922</v>
      </c>
      <c r="B4915" s="27" t="s">
        <v>5</v>
      </c>
      <c r="C4915" s="27" t="s">
        <v>51</v>
      </c>
      <c r="D4915" s="27" t="s">
        <v>51</v>
      </c>
      <c r="E4915" s="27" t="s">
        <v>15</v>
      </c>
      <c r="F4915" s="29">
        <v>2064</v>
      </c>
      <c r="G4915" s="30">
        <v>5.5689807907203406</v>
      </c>
    </row>
    <row r="4916" spans="1:7" hidden="1" x14ac:dyDescent="0.25">
      <c r="A4916" s="28">
        <v>43922</v>
      </c>
      <c r="B4916" s="27" t="s">
        <v>5</v>
      </c>
      <c r="C4916" s="27" t="s">
        <v>51</v>
      </c>
      <c r="D4916" s="27" t="s">
        <v>51</v>
      </c>
      <c r="E4916" s="27" t="s">
        <v>16</v>
      </c>
      <c r="F4916" s="29">
        <v>4687</v>
      </c>
      <c r="G4916" s="30">
        <v>2.0881562162108209</v>
      </c>
    </row>
    <row r="4917" spans="1:7" hidden="1" x14ac:dyDescent="0.25">
      <c r="A4917" s="28">
        <v>43922</v>
      </c>
      <c r="B4917" s="27" t="s">
        <v>5</v>
      </c>
      <c r="C4917" s="27" t="s">
        <v>51</v>
      </c>
      <c r="D4917" s="27" t="s">
        <v>51</v>
      </c>
      <c r="E4917" s="27" t="s">
        <v>17</v>
      </c>
      <c r="F4917" s="29">
        <v>3084</v>
      </c>
      <c r="G4917" s="30">
        <v>4.3634870358993023</v>
      </c>
    </row>
    <row r="4918" spans="1:7" hidden="1" x14ac:dyDescent="0.25">
      <c r="A4918" s="28">
        <v>43922</v>
      </c>
      <c r="B4918" s="27" t="s">
        <v>5</v>
      </c>
      <c r="C4918" s="27" t="s">
        <v>51</v>
      </c>
      <c r="D4918" s="27" t="s">
        <v>51</v>
      </c>
      <c r="E4918" s="27" t="s">
        <v>18</v>
      </c>
      <c r="F4918" s="29">
        <v>5379</v>
      </c>
      <c r="G4918" s="30">
        <v>1.706901843969781</v>
      </c>
    </row>
    <row r="4919" spans="1:7" hidden="1" x14ac:dyDescent="0.25">
      <c r="A4919" s="28">
        <v>43922</v>
      </c>
      <c r="B4919" s="27" t="s">
        <v>5</v>
      </c>
      <c r="C4919" s="27" t="s">
        <v>51</v>
      </c>
      <c r="D4919" s="27" t="s">
        <v>51</v>
      </c>
      <c r="E4919" s="27" t="s">
        <v>19</v>
      </c>
      <c r="F4919" s="29">
        <v>3424</v>
      </c>
      <c r="G4919" s="30">
        <v>3.341161707178772</v>
      </c>
    </row>
    <row r="4920" spans="1:7" hidden="1" x14ac:dyDescent="0.25">
      <c r="A4920" s="28">
        <v>43922</v>
      </c>
      <c r="B4920" s="27" t="s">
        <v>5</v>
      </c>
      <c r="C4920" s="27" t="s">
        <v>51</v>
      </c>
      <c r="D4920" s="27" t="s">
        <v>51</v>
      </c>
      <c r="E4920" s="27" t="s">
        <v>20</v>
      </c>
      <c r="F4920" s="29">
        <v>3087</v>
      </c>
      <c r="G4920" s="30">
        <v>3.0847491692193447</v>
      </c>
    </row>
    <row r="4921" spans="1:7" hidden="1" x14ac:dyDescent="0.25">
      <c r="A4921" s="28">
        <v>43922</v>
      </c>
      <c r="B4921" s="27" t="s">
        <v>5</v>
      </c>
      <c r="C4921" s="27" t="s">
        <v>51</v>
      </c>
      <c r="D4921" s="27" t="s">
        <v>51</v>
      </c>
      <c r="E4921" s="27" t="s">
        <v>38</v>
      </c>
      <c r="F4921" s="29">
        <v>3258</v>
      </c>
      <c r="G4921" s="30">
        <v>2.6622797274545076</v>
      </c>
    </row>
    <row r="4922" spans="1:7" hidden="1" x14ac:dyDescent="0.25">
      <c r="A4922" s="28">
        <v>43922</v>
      </c>
      <c r="B4922" s="27" t="s">
        <v>5</v>
      </c>
      <c r="C4922" s="27" t="s">
        <v>51</v>
      </c>
      <c r="D4922" s="27" t="s">
        <v>51</v>
      </c>
      <c r="E4922" s="27" t="s">
        <v>23</v>
      </c>
      <c r="F4922" s="29">
        <v>2534</v>
      </c>
      <c r="G4922" s="30">
        <v>5.1042150165930478</v>
      </c>
    </row>
    <row r="4923" spans="1:7" hidden="1" x14ac:dyDescent="0.25">
      <c r="A4923" s="28">
        <v>43922</v>
      </c>
      <c r="B4923" s="27" t="s">
        <v>180</v>
      </c>
      <c r="C4923" s="27" t="s">
        <v>50</v>
      </c>
      <c r="D4923" s="27" t="s">
        <v>7</v>
      </c>
      <c r="E4923" s="27" t="s">
        <v>9</v>
      </c>
      <c r="F4923" s="29"/>
      <c r="G4923" s="30">
        <v>1359.4</v>
      </c>
    </row>
    <row r="4924" spans="1:7" hidden="1" x14ac:dyDescent="0.25">
      <c r="A4924" s="28">
        <v>43922</v>
      </c>
      <c r="B4924" s="27" t="s">
        <v>180</v>
      </c>
      <c r="C4924" s="27" t="s">
        <v>50</v>
      </c>
      <c r="D4924" s="27" t="s">
        <v>7</v>
      </c>
      <c r="E4924" s="27" t="s">
        <v>64</v>
      </c>
      <c r="F4924" s="29"/>
      <c r="G4924" s="30">
        <v>40</v>
      </c>
    </row>
    <row r="4925" spans="1:7" hidden="1" x14ac:dyDescent="0.25">
      <c r="A4925" s="28">
        <v>43922</v>
      </c>
      <c r="B4925" s="27" t="s">
        <v>180</v>
      </c>
      <c r="C4925" s="27" t="s">
        <v>50</v>
      </c>
      <c r="D4925" s="27" t="s">
        <v>7</v>
      </c>
      <c r="E4925" s="27" t="s">
        <v>21</v>
      </c>
      <c r="F4925" s="29"/>
      <c r="G4925" s="30">
        <v>700</v>
      </c>
    </row>
    <row r="4926" spans="1:7" hidden="1" x14ac:dyDescent="0.25">
      <c r="A4926" s="28">
        <v>43922</v>
      </c>
      <c r="B4926" s="27" t="s">
        <v>180</v>
      </c>
      <c r="C4926" s="27" t="s">
        <v>50</v>
      </c>
      <c r="D4926" s="27" t="s">
        <v>7</v>
      </c>
      <c r="E4926" s="27" t="s">
        <v>11</v>
      </c>
      <c r="F4926" s="29"/>
      <c r="G4926" s="30">
        <v>3736.34</v>
      </c>
    </row>
    <row r="4927" spans="1:7" hidden="1" x14ac:dyDescent="0.25">
      <c r="A4927" s="28">
        <v>43922</v>
      </c>
      <c r="B4927" s="27" t="s">
        <v>180</v>
      </c>
      <c r="C4927" s="27" t="s">
        <v>50</v>
      </c>
      <c r="D4927" s="27" t="s">
        <v>7</v>
      </c>
      <c r="E4927" s="27" t="s">
        <v>13</v>
      </c>
      <c r="F4927" s="29"/>
      <c r="G4927" s="30">
        <v>20</v>
      </c>
    </row>
    <row r="4928" spans="1:7" hidden="1" x14ac:dyDescent="0.25">
      <c r="A4928" s="28">
        <v>43922</v>
      </c>
      <c r="B4928" s="27" t="s">
        <v>180</v>
      </c>
      <c r="C4928" s="27" t="s">
        <v>50</v>
      </c>
      <c r="D4928" s="27" t="s">
        <v>7</v>
      </c>
      <c r="E4928" s="27" t="s">
        <v>18</v>
      </c>
      <c r="F4928" s="29"/>
      <c r="G4928" s="30">
        <v>90</v>
      </c>
    </row>
    <row r="4929" spans="1:7" hidden="1" x14ac:dyDescent="0.25">
      <c r="A4929" s="28">
        <v>43922</v>
      </c>
      <c r="B4929" s="27" t="s">
        <v>180</v>
      </c>
      <c r="C4929" s="27" t="s">
        <v>50</v>
      </c>
      <c r="D4929" s="27" t="s">
        <v>7</v>
      </c>
      <c r="E4929" s="27" t="s">
        <v>23</v>
      </c>
      <c r="F4929" s="29"/>
      <c r="G4929" s="30">
        <v>100</v>
      </c>
    </row>
    <row r="4930" spans="1:7" hidden="1" x14ac:dyDescent="0.25">
      <c r="A4930" s="28">
        <v>43922</v>
      </c>
      <c r="B4930" s="27" t="s">
        <v>181</v>
      </c>
      <c r="C4930" s="27" t="s">
        <v>50</v>
      </c>
      <c r="D4930" s="27" t="s">
        <v>6</v>
      </c>
      <c r="E4930" s="27" t="s">
        <v>8</v>
      </c>
      <c r="F4930" s="29"/>
      <c r="G4930" s="30">
        <v>180</v>
      </c>
    </row>
    <row r="4931" spans="1:7" hidden="1" x14ac:dyDescent="0.25">
      <c r="A4931" s="28">
        <v>43922</v>
      </c>
      <c r="B4931" s="27" t="s">
        <v>181</v>
      </c>
      <c r="C4931" s="27" t="s">
        <v>50</v>
      </c>
      <c r="D4931" s="27" t="s">
        <v>6</v>
      </c>
      <c r="E4931" s="27" t="s">
        <v>9</v>
      </c>
      <c r="F4931" s="29"/>
      <c r="G4931" s="30">
        <v>180</v>
      </c>
    </row>
    <row r="4932" spans="1:7" hidden="1" x14ac:dyDescent="0.25">
      <c r="A4932" s="28">
        <v>43922</v>
      </c>
      <c r="B4932" s="27" t="s">
        <v>181</v>
      </c>
      <c r="C4932" s="27" t="s">
        <v>50</v>
      </c>
      <c r="D4932" s="27" t="s">
        <v>6</v>
      </c>
      <c r="E4932" s="27" t="s">
        <v>22</v>
      </c>
      <c r="F4932" s="29"/>
      <c r="G4932" s="30">
        <v>100</v>
      </c>
    </row>
    <row r="4933" spans="1:7" hidden="1" x14ac:dyDescent="0.25">
      <c r="A4933" s="28">
        <v>43922</v>
      </c>
      <c r="B4933" s="27" t="s">
        <v>181</v>
      </c>
      <c r="C4933" s="27" t="s">
        <v>50</v>
      </c>
      <c r="D4933" s="27" t="s">
        <v>6</v>
      </c>
      <c r="E4933" s="27" t="s">
        <v>21</v>
      </c>
      <c r="F4933" s="29"/>
      <c r="G4933" s="30">
        <v>1178</v>
      </c>
    </row>
    <row r="4934" spans="1:7" hidden="1" x14ac:dyDescent="0.25">
      <c r="A4934" s="28">
        <v>43922</v>
      </c>
      <c r="B4934" s="27" t="s">
        <v>181</v>
      </c>
      <c r="C4934" s="27" t="s">
        <v>50</v>
      </c>
      <c r="D4934" s="27" t="s">
        <v>6</v>
      </c>
      <c r="E4934" s="27" t="s">
        <v>11</v>
      </c>
      <c r="F4934" s="29"/>
      <c r="G4934" s="30">
        <v>114.98</v>
      </c>
    </row>
    <row r="4935" spans="1:7" hidden="1" x14ac:dyDescent="0.25">
      <c r="A4935" s="28">
        <v>43922</v>
      </c>
      <c r="B4935" s="27" t="s">
        <v>181</v>
      </c>
      <c r="C4935" s="27" t="s">
        <v>50</v>
      </c>
      <c r="D4935" s="27" t="s">
        <v>6</v>
      </c>
      <c r="E4935" s="27" t="s">
        <v>12</v>
      </c>
      <c r="F4935" s="29"/>
      <c r="G4935" s="30">
        <v>114.98</v>
      </c>
    </row>
    <row r="4936" spans="1:7" hidden="1" x14ac:dyDescent="0.25">
      <c r="A4936" s="28">
        <v>43922</v>
      </c>
      <c r="B4936" s="27" t="s">
        <v>181</v>
      </c>
      <c r="C4936" s="27" t="s">
        <v>50</v>
      </c>
      <c r="D4936" s="27" t="s">
        <v>6</v>
      </c>
      <c r="E4936" s="27" t="s">
        <v>13</v>
      </c>
      <c r="F4936" s="29"/>
      <c r="G4936" s="30">
        <v>150</v>
      </c>
    </row>
    <row r="4937" spans="1:7" hidden="1" x14ac:dyDescent="0.25">
      <c r="A4937" s="28">
        <v>43922</v>
      </c>
      <c r="B4937" s="27" t="s">
        <v>181</v>
      </c>
      <c r="C4937" s="27" t="s">
        <v>50</v>
      </c>
      <c r="D4937" s="27" t="s">
        <v>6</v>
      </c>
      <c r="E4937" s="27" t="s">
        <v>14</v>
      </c>
      <c r="F4937" s="29"/>
      <c r="G4937" s="30">
        <v>172.5</v>
      </c>
    </row>
    <row r="4938" spans="1:7" hidden="1" x14ac:dyDescent="0.25">
      <c r="A4938" s="28">
        <v>43922</v>
      </c>
      <c r="B4938" s="27" t="s">
        <v>181</v>
      </c>
      <c r="C4938" s="27" t="s">
        <v>50</v>
      </c>
      <c r="D4938" s="27" t="s">
        <v>6</v>
      </c>
      <c r="E4938" s="27" t="s">
        <v>16</v>
      </c>
      <c r="F4938" s="29"/>
      <c r="G4938" s="30">
        <v>120</v>
      </c>
    </row>
    <row r="4939" spans="1:7" hidden="1" x14ac:dyDescent="0.25">
      <c r="A4939" s="28">
        <v>43922</v>
      </c>
      <c r="B4939" s="27" t="s">
        <v>181</v>
      </c>
      <c r="C4939" s="27" t="s">
        <v>50</v>
      </c>
      <c r="D4939" s="27" t="s">
        <v>6</v>
      </c>
      <c r="E4939" s="27" t="s">
        <v>17</v>
      </c>
      <c r="F4939" s="29"/>
      <c r="G4939" s="30">
        <v>230</v>
      </c>
    </row>
    <row r="4940" spans="1:7" hidden="1" x14ac:dyDescent="0.25">
      <c r="A4940" s="28">
        <v>43922</v>
      </c>
      <c r="B4940" s="27" t="s">
        <v>181</v>
      </c>
      <c r="C4940" s="27" t="s">
        <v>50</v>
      </c>
      <c r="D4940" s="27" t="s">
        <v>6</v>
      </c>
      <c r="E4940" s="27" t="s">
        <v>19</v>
      </c>
      <c r="F4940" s="29"/>
      <c r="G4940" s="30">
        <v>100</v>
      </c>
    </row>
    <row r="4941" spans="1:7" hidden="1" x14ac:dyDescent="0.25">
      <c r="A4941" s="28">
        <v>43922</v>
      </c>
      <c r="B4941" s="27" t="s">
        <v>25</v>
      </c>
      <c r="C4941" s="27" t="s">
        <v>50</v>
      </c>
      <c r="D4941" s="27" t="s">
        <v>7</v>
      </c>
      <c r="E4941" s="27" t="s">
        <v>19</v>
      </c>
      <c r="F4941" s="29"/>
      <c r="G4941" s="30">
        <v>104.13</v>
      </c>
    </row>
    <row r="4942" spans="1:7" hidden="1" x14ac:dyDescent="0.25">
      <c r="A4942" s="28">
        <v>43922</v>
      </c>
      <c r="B4942" s="27" t="s">
        <v>25</v>
      </c>
      <c r="C4942" s="27" t="s">
        <v>50</v>
      </c>
      <c r="D4942" s="27" t="s">
        <v>7</v>
      </c>
      <c r="E4942" s="27" t="s">
        <v>38</v>
      </c>
      <c r="F4942" s="29"/>
      <c r="G4942" s="30">
        <v>104.13</v>
      </c>
    </row>
    <row r="4943" spans="1:7" hidden="1" x14ac:dyDescent="0.25">
      <c r="A4943" s="28">
        <v>43922</v>
      </c>
      <c r="B4943" s="27" t="s">
        <v>2</v>
      </c>
      <c r="C4943" s="27" t="s">
        <v>50</v>
      </c>
      <c r="D4943" s="27" t="s">
        <v>7</v>
      </c>
      <c r="E4943" s="27" t="s">
        <v>8</v>
      </c>
      <c r="F4943" s="29"/>
      <c r="G4943" s="30">
        <v>195.67</v>
      </c>
    </row>
    <row r="4944" spans="1:7" hidden="1" x14ac:dyDescent="0.25">
      <c r="A4944" s="28">
        <v>43922</v>
      </c>
      <c r="B4944" s="27" t="s">
        <v>2</v>
      </c>
      <c r="C4944" s="27" t="s">
        <v>50</v>
      </c>
      <c r="D4944" s="27" t="s">
        <v>7</v>
      </c>
      <c r="E4944" s="27" t="s">
        <v>9</v>
      </c>
      <c r="F4944" s="29"/>
      <c r="G4944" s="30">
        <v>274.60000000000002</v>
      </c>
    </row>
    <row r="4945" spans="1:7" hidden="1" x14ac:dyDescent="0.25">
      <c r="A4945" s="28">
        <v>43922</v>
      </c>
      <c r="B4945" s="27" t="s">
        <v>2</v>
      </c>
      <c r="C4945" s="27" t="s">
        <v>50</v>
      </c>
      <c r="D4945" s="27" t="s">
        <v>7</v>
      </c>
      <c r="E4945" s="27" t="s">
        <v>22</v>
      </c>
      <c r="F4945" s="29"/>
      <c r="G4945" s="30">
        <v>194.5</v>
      </c>
    </row>
    <row r="4946" spans="1:7" hidden="1" x14ac:dyDescent="0.25">
      <c r="A4946" s="28">
        <v>43922</v>
      </c>
      <c r="B4946" s="27" t="s">
        <v>2</v>
      </c>
      <c r="C4946" s="27" t="s">
        <v>50</v>
      </c>
      <c r="D4946" s="27" t="s">
        <v>7</v>
      </c>
      <c r="E4946" s="27" t="s">
        <v>64</v>
      </c>
      <c r="F4946" s="29"/>
      <c r="G4946" s="30">
        <v>72.069999999999993</v>
      </c>
    </row>
    <row r="4947" spans="1:7" hidden="1" x14ac:dyDescent="0.25">
      <c r="A4947" s="28">
        <v>43922</v>
      </c>
      <c r="B4947" s="27" t="s">
        <v>2</v>
      </c>
      <c r="C4947" s="27" t="s">
        <v>50</v>
      </c>
      <c r="D4947" s="27" t="s">
        <v>7</v>
      </c>
      <c r="E4947" s="27" t="s">
        <v>21</v>
      </c>
      <c r="F4947" s="29"/>
      <c r="G4947" s="30">
        <v>207.07</v>
      </c>
    </row>
    <row r="4948" spans="1:7" hidden="1" x14ac:dyDescent="0.25">
      <c r="A4948" s="28">
        <v>43922</v>
      </c>
      <c r="B4948" s="27" t="s">
        <v>2</v>
      </c>
      <c r="C4948" s="27" t="s">
        <v>50</v>
      </c>
      <c r="D4948" s="27" t="s">
        <v>7</v>
      </c>
      <c r="E4948" s="27" t="s">
        <v>10</v>
      </c>
      <c r="F4948" s="29"/>
      <c r="G4948" s="30">
        <v>95.47</v>
      </c>
    </row>
    <row r="4949" spans="1:7" hidden="1" x14ac:dyDescent="0.25">
      <c r="A4949" s="28">
        <v>43922</v>
      </c>
      <c r="B4949" s="27" t="s">
        <v>2</v>
      </c>
      <c r="C4949" s="27" t="s">
        <v>50</v>
      </c>
      <c r="D4949" s="27" t="s">
        <v>7</v>
      </c>
      <c r="E4949" s="27" t="s">
        <v>11</v>
      </c>
      <c r="F4949" s="29"/>
      <c r="G4949" s="30">
        <v>126.07</v>
      </c>
    </row>
    <row r="4950" spans="1:7" hidden="1" x14ac:dyDescent="0.25">
      <c r="A4950" s="28">
        <v>43922</v>
      </c>
      <c r="B4950" s="27" t="s">
        <v>2</v>
      </c>
      <c r="C4950" s="27" t="s">
        <v>50</v>
      </c>
      <c r="D4950" s="27" t="s">
        <v>7</v>
      </c>
      <c r="E4950" s="27" t="s">
        <v>12</v>
      </c>
      <c r="F4950" s="29"/>
      <c r="G4950" s="30">
        <v>340.27</v>
      </c>
    </row>
    <row r="4951" spans="1:7" hidden="1" x14ac:dyDescent="0.25">
      <c r="A4951" s="28">
        <v>43922</v>
      </c>
      <c r="B4951" s="27" t="s">
        <v>2</v>
      </c>
      <c r="C4951" s="27" t="s">
        <v>50</v>
      </c>
      <c r="D4951" s="27" t="s">
        <v>7</v>
      </c>
      <c r="E4951" s="27" t="s">
        <v>13</v>
      </c>
      <c r="F4951" s="29"/>
      <c r="G4951" s="30">
        <v>160.81</v>
      </c>
    </row>
    <row r="4952" spans="1:7" hidden="1" x14ac:dyDescent="0.25">
      <c r="A4952" s="28">
        <v>43922</v>
      </c>
      <c r="B4952" s="27" t="s">
        <v>2</v>
      </c>
      <c r="C4952" s="27" t="s">
        <v>50</v>
      </c>
      <c r="D4952" s="27" t="s">
        <v>7</v>
      </c>
      <c r="E4952" s="27" t="s">
        <v>14</v>
      </c>
      <c r="F4952" s="29"/>
      <c r="G4952" s="30">
        <v>114.42</v>
      </c>
    </row>
    <row r="4953" spans="1:7" hidden="1" x14ac:dyDescent="0.25">
      <c r="A4953" s="28">
        <v>43922</v>
      </c>
      <c r="B4953" s="27" t="s">
        <v>2</v>
      </c>
      <c r="C4953" s="27" t="s">
        <v>50</v>
      </c>
      <c r="D4953" s="27" t="s">
        <v>7</v>
      </c>
      <c r="E4953" s="27" t="s">
        <v>15</v>
      </c>
      <c r="F4953" s="29"/>
      <c r="G4953" s="30">
        <v>166.01</v>
      </c>
    </row>
    <row r="4954" spans="1:7" hidden="1" x14ac:dyDescent="0.25">
      <c r="A4954" s="28">
        <v>43922</v>
      </c>
      <c r="B4954" s="27" t="s">
        <v>2</v>
      </c>
      <c r="C4954" s="27" t="s">
        <v>50</v>
      </c>
      <c r="D4954" s="27" t="s">
        <v>7</v>
      </c>
      <c r="E4954" s="27" t="s">
        <v>16</v>
      </c>
      <c r="F4954" s="29"/>
      <c r="G4954" s="30">
        <v>90.61</v>
      </c>
    </row>
    <row r="4955" spans="1:7" hidden="1" x14ac:dyDescent="0.25">
      <c r="A4955" s="28">
        <v>43922</v>
      </c>
      <c r="B4955" s="27" t="s">
        <v>2</v>
      </c>
      <c r="C4955" s="27" t="s">
        <v>50</v>
      </c>
      <c r="D4955" s="27" t="s">
        <v>7</v>
      </c>
      <c r="E4955" s="27" t="s">
        <v>17</v>
      </c>
      <c r="F4955" s="29"/>
      <c r="G4955" s="30">
        <v>726.63</v>
      </c>
    </row>
    <row r="4956" spans="1:7" hidden="1" x14ac:dyDescent="0.25">
      <c r="A4956" s="28">
        <v>43922</v>
      </c>
      <c r="B4956" s="27" t="s">
        <v>2</v>
      </c>
      <c r="C4956" s="27" t="s">
        <v>50</v>
      </c>
      <c r="D4956" s="27" t="s">
        <v>7</v>
      </c>
      <c r="E4956" s="27" t="s">
        <v>18</v>
      </c>
      <c r="F4956" s="29"/>
      <c r="G4956" s="30">
        <v>35.32</v>
      </c>
    </row>
    <row r="4957" spans="1:7" hidden="1" x14ac:dyDescent="0.25">
      <c r="A4957" s="28">
        <v>43922</v>
      </c>
      <c r="B4957" s="27" t="s">
        <v>2</v>
      </c>
      <c r="C4957" s="27" t="s">
        <v>50</v>
      </c>
      <c r="D4957" s="27" t="s">
        <v>7</v>
      </c>
      <c r="E4957" s="27" t="s">
        <v>19</v>
      </c>
      <c r="F4957" s="29"/>
      <c r="G4957" s="30">
        <v>380.15</v>
      </c>
    </row>
    <row r="4958" spans="1:7" hidden="1" x14ac:dyDescent="0.25">
      <c r="A4958" s="28">
        <v>43922</v>
      </c>
      <c r="B4958" s="27" t="s">
        <v>2</v>
      </c>
      <c r="C4958" s="27" t="s">
        <v>50</v>
      </c>
      <c r="D4958" s="27" t="s">
        <v>7</v>
      </c>
      <c r="E4958" s="27" t="s">
        <v>20</v>
      </c>
      <c r="F4958" s="29"/>
      <c r="G4958" s="30">
        <v>190.52</v>
      </c>
    </row>
    <row r="4959" spans="1:7" hidden="1" x14ac:dyDescent="0.25">
      <c r="A4959" s="28">
        <v>43922</v>
      </c>
      <c r="B4959" s="27" t="s">
        <v>2</v>
      </c>
      <c r="C4959" s="27" t="s">
        <v>50</v>
      </c>
      <c r="D4959" s="27" t="s">
        <v>7</v>
      </c>
      <c r="E4959" s="27" t="s">
        <v>38</v>
      </c>
      <c r="F4959" s="29"/>
      <c r="G4959" s="30">
        <v>394.02</v>
      </c>
    </row>
    <row r="4960" spans="1:7" hidden="1" x14ac:dyDescent="0.25">
      <c r="A4960" s="28">
        <v>43922</v>
      </c>
      <c r="B4960" s="27" t="s">
        <v>2</v>
      </c>
      <c r="C4960" s="27" t="s">
        <v>50</v>
      </c>
      <c r="D4960" s="27" t="s">
        <v>7</v>
      </c>
      <c r="E4960" s="27" t="s">
        <v>23</v>
      </c>
      <c r="F4960" s="29"/>
      <c r="G4960" s="30">
        <v>318.35000000000002</v>
      </c>
    </row>
    <row r="4961" spans="1:7" hidden="1" x14ac:dyDescent="0.25">
      <c r="A4961" s="28">
        <v>43922</v>
      </c>
      <c r="B4961" s="27" t="s">
        <v>36</v>
      </c>
      <c r="C4961" s="27" t="s">
        <v>50</v>
      </c>
      <c r="D4961" s="27" t="s">
        <v>6</v>
      </c>
      <c r="E4961" s="27" t="s">
        <v>8</v>
      </c>
      <c r="F4961" s="29"/>
      <c r="G4961" s="30">
        <v>330.97</v>
      </c>
    </row>
    <row r="4962" spans="1:7" hidden="1" x14ac:dyDescent="0.25">
      <c r="A4962" s="28">
        <v>43922</v>
      </c>
      <c r="B4962" s="27" t="s">
        <v>36</v>
      </c>
      <c r="C4962" s="27" t="s">
        <v>50</v>
      </c>
      <c r="D4962" s="27" t="s">
        <v>6</v>
      </c>
      <c r="E4962" s="27" t="s">
        <v>9</v>
      </c>
      <c r="F4962" s="29"/>
      <c r="G4962" s="30">
        <v>56</v>
      </c>
    </row>
    <row r="4963" spans="1:7" hidden="1" x14ac:dyDescent="0.25">
      <c r="A4963" s="28">
        <v>43922</v>
      </c>
      <c r="B4963" s="27" t="s">
        <v>36</v>
      </c>
      <c r="C4963" s="27" t="s">
        <v>50</v>
      </c>
      <c r="D4963" s="27" t="s">
        <v>6</v>
      </c>
      <c r="E4963" s="27" t="s">
        <v>22</v>
      </c>
      <c r="F4963" s="29"/>
      <c r="G4963" s="30">
        <v>165.5</v>
      </c>
    </row>
    <row r="4964" spans="1:7" hidden="1" x14ac:dyDescent="0.25">
      <c r="A4964" s="28">
        <v>43922</v>
      </c>
      <c r="B4964" s="27" t="s">
        <v>36</v>
      </c>
      <c r="C4964" s="27" t="s">
        <v>50</v>
      </c>
      <c r="D4964" s="27" t="s">
        <v>6</v>
      </c>
      <c r="E4964" s="27" t="s">
        <v>64</v>
      </c>
      <c r="F4964" s="29"/>
      <c r="G4964" s="30">
        <v>56</v>
      </c>
    </row>
    <row r="4965" spans="1:7" hidden="1" x14ac:dyDescent="0.25">
      <c r="A4965" s="28">
        <v>43922</v>
      </c>
      <c r="B4965" s="27" t="s">
        <v>36</v>
      </c>
      <c r="C4965" s="27" t="s">
        <v>50</v>
      </c>
      <c r="D4965" s="27" t="s">
        <v>6</v>
      </c>
      <c r="E4965" s="27" t="s">
        <v>21</v>
      </c>
      <c r="F4965" s="29"/>
      <c r="G4965" s="30">
        <v>98.57</v>
      </c>
    </row>
    <row r="4966" spans="1:7" hidden="1" x14ac:dyDescent="0.25">
      <c r="A4966" s="28">
        <v>43922</v>
      </c>
      <c r="B4966" s="27" t="s">
        <v>36</v>
      </c>
      <c r="C4966" s="27" t="s">
        <v>50</v>
      </c>
      <c r="D4966" s="27" t="s">
        <v>6</v>
      </c>
      <c r="E4966" s="27" t="s">
        <v>10</v>
      </c>
      <c r="F4966" s="29"/>
      <c r="G4966" s="30">
        <v>330.97</v>
      </c>
    </row>
    <row r="4967" spans="1:7" hidden="1" x14ac:dyDescent="0.25">
      <c r="A4967" s="28">
        <v>43922</v>
      </c>
      <c r="B4967" s="27" t="s">
        <v>36</v>
      </c>
      <c r="C4967" s="27" t="s">
        <v>50</v>
      </c>
      <c r="D4967" s="27" t="s">
        <v>6</v>
      </c>
      <c r="E4967" s="27" t="s">
        <v>11</v>
      </c>
      <c r="F4967" s="29"/>
      <c r="G4967" s="30">
        <v>153.5</v>
      </c>
    </row>
    <row r="4968" spans="1:7" hidden="1" x14ac:dyDescent="0.25">
      <c r="A4968" s="28">
        <v>43922</v>
      </c>
      <c r="B4968" s="27" t="s">
        <v>36</v>
      </c>
      <c r="C4968" s="27" t="s">
        <v>50</v>
      </c>
      <c r="D4968" s="27" t="s">
        <v>6</v>
      </c>
      <c r="E4968" s="27" t="s">
        <v>12</v>
      </c>
      <c r="F4968" s="29"/>
      <c r="G4968" s="30">
        <v>78.69</v>
      </c>
    </row>
    <row r="4969" spans="1:7" hidden="1" x14ac:dyDescent="0.25">
      <c r="A4969" s="28">
        <v>43922</v>
      </c>
      <c r="B4969" s="27" t="s">
        <v>36</v>
      </c>
      <c r="C4969" s="27" t="s">
        <v>50</v>
      </c>
      <c r="D4969" s="27" t="s">
        <v>6</v>
      </c>
      <c r="E4969" s="27" t="s">
        <v>13</v>
      </c>
      <c r="F4969" s="29"/>
      <c r="G4969" s="30">
        <v>56</v>
      </c>
    </row>
    <row r="4970" spans="1:7" hidden="1" x14ac:dyDescent="0.25">
      <c r="A4970" s="28">
        <v>43922</v>
      </c>
      <c r="B4970" s="27" t="s">
        <v>36</v>
      </c>
      <c r="C4970" s="27" t="s">
        <v>50</v>
      </c>
      <c r="D4970" s="27" t="s">
        <v>6</v>
      </c>
      <c r="E4970" s="27" t="s">
        <v>14</v>
      </c>
      <c r="F4970" s="29"/>
      <c r="G4970" s="30">
        <v>78.69</v>
      </c>
    </row>
    <row r="4971" spans="1:7" hidden="1" x14ac:dyDescent="0.25">
      <c r="A4971" s="28">
        <v>43922</v>
      </c>
      <c r="B4971" s="27" t="s">
        <v>36</v>
      </c>
      <c r="C4971" s="27" t="s">
        <v>50</v>
      </c>
      <c r="D4971" s="27" t="s">
        <v>6</v>
      </c>
      <c r="E4971" s="27" t="s">
        <v>15</v>
      </c>
      <c r="F4971" s="29"/>
      <c r="G4971" s="30">
        <v>284.19</v>
      </c>
    </row>
    <row r="4972" spans="1:7" hidden="1" x14ac:dyDescent="0.25">
      <c r="A4972" s="28">
        <v>43922</v>
      </c>
      <c r="B4972" s="27" t="s">
        <v>36</v>
      </c>
      <c r="C4972" s="27" t="s">
        <v>50</v>
      </c>
      <c r="D4972" s="27" t="s">
        <v>6</v>
      </c>
      <c r="E4972" s="27" t="s">
        <v>16</v>
      </c>
      <c r="F4972" s="29"/>
      <c r="G4972" s="30">
        <v>284.19</v>
      </c>
    </row>
    <row r="4973" spans="1:7" hidden="1" x14ac:dyDescent="0.25">
      <c r="A4973" s="28">
        <v>43922</v>
      </c>
      <c r="B4973" s="27" t="s">
        <v>36</v>
      </c>
      <c r="C4973" s="27" t="s">
        <v>50</v>
      </c>
      <c r="D4973" s="27" t="s">
        <v>6</v>
      </c>
      <c r="E4973" s="27" t="s">
        <v>17</v>
      </c>
      <c r="F4973" s="29"/>
      <c r="G4973" s="30">
        <v>153.5</v>
      </c>
    </row>
    <row r="4974" spans="1:7" hidden="1" x14ac:dyDescent="0.25">
      <c r="A4974" s="28">
        <v>43922</v>
      </c>
      <c r="B4974" s="27" t="s">
        <v>36</v>
      </c>
      <c r="C4974" s="27" t="s">
        <v>50</v>
      </c>
      <c r="D4974" s="27" t="s">
        <v>6</v>
      </c>
      <c r="E4974" s="27" t="s">
        <v>18</v>
      </c>
      <c r="F4974" s="29"/>
      <c r="G4974" s="30">
        <v>165.5</v>
      </c>
    </row>
    <row r="4975" spans="1:7" hidden="1" x14ac:dyDescent="0.25">
      <c r="A4975" s="28">
        <v>43922</v>
      </c>
      <c r="B4975" s="27" t="s">
        <v>36</v>
      </c>
      <c r="C4975" s="27" t="s">
        <v>50</v>
      </c>
      <c r="D4975" s="27" t="s">
        <v>6</v>
      </c>
      <c r="E4975" s="27" t="s">
        <v>19</v>
      </c>
      <c r="F4975" s="29"/>
      <c r="G4975" s="30">
        <v>296.19</v>
      </c>
    </row>
    <row r="4976" spans="1:7" hidden="1" x14ac:dyDescent="0.25">
      <c r="A4976" s="28">
        <v>43922</v>
      </c>
      <c r="B4976" s="27" t="s">
        <v>36</v>
      </c>
      <c r="C4976" s="27" t="s">
        <v>50</v>
      </c>
      <c r="D4976" s="27" t="s">
        <v>6</v>
      </c>
      <c r="E4976" s="27" t="s">
        <v>20</v>
      </c>
      <c r="F4976" s="29"/>
      <c r="G4976" s="30">
        <v>59</v>
      </c>
    </row>
    <row r="4977" spans="1:7" hidden="1" x14ac:dyDescent="0.25">
      <c r="A4977" s="28">
        <v>43922</v>
      </c>
      <c r="B4977" s="27" t="s">
        <v>36</v>
      </c>
      <c r="C4977" s="27" t="s">
        <v>50</v>
      </c>
      <c r="D4977" s="27" t="s">
        <v>6</v>
      </c>
      <c r="E4977" s="27" t="s">
        <v>38</v>
      </c>
      <c r="F4977" s="29"/>
      <c r="G4977" s="30">
        <v>59</v>
      </c>
    </row>
    <row r="4978" spans="1:7" hidden="1" x14ac:dyDescent="0.25">
      <c r="A4978" s="28">
        <v>43922</v>
      </c>
      <c r="B4978" s="27" t="s">
        <v>36</v>
      </c>
      <c r="C4978" s="27" t="s">
        <v>50</v>
      </c>
      <c r="D4978" s="27" t="s">
        <v>6</v>
      </c>
      <c r="E4978" s="27" t="s">
        <v>23</v>
      </c>
      <c r="F4978" s="29"/>
      <c r="G4978" s="30">
        <v>153.5</v>
      </c>
    </row>
    <row r="4979" spans="1:7" hidden="1" x14ac:dyDescent="0.25">
      <c r="A4979" s="28">
        <v>43922</v>
      </c>
      <c r="B4979" s="27" t="s">
        <v>200</v>
      </c>
      <c r="C4979" s="27" t="s">
        <v>53</v>
      </c>
      <c r="D4979" s="27" t="s">
        <v>6</v>
      </c>
      <c r="E4979" s="27" t="s">
        <v>8</v>
      </c>
      <c r="F4979" s="29"/>
      <c r="G4979" s="30">
        <f t="shared" ref="G4979:G4996" si="90">8562.39662222222/18</f>
        <v>475.68870123456782</v>
      </c>
    </row>
    <row r="4980" spans="1:7" hidden="1" x14ac:dyDescent="0.25">
      <c r="A4980" s="28">
        <v>43922</v>
      </c>
      <c r="B4980" s="27" t="s">
        <v>200</v>
      </c>
      <c r="C4980" s="27" t="s">
        <v>53</v>
      </c>
      <c r="D4980" s="27" t="s">
        <v>6</v>
      </c>
      <c r="E4980" s="27" t="s">
        <v>9</v>
      </c>
      <c r="F4980" s="29"/>
      <c r="G4980" s="30">
        <f t="shared" si="90"/>
        <v>475.68870123456782</v>
      </c>
    </row>
    <row r="4981" spans="1:7" hidden="1" x14ac:dyDescent="0.25">
      <c r="A4981" s="28">
        <v>43922</v>
      </c>
      <c r="B4981" s="27" t="s">
        <v>200</v>
      </c>
      <c r="C4981" s="27" t="s">
        <v>53</v>
      </c>
      <c r="D4981" s="27" t="s">
        <v>6</v>
      </c>
      <c r="E4981" s="27" t="s">
        <v>22</v>
      </c>
      <c r="F4981" s="29"/>
      <c r="G4981" s="30">
        <f t="shared" si="90"/>
        <v>475.68870123456782</v>
      </c>
    </row>
    <row r="4982" spans="1:7" hidden="1" x14ac:dyDescent="0.25">
      <c r="A4982" s="28">
        <v>43922</v>
      </c>
      <c r="B4982" s="27" t="s">
        <v>200</v>
      </c>
      <c r="C4982" s="27" t="s">
        <v>53</v>
      </c>
      <c r="D4982" s="27" t="s">
        <v>6</v>
      </c>
      <c r="E4982" s="27" t="s">
        <v>64</v>
      </c>
      <c r="F4982" s="29"/>
      <c r="G4982" s="30">
        <f t="shared" si="90"/>
        <v>475.68870123456782</v>
      </c>
    </row>
    <row r="4983" spans="1:7" hidden="1" x14ac:dyDescent="0.25">
      <c r="A4983" s="28">
        <v>43922</v>
      </c>
      <c r="B4983" s="27" t="s">
        <v>200</v>
      </c>
      <c r="C4983" s="27" t="s">
        <v>53</v>
      </c>
      <c r="D4983" s="27" t="s">
        <v>6</v>
      </c>
      <c r="E4983" s="27" t="s">
        <v>21</v>
      </c>
      <c r="F4983" s="29"/>
      <c r="G4983" s="30">
        <f t="shared" si="90"/>
        <v>475.68870123456782</v>
      </c>
    </row>
    <row r="4984" spans="1:7" hidden="1" x14ac:dyDescent="0.25">
      <c r="A4984" s="28">
        <v>43922</v>
      </c>
      <c r="B4984" s="27" t="s">
        <v>200</v>
      </c>
      <c r="C4984" s="27" t="s">
        <v>53</v>
      </c>
      <c r="D4984" s="27" t="s">
        <v>6</v>
      </c>
      <c r="E4984" s="27" t="s">
        <v>10</v>
      </c>
      <c r="F4984" s="29"/>
      <c r="G4984" s="30">
        <f t="shared" si="90"/>
        <v>475.68870123456782</v>
      </c>
    </row>
    <row r="4985" spans="1:7" hidden="1" x14ac:dyDescent="0.25">
      <c r="A4985" s="28">
        <v>43922</v>
      </c>
      <c r="B4985" s="27" t="s">
        <v>200</v>
      </c>
      <c r="C4985" s="27" t="s">
        <v>53</v>
      </c>
      <c r="D4985" s="27" t="s">
        <v>6</v>
      </c>
      <c r="E4985" s="27" t="s">
        <v>11</v>
      </c>
      <c r="F4985" s="29"/>
      <c r="G4985" s="30">
        <f t="shared" si="90"/>
        <v>475.68870123456782</v>
      </c>
    </row>
    <row r="4986" spans="1:7" hidden="1" x14ac:dyDescent="0.25">
      <c r="A4986" s="28">
        <v>43922</v>
      </c>
      <c r="B4986" s="27" t="s">
        <v>200</v>
      </c>
      <c r="C4986" s="27" t="s">
        <v>53</v>
      </c>
      <c r="D4986" s="27" t="s">
        <v>6</v>
      </c>
      <c r="E4986" s="27" t="s">
        <v>12</v>
      </c>
      <c r="F4986" s="29"/>
      <c r="G4986" s="30">
        <f t="shared" si="90"/>
        <v>475.68870123456782</v>
      </c>
    </row>
    <row r="4987" spans="1:7" hidden="1" x14ac:dyDescent="0.25">
      <c r="A4987" s="28">
        <v>43922</v>
      </c>
      <c r="B4987" s="27" t="s">
        <v>200</v>
      </c>
      <c r="C4987" s="27" t="s">
        <v>53</v>
      </c>
      <c r="D4987" s="27" t="s">
        <v>6</v>
      </c>
      <c r="E4987" s="27" t="s">
        <v>13</v>
      </c>
      <c r="F4987" s="29"/>
      <c r="G4987" s="30">
        <f t="shared" si="90"/>
        <v>475.68870123456782</v>
      </c>
    </row>
    <row r="4988" spans="1:7" hidden="1" x14ac:dyDescent="0.25">
      <c r="A4988" s="28">
        <v>43922</v>
      </c>
      <c r="B4988" s="27" t="s">
        <v>200</v>
      </c>
      <c r="C4988" s="27" t="s">
        <v>53</v>
      </c>
      <c r="D4988" s="27" t="s">
        <v>6</v>
      </c>
      <c r="E4988" s="27" t="s">
        <v>14</v>
      </c>
      <c r="F4988" s="29"/>
      <c r="G4988" s="30">
        <f t="shared" si="90"/>
        <v>475.68870123456782</v>
      </c>
    </row>
    <row r="4989" spans="1:7" hidden="1" x14ac:dyDescent="0.25">
      <c r="A4989" s="28">
        <v>43922</v>
      </c>
      <c r="B4989" s="27" t="s">
        <v>200</v>
      </c>
      <c r="C4989" s="27" t="s">
        <v>53</v>
      </c>
      <c r="D4989" s="27" t="s">
        <v>6</v>
      </c>
      <c r="E4989" s="27" t="s">
        <v>15</v>
      </c>
      <c r="F4989" s="29"/>
      <c r="G4989" s="30">
        <f t="shared" si="90"/>
        <v>475.68870123456782</v>
      </c>
    </row>
    <row r="4990" spans="1:7" hidden="1" x14ac:dyDescent="0.25">
      <c r="A4990" s="28">
        <v>43922</v>
      </c>
      <c r="B4990" s="27" t="s">
        <v>200</v>
      </c>
      <c r="C4990" s="27" t="s">
        <v>53</v>
      </c>
      <c r="D4990" s="27" t="s">
        <v>6</v>
      </c>
      <c r="E4990" s="27" t="s">
        <v>16</v>
      </c>
      <c r="F4990" s="29"/>
      <c r="G4990" s="30">
        <f t="shared" si="90"/>
        <v>475.68870123456782</v>
      </c>
    </row>
    <row r="4991" spans="1:7" hidden="1" x14ac:dyDescent="0.25">
      <c r="A4991" s="28">
        <v>43922</v>
      </c>
      <c r="B4991" s="27" t="s">
        <v>200</v>
      </c>
      <c r="C4991" s="27" t="s">
        <v>53</v>
      </c>
      <c r="D4991" s="27" t="s">
        <v>6</v>
      </c>
      <c r="E4991" s="27" t="s">
        <v>17</v>
      </c>
      <c r="F4991" s="29"/>
      <c r="G4991" s="30">
        <f t="shared" si="90"/>
        <v>475.68870123456782</v>
      </c>
    </row>
    <row r="4992" spans="1:7" hidden="1" x14ac:dyDescent="0.25">
      <c r="A4992" s="28">
        <v>43922</v>
      </c>
      <c r="B4992" s="27" t="s">
        <v>200</v>
      </c>
      <c r="C4992" s="27" t="s">
        <v>53</v>
      </c>
      <c r="D4992" s="27" t="s">
        <v>6</v>
      </c>
      <c r="E4992" s="27" t="s">
        <v>18</v>
      </c>
      <c r="F4992" s="29"/>
      <c r="G4992" s="30">
        <f t="shared" si="90"/>
        <v>475.68870123456782</v>
      </c>
    </row>
    <row r="4993" spans="1:7" hidden="1" x14ac:dyDescent="0.25">
      <c r="A4993" s="28">
        <v>43922</v>
      </c>
      <c r="B4993" s="27" t="s">
        <v>200</v>
      </c>
      <c r="C4993" s="27" t="s">
        <v>53</v>
      </c>
      <c r="D4993" s="27" t="s">
        <v>6</v>
      </c>
      <c r="E4993" s="27" t="s">
        <v>19</v>
      </c>
      <c r="F4993" s="29"/>
      <c r="G4993" s="30">
        <f t="shared" si="90"/>
        <v>475.68870123456782</v>
      </c>
    </row>
    <row r="4994" spans="1:7" hidden="1" x14ac:dyDescent="0.25">
      <c r="A4994" s="28">
        <v>43922</v>
      </c>
      <c r="B4994" s="27" t="s">
        <v>200</v>
      </c>
      <c r="C4994" s="27" t="s">
        <v>53</v>
      </c>
      <c r="D4994" s="27" t="s">
        <v>6</v>
      </c>
      <c r="E4994" s="27" t="s">
        <v>20</v>
      </c>
      <c r="F4994" s="29"/>
      <c r="G4994" s="30">
        <f t="shared" si="90"/>
        <v>475.68870123456782</v>
      </c>
    </row>
    <row r="4995" spans="1:7" hidden="1" x14ac:dyDescent="0.25">
      <c r="A4995" s="28">
        <v>43922</v>
      </c>
      <c r="B4995" s="27" t="s">
        <v>200</v>
      </c>
      <c r="C4995" s="27" t="s">
        <v>53</v>
      </c>
      <c r="D4995" s="27" t="s">
        <v>6</v>
      </c>
      <c r="E4995" s="27" t="s">
        <v>38</v>
      </c>
      <c r="F4995" s="29"/>
      <c r="G4995" s="30">
        <f t="shared" si="90"/>
        <v>475.68870123456782</v>
      </c>
    </row>
    <row r="4996" spans="1:7" hidden="1" x14ac:dyDescent="0.25">
      <c r="A4996" s="28">
        <v>43922</v>
      </c>
      <c r="B4996" s="27" t="s">
        <v>200</v>
      </c>
      <c r="C4996" s="27" t="s">
        <v>53</v>
      </c>
      <c r="D4996" s="27" t="s">
        <v>6</v>
      </c>
      <c r="E4996" s="27" t="s">
        <v>23</v>
      </c>
      <c r="F4996" s="29"/>
      <c r="G4996" s="30">
        <f t="shared" si="90"/>
        <v>475.68870123456782</v>
      </c>
    </row>
    <row r="4997" spans="1:7" hidden="1" x14ac:dyDescent="0.25">
      <c r="A4997" s="28">
        <v>43922</v>
      </c>
      <c r="B4997" s="27" t="s">
        <v>200</v>
      </c>
      <c r="C4997" s="27" t="s">
        <v>54</v>
      </c>
      <c r="D4997" s="27" t="s">
        <v>7</v>
      </c>
      <c r="E4997" s="27" t="s">
        <v>8</v>
      </c>
      <c r="F4997" s="29"/>
      <c r="G4997" s="30">
        <f t="shared" ref="G4997:G5015" si="91">174.04/19</f>
        <v>9.16</v>
      </c>
    </row>
    <row r="4998" spans="1:7" hidden="1" x14ac:dyDescent="0.25">
      <c r="A4998" s="28">
        <v>43922</v>
      </c>
      <c r="B4998" s="27" t="s">
        <v>200</v>
      </c>
      <c r="C4998" s="27" t="s">
        <v>54</v>
      </c>
      <c r="D4998" s="27" t="s">
        <v>7</v>
      </c>
      <c r="E4998" s="27" t="s">
        <v>9</v>
      </c>
      <c r="F4998" s="29"/>
      <c r="G4998" s="30">
        <f t="shared" si="91"/>
        <v>9.16</v>
      </c>
    </row>
    <row r="4999" spans="1:7" hidden="1" x14ac:dyDescent="0.25">
      <c r="A4999" s="28">
        <v>43922</v>
      </c>
      <c r="B4999" s="27" t="s">
        <v>200</v>
      </c>
      <c r="C4999" s="27" t="s">
        <v>54</v>
      </c>
      <c r="D4999" s="27" t="s">
        <v>7</v>
      </c>
      <c r="E4999" s="27" t="s">
        <v>22</v>
      </c>
      <c r="F4999" s="29"/>
      <c r="G4999" s="30">
        <f t="shared" si="91"/>
        <v>9.16</v>
      </c>
    </row>
    <row r="5000" spans="1:7" hidden="1" x14ac:dyDescent="0.25">
      <c r="A5000" s="28">
        <v>43922</v>
      </c>
      <c r="B5000" s="27" t="s">
        <v>200</v>
      </c>
      <c r="C5000" s="27" t="s">
        <v>54</v>
      </c>
      <c r="D5000" s="27" t="s">
        <v>7</v>
      </c>
      <c r="E5000" s="27" t="s">
        <v>64</v>
      </c>
      <c r="F5000" s="29"/>
      <c r="G5000" s="30">
        <f t="shared" si="91"/>
        <v>9.16</v>
      </c>
    </row>
    <row r="5001" spans="1:7" hidden="1" x14ac:dyDescent="0.25">
      <c r="A5001" s="28">
        <v>43922</v>
      </c>
      <c r="B5001" s="27" t="s">
        <v>200</v>
      </c>
      <c r="C5001" s="27" t="s">
        <v>54</v>
      </c>
      <c r="D5001" s="27" t="s">
        <v>7</v>
      </c>
      <c r="E5001" s="27" t="s">
        <v>21</v>
      </c>
      <c r="F5001" s="29"/>
      <c r="G5001" s="30">
        <f t="shared" si="91"/>
        <v>9.16</v>
      </c>
    </row>
    <row r="5002" spans="1:7" hidden="1" x14ac:dyDescent="0.25">
      <c r="A5002" s="28">
        <v>43922</v>
      </c>
      <c r="B5002" s="27" t="s">
        <v>200</v>
      </c>
      <c r="C5002" s="27" t="s">
        <v>54</v>
      </c>
      <c r="D5002" s="27" t="s">
        <v>7</v>
      </c>
      <c r="E5002" s="27" t="s">
        <v>10</v>
      </c>
      <c r="F5002" s="29"/>
      <c r="G5002" s="30">
        <f t="shared" si="91"/>
        <v>9.16</v>
      </c>
    </row>
    <row r="5003" spans="1:7" hidden="1" x14ac:dyDescent="0.25">
      <c r="A5003" s="28">
        <v>43922</v>
      </c>
      <c r="B5003" s="27" t="s">
        <v>200</v>
      </c>
      <c r="C5003" s="27" t="s">
        <v>54</v>
      </c>
      <c r="D5003" s="27" t="s">
        <v>7</v>
      </c>
      <c r="E5003" s="27" t="s">
        <v>11</v>
      </c>
      <c r="F5003" s="29"/>
      <c r="G5003" s="30">
        <f t="shared" si="91"/>
        <v>9.16</v>
      </c>
    </row>
    <row r="5004" spans="1:7" hidden="1" x14ac:dyDescent="0.25">
      <c r="A5004" s="28">
        <v>43922</v>
      </c>
      <c r="B5004" s="27" t="s">
        <v>200</v>
      </c>
      <c r="C5004" s="27" t="s">
        <v>54</v>
      </c>
      <c r="D5004" s="27" t="s">
        <v>7</v>
      </c>
      <c r="E5004" s="27" t="s">
        <v>12</v>
      </c>
      <c r="F5004" s="29"/>
      <c r="G5004" s="30">
        <f t="shared" si="91"/>
        <v>9.16</v>
      </c>
    </row>
    <row r="5005" spans="1:7" hidden="1" x14ac:dyDescent="0.25">
      <c r="A5005" s="28">
        <v>43922</v>
      </c>
      <c r="B5005" s="27" t="s">
        <v>200</v>
      </c>
      <c r="C5005" s="27" t="s">
        <v>54</v>
      </c>
      <c r="D5005" s="27" t="s">
        <v>7</v>
      </c>
      <c r="E5005" s="27" t="s">
        <v>13</v>
      </c>
      <c r="F5005" s="29"/>
      <c r="G5005" s="30">
        <f t="shared" si="91"/>
        <v>9.16</v>
      </c>
    </row>
    <row r="5006" spans="1:7" hidden="1" x14ac:dyDescent="0.25">
      <c r="A5006" s="28">
        <v>43922</v>
      </c>
      <c r="B5006" s="27" t="s">
        <v>200</v>
      </c>
      <c r="C5006" s="27" t="s">
        <v>54</v>
      </c>
      <c r="D5006" s="27" t="s">
        <v>7</v>
      </c>
      <c r="E5006" s="27" t="s">
        <v>14</v>
      </c>
      <c r="F5006" s="29"/>
      <c r="G5006" s="30">
        <f t="shared" si="91"/>
        <v>9.16</v>
      </c>
    </row>
    <row r="5007" spans="1:7" hidden="1" x14ac:dyDescent="0.25">
      <c r="A5007" s="28">
        <v>43922</v>
      </c>
      <c r="B5007" s="27" t="s">
        <v>200</v>
      </c>
      <c r="C5007" s="27" t="s">
        <v>54</v>
      </c>
      <c r="D5007" s="27" t="s">
        <v>7</v>
      </c>
      <c r="E5007" s="27" t="s">
        <v>15</v>
      </c>
      <c r="F5007" s="29"/>
      <c r="G5007" s="30">
        <f t="shared" si="91"/>
        <v>9.16</v>
      </c>
    </row>
    <row r="5008" spans="1:7" hidden="1" x14ac:dyDescent="0.25">
      <c r="A5008" s="28">
        <v>43922</v>
      </c>
      <c r="B5008" s="27" t="s">
        <v>200</v>
      </c>
      <c r="C5008" s="27" t="s">
        <v>54</v>
      </c>
      <c r="D5008" s="27" t="s">
        <v>7</v>
      </c>
      <c r="E5008" s="27" t="s">
        <v>16</v>
      </c>
      <c r="F5008" s="29"/>
      <c r="G5008" s="30">
        <f t="shared" si="91"/>
        <v>9.16</v>
      </c>
    </row>
    <row r="5009" spans="1:7" hidden="1" x14ac:dyDescent="0.25">
      <c r="A5009" s="28">
        <v>43922</v>
      </c>
      <c r="B5009" s="27" t="s">
        <v>200</v>
      </c>
      <c r="C5009" s="27" t="s">
        <v>54</v>
      </c>
      <c r="D5009" s="27" t="s">
        <v>7</v>
      </c>
      <c r="E5009" s="27" t="s">
        <v>17</v>
      </c>
      <c r="F5009" s="29"/>
      <c r="G5009" s="30">
        <f t="shared" si="91"/>
        <v>9.16</v>
      </c>
    </row>
    <row r="5010" spans="1:7" hidden="1" x14ac:dyDescent="0.25">
      <c r="A5010" s="28">
        <v>43922</v>
      </c>
      <c r="B5010" s="27" t="s">
        <v>200</v>
      </c>
      <c r="C5010" s="27" t="s">
        <v>54</v>
      </c>
      <c r="D5010" s="27" t="s">
        <v>7</v>
      </c>
      <c r="E5010" s="27" t="s">
        <v>18</v>
      </c>
      <c r="F5010" s="29"/>
      <c r="G5010" s="30">
        <f t="shared" si="91"/>
        <v>9.16</v>
      </c>
    </row>
    <row r="5011" spans="1:7" hidden="1" x14ac:dyDescent="0.25">
      <c r="A5011" s="28">
        <v>43922</v>
      </c>
      <c r="B5011" s="27" t="s">
        <v>200</v>
      </c>
      <c r="C5011" s="27" t="s">
        <v>54</v>
      </c>
      <c r="D5011" s="27" t="s">
        <v>7</v>
      </c>
      <c r="E5011" s="27" t="s">
        <v>19</v>
      </c>
      <c r="F5011" s="29"/>
      <c r="G5011" s="30">
        <f t="shared" si="91"/>
        <v>9.16</v>
      </c>
    </row>
    <row r="5012" spans="1:7" hidden="1" x14ac:dyDescent="0.25">
      <c r="A5012" s="28">
        <v>43922</v>
      </c>
      <c r="B5012" s="27" t="s">
        <v>200</v>
      </c>
      <c r="C5012" s="27" t="s">
        <v>54</v>
      </c>
      <c r="D5012" s="27" t="s">
        <v>7</v>
      </c>
      <c r="E5012" s="27" t="s">
        <v>20</v>
      </c>
      <c r="F5012" s="29"/>
      <c r="G5012" s="30">
        <f t="shared" si="91"/>
        <v>9.16</v>
      </c>
    </row>
    <row r="5013" spans="1:7" hidden="1" x14ac:dyDescent="0.25">
      <c r="A5013" s="28">
        <v>43922</v>
      </c>
      <c r="B5013" s="27" t="s">
        <v>200</v>
      </c>
      <c r="C5013" s="27" t="s">
        <v>54</v>
      </c>
      <c r="D5013" s="27" t="s">
        <v>7</v>
      </c>
      <c r="E5013" s="27" t="s">
        <v>38</v>
      </c>
      <c r="F5013" s="29"/>
      <c r="G5013" s="30">
        <f t="shared" si="91"/>
        <v>9.16</v>
      </c>
    </row>
    <row r="5014" spans="1:7" hidden="1" x14ac:dyDescent="0.25">
      <c r="A5014" s="28">
        <v>43922</v>
      </c>
      <c r="B5014" s="27" t="s">
        <v>200</v>
      </c>
      <c r="C5014" s="27" t="s">
        <v>54</v>
      </c>
      <c r="D5014" s="27" t="s">
        <v>7</v>
      </c>
      <c r="E5014" s="27" t="s">
        <v>23</v>
      </c>
      <c r="F5014" s="29"/>
      <c r="G5014" s="30">
        <f t="shared" si="91"/>
        <v>9.16</v>
      </c>
    </row>
    <row r="5015" spans="1:7" hidden="1" x14ac:dyDescent="0.25">
      <c r="A5015" s="28">
        <v>43922</v>
      </c>
      <c r="B5015" s="27" t="s">
        <v>200</v>
      </c>
      <c r="C5015" s="27" t="s">
        <v>54</v>
      </c>
      <c r="D5015" s="27" t="s">
        <v>7</v>
      </c>
      <c r="E5015" s="27" t="s">
        <v>37</v>
      </c>
      <c r="F5015" s="29"/>
      <c r="G5015" s="30">
        <f t="shared" si="91"/>
        <v>9.16</v>
      </c>
    </row>
    <row r="5016" spans="1:7" hidden="1" x14ac:dyDescent="0.25">
      <c r="A5016" s="28">
        <v>43922</v>
      </c>
      <c r="B5016" s="27" t="s">
        <v>200</v>
      </c>
      <c r="C5016" s="27" t="s">
        <v>55</v>
      </c>
      <c r="D5016" s="27" t="s">
        <v>6</v>
      </c>
      <c r="E5016" s="27" t="s">
        <v>23</v>
      </c>
      <c r="F5016" s="29"/>
      <c r="G5016" s="30">
        <f>21359.7355111111/18</f>
        <v>1186.6519728395056</v>
      </c>
    </row>
    <row r="5017" spans="1:7" hidden="1" x14ac:dyDescent="0.25">
      <c r="A5017" s="28">
        <v>43922</v>
      </c>
      <c r="B5017" s="27" t="s">
        <v>200</v>
      </c>
      <c r="C5017" s="27" t="s">
        <v>55</v>
      </c>
      <c r="D5017" s="27" t="s">
        <v>6</v>
      </c>
      <c r="E5017" s="27" t="s">
        <v>8</v>
      </c>
      <c r="F5017" s="29"/>
      <c r="G5017" s="30">
        <f t="shared" ref="G5017:G5034" si="92">23553.2278666667/18</f>
        <v>1308.5126592592612</v>
      </c>
    </row>
    <row r="5018" spans="1:7" hidden="1" x14ac:dyDescent="0.25">
      <c r="A5018" s="28">
        <v>43922</v>
      </c>
      <c r="B5018" s="27" t="s">
        <v>200</v>
      </c>
      <c r="C5018" s="27" t="s">
        <v>55</v>
      </c>
      <c r="D5018" s="27" t="s">
        <v>6</v>
      </c>
      <c r="E5018" s="27" t="s">
        <v>9</v>
      </c>
      <c r="F5018" s="29"/>
      <c r="G5018" s="30">
        <f t="shared" si="92"/>
        <v>1308.5126592592612</v>
      </c>
    </row>
    <row r="5019" spans="1:7" hidden="1" x14ac:dyDescent="0.25">
      <c r="A5019" s="28">
        <v>43922</v>
      </c>
      <c r="B5019" s="27" t="s">
        <v>200</v>
      </c>
      <c r="C5019" s="27" t="s">
        <v>55</v>
      </c>
      <c r="D5019" s="27" t="s">
        <v>6</v>
      </c>
      <c r="E5019" s="27" t="s">
        <v>22</v>
      </c>
      <c r="F5019" s="29"/>
      <c r="G5019" s="30">
        <f t="shared" si="92"/>
        <v>1308.5126592592612</v>
      </c>
    </row>
    <row r="5020" spans="1:7" hidden="1" x14ac:dyDescent="0.25">
      <c r="A5020" s="28">
        <v>43922</v>
      </c>
      <c r="B5020" s="27" t="s">
        <v>200</v>
      </c>
      <c r="C5020" s="27" t="s">
        <v>55</v>
      </c>
      <c r="D5020" s="27" t="s">
        <v>6</v>
      </c>
      <c r="E5020" s="27" t="s">
        <v>64</v>
      </c>
      <c r="F5020" s="29"/>
      <c r="G5020" s="30">
        <f t="shared" si="92"/>
        <v>1308.5126592592612</v>
      </c>
    </row>
    <row r="5021" spans="1:7" hidden="1" x14ac:dyDescent="0.25">
      <c r="A5021" s="28">
        <v>43922</v>
      </c>
      <c r="B5021" s="27" t="s">
        <v>200</v>
      </c>
      <c r="C5021" s="27" t="s">
        <v>55</v>
      </c>
      <c r="D5021" s="27" t="s">
        <v>6</v>
      </c>
      <c r="E5021" s="27" t="s">
        <v>21</v>
      </c>
      <c r="F5021" s="29"/>
      <c r="G5021" s="30">
        <f t="shared" si="92"/>
        <v>1308.5126592592612</v>
      </c>
    </row>
    <row r="5022" spans="1:7" hidden="1" x14ac:dyDescent="0.25">
      <c r="A5022" s="28">
        <v>43922</v>
      </c>
      <c r="B5022" s="27" t="s">
        <v>200</v>
      </c>
      <c r="C5022" s="27" t="s">
        <v>55</v>
      </c>
      <c r="D5022" s="27" t="s">
        <v>6</v>
      </c>
      <c r="E5022" s="27" t="s">
        <v>10</v>
      </c>
      <c r="F5022" s="29"/>
      <c r="G5022" s="30">
        <f t="shared" si="92"/>
        <v>1308.5126592592612</v>
      </c>
    </row>
    <row r="5023" spans="1:7" hidden="1" x14ac:dyDescent="0.25">
      <c r="A5023" s="28">
        <v>43922</v>
      </c>
      <c r="B5023" s="27" t="s">
        <v>200</v>
      </c>
      <c r="C5023" s="27" t="s">
        <v>55</v>
      </c>
      <c r="D5023" s="27" t="s">
        <v>6</v>
      </c>
      <c r="E5023" s="27" t="s">
        <v>11</v>
      </c>
      <c r="F5023" s="29"/>
      <c r="G5023" s="30">
        <f t="shared" si="92"/>
        <v>1308.5126592592612</v>
      </c>
    </row>
    <row r="5024" spans="1:7" hidden="1" x14ac:dyDescent="0.25">
      <c r="A5024" s="28">
        <v>43922</v>
      </c>
      <c r="B5024" s="27" t="s">
        <v>200</v>
      </c>
      <c r="C5024" s="27" t="s">
        <v>55</v>
      </c>
      <c r="D5024" s="27" t="s">
        <v>6</v>
      </c>
      <c r="E5024" s="27" t="s">
        <v>12</v>
      </c>
      <c r="F5024" s="29"/>
      <c r="G5024" s="30">
        <f t="shared" si="92"/>
        <v>1308.5126592592612</v>
      </c>
    </row>
    <row r="5025" spans="1:7" hidden="1" x14ac:dyDescent="0.25">
      <c r="A5025" s="28">
        <v>43922</v>
      </c>
      <c r="B5025" s="27" t="s">
        <v>200</v>
      </c>
      <c r="C5025" s="27" t="s">
        <v>55</v>
      </c>
      <c r="D5025" s="27" t="s">
        <v>6</v>
      </c>
      <c r="E5025" s="27" t="s">
        <v>13</v>
      </c>
      <c r="F5025" s="29"/>
      <c r="G5025" s="30">
        <f t="shared" si="92"/>
        <v>1308.5126592592612</v>
      </c>
    </row>
    <row r="5026" spans="1:7" hidden="1" x14ac:dyDescent="0.25">
      <c r="A5026" s="28">
        <v>43922</v>
      </c>
      <c r="B5026" s="27" t="s">
        <v>200</v>
      </c>
      <c r="C5026" s="27" t="s">
        <v>55</v>
      </c>
      <c r="D5026" s="27" t="s">
        <v>6</v>
      </c>
      <c r="E5026" s="27" t="s">
        <v>14</v>
      </c>
      <c r="F5026" s="29"/>
      <c r="G5026" s="30">
        <f t="shared" si="92"/>
        <v>1308.5126592592612</v>
      </c>
    </row>
    <row r="5027" spans="1:7" hidden="1" x14ac:dyDescent="0.25">
      <c r="A5027" s="28">
        <v>43922</v>
      </c>
      <c r="B5027" s="27" t="s">
        <v>200</v>
      </c>
      <c r="C5027" s="27" t="s">
        <v>55</v>
      </c>
      <c r="D5027" s="27" t="s">
        <v>6</v>
      </c>
      <c r="E5027" s="27" t="s">
        <v>15</v>
      </c>
      <c r="F5027" s="29"/>
      <c r="G5027" s="30">
        <f t="shared" si="92"/>
        <v>1308.5126592592612</v>
      </c>
    </row>
    <row r="5028" spans="1:7" hidden="1" x14ac:dyDescent="0.25">
      <c r="A5028" s="28">
        <v>43922</v>
      </c>
      <c r="B5028" s="27" t="s">
        <v>200</v>
      </c>
      <c r="C5028" s="27" t="s">
        <v>55</v>
      </c>
      <c r="D5028" s="27" t="s">
        <v>6</v>
      </c>
      <c r="E5028" s="27" t="s">
        <v>16</v>
      </c>
      <c r="F5028" s="29"/>
      <c r="G5028" s="30">
        <f t="shared" si="92"/>
        <v>1308.5126592592612</v>
      </c>
    </row>
    <row r="5029" spans="1:7" hidden="1" x14ac:dyDescent="0.25">
      <c r="A5029" s="28">
        <v>43922</v>
      </c>
      <c r="B5029" s="27" t="s">
        <v>200</v>
      </c>
      <c r="C5029" s="27" t="s">
        <v>55</v>
      </c>
      <c r="D5029" s="27" t="s">
        <v>6</v>
      </c>
      <c r="E5029" s="27" t="s">
        <v>17</v>
      </c>
      <c r="F5029" s="29"/>
      <c r="G5029" s="30">
        <f t="shared" si="92"/>
        <v>1308.5126592592612</v>
      </c>
    </row>
    <row r="5030" spans="1:7" hidden="1" x14ac:dyDescent="0.25">
      <c r="A5030" s="28">
        <v>43922</v>
      </c>
      <c r="B5030" s="27" t="s">
        <v>200</v>
      </c>
      <c r="C5030" s="27" t="s">
        <v>55</v>
      </c>
      <c r="D5030" s="27" t="s">
        <v>6</v>
      </c>
      <c r="E5030" s="27" t="s">
        <v>18</v>
      </c>
      <c r="F5030" s="29"/>
      <c r="G5030" s="30">
        <f t="shared" si="92"/>
        <v>1308.5126592592612</v>
      </c>
    </row>
    <row r="5031" spans="1:7" hidden="1" x14ac:dyDescent="0.25">
      <c r="A5031" s="28">
        <v>43922</v>
      </c>
      <c r="B5031" s="27" t="s">
        <v>200</v>
      </c>
      <c r="C5031" s="27" t="s">
        <v>55</v>
      </c>
      <c r="D5031" s="27" t="s">
        <v>6</v>
      </c>
      <c r="E5031" s="27" t="s">
        <v>19</v>
      </c>
      <c r="F5031" s="29"/>
      <c r="G5031" s="30">
        <f t="shared" si="92"/>
        <v>1308.5126592592612</v>
      </c>
    </row>
    <row r="5032" spans="1:7" hidden="1" x14ac:dyDescent="0.25">
      <c r="A5032" s="28">
        <v>43922</v>
      </c>
      <c r="B5032" s="27" t="s">
        <v>200</v>
      </c>
      <c r="C5032" s="27" t="s">
        <v>55</v>
      </c>
      <c r="D5032" s="27" t="s">
        <v>6</v>
      </c>
      <c r="E5032" s="27" t="s">
        <v>20</v>
      </c>
      <c r="F5032" s="29"/>
      <c r="G5032" s="30">
        <f t="shared" si="92"/>
        <v>1308.5126592592612</v>
      </c>
    </row>
    <row r="5033" spans="1:7" hidden="1" x14ac:dyDescent="0.25">
      <c r="A5033" s="28">
        <v>43922</v>
      </c>
      <c r="B5033" s="27" t="s">
        <v>200</v>
      </c>
      <c r="C5033" s="27" t="s">
        <v>55</v>
      </c>
      <c r="D5033" s="27" t="s">
        <v>6</v>
      </c>
      <c r="E5033" s="27" t="s">
        <v>38</v>
      </c>
      <c r="F5033" s="29"/>
      <c r="G5033" s="30">
        <f t="shared" si="92"/>
        <v>1308.5126592592612</v>
      </c>
    </row>
    <row r="5034" spans="1:7" hidden="1" x14ac:dyDescent="0.25">
      <c r="A5034" s="28">
        <v>43922</v>
      </c>
      <c r="B5034" s="27" t="s">
        <v>200</v>
      </c>
      <c r="C5034" s="27" t="s">
        <v>55</v>
      </c>
      <c r="D5034" s="27" t="s">
        <v>6</v>
      </c>
      <c r="E5034" s="27" t="s">
        <v>23</v>
      </c>
      <c r="F5034" s="29"/>
      <c r="G5034" s="30">
        <f t="shared" si="92"/>
        <v>1308.5126592592612</v>
      </c>
    </row>
    <row r="5035" spans="1:7" hidden="1" x14ac:dyDescent="0.25">
      <c r="A5035" s="28">
        <v>43922</v>
      </c>
      <c r="B5035" s="27" t="s">
        <v>200</v>
      </c>
      <c r="C5035" s="27" t="s">
        <v>183</v>
      </c>
      <c r="D5035" s="27" t="s">
        <v>7</v>
      </c>
      <c r="E5035" s="27" t="s">
        <v>8</v>
      </c>
      <c r="F5035" s="29"/>
      <c r="G5035" s="30">
        <f t="shared" ref="G5035:G5053" si="93">1635.26/19</f>
        <v>86.066315789473677</v>
      </c>
    </row>
    <row r="5036" spans="1:7" hidden="1" x14ac:dyDescent="0.25">
      <c r="A5036" s="28">
        <v>43922</v>
      </c>
      <c r="B5036" s="27" t="s">
        <v>200</v>
      </c>
      <c r="C5036" s="27" t="s">
        <v>183</v>
      </c>
      <c r="D5036" s="27" t="s">
        <v>7</v>
      </c>
      <c r="E5036" s="27" t="s">
        <v>9</v>
      </c>
      <c r="F5036" s="29"/>
      <c r="G5036" s="30">
        <f t="shared" si="93"/>
        <v>86.066315789473677</v>
      </c>
    </row>
    <row r="5037" spans="1:7" hidden="1" x14ac:dyDescent="0.25">
      <c r="A5037" s="28">
        <v>43922</v>
      </c>
      <c r="B5037" s="27" t="s">
        <v>200</v>
      </c>
      <c r="C5037" s="27" t="s">
        <v>183</v>
      </c>
      <c r="D5037" s="27" t="s">
        <v>7</v>
      </c>
      <c r="E5037" s="27" t="s">
        <v>22</v>
      </c>
      <c r="F5037" s="29"/>
      <c r="G5037" s="30">
        <f t="shared" si="93"/>
        <v>86.066315789473677</v>
      </c>
    </row>
    <row r="5038" spans="1:7" hidden="1" x14ac:dyDescent="0.25">
      <c r="A5038" s="28">
        <v>43922</v>
      </c>
      <c r="B5038" s="27" t="s">
        <v>200</v>
      </c>
      <c r="C5038" s="27" t="s">
        <v>183</v>
      </c>
      <c r="D5038" s="27" t="s">
        <v>7</v>
      </c>
      <c r="E5038" s="27" t="s">
        <v>64</v>
      </c>
      <c r="F5038" s="29"/>
      <c r="G5038" s="30">
        <f t="shared" si="93"/>
        <v>86.066315789473677</v>
      </c>
    </row>
    <row r="5039" spans="1:7" hidden="1" x14ac:dyDescent="0.25">
      <c r="A5039" s="28">
        <v>43922</v>
      </c>
      <c r="B5039" s="27" t="s">
        <v>200</v>
      </c>
      <c r="C5039" s="27" t="s">
        <v>183</v>
      </c>
      <c r="D5039" s="27" t="s">
        <v>7</v>
      </c>
      <c r="E5039" s="27" t="s">
        <v>21</v>
      </c>
      <c r="F5039" s="29"/>
      <c r="G5039" s="30">
        <f t="shared" si="93"/>
        <v>86.066315789473677</v>
      </c>
    </row>
    <row r="5040" spans="1:7" hidden="1" x14ac:dyDescent="0.25">
      <c r="A5040" s="28">
        <v>43922</v>
      </c>
      <c r="B5040" s="27" t="s">
        <v>200</v>
      </c>
      <c r="C5040" s="27" t="s">
        <v>183</v>
      </c>
      <c r="D5040" s="27" t="s">
        <v>7</v>
      </c>
      <c r="E5040" s="27" t="s">
        <v>10</v>
      </c>
      <c r="F5040" s="29"/>
      <c r="G5040" s="30">
        <f t="shared" si="93"/>
        <v>86.066315789473677</v>
      </c>
    </row>
    <row r="5041" spans="1:7" hidden="1" x14ac:dyDescent="0.25">
      <c r="A5041" s="28">
        <v>43922</v>
      </c>
      <c r="B5041" s="27" t="s">
        <v>200</v>
      </c>
      <c r="C5041" s="27" t="s">
        <v>183</v>
      </c>
      <c r="D5041" s="27" t="s">
        <v>7</v>
      </c>
      <c r="E5041" s="27" t="s">
        <v>11</v>
      </c>
      <c r="F5041" s="29"/>
      <c r="G5041" s="30">
        <f t="shared" si="93"/>
        <v>86.066315789473677</v>
      </c>
    </row>
    <row r="5042" spans="1:7" hidden="1" x14ac:dyDescent="0.25">
      <c r="A5042" s="28">
        <v>43922</v>
      </c>
      <c r="B5042" s="27" t="s">
        <v>200</v>
      </c>
      <c r="C5042" s="27" t="s">
        <v>183</v>
      </c>
      <c r="D5042" s="27" t="s">
        <v>7</v>
      </c>
      <c r="E5042" s="27" t="s">
        <v>12</v>
      </c>
      <c r="F5042" s="29"/>
      <c r="G5042" s="30">
        <f t="shared" si="93"/>
        <v>86.066315789473677</v>
      </c>
    </row>
    <row r="5043" spans="1:7" hidden="1" x14ac:dyDescent="0.25">
      <c r="A5043" s="28">
        <v>43922</v>
      </c>
      <c r="B5043" s="27" t="s">
        <v>200</v>
      </c>
      <c r="C5043" s="27" t="s">
        <v>183</v>
      </c>
      <c r="D5043" s="27" t="s">
        <v>7</v>
      </c>
      <c r="E5043" s="27" t="s">
        <v>13</v>
      </c>
      <c r="F5043" s="29"/>
      <c r="G5043" s="30">
        <f t="shared" si="93"/>
        <v>86.066315789473677</v>
      </c>
    </row>
    <row r="5044" spans="1:7" hidden="1" x14ac:dyDescent="0.25">
      <c r="A5044" s="28">
        <v>43922</v>
      </c>
      <c r="B5044" s="27" t="s">
        <v>200</v>
      </c>
      <c r="C5044" s="27" t="s">
        <v>183</v>
      </c>
      <c r="D5044" s="27" t="s">
        <v>7</v>
      </c>
      <c r="E5044" s="27" t="s">
        <v>14</v>
      </c>
      <c r="F5044" s="29"/>
      <c r="G5044" s="30">
        <f t="shared" si="93"/>
        <v>86.066315789473677</v>
      </c>
    </row>
    <row r="5045" spans="1:7" hidden="1" x14ac:dyDescent="0.25">
      <c r="A5045" s="28">
        <v>43922</v>
      </c>
      <c r="B5045" s="27" t="s">
        <v>200</v>
      </c>
      <c r="C5045" s="27" t="s">
        <v>183</v>
      </c>
      <c r="D5045" s="27" t="s">
        <v>7</v>
      </c>
      <c r="E5045" s="27" t="s">
        <v>15</v>
      </c>
      <c r="F5045" s="29"/>
      <c r="G5045" s="30">
        <f t="shared" si="93"/>
        <v>86.066315789473677</v>
      </c>
    </row>
    <row r="5046" spans="1:7" hidden="1" x14ac:dyDescent="0.25">
      <c r="A5046" s="28">
        <v>43922</v>
      </c>
      <c r="B5046" s="27" t="s">
        <v>200</v>
      </c>
      <c r="C5046" s="27" t="s">
        <v>183</v>
      </c>
      <c r="D5046" s="27" t="s">
        <v>7</v>
      </c>
      <c r="E5046" s="27" t="s">
        <v>16</v>
      </c>
      <c r="F5046" s="29"/>
      <c r="G5046" s="30">
        <f t="shared" si="93"/>
        <v>86.066315789473677</v>
      </c>
    </row>
    <row r="5047" spans="1:7" hidden="1" x14ac:dyDescent="0.25">
      <c r="A5047" s="28">
        <v>43922</v>
      </c>
      <c r="B5047" s="27" t="s">
        <v>200</v>
      </c>
      <c r="C5047" s="27" t="s">
        <v>183</v>
      </c>
      <c r="D5047" s="27" t="s">
        <v>7</v>
      </c>
      <c r="E5047" s="27" t="s">
        <v>17</v>
      </c>
      <c r="F5047" s="29"/>
      <c r="G5047" s="30">
        <f t="shared" si="93"/>
        <v>86.066315789473677</v>
      </c>
    </row>
    <row r="5048" spans="1:7" hidden="1" x14ac:dyDescent="0.25">
      <c r="A5048" s="28">
        <v>43922</v>
      </c>
      <c r="B5048" s="27" t="s">
        <v>200</v>
      </c>
      <c r="C5048" s="27" t="s">
        <v>183</v>
      </c>
      <c r="D5048" s="27" t="s">
        <v>7</v>
      </c>
      <c r="E5048" s="27" t="s">
        <v>18</v>
      </c>
      <c r="F5048" s="29"/>
      <c r="G5048" s="30">
        <f t="shared" si="93"/>
        <v>86.066315789473677</v>
      </c>
    </row>
    <row r="5049" spans="1:7" hidden="1" x14ac:dyDescent="0.25">
      <c r="A5049" s="28">
        <v>43922</v>
      </c>
      <c r="B5049" s="27" t="s">
        <v>200</v>
      </c>
      <c r="C5049" s="27" t="s">
        <v>183</v>
      </c>
      <c r="D5049" s="27" t="s">
        <v>7</v>
      </c>
      <c r="E5049" s="27" t="s">
        <v>19</v>
      </c>
      <c r="F5049" s="29"/>
      <c r="G5049" s="30">
        <f t="shared" si="93"/>
        <v>86.066315789473677</v>
      </c>
    </row>
    <row r="5050" spans="1:7" hidden="1" x14ac:dyDescent="0.25">
      <c r="A5050" s="28">
        <v>43922</v>
      </c>
      <c r="B5050" s="27" t="s">
        <v>200</v>
      </c>
      <c r="C5050" s="27" t="s">
        <v>183</v>
      </c>
      <c r="D5050" s="27" t="s">
        <v>7</v>
      </c>
      <c r="E5050" s="27" t="s">
        <v>20</v>
      </c>
      <c r="F5050" s="29"/>
      <c r="G5050" s="30">
        <f t="shared" si="93"/>
        <v>86.066315789473677</v>
      </c>
    </row>
    <row r="5051" spans="1:7" hidden="1" x14ac:dyDescent="0.25">
      <c r="A5051" s="28">
        <v>43922</v>
      </c>
      <c r="B5051" s="27" t="s">
        <v>200</v>
      </c>
      <c r="C5051" s="27" t="s">
        <v>183</v>
      </c>
      <c r="D5051" s="27" t="s">
        <v>7</v>
      </c>
      <c r="E5051" s="27" t="s">
        <v>38</v>
      </c>
      <c r="F5051" s="29"/>
      <c r="G5051" s="30">
        <f t="shared" si="93"/>
        <v>86.066315789473677</v>
      </c>
    </row>
    <row r="5052" spans="1:7" hidden="1" x14ac:dyDescent="0.25">
      <c r="A5052" s="28">
        <v>43922</v>
      </c>
      <c r="B5052" s="27" t="s">
        <v>200</v>
      </c>
      <c r="C5052" s="27" t="s">
        <v>183</v>
      </c>
      <c r="D5052" s="27" t="s">
        <v>7</v>
      </c>
      <c r="E5052" s="27" t="s">
        <v>23</v>
      </c>
      <c r="F5052" s="29"/>
      <c r="G5052" s="30">
        <f t="shared" si="93"/>
        <v>86.066315789473677</v>
      </c>
    </row>
    <row r="5053" spans="1:7" hidden="1" x14ac:dyDescent="0.25">
      <c r="A5053" s="28">
        <v>43922</v>
      </c>
      <c r="B5053" s="27" t="s">
        <v>200</v>
      </c>
      <c r="C5053" s="27" t="s">
        <v>183</v>
      </c>
      <c r="D5053" s="27" t="s">
        <v>7</v>
      </c>
      <c r="E5053" s="27" t="s">
        <v>37</v>
      </c>
      <c r="F5053" s="29"/>
      <c r="G5053" s="30">
        <f t="shared" si="93"/>
        <v>86.066315789473677</v>
      </c>
    </row>
    <row r="5054" spans="1:7" hidden="1" x14ac:dyDescent="0.25">
      <c r="A5054" s="28">
        <v>43922</v>
      </c>
      <c r="B5054" s="27" t="s">
        <v>200</v>
      </c>
      <c r="C5054" s="27" t="s">
        <v>56</v>
      </c>
      <c r="D5054" s="27" t="s">
        <v>6</v>
      </c>
      <c r="E5054" s="27" t="s">
        <v>8</v>
      </c>
      <c r="F5054" s="29"/>
      <c r="G5054" s="30">
        <f t="shared" ref="G5054:G5071" si="94">47289.1376444444/18</f>
        <v>2627.1743135802444</v>
      </c>
    </row>
    <row r="5055" spans="1:7" hidden="1" x14ac:dyDescent="0.25">
      <c r="A5055" s="28">
        <v>43922</v>
      </c>
      <c r="B5055" s="27" t="s">
        <v>200</v>
      </c>
      <c r="C5055" s="27" t="s">
        <v>56</v>
      </c>
      <c r="D5055" s="27" t="s">
        <v>6</v>
      </c>
      <c r="E5055" s="27" t="s">
        <v>9</v>
      </c>
      <c r="F5055" s="29"/>
      <c r="G5055" s="30">
        <f t="shared" si="94"/>
        <v>2627.1743135802444</v>
      </c>
    </row>
    <row r="5056" spans="1:7" hidden="1" x14ac:dyDescent="0.25">
      <c r="A5056" s="28">
        <v>43922</v>
      </c>
      <c r="B5056" s="27" t="s">
        <v>200</v>
      </c>
      <c r="C5056" s="27" t="s">
        <v>56</v>
      </c>
      <c r="D5056" s="27" t="s">
        <v>6</v>
      </c>
      <c r="E5056" s="27" t="s">
        <v>22</v>
      </c>
      <c r="F5056" s="29"/>
      <c r="G5056" s="30">
        <f t="shared" si="94"/>
        <v>2627.1743135802444</v>
      </c>
    </row>
    <row r="5057" spans="1:7" hidden="1" x14ac:dyDescent="0.25">
      <c r="A5057" s="28">
        <v>43922</v>
      </c>
      <c r="B5057" s="27" t="s">
        <v>200</v>
      </c>
      <c r="C5057" s="27" t="s">
        <v>56</v>
      </c>
      <c r="D5057" s="27" t="s">
        <v>6</v>
      </c>
      <c r="E5057" s="27" t="s">
        <v>64</v>
      </c>
      <c r="F5057" s="29"/>
      <c r="G5057" s="30">
        <f t="shared" si="94"/>
        <v>2627.1743135802444</v>
      </c>
    </row>
    <row r="5058" spans="1:7" hidden="1" x14ac:dyDescent="0.25">
      <c r="A5058" s="28">
        <v>43922</v>
      </c>
      <c r="B5058" s="27" t="s">
        <v>200</v>
      </c>
      <c r="C5058" s="27" t="s">
        <v>56</v>
      </c>
      <c r="D5058" s="27" t="s">
        <v>6</v>
      </c>
      <c r="E5058" s="27" t="s">
        <v>21</v>
      </c>
      <c r="F5058" s="29"/>
      <c r="G5058" s="30">
        <f t="shared" si="94"/>
        <v>2627.1743135802444</v>
      </c>
    </row>
    <row r="5059" spans="1:7" hidden="1" x14ac:dyDescent="0.25">
      <c r="A5059" s="28">
        <v>43922</v>
      </c>
      <c r="B5059" s="27" t="s">
        <v>200</v>
      </c>
      <c r="C5059" s="27" t="s">
        <v>56</v>
      </c>
      <c r="D5059" s="27" t="s">
        <v>6</v>
      </c>
      <c r="E5059" s="27" t="s">
        <v>10</v>
      </c>
      <c r="F5059" s="29"/>
      <c r="G5059" s="30">
        <f t="shared" si="94"/>
        <v>2627.1743135802444</v>
      </c>
    </row>
    <row r="5060" spans="1:7" hidden="1" x14ac:dyDescent="0.25">
      <c r="A5060" s="28">
        <v>43922</v>
      </c>
      <c r="B5060" s="27" t="s">
        <v>200</v>
      </c>
      <c r="C5060" s="27" t="s">
        <v>56</v>
      </c>
      <c r="D5060" s="27" t="s">
        <v>6</v>
      </c>
      <c r="E5060" s="27" t="s">
        <v>11</v>
      </c>
      <c r="F5060" s="29"/>
      <c r="G5060" s="30">
        <f t="shared" si="94"/>
        <v>2627.1743135802444</v>
      </c>
    </row>
    <row r="5061" spans="1:7" hidden="1" x14ac:dyDescent="0.25">
      <c r="A5061" s="28">
        <v>43922</v>
      </c>
      <c r="B5061" s="27" t="s">
        <v>200</v>
      </c>
      <c r="C5061" s="27" t="s">
        <v>56</v>
      </c>
      <c r="D5061" s="27" t="s">
        <v>6</v>
      </c>
      <c r="E5061" s="27" t="s">
        <v>12</v>
      </c>
      <c r="F5061" s="29"/>
      <c r="G5061" s="30">
        <f t="shared" si="94"/>
        <v>2627.1743135802444</v>
      </c>
    </row>
    <row r="5062" spans="1:7" hidden="1" x14ac:dyDescent="0.25">
      <c r="A5062" s="28">
        <v>43922</v>
      </c>
      <c r="B5062" s="27" t="s">
        <v>200</v>
      </c>
      <c r="C5062" s="27" t="s">
        <v>56</v>
      </c>
      <c r="D5062" s="27" t="s">
        <v>6</v>
      </c>
      <c r="E5062" s="27" t="s">
        <v>13</v>
      </c>
      <c r="F5062" s="29"/>
      <c r="G5062" s="30">
        <f t="shared" si="94"/>
        <v>2627.1743135802444</v>
      </c>
    </row>
    <row r="5063" spans="1:7" hidden="1" x14ac:dyDescent="0.25">
      <c r="A5063" s="28">
        <v>43922</v>
      </c>
      <c r="B5063" s="27" t="s">
        <v>200</v>
      </c>
      <c r="C5063" s="27" t="s">
        <v>56</v>
      </c>
      <c r="D5063" s="27" t="s">
        <v>6</v>
      </c>
      <c r="E5063" s="27" t="s">
        <v>14</v>
      </c>
      <c r="F5063" s="29"/>
      <c r="G5063" s="30">
        <f t="shared" si="94"/>
        <v>2627.1743135802444</v>
      </c>
    </row>
    <row r="5064" spans="1:7" hidden="1" x14ac:dyDescent="0.25">
      <c r="A5064" s="28">
        <v>43922</v>
      </c>
      <c r="B5064" s="27" t="s">
        <v>200</v>
      </c>
      <c r="C5064" s="27" t="s">
        <v>56</v>
      </c>
      <c r="D5064" s="27" t="s">
        <v>6</v>
      </c>
      <c r="E5064" s="27" t="s">
        <v>15</v>
      </c>
      <c r="F5064" s="29"/>
      <c r="G5064" s="30">
        <f t="shared" si="94"/>
        <v>2627.1743135802444</v>
      </c>
    </row>
    <row r="5065" spans="1:7" hidden="1" x14ac:dyDescent="0.25">
      <c r="A5065" s="28">
        <v>43922</v>
      </c>
      <c r="B5065" s="27" t="s">
        <v>200</v>
      </c>
      <c r="C5065" s="27" t="s">
        <v>56</v>
      </c>
      <c r="D5065" s="27" t="s">
        <v>6</v>
      </c>
      <c r="E5065" s="27" t="s">
        <v>16</v>
      </c>
      <c r="F5065" s="29"/>
      <c r="G5065" s="30">
        <f t="shared" si="94"/>
        <v>2627.1743135802444</v>
      </c>
    </row>
    <row r="5066" spans="1:7" hidden="1" x14ac:dyDescent="0.25">
      <c r="A5066" s="28">
        <v>43922</v>
      </c>
      <c r="B5066" s="27" t="s">
        <v>200</v>
      </c>
      <c r="C5066" s="27" t="s">
        <v>56</v>
      </c>
      <c r="D5066" s="27" t="s">
        <v>6</v>
      </c>
      <c r="E5066" s="27" t="s">
        <v>17</v>
      </c>
      <c r="F5066" s="29"/>
      <c r="G5066" s="30">
        <f t="shared" si="94"/>
        <v>2627.1743135802444</v>
      </c>
    </row>
    <row r="5067" spans="1:7" hidden="1" x14ac:dyDescent="0.25">
      <c r="A5067" s="28">
        <v>43922</v>
      </c>
      <c r="B5067" s="27" t="s">
        <v>200</v>
      </c>
      <c r="C5067" s="27" t="s">
        <v>56</v>
      </c>
      <c r="D5067" s="27" t="s">
        <v>6</v>
      </c>
      <c r="E5067" s="27" t="s">
        <v>18</v>
      </c>
      <c r="F5067" s="29"/>
      <c r="G5067" s="30">
        <f t="shared" si="94"/>
        <v>2627.1743135802444</v>
      </c>
    </row>
    <row r="5068" spans="1:7" hidden="1" x14ac:dyDescent="0.25">
      <c r="A5068" s="28">
        <v>43922</v>
      </c>
      <c r="B5068" s="27" t="s">
        <v>200</v>
      </c>
      <c r="C5068" s="27" t="s">
        <v>56</v>
      </c>
      <c r="D5068" s="27" t="s">
        <v>6</v>
      </c>
      <c r="E5068" s="27" t="s">
        <v>19</v>
      </c>
      <c r="F5068" s="29"/>
      <c r="G5068" s="30">
        <f t="shared" si="94"/>
        <v>2627.1743135802444</v>
      </c>
    </row>
    <row r="5069" spans="1:7" hidden="1" x14ac:dyDescent="0.25">
      <c r="A5069" s="28">
        <v>43922</v>
      </c>
      <c r="B5069" s="27" t="s">
        <v>200</v>
      </c>
      <c r="C5069" s="27" t="s">
        <v>56</v>
      </c>
      <c r="D5069" s="27" t="s">
        <v>6</v>
      </c>
      <c r="E5069" s="27" t="s">
        <v>20</v>
      </c>
      <c r="F5069" s="29"/>
      <c r="G5069" s="30">
        <f t="shared" si="94"/>
        <v>2627.1743135802444</v>
      </c>
    </row>
    <row r="5070" spans="1:7" hidden="1" x14ac:dyDescent="0.25">
      <c r="A5070" s="28">
        <v>43922</v>
      </c>
      <c r="B5070" s="27" t="s">
        <v>200</v>
      </c>
      <c r="C5070" s="27" t="s">
        <v>56</v>
      </c>
      <c r="D5070" s="27" t="s">
        <v>6</v>
      </c>
      <c r="E5070" s="27" t="s">
        <v>38</v>
      </c>
      <c r="F5070" s="29"/>
      <c r="G5070" s="30">
        <f t="shared" si="94"/>
        <v>2627.1743135802444</v>
      </c>
    </row>
    <row r="5071" spans="1:7" hidden="1" x14ac:dyDescent="0.25">
      <c r="A5071" s="28">
        <v>43922</v>
      </c>
      <c r="B5071" s="27" t="s">
        <v>200</v>
      </c>
      <c r="C5071" s="27" t="s">
        <v>56</v>
      </c>
      <c r="D5071" s="27" t="s">
        <v>6</v>
      </c>
      <c r="E5071" s="27" t="s">
        <v>23</v>
      </c>
      <c r="F5071" s="29"/>
      <c r="G5071" s="30">
        <f t="shared" si="94"/>
        <v>2627.1743135802444</v>
      </c>
    </row>
    <row r="5072" spans="1:7" hidden="1" x14ac:dyDescent="0.25">
      <c r="A5072" s="28">
        <v>43922</v>
      </c>
      <c r="B5072" s="27" t="s">
        <v>200</v>
      </c>
      <c r="C5072" s="27" t="s">
        <v>182</v>
      </c>
      <c r="D5072" s="27" t="s">
        <v>7</v>
      </c>
      <c r="E5072" s="27" t="s">
        <v>8</v>
      </c>
      <c r="F5072" s="29"/>
      <c r="G5072" s="30">
        <f t="shared" ref="G5072:G5090" si="95">3632.22/19</f>
        <v>191.16947368421052</v>
      </c>
    </row>
    <row r="5073" spans="1:7" hidden="1" x14ac:dyDescent="0.25">
      <c r="A5073" s="28">
        <v>43922</v>
      </c>
      <c r="B5073" s="27" t="s">
        <v>200</v>
      </c>
      <c r="C5073" s="27" t="s">
        <v>182</v>
      </c>
      <c r="D5073" s="27" t="s">
        <v>7</v>
      </c>
      <c r="E5073" s="27" t="s">
        <v>9</v>
      </c>
      <c r="F5073" s="29"/>
      <c r="G5073" s="30">
        <f t="shared" si="95"/>
        <v>191.16947368421052</v>
      </c>
    </row>
    <row r="5074" spans="1:7" hidden="1" x14ac:dyDescent="0.25">
      <c r="A5074" s="28">
        <v>43922</v>
      </c>
      <c r="B5074" s="27" t="s">
        <v>200</v>
      </c>
      <c r="C5074" s="27" t="s">
        <v>182</v>
      </c>
      <c r="D5074" s="27" t="s">
        <v>7</v>
      </c>
      <c r="E5074" s="27" t="s">
        <v>22</v>
      </c>
      <c r="F5074" s="29"/>
      <c r="G5074" s="30">
        <f t="shared" si="95"/>
        <v>191.16947368421052</v>
      </c>
    </row>
    <row r="5075" spans="1:7" hidden="1" x14ac:dyDescent="0.25">
      <c r="A5075" s="28">
        <v>43922</v>
      </c>
      <c r="B5075" s="27" t="s">
        <v>200</v>
      </c>
      <c r="C5075" s="27" t="s">
        <v>182</v>
      </c>
      <c r="D5075" s="27" t="s">
        <v>7</v>
      </c>
      <c r="E5075" s="27" t="s">
        <v>64</v>
      </c>
      <c r="F5075" s="29"/>
      <c r="G5075" s="30">
        <f t="shared" si="95"/>
        <v>191.16947368421052</v>
      </c>
    </row>
    <row r="5076" spans="1:7" hidden="1" x14ac:dyDescent="0.25">
      <c r="A5076" s="28">
        <v>43922</v>
      </c>
      <c r="B5076" s="27" t="s">
        <v>200</v>
      </c>
      <c r="C5076" s="27" t="s">
        <v>182</v>
      </c>
      <c r="D5076" s="27" t="s">
        <v>7</v>
      </c>
      <c r="E5076" s="27" t="s">
        <v>21</v>
      </c>
      <c r="F5076" s="29"/>
      <c r="G5076" s="30">
        <f t="shared" si="95"/>
        <v>191.16947368421052</v>
      </c>
    </row>
    <row r="5077" spans="1:7" hidden="1" x14ac:dyDescent="0.25">
      <c r="A5077" s="28">
        <v>43922</v>
      </c>
      <c r="B5077" s="27" t="s">
        <v>200</v>
      </c>
      <c r="C5077" s="27" t="s">
        <v>182</v>
      </c>
      <c r="D5077" s="27" t="s">
        <v>7</v>
      </c>
      <c r="E5077" s="27" t="s">
        <v>10</v>
      </c>
      <c r="F5077" s="29"/>
      <c r="G5077" s="30">
        <f t="shared" si="95"/>
        <v>191.16947368421052</v>
      </c>
    </row>
    <row r="5078" spans="1:7" hidden="1" x14ac:dyDescent="0.25">
      <c r="A5078" s="28">
        <v>43922</v>
      </c>
      <c r="B5078" s="27" t="s">
        <v>200</v>
      </c>
      <c r="C5078" s="27" t="s">
        <v>182</v>
      </c>
      <c r="D5078" s="27" t="s">
        <v>7</v>
      </c>
      <c r="E5078" s="27" t="s">
        <v>11</v>
      </c>
      <c r="F5078" s="29"/>
      <c r="G5078" s="30">
        <f t="shared" si="95"/>
        <v>191.16947368421052</v>
      </c>
    </row>
    <row r="5079" spans="1:7" hidden="1" x14ac:dyDescent="0.25">
      <c r="A5079" s="28">
        <v>43922</v>
      </c>
      <c r="B5079" s="27" t="s">
        <v>200</v>
      </c>
      <c r="C5079" s="27" t="s">
        <v>182</v>
      </c>
      <c r="D5079" s="27" t="s">
        <v>7</v>
      </c>
      <c r="E5079" s="27" t="s">
        <v>12</v>
      </c>
      <c r="F5079" s="29"/>
      <c r="G5079" s="30">
        <f t="shared" si="95"/>
        <v>191.16947368421052</v>
      </c>
    </row>
    <row r="5080" spans="1:7" hidden="1" x14ac:dyDescent="0.25">
      <c r="A5080" s="28">
        <v>43922</v>
      </c>
      <c r="B5080" s="27" t="s">
        <v>200</v>
      </c>
      <c r="C5080" s="27" t="s">
        <v>182</v>
      </c>
      <c r="D5080" s="27" t="s">
        <v>7</v>
      </c>
      <c r="E5080" s="27" t="s">
        <v>13</v>
      </c>
      <c r="F5080" s="29"/>
      <c r="G5080" s="30">
        <f t="shared" si="95"/>
        <v>191.16947368421052</v>
      </c>
    </row>
    <row r="5081" spans="1:7" hidden="1" x14ac:dyDescent="0.25">
      <c r="A5081" s="28">
        <v>43922</v>
      </c>
      <c r="B5081" s="27" t="s">
        <v>200</v>
      </c>
      <c r="C5081" s="27" t="s">
        <v>182</v>
      </c>
      <c r="D5081" s="27" t="s">
        <v>7</v>
      </c>
      <c r="E5081" s="27" t="s">
        <v>14</v>
      </c>
      <c r="F5081" s="29"/>
      <c r="G5081" s="30">
        <f t="shared" si="95"/>
        <v>191.16947368421052</v>
      </c>
    </row>
    <row r="5082" spans="1:7" hidden="1" x14ac:dyDescent="0.25">
      <c r="A5082" s="28">
        <v>43922</v>
      </c>
      <c r="B5082" s="27" t="s">
        <v>200</v>
      </c>
      <c r="C5082" s="27" t="s">
        <v>182</v>
      </c>
      <c r="D5082" s="27" t="s">
        <v>7</v>
      </c>
      <c r="E5082" s="27" t="s">
        <v>15</v>
      </c>
      <c r="F5082" s="29"/>
      <c r="G5082" s="30">
        <f t="shared" si="95"/>
        <v>191.16947368421052</v>
      </c>
    </row>
    <row r="5083" spans="1:7" hidden="1" x14ac:dyDescent="0.25">
      <c r="A5083" s="28">
        <v>43922</v>
      </c>
      <c r="B5083" s="27" t="s">
        <v>200</v>
      </c>
      <c r="C5083" s="27" t="s">
        <v>182</v>
      </c>
      <c r="D5083" s="27" t="s">
        <v>7</v>
      </c>
      <c r="E5083" s="27" t="s">
        <v>16</v>
      </c>
      <c r="F5083" s="29"/>
      <c r="G5083" s="30">
        <f t="shared" si="95"/>
        <v>191.16947368421052</v>
      </c>
    </row>
    <row r="5084" spans="1:7" hidden="1" x14ac:dyDescent="0.25">
      <c r="A5084" s="28">
        <v>43922</v>
      </c>
      <c r="B5084" s="27" t="s">
        <v>200</v>
      </c>
      <c r="C5084" s="27" t="s">
        <v>182</v>
      </c>
      <c r="D5084" s="27" t="s">
        <v>7</v>
      </c>
      <c r="E5084" s="27" t="s">
        <v>17</v>
      </c>
      <c r="F5084" s="29"/>
      <c r="G5084" s="30">
        <f t="shared" si="95"/>
        <v>191.16947368421052</v>
      </c>
    </row>
    <row r="5085" spans="1:7" hidden="1" x14ac:dyDescent="0.25">
      <c r="A5085" s="28">
        <v>43922</v>
      </c>
      <c r="B5085" s="27" t="s">
        <v>200</v>
      </c>
      <c r="C5085" s="27" t="s">
        <v>182</v>
      </c>
      <c r="D5085" s="27" t="s">
        <v>7</v>
      </c>
      <c r="E5085" s="27" t="s">
        <v>18</v>
      </c>
      <c r="F5085" s="29"/>
      <c r="G5085" s="30">
        <f t="shared" si="95"/>
        <v>191.16947368421052</v>
      </c>
    </row>
    <row r="5086" spans="1:7" hidden="1" x14ac:dyDescent="0.25">
      <c r="A5086" s="28">
        <v>43922</v>
      </c>
      <c r="B5086" s="27" t="s">
        <v>200</v>
      </c>
      <c r="C5086" s="27" t="s">
        <v>182</v>
      </c>
      <c r="D5086" s="27" t="s">
        <v>7</v>
      </c>
      <c r="E5086" s="27" t="s">
        <v>19</v>
      </c>
      <c r="F5086" s="29"/>
      <c r="G5086" s="30">
        <f t="shared" si="95"/>
        <v>191.16947368421052</v>
      </c>
    </row>
    <row r="5087" spans="1:7" hidden="1" x14ac:dyDescent="0.25">
      <c r="A5087" s="28">
        <v>43922</v>
      </c>
      <c r="B5087" s="27" t="s">
        <v>200</v>
      </c>
      <c r="C5087" s="27" t="s">
        <v>182</v>
      </c>
      <c r="D5087" s="27" t="s">
        <v>7</v>
      </c>
      <c r="E5087" s="27" t="s">
        <v>20</v>
      </c>
      <c r="F5087" s="29"/>
      <c r="G5087" s="30">
        <f t="shared" si="95"/>
        <v>191.16947368421052</v>
      </c>
    </row>
    <row r="5088" spans="1:7" hidden="1" x14ac:dyDescent="0.25">
      <c r="A5088" s="28">
        <v>43922</v>
      </c>
      <c r="B5088" s="27" t="s">
        <v>200</v>
      </c>
      <c r="C5088" s="27" t="s">
        <v>182</v>
      </c>
      <c r="D5088" s="27" t="s">
        <v>7</v>
      </c>
      <c r="E5088" s="27" t="s">
        <v>38</v>
      </c>
      <c r="F5088" s="29"/>
      <c r="G5088" s="30">
        <f t="shared" si="95"/>
        <v>191.16947368421052</v>
      </c>
    </row>
    <row r="5089" spans="1:7" hidden="1" x14ac:dyDescent="0.25">
      <c r="A5089" s="28">
        <v>43922</v>
      </c>
      <c r="B5089" s="27" t="s">
        <v>200</v>
      </c>
      <c r="C5089" s="27" t="s">
        <v>182</v>
      </c>
      <c r="D5089" s="27" t="s">
        <v>7</v>
      </c>
      <c r="E5089" s="27" t="s">
        <v>23</v>
      </c>
      <c r="F5089" s="29"/>
      <c r="G5089" s="30">
        <f t="shared" si="95"/>
        <v>191.16947368421052</v>
      </c>
    </row>
    <row r="5090" spans="1:7" hidden="1" x14ac:dyDescent="0.25">
      <c r="A5090" s="28">
        <v>43922</v>
      </c>
      <c r="B5090" s="27" t="s">
        <v>200</v>
      </c>
      <c r="C5090" s="27" t="s">
        <v>182</v>
      </c>
      <c r="D5090" s="27" t="s">
        <v>7</v>
      </c>
      <c r="E5090" s="27" t="s">
        <v>37</v>
      </c>
      <c r="F5090" s="29"/>
      <c r="G5090" s="30">
        <f t="shared" si="95"/>
        <v>191.16947368421052</v>
      </c>
    </row>
    <row r="5091" spans="1:7" hidden="1" x14ac:dyDescent="0.25">
      <c r="A5091" s="28">
        <v>43922</v>
      </c>
      <c r="B5091" s="27" t="s">
        <v>35</v>
      </c>
      <c r="C5091" s="27" t="s">
        <v>50</v>
      </c>
      <c r="D5091" s="27" t="s">
        <v>6</v>
      </c>
      <c r="E5091" s="27" t="s">
        <v>8</v>
      </c>
      <c r="F5091" s="29"/>
      <c r="G5091" s="30">
        <v>286.27555555555557</v>
      </c>
    </row>
    <row r="5092" spans="1:7" hidden="1" x14ac:dyDescent="0.25">
      <c r="A5092" s="28">
        <v>43922</v>
      </c>
      <c r="B5092" s="27" t="s">
        <v>35</v>
      </c>
      <c r="C5092" s="27" t="s">
        <v>50</v>
      </c>
      <c r="D5092" s="27" t="s">
        <v>6</v>
      </c>
      <c r="E5092" s="27" t="s">
        <v>9</v>
      </c>
      <c r="F5092" s="29"/>
      <c r="G5092" s="30">
        <v>286.27555555555557</v>
      </c>
    </row>
    <row r="5093" spans="1:7" hidden="1" x14ac:dyDescent="0.25">
      <c r="A5093" s="28">
        <v>43922</v>
      </c>
      <c r="B5093" s="27" t="s">
        <v>35</v>
      </c>
      <c r="C5093" s="27" t="s">
        <v>50</v>
      </c>
      <c r="D5093" s="27" t="s">
        <v>6</v>
      </c>
      <c r="E5093" s="27" t="s">
        <v>22</v>
      </c>
      <c r="F5093" s="29"/>
      <c r="G5093" s="30">
        <v>286.27555555555557</v>
      </c>
    </row>
    <row r="5094" spans="1:7" hidden="1" x14ac:dyDescent="0.25">
      <c r="A5094" s="28">
        <v>43922</v>
      </c>
      <c r="B5094" s="27" t="s">
        <v>35</v>
      </c>
      <c r="C5094" s="27" t="s">
        <v>50</v>
      </c>
      <c r="D5094" s="27" t="s">
        <v>6</v>
      </c>
      <c r="E5094" s="27" t="s">
        <v>64</v>
      </c>
      <c r="F5094" s="29"/>
      <c r="G5094" s="30">
        <v>286.27555555555557</v>
      </c>
    </row>
    <row r="5095" spans="1:7" hidden="1" x14ac:dyDescent="0.25">
      <c r="A5095" s="28">
        <v>43922</v>
      </c>
      <c r="B5095" s="27" t="s">
        <v>35</v>
      </c>
      <c r="C5095" s="27" t="s">
        <v>50</v>
      </c>
      <c r="D5095" s="27" t="s">
        <v>6</v>
      </c>
      <c r="E5095" s="27" t="s">
        <v>21</v>
      </c>
      <c r="F5095" s="29"/>
      <c r="G5095" s="30">
        <v>286.27555555555557</v>
      </c>
    </row>
    <row r="5096" spans="1:7" hidden="1" x14ac:dyDescent="0.25">
      <c r="A5096" s="28">
        <v>43922</v>
      </c>
      <c r="B5096" s="27" t="s">
        <v>35</v>
      </c>
      <c r="C5096" s="27" t="s">
        <v>50</v>
      </c>
      <c r="D5096" s="27" t="s">
        <v>6</v>
      </c>
      <c r="E5096" s="27" t="s">
        <v>10</v>
      </c>
      <c r="F5096" s="29"/>
      <c r="G5096" s="30">
        <v>286.27555555555557</v>
      </c>
    </row>
    <row r="5097" spans="1:7" hidden="1" x14ac:dyDescent="0.25">
      <c r="A5097" s="28">
        <v>43922</v>
      </c>
      <c r="B5097" s="27" t="s">
        <v>35</v>
      </c>
      <c r="C5097" s="27" t="s">
        <v>50</v>
      </c>
      <c r="D5097" s="27" t="s">
        <v>6</v>
      </c>
      <c r="E5097" s="27" t="s">
        <v>11</v>
      </c>
      <c r="F5097" s="29"/>
      <c r="G5097" s="30">
        <v>286.27555555555557</v>
      </c>
    </row>
    <row r="5098" spans="1:7" hidden="1" x14ac:dyDescent="0.25">
      <c r="A5098" s="28">
        <v>43922</v>
      </c>
      <c r="B5098" s="27" t="s">
        <v>35</v>
      </c>
      <c r="C5098" s="27" t="s">
        <v>50</v>
      </c>
      <c r="D5098" s="27" t="s">
        <v>6</v>
      </c>
      <c r="E5098" s="27" t="s">
        <v>12</v>
      </c>
      <c r="F5098" s="29"/>
      <c r="G5098" s="30">
        <v>286.27555555555557</v>
      </c>
    </row>
    <row r="5099" spans="1:7" hidden="1" x14ac:dyDescent="0.25">
      <c r="A5099" s="28">
        <v>43922</v>
      </c>
      <c r="B5099" s="27" t="s">
        <v>35</v>
      </c>
      <c r="C5099" s="27" t="s">
        <v>50</v>
      </c>
      <c r="D5099" s="27" t="s">
        <v>6</v>
      </c>
      <c r="E5099" s="27" t="s">
        <v>13</v>
      </c>
      <c r="F5099" s="29"/>
      <c r="G5099" s="30">
        <v>286.27555555555557</v>
      </c>
    </row>
    <row r="5100" spans="1:7" hidden="1" x14ac:dyDescent="0.25">
      <c r="A5100" s="28">
        <v>43922</v>
      </c>
      <c r="B5100" s="27" t="s">
        <v>35</v>
      </c>
      <c r="C5100" s="27" t="s">
        <v>50</v>
      </c>
      <c r="D5100" s="27" t="s">
        <v>6</v>
      </c>
      <c r="E5100" s="27" t="s">
        <v>14</v>
      </c>
      <c r="F5100" s="29"/>
      <c r="G5100" s="30">
        <v>286.27555555555557</v>
      </c>
    </row>
    <row r="5101" spans="1:7" hidden="1" x14ac:dyDescent="0.25">
      <c r="A5101" s="28">
        <v>43922</v>
      </c>
      <c r="B5101" s="27" t="s">
        <v>35</v>
      </c>
      <c r="C5101" s="27" t="s">
        <v>50</v>
      </c>
      <c r="D5101" s="27" t="s">
        <v>6</v>
      </c>
      <c r="E5101" s="27" t="s">
        <v>15</v>
      </c>
      <c r="F5101" s="29"/>
      <c r="G5101" s="30">
        <v>286.27555555555557</v>
      </c>
    </row>
    <row r="5102" spans="1:7" hidden="1" x14ac:dyDescent="0.25">
      <c r="A5102" s="28">
        <v>43922</v>
      </c>
      <c r="B5102" s="27" t="s">
        <v>35</v>
      </c>
      <c r="C5102" s="27" t="s">
        <v>50</v>
      </c>
      <c r="D5102" s="27" t="s">
        <v>6</v>
      </c>
      <c r="E5102" s="27" t="s">
        <v>16</v>
      </c>
      <c r="F5102" s="29"/>
      <c r="G5102" s="30">
        <v>286.27555555555557</v>
      </c>
    </row>
    <row r="5103" spans="1:7" hidden="1" x14ac:dyDescent="0.25">
      <c r="A5103" s="28">
        <v>43922</v>
      </c>
      <c r="B5103" s="27" t="s">
        <v>35</v>
      </c>
      <c r="C5103" s="27" t="s">
        <v>50</v>
      </c>
      <c r="D5103" s="27" t="s">
        <v>6</v>
      </c>
      <c r="E5103" s="27" t="s">
        <v>17</v>
      </c>
      <c r="F5103" s="29"/>
      <c r="G5103" s="30">
        <v>286.27555555555557</v>
      </c>
    </row>
    <row r="5104" spans="1:7" hidden="1" x14ac:dyDescent="0.25">
      <c r="A5104" s="28">
        <v>43922</v>
      </c>
      <c r="B5104" s="27" t="s">
        <v>35</v>
      </c>
      <c r="C5104" s="27" t="s">
        <v>50</v>
      </c>
      <c r="D5104" s="27" t="s">
        <v>6</v>
      </c>
      <c r="E5104" s="27" t="s">
        <v>18</v>
      </c>
      <c r="F5104" s="29"/>
      <c r="G5104" s="30">
        <v>286.27555555555557</v>
      </c>
    </row>
    <row r="5105" spans="1:7" hidden="1" x14ac:dyDescent="0.25">
      <c r="A5105" s="28">
        <v>43922</v>
      </c>
      <c r="B5105" s="27" t="s">
        <v>35</v>
      </c>
      <c r="C5105" s="27" t="s">
        <v>50</v>
      </c>
      <c r="D5105" s="27" t="s">
        <v>6</v>
      </c>
      <c r="E5105" s="27" t="s">
        <v>19</v>
      </c>
      <c r="F5105" s="29"/>
      <c r="G5105" s="30">
        <v>286.27555555555557</v>
      </c>
    </row>
    <row r="5106" spans="1:7" hidden="1" x14ac:dyDescent="0.25">
      <c r="A5106" s="28">
        <v>43922</v>
      </c>
      <c r="B5106" s="27" t="s">
        <v>35</v>
      </c>
      <c r="C5106" s="27" t="s">
        <v>50</v>
      </c>
      <c r="D5106" s="27" t="s">
        <v>6</v>
      </c>
      <c r="E5106" s="27" t="s">
        <v>20</v>
      </c>
      <c r="F5106" s="29"/>
      <c r="G5106" s="30">
        <v>286.27555555555557</v>
      </c>
    </row>
    <row r="5107" spans="1:7" hidden="1" x14ac:dyDescent="0.25">
      <c r="A5107" s="28">
        <v>43922</v>
      </c>
      <c r="B5107" s="27" t="s">
        <v>35</v>
      </c>
      <c r="C5107" s="27" t="s">
        <v>50</v>
      </c>
      <c r="D5107" s="27" t="s">
        <v>6</v>
      </c>
      <c r="E5107" s="27" t="s">
        <v>38</v>
      </c>
      <c r="F5107" s="29"/>
      <c r="G5107" s="30">
        <v>286.27555555555557</v>
      </c>
    </row>
    <row r="5108" spans="1:7" hidden="1" x14ac:dyDescent="0.25">
      <c r="A5108" s="28">
        <v>43922</v>
      </c>
      <c r="B5108" s="27" t="s">
        <v>35</v>
      </c>
      <c r="C5108" s="27" t="s">
        <v>50</v>
      </c>
      <c r="D5108" s="27" t="s">
        <v>6</v>
      </c>
      <c r="E5108" s="27" t="s">
        <v>23</v>
      </c>
      <c r="F5108" s="29"/>
      <c r="G5108" s="30">
        <v>286.27555555555557</v>
      </c>
    </row>
    <row r="5109" spans="1:7" hidden="1" x14ac:dyDescent="0.25">
      <c r="A5109" s="28">
        <v>43922</v>
      </c>
      <c r="B5109" s="27" t="s">
        <v>34</v>
      </c>
      <c r="C5109" s="27" t="s">
        <v>50</v>
      </c>
      <c r="D5109" s="27" t="s">
        <v>6</v>
      </c>
      <c r="E5109" s="27" t="s">
        <v>8</v>
      </c>
      <c r="F5109" s="29"/>
      <c r="G5109" s="30">
        <v>730.85299999999995</v>
      </c>
    </row>
    <row r="5110" spans="1:7" hidden="1" x14ac:dyDescent="0.25">
      <c r="A5110" s="28">
        <v>43922</v>
      </c>
      <c r="B5110" s="27" t="s">
        <v>34</v>
      </c>
      <c r="C5110" s="27" t="s">
        <v>50</v>
      </c>
      <c r="D5110" s="27" t="s">
        <v>6</v>
      </c>
      <c r="E5110" s="27" t="s">
        <v>9</v>
      </c>
      <c r="F5110" s="29"/>
      <c r="G5110" s="30">
        <v>809.49900000000002</v>
      </c>
    </row>
    <row r="5111" spans="1:7" hidden="1" x14ac:dyDescent="0.25">
      <c r="A5111" s="28">
        <v>43922</v>
      </c>
      <c r="B5111" s="27" t="s">
        <v>34</v>
      </c>
      <c r="C5111" s="27" t="s">
        <v>50</v>
      </c>
      <c r="D5111" s="27" t="s">
        <v>6</v>
      </c>
      <c r="E5111" s="27" t="s">
        <v>22</v>
      </c>
      <c r="F5111" s="29"/>
      <c r="G5111" s="30">
        <v>1078.788</v>
      </c>
    </row>
    <row r="5112" spans="1:7" hidden="1" x14ac:dyDescent="0.25">
      <c r="A5112" s="28">
        <v>43922</v>
      </c>
      <c r="B5112" s="27" t="s">
        <v>34</v>
      </c>
      <c r="C5112" s="27" t="s">
        <v>50</v>
      </c>
      <c r="D5112" s="27" t="s">
        <v>6</v>
      </c>
      <c r="E5112" s="27" t="s">
        <v>64</v>
      </c>
      <c r="F5112" s="29"/>
      <c r="G5112" s="30">
        <v>770.21699999999998</v>
      </c>
    </row>
    <row r="5113" spans="1:7" hidden="1" x14ac:dyDescent="0.25">
      <c r="A5113" s="28">
        <v>43922</v>
      </c>
      <c r="B5113" s="27" t="s">
        <v>34</v>
      </c>
      <c r="C5113" s="27" t="s">
        <v>50</v>
      </c>
      <c r="D5113" s="27" t="s">
        <v>6</v>
      </c>
      <c r="E5113" s="27" t="s">
        <v>21</v>
      </c>
      <c r="F5113" s="29"/>
      <c r="G5113" s="30">
        <v>777.58799999999997</v>
      </c>
    </row>
    <row r="5114" spans="1:7" hidden="1" x14ac:dyDescent="0.25">
      <c r="A5114" s="28">
        <v>43922</v>
      </c>
      <c r="B5114" s="27" t="s">
        <v>34</v>
      </c>
      <c r="C5114" s="27" t="s">
        <v>50</v>
      </c>
      <c r="D5114" s="27" t="s">
        <v>6</v>
      </c>
      <c r="E5114" s="27" t="s">
        <v>10</v>
      </c>
      <c r="F5114" s="29"/>
      <c r="G5114" s="30">
        <v>1036.6759999999999</v>
      </c>
    </row>
    <row r="5115" spans="1:7" hidden="1" x14ac:dyDescent="0.25">
      <c r="A5115" s="28">
        <v>43922</v>
      </c>
      <c r="B5115" s="27" t="s">
        <v>34</v>
      </c>
      <c r="C5115" s="27" t="s">
        <v>50</v>
      </c>
      <c r="D5115" s="27" t="s">
        <v>6</v>
      </c>
      <c r="E5115" s="27" t="s">
        <v>11</v>
      </c>
      <c r="F5115" s="29"/>
      <c r="G5115" s="30">
        <v>414.69799999999998</v>
      </c>
    </row>
    <row r="5116" spans="1:7" hidden="1" x14ac:dyDescent="0.25">
      <c r="A5116" s="28">
        <v>43922</v>
      </c>
      <c r="B5116" s="27" t="s">
        <v>34</v>
      </c>
      <c r="C5116" s="27" t="s">
        <v>50</v>
      </c>
      <c r="D5116" s="27" t="s">
        <v>6</v>
      </c>
      <c r="E5116" s="27" t="s">
        <v>12</v>
      </c>
      <c r="F5116" s="29"/>
      <c r="G5116" s="30">
        <v>455.96400000000006</v>
      </c>
    </row>
    <row r="5117" spans="1:7" hidden="1" x14ac:dyDescent="0.25">
      <c r="A5117" s="28">
        <v>43922</v>
      </c>
      <c r="B5117" s="27" t="s">
        <v>34</v>
      </c>
      <c r="C5117" s="27" t="s">
        <v>50</v>
      </c>
      <c r="D5117" s="27" t="s">
        <v>6</v>
      </c>
      <c r="E5117" s="27" t="s">
        <v>13</v>
      </c>
      <c r="F5117" s="29"/>
      <c r="G5117" s="30">
        <v>661.88400000000001</v>
      </c>
    </row>
    <row r="5118" spans="1:7" hidden="1" x14ac:dyDescent="0.25">
      <c r="A5118" s="28">
        <v>43922</v>
      </c>
      <c r="B5118" s="27" t="s">
        <v>34</v>
      </c>
      <c r="C5118" s="27" t="s">
        <v>50</v>
      </c>
      <c r="D5118" s="27" t="s">
        <v>6</v>
      </c>
      <c r="E5118" s="27" t="s">
        <v>14</v>
      </c>
      <c r="F5118" s="29"/>
      <c r="G5118" s="30">
        <v>191.779</v>
      </c>
    </row>
    <row r="5119" spans="1:7" hidden="1" x14ac:dyDescent="0.25">
      <c r="A5119" s="28">
        <v>43922</v>
      </c>
      <c r="B5119" s="27" t="s">
        <v>34</v>
      </c>
      <c r="C5119" s="27" t="s">
        <v>50</v>
      </c>
      <c r="D5119" s="27" t="s">
        <v>6</v>
      </c>
      <c r="E5119" s="27" t="s">
        <v>15</v>
      </c>
      <c r="F5119" s="29"/>
      <c r="G5119" s="30">
        <v>526.94200000000001</v>
      </c>
    </row>
    <row r="5120" spans="1:7" hidden="1" x14ac:dyDescent="0.25">
      <c r="A5120" s="28">
        <v>43922</v>
      </c>
      <c r="B5120" s="27" t="s">
        <v>34</v>
      </c>
      <c r="C5120" s="27" t="s">
        <v>50</v>
      </c>
      <c r="D5120" s="27" t="s">
        <v>6</v>
      </c>
      <c r="E5120" s="27" t="s">
        <v>16</v>
      </c>
      <c r="F5120" s="29"/>
      <c r="G5120" s="30">
        <v>651.45799999999997</v>
      </c>
    </row>
    <row r="5121" spans="1:7" hidden="1" x14ac:dyDescent="0.25">
      <c r="A5121" s="28">
        <v>43922</v>
      </c>
      <c r="B5121" s="27" t="s">
        <v>34</v>
      </c>
      <c r="C5121" s="27" t="s">
        <v>50</v>
      </c>
      <c r="D5121" s="27" t="s">
        <v>6</v>
      </c>
      <c r="E5121" s="27" t="s">
        <v>17</v>
      </c>
      <c r="F5121" s="29"/>
      <c r="G5121" s="30">
        <v>1174.4879999999998</v>
      </c>
    </row>
    <row r="5122" spans="1:7" hidden="1" x14ac:dyDescent="0.25">
      <c r="A5122" s="28">
        <v>43922</v>
      </c>
      <c r="B5122" s="27" t="s">
        <v>34</v>
      </c>
      <c r="C5122" s="27" t="s">
        <v>50</v>
      </c>
      <c r="D5122" s="27" t="s">
        <v>6</v>
      </c>
      <c r="E5122" s="27" t="s">
        <v>18</v>
      </c>
      <c r="F5122" s="29"/>
      <c r="G5122" s="30">
        <v>506.59399999999994</v>
      </c>
    </row>
    <row r="5123" spans="1:7" hidden="1" x14ac:dyDescent="0.25">
      <c r="A5123" s="28">
        <v>43922</v>
      </c>
      <c r="B5123" s="27" t="s">
        <v>34</v>
      </c>
      <c r="C5123" s="27" t="s">
        <v>50</v>
      </c>
      <c r="D5123" s="27" t="s">
        <v>6</v>
      </c>
      <c r="E5123" s="27" t="s">
        <v>19</v>
      </c>
      <c r="F5123" s="29"/>
      <c r="G5123" s="30">
        <v>716.14</v>
      </c>
    </row>
    <row r="5124" spans="1:7" hidden="1" x14ac:dyDescent="0.25">
      <c r="A5124" s="28">
        <v>43922</v>
      </c>
      <c r="B5124" s="27" t="s">
        <v>34</v>
      </c>
      <c r="C5124" s="27" t="s">
        <v>50</v>
      </c>
      <c r="D5124" s="27" t="s">
        <v>6</v>
      </c>
      <c r="E5124" s="27" t="s">
        <v>20</v>
      </c>
      <c r="F5124" s="29"/>
      <c r="G5124" s="30">
        <v>520.13300000000004</v>
      </c>
    </row>
    <row r="5125" spans="1:7" hidden="1" x14ac:dyDescent="0.25">
      <c r="A5125" s="28">
        <v>43922</v>
      </c>
      <c r="B5125" s="27" t="s">
        <v>34</v>
      </c>
      <c r="C5125" s="27" t="s">
        <v>50</v>
      </c>
      <c r="D5125" s="27" t="s">
        <v>6</v>
      </c>
      <c r="E5125" s="27" t="s">
        <v>38</v>
      </c>
      <c r="F5125" s="29"/>
      <c r="G5125" s="30">
        <v>204.74299999999999</v>
      </c>
    </row>
    <row r="5126" spans="1:7" hidden="1" x14ac:dyDescent="0.25">
      <c r="A5126" s="28">
        <v>43922</v>
      </c>
      <c r="B5126" s="27" t="s">
        <v>34</v>
      </c>
      <c r="C5126" s="27" t="s">
        <v>50</v>
      </c>
      <c r="D5126" s="27" t="s">
        <v>6</v>
      </c>
      <c r="E5126" s="27" t="s">
        <v>23</v>
      </c>
      <c r="F5126" s="29"/>
      <c r="G5126" s="30">
        <v>803.31400000000008</v>
      </c>
    </row>
    <row r="5127" spans="1:7" hidden="1" x14ac:dyDescent="0.25">
      <c r="A5127" s="28">
        <v>43952</v>
      </c>
      <c r="B5127" s="27" t="s">
        <v>33</v>
      </c>
      <c r="C5127" s="27" t="s">
        <v>50</v>
      </c>
      <c r="D5127" s="27" t="s">
        <v>7</v>
      </c>
      <c r="E5127" s="27" t="s">
        <v>8</v>
      </c>
      <c r="F5127" s="29"/>
      <c r="G5127" s="30">
        <v>886.12111111111108</v>
      </c>
    </row>
    <row r="5128" spans="1:7" hidden="1" x14ac:dyDescent="0.25">
      <c r="A5128" s="28">
        <v>43952</v>
      </c>
      <c r="B5128" s="27" t="s">
        <v>33</v>
      </c>
      <c r="C5128" s="27" t="s">
        <v>50</v>
      </c>
      <c r="D5128" s="27" t="s">
        <v>7</v>
      </c>
      <c r="E5128" s="27" t="s">
        <v>9</v>
      </c>
      <c r="F5128" s="29"/>
      <c r="G5128" s="30">
        <v>886.12111111111108</v>
      </c>
    </row>
    <row r="5129" spans="1:7" hidden="1" x14ac:dyDescent="0.25">
      <c r="A5129" s="28">
        <v>43952</v>
      </c>
      <c r="B5129" s="27" t="s">
        <v>33</v>
      </c>
      <c r="C5129" s="27" t="s">
        <v>50</v>
      </c>
      <c r="D5129" s="27" t="s">
        <v>7</v>
      </c>
      <c r="E5129" s="27" t="s">
        <v>22</v>
      </c>
      <c r="F5129" s="29"/>
      <c r="G5129" s="30">
        <v>886.12111111111108</v>
      </c>
    </row>
    <row r="5130" spans="1:7" hidden="1" x14ac:dyDescent="0.25">
      <c r="A5130" s="28">
        <v>43952</v>
      </c>
      <c r="B5130" s="27" t="s">
        <v>33</v>
      </c>
      <c r="C5130" s="27" t="s">
        <v>50</v>
      </c>
      <c r="D5130" s="27" t="s">
        <v>7</v>
      </c>
      <c r="E5130" s="27" t="s">
        <v>64</v>
      </c>
      <c r="F5130" s="29"/>
      <c r="G5130" s="30">
        <v>886.12111111111108</v>
      </c>
    </row>
    <row r="5131" spans="1:7" hidden="1" x14ac:dyDescent="0.25">
      <c r="A5131" s="28">
        <v>43952</v>
      </c>
      <c r="B5131" s="27" t="s">
        <v>33</v>
      </c>
      <c r="C5131" s="27" t="s">
        <v>50</v>
      </c>
      <c r="D5131" s="27" t="s">
        <v>7</v>
      </c>
      <c r="E5131" s="27" t="s">
        <v>21</v>
      </c>
      <c r="F5131" s="29"/>
      <c r="G5131" s="30">
        <v>886.12111111111108</v>
      </c>
    </row>
    <row r="5132" spans="1:7" hidden="1" x14ac:dyDescent="0.25">
      <c r="A5132" s="28">
        <v>43952</v>
      </c>
      <c r="B5132" s="27" t="s">
        <v>33</v>
      </c>
      <c r="C5132" s="27" t="s">
        <v>50</v>
      </c>
      <c r="D5132" s="27" t="s">
        <v>7</v>
      </c>
      <c r="E5132" s="27" t="s">
        <v>10</v>
      </c>
      <c r="F5132" s="29"/>
      <c r="G5132" s="30">
        <v>886.12111111111108</v>
      </c>
    </row>
    <row r="5133" spans="1:7" hidden="1" x14ac:dyDescent="0.25">
      <c r="A5133" s="28">
        <v>43952</v>
      </c>
      <c r="B5133" s="27" t="s">
        <v>33</v>
      </c>
      <c r="C5133" s="27" t="s">
        <v>50</v>
      </c>
      <c r="D5133" s="27" t="s">
        <v>7</v>
      </c>
      <c r="E5133" s="27" t="s">
        <v>11</v>
      </c>
      <c r="F5133" s="29"/>
      <c r="G5133" s="30">
        <v>886.12111111111108</v>
      </c>
    </row>
    <row r="5134" spans="1:7" hidden="1" x14ac:dyDescent="0.25">
      <c r="A5134" s="28">
        <v>43952</v>
      </c>
      <c r="B5134" s="27" t="s">
        <v>33</v>
      </c>
      <c r="C5134" s="27" t="s">
        <v>50</v>
      </c>
      <c r="D5134" s="27" t="s">
        <v>7</v>
      </c>
      <c r="E5134" s="27" t="s">
        <v>12</v>
      </c>
      <c r="F5134" s="29"/>
      <c r="G5134" s="30">
        <v>886.12111111111108</v>
      </c>
    </row>
    <row r="5135" spans="1:7" hidden="1" x14ac:dyDescent="0.25">
      <c r="A5135" s="28">
        <v>43952</v>
      </c>
      <c r="B5135" s="27" t="s">
        <v>33</v>
      </c>
      <c r="C5135" s="27" t="s">
        <v>50</v>
      </c>
      <c r="D5135" s="27" t="s">
        <v>7</v>
      </c>
      <c r="E5135" s="27" t="s">
        <v>13</v>
      </c>
      <c r="F5135" s="29"/>
      <c r="G5135" s="30">
        <v>886.12111111111108</v>
      </c>
    </row>
    <row r="5136" spans="1:7" hidden="1" x14ac:dyDescent="0.25">
      <c r="A5136" s="28">
        <v>43952</v>
      </c>
      <c r="B5136" s="27" t="s">
        <v>33</v>
      </c>
      <c r="C5136" s="27" t="s">
        <v>50</v>
      </c>
      <c r="D5136" s="27" t="s">
        <v>7</v>
      </c>
      <c r="E5136" s="27" t="s">
        <v>14</v>
      </c>
      <c r="F5136" s="29"/>
      <c r="G5136" s="30">
        <v>886.12111111111108</v>
      </c>
    </row>
    <row r="5137" spans="1:7" hidden="1" x14ac:dyDescent="0.25">
      <c r="A5137" s="28">
        <v>43952</v>
      </c>
      <c r="B5137" s="27" t="s">
        <v>33</v>
      </c>
      <c r="C5137" s="27" t="s">
        <v>50</v>
      </c>
      <c r="D5137" s="27" t="s">
        <v>7</v>
      </c>
      <c r="E5137" s="27" t="s">
        <v>15</v>
      </c>
      <c r="F5137" s="29"/>
      <c r="G5137" s="30">
        <v>886.12111111111108</v>
      </c>
    </row>
    <row r="5138" spans="1:7" hidden="1" x14ac:dyDescent="0.25">
      <c r="A5138" s="28">
        <v>43952</v>
      </c>
      <c r="B5138" s="27" t="s">
        <v>33</v>
      </c>
      <c r="C5138" s="27" t="s">
        <v>50</v>
      </c>
      <c r="D5138" s="27" t="s">
        <v>7</v>
      </c>
      <c r="E5138" s="27" t="s">
        <v>16</v>
      </c>
      <c r="F5138" s="29"/>
      <c r="G5138" s="30">
        <v>886.12111111111108</v>
      </c>
    </row>
    <row r="5139" spans="1:7" hidden="1" x14ac:dyDescent="0.25">
      <c r="A5139" s="28">
        <v>43952</v>
      </c>
      <c r="B5139" s="27" t="s">
        <v>33</v>
      </c>
      <c r="C5139" s="27" t="s">
        <v>50</v>
      </c>
      <c r="D5139" s="27" t="s">
        <v>7</v>
      </c>
      <c r="E5139" s="27" t="s">
        <v>17</v>
      </c>
      <c r="F5139" s="29"/>
      <c r="G5139" s="30">
        <v>886.12111111111108</v>
      </c>
    </row>
    <row r="5140" spans="1:7" hidden="1" x14ac:dyDescent="0.25">
      <c r="A5140" s="28">
        <v>43952</v>
      </c>
      <c r="B5140" s="27" t="s">
        <v>33</v>
      </c>
      <c r="C5140" s="27" t="s">
        <v>50</v>
      </c>
      <c r="D5140" s="27" t="s">
        <v>7</v>
      </c>
      <c r="E5140" s="27" t="s">
        <v>18</v>
      </c>
      <c r="F5140" s="29"/>
      <c r="G5140" s="30">
        <v>886.12111111111108</v>
      </c>
    </row>
    <row r="5141" spans="1:7" hidden="1" x14ac:dyDescent="0.25">
      <c r="A5141" s="28">
        <v>43952</v>
      </c>
      <c r="B5141" s="27" t="s">
        <v>33</v>
      </c>
      <c r="C5141" s="27" t="s">
        <v>50</v>
      </c>
      <c r="D5141" s="27" t="s">
        <v>7</v>
      </c>
      <c r="E5141" s="27" t="s">
        <v>19</v>
      </c>
      <c r="F5141" s="29"/>
      <c r="G5141" s="30">
        <v>886.12111111111108</v>
      </c>
    </row>
    <row r="5142" spans="1:7" hidden="1" x14ac:dyDescent="0.25">
      <c r="A5142" s="28">
        <v>43952</v>
      </c>
      <c r="B5142" s="27" t="s">
        <v>33</v>
      </c>
      <c r="C5142" s="27" t="s">
        <v>50</v>
      </c>
      <c r="D5142" s="27" t="s">
        <v>7</v>
      </c>
      <c r="E5142" s="27" t="s">
        <v>20</v>
      </c>
      <c r="F5142" s="29"/>
      <c r="G5142" s="30">
        <v>886.12111111111108</v>
      </c>
    </row>
    <row r="5143" spans="1:7" hidden="1" x14ac:dyDescent="0.25">
      <c r="A5143" s="28">
        <v>43952</v>
      </c>
      <c r="B5143" s="27" t="s">
        <v>33</v>
      </c>
      <c r="C5143" s="27" t="s">
        <v>50</v>
      </c>
      <c r="D5143" s="27" t="s">
        <v>7</v>
      </c>
      <c r="E5143" s="27" t="s">
        <v>38</v>
      </c>
      <c r="F5143" s="29"/>
      <c r="G5143" s="30">
        <v>886.12111111111108</v>
      </c>
    </row>
    <row r="5144" spans="1:7" hidden="1" x14ac:dyDescent="0.25">
      <c r="A5144" s="28">
        <v>43952</v>
      </c>
      <c r="B5144" s="27" t="s">
        <v>33</v>
      </c>
      <c r="C5144" s="27" t="s">
        <v>50</v>
      </c>
      <c r="D5144" s="27" t="s">
        <v>7</v>
      </c>
      <c r="E5144" s="27" t="s">
        <v>23</v>
      </c>
      <c r="F5144" s="29"/>
      <c r="G5144" s="30">
        <v>886.12111111111108</v>
      </c>
    </row>
    <row r="5145" spans="1:7" hidden="1" x14ac:dyDescent="0.25">
      <c r="A5145" s="28">
        <v>43952</v>
      </c>
      <c r="B5145" s="27" t="s">
        <v>4</v>
      </c>
      <c r="C5145" s="27" t="s">
        <v>50</v>
      </c>
      <c r="D5145" s="27" t="s">
        <v>7</v>
      </c>
      <c r="E5145" s="27" t="s">
        <v>8</v>
      </c>
      <c r="F5145" s="29"/>
      <c r="G5145" s="30">
        <v>885</v>
      </c>
    </row>
    <row r="5146" spans="1:7" hidden="1" x14ac:dyDescent="0.25">
      <c r="A5146" s="28">
        <v>43952</v>
      </c>
      <c r="B5146" s="27" t="s">
        <v>4</v>
      </c>
      <c r="C5146" s="27" t="s">
        <v>50</v>
      </c>
      <c r="D5146" s="27" t="s">
        <v>7</v>
      </c>
      <c r="E5146" s="27" t="s">
        <v>9</v>
      </c>
      <c r="F5146" s="29"/>
      <c r="G5146" s="30">
        <v>1519.13</v>
      </c>
    </row>
    <row r="5147" spans="1:7" hidden="1" x14ac:dyDescent="0.25">
      <c r="A5147" s="28">
        <v>43952</v>
      </c>
      <c r="B5147" s="27" t="s">
        <v>4</v>
      </c>
      <c r="C5147" s="27" t="s">
        <v>50</v>
      </c>
      <c r="D5147" s="27" t="s">
        <v>7</v>
      </c>
      <c r="E5147" s="27" t="s">
        <v>64</v>
      </c>
      <c r="F5147" s="29"/>
      <c r="G5147" s="30">
        <v>656.02</v>
      </c>
    </row>
    <row r="5148" spans="1:7" hidden="1" x14ac:dyDescent="0.25">
      <c r="A5148" s="28">
        <v>43952</v>
      </c>
      <c r="B5148" s="27" t="s">
        <v>4</v>
      </c>
      <c r="C5148" s="27" t="s">
        <v>50</v>
      </c>
      <c r="D5148" s="27" t="s">
        <v>7</v>
      </c>
      <c r="E5148" s="27" t="s">
        <v>21</v>
      </c>
      <c r="F5148" s="29"/>
      <c r="G5148" s="30">
        <v>2264.87</v>
      </c>
    </row>
    <row r="5149" spans="1:7" hidden="1" x14ac:dyDescent="0.25">
      <c r="A5149" s="28">
        <v>43952</v>
      </c>
      <c r="B5149" s="27" t="s">
        <v>4</v>
      </c>
      <c r="C5149" s="27" t="s">
        <v>50</v>
      </c>
      <c r="D5149" s="27" t="s">
        <v>7</v>
      </c>
      <c r="E5149" s="27" t="s">
        <v>10</v>
      </c>
      <c r="F5149" s="29"/>
      <c r="G5149" s="30">
        <v>1486.34</v>
      </c>
    </row>
    <row r="5150" spans="1:7" hidden="1" x14ac:dyDescent="0.25">
      <c r="A5150" s="28">
        <v>43952</v>
      </c>
      <c r="B5150" s="27" t="s">
        <v>4</v>
      </c>
      <c r="C5150" s="27" t="s">
        <v>50</v>
      </c>
      <c r="D5150" s="27" t="s">
        <v>7</v>
      </c>
      <c r="E5150" s="27" t="s">
        <v>11</v>
      </c>
      <c r="F5150" s="29"/>
      <c r="G5150" s="30">
        <v>481.79</v>
      </c>
    </row>
    <row r="5151" spans="1:7" hidden="1" x14ac:dyDescent="0.25">
      <c r="A5151" s="28">
        <v>43952</v>
      </c>
      <c r="B5151" s="27" t="s">
        <v>4</v>
      </c>
      <c r="C5151" s="27" t="s">
        <v>50</v>
      </c>
      <c r="D5151" s="27" t="s">
        <v>7</v>
      </c>
      <c r="E5151" s="27" t="s">
        <v>12</v>
      </c>
      <c r="F5151" s="29"/>
      <c r="G5151" s="30">
        <v>1067.98</v>
      </c>
    </row>
    <row r="5152" spans="1:7" hidden="1" x14ac:dyDescent="0.25">
      <c r="A5152" s="28">
        <v>43952</v>
      </c>
      <c r="B5152" s="27" t="s">
        <v>4</v>
      </c>
      <c r="C5152" s="27" t="s">
        <v>50</v>
      </c>
      <c r="D5152" s="27" t="s">
        <v>7</v>
      </c>
      <c r="E5152" s="27" t="s">
        <v>13</v>
      </c>
      <c r="F5152" s="29"/>
      <c r="G5152" s="30">
        <v>1742.78</v>
      </c>
    </row>
    <row r="5153" spans="1:7" hidden="1" x14ac:dyDescent="0.25">
      <c r="A5153" s="28">
        <v>43952</v>
      </c>
      <c r="B5153" s="27" t="s">
        <v>4</v>
      </c>
      <c r="C5153" s="27" t="s">
        <v>50</v>
      </c>
      <c r="D5153" s="27" t="s">
        <v>7</v>
      </c>
      <c r="E5153" s="27" t="s">
        <v>14</v>
      </c>
      <c r="F5153" s="29"/>
      <c r="G5153" s="30">
        <v>508.53</v>
      </c>
    </row>
    <row r="5154" spans="1:7" hidden="1" x14ac:dyDescent="0.25">
      <c r="A5154" s="28">
        <v>43952</v>
      </c>
      <c r="B5154" s="27" t="s">
        <v>4</v>
      </c>
      <c r="C5154" s="27" t="s">
        <v>50</v>
      </c>
      <c r="D5154" s="27" t="s">
        <v>7</v>
      </c>
      <c r="E5154" s="27" t="s">
        <v>15</v>
      </c>
      <c r="F5154" s="29"/>
      <c r="G5154" s="30">
        <v>1602.43</v>
      </c>
    </row>
    <row r="5155" spans="1:7" hidden="1" x14ac:dyDescent="0.25">
      <c r="A5155" s="28">
        <v>43952</v>
      </c>
      <c r="B5155" s="27" t="s">
        <v>4</v>
      </c>
      <c r="C5155" s="27" t="s">
        <v>50</v>
      </c>
      <c r="D5155" s="27" t="s">
        <v>7</v>
      </c>
      <c r="E5155" s="27" t="s">
        <v>16</v>
      </c>
      <c r="F5155" s="29"/>
      <c r="G5155" s="30">
        <v>1468.15</v>
      </c>
    </row>
    <row r="5156" spans="1:7" hidden="1" x14ac:dyDescent="0.25">
      <c r="A5156" s="28">
        <v>43952</v>
      </c>
      <c r="B5156" s="27" t="s">
        <v>4</v>
      </c>
      <c r="C5156" s="27" t="s">
        <v>50</v>
      </c>
      <c r="D5156" s="27" t="s">
        <v>7</v>
      </c>
      <c r="E5156" s="27" t="s">
        <v>17</v>
      </c>
      <c r="F5156" s="29"/>
      <c r="G5156" s="30">
        <v>1978.17</v>
      </c>
    </row>
    <row r="5157" spans="1:7" hidden="1" x14ac:dyDescent="0.25">
      <c r="A5157" s="28">
        <v>43952</v>
      </c>
      <c r="B5157" s="27" t="s">
        <v>4</v>
      </c>
      <c r="C5157" s="27" t="s">
        <v>50</v>
      </c>
      <c r="D5157" s="27" t="s">
        <v>7</v>
      </c>
      <c r="E5157" s="27" t="s">
        <v>18</v>
      </c>
      <c r="F5157" s="29"/>
      <c r="G5157" s="30">
        <v>1679.63</v>
      </c>
    </row>
    <row r="5158" spans="1:7" hidden="1" x14ac:dyDescent="0.25">
      <c r="A5158" s="28">
        <v>43952</v>
      </c>
      <c r="B5158" s="27" t="s">
        <v>4</v>
      </c>
      <c r="C5158" s="27" t="s">
        <v>50</v>
      </c>
      <c r="D5158" s="27" t="s">
        <v>7</v>
      </c>
      <c r="E5158" s="27" t="s">
        <v>19</v>
      </c>
      <c r="F5158" s="29"/>
      <c r="G5158" s="30">
        <v>401.14</v>
      </c>
    </row>
    <row r="5159" spans="1:7" hidden="1" x14ac:dyDescent="0.25">
      <c r="A5159" s="28">
        <v>43952</v>
      </c>
      <c r="B5159" s="27" t="s">
        <v>4</v>
      </c>
      <c r="C5159" s="27" t="s">
        <v>50</v>
      </c>
      <c r="D5159" s="27" t="s">
        <v>7</v>
      </c>
      <c r="E5159" s="27" t="s">
        <v>20</v>
      </c>
      <c r="F5159" s="29"/>
      <c r="G5159" s="30">
        <v>1045.77</v>
      </c>
    </row>
    <row r="5160" spans="1:7" hidden="1" x14ac:dyDescent="0.25">
      <c r="A5160" s="28">
        <v>43952</v>
      </c>
      <c r="B5160" s="27" t="s">
        <v>4</v>
      </c>
      <c r="C5160" s="27" t="s">
        <v>50</v>
      </c>
      <c r="D5160" s="27" t="s">
        <v>7</v>
      </c>
      <c r="E5160" s="27" t="s">
        <v>38</v>
      </c>
      <c r="F5160" s="29"/>
      <c r="G5160" s="30">
        <v>1206.3499999999999</v>
      </c>
    </row>
    <row r="5161" spans="1:7" hidden="1" x14ac:dyDescent="0.25">
      <c r="A5161" s="28">
        <v>43952</v>
      </c>
      <c r="B5161" s="27" t="s">
        <v>4</v>
      </c>
      <c r="C5161" s="27" t="s">
        <v>50</v>
      </c>
      <c r="D5161" s="27" t="s">
        <v>7</v>
      </c>
      <c r="E5161" s="27" t="s">
        <v>23</v>
      </c>
      <c r="F5161" s="29"/>
      <c r="G5161" s="30">
        <v>949.38</v>
      </c>
    </row>
    <row r="5162" spans="1:7" hidden="1" x14ac:dyDescent="0.25">
      <c r="A5162" s="28">
        <v>43952</v>
      </c>
      <c r="B5162" s="27" t="s">
        <v>4</v>
      </c>
      <c r="C5162" s="27" t="s">
        <v>50</v>
      </c>
      <c r="D5162" s="27" t="s">
        <v>7</v>
      </c>
      <c r="E5162" s="27" t="s">
        <v>37</v>
      </c>
      <c r="F5162" s="29"/>
      <c r="G5162" s="30">
        <v>315</v>
      </c>
    </row>
    <row r="5163" spans="1:7" hidden="1" x14ac:dyDescent="0.25">
      <c r="A5163" s="28">
        <v>43952</v>
      </c>
      <c r="B5163" s="27" t="s">
        <v>26</v>
      </c>
      <c r="C5163" s="27" t="s">
        <v>50</v>
      </c>
      <c r="D5163" s="27" t="s">
        <v>6</v>
      </c>
      <c r="E5163" s="27" t="s">
        <v>8</v>
      </c>
      <c r="F5163" s="29"/>
      <c r="G5163" s="30">
        <v>1194.25</v>
      </c>
    </row>
    <row r="5164" spans="1:7" hidden="1" x14ac:dyDescent="0.25">
      <c r="A5164" s="28">
        <v>43952</v>
      </c>
      <c r="B5164" s="27" t="s">
        <v>26</v>
      </c>
      <c r="C5164" s="27" t="s">
        <v>50</v>
      </c>
      <c r="D5164" s="27" t="s">
        <v>6</v>
      </c>
      <c r="E5164" s="27" t="s">
        <v>9</v>
      </c>
      <c r="F5164" s="29"/>
      <c r="G5164" s="30">
        <v>1550.9166666666667</v>
      </c>
    </row>
    <row r="5165" spans="1:7" hidden="1" x14ac:dyDescent="0.25">
      <c r="A5165" s="28">
        <v>43952</v>
      </c>
      <c r="B5165" s="27" t="s">
        <v>26</v>
      </c>
      <c r="C5165" s="27" t="s">
        <v>50</v>
      </c>
      <c r="D5165" s="27" t="s">
        <v>6</v>
      </c>
      <c r="E5165" s="27" t="s">
        <v>22</v>
      </c>
      <c r="F5165" s="29"/>
      <c r="G5165" s="30">
        <v>1270.3500000000001</v>
      </c>
    </row>
    <row r="5166" spans="1:7" hidden="1" x14ac:dyDescent="0.25">
      <c r="A5166" s="28">
        <v>43952</v>
      </c>
      <c r="B5166" s="27" t="s">
        <v>26</v>
      </c>
      <c r="C5166" s="27" t="s">
        <v>50</v>
      </c>
      <c r="D5166" s="27" t="s">
        <v>6</v>
      </c>
      <c r="E5166" s="27" t="s">
        <v>64</v>
      </c>
      <c r="F5166" s="29"/>
      <c r="G5166" s="30">
        <v>1359.4166666666667</v>
      </c>
    </row>
    <row r="5167" spans="1:7" hidden="1" x14ac:dyDescent="0.25">
      <c r="A5167" s="28">
        <v>43952</v>
      </c>
      <c r="B5167" s="27" t="s">
        <v>26</v>
      </c>
      <c r="C5167" s="27" t="s">
        <v>50</v>
      </c>
      <c r="D5167" s="27" t="s">
        <v>6</v>
      </c>
      <c r="E5167" s="27" t="s">
        <v>21</v>
      </c>
      <c r="F5167" s="29"/>
      <c r="G5167" s="30">
        <v>1359.4166666666667</v>
      </c>
    </row>
    <row r="5168" spans="1:7" hidden="1" x14ac:dyDescent="0.25">
      <c r="A5168" s="28">
        <v>43952</v>
      </c>
      <c r="B5168" s="27" t="s">
        <v>26</v>
      </c>
      <c r="C5168" s="27" t="s">
        <v>50</v>
      </c>
      <c r="D5168" s="27" t="s">
        <v>6</v>
      </c>
      <c r="E5168" s="27" t="s">
        <v>10</v>
      </c>
      <c r="F5168" s="29"/>
      <c r="G5168" s="30">
        <v>1998.9666666666669</v>
      </c>
    </row>
    <row r="5169" spans="1:7" hidden="1" x14ac:dyDescent="0.25">
      <c r="A5169" s="28">
        <v>43952</v>
      </c>
      <c r="B5169" s="27" t="s">
        <v>26</v>
      </c>
      <c r="C5169" s="27" t="s">
        <v>50</v>
      </c>
      <c r="D5169" s="27" t="s">
        <v>6</v>
      </c>
      <c r="E5169" s="27" t="s">
        <v>11</v>
      </c>
      <c r="F5169" s="29"/>
      <c r="G5169" s="30">
        <v>1340.7166666666667</v>
      </c>
    </row>
    <row r="5170" spans="1:7" hidden="1" x14ac:dyDescent="0.25">
      <c r="A5170" s="28">
        <v>43952</v>
      </c>
      <c r="B5170" s="27" t="s">
        <v>26</v>
      </c>
      <c r="C5170" s="27" t="s">
        <v>50</v>
      </c>
      <c r="D5170" s="27" t="s">
        <v>6</v>
      </c>
      <c r="E5170" s="27" t="s">
        <v>12</v>
      </c>
      <c r="F5170" s="29"/>
      <c r="G5170" s="30">
        <v>1350.1166666666668</v>
      </c>
    </row>
    <row r="5171" spans="1:7" hidden="1" x14ac:dyDescent="0.25">
      <c r="A5171" s="28">
        <v>43952</v>
      </c>
      <c r="B5171" s="27" t="s">
        <v>26</v>
      </c>
      <c r="C5171" s="27" t="s">
        <v>50</v>
      </c>
      <c r="D5171" s="27" t="s">
        <v>6</v>
      </c>
      <c r="E5171" s="27" t="s">
        <v>13</v>
      </c>
      <c r="F5171" s="29"/>
      <c r="G5171" s="30">
        <v>1901.5</v>
      </c>
    </row>
    <row r="5172" spans="1:7" hidden="1" x14ac:dyDescent="0.25">
      <c r="A5172" s="28">
        <v>43952</v>
      </c>
      <c r="B5172" s="27" t="s">
        <v>26</v>
      </c>
      <c r="C5172" s="27" t="s">
        <v>50</v>
      </c>
      <c r="D5172" s="27" t="s">
        <v>6</v>
      </c>
      <c r="E5172" s="27" t="s">
        <v>14</v>
      </c>
      <c r="F5172" s="29"/>
      <c r="G5172" s="30">
        <v>701.7833333333333</v>
      </c>
    </row>
    <row r="5173" spans="1:7" hidden="1" x14ac:dyDescent="0.25">
      <c r="A5173" s="28">
        <v>43952</v>
      </c>
      <c r="B5173" s="27" t="s">
        <v>26</v>
      </c>
      <c r="C5173" s="27" t="s">
        <v>50</v>
      </c>
      <c r="D5173" s="27" t="s">
        <v>6</v>
      </c>
      <c r="E5173" s="27" t="s">
        <v>15</v>
      </c>
      <c r="F5173" s="29"/>
      <c r="G5173" s="30">
        <v>1820.5500000000002</v>
      </c>
    </row>
    <row r="5174" spans="1:7" hidden="1" x14ac:dyDescent="0.25">
      <c r="A5174" s="28">
        <v>43952</v>
      </c>
      <c r="B5174" s="27" t="s">
        <v>26</v>
      </c>
      <c r="C5174" s="27" t="s">
        <v>50</v>
      </c>
      <c r="D5174" s="27" t="s">
        <v>6</v>
      </c>
      <c r="E5174" s="27" t="s">
        <v>16</v>
      </c>
      <c r="F5174" s="29"/>
      <c r="G5174" s="30">
        <v>1992.5833333333333</v>
      </c>
    </row>
    <row r="5175" spans="1:7" hidden="1" x14ac:dyDescent="0.25">
      <c r="A5175" s="28">
        <v>43952</v>
      </c>
      <c r="B5175" s="27" t="s">
        <v>26</v>
      </c>
      <c r="C5175" s="27" t="s">
        <v>50</v>
      </c>
      <c r="D5175" s="27" t="s">
        <v>6</v>
      </c>
      <c r="E5175" s="27" t="s">
        <v>17</v>
      </c>
      <c r="F5175" s="29"/>
      <c r="G5175" s="30">
        <v>2822.1166666666668</v>
      </c>
    </row>
    <row r="5176" spans="1:7" hidden="1" x14ac:dyDescent="0.25">
      <c r="A5176" s="28">
        <v>43952</v>
      </c>
      <c r="B5176" s="27" t="s">
        <v>26</v>
      </c>
      <c r="C5176" s="27" t="s">
        <v>50</v>
      </c>
      <c r="D5176" s="27" t="s">
        <v>6</v>
      </c>
      <c r="E5176" s="27" t="s">
        <v>18</v>
      </c>
      <c r="F5176" s="29"/>
      <c r="G5176" s="30">
        <v>1488.6666666666667</v>
      </c>
    </row>
    <row r="5177" spans="1:7" hidden="1" x14ac:dyDescent="0.25">
      <c r="A5177" s="28">
        <v>43952</v>
      </c>
      <c r="B5177" s="27" t="s">
        <v>26</v>
      </c>
      <c r="C5177" s="27" t="s">
        <v>50</v>
      </c>
      <c r="D5177" s="27" t="s">
        <v>6</v>
      </c>
      <c r="E5177" s="27" t="s">
        <v>19</v>
      </c>
      <c r="F5177" s="29"/>
      <c r="G5177" s="30">
        <v>2454.8833333333337</v>
      </c>
    </row>
    <row r="5178" spans="1:7" hidden="1" x14ac:dyDescent="0.25">
      <c r="A5178" s="28">
        <v>43952</v>
      </c>
      <c r="B5178" s="27" t="s">
        <v>26</v>
      </c>
      <c r="C5178" s="27" t="s">
        <v>50</v>
      </c>
      <c r="D5178" s="27" t="s">
        <v>6</v>
      </c>
      <c r="E5178" s="27" t="s">
        <v>20</v>
      </c>
      <c r="F5178" s="29"/>
      <c r="G5178" s="30">
        <v>1590.3833333333334</v>
      </c>
    </row>
    <row r="5179" spans="1:7" hidden="1" x14ac:dyDescent="0.25">
      <c r="A5179" s="28">
        <v>43952</v>
      </c>
      <c r="B5179" s="27" t="s">
        <v>26</v>
      </c>
      <c r="C5179" s="27" t="s">
        <v>50</v>
      </c>
      <c r="D5179" s="27" t="s">
        <v>6</v>
      </c>
      <c r="E5179" s="27" t="s">
        <v>38</v>
      </c>
      <c r="F5179" s="29"/>
      <c r="G5179" s="30">
        <v>602</v>
      </c>
    </row>
    <row r="5180" spans="1:7" hidden="1" x14ac:dyDescent="0.25">
      <c r="A5180" s="28">
        <v>43952</v>
      </c>
      <c r="B5180" s="27" t="s">
        <v>26</v>
      </c>
      <c r="C5180" s="27" t="s">
        <v>50</v>
      </c>
      <c r="D5180" s="27" t="s">
        <v>6</v>
      </c>
      <c r="E5180" s="27" t="s">
        <v>23</v>
      </c>
      <c r="F5180" s="29"/>
      <c r="G5180" s="30">
        <v>2997.5</v>
      </c>
    </row>
    <row r="5181" spans="1:7" hidden="1" x14ac:dyDescent="0.25">
      <c r="A5181" s="28">
        <v>43952</v>
      </c>
      <c r="B5181" s="27" t="s">
        <v>26</v>
      </c>
      <c r="C5181" s="27" t="s">
        <v>50</v>
      </c>
      <c r="D5181" s="27" t="s">
        <v>6</v>
      </c>
      <c r="E5181" s="27" t="s">
        <v>37</v>
      </c>
      <c r="F5181" s="29"/>
      <c r="G5181" s="30">
        <v>250</v>
      </c>
    </row>
    <row r="5182" spans="1:7" hidden="1" x14ac:dyDescent="0.25">
      <c r="A5182" s="28">
        <v>43952</v>
      </c>
      <c r="B5182" s="27" t="s">
        <v>3</v>
      </c>
      <c r="C5182" s="27" t="s">
        <v>50</v>
      </c>
      <c r="D5182" s="27" t="s">
        <v>7</v>
      </c>
      <c r="E5182" s="27" t="s">
        <v>8</v>
      </c>
      <c r="F5182" s="29"/>
      <c r="G5182" s="30">
        <v>587.25555555555559</v>
      </c>
    </row>
    <row r="5183" spans="1:7" hidden="1" x14ac:dyDescent="0.25">
      <c r="A5183" s="28">
        <v>43952</v>
      </c>
      <c r="B5183" s="27" t="s">
        <v>3</v>
      </c>
      <c r="C5183" s="27" t="s">
        <v>50</v>
      </c>
      <c r="D5183" s="27" t="s">
        <v>7</v>
      </c>
      <c r="E5183" s="27" t="s">
        <v>9</v>
      </c>
      <c r="F5183" s="29"/>
      <c r="G5183" s="30">
        <v>587.25555555555559</v>
      </c>
    </row>
    <row r="5184" spans="1:7" hidden="1" x14ac:dyDescent="0.25">
      <c r="A5184" s="28">
        <v>43952</v>
      </c>
      <c r="B5184" s="27" t="s">
        <v>3</v>
      </c>
      <c r="C5184" s="27" t="s">
        <v>50</v>
      </c>
      <c r="D5184" s="27" t="s">
        <v>7</v>
      </c>
      <c r="E5184" s="27" t="s">
        <v>22</v>
      </c>
      <c r="F5184" s="29"/>
      <c r="G5184" s="30">
        <v>587.25555555555559</v>
      </c>
    </row>
    <row r="5185" spans="1:7" hidden="1" x14ac:dyDescent="0.25">
      <c r="A5185" s="28">
        <v>43952</v>
      </c>
      <c r="B5185" s="27" t="s">
        <v>3</v>
      </c>
      <c r="C5185" s="27" t="s">
        <v>50</v>
      </c>
      <c r="D5185" s="27" t="s">
        <v>7</v>
      </c>
      <c r="E5185" s="27" t="s">
        <v>64</v>
      </c>
      <c r="F5185" s="29"/>
      <c r="G5185" s="30">
        <v>587.25555555555559</v>
      </c>
    </row>
    <row r="5186" spans="1:7" hidden="1" x14ac:dyDescent="0.25">
      <c r="A5186" s="28">
        <v>43952</v>
      </c>
      <c r="B5186" s="27" t="s">
        <v>3</v>
      </c>
      <c r="C5186" s="27" t="s">
        <v>50</v>
      </c>
      <c r="D5186" s="27" t="s">
        <v>7</v>
      </c>
      <c r="E5186" s="27" t="s">
        <v>21</v>
      </c>
      <c r="F5186" s="29"/>
      <c r="G5186" s="30">
        <v>587.25555555555559</v>
      </c>
    </row>
    <row r="5187" spans="1:7" hidden="1" x14ac:dyDescent="0.25">
      <c r="A5187" s="28">
        <v>43952</v>
      </c>
      <c r="B5187" s="27" t="s">
        <v>3</v>
      </c>
      <c r="C5187" s="27" t="s">
        <v>50</v>
      </c>
      <c r="D5187" s="27" t="s">
        <v>7</v>
      </c>
      <c r="E5187" s="27" t="s">
        <v>10</v>
      </c>
      <c r="F5187" s="29"/>
      <c r="G5187" s="30">
        <v>587.25555555555559</v>
      </c>
    </row>
    <row r="5188" spans="1:7" hidden="1" x14ac:dyDescent="0.25">
      <c r="A5188" s="28">
        <v>43952</v>
      </c>
      <c r="B5188" s="27" t="s">
        <v>3</v>
      </c>
      <c r="C5188" s="27" t="s">
        <v>50</v>
      </c>
      <c r="D5188" s="27" t="s">
        <v>7</v>
      </c>
      <c r="E5188" s="27" t="s">
        <v>11</v>
      </c>
      <c r="F5188" s="29"/>
      <c r="G5188" s="30">
        <v>587.25555555555559</v>
      </c>
    </row>
    <row r="5189" spans="1:7" hidden="1" x14ac:dyDescent="0.25">
      <c r="A5189" s="28">
        <v>43952</v>
      </c>
      <c r="B5189" s="27" t="s">
        <v>3</v>
      </c>
      <c r="C5189" s="27" t="s">
        <v>50</v>
      </c>
      <c r="D5189" s="27" t="s">
        <v>7</v>
      </c>
      <c r="E5189" s="27" t="s">
        <v>12</v>
      </c>
      <c r="F5189" s="29"/>
      <c r="G5189" s="30">
        <v>587.25555555555559</v>
      </c>
    </row>
    <row r="5190" spans="1:7" hidden="1" x14ac:dyDescent="0.25">
      <c r="A5190" s="28">
        <v>43952</v>
      </c>
      <c r="B5190" s="27" t="s">
        <v>3</v>
      </c>
      <c r="C5190" s="27" t="s">
        <v>50</v>
      </c>
      <c r="D5190" s="27" t="s">
        <v>7</v>
      </c>
      <c r="E5190" s="27" t="s">
        <v>13</v>
      </c>
      <c r="F5190" s="29"/>
      <c r="G5190" s="30">
        <v>587.25555555555559</v>
      </c>
    </row>
    <row r="5191" spans="1:7" hidden="1" x14ac:dyDescent="0.25">
      <c r="A5191" s="28">
        <v>43952</v>
      </c>
      <c r="B5191" s="27" t="s">
        <v>3</v>
      </c>
      <c r="C5191" s="27" t="s">
        <v>50</v>
      </c>
      <c r="D5191" s="27" t="s">
        <v>7</v>
      </c>
      <c r="E5191" s="27" t="s">
        <v>14</v>
      </c>
      <c r="F5191" s="29"/>
      <c r="G5191" s="30">
        <v>587.25555555555559</v>
      </c>
    </row>
    <row r="5192" spans="1:7" hidden="1" x14ac:dyDescent="0.25">
      <c r="A5192" s="28">
        <v>43952</v>
      </c>
      <c r="B5192" s="27" t="s">
        <v>3</v>
      </c>
      <c r="C5192" s="27" t="s">
        <v>50</v>
      </c>
      <c r="D5192" s="27" t="s">
        <v>7</v>
      </c>
      <c r="E5192" s="27" t="s">
        <v>15</v>
      </c>
      <c r="F5192" s="29"/>
      <c r="G5192" s="30">
        <v>587.25555555555559</v>
      </c>
    </row>
    <row r="5193" spans="1:7" hidden="1" x14ac:dyDescent="0.25">
      <c r="A5193" s="28">
        <v>43952</v>
      </c>
      <c r="B5193" s="27" t="s">
        <v>3</v>
      </c>
      <c r="C5193" s="27" t="s">
        <v>50</v>
      </c>
      <c r="D5193" s="27" t="s">
        <v>7</v>
      </c>
      <c r="E5193" s="27" t="s">
        <v>16</v>
      </c>
      <c r="F5193" s="29"/>
      <c r="G5193" s="30">
        <v>587.25555555555559</v>
      </c>
    </row>
    <row r="5194" spans="1:7" hidden="1" x14ac:dyDescent="0.25">
      <c r="A5194" s="28">
        <v>43952</v>
      </c>
      <c r="B5194" s="27" t="s">
        <v>3</v>
      </c>
      <c r="C5194" s="27" t="s">
        <v>50</v>
      </c>
      <c r="D5194" s="27" t="s">
        <v>7</v>
      </c>
      <c r="E5194" s="27" t="s">
        <v>17</v>
      </c>
      <c r="F5194" s="29"/>
      <c r="G5194" s="30">
        <v>587.25555555555559</v>
      </c>
    </row>
    <row r="5195" spans="1:7" hidden="1" x14ac:dyDescent="0.25">
      <c r="A5195" s="28">
        <v>43952</v>
      </c>
      <c r="B5195" s="27" t="s">
        <v>3</v>
      </c>
      <c r="C5195" s="27" t="s">
        <v>50</v>
      </c>
      <c r="D5195" s="27" t="s">
        <v>7</v>
      </c>
      <c r="E5195" s="27" t="s">
        <v>18</v>
      </c>
      <c r="F5195" s="29"/>
      <c r="G5195" s="30">
        <v>587.25555555555559</v>
      </c>
    </row>
    <row r="5196" spans="1:7" hidden="1" x14ac:dyDescent="0.25">
      <c r="A5196" s="28">
        <v>43952</v>
      </c>
      <c r="B5196" s="27" t="s">
        <v>3</v>
      </c>
      <c r="C5196" s="27" t="s">
        <v>50</v>
      </c>
      <c r="D5196" s="27" t="s">
        <v>7</v>
      </c>
      <c r="E5196" s="27" t="s">
        <v>19</v>
      </c>
      <c r="F5196" s="29"/>
      <c r="G5196" s="30">
        <v>587.25555555555559</v>
      </c>
    </row>
    <row r="5197" spans="1:7" hidden="1" x14ac:dyDescent="0.25">
      <c r="A5197" s="28">
        <v>43952</v>
      </c>
      <c r="B5197" s="27" t="s">
        <v>3</v>
      </c>
      <c r="C5197" s="27" t="s">
        <v>50</v>
      </c>
      <c r="D5197" s="27" t="s">
        <v>7</v>
      </c>
      <c r="E5197" s="27" t="s">
        <v>20</v>
      </c>
      <c r="F5197" s="29"/>
      <c r="G5197" s="30">
        <v>587.25555555555559</v>
      </c>
    </row>
    <row r="5198" spans="1:7" hidden="1" x14ac:dyDescent="0.25">
      <c r="A5198" s="28">
        <v>43952</v>
      </c>
      <c r="B5198" s="27" t="s">
        <v>3</v>
      </c>
      <c r="C5198" s="27" t="s">
        <v>50</v>
      </c>
      <c r="D5198" s="27" t="s">
        <v>7</v>
      </c>
      <c r="E5198" s="27" t="s">
        <v>38</v>
      </c>
      <c r="F5198" s="29"/>
      <c r="G5198" s="30">
        <v>587.25555555555559</v>
      </c>
    </row>
    <row r="5199" spans="1:7" hidden="1" x14ac:dyDescent="0.25">
      <c r="A5199" s="28">
        <v>43952</v>
      </c>
      <c r="B5199" s="27" t="s">
        <v>3</v>
      </c>
      <c r="C5199" s="27" t="s">
        <v>50</v>
      </c>
      <c r="D5199" s="27" t="s">
        <v>7</v>
      </c>
      <c r="E5199" s="27" t="s">
        <v>23</v>
      </c>
      <c r="F5199" s="29"/>
      <c r="G5199" s="30">
        <v>587.25555555555559</v>
      </c>
    </row>
    <row r="5200" spans="1:7" hidden="1" x14ac:dyDescent="0.25">
      <c r="A5200" s="28">
        <v>43952</v>
      </c>
      <c r="B5200" s="27" t="s">
        <v>179</v>
      </c>
      <c r="C5200" s="27" t="s">
        <v>50</v>
      </c>
      <c r="D5200" s="27" t="s">
        <v>6</v>
      </c>
      <c r="E5200" s="27" t="s">
        <v>8</v>
      </c>
      <c r="F5200" s="29"/>
      <c r="G5200" s="30">
        <v>54.554166666666667</v>
      </c>
    </row>
    <row r="5201" spans="1:7" hidden="1" x14ac:dyDescent="0.25">
      <c r="A5201" s="28">
        <v>43952</v>
      </c>
      <c r="B5201" s="27" t="s">
        <v>179</v>
      </c>
      <c r="C5201" s="27" t="s">
        <v>50</v>
      </c>
      <c r="D5201" s="27" t="s">
        <v>6</v>
      </c>
      <c r="E5201" s="27" t="s">
        <v>9</v>
      </c>
      <c r="F5201" s="29"/>
      <c r="G5201" s="30">
        <v>73.436666666666667</v>
      </c>
    </row>
    <row r="5202" spans="1:7" hidden="1" x14ac:dyDescent="0.25">
      <c r="A5202" s="28">
        <v>43952</v>
      </c>
      <c r="B5202" s="27" t="s">
        <v>179</v>
      </c>
      <c r="C5202" s="27" t="s">
        <v>50</v>
      </c>
      <c r="D5202" s="27" t="s">
        <v>6</v>
      </c>
      <c r="E5202" s="27" t="s">
        <v>22</v>
      </c>
      <c r="F5202" s="29"/>
      <c r="G5202" s="30">
        <v>98.38666666666667</v>
      </c>
    </row>
    <row r="5203" spans="1:7" hidden="1" x14ac:dyDescent="0.25">
      <c r="A5203" s="28">
        <v>43952</v>
      </c>
      <c r="B5203" s="27" t="s">
        <v>179</v>
      </c>
      <c r="C5203" s="27" t="s">
        <v>50</v>
      </c>
      <c r="D5203" s="27" t="s">
        <v>6</v>
      </c>
      <c r="E5203" s="27" t="s">
        <v>64</v>
      </c>
      <c r="F5203" s="29"/>
      <c r="G5203" s="30">
        <v>58.149166666666666</v>
      </c>
    </row>
    <row r="5204" spans="1:7" hidden="1" x14ac:dyDescent="0.25">
      <c r="A5204" s="28">
        <v>43952</v>
      </c>
      <c r="B5204" s="27" t="s">
        <v>179</v>
      </c>
      <c r="C5204" s="27" t="s">
        <v>50</v>
      </c>
      <c r="D5204" s="27" t="s">
        <v>6</v>
      </c>
      <c r="E5204" s="27" t="s">
        <v>21</v>
      </c>
      <c r="F5204" s="29"/>
      <c r="G5204" s="30">
        <v>67.641666666666666</v>
      </c>
    </row>
    <row r="5205" spans="1:7" hidden="1" x14ac:dyDescent="0.25">
      <c r="A5205" s="28">
        <v>43952</v>
      </c>
      <c r="B5205" s="27" t="s">
        <v>179</v>
      </c>
      <c r="C5205" s="27" t="s">
        <v>50</v>
      </c>
      <c r="D5205" s="27" t="s">
        <v>6</v>
      </c>
      <c r="E5205" s="27" t="s">
        <v>10</v>
      </c>
      <c r="F5205" s="29"/>
      <c r="G5205" s="30">
        <v>88.40666666666668</v>
      </c>
    </row>
    <row r="5206" spans="1:7" hidden="1" x14ac:dyDescent="0.25">
      <c r="A5206" s="28">
        <v>43952</v>
      </c>
      <c r="B5206" s="27" t="s">
        <v>179</v>
      </c>
      <c r="C5206" s="27" t="s">
        <v>50</v>
      </c>
      <c r="D5206" s="27" t="s">
        <v>6</v>
      </c>
      <c r="E5206" s="27" t="s">
        <v>11</v>
      </c>
      <c r="F5206" s="29"/>
      <c r="G5206" s="30">
        <v>66.776666666666671</v>
      </c>
    </row>
    <row r="5207" spans="1:7" hidden="1" x14ac:dyDescent="0.25">
      <c r="A5207" s="28">
        <v>43952</v>
      </c>
      <c r="B5207" s="27" t="s">
        <v>179</v>
      </c>
      <c r="C5207" s="27" t="s">
        <v>50</v>
      </c>
      <c r="D5207" s="27" t="s">
        <v>6</v>
      </c>
      <c r="E5207" s="27" t="s">
        <v>12</v>
      </c>
      <c r="F5207" s="29"/>
      <c r="G5207" s="30">
        <v>68.674166666666665</v>
      </c>
    </row>
    <row r="5208" spans="1:7" hidden="1" x14ac:dyDescent="0.25">
      <c r="A5208" s="28">
        <v>43952</v>
      </c>
      <c r="B5208" s="27" t="s">
        <v>179</v>
      </c>
      <c r="C5208" s="27" t="s">
        <v>50</v>
      </c>
      <c r="D5208" s="27" t="s">
        <v>6</v>
      </c>
      <c r="E5208" s="27" t="s">
        <v>13</v>
      </c>
      <c r="F5208" s="29"/>
      <c r="G5208" s="30">
        <v>94.161666666666676</v>
      </c>
    </row>
    <row r="5209" spans="1:7" hidden="1" x14ac:dyDescent="0.25">
      <c r="A5209" s="28">
        <v>43952</v>
      </c>
      <c r="B5209" s="27" t="s">
        <v>179</v>
      </c>
      <c r="C5209" s="27" t="s">
        <v>50</v>
      </c>
      <c r="D5209" s="27" t="s">
        <v>6</v>
      </c>
      <c r="E5209" s="27" t="s">
        <v>14</v>
      </c>
      <c r="F5209" s="29"/>
      <c r="G5209" s="30">
        <v>84.979166666666671</v>
      </c>
    </row>
    <row r="5210" spans="1:7" hidden="1" x14ac:dyDescent="0.25">
      <c r="A5210" s="28">
        <v>43952</v>
      </c>
      <c r="B5210" s="27" t="s">
        <v>179</v>
      </c>
      <c r="C5210" s="27" t="s">
        <v>50</v>
      </c>
      <c r="D5210" s="27" t="s">
        <v>6</v>
      </c>
      <c r="E5210" s="27" t="s">
        <v>15</v>
      </c>
      <c r="F5210" s="29"/>
      <c r="G5210" s="30">
        <v>90.716666666666654</v>
      </c>
    </row>
    <row r="5211" spans="1:7" hidden="1" x14ac:dyDescent="0.25">
      <c r="A5211" s="28">
        <v>43952</v>
      </c>
      <c r="B5211" s="27" t="s">
        <v>179</v>
      </c>
      <c r="C5211" s="27" t="s">
        <v>50</v>
      </c>
      <c r="D5211" s="27" t="s">
        <v>6</v>
      </c>
      <c r="E5211" s="27" t="s">
        <v>16</v>
      </c>
      <c r="F5211" s="29"/>
      <c r="G5211" s="30">
        <v>92.149166666666659</v>
      </c>
    </row>
    <row r="5212" spans="1:7" hidden="1" x14ac:dyDescent="0.25">
      <c r="A5212" s="28">
        <v>43952</v>
      </c>
      <c r="B5212" s="27" t="s">
        <v>179</v>
      </c>
      <c r="C5212" s="27" t="s">
        <v>50</v>
      </c>
      <c r="D5212" s="27" t="s">
        <v>6</v>
      </c>
      <c r="E5212" s="27" t="s">
        <v>17</v>
      </c>
      <c r="F5212" s="29"/>
      <c r="G5212" s="30">
        <v>142.66166666666666</v>
      </c>
    </row>
    <row r="5213" spans="1:7" hidden="1" x14ac:dyDescent="0.25">
      <c r="A5213" s="28">
        <v>43952</v>
      </c>
      <c r="B5213" s="27" t="s">
        <v>179</v>
      </c>
      <c r="C5213" s="27" t="s">
        <v>50</v>
      </c>
      <c r="D5213" s="27" t="s">
        <v>6</v>
      </c>
      <c r="E5213" s="27" t="s">
        <v>18</v>
      </c>
      <c r="F5213" s="29"/>
      <c r="G5213" s="30">
        <v>190.84666666666666</v>
      </c>
    </row>
    <row r="5214" spans="1:7" hidden="1" x14ac:dyDescent="0.25">
      <c r="A5214" s="28">
        <v>43952</v>
      </c>
      <c r="B5214" s="27" t="s">
        <v>179</v>
      </c>
      <c r="C5214" s="27" t="s">
        <v>50</v>
      </c>
      <c r="D5214" s="27" t="s">
        <v>6</v>
      </c>
      <c r="E5214" s="27" t="s">
        <v>19</v>
      </c>
      <c r="F5214" s="29"/>
      <c r="G5214" s="30">
        <v>129.04666666666665</v>
      </c>
    </row>
    <row r="5215" spans="1:7" hidden="1" x14ac:dyDescent="0.25">
      <c r="A5215" s="28">
        <v>43952</v>
      </c>
      <c r="B5215" s="27" t="s">
        <v>179</v>
      </c>
      <c r="C5215" s="27" t="s">
        <v>50</v>
      </c>
      <c r="D5215" s="27" t="s">
        <v>6</v>
      </c>
      <c r="E5215" s="27" t="s">
        <v>20</v>
      </c>
      <c r="F5215" s="29"/>
      <c r="G5215" s="30">
        <v>235.09666666666666</v>
      </c>
    </row>
    <row r="5216" spans="1:7" hidden="1" x14ac:dyDescent="0.25">
      <c r="A5216" s="28">
        <v>43952</v>
      </c>
      <c r="B5216" s="27" t="s">
        <v>179</v>
      </c>
      <c r="C5216" s="27" t="s">
        <v>50</v>
      </c>
      <c r="D5216" s="27" t="s">
        <v>6</v>
      </c>
      <c r="E5216" s="27" t="s">
        <v>38</v>
      </c>
      <c r="F5216" s="29"/>
      <c r="G5216" s="30">
        <v>108.04666666666667</v>
      </c>
    </row>
    <row r="5217" spans="1:7" hidden="1" x14ac:dyDescent="0.25">
      <c r="A5217" s="28">
        <v>43952</v>
      </c>
      <c r="B5217" s="27" t="s">
        <v>179</v>
      </c>
      <c r="C5217" s="27" t="s">
        <v>50</v>
      </c>
      <c r="D5217" s="27" t="s">
        <v>6</v>
      </c>
      <c r="E5217" s="27" t="s">
        <v>23</v>
      </c>
      <c r="F5217" s="29"/>
      <c r="G5217" s="30">
        <v>149.57916666666668</v>
      </c>
    </row>
    <row r="5218" spans="1:7" hidden="1" x14ac:dyDescent="0.25">
      <c r="A5218" s="28">
        <v>43952</v>
      </c>
      <c r="B5218" s="27" t="s">
        <v>32</v>
      </c>
      <c r="C5218" s="27" t="s">
        <v>50</v>
      </c>
      <c r="D5218" s="27" t="s">
        <v>7</v>
      </c>
      <c r="E5218" s="27" t="s">
        <v>10</v>
      </c>
      <c r="F5218" s="29"/>
      <c r="G5218" s="30">
        <v>30</v>
      </c>
    </row>
    <row r="5219" spans="1:7" hidden="1" x14ac:dyDescent="0.25">
      <c r="A5219" s="28">
        <v>43952</v>
      </c>
      <c r="B5219" s="27" t="s">
        <v>32</v>
      </c>
      <c r="C5219" s="27" t="s">
        <v>50</v>
      </c>
      <c r="D5219" s="27" t="s">
        <v>7</v>
      </c>
      <c r="E5219" s="27" t="s">
        <v>17</v>
      </c>
      <c r="F5219" s="29"/>
      <c r="G5219" s="30">
        <v>30</v>
      </c>
    </row>
    <row r="5220" spans="1:7" hidden="1" x14ac:dyDescent="0.25">
      <c r="A5220" s="28">
        <v>43952</v>
      </c>
      <c r="B5220" s="27" t="s">
        <v>5</v>
      </c>
      <c r="C5220" s="27" t="s">
        <v>51</v>
      </c>
      <c r="D5220" s="27" t="s">
        <v>51</v>
      </c>
      <c r="E5220" s="27" t="s">
        <v>8</v>
      </c>
      <c r="F5220" s="29">
        <v>1451</v>
      </c>
      <c r="G5220" s="30">
        <v>7.1714228062114858</v>
      </c>
    </row>
    <row r="5221" spans="1:7" hidden="1" x14ac:dyDescent="0.25">
      <c r="A5221" s="28">
        <v>43952</v>
      </c>
      <c r="B5221" s="27" t="s">
        <v>5</v>
      </c>
      <c r="C5221" s="27" t="s">
        <v>51</v>
      </c>
      <c r="D5221" s="27" t="s">
        <v>51</v>
      </c>
      <c r="E5221" s="27" t="s">
        <v>9</v>
      </c>
      <c r="F5221" s="29">
        <v>3044</v>
      </c>
      <c r="G5221" s="30">
        <v>3.4004565238106212</v>
      </c>
    </row>
    <row r="5222" spans="1:7" hidden="1" x14ac:dyDescent="0.25">
      <c r="A5222" s="28">
        <v>43952</v>
      </c>
      <c r="B5222" s="27" t="s">
        <v>5</v>
      </c>
      <c r="C5222" s="27" t="s">
        <v>51</v>
      </c>
      <c r="D5222" s="27" t="s">
        <v>51</v>
      </c>
      <c r="E5222" s="27" t="s">
        <v>22</v>
      </c>
      <c r="F5222" s="29">
        <v>455</v>
      </c>
      <c r="G5222" s="30">
        <v>18.618971410577725</v>
      </c>
    </row>
    <row r="5223" spans="1:7" hidden="1" x14ac:dyDescent="0.25">
      <c r="A5223" s="28">
        <v>43952</v>
      </c>
      <c r="B5223" s="27" t="s">
        <v>5</v>
      </c>
      <c r="C5223" s="27" t="s">
        <v>51</v>
      </c>
      <c r="D5223" s="27" t="s">
        <v>51</v>
      </c>
      <c r="E5223" s="27" t="s">
        <v>64</v>
      </c>
      <c r="F5223" s="29">
        <v>1476</v>
      </c>
      <c r="G5223" s="30">
        <v>6.0925339827097096</v>
      </c>
    </row>
    <row r="5224" spans="1:7" hidden="1" x14ac:dyDescent="0.25">
      <c r="A5224" s="28">
        <v>43952</v>
      </c>
      <c r="B5224" s="27" t="s">
        <v>5</v>
      </c>
      <c r="C5224" s="27" t="s">
        <v>51</v>
      </c>
      <c r="D5224" s="27" t="s">
        <v>51</v>
      </c>
      <c r="E5224" s="27" t="s">
        <v>21</v>
      </c>
      <c r="F5224" s="29">
        <v>4068</v>
      </c>
      <c r="G5224" s="30">
        <v>2.7437029642280071</v>
      </c>
    </row>
    <row r="5225" spans="1:7" hidden="1" x14ac:dyDescent="0.25">
      <c r="A5225" s="28">
        <v>43952</v>
      </c>
      <c r="B5225" s="27" t="s">
        <v>5</v>
      </c>
      <c r="C5225" s="27" t="s">
        <v>51</v>
      </c>
      <c r="D5225" s="27" t="s">
        <v>51</v>
      </c>
      <c r="E5225" s="27" t="s">
        <v>10</v>
      </c>
      <c r="F5225" s="29">
        <v>3961</v>
      </c>
      <c r="G5225" s="30">
        <v>2.8306328347587812</v>
      </c>
    </row>
    <row r="5226" spans="1:7" hidden="1" x14ac:dyDescent="0.25">
      <c r="A5226" s="28">
        <v>43952</v>
      </c>
      <c r="B5226" s="27" t="s">
        <v>5</v>
      </c>
      <c r="C5226" s="27" t="s">
        <v>51</v>
      </c>
      <c r="D5226" s="27" t="s">
        <v>51</v>
      </c>
      <c r="E5226" s="27" t="s">
        <v>11</v>
      </c>
      <c r="F5226" s="29">
        <v>2416</v>
      </c>
      <c r="G5226" s="30">
        <v>3.4897593785097398</v>
      </c>
    </row>
    <row r="5227" spans="1:7" hidden="1" x14ac:dyDescent="0.25">
      <c r="A5227" s="28">
        <v>43952</v>
      </c>
      <c r="B5227" s="27" t="s">
        <v>5</v>
      </c>
      <c r="C5227" s="27" t="s">
        <v>51</v>
      </c>
      <c r="D5227" s="27" t="s">
        <v>51</v>
      </c>
      <c r="E5227" s="27" t="s">
        <v>12</v>
      </c>
      <c r="F5227" s="29">
        <v>2140</v>
      </c>
      <c r="G5227" s="30">
        <v>4.6710897936820235</v>
      </c>
    </row>
    <row r="5228" spans="1:7" hidden="1" x14ac:dyDescent="0.25">
      <c r="A5228" s="28">
        <v>43952</v>
      </c>
      <c r="B5228" s="27" t="s">
        <v>5</v>
      </c>
      <c r="C5228" s="27" t="s">
        <v>51</v>
      </c>
      <c r="D5228" s="27" t="s">
        <v>51</v>
      </c>
      <c r="E5228" s="27" t="s">
        <v>13</v>
      </c>
      <c r="F5228" s="29">
        <v>5767</v>
      </c>
      <c r="G5228" s="30">
        <v>1.9924888142557424</v>
      </c>
    </row>
    <row r="5229" spans="1:7" hidden="1" x14ac:dyDescent="0.25">
      <c r="A5229" s="28">
        <v>43952</v>
      </c>
      <c r="B5229" s="27" t="s">
        <v>5</v>
      </c>
      <c r="C5229" s="27" t="s">
        <v>51</v>
      </c>
      <c r="D5229" s="27" t="s">
        <v>51</v>
      </c>
      <c r="E5229" s="27" t="s">
        <v>14</v>
      </c>
      <c r="F5229" s="29">
        <v>2729</v>
      </c>
      <c r="G5229" s="30">
        <v>2.8062619366603876</v>
      </c>
    </row>
    <row r="5230" spans="1:7" hidden="1" x14ac:dyDescent="0.25">
      <c r="A5230" s="28">
        <v>43952</v>
      </c>
      <c r="B5230" s="27" t="s">
        <v>5</v>
      </c>
      <c r="C5230" s="27" t="s">
        <v>51</v>
      </c>
      <c r="D5230" s="27" t="s">
        <v>51</v>
      </c>
      <c r="E5230" s="27" t="s">
        <v>15</v>
      </c>
      <c r="F5230" s="29">
        <v>4686</v>
      </c>
      <c r="G5230" s="30">
        <v>2.2840964557859289</v>
      </c>
    </row>
    <row r="5231" spans="1:7" hidden="1" x14ac:dyDescent="0.25">
      <c r="A5231" s="28">
        <v>43952</v>
      </c>
      <c r="B5231" s="27" t="s">
        <v>5</v>
      </c>
      <c r="C5231" s="27" t="s">
        <v>51</v>
      </c>
      <c r="D5231" s="27" t="s">
        <v>51</v>
      </c>
      <c r="E5231" s="27" t="s">
        <v>16</v>
      </c>
      <c r="F5231" s="29">
        <v>2825</v>
      </c>
      <c r="G5231" s="30">
        <v>3.7778576372198929</v>
      </c>
    </row>
    <row r="5232" spans="1:7" hidden="1" x14ac:dyDescent="0.25">
      <c r="A5232" s="28">
        <v>43952</v>
      </c>
      <c r="B5232" s="27" t="s">
        <v>5</v>
      </c>
      <c r="C5232" s="27" t="s">
        <v>51</v>
      </c>
      <c r="D5232" s="27" t="s">
        <v>51</v>
      </c>
      <c r="E5232" s="27" t="s">
        <v>17</v>
      </c>
      <c r="F5232" s="29">
        <v>3314</v>
      </c>
      <c r="G5232" s="30">
        <v>3.8504989916956953</v>
      </c>
    </row>
    <row r="5233" spans="1:7" hidden="1" x14ac:dyDescent="0.25">
      <c r="A5233" s="28">
        <v>43952</v>
      </c>
      <c r="B5233" s="27" t="s">
        <v>5</v>
      </c>
      <c r="C5233" s="27" t="s">
        <v>51</v>
      </c>
      <c r="D5233" s="27" t="s">
        <v>51</v>
      </c>
      <c r="E5233" s="27" t="s">
        <v>18</v>
      </c>
      <c r="F5233" s="29">
        <v>3798</v>
      </c>
      <c r="G5233" s="30">
        <v>2.5920654709003506</v>
      </c>
    </row>
    <row r="5234" spans="1:7" hidden="1" x14ac:dyDescent="0.25">
      <c r="A5234" s="28">
        <v>43952</v>
      </c>
      <c r="B5234" s="27" t="s">
        <v>5</v>
      </c>
      <c r="C5234" s="27" t="s">
        <v>51</v>
      </c>
      <c r="D5234" s="27" t="s">
        <v>51</v>
      </c>
      <c r="E5234" s="27" t="s">
        <v>19</v>
      </c>
      <c r="F5234" s="29">
        <v>4395</v>
      </c>
      <c r="G5234" s="30">
        <v>2.3257650341629574</v>
      </c>
    </row>
    <row r="5235" spans="1:7" hidden="1" x14ac:dyDescent="0.25">
      <c r="A5235" s="28">
        <v>43952</v>
      </c>
      <c r="B5235" s="27" t="s">
        <v>5</v>
      </c>
      <c r="C5235" s="27" t="s">
        <v>51</v>
      </c>
      <c r="D5235" s="27" t="s">
        <v>51</v>
      </c>
      <c r="E5235" s="27" t="s">
        <v>20</v>
      </c>
      <c r="F5235" s="29">
        <v>3641</v>
      </c>
      <c r="G5235" s="30">
        <v>2.6567180239346881</v>
      </c>
    </row>
    <row r="5236" spans="1:7" hidden="1" x14ac:dyDescent="0.25">
      <c r="A5236" s="28">
        <v>43952</v>
      </c>
      <c r="B5236" s="27" t="s">
        <v>5</v>
      </c>
      <c r="C5236" s="27" t="s">
        <v>51</v>
      </c>
      <c r="D5236" s="27" t="s">
        <v>51</v>
      </c>
      <c r="E5236" s="27" t="s">
        <v>38</v>
      </c>
      <c r="F5236" s="29">
        <v>2722</v>
      </c>
      <c r="G5236" s="30">
        <v>3.1441465803867978</v>
      </c>
    </row>
    <row r="5237" spans="1:7" hidden="1" x14ac:dyDescent="0.25">
      <c r="A5237" s="28">
        <v>43952</v>
      </c>
      <c r="B5237" s="27" t="s">
        <v>5</v>
      </c>
      <c r="C5237" s="27" t="s">
        <v>51</v>
      </c>
      <c r="D5237" s="27" t="s">
        <v>51</v>
      </c>
      <c r="E5237" s="27" t="s">
        <v>23</v>
      </c>
      <c r="F5237" s="29">
        <v>3462</v>
      </c>
      <c r="G5237" s="30">
        <v>3.2467159132908332</v>
      </c>
    </row>
    <row r="5238" spans="1:7" hidden="1" x14ac:dyDescent="0.25">
      <c r="A5238" s="28">
        <v>43952</v>
      </c>
      <c r="B5238" s="27" t="s">
        <v>180</v>
      </c>
      <c r="C5238" s="27" t="s">
        <v>50</v>
      </c>
      <c r="D5238" s="27" t="s">
        <v>7</v>
      </c>
      <c r="E5238" s="27" t="s">
        <v>8</v>
      </c>
      <c r="F5238" s="29"/>
      <c r="G5238" s="30">
        <v>138</v>
      </c>
    </row>
    <row r="5239" spans="1:7" hidden="1" x14ac:dyDescent="0.25">
      <c r="A5239" s="28">
        <v>43952</v>
      </c>
      <c r="B5239" s="27" t="s">
        <v>180</v>
      </c>
      <c r="C5239" s="27" t="s">
        <v>50</v>
      </c>
      <c r="D5239" s="27" t="s">
        <v>7</v>
      </c>
      <c r="E5239" s="27" t="s">
        <v>9</v>
      </c>
      <c r="F5239" s="29"/>
      <c r="G5239" s="30">
        <v>120</v>
      </c>
    </row>
    <row r="5240" spans="1:7" hidden="1" x14ac:dyDescent="0.25">
      <c r="A5240" s="28">
        <v>43952</v>
      </c>
      <c r="B5240" s="27" t="s">
        <v>180</v>
      </c>
      <c r="C5240" s="27" t="s">
        <v>50</v>
      </c>
      <c r="D5240" s="27" t="s">
        <v>7</v>
      </c>
      <c r="E5240" s="27" t="s">
        <v>21</v>
      </c>
      <c r="F5240" s="29"/>
      <c r="G5240" s="30">
        <v>205</v>
      </c>
    </row>
    <row r="5241" spans="1:7" hidden="1" x14ac:dyDescent="0.25">
      <c r="A5241" s="28">
        <v>43952</v>
      </c>
      <c r="B5241" s="27" t="s">
        <v>180</v>
      </c>
      <c r="C5241" s="27" t="s">
        <v>50</v>
      </c>
      <c r="D5241" s="27" t="s">
        <v>7</v>
      </c>
      <c r="E5241" s="27" t="s">
        <v>12</v>
      </c>
      <c r="F5241" s="29"/>
      <c r="G5241" s="30">
        <v>950</v>
      </c>
    </row>
    <row r="5242" spans="1:7" hidden="1" x14ac:dyDescent="0.25">
      <c r="A5242" s="28">
        <v>43952</v>
      </c>
      <c r="B5242" s="27" t="s">
        <v>180</v>
      </c>
      <c r="C5242" s="27" t="s">
        <v>50</v>
      </c>
      <c r="D5242" s="27" t="s">
        <v>7</v>
      </c>
      <c r="E5242" s="27" t="s">
        <v>13</v>
      </c>
      <c r="F5242" s="29"/>
      <c r="G5242" s="30">
        <v>50</v>
      </c>
    </row>
    <row r="5243" spans="1:7" hidden="1" x14ac:dyDescent="0.25">
      <c r="A5243" s="28">
        <v>43952</v>
      </c>
      <c r="B5243" s="27" t="s">
        <v>180</v>
      </c>
      <c r="C5243" s="27" t="s">
        <v>50</v>
      </c>
      <c r="D5243" s="27" t="s">
        <v>7</v>
      </c>
      <c r="E5243" s="27" t="s">
        <v>16</v>
      </c>
      <c r="F5243" s="29"/>
      <c r="G5243" s="30">
        <v>50</v>
      </c>
    </row>
    <row r="5244" spans="1:7" hidden="1" x14ac:dyDescent="0.25">
      <c r="A5244" s="28">
        <v>43952</v>
      </c>
      <c r="B5244" s="27" t="s">
        <v>180</v>
      </c>
      <c r="C5244" s="27" t="s">
        <v>50</v>
      </c>
      <c r="D5244" s="27" t="s">
        <v>7</v>
      </c>
      <c r="E5244" s="27" t="s">
        <v>17</v>
      </c>
      <c r="F5244" s="29"/>
      <c r="G5244" s="30">
        <v>9.5</v>
      </c>
    </row>
    <row r="5245" spans="1:7" hidden="1" x14ac:dyDescent="0.25">
      <c r="A5245" s="28">
        <v>43952</v>
      </c>
      <c r="B5245" s="27" t="s">
        <v>180</v>
      </c>
      <c r="C5245" s="27" t="s">
        <v>50</v>
      </c>
      <c r="D5245" s="27" t="s">
        <v>7</v>
      </c>
      <c r="E5245" s="27" t="s">
        <v>19</v>
      </c>
      <c r="F5245" s="29"/>
      <c r="G5245" s="30">
        <v>9.5</v>
      </c>
    </row>
    <row r="5246" spans="1:7" hidden="1" x14ac:dyDescent="0.25">
      <c r="A5246" s="28">
        <v>43952</v>
      </c>
      <c r="B5246" s="27" t="s">
        <v>180</v>
      </c>
      <c r="C5246" s="27" t="s">
        <v>50</v>
      </c>
      <c r="D5246" s="27" t="s">
        <v>7</v>
      </c>
      <c r="E5246" s="27" t="s">
        <v>38</v>
      </c>
      <c r="F5246" s="29"/>
      <c r="G5246" s="30">
        <v>200</v>
      </c>
    </row>
    <row r="5247" spans="1:7" hidden="1" x14ac:dyDescent="0.25">
      <c r="A5247" s="28">
        <v>43952</v>
      </c>
      <c r="B5247" s="27" t="s">
        <v>181</v>
      </c>
      <c r="C5247" s="27" t="s">
        <v>50</v>
      </c>
      <c r="D5247" s="27" t="s">
        <v>6</v>
      </c>
      <c r="E5247" s="27" t="s">
        <v>8</v>
      </c>
      <c r="F5247" s="29"/>
      <c r="G5247" s="30">
        <v>40</v>
      </c>
    </row>
    <row r="5248" spans="1:7" hidden="1" x14ac:dyDescent="0.25">
      <c r="A5248" s="28">
        <v>43952</v>
      </c>
      <c r="B5248" s="27" t="s">
        <v>181</v>
      </c>
      <c r="C5248" s="27" t="s">
        <v>50</v>
      </c>
      <c r="D5248" s="27" t="s">
        <v>6</v>
      </c>
      <c r="E5248" s="27" t="s">
        <v>64</v>
      </c>
      <c r="F5248" s="29"/>
      <c r="G5248" s="30">
        <v>170</v>
      </c>
    </row>
    <row r="5249" spans="1:7" hidden="1" x14ac:dyDescent="0.25">
      <c r="A5249" s="28">
        <v>43952</v>
      </c>
      <c r="B5249" s="27" t="s">
        <v>181</v>
      </c>
      <c r="C5249" s="27" t="s">
        <v>50</v>
      </c>
      <c r="D5249" s="27" t="s">
        <v>6</v>
      </c>
      <c r="E5249" s="27" t="s">
        <v>14</v>
      </c>
      <c r="F5249" s="29"/>
      <c r="G5249" s="30">
        <v>172.5</v>
      </c>
    </row>
    <row r="5250" spans="1:7" hidden="1" x14ac:dyDescent="0.25">
      <c r="A5250" s="28">
        <v>43952</v>
      </c>
      <c r="B5250" s="27" t="s">
        <v>181</v>
      </c>
      <c r="C5250" s="27" t="s">
        <v>50</v>
      </c>
      <c r="D5250" s="27" t="s">
        <v>6</v>
      </c>
      <c r="E5250" s="27" t="s">
        <v>15</v>
      </c>
      <c r="F5250" s="29"/>
      <c r="G5250" s="30">
        <v>120</v>
      </c>
    </row>
    <row r="5251" spans="1:7" hidden="1" x14ac:dyDescent="0.25">
      <c r="A5251" s="28">
        <v>43952</v>
      </c>
      <c r="B5251" s="27" t="s">
        <v>181</v>
      </c>
      <c r="C5251" s="27" t="s">
        <v>50</v>
      </c>
      <c r="D5251" s="27" t="s">
        <v>6</v>
      </c>
      <c r="E5251" s="27" t="s">
        <v>20</v>
      </c>
      <c r="F5251" s="29"/>
      <c r="G5251" s="30">
        <v>90</v>
      </c>
    </row>
    <row r="5252" spans="1:7" hidden="1" x14ac:dyDescent="0.25">
      <c r="A5252" s="28">
        <v>43952</v>
      </c>
      <c r="B5252" s="27" t="s">
        <v>181</v>
      </c>
      <c r="C5252" s="27" t="s">
        <v>50</v>
      </c>
      <c r="D5252" s="27" t="s">
        <v>6</v>
      </c>
      <c r="E5252" s="27" t="s">
        <v>23</v>
      </c>
      <c r="F5252" s="29"/>
      <c r="G5252" s="30">
        <v>8</v>
      </c>
    </row>
    <row r="5253" spans="1:7" hidden="1" x14ac:dyDescent="0.25">
      <c r="A5253" s="28">
        <v>43952</v>
      </c>
      <c r="B5253" s="27" t="s">
        <v>25</v>
      </c>
      <c r="C5253" s="27" t="s">
        <v>50</v>
      </c>
      <c r="D5253" s="27" t="s">
        <v>7</v>
      </c>
      <c r="E5253" s="27" t="s">
        <v>12</v>
      </c>
      <c r="F5253" s="29"/>
      <c r="G5253" s="30">
        <v>104.13</v>
      </c>
    </row>
    <row r="5254" spans="1:7" hidden="1" x14ac:dyDescent="0.25">
      <c r="A5254" s="28">
        <v>43952</v>
      </c>
      <c r="B5254" s="27" t="s">
        <v>25</v>
      </c>
      <c r="C5254" s="27" t="s">
        <v>50</v>
      </c>
      <c r="D5254" s="27" t="s">
        <v>7</v>
      </c>
      <c r="E5254" s="27" t="s">
        <v>13</v>
      </c>
      <c r="F5254" s="29"/>
      <c r="G5254" s="30">
        <v>104.12</v>
      </c>
    </row>
    <row r="5255" spans="1:7" hidden="1" x14ac:dyDescent="0.25">
      <c r="A5255" s="28">
        <v>43952</v>
      </c>
      <c r="B5255" s="27" t="s">
        <v>25</v>
      </c>
      <c r="C5255" s="27" t="s">
        <v>50</v>
      </c>
      <c r="D5255" s="27" t="s">
        <v>7</v>
      </c>
      <c r="E5255" s="27" t="s">
        <v>15</v>
      </c>
      <c r="F5255" s="29"/>
      <c r="G5255" s="30">
        <v>104.13</v>
      </c>
    </row>
    <row r="5256" spans="1:7" hidden="1" x14ac:dyDescent="0.25">
      <c r="A5256" s="28">
        <v>43952</v>
      </c>
      <c r="B5256" s="27" t="s">
        <v>2</v>
      </c>
      <c r="C5256" s="27" t="s">
        <v>50</v>
      </c>
      <c r="D5256" s="27" t="s">
        <v>7</v>
      </c>
      <c r="E5256" s="27" t="s">
        <v>8</v>
      </c>
      <c r="F5256" s="29"/>
      <c r="G5256" s="30">
        <v>536.57000000000005</v>
      </c>
    </row>
    <row r="5257" spans="1:7" hidden="1" x14ac:dyDescent="0.25">
      <c r="A5257" s="28">
        <v>43952</v>
      </c>
      <c r="B5257" s="27" t="s">
        <v>2</v>
      </c>
      <c r="C5257" s="27" t="s">
        <v>50</v>
      </c>
      <c r="D5257" s="27" t="s">
        <v>7</v>
      </c>
      <c r="E5257" s="27" t="s">
        <v>9</v>
      </c>
      <c r="F5257" s="29"/>
      <c r="G5257" s="30">
        <v>443.9</v>
      </c>
    </row>
    <row r="5258" spans="1:7" hidden="1" x14ac:dyDescent="0.25">
      <c r="A5258" s="28">
        <v>43952</v>
      </c>
      <c r="B5258" s="27" t="s">
        <v>2</v>
      </c>
      <c r="C5258" s="27" t="s">
        <v>50</v>
      </c>
      <c r="D5258" s="27" t="s">
        <v>7</v>
      </c>
      <c r="E5258" s="27" t="s">
        <v>22</v>
      </c>
      <c r="F5258" s="29"/>
      <c r="G5258" s="30">
        <v>80.5</v>
      </c>
    </row>
    <row r="5259" spans="1:7" hidden="1" x14ac:dyDescent="0.25">
      <c r="A5259" s="28">
        <v>43952</v>
      </c>
      <c r="B5259" s="27" t="s">
        <v>2</v>
      </c>
      <c r="C5259" s="27" t="s">
        <v>50</v>
      </c>
      <c r="D5259" s="27" t="s">
        <v>7</v>
      </c>
      <c r="E5259" s="27" t="s">
        <v>64</v>
      </c>
      <c r="F5259" s="29"/>
      <c r="G5259" s="30">
        <v>141.66999999999999</v>
      </c>
    </row>
    <row r="5260" spans="1:7" hidden="1" x14ac:dyDescent="0.25">
      <c r="A5260" s="28">
        <v>43952</v>
      </c>
      <c r="B5260" s="27" t="s">
        <v>2</v>
      </c>
      <c r="C5260" s="27" t="s">
        <v>50</v>
      </c>
      <c r="D5260" s="27" t="s">
        <v>7</v>
      </c>
      <c r="E5260" s="27" t="s">
        <v>21</v>
      </c>
      <c r="F5260" s="29"/>
      <c r="G5260" s="30">
        <v>610.19000000000005</v>
      </c>
    </row>
    <row r="5261" spans="1:7" hidden="1" x14ac:dyDescent="0.25">
      <c r="A5261" s="28">
        <v>43952</v>
      </c>
      <c r="B5261" s="27" t="s">
        <v>2</v>
      </c>
      <c r="C5261" s="27" t="s">
        <v>50</v>
      </c>
      <c r="D5261" s="27" t="s">
        <v>7</v>
      </c>
      <c r="E5261" s="27" t="s">
        <v>10</v>
      </c>
      <c r="F5261" s="29"/>
      <c r="G5261" s="30">
        <v>462.67</v>
      </c>
    </row>
    <row r="5262" spans="1:7" hidden="1" x14ac:dyDescent="0.25">
      <c r="A5262" s="28">
        <v>43952</v>
      </c>
      <c r="B5262" s="27" t="s">
        <v>2</v>
      </c>
      <c r="C5262" s="27" t="s">
        <v>50</v>
      </c>
      <c r="D5262" s="27" t="s">
        <v>7</v>
      </c>
      <c r="E5262" s="27" t="s">
        <v>11</v>
      </c>
      <c r="F5262" s="29"/>
      <c r="G5262" s="30">
        <v>195.67</v>
      </c>
    </row>
    <row r="5263" spans="1:7" hidden="1" x14ac:dyDescent="0.25">
      <c r="A5263" s="28">
        <v>43952</v>
      </c>
      <c r="B5263" s="27" t="s">
        <v>2</v>
      </c>
      <c r="C5263" s="27" t="s">
        <v>50</v>
      </c>
      <c r="D5263" s="27" t="s">
        <v>7</v>
      </c>
      <c r="E5263" s="27" t="s">
        <v>12</v>
      </c>
      <c r="F5263" s="29"/>
      <c r="G5263" s="30">
        <v>142.47</v>
      </c>
    </row>
    <row r="5264" spans="1:7" hidden="1" x14ac:dyDescent="0.25">
      <c r="A5264" s="28">
        <v>43952</v>
      </c>
      <c r="B5264" s="27" t="s">
        <v>2</v>
      </c>
      <c r="C5264" s="27" t="s">
        <v>50</v>
      </c>
      <c r="D5264" s="27" t="s">
        <v>7</v>
      </c>
      <c r="E5264" s="27" t="s">
        <v>13</v>
      </c>
      <c r="F5264" s="29"/>
      <c r="G5264" s="30">
        <v>1099.1300000000001</v>
      </c>
    </row>
    <row r="5265" spans="1:7" hidden="1" x14ac:dyDescent="0.25">
      <c r="A5265" s="28">
        <v>43952</v>
      </c>
      <c r="B5265" s="27" t="s">
        <v>2</v>
      </c>
      <c r="C5265" s="27" t="s">
        <v>50</v>
      </c>
      <c r="D5265" s="27" t="s">
        <v>7</v>
      </c>
      <c r="E5265" s="27" t="s">
        <v>14</v>
      </c>
      <c r="F5265" s="29"/>
      <c r="G5265" s="30">
        <v>141.91999999999999</v>
      </c>
    </row>
    <row r="5266" spans="1:7" hidden="1" x14ac:dyDescent="0.25">
      <c r="A5266" s="28">
        <v>43952</v>
      </c>
      <c r="B5266" s="27" t="s">
        <v>2</v>
      </c>
      <c r="C5266" s="27" t="s">
        <v>50</v>
      </c>
      <c r="D5266" s="27" t="s">
        <v>7</v>
      </c>
      <c r="E5266" s="27" t="s">
        <v>15</v>
      </c>
      <c r="F5266" s="29"/>
      <c r="G5266" s="30">
        <v>364.21</v>
      </c>
    </row>
    <row r="5267" spans="1:7" hidden="1" x14ac:dyDescent="0.25">
      <c r="A5267" s="28">
        <v>43952</v>
      </c>
      <c r="B5267" s="27" t="s">
        <v>2</v>
      </c>
      <c r="C5267" s="27" t="s">
        <v>50</v>
      </c>
      <c r="D5267" s="27" t="s">
        <v>7</v>
      </c>
      <c r="E5267" s="27" t="s">
        <v>16</v>
      </c>
      <c r="F5267" s="29"/>
      <c r="G5267" s="30">
        <v>343.81</v>
      </c>
    </row>
    <row r="5268" spans="1:7" hidden="1" x14ac:dyDescent="0.25">
      <c r="A5268" s="28">
        <v>43952</v>
      </c>
      <c r="B5268" s="27" t="s">
        <v>2</v>
      </c>
      <c r="C5268" s="27" t="s">
        <v>50</v>
      </c>
      <c r="D5268" s="27" t="s">
        <v>7</v>
      </c>
      <c r="E5268" s="27" t="s">
        <v>17</v>
      </c>
      <c r="F5268" s="29"/>
      <c r="G5268" s="30">
        <v>660.01</v>
      </c>
    </row>
    <row r="5269" spans="1:7" hidden="1" x14ac:dyDescent="0.25">
      <c r="A5269" s="28">
        <v>43952</v>
      </c>
      <c r="B5269" s="27" t="s">
        <v>2</v>
      </c>
      <c r="C5269" s="27" t="s">
        <v>50</v>
      </c>
      <c r="D5269" s="27" t="s">
        <v>7</v>
      </c>
      <c r="E5269" s="27" t="s">
        <v>18</v>
      </c>
      <c r="F5269" s="29"/>
      <c r="G5269" s="30">
        <v>35.32</v>
      </c>
    </row>
    <row r="5270" spans="1:7" hidden="1" x14ac:dyDescent="0.25">
      <c r="A5270" s="28">
        <v>43952</v>
      </c>
      <c r="B5270" s="27" t="s">
        <v>2</v>
      </c>
      <c r="C5270" s="27" t="s">
        <v>50</v>
      </c>
      <c r="D5270" s="27" t="s">
        <v>7</v>
      </c>
      <c r="E5270" s="27" t="s">
        <v>19</v>
      </c>
      <c r="F5270" s="29"/>
      <c r="G5270" s="30">
        <v>448.73</v>
      </c>
    </row>
    <row r="5271" spans="1:7" hidden="1" x14ac:dyDescent="0.25">
      <c r="A5271" s="28">
        <v>43952</v>
      </c>
      <c r="B5271" s="27" t="s">
        <v>2</v>
      </c>
      <c r="C5271" s="27" t="s">
        <v>50</v>
      </c>
      <c r="D5271" s="27" t="s">
        <v>7</v>
      </c>
      <c r="E5271" s="27" t="s">
        <v>20</v>
      </c>
      <c r="F5271" s="29"/>
      <c r="G5271" s="30">
        <v>354.62</v>
      </c>
    </row>
    <row r="5272" spans="1:7" hidden="1" x14ac:dyDescent="0.25">
      <c r="A5272" s="28">
        <v>43952</v>
      </c>
      <c r="B5272" s="27" t="s">
        <v>2</v>
      </c>
      <c r="C5272" s="27" t="s">
        <v>50</v>
      </c>
      <c r="D5272" s="27" t="s">
        <v>7</v>
      </c>
      <c r="E5272" s="27" t="s">
        <v>38</v>
      </c>
      <c r="F5272" s="29"/>
      <c r="G5272" s="30">
        <v>403.12</v>
      </c>
    </row>
    <row r="5273" spans="1:7" hidden="1" x14ac:dyDescent="0.25">
      <c r="A5273" s="28">
        <v>43952</v>
      </c>
      <c r="B5273" s="27" t="s">
        <v>2</v>
      </c>
      <c r="C5273" s="27" t="s">
        <v>50</v>
      </c>
      <c r="D5273" s="27" t="s">
        <v>7</v>
      </c>
      <c r="E5273" s="27" t="s">
        <v>23</v>
      </c>
      <c r="F5273" s="29"/>
      <c r="G5273" s="30">
        <v>388.75</v>
      </c>
    </row>
    <row r="5274" spans="1:7" hidden="1" x14ac:dyDescent="0.25">
      <c r="A5274" s="28">
        <v>43952</v>
      </c>
      <c r="B5274" s="27" t="s">
        <v>36</v>
      </c>
      <c r="C5274" s="27" t="s">
        <v>50</v>
      </c>
      <c r="D5274" s="27" t="s">
        <v>6</v>
      </c>
      <c r="E5274" s="27" t="s">
        <v>8</v>
      </c>
      <c r="F5274" s="29"/>
      <c r="G5274" s="30">
        <v>330.97</v>
      </c>
    </row>
    <row r="5275" spans="1:7" hidden="1" x14ac:dyDescent="0.25">
      <c r="A5275" s="28">
        <v>43952</v>
      </c>
      <c r="B5275" s="27" t="s">
        <v>36</v>
      </c>
      <c r="C5275" s="27" t="s">
        <v>50</v>
      </c>
      <c r="D5275" s="27" t="s">
        <v>6</v>
      </c>
      <c r="E5275" s="27" t="s">
        <v>9</v>
      </c>
      <c r="F5275" s="29"/>
      <c r="G5275" s="30">
        <v>56</v>
      </c>
    </row>
    <row r="5276" spans="1:7" hidden="1" x14ac:dyDescent="0.25">
      <c r="A5276" s="28">
        <v>43952</v>
      </c>
      <c r="B5276" s="27" t="s">
        <v>36</v>
      </c>
      <c r="C5276" s="27" t="s">
        <v>50</v>
      </c>
      <c r="D5276" s="27" t="s">
        <v>6</v>
      </c>
      <c r="E5276" s="27" t="s">
        <v>22</v>
      </c>
      <c r="F5276" s="29"/>
      <c r="G5276" s="30">
        <v>165.5</v>
      </c>
    </row>
    <row r="5277" spans="1:7" hidden="1" x14ac:dyDescent="0.25">
      <c r="A5277" s="28">
        <v>43952</v>
      </c>
      <c r="B5277" s="27" t="s">
        <v>36</v>
      </c>
      <c r="C5277" s="27" t="s">
        <v>50</v>
      </c>
      <c r="D5277" s="27" t="s">
        <v>6</v>
      </c>
      <c r="E5277" s="27" t="s">
        <v>64</v>
      </c>
      <c r="F5277" s="29"/>
      <c r="G5277" s="30">
        <v>59</v>
      </c>
    </row>
    <row r="5278" spans="1:7" hidden="1" x14ac:dyDescent="0.25">
      <c r="A5278" s="28">
        <v>43952</v>
      </c>
      <c r="B5278" s="27" t="s">
        <v>36</v>
      </c>
      <c r="C5278" s="27" t="s">
        <v>50</v>
      </c>
      <c r="D5278" s="27" t="s">
        <v>6</v>
      </c>
      <c r="E5278" s="27" t="s">
        <v>21</v>
      </c>
      <c r="F5278" s="29"/>
      <c r="G5278" s="30">
        <v>98.57</v>
      </c>
    </row>
    <row r="5279" spans="1:7" hidden="1" x14ac:dyDescent="0.25">
      <c r="A5279" s="28">
        <v>43952</v>
      </c>
      <c r="B5279" s="27" t="s">
        <v>36</v>
      </c>
      <c r="C5279" s="27" t="s">
        <v>50</v>
      </c>
      <c r="D5279" s="27" t="s">
        <v>6</v>
      </c>
      <c r="E5279" s="27" t="s">
        <v>10</v>
      </c>
      <c r="F5279" s="29"/>
      <c r="G5279" s="30">
        <v>330.97</v>
      </c>
    </row>
    <row r="5280" spans="1:7" hidden="1" x14ac:dyDescent="0.25">
      <c r="A5280" s="28">
        <v>43952</v>
      </c>
      <c r="B5280" s="27" t="s">
        <v>36</v>
      </c>
      <c r="C5280" s="27" t="s">
        <v>50</v>
      </c>
      <c r="D5280" s="27" t="s">
        <v>6</v>
      </c>
      <c r="E5280" s="27" t="s">
        <v>11</v>
      </c>
      <c r="F5280" s="29"/>
      <c r="G5280" s="30">
        <v>153.5</v>
      </c>
    </row>
    <row r="5281" spans="1:7" hidden="1" x14ac:dyDescent="0.25">
      <c r="A5281" s="28">
        <v>43952</v>
      </c>
      <c r="B5281" s="27" t="s">
        <v>36</v>
      </c>
      <c r="C5281" s="27" t="s">
        <v>50</v>
      </c>
      <c r="D5281" s="27" t="s">
        <v>6</v>
      </c>
      <c r="E5281" s="27" t="s">
        <v>12</v>
      </c>
      <c r="F5281" s="29"/>
      <c r="G5281" s="30">
        <v>78.69</v>
      </c>
    </row>
    <row r="5282" spans="1:7" hidden="1" x14ac:dyDescent="0.25">
      <c r="A5282" s="28">
        <v>43952</v>
      </c>
      <c r="B5282" s="27" t="s">
        <v>36</v>
      </c>
      <c r="C5282" s="27" t="s">
        <v>50</v>
      </c>
      <c r="D5282" s="27" t="s">
        <v>6</v>
      </c>
      <c r="E5282" s="27" t="s">
        <v>13</v>
      </c>
      <c r="F5282" s="29"/>
      <c r="G5282" s="30">
        <v>59</v>
      </c>
    </row>
    <row r="5283" spans="1:7" hidden="1" x14ac:dyDescent="0.25">
      <c r="A5283" s="28">
        <v>43952</v>
      </c>
      <c r="B5283" s="27" t="s">
        <v>36</v>
      </c>
      <c r="C5283" s="27" t="s">
        <v>50</v>
      </c>
      <c r="D5283" s="27" t="s">
        <v>6</v>
      </c>
      <c r="E5283" s="27" t="s">
        <v>14</v>
      </c>
      <c r="F5283" s="29"/>
      <c r="G5283" s="30">
        <v>78.69</v>
      </c>
    </row>
    <row r="5284" spans="1:7" hidden="1" x14ac:dyDescent="0.25">
      <c r="A5284" s="28">
        <v>43952</v>
      </c>
      <c r="B5284" s="27" t="s">
        <v>36</v>
      </c>
      <c r="C5284" s="27" t="s">
        <v>50</v>
      </c>
      <c r="D5284" s="27" t="s">
        <v>6</v>
      </c>
      <c r="E5284" s="27" t="s">
        <v>15</v>
      </c>
      <c r="F5284" s="29"/>
      <c r="G5284" s="30">
        <v>296.19</v>
      </c>
    </row>
    <row r="5285" spans="1:7" hidden="1" x14ac:dyDescent="0.25">
      <c r="A5285" s="28">
        <v>43952</v>
      </c>
      <c r="B5285" s="27" t="s">
        <v>36</v>
      </c>
      <c r="C5285" s="27" t="s">
        <v>50</v>
      </c>
      <c r="D5285" s="27" t="s">
        <v>6</v>
      </c>
      <c r="E5285" s="27" t="s">
        <v>16</v>
      </c>
      <c r="F5285" s="29"/>
      <c r="G5285" s="30">
        <v>296.19</v>
      </c>
    </row>
    <row r="5286" spans="1:7" hidden="1" x14ac:dyDescent="0.25">
      <c r="A5286" s="28">
        <v>43952</v>
      </c>
      <c r="B5286" s="27" t="s">
        <v>36</v>
      </c>
      <c r="C5286" s="27" t="s">
        <v>50</v>
      </c>
      <c r="D5286" s="27" t="s">
        <v>6</v>
      </c>
      <c r="E5286" s="27" t="s">
        <v>17</v>
      </c>
      <c r="F5286" s="29"/>
      <c r="G5286" s="30">
        <v>165.5</v>
      </c>
    </row>
    <row r="5287" spans="1:7" hidden="1" x14ac:dyDescent="0.25">
      <c r="A5287" s="28">
        <v>43952</v>
      </c>
      <c r="B5287" s="27" t="s">
        <v>36</v>
      </c>
      <c r="C5287" s="27" t="s">
        <v>50</v>
      </c>
      <c r="D5287" s="27" t="s">
        <v>6</v>
      </c>
      <c r="E5287" s="27" t="s">
        <v>18</v>
      </c>
      <c r="F5287" s="29"/>
      <c r="G5287" s="30">
        <v>165.5</v>
      </c>
    </row>
    <row r="5288" spans="1:7" hidden="1" x14ac:dyDescent="0.25">
      <c r="A5288" s="28">
        <v>43952</v>
      </c>
      <c r="B5288" s="27" t="s">
        <v>36</v>
      </c>
      <c r="C5288" s="27" t="s">
        <v>50</v>
      </c>
      <c r="D5288" s="27" t="s">
        <v>6</v>
      </c>
      <c r="E5288" s="27" t="s">
        <v>19</v>
      </c>
      <c r="F5288" s="29"/>
      <c r="G5288" s="30">
        <v>284.19</v>
      </c>
    </row>
    <row r="5289" spans="1:7" hidden="1" x14ac:dyDescent="0.25">
      <c r="A5289" s="28">
        <v>43952</v>
      </c>
      <c r="B5289" s="27" t="s">
        <v>36</v>
      </c>
      <c r="C5289" s="27" t="s">
        <v>50</v>
      </c>
      <c r="D5289" s="27" t="s">
        <v>6</v>
      </c>
      <c r="E5289" s="27" t="s">
        <v>20</v>
      </c>
      <c r="F5289" s="29"/>
      <c r="G5289" s="30">
        <v>59</v>
      </c>
    </row>
    <row r="5290" spans="1:7" hidden="1" x14ac:dyDescent="0.25">
      <c r="A5290" s="28">
        <v>43952</v>
      </c>
      <c r="B5290" s="27" t="s">
        <v>36</v>
      </c>
      <c r="C5290" s="27" t="s">
        <v>50</v>
      </c>
      <c r="D5290" s="27" t="s">
        <v>6</v>
      </c>
      <c r="E5290" s="27" t="s">
        <v>38</v>
      </c>
      <c r="F5290" s="29"/>
      <c r="G5290" s="30">
        <v>56</v>
      </c>
    </row>
    <row r="5291" spans="1:7" hidden="1" x14ac:dyDescent="0.25">
      <c r="A5291" s="28">
        <v>43952</v>
      </c>
      <c r="B5291" s="27" t="s">
        <v>36</v>
      </c>
      <c r="C5291" s="27" t="s">
        <v>50</v>
      </c>
      <c r="D5291" s="27" t="s">
        <v>6</v>
      </c>
      <c r="E5291" s="27" t="s">
        <v>23</v>
      </c>
      <c r="F5291" s="29"/>
      <c r="G5291" s="30">
        <v>165.5</v>
      </c>
    </row>
    <row r="5292" spans="1:7" hidden="1" x14ac:dyDescent="0.25">
      <c r="A5292" s="28">
        <v>43952</v>
      </c>
      <c r="B5292" s="27" t="s">
        <v>200</v>
      </c>
      <c r="C5292" s="27" t="s">
        <v>53</v>
      </c>
      <c r="D5292" s="27" t="s">
        <v>6</v>
      </c>
      <c r="E5292" s="27" t="s">
        <v>8</v>
      </c>
      <c r="F5292" s="29"/>
      <c r="G5292" s="30">
        <f t="shared" ref="G5292:G5309" si="96">8802.25622222222/18</f>
        <v>489.01423456790116</v>
      </c>
    </row>
    <row r="5293" spans="1:7" hidden="1" x14ac:dyDescent="0.25">
      <c r="A5293" s="28">
        <v>43952</v>
      </c>
      <c r="B5293" s="27" t="s">
        <v>200</v>
      </c>
      <c r="C5293" s="27" t="s">
        <v>53</v>
      </c>
      <c r="D5293" s="27" t="s">
        <v>6</v>
      </c>
      <c r="E5293" s="27" t="s">
        <v>9</v>
      </c>
      <c r="F5293" s="29"/>
      <c r="G5293" s="30">
        <f t="shared" si="96"/>
        <v>489.01423456790116</v>
      </c>
    </row>
    <row r="5294" spans="1:7" hidden="1" x14ac:dyDescent="0.25">
      <c r="A5294" s="28">
        <v>43952</v>
      </c>
      <c r="B5294" s="27" t="s">
        <v>200</v>
      </c>
      <c r="C5294" s="27" t="s">
        <v>53</v>
      </c>
      <c r="D5294" s="27" t="s">
        <v>6</v>
      </c>
      <c r="E5294" s="27" t="s">
        <v>22</v>
      </c>
      <c r="F5294" s="29"/>
      <c r="G5294" s="30">
        <f t="shared" si="96"/>
        <v>489.01423456790116</v>
      </c>
    </row>
    <row r="5295" spans="1:7" hidden="1" x14ac:dyDescent="0.25">
      <c r="A5295" s="28">
        <v>43952</v>
      </c>
      <c r="B5295" s="27" t="s">
        <v>200</v>
      </c>
      <c r="C5295" s="27" t="s">
        <v>53</v>
      </c>
      <c r="D5295" s="27" t="s">
        <v>6</v>
      </c>
      <c r="E5295" s="27" t="s">
        <v>64</v>
      </c>
      <c r="F5295" s="29"/>
      <c r="G5295" s="30">
        <f t="shared" si="96"/>
        <v>489.01423456790116</v>
      </c>
    </row>
    <row r="5296" spans="1:7" hidden="1" x14ac:dyDescent="0.25">
      <c r="A5296" s="28">
        <v>43952</v>
      </c>
      <c r="B5296" s="27" t="s">
        <v>200</v>
      </c>
      <c r="C5296" s="27" t="s">
        <v>53</v>
      </c>
      <c r="D5296" s="27" t="s">
        <v>6</v>
      </c>
      <c r="E5296" s="27" t="s">
        <v>21</v>
      </c>
      <c r="F5296" s="29"/>
      <c r="G5296" s="30">
        <f t="shared" si="96"/>
        <v>489.01423456790116</v>
      </c>
    </row>
    <row r="5297" spans="1:7" hidden="1" x14ac:dyDescent="0.25">
      <c r="A5297" s="28">
        <v>43952</v>
      </c>
      <c r="B5297" s="27" t="s">
        <v>200</v>
      </c>
      <c r="C5297" s="27" t="s">
        <v>53</v>
      </c>
      <c r="D5297" s="27" t="s">
        <v>6</v>
      </c>
      <c r="E5297" s="27" t="s">
        <v>10</v>
      </c>
      <c r="F5297" s="29"/>
      <c r="G5297" s="30">
        <f t="shared" si="96"/>
        <v>489.01423456790116</v>
      </c>
    </row>
    <row r="5298" spans="1:7" hidden="1" x14ac:dyDescent="0.25">
      <c r="A5298" s="28">
        <v>43952</v>
      </c>
      <c r="B5298" s="27" t="s">
        <v>200</v>
      </c>
      <c r="C5298" s="27" t="s">
        <v>53</v>
      </c>
      <c r="D5298" s="27" t="s">
        <v>6</v>
      </c>
      <c r="E5298" s="27" t="s">
        <v>11</v>
      </c>
      <c r="F5298" s="29"/>
      <c r="G5298" s="30">
        <f t="shared" si="96"/>
        <v>489.01423456790116</v>
      </c>
    </row>
    <row r="5299" spans="1:7" hidden="1" x14ac:dyDescent="0.25">
      <c r="A5299" s="28">
        <v>43952</v>
      </c>
      <c r="B5299" s="27" t="s">
        <v>200</v>
      </c>
      <c r="C5299" s="27" t="s">
        <v>53</v>
      </c>
      <c r="D5299" s="27" t="s">
        <v>6</v>
      </c>
      <c r="E5299" s="27" t="s">
        <v>12</v>
      </c>
      <c r="F5299" s="29"/>
      <c r="G5299" s="30">
        <f t="shared" si="96"/>
        <v>489.01423456790116</v>
      </c>
    </row>
    <row r="5300" spans="1:7" hidden="1" x14ac:dyDescent="0.25">
      <c r="A5300" s="28">
        <v>43952</v>
      </c>
      <c r="B5300" s="27" t="s">
        <v>200</v>
      </c>
      <c r="C5300" s="27" t="s">
        <v>53</v>
      </c>
      <c r="D5300" s="27" t="s">
        <v>6</v>
      </c>
      <c r="E5300" s="27" t="s">
        <v>13</v>
      </c>
      <c r="F5300" s="29"/>
      <c r="G5300" s="30">
        <f t="shared" si="96"/>
        <v>489.01423456790116</v>
      </c>
    </row>
    <row r="5301" spans="1:7" hidden="1" x14ac:dyDescent="0.25">
      <c r="A5301" s="28">
        <v>43952</v>
      </c>
      <c r="B5301" s="27" t="s">
        <v>200</v>
      </c>
      <c r="C5301" s="27" t="s">
        <v>53</v>
      </c>
      <c r="D5301" s="27" t="s">
        <v>6</v>
      </c>
      <c r="E5301" s="27" t="s">
        <v>14</v>
      </c>
      <c r="F5301" s="29"/>
      <c r="G5301" s="30">
        <f t="shared" si="96"/>
        <v>489.01423456790116</v>
      </c>
    </row>
    <row r="5302" spans="1:7" hidden="1" x14ac:dyDescent="0.25">
      <c r="A5302" s="28">
        <v>43952</v>
      </c>
      <c r="B5302" s="27" t="s">
        <v>200</v>
      </c>
      <c r="C5302" s="27" t="s">
        <v>53</v>
      </c>
      <c r="D5302" s="27" t="s">
        <v>6</v>
      </c>
      <c r="E5302" s="27" t="s">
        <v>15</v>
      </c>
      <c r="F5302" s="29"/>
      <c r="G5302" s="30">
        <f t="shared" si="96"/>
        <v>489.01423456790116</v>
      </c>
    </row>
    <row r="5303" spans="1:7" hidden="1" x14ac:dyDescent="0.25">
      <c r="A5303" s="28">
        <v>43952</v>
      </c>
      <c r="B5303" s="27" t="s">
        <v>200</v>
      </c>
      <c r="C5303" s="27" t="s">
        <v>53</v>
      </c>
      <c r="D5303" s="27" t="s">
        <v>6</v>
      </c>
      <c r="E5303" s="27" t="s">
        <v>16</v>
      </c>
      <c r="F5303" s="29"/>
      <c r="G5303" s="30">
        <f t="shared" si="96"/>
        <v>489.01423456790116</v>
      </c>
    </row>
    <row r="5304" spans="1:7" hidden="1" x14ac:dyDescent="0.25">
      <c r="A5304" s="28">
        <v>43952</v>
      </c>
      <c r="B5304" s="27" t="s">
        <v>200</v>
      </c>
      <c r="C5304" s="27" t="s">
        <v>53</v>
      </c>
      <c r="D5304" s="27" t="s">
        <v>6</v>
      </c>
      <c r="E5304" s="27" t="s">
        <v>17</v>
      </c>
      <c r="F5304" s="29"/>
      <c r="G5304" s="30">
        <f t="shared" si="96"/>
        <v>489.01423456790116</v>
      </c>
    </row>
    <row r="5305" spans="1:7" hidden="1" x14ac:dyDescent="0.25">
      <c r="A5305" s="28">
        <v>43952</v>
      </c>
      <c r="B5305" s="27" t="s">
        <v>200</v>
      </c>
      <c r="C5305" s="27" t="s">
        <v>53</v>
      </c>
      <c r="D5305" s="27" t="s">
        <v>6</v>
      </c>
      <c r="E5305" s="27" t="s">
        <v>18</v>
      </c>
      <c r="F5305" s="29"/>
      <c r="G5305" s="30">
        <f t="shared" si="96"/>
        <v>489.01423456790116</v>
      </c>
    </row>
    <row r="5306" spans="1:7" hidden="1" x14ac:dyDescent="0.25">
      <c r="A5306" s="28">
        <v>43952</v>
      </c>
      <c r="B5306" s="27" t="s">
        <v>200</v>
      </c>
      <c r="C5306" s="27" t="s">
        <v>53</v>
      </c>
      <c r="D5306" s="27" t="s">
        <v>6</v>
      </c>
      <c r="E5306" s="27" t="s">
        <v>19</v>
      </c>
      <c r="F5306" s="29"/>
      <c r="G5306" s="30">
        <f t="shared" si="96"/>
        <v>489.01423456790116</v>
      </c>
    </row>
    <row r="5307" spans="1:7" hidden="1" x14ac:dyDescent="0.25">
      <c r="A5307" s="28">
        <v>43952</v>
      </c>
      <c r="B5307" s="27" t="s">
        <v>200</v>
      </c>
      <c r="C5307" s="27" t="s">
        <v>53</v>
      </c>
      <c r="D5307" s="27" t="s">
        <v>6</v>
      </c>
      <c r="E5307" s="27" t="s">
        <v>20</v>
      </c>
      <c r="F5307" s="29"/>
      <c r="G5307" s="30">
        <f t="shared" si="96"/>
        <v>489.01423456790116</v>
      </c>
    </row>
    <row r="5308" spans="1:7" hidden="1" x14ac:dyDescent="0.25">
      <c r="A5308" s="28">
        <v>43952</v>
      </c>
      <c r="B5308" s="27" t="s">
        <v>200</v>
      </c>
      <c r="C5308" s="27" t="s">
        <v>53</v>
      </c>
      <c r="D5308" s="27" t="s">
        <v>6</v>
      </c>
      <c r="E5308" s="27" t="s">
        <v>38</v>
      </c>
      <c r="F5308" s="29"/>
      <c r="G5308" s="30">
        <f t="shared" si="96"/>
        <v>489.01423456790116</v>
      </c>
    </row>
    <row r="5309" spans="1:7" hidden="1" x14ac:dyDescent="0.25">
      <c r="A5309" s="28">
        <v>43952</v>
      </c>
      <c r="B5309" s="27" t="s">
        <v>200</v>
      </c>
      <c r="C5309" s="27" t="s">
        <v>53</v>
      </c>
      <c r="D5309" s="27" t="s">
        <v>6</v>
      </c>
      <c r="E5309" s="27" t="s">
        <v>23</v>
      </c>
      <c r="F5309" s="29"/>
      <c r="G5309" s="30">
        <f t="shared" si="96"/>
        <v>489.01423456790116</v>
      </c>
    </row>
    <row r="5310" spans="1:7" hidden="1" x14ac:dyDescent="0.25">
      <c r="A5310" s="28">
        <v>43952</v>
      </c>
      <c r="B5310" s="27" t="s">
        <v>200</v>
      </c>
      <c r="C5310" s="27" t="s">
        <v>54</v>
      </c>
      <c r="D5310" s="27" t="s">
        <v>7</v>
      </c>
      <c r="E5310" s="27" t="s">
        <v>8</v>
      </c>
      <c r="F5310" s="29"/>
      <c r="G5310" s="30">
        <f t="shared" ref="G5310:G5327" si="97">175.72/18</f>
        <v>9.7622222222222224</v>
      </c>
    </row>
    <row r="5311" spans="1:7" hidden="1" x14ac:dyDescent="0.25">
      <c r="A5311" s="28">
        <v>43952</v>
      </c>
      <c r="B5311" s="27" t="s">
        <v>200</v>
      </c>
      <c r="C5311" s="27" t="s">
        <v>54</v>
      </c>
      <c r="D5311" s="27" t="s">
        <v>7</v>
      </c>
      <c r="E5311" s="27" t="s">
        <v>9</v>
      </c>
      <c r="F5311" s="29"/>
      <c r="G5311" s="30">
        <f t="shared" si="97"/>
        <v>9.7622222222222224</v>
      </c>
    </row>
    <row r="5312" spans="1:7" hidden="1" x14ac:dyDescent="0.25">
      <c r="A5312" s="28">
        <v>43952</v>
      </c>
      <c r="B5312" s="27" t="s">
        <v>200</v>
      </c>
      <c r="C5312" s="27" t="s">
        <v>54</v>
      </c>
      <c r="D5312" s="27" t="s">
        <v>7</v>
      </c>
      <c r="E5312" s="27" t="s">
        <v>64</v>
      </c>
      <c r="F5312" s="29"/>
      <c r="G5312" s="30">
        <f t="shared" si="97"/>
        <v>9.7622222222222224</v>
      </c>
    </row>
    <row r="5313" spans="1:7" hidden="1" x14ac:dyDescent="0.25">
      <c r="A5313" s="28">
        <v>43952</v>
      </c>
      <c r="B5313" s="27" t="s">
        <v>200</v>
      </c>
      <c r="C5313" s="27" t="s">
        <v>54</v>
      </c>
      <c r="D5313" s="27" t="s">
        <v>7</v>
      </c>
      <c r="E5313" s="27" t="s">
        <v>21</v>
      </c>
      <c r="F5313" s="29"/>
      <c r="G5313" s="30">
        <f t="shared" si="97"/>
        <v>9.7622222222222224</v>
      </c>
    </row>
    <row r="5314" spans="1:7" hidden="1" x14ac:dyDescent="0.25">
      <c r="A5314" s="28">
        <v>43952</v>
      </c>
      <c r="B5314" s="27" t="s">
        <v>200</v>
      </c>
      <c r="C5314" s="27" t="s">
        <v>54</v>
      </c>
      <c r="D5314" s="27" t="s">
        <v>7</v>
      </c>
      <c r="E5314" s="27" t="s">
        <v>10</v>
      </c>
      <c r="F5314" s="29"/>
      <c r="G5314" s="30">
        <f t="shared" si="97"/>
        <v>9.7622222222222224</v>
      </c>
    </row>
    <row r="5315" spans="1:7" hidden="1" x14ac:dyDescent="0.25">
      <c r="A5315" s="28">
        <v>43952</v>
      </c>
      <c r="B5315" s="27" t="s">
        <v>200</v>
      </c>
      <c r="C5315" s="27" t="s">
        <v>54</v>
      </c>
      <c r="D5315" s="27" t="s">
        <v>7</v>
      </c>
      <c r="E5315" s="27" t="s">
        <v>11</v>
      </c>
      <c r="F5315" s="29"/>
      <c r="G5315" s="30">
        <f t="shared" si="97"/>
        <v>9.7622222222222224</v>
      </c>
    </row>
    <row r="5316" spans="1:7" hidden="1" x14ac:dyDescent="0.25">
      <c r="A5316" s="28">
        <v>43952</v>
      </c>
      <c r="B5316" s="27" t="s">
        <v>200</v>
      </c>
      <c r="C5316" s="27" t="s">
        <v>54</v>
      </c>
      <c r="D5316" s="27" t="s">
        <v>7</v>
      </c>
      <c r="E5316" s="27" t="s">
        <v>12</v>
      </c>
      <c r="F5316" s="29"/>
      <c r="G5316" s="30">
        <f t="shared" si="97"/>
        <v>9.7622222222222224</v>
      </c>
    </row>
    <row r="5317" spans="1:7" hidden="1" x14ac:dyDescent="0.25">
      <c r="A5317" s="28">
        <v>43952</v>
      </c>
      <c r="B5317" s="27" t="s">
        <v>200</v>
      </c>
      <c r="C5317" s="27" t="s">
        <v>54</v>
      </c>
      <c r="D5317" s="27" t="s">
        <v>7</v>
      </c>
      <c r="E5317" s="27" t="s">
        <v>13</v>
      </c>
      <c r="F5317" s="29"/>
      <c r="G5317" s="30">
        <f t="shared" si="97"/>
        <v>9.7622222222222224</v>
      </c>
    </row>
    <row r="5318" spans="1:7" hidden="1" x14ac:dyDescent="0.25">
      <c r="A5318" s="28">
        <v>43952</v>
      </c>
      <c r="B5318" s="27" t="s">
        <v>200</v>
      </c>
      <c r="C5318" s="27" t="s">
        <v>54</v>
      </c>
      <c r="D5318" s="27" t="s">
        <v>7</v>
      </c>
      <c r="E5318" s="27" t="s">
        <v>14</v>
      </c>
      <c r="F5318" s="29"/>
      <c r="G5318" s="30">
        <f t="shared" si="97"/>
        <v>9.7622222222222224</v>
      </c>
    </row>
    <row r="5319" spans="1:7" hidden="1" x14ac:dyDescent="0.25">
      <c r="A5319" s="28">
        <v>43952</v>
      </c>
      <c r="B5319" s="27" t="s">
        <v>200</v>
      </c>
      <c r="C5319" s="27" t="s">
        <v>54</v>
      </c>
      <c r="D5319" s="27" t="s">
        <v>7</v>
      </c>
      <c r="E5319" s="27" t="s">
        <v>15</v>
      </c>
      <c r="F5319" s="29"/>
      <c r="G5319" s="30">
        <f t="shared" si="97"/>
        <v>9.7622222222222224</v>
      </c>
    </row>
    <row r="5320" spans="1:7" hidden="1" x14ac:dyDescent="0.25">
      <c r="A5320" s="28">
        <v>43952</v>
      </c>
      <c r="B5320" s="27" t="s">
        <v>200</v>
      </c>
      <c r="C5320" s="27" t="s">
        <v>54</v>
      </c>
      <c r="D5320" s="27" t="s">
        <v>7</v>
      </c>
      <c r="E5320" s="27" t="s">
        <v>16</v>
      </c>
      <c r="F5320" s="29"/>
      <c r="G5320" s="30">
        <f t="shared" si="97"/>
        <v>9.7622222222222224</v>
      </c>
    </row>
    <row r="5321" spans="1:7" hidden="1" x14ac:dyDescent="0.25">
      <c r="A5321" s="28">
        <v>43952</v>
      </c>
      <c r="B5321" s="27" t="s">
        <v>200</v>
      </c>
      <c r="C5321" s="27" t="s">
        <v>54</v>
      </c>
      <c r="D5321" s="27" t="s">
        <v>7</v>
      </c>
      <c r="E5321" s="27" t="s">
        <v>17</v>
      </c>
      <c r="F5321" s="29"/>
      <c r="G5321" s="30">
        <f t="shared" si="97"/>
        <v>9.7622222222222224</v>
      </c>
    </row>
    <row r="5322" spans="1:7" hidden="1" x14ac:dyDescent="0.25">
      <c r="A5322" s="28">
        <v>43952</v>
      </c>
      <c r="B5322" s="27" t="s">
        <v>200</v>
      </c>
      <c r="C5322" s="27" t="s">
        <v>54</v>
      </c>
      <c r="D5322" s="27" t="s">
        <v>7</v>
      </c>
      <c r="E5322" s="27" t="s">
        <v>18</v>
      </c>
      <c r="F5322" s="29"/>
      <c r="G5322" s="30">
        <f t="shared" si="97"/>
        <v>9.7622222222222224</v>
      </c>
    </row>
    <row r="5323" spans="1:7" hidden="1" x14ac:dyDescent="0.25">
      <c r="A5323" s="28">
        <v>43952</v>
      </c>
      <c r="B5323" s="27" t="s">
        <v>200</v>
      </c>
      <c r="C5323" s="27" t="s">
        <v>54</v>
      </c>
      <c r="D5323" s="27" t="s">
        <v>7</v>
      </c>
      <c r="E5323" s="27" t="s">
        <v>19</v>
      </c>
      <c r="F5323" s="29"/>
      <c r="G5323" s="30">
        <f t="shared" si="97"/>
        <v>9.7622222222222224</v>
      </c>
    </row>
    <row r="5324" spans="1:7" hidden="1" x14ac:dyDescent="0.25">
      <c r="A5324" s="28">
        <v>43952</v>
      </c>
      <c r="B5324" s="27" t="s">
        <v>200</v>
      </c>
      <c r="C5324" s="27" t="s">
        <v>54</v>
      </c>
      <c r="D5324" s="27" t="s">
        <v>7</v>
      </c>
      <c r="E5324" s="27" t="s">
        <v>20</v>
      </c>
      <c r="F5324" s="29"/>
      <c r="G5324" s="30">
        <f t="shared" si="97"/>
        <v>9.7622222222222224</v>
      </c>
    </row>
    <row r="5325" spans="1:7" hidden="1" x14ac:dyDescent="0.25">
      <c r="A5325" s="28">
        <v>43952</v>
      </c>
      <c r="B5325" s="27" t="s">
        <v>200</v>
      </c>
      <c r="C5325" s="27" t="s">
        <v>54</v>
      </c>
      <c r="D5325" s="27" t="s">
        <v>7</v>
      </c>
      <c r="E5325" s="27" t="s">
        <v>38</v>
      </c>
      <c r="F5325" s="29"/>
      <c r="G5325" s="30">
        <f t="shared" si="97"/>
        <v>9.7622222222222224</v>
      </c>
    </row>
    <row r="5326" spans="1:7" hidden="1" x14ac:dyDescent="0.25">
      <c r="A5326" s="28">
        <v>43952</v>
      </c>
      <c r="B5326" s="27" t="s">
        <v>200</v>
      </c>
      <c r="C5326" s="27" t="s">
        <v>54</v>
      </c>
      <c r="D5326" s="27" t="s">
        <v>7</v>
      </c>
      <c r="E5326" s="27" t="s">
        <v>23</v>
      </c>
      <c r="F5326" s="29"/>
      <c r="G5326" s="30">
        <f t="shared" si="97"/>
        <v>9.7622222222222224</v>
      </c>
    </row>
    <row r="5327" spans="1:7" hidden="1" x14ac:dyDescent="0.25">
      <c r="A5327" s="28">
        <v>43952</v>
      </c>
      <c r="B5327" s="27" t="s">
        <v>200</v>
      </c>
      <c r="C5327" s="27" t="s">
        <v>54</v>
      </c>
      <c r="D5327" s="27" t="s">
        <v>7</v>
      </c>
      <c r="E5327" s="27" t="s">
        <v>37</v>
      </c>
      <c r="F5327" s="29"/>
      <c r="G5327" s="30">
        <f t="shared" si="97"/>
        <v>9.7622222222222224</v>
      </c>
    </row>
    <row r="5328" spans="1:7" hidden="1" x14ac:dyDescent="0.25">
      <c r="A5328" s="28">
        <v>43952</v>
      </c>
      <c r="B5328" s="27" t="s">
        <v>200</v>
      </c>
      <c r="C5328" s="27" t="s">
        <v>55</v>
      </c>
      <c r="D5328" s="27" t="s">
        <v>6</v>
      </c>
      <c r="E5328" s="27" t="s">
        <v>8</v>
      </c>
      <c r="F5328" s="29"/>
      <c r="G5328" s="30">
        <f t="shared" ref="G5328:G5342" si="98">21181.8836888889/18</f>
        <v>1176.7713160493834</v>
      </c>
    </row>
    <row r="5329" spans="1:7" hidden="1" x14ac:dyDescent="0.25">
      <c r="A5329" s="28">
        <v>43952</v>
      </c>
      <c r="B5329" s="27" t="s">
        <v>200</v>
      </c>
      <c r="C5329" s="27" t="s">
        <v>55</v>
      </c>
      <c r="D5329" s="27" t="s">
        <v>6</v>
      </c>
      <c r="E5329" s="27" t="s">
        <v>9</v>
      </c>
      <c r="F5329" s="29"/>
      <c r="G5329" s="30">
        <f t="shared" si="98"/>
        <v>1176.7713160493834</v>
      </c>
    </row>
    <row r="5330" spans="1:7" hidden="1" x14ac:dyDescent="0.25">
      <c r="A5330" s="28">
        <v>43952</v>
      </c>
      <c r="B5330" s="27" t="s">
        <v>200</v>
      </c>
      <c r="C5330" s="27" t="s">
        <v>55</v>
      </c>
      <c r="D5330" s="27" t="s">
        <v>6</v>
      </c>
      <c r="E5330" s="27" t="s">
        <v>22</v>
      </c>
      <c r="F5330" s="29"/>
      <c r="G5330" s="30">
        <f t="shared" si="98"/>
        <v>1176.7713160493834</v>
      </c>
    </row>
    <row r="5331" spans="1:7" hidden="1" x14ac:dyDescent="0.25">
      <c r="A5331" s="28">
        <v>43952</v>
      </c>
      <c r="B5331" s="27" t="s">
        <v>200</v>
      </c>
      <c r="C5331" s="27" t="s">
        <v>55</v>
      </c>
      <c r="D5331" s="27" t="s">
        <v>6</v>
      </c>
      <c r="E5331" s="27" t="s">
        <v>64</v>
      </c>
      <c r="F5331" s="29"/>
      <c r="G5331" s="30">
        <f t="shared" si="98"/>
        <v>1176.7713160493834</v>
      </c>
    </row>
    <row r="5332" spans="1:7" hidden="1" x14ac:dyDescent="0.25">
      <c r="A5332" s="28">
        <v>43952</v>
      </c>
      <c r="B5332" s="27" t="s">
        <v>200</v>
      </c>
      <c r="C5332" s="27" t="s">
        <v>55</v>
      </c>
      <c r="D5332" s="27" t="s">
        <v>6</v>
      </c>
      <c r="E5332" s="27" t="s">
        <v>21</v>
      </c>
      <c r="F5332" s="29"/>
      <c r="G5332" s="30">
        <f t="shared" si="98"/>
        <v>1176.7713160493834</v>
      </c>
    </row>
    <row r="5333" spans="1:7" hidden="1" x14ac:dyDescent="0.25">
      <c r="A5333" s="28">
        <v>43952</v>
      </c>
      <c r="B5333" s="27" t="s">
        <v>200</v>
      </c>
      <c r="C5333" s="27" t="s">
        <v>55</v>
      </c>
      <c r="D5333" s="27" t="s">
        <v>6</v>
      </c>
      <c r="E5333" s="27" t="s">
        <v>10</v>
      </c>
      <c r="F5333" s="29"/>
      <c r="G5333" s="30">
        <f t="shared" si="98"/>
        <v>1176.7713160493834</v>
      </c>
    </row>
    <row r="5334" spans="1:7" hidden="1" x14ac:dyDescent="0.25">
      <c r="A5334" s="28">
        <v>43952</v>
      </c>
      <c r="B5334" s="27" t="s">
        <v>200</v>
      </c>
      <c r="C5334" s="27" t="s">
        <v>55</v>
      </c>
      <c r="D5334" s="27" t="s">
        <v>6</v>
      </c>
      <c r="E5334" s="27" t="s">
        <v>11</v>
      </c>
      <c r="F5334" s="29"/>
      <c r="G5334" s="30">
        <f t="shared" si="98"/>
        <v>1176.7713160493834</v>
      </c>
    </row>
    <row r="5335" spans="1:7" hidden="1" x14ac:dyDescent="0.25">
      <c r="A5335" s="28">
        <v>43952</v>
      </c>
      <c r="B5335" s="27" t="s">
        <v>200</v>
      </c>
      <c r="C5335" s="27" t="s">
        <v>55</v>
      </c>
      <c r="D5335" s="27" t="s">
        <v>6</v>
      </c>
      <c r="E5335" s="27" t="s">
        <v>12</v>
      </c>
      <c r="F5335" s="29"/>
      <c r="G5335" s="30">
        <f t="shared" si="98"/>
        <v>1176.7713160493834</v>
      </c>
    </row>
    <row r="5336" spans="1:7" hidden="1" x14ac:dyDescent="0.25">
      <c r="A5336" s="28">
        <v>43952</v>
      </c>
      <c r="B5336" s="27" t="s">
        <v>200</v>
      </c>
      <c r="C5336" s="27" t="s">
        <v>55</v>
      </c>
      <c r="D5336" s="27" t="s">
        <v>6</v>
      </c>
      <c r="E5336" s="27" t="s">
        <v>13</v>
      </c>
      <c r="F5336" s="29"/>
      <c r="G5336" s="30">
        <f t="shared" si="98"/>
        <v>1176.7713160493834</v>
      </c>
    </row>
    <row r="5337" spans="1:7" hidden="1" x14ac:dyDescent="0.25">
      <c r="A5337" s="28">
        <v>43952</v>
      </c>
      <c r="B5337" s="27" t="s">
        <v>200</v>
      </c>
      <c r="C5337" s="27" t="s">
        <v>55</v>
      </c>
      <c r="D5337" s="27" t="s">
        <v>6</v>
      </c>
      <c r="E5337" s="27" t="s">
        <v>14</v>
      </c>
      <c r="F5337" s="29"/>
      <c r="G5337" s="30">
        <f t="shared" si="98"/>
        <v>1176.7713160493834</v>
      </c>
    </row>
    <row r="5338" spans="1:7" hidden="1" x14ac:dyDescent="0.25">
      <c r="A5338" s="28">
        <v>43952</v>
      </c>
      <c r="B5338" s="27" t="s">
        <v>200</v>
      </c>
      <c r="C5338" s="27" t="s">
        <v>55</v>
      </c>
      <c r="D5338" s="27" t="s">
        <v>6</v>
      </c>
      <c r="E5338" s="27" t="s">
        <v>15</v>
      </c>
      <c r="F5338" s="29"/>
      <c r="G5338" s="30">
        <f t="shared" si="98"/>
        <v>1176.7713160493834</v>
      </c>
    </row>
    <row r="5339" spans="1:7" hidden="1" x14ac:dyDescent="0.25">
      <c r="A5339" s="28">
        <v>43952</v>
      </c>
      <c r="B5339" s="27" t="s">
        <v>200</v>
      </c>
      <c r="C5339" s="27" t="s">
        <v>55</v>
      </c>
      <c r="D5339" s="27" t="s">
        <v>6</v>
      </c>
      <c r="E5339" s="27" t="s">
        <v>16</v>
      </c>
      <c r="F5339" s="29"/>
      <c r="G5339" s="30">
        <f t="shared" si="98"/>
        <v>1176.7713160493834</v>
      </c>
    </row>
    <row r="5340" spans="1:7" hidden="1" x14ac:dyDescent="0.25">
      <c r="A5340" s="28">
        <v>43952</v>
      </c>
      <c r="B5340" s="27" t="s">
        <v>200</v>
      </c>
      <c r="C5340" s="27" t="s">
        <v>55</v>
      </c>
      <c r="D5340" s="27" t="s">
        <v>6</v>
      </c>
      <c r="E5340" s="27" t="s">
        <v>17</v>
      </c>
      <c r="F5340" s="29"/>
      <c r="G5340" s="30">
        <f t="shared" si="98"/>
        <v>1176.7713160493834</v>
      </c>
    </row>
    <row r="5341" spans="1:7" hidden="1" x14ac:dyDescent="0.25">
      <c r="A5341" s="28">
        <v>43952</v>
      </c>
      <c r="B5341" s="27" t="s">
        <v>200</v>
      </c>
      <c r="C5341" s="27" t="s">
        <v>55</v>
      </c>
      <c r="D5341" s="27" t="s">
        <v>6</v>
      </c>
      <c r="E5341" s="27" t="s">
        <v>18</v>
      </c>
      <c r="F5341" s="29"/>
      <c r="G5341" s="30">
        <f t="shared" si="98"/>
        <v>1176.7713160493834</v>
      </c>
    </row>
    <row r="5342" spans="1:7" hidden="1" x14ac:dyDescent="0.25">
      <c r="A5342" s="28">
        <v>43952</v>
      </c>
      <c r="B5342" s="27" t="s">
        <v>200</v>
      </c>
      <c r="C5342" s="27" t="s">
        <v>55</v>
      </c>
      <c r="D5342" s="27" t="s">
        <v>6</v>
      </c>
      <c r="E5342" s="27" t="s">
        <v>19</v>
      </c>
      <c r="F5342" s="29"/>
      <c r="G5342" s="30">
        <f t="shared" si="98"/>
        <v>1176.7713160493834</v>
      </c>
    </row>
    <row r="5343" spans="1:7" hidden="1" x14ac:dyDescent="0.25">
      <c r="A5343" s="28">
        <v>43952</v>
      </c>
      <c r="B5343" s="27" t="s">
        <v>200</v>
      </c>
      <c r="C5343" s="27" t="s">
        <v>183</v>
      </c>
      <c r="D5343" s="27" t="s">
        <v>7</v>
      </c>
      <c r="E5343" s="27" t="s">
        <v>8</v>
      </c>
      <c r="F5343" s="29"/>
      <c r="G5343" s="30">
        <f t="shared" ref="G5343:G5360" si="99">1997.25/18</f>
        <v>110.95833333333333</v>
      </c>
    </row>
    <row r="5344" spans="1:7" hidden="1" x14ac:dyDescent="0.25">
      <c r="A5344" s="28">
        <v>43952</v>
      </c>
      <c r="B5344" s="27" t="s">
        <v>200</v>
      </c>
      <c r="C5344" s="27" t="s">
        <v>183</v>
      </c>
      <c r="D5344" s="27" t="s">
        <v>7</v>
      </c>
      <c r="E5344" s="27" t="s">
        <v>9</v>
      </c>
      <c r="F5344" s="29"/>
      <c r="G5344" s="30">
        <f t="shared" si="99"/>
        <v>110.95833333333333</v>
      </c>
    </row>
    <row r="5345" spans="1:7" hidden="1" x14ac:dyDescent="0.25">
      <c r="A5345" s="28">
        <v>43952</v>
      </c>
      <c r="B5345" s="27" t="s">
        <v>200</v>
      </c>
      <c r="C5345" s="27" t="s">
        <v>183</v>
      </c>
      <c r="D5345" s="27" t="s">
        <v>7</v>
      </c>
      <c r="E5345" s="27" t="s">
        <v>64</v>
      </c>
      <c r="F5345" s="29"/>
      <c r="G5345" s="30">
        <f t="shared" si="99"/>
        <v>110.95833333333333</v>
      </c>
    </row>
    <row r="5346" spans="1:7" hidden="1" x14ac:dyDescent="0.25">
      <c r="A5346" s="28">
        <v>43952</v>
      </c>
      <c r="B5346" s="27" t="s">
        <v>200</v>
      </c>
      <c r="C5346" s="27" t="s">
        <v>183</v>
      </c>
      <c r="D5346" s="27" t="s">
        <v>7</v>
      </c>
      <c r="E5346" s="27" t="s">
        <v>21</v>
      </c>
      <c r="F5346" s="29"/>
      <c r="G5346" s="30">
        <f t="shared" si="99"/>
        <v>110.95833333333333</v>
      </c>
    </row>
    <row r="5347" spans="1:7" hidden="1" x14ac:dyDescent="0.25">
      <c r="A5347" s="28">
        <v>43952</v>
      </c>
      <c r="B5347" s="27" t="s">
        <v>200</v>
      </c>
      <c r="C5347" s="27" t="s">
        <v>183</v>
      </c>
      <c r="D5347" s="27" t="s">
        <v>7</v>
      </c>
      <c r="E5347" s="27" t="s">
        <v>10</v>
      </c>
      <c r="F5347" s="29"/>
      <c r="G5347" s="30">
        <f t="shared" si="99"/>
        <v>110.95833333333333</v>
      </c>
    </row>
    <row r="5348" spans="1:7" hidden="1" x14ac:dyDescent="0.25">
      <c r="A5348" s="28">
        <v>43952</v>
      </c>
      <c r="B5348" s="27" t="s">
        <v>200</v>
      </c>
      <c r="C5348" s="27" t="s">
        <v>183</v>
      </c>
      <c r="D5348" s="27" t="s">
        <v>7</v>
      </c>
      <c r="E5348" s="27" t="s">
        <v>11</v>
      </c>
      <c r="F5348" s="29"/>
      <c r="G5348" s="30">
        <f t="shared" si="99"/>
        <v>110.95833333333333</v>
      </c>
    </row>
    <row r="5349" spans="1:7" hidden="1" x14ac:dyDescent="0.25">
      <c r="A5349" s="28">
        <v>43952</v>
      </c>
      <c r="B5349" s="27" t="s">
        <v>200</v>
      </c>
      <c r="C5349" s="27" t="s">
        <v>183</v>
      </c>
      <c r="D5349" s="27" t="s">
        <v>7</v>
      </c>
      <c r="E5349" s="27" t="s">
        <v>12</v>
      </c>
      <c r="F5349" s="29"/>
      <c r="G5349" s="30">
        <f t="shared" si="99"/>
        <v>110.95833333333333</v>
      </c>
    </row>
    <row r="5350" spans="1:7" hidden="1" x14ac:dyDescent="0.25">
      <c r="A5350" s="28">
        <v>43952</v>
      </c>
      <c r="B5350" s="27" t="s">
        <v>200</v>
      </c>
      <c r="C5350" s="27" t="s">
        <v>183</v>
      </c>
      <c r="D5350" s="27" t="s">
        <v>7</v>
      </c>
      <c r="E5350" s="27" t="s">
        <v>13</v>
      </c>
      <c r="F5350" s="29"/>
      <c r="G5350" s="30">
        <f t="shared" si="99"/>
        <v>110.95833333333333</v>
      </c>
    </row>
    <row r="5351" spans="1:7" hidden="1" x14ac:dyDescent="0.25">
      <c r="A5351" s="28">
        <v>43952</v>
      </c>
      <c r="B5351" s="27" t="s">
        <v>200</v>
      </c>
      <c r="C5351" s="27" t="s">
        <v>183</v>
      </c>
      <c r="D5351" s="27" t="s">
        <v>7</v>
      </c>
      <c r="E5351" s="27" t="s">
        <v>14</v>
      </c>
      <c r="F5351" s="29"/>
      <c r="G5351" s="30">
        <f t="shared" si="99"/>
        <v>110.95833333333333</v>
      </c>
    </row>
    <row r="5352" spans="1:7" hidden="1" x14ac:dyDescent="0.25">
      <c r="A5352" s="28">
        <v>43952</v>
      </c>
      <c r="B5352" s="27" t="s">
        <v>200</v>
      </c>
      <c r="C5352" s="27" t="s">
        <v>183</v>
      </c>
      <c r="D5352" s="27" t="s">
        <v>7</v>
      </c>
      <c r="E5352" s="27" t="s">
        <v>15</v>
      </c>
      <c r="F5352" s="29"/>
      <c r="G5352" s="30">
        <f t="shared" si="99"/>
        <v>110.95833333333333</v>
      </c>
    </row>
    <row r="5353" spans="1:7" hidden="1" x14ac:dyDescent="0.25">
      <c r="A5353" s="28">
        <v>43952</v>
      </c>
      <c r="B5353" s="27" t="s">
        <v>200</v>
      </c>
      <c r="C5353" s="27" t="s">
        <v>183</v>
      </c>
      <c r="D5353" s="27" t="s">
        <v>7</v>
      </c>
      <c r="E5353" s="27" t="s">
        <v>16</v>
      </c>
      <c r="F5353" s="29"/>
      <c r="G5353" s="30">
        <f t="shared" si="99"/>
        <v>110.95833333333333</v>
      </c>
    </row>
    <row r="5354" spans="1:7" hidden="1" x14ac:dyDescent="0.25">
      <c r="A5354" s="28">
        <v>43952</v>
      </c>
      <c r="B5354" s="27" t="s">
        <v>200</v>
      </c>
      <c r="C5354" s="27" t="s">
        <v>183</v>
      </c>
      <c r="D5354" s="27" t="s">
        <v>7</v>
      </c>
      <c r="E5354" s="27" t="s">
        <v>17</v>
      </c>
      <c r="F5354" s="29"/>
      <c r="G5354" s="30">
        <f t="shared" si="99"/>
        <v>110.95833333333333</v>
      </c>
    </row>
    <row r="5355" spans="1:7" hidden="1" x14ac:dyDescent="0.25">
      <c r="A5355" s="28">
        <v>43952</v>
      </c>
      <c r="B5355" s="27" t="s">
        <v>200</v>
      </c>
      <c r="C5355" s="27" t="s">
        <v>183</v>
      </c>
      <c r="D5355" s="27" t="s">
        <v>7</v>
      </c>
      <c r="E5355" s="27" t="s">
        <v>18</v>
      </c>
      <c r="F5355" s="29"/>
      <c r="G5355" s="30">
        <f t="shared" si="99"/>
        <v>110.95833333333333</v>
      </c>
    </row>
    <row r="5356" spans="1:7" hidden="1" x14ac:dyDescent="0.25">
      <c r="A5356" s="28">
        <v>43952</v>
      </c>
      <c r="B5356" s="27" t="s">
        <v>200</v>
      </c>
      <c r="C5356" s="27" t="s">
        <v>183</v>
      </c>
      <c r="D5356" s="27" t="s">
        <v>7</v>
      </c>
      <c r="E5356" s="27" t="s">
        <v>19</v>
      </c>
      <c r="F5356" s="29"/>
      <c r="G5356" s="30">
        <f t="shared" si="99"/>
        <v>110.95833333333333</v>
      </c>
    </row>
    <row r="5357" spans="1:7" hidden="1" x14ac:dyDescent="0.25">
      <c r="A5357" s="28">
        <v>43952</v>
      </c>
      <c r="B5357" s="27" t="s">
        <v>200</v>
      </c>
      <c r="C5357" s="27" t="s">
        <v>183</v>
      </c>
      <c r="D5357" s="27" t="s">
        <v>7</v>
      </c>
      <c r="E5357" s="27" t="s">
        <v>20</v>
      </c>
      <c r="F5357" s="29"/>
      <c r="G5357" s="30">
        <f t="shared" si="99"/>
        <v>110.95833333333333</v>
      </c>
    </row>
    <row r="5358" spans="1:7" hidden="1" x14ac:dyDescent="0.25">
      <c r="A5358" s="28">
        <v>43952</v>
      </c>
      <c r="B5358" s="27" t="s">
        <v>200</v>
      </c>
      <c r="C5358" s="27" t="s">
        <v>183</v>
      </c>
      <c r="D5358" s="27" t="s">
        <v>7</v>
      </c>
      <c r="E5358" s="27" t="s">
        <v>38</v>
      </c>
      <c r="F5358" s="29"/>
      <c r="G5358" s="30">
        <f t="shared" si="99"/>
        <v>110.95833333333333</v>
      </c>
    </row>
    <row r="5359" spans="1:7" hidden="1" x14ac:dyDescent="0.25">
      <c r="A5359" s="28">
        <v>43952</v>
      </c>
      <c r="B5359" s="27" t="s">
        <v>200</v>
      </c>
      <c r="C5359" s="27" t="s">
        <v>183</v>
      </c>
      <c r="D5359" s="27" t="s">
        <v>7</v>
      </c>
      <c r="E5359" s="27" t="s">
        <v>23</v>
      </c>
      <c r="F5359" s="29"/>
      <c r="G5359" s="30">
        <f t="shared" si="99"/>
        <v>110.95833333333333</v>
      </c>
    </row>
    <row r="5360" spans="1:7" hidden="1" x14ac:dyDescent="0.25">
      <c r="A5360" s="28">
        <v>43952</v>
      </c>
      <c r="B5360" s="27" t="s">
        <v>200</v>
      </c>
      <c r="C5360" s="27" t="s">
        <v>183</v>
      </c>
      <c r="D5360" s="27" t="s">
        <v>7</v>
      </c>
      <c r="E5360" s="27" t="s">
        <v>37</v>
      </c>
      <c r="F5360" s="29"/>
      <c r="G5360" s="30">
        <f t="shared" si="99"/>
        <v>110.95833333333333</v>
      </c>
    </row>
    <row r="5361" spans="1:7" hidden="1" x14ac:dyDescent="0.25">
      <c r="A5361" s="28">
        <v>43952</v>
      </c>
      <c r="B5361" s="27" t="s">
        <v>200</v>
      </c>
      <c r="C5361" s="27" t="s">
        <v>56</v>
      </c>
      <c r="D5361" s="27" t="s">
        <v>6</v>
      </c>
      <c r="E5361" s="27" t="s">
        <v>8</v>
      </c>
      <c r="F5361" s="29"/>
      <c r="G5361" s="30">
        <f t="shared" ref="G5361:G5378" si="100">38158.1331555556/18</f>
        <v>2119.8962864197556</v>
      </c>
    </row>
    <row r="5362" spans="1:7" hidden="1" x14ac:dyDescent="0.25">
      <c r="A5362" s="28">
        <v>43952</v>
      </c>
      <c r="B5362" s="27" t="s">
        <v>200</v>
      </c>
      <c r="C5362" s="27" t="s">
        <v>56</v>
      </c>
      <c r="D5362" s="27" t="s">
        <v>6</v>
      </c>
      <c r="E5362" s="27" t="s">
        <v>9</v>
      </c>
      <c r="F5362" s="29"/>
      <c r="G5362" s="30">
        <f t="shared" si="100"/>
        <v>2119.8962864197556</v>
      </c>
    </row>
    <row r="5363" spans="1:7" hidden="1" x14ac:dyDescent="0.25">
      <c r="A5363" s="28">
        <v>43952</v>
      </c>
      <c r="B5363" s="27" t="s">
        <v>200</v>
      </c>
      <c r="C5363" s="27" t="s">
        <v>56</v>
      </c>
      <c r="D5363" s="27" t="s">
        <v>6</v>
      </c>
      <c r="E5363" s="27" t="s">
        <v>22</v>
      </c>
      <c r="F5363" s="29"/>
      <c r="G5363" s="30">
        <f t="shared" si="100"/>
        <v>2119.8962864197556</v>
      </c>
    </row>
    <row r="5364" spans="1:7" hidden="1" x14ac:dyDescent="0.25">
      <c r="A5364" s="28">
        <v>43952</v>
      </c>
      <c r="B5364" s="27" t="s">
        <v>200</v>
      </c>
      <c r="C5364" s="27" t="s">
        <v>56</v>
      </c>
      <c r="D5364" s="27" t="s">
        <v>6</v>
      </c>
      <c r="E5364" s="27" t="s">
        <v>64</v>
      </c>
      <c r="F5364" s="29"/>
      <c r="G5364" s="30">
        <f t="shared" si="100"/>
        <v>2119.8962864197556</v>
      </c>
    </row>
    <row r="5365" spans="1:7" hidden="1" x14ac:dyDescent="0.25">
      <c r="A5365" s="28">
        <v>43952</v>
      </c>
      <c r="B5365" s="27" t="s">
        <v>200</v>
      </c>
      <c r="C5365" s="27" t="s">
        <v>56</v>
      </c>
      <c r="D5365" s="27" t="s">
        <v>6</v>
      </c>
      <c r="E5365" s="27" t="s">
        <v>21</v>
      </c>
      <c r="F5365" s="29"/>
      <c r="G5365" s="30">
        <f t="shared" si="100"/>
        <v>2119.8962864197556</v>
      </c>
    </row>
    <row r="5366" spans="1:7" hidden="1" x14ac:dyDescent="0.25">
      <c r="A5366" s="28">
        <v>43952</v>
      </c>
      <c r="B5366" s="27" t="s">
        <v>200</v>
      </c>
      <c r="C5366" s="27" t="s">
        <v>56</v>
      </c>
      <c r="D5366" s="27" t="s">
        <v>6</v>
      </c>
      <c r="E5366" s="27" t="s">
        <v>10</v>
      </c>
      <c r="F5366" s="29"/>
      <c r="G5366" s="30">
        <f t="shared" si="100"/>
        <v>2119.8962864197556</v>
      </c>
    </row>
    <row r="5367" spans="1:7" hidden="1" x14ac:dyDescent="0.25">
      <c r="A5367" s="28">
        <v>43952</v>
      </c>
      <c r="B5367" s="27" t="s">
        <v>200</v>
      </c>
      <c r="C5367" s="27" t="s">
        <v>56</v>
      </c>
      <c r="D5367" s="27" t="s">
        <v>6</v>
      </c>
      <c r="E5367" s="27" t="s">
        <v>11</v>
      </c>
      <c r="F5367" s="29"/>
      <c r="G5367" s="30">
        <f t="shared" si="100"/>
        <v>2119.8962864197556</v>
      </c>
    </row>
    <row r="5368" spans="1:7" hidden="1" x14ac:dyDescent="0.25">
      <c r="A5368" s="28">
        <v>43952</v>
      </c>
      <c r="B5368" s="27" t="s">
        <v>200</v>
      </c>
      <c r="C5368" s="27" t="s">
        <v>56</v>
      </c>
      <c r="D5368" s="27" t="s">
        <v>6</v>
      </c>
      <c r="E5368" s="27" t="s">
        <v>12</v>
      </c>
      <c r="F5368" s="29"/>
      <c r="G5368" s="30">
        <f t="shared" si="100"/>
        <v>2119.8962864197556</v>
      </c>
    </row>
    <row r="5369" spans="1:7" hidden="1" x14ac:dyDescent="0.25">
      <c r="A5369" s="28">
        <v>43952</v>
      </c>
      <c r="B5369" s="27" t="s">
        <v>200</v>
      </c>
      <c r="C5369" s="27" t="s">
        <v>56</v>
      </c>
      <c r="D5369" s="27" t="s">
        <v>6</v>
      </c>
      <c r="E5369" s="27" t="s">
        <v>13</v>
      </c>
      <c r="F5369" s="29"/>
      <c r="G5369" s="30">
        <f t="shared" si="100"/>
        <v>2119.8962864197556</v>
      </c>
    </row>
    <row r="5370" spans="1:7" hidden="1" x14ac:dyDescent="0.25">
      <c r="A5370" s="28">
        <v>43952</v>
      </c>
      <c r="B5370" s="27" t="s">
        <v>200</v>
      </c>
      <c r="C5370" s="27" t="s">
        <v>56</v>
      </c>
      <c r="D5370" s="27" t="s">
        <v>6</v>
      </c>
      <c r="E5370" s="27" t="s">
        <v>14</v>
      </c>
      <c r="F5370" s="29"/>
      <c r="G5370" s="30">
        <f t="shared" si="100"/>
        <v>2119.8962864197556</v>
      </c>
    </row>
    <row r="5371" spans="1:7" hidden="1" x14ac:dyDescent="0.25">
      <c r="A5371" s="28">
        <v>43952</v>
      </c>
      <c r="B5371" s="27" t="s">
        <v>200</v>
      </c>
      <c r="C5371" s="27" t="s">
        <v>56</v>
      </c>
      <c r="D5371" s="27" t="s">
        <v>6</v>
      </c>
      <c r="E5371" s="27" t="s">
        <v>15</v>
      </c>
      <c r="F5371" s="29"/>
      <c r="G5371" s="30">
        <f t="shared" si="100"/>
        <v>2119.8962864197556</v>
      </c>
    </row>
    <row r="5372" spans="1:7" hidden="1" x14ac:dyDescent="0.25">
      <c r="A5372" s="28">
        <v>43952</v>
      </c>
      <c r="B5372" s="27" t="s">
        <v>200</v>
      </c>
      <c r="C5372" s="27" t="s">
        <v>56</v>
      </c>
      <c r="D5372" s="27" t="s">
        <v>6</v>
      </c>
      <c r="E5372" s="27" t="s">
        <v>16</v>
      </c>
      <c r="F5372" s="29"/>
      <c r="G5372" s="30">
        <f t="shared" si="100"/>
        <v>2119.8962864197556</v>
      </c>
    </row>
    <row r="5373" spans="1:7" hidden="1" x14ac:dyDescent="0.25">
      <c r="A5373" s="28">
        <v>43952</v>
      </c>
      <c r="B5373" s="27" t="s">
        <v>200</v>
      </c>
      <c r="C5373" s="27" t="s">
        <v>56</v>
      </c>
      <c r="D5373" s="27" t="s">
        <v>6</v>
      </c>
      <c r="E5373" s="27" t="s">
        <v>17</v>
      </c>
      <c r="F5373" s="29"/>
      <c r="G5373" s="30">
        <f t="shared" si="100"/>
        <v>2119.8962864197556</v>
      </c>
    </row>
    <row r="5374" spans="1:7" hidden="1" x14ac:dyDescent="0.25">
      <c r="A5374" s="28">
        <v>43952</v>
      </c>
      <c r="B5374" s="27" t="s">
        <v>200</v>
      </c>
      <c r="C5374" s="27" t="s">
        <v>56</v>
      </c>
      <c r="D5374" s="27" t="s">
        <v>6</v>
      </c>
      <c r="E5374" s="27" t="s">
        <v>18</v>
      </c>
      <c r="F5374" s="29"/>
      <c r="G5374" s="30">
        <f t="shared" si="100"/>
        <v>2119.8962864197556</v>
      </c>
    </row>
    <row r="5375" spans="1:7" hidden="1" x14ac:dyDescent="0.25">
      <c r="A5375" s="28">
        <v>43952</v>
      </c>
      <c r="B5375" s="27" t="s">
        <v>200</v>
      </c>
      <c r="C5375" s="27" t="s">
        <v>56</v>
      </c>
      <c r="D5375" s="27" t="s">
        <v>6</v>
      </c>
      <c r="E5375" s="27" t="s">
        <v>19</v>
      </c>
      <c r="F5375" s="29"/>
      <c r="G5375" s="30">
        <f t="shared" si="100"/>
        <v>2119.8962864197556</v>
      </c>
    </row>
    <row r="5376" spans="1:7" hidden="1" x14ac:dyDescent="0.25">
      <c r="A5376" s="28">
        <v>43952</v>
      </c>
      <c r="B5376" s="27" t="s">
        <v>200</v>
      </c>
      <c r="C5376" s="27" t="s">
        <v>56</v>
      </c>
      <c r="D5376" s="27" t="s">
        <v>6</v>
      </c>
      <c r="E5376" s="27" t="s">
        <v>20</v>
      </c>
      <c r="F5376" s="29"/>
      <c r="G5376" s="30">
        <f t="shared" si="100"/>
        <v>2119.8962864197556</v>
      </c>
    </row>
    <row r="5377" spans="1:7" hidden="1" x14ac:dyDescent="0.25">
      <c r="A5377" s="28">
        <v>43952</v>
      </c>
      <c r="B5377" s="27" t="s">
        <v>200</v>
      </c>
      <c r="C5377" s="27" t="s">
        <v>56</v>
      </c>
      <c r="D5377" s="27" t="s">
        <v>6</v>
      </c>
      <c r="E5377" s="27" t="s">
        <v>38</v>
      </c>
      <c r="F5377" s="29"/>
      <c r="G5377" s="30">
        <f t="shared" si="100"/>
        <v>2119.8962864197556</v>
      </c>
    </row>
    <row r="5378" spans="1:7" hidden="1" x14ac:dyDescent="0.25">
      <c r="A5378" s="28">
        <v>43952</v>
      </c>
      <c r="B5378" s="27" t="s">
        <v>200</v>
      </c>
      <c r="C5378" s="27" t="s">
        <v>56</v>
      </c>
      <c r="D5378" s="27" t="s">
        <v>6</v>
      </c>
      <c r="E5378" s="27" t="s">
        <v>23</v>
      </c>
      <c r="F5378" s="29"/>
      <c r="G5378" s="30">
        <f t="shared" si="100"/>
        <v>2119.8962864197556</v>
      </c>
    </row>
    <row r="5379" spans="1:7" hidden="1" x14ac:dyDescent="0.25">
      <c r="A5379" s="28">
        <v>43952</v>
      </c>
      <c r="B5379" s="27" t="s">
        <v>200</v>
      </c>
      <c r="C5379" s="27" t="s">
        <v>182</v>
      </c>
      <c r="D5379" s="27" t="s">
        <v>7</v>
      </c>
      <c r="E5379" s="27" t="s">
        <v>8</v>
      </c>
      <c r="F5379" s="29"/>
      <c r="G5379" s="30">
        <f t="shared" ref="G5379:G5396" si="101">2719.26/18</f>
        <v>151.07000000000002</v>
      </c>
    </row>
    <row r="5380" spans="1:7" hidden="1" x14ac:dyDescent="0.25">
      <c r="A5380" s="28">
        <v>43952</v>
      </c>
      <c r="B5380" s="27" t="s">
        <v>200</v>
      </c>
      <c r="C5380" s="27" t="s">
        <v>182</v>
      </c>
      <c r="D5380" s="27" t="s">
        <v>7</v>
      </c>
      <c r="E5380" s="27" t="s">
        <v>9</v>
      </c>
      <c r="F5380" s="29"/>
      <c r="G5380" s="30">
        <f t="shared" si="101"/>
        <v>151.07000000000002</v>
      </c>
    </row>
    <row r="5381" spans="1:7" hidden="1" x14ac:dyDescent="0.25">
      <c r="A5381" s="28">
        <v>43952</v>
      </c>
      <c r="B5381" s="27" t="s">
        <v>200</v>
      </c>
      <c r="C5381" s="27" t="s">
        <v>182</v>
      </c>
      <c r="D5381" s="27" t="s">
        <v>7</v>
      </c>
      <c r="E5381" s="27" t="s">
        <v>64</v>
      </c>
      <c r="F5381" s="29"/>
      <c r="G5381" s="30">
        <f t="shared" si="101"/>
        <v>151.07000000000002</v>
      </c>
    </row>
    <row r="5382" spans="1:7" hidden="1" x14ac:dyDescent="0.25">
      <c r="A5382" s="28">
        <v>43952</v>
      </c>
      <c r="B5382" s="27" t="s">
        <v>200</v>
      </c>
      <c r="C5382" s="27" t="s">
        <v>182</v>
      </c>
      <c r="D5382" s="27" t="s">
        <v>7</v>
      </c>
      <c r="E5382" s="27" t="s">
        <v>21</v>
      </c>
      <c r="F5382" s="29"/>
      <c r="G5382" s="30">
        <f t="shared" si="101"/>
        <v>151.07000000000002</v>
      </c>
    </row>
    <row r="5383" spans="1:7" hidden="1" x14ac:dyDescent="0.25">
      <c r="A5383" s="28">
        <v>43952</v>
      </c>
      <c r="B5383" s="27" t="s">
        <v>200</v>
      </c>
      <c r="C5383" s="27" t="s">
        <v>182</v>
      </c>
      <c r="D5383" s="27" t="s">
        <v>7</v>
      </c>
      <c r="E5383" s="27" t="s">
        <v>10</v>
      </c>
      <c r="F5383" s="29"/>
      <c r="G5383" s="30">
        <f t="shared" si="101"/>
        <v>151.07000000000002</v>
      </c>
    </row>
    <row r="5384" spans="1:7" hidden="1" x14ac:dyDescent="0.25">
      <c r="A5384" s="28">
        <v>43952</v>
      </c>
      <c r="B5384" s="27" t="s">
        <v>200</v>
      </c>
      <c r="C5384" s="27" t="s">
        <v>182</v>
      </c>
      <c r="D5384" s="27" t="s">
        <v>7</v>
      </c>
      <c r="E5384" s="27" t="s">
        <v>11</v>
      </c>
      <c r="F5384" s="29"/>
      <c r="G5384" s="30">
        <f t="shared" si="101"/>
        <v>151.07000000000002</v>
      </c>
    </row>
    <row r="5385" spans="1:7" hidden="1" x14ac:dyDescent="0.25">
      <c r="A5385" s="28">
        <v>43952</v>
      </c>
      <c r="B5385" s="27" t="s">
        <v>200</v>
      </c>
      <c r="C5385" s="27" t="s">
        <v>182</v>
      </c>
      <c r="D5385" s="27" t="s">
        <v>7</v>
      </c>
      <c r="E5385" s="27" t="s">
        <v>12</v>
      </c>
      <c r="F5385" s="29"/>
      <c r="G5385" s="30">
        <f t="shared" si="101"/>
        <v>151.07000000000002</v>
      </c>
    </row>
    <row r="5386" spans="1:7" hidden="1" x14ac:dyDescent="0.25">
      <c r="A5386" s="28">
        <v>43952</v>
      </c>
      <c r="B5386" s="27" t="s">
        <v>200</v>
      </c>
      <c r="C5386" s="27" t="s">
        <v>182</v>
      </c>
      <c r="D5386" s="27" t="s">
        <v>7</v>
      </c>
      <c r="E5386" s="27" t="s">
        <v>13</v>
      </c>
      <c r="F5386" s="29"/>
      <c r="G5386" s="30">
        <f t="shared" si="101"/>
        <v>151.07000000000002</v>
      </c>
    </row>
    <row r="5387" spans="1:7" hidden="1" x14ac:dyDescent="0.25">
      <c r="A5387" s="28">
        <v>43952</v>
      </c>
      <c r="B5387" s="27" t="s">
        <v>200</v>
      </c>
      <c r="C5387" s="27" t="s">
        <v>182</v>
      </c>
      <c r="D5387" s="27" t="s">
        <v>7</v>
      </c>
      <c r="E5387" s="27" t="s">
        <v>14</v>
      </c>
      <c r="F5387" s="29"/>
      <c r="G5387" s="30">
        <f t="shared" si="101"/>
        <v>151.07000000000002</v>
      </c>
    </row>
    <row r="5388" spans="1:7" hidden="1" x14ac:dyDescent="0.25">
      <c r="A5388" s="28">
        <v>43952</v>
      </c>
      <c r="B5388" s="27" t="s">
        <v>200</v>
      </c>
      <c r="C5388" s="27" t="s">
        <v>182</v>
      </c>
      <c r="D5388" s="27" t="s">
        <v>7</v>
      </c>
      <c r="E5388" s="27" t="s">
        <v>15</v>
      </c>
      <c r="F5388" s="29"/>
      <c r="G5388" s="30">
        <f t="shared" si="101"/>
        <v>151.07000000000002</v>
      </c>
    </row>
    <row r="5389" spans="1:7" hidden="1" x14ac:dyDescent="0.25">
      <c r="A5389" s="28">
        <v>43952</v>
      </c>
      <c r="B5389" s="27" t="s">
        <v>200</v>
      </c>
      <c r="C5389" s="27" t="s">
        <v>182</v>
      </c>
      <c r="D5389" s="27" t="s">
        <v>7</v>
      </c>
      <c r="E5389" s="27" t="s">
        <v>16</v>
      </c>
      <c r="F5389" s="29"/>
      <c r="G5389" s="30">
        <f t="shared" si="101"/>
        <v>151.07000000000002</v>
      </c>
    </row>
    <row r="5390" spans="1:7" hidden="1" x14ac:dyDescent="0.25">
      <c r="A5390" s="28">
        <v>43952</v>
      </c>
      <c r="B5390" s="27" t="s">
        <v>200</v>
      </c>
      <c r="C5390" s="27" t="s">
        <v>182</v>
      </c>
      <c r="D5390" s="27" t="s">
        <v>7</v>
      </c>
      <c r="E5390" s="27" t="s">
        <v>17</v>
      </c>
      <c r="F5390" s="29"/>
      <c r="G5390" s="30">
        <f t="shared" si="101"/>
        <v>151.07000000000002</v>
      </c>
    </row>
    <row r="5391" spans="1:7" hidden="1" x14ac:dyDescent="0.25">
      <c r="A5391" s="28">
        <v>43952</v>
      </c>
      <c r="B5391" s="27" t="s">
        <v>200</v>
      </c>
      <c r="C5391" s="27" t="s">
        <v>182</v>
      </c>
      <c r="D5391" s="27" t="s">
        <v>7</v>
      </c>
      <c r="E5391" s="27" t="s">
        <v>18</v>
      </c>
      <c r="F5391" s="29"/>
      <c r="G5391" s="30">
        <f t="shared" si="101"/>
        <v>151.07000000000002</v>
      </c>
    </row>
    <row r="5392" spans="1:7" hidden="1" x14ac:dyDescent="0.25">
      <c r="A5392" s="28">
        <v>43952</v>
      </c>
      <c r="B5392" s="27" t="s">
        <v>200</v>
      </c>
      <c r="C5392" s="27" t="s">
        <v>182</v>
      </c>
      <c r="D5392" s="27" t="s">
        <v>7</v>
      </c>
      <c r="E5392" s="27" t="s">
        <v>19</v>
      </c>
      <c r="F5392" s="29"/>
      <c r="G5392" s="30">
        <f t="shared" si="101"/>
        <v>151.07000000000002</v>
      </c>
    </row>
    <row r="5393" spans="1:7" hidden="1" x14ac:dyDescent="0.25">
      <c r="A5393" s="28">
        <v>43952</v>
      </c>
      <c r="B5393" s="27" t="s">
        <v>200</v>
      </c>
      <c r="C5393" s="27" t="s">
        <v>182</v>
      </c>
      <c r="D5393" s="27" t="s">
        <v>7</v>
      </c>
      <c r="E5393" s="27" t="s">
        <v>20</v>
      </c>
      <c r="F5393" s="29"/>
      <c r="G5393" s="30">
        <f t="shared" si="101"/>
        <v>151.07000000000002</v>
      </c>
    </row>
    <row r="5394" spans="1:7" hidden="1" x14ac:dyDescent="0.25">
      <c r="A5394" s="28">
        <v>43952</v>
      </c>
      <c r="B5394" s="27" t="s">
        <v>200</v>
      </c>
      <c r="C5394" s="27" t="s">
        <v>182</v>
      </c>
      <c r="D5394" s="27" t="s">
        <v>7</v>
      </c>
      <c r="E5394" s="27" t="s">
        <v>38</v>
      </c>
      <c r="F5394" s="29"/>
      <c r="G5394" s="30">
        <f t="shared" si="101"/>
        <v>151.07000000000002</v>
      </c>
    </row>
    <row r="5395" spans="1:7" hidden="1" x14ac:dyDescent="0.25">
      <c r="A5395" s="28">
        <v>43952</v>
      </c>
      <c r="B5395" s="27" t="s">
        <v>200</v>
      </c>
      <c r="C5395" s="27" t="s">
        <v>182</v>
      </c>
      <c r="D5395" s="27" t="s">
        <v>7</v>
      </c>
      <c r="E5395" s="27" t="s">
        <v>23</v>
      </c>
      <c r="F5395" s="29"/>
      <c r="G5395" s="30">
        <f t="shared" si="101"/>
        <v>151.07000000000002</v>
      </c>
    </row>
    <row r="5396" spans="1:7" hidden="1" x14ac:dyDescent="0.25">
      <c r="A5396" s="28">
        <v>43952</v>
      </c>
      <c r="B5396" s="27" t="s">
        <v>200</v>
      </c>
      <c r="C5396" s="27" t="s">
        <v>182</v>
      </c>
      <c r="D5396" s="27" t="s">
        <v>7</v>
      </c>
      <c r="E5396" s="27" t="s">
        <v>37</v>
      </c>
      <c r="F5396" s="29"/>
      <c r="G5396" s="30">
        <f t="shared" si="101"/>
        <v>151.07000000000002</v>
      </c>
    </row>
    <row r="5397" spans="1:7" hidden="1" x14ac:dyDescent="0.25">
      <c r="A5397" s="28">
        <v>43952</v>
      </c>
      <c r="B5397" s="27" t="s">
        <v>35</v>
      </c>
      <c r="C5397" s="27" t="s">
        <v>50</v>
      </c>
      <c r="D5397" s="27" t="s">
        <v>6</v>
      </c>
      <c r="E5397" s="27" t="s">
        <v>8</v>
      </c>
      <c r="F5397" s="29"/>
      <c r="G5397" s="30">
        <v>460.80944444444441</v>
      </c>
    </row>
    <row r="5398" spans="1:7" hidden="1" x14ac:dyDescent="0.25">
      <c r="A5398" s="28">
        <v>43952</v>
      </c>
      <c r="B5398" s="27" t="s">
        <v>35</v>
      </c>
      <c r="C5398" s="27" t="s">
        <v>50</v>
      </c>
      <c r="D5398" s="27" t="s">
        <v>6</v>
      </c>
      <c r="E5398" s="27" t="s">
        <v>9</v>
      </c>
      <c r="F5398" s="29"/>
      <c r="G5398" s="30">
        <v>460.80944444444441</v>
      </c>
    </row>
    <row r="5399" spans="1:7" hidden="1" x14ac:dyDescent="0.25">
      <c r="A5399" s="28">
        <v>43952</v>
      </c>
      <c r="B5399" s="27" t="s">
        <v>35</v>
      </c>
      <c r="C5399" s="27" t="s">
        <v>50</v>
      </c>
      <c r="D5399" s="27" t="s">
        <v>6</v>
      </c>
      <c r="E5399" s="27" t="s">
        <v>22</v>
      </c>
      <c r="F5399" s="29"/>
      <c r="G5399" s="30">
        <v>460.80944444444441</v>
      </c>
    </row>
    <row r="5400" spans="1:7" hidden="1" x14ac:dyDescent="0.25">
      <c r="A5400" s="28">
        <v>43952</v>
      </c>
      <c r="B5400" s="27" t="s">
        <v>35</v>
      </c>
      <c r="C5400" s="27" t="s">
        <v>50</v>
      </c>
      <c r="D5400" s="27" t="s">
        <v>6</v>
      </c>
      <c r="E5400" s="27" t="s">
        <v>64</v>
      </c>
      <c r="F5400" s="29"/>
      <c r="G5400" s="30">
        <v>460.80944444444441</v>
      </c>
    </row>
    <row r="5401" spans="1:7" hidden="1" x14ac:dyDescent="0.25">
      <c r="A5401" s="28">
        <v>43952</v>
      </c>
      <c r="B5401" s="27" t="s">
        <v>35</v>
      </c>
      <c r="C5401" s="27" t="s">
        <v>50</v>
      </c>
      <c r="D5401" s="27" t="s">
        <v>6</v>
      </c>
      <c r="E5401" s="27" t="s">
        <v>21</v>
      </c>
      <c r="F5401" s="29"/>
      <c r="G5401" s="30">
        <v>460.80944444444441</v>
      </c>
    </row>
    <row r="5402" spans="1:7" hidden="1" x14ac:dyDescent="0.25">
      <c r="A5402" s="28">
        <v>43952</v>
      </c>
      <c r="B5402" s="27" t="s">
        <v>35</v>
      </c>
      <c r="C5402" s="27" t="s">
        <v>50</v>
      </c>
      <c r="D5402" s="27" t="s">
        <v>6</v>
      </c>
      <c r="E5402" s="27" t="s">
        <v>10</v>
      </c>
      <c r="F5402" s="29"/>
      <c r="G5402" s="30">
        <v>460.80944444444441</v>
      </c>
    </row>
    <row r="5403" spans="1:7" hidden="1" x14ac:dyDescent="0.25">
      <c r="A5403" s="28">
        <v>43952</v>
      </c>
      <c r="B5403" s="27" t="s">
        <v>35</v>
      </c>
      <c r="C5403" s="27" t="s">
        <v>50</v>
      </c>
      <c r="D5403" s="27" t="s">
        <v>6</v>
      </c>
      <c r="E5403" s="27" t="s">
        <v>11</v>
      </c>
      <c r="F5403" s="29"/>
      <c r="G5403" s="30">
        <v>460.80944444444441</v>
      </c>
    </row>
    <row r="5404" spans="1:7" hidden="1" x14ac:dyDescent="0.25">
      <c r="A5404" s="28">
        <v>43952</v>
      </c>
      <c r="B5404" s="27" t="s">
        <v>35</v>
      </c>
      <c r="C5404" s="27" t="s">
        <v>50</v>
      </c>
      <c r="D5404" s="27" t="s">
        <v>6</v>
      </c>
      <c r="E5404" s="27" t="s">
        <v>12</v>
      </c>
      <c r="F5404" s="29"/>
      <c r="G5404" s="30">
        <v>460.80944444444441</v>
      </c>
    </row>
    <row r="5405" spans="1:7" hidden="1" x14ac:dyDescent="0.25">
      <c r="A5405" s="28">
        <v>43952</v>
      </c>
      <c r="B5405" s="27" t="s">
        <v>35</v>
      </c>
      <c r="C5405" s="27" t="s">
        <v>50</v>
      </c>
      <c r="D5405" s="27" t="s">
        <v>6</v>
      </c>
      <c r="E5405" s="27" t="s">
        <v>13</v>
      </c>
      <c r="F5405" s="29"/>
      <c r="G5405" s="30">
        <v>460.80944444444441</v>
      </c>
    </row>
    <row r="5406" spans="1:7" hidden="1" x14ac:dyDescent="0.25">
      <c r="A5406" s="28">
        <v>43952</v>
      </c>
      <c r="B5406" s="27" t="s">
        <v>35</v>
      </c>
      <c r="C5406" s="27" t="s">
        <v>50</v>
      </c>
      <c r="D5406" s="27" t="s">
        <v>6</v>
      </c>
      <c r="E5406" s="27" t="s">
        <v>14</v>
      </c>
      <c r="F5406" s="29"/>
      <c r="G5406" s="30">
        <v>460.80944444444441</v>
      </c>
    </row>
    <row r="5407" spans="1:7" hidden="1" x14ac:dyDescent="0.25">
      <c r="A5407" s="28">
        <v>43952</v>
      </c>
      <c r="B5407" s="27" t="s">
        <v>35</v>
      </c>
      <c r="C5407" s="27" t="s">
        <v>50</v>
      </c>
      <c r="D5407" s="27" t="s">
        <v>6</v>
      </c>
      <c r="E5407" s="27" t="s">
        <v>15</v>
      </c>
      <c r="F5407" s="29"/>
      <c r="G5407" s="30">
        <v>460.80944444444441</v>
      </c>
    </row>
    <row r="5408" spans="1:7" hidden="1" x14ac:dyDescent="0.25">
      <c r="A5408" s="28">
        <v>43952</v>
      </c>
      <c r="B5408" s="27" t="s">
        <v>35</v>
      </c>
      <c r="C5408" s="27" t="s">
        <v>50</v>
      </c>
      <c r="D5408" s="27" t="s">
        <v>6</v>
      </c>
      <c r="E5408" s="27" t="s">
        <v>16</v>
      </c>
      <c r="F5408" s="29"/>
      <c r="G5408" s="30">
        <v>460.80944444444441</v>
      </c>
    </row>
    <row r="5409" spans="1:7" hidden="1" x14ac:dyDescent="0.25">
      <c r="A5409" s="28">
        <v>43952</v>
      </c>
      <c r="B5409" s="27" t="s">
        <v>35</v>
      </c>
      <c r="C5409" s="27" t="s">
        <v>50</v>
      </c>
      <c r="D5409" s="27" t="s">
        <v>6</v>
      </c>
      <c r="E5409" s="27" t="s">
        <v>17</v>
      </c>
      <c r="F5409" s="29"/>
      <c r="G5409" s="30">
        <v>460.80944444444441</v>
      </c>
    </row>
    <row r="5410" spans="1:7" hidden="1" x14ac:dyDescent="0.25">
      <c r="A5410" s="28">
        <v>43952</v>
      </c>
      <c r="B5410" s="27" t="s">
        <v>35</v>
      </c>
      <c r="C5410" s="27" t="s">
        <v>50</v>
      </c>
      <c r="D5410" s="27" t="s">
        <v>6</v>
      </c>
      <c r="E5410" s="27" t="s">
        <v>18</v>
      </c>
      <c r="F5410" s="29"/>
      <c r="G5410" s="30">
        <v>460.80944444444441</v>
      </c>
    </row>
    <row r="5411" spans="1:7" hidden="1" x14ac:dyDescent="0.25">
      <c r="A5411" s="28">
        <v>43952</v>
      </c>
      <c r="B5411" s="27" t="s">
        <v>35</v>
      </c>
      <c r="C5411" s="27" t="s">
        <v>50</v>
      </c>
      <c r="D5411" s="27" t="s">
        <v>6</v>
      </c>
      <c r="E5411" s="27" t="s">
        <v>19</v>
      </c>
      <c r="F5411" s="29"/>
      <c r="G5411" s="30">
        <v>460.80944444444441</v>
      </c>
    </row>
    <row r="5412" spans="1:7" hidden="1" x14ac:dyDescent="0.25">
      <c r="A5412" s="28">
        <v>43952</v>
      </c>
      <c r="B5412" s="27" t="s">
        <v>35</v>
      </c>
      <c r="C5412" s="27" t="s">
        <v>50</v>
      </c>
      <c r="D5412" s="27" t="s">
        <v>6</v>
      </c>
      <c r="E5412" s="27" t="s">
        <v>20</v>
      </c>
      <c r="F5412" s="29"/>
      <c r="G5412" s="30">
        <v>460.80944444444441</v>
      </c>
    </row>
    <row r="5413" spans="1:7" hidden="1" x14ac:dyDescent="0.25">
      <c r="A5413" s="28">
        <v>43952</v>
      </c>
      <c r="B5413" s="27" t="s">
        <v>35</v>
      </c>
      <c r="C5413" s="27" t="s">
        <v>50</v>
      </c>
      <c r="D5413" s="27" t="s">
        <v>6</v>
      </c>
      <c r="E5413" s="27" t="s">
        <v>38</v>
      </c>
      <c r="F5413" s="29"/>
      <c r="G5413" s="30">
        <v>460.80944444444441</v>
      </c>
    </row>
    <row r="5414" spans="1:7" hidden="1" x14ac:dyDescent="0.25">
      <c r="A5414" s="28">
        <v>43952</v>
      </c>
      <c r="B5414" s="27" t="s">
        <v>35</v>
      </c>
      <c r="C5414" s="27" t="s">
        <v>50</v>
      </c>
      <c r="D5414" s="27" t="s">
        <v>6</v>
      </c>
      <c r="E5414" s="27" t="s">
        <v>23</v>
      </c>
      <c r="F5414" s="29"/>
      <c r="G5414" s="30">
        <v>460.80944444444441</v>
      </c>
    </row>
    <row r="5415" spans="1:7" hidden="1" x14ac:dyDescent="0.25">
      <c r="A5415" s="28">
        <v>43952</v>
      </c>
      <c r="B5415" s="27" t="s">
        <v>34</v>
      </c>
      <c r="C5415" s="27" t="s">
        <v>50</v>
      </c>
      <c r="D5415" s="27" t="s">
        <v>6</v>
      </c>
      <c r="E5415" s="27" t="s">
        <v>8</v>
      </c>
      <c r="F5415" s="29"/>
      <c r="G5415" s="30">
        <v>730.85299999999995</v>
      </c>
    </row>
    <row r="5416" spans="1:7" hidden="1" x14ac:dyDescent="0.25">
      <c r="A5416" s="28">
        <v>43952</v>
      </c>
      <c r="B5416" s="27" t="s">
        <v>34</v>
      </c>
      <c r="C5416" s="27" t="s">
        <v>50</v>
      </c>
      <c r="D5416" s="27" t="s">
        <v>6</v>
      </c>
      <c r="E5416" s="27" t="s">
        <v>9</v>
      </c>
      <c r="F5416" s="29"/>
      <c r="G5416" s="30">
        <v>809.49900000000002</v>
      </c>
    </row>
    <row r="5417" spans="1:7" hidden="1" x14ac:dyDescent="0.25">
      <c r="A5417" s="28">
        <v>43952</v>
      </c>
      <c r="B5417" s="27" t="s">
        <v>34</v>
      </c>
      <c r="C5417" s="27" t="s">
        <v>50</v>
      </c>
      <c r="D5417" s="27" t="s">
        <v>6</v>
      </c>
      <c r="E5417" s="27" t="s">
        <v>22</v>
      </c>
      <c r="F5417" s="29"/>
      <c r="G5417" s="30">
        <v>1078.788</v>
      </c>
    </row>
    <row r="5418" spans="1:7" hidden="1" x14ac:dyDescent="0.25">
      <c r="A5418" s="28">
        <v>43952</v>
      </c>
      <c r="B5418" s="27" t="s">
        <v>34</v>
      </c>
      <c r="C5418" s="27" t="s">
        <v>50</v>
      </c>
      <c r="D5418" s="27" t="s">
        <v>6</v>
      </c>
      <c r="E5418" s="27" t="s">
        <v>64</v>
      </c>
      <c r="F5418" s="29"/>
      <c r="G5418" s="30">
        <v>770.21699999999998</v>
      </c>
    </row>
    <row r="5419" spans="1:7" hidden="1" x14ac:dyDescent="0.25">
      <c r="A5419" s="28">
        <v>43952</v>
      </c>
      <c r="B5419" s="27" t="s">
        <v>34</v>
      </c>
      <c r="C5419" s="27" t="s">
        <v>50</v>
      </c>
      <c r="D5419" s="27" t="s">
        <v>6</v>
      </c>
      <c r="E5419" s="27" t="s">
        <v>21</v>
      </c>
      <c r="F5419" s="29"/>
      <c r="G5419" s="30">
        <v>777.58799999999997</v>
      </c>
    </row>
    <row r="5420" spans="1:7" hidden="1" x14ac:dyDescent="0.25">
      <c r="A5420" s="28">
        <v>43952</v>
      </c>
      <c r="B5420" s="27" t="s">
        <v>34</v>
      </c>
      <c r="C5420" s="27" t="s">
        <v>50</v>
      </c>
      <c r="D5420" s="27" t="s">
        <v>6</v>
      </c>
      <c r="E5420" s="27" t="s">
        <v>10</v>
      </c>
      <c r="F5420" s="29"/>
      <c r="G5420" s="30">
        <v>1036.6759999999999</v>
      </c>
    </row>
    <row r="5421" spans="1:7" hidden="1" x14ac:dyDescent="0.25">
      <c r="A5421" s="28">
        <v>43952</v>
      </c>
      <c r="B5421" s="27" t="s">
        <v>34</v>
      </c>
      <c r="C5421" s="27" t="s">
        <v>50</v>
      </c>
      <c r="D5421" s="27" t="s">
        <v>6</v>
      </c>
      <c r="E5421" s="27" t="s">
        <v>11</v>
      </c>
      <c r="F5421" s="29"/>
      <c r="G5421" s="30">
        <v>414.69799999999998</v>
      </c>
    </row>
    <row r="5422" spans="1:7" hidden="1" x14ac:dyDescent="0.25">
      <c r="A5422" s="28">
        <v>43952</v>
      </c>
      <c r="B5422" s="27" t="s">
        <v>34</v>
      </c>
      <c r="C5422" s="27" t="s">
        <v>50</v>
      </c>
      <c r="D5422" s="27" t="s">
        <v>6</v>
      </c>
      <c r="E5422" s="27" t="s">
        <v>12</v>
      </c>
      <c r="F5422" s="29"/>
      <c r="G5422" s="30">
        <v>455.96400000000006</v>
      </c>
    </row>
    <row r="5423" spans="1:7" hidden="1" x14ac:dyDescent="0.25">
      <c r="A5423" s="28">
        <v>43952</v>
      </c>
      <c r="B5423" s="27" t="s">
        <v>34</v>
      </c>
      <c r="C5423" s="27" t="s">
        <v>50</v>
      </c>
      <c r="D5423" s="27" t="s">
        <v>6</v>
      </c>
      <c r="E5423" s="27" t="s">
        <v>13</v>
      </c>
      <c r="F5423" s="29"/>
      <c r="G5423" s="30">
        <v>661.88400000000001</v>
      </c>
    </row>
    <row r="5424" spans="1:7" hidden="1" x14ac:dyDescent="0.25">
      <c r="A5424" s="28">
        <v>43952</v>
      </c>
      <c r="B5424" s="27" t="s">
        <v>34</v>
      </c>
      <c r="C5424" s="27" t="s">
        <v>50</v>
      </c>
      <c r="D5424" s="27" t="s">
        <v>6</v>
      </c>
      <c r="E5424" s="27" t="s">
        <v>14</v>
      </c>
      <c r="F5424" s="29"/>
      <c r="G5424" s="30">
        <v>191.779</v>
      </c>
    </row>
    <row r="5425" spans="1:7" hidden="1" x14ac:dyDescent="0.25">
      <c r="A5425" s="28">
        <v>43952</v>
      </c>
      <c r="B5425" s="27" t="s">
        <v>34</v>
      </c>
      <c r="C5425" s="27" t="s">
        <v>50</v>
      </c>
      <c r="D5425" s="27" t="s">
        <v>6</v>
      </c>
      <c r="E5425" s="27" t="s">
        <v>15</v>
      </c>
      <c r="F5425" s="29"/>
      <c r="G5425" s="30">
        <v>526.94200000000001</v>
      </c>
    </row>
    <row r="5426" spans="1:7" hidden="1" x14ac:dyDescent="0.25">
      <c r="A5426" s="28">
        <v>43952</v>
      </c>
      <c r="B5426" s="27" t="s">
        <v>34</v>
      </c>
      <c r="C5426" s="27" t="s">
        <v>50</v>
      </c>
      <c r="D5426" s="27" t="s">
        <v>6</v>
      </c>
      <c r="E5426" s="27" t="s">
        <v>16</v>
      </c>
      <c r="F5426" s="29"/>
      <c r="G5426" s="30">
        <v>651.45799999999997</v>
      </c>
    </row>
    <row r="5427" spans="1:7" hidden="1" x14ac:dyDescent="0.25">
      <c r="A5427" s="28">
        <v>43952</v>
      </c>
      <c r="B5427" s="27" t="s">
        <v>34</v>
      </c>
      <c r="C5427" s="27" t="s">
        <v>50</v>
      </c>
      <c r="D5427" s="27" t="s">
        <v>6</v>
      </c>
      <c r="E5427" s="27" t="s">
        <v>17</v>
      </c>
      <c r="F5427" s="29"/>
      <c r="G5427" s="30">
        <v>1174.4879999999998</v>
      </c>
    </row>
    <row r="5428" spans="1:7" hidden="1" x14ac:dyDescent="0.25">
      <c r="A5428" s="28">
        <v>43952</v>
      </c>
      <c r="B5428" s="27" t="s">
        <v>34</v>
      </c>
      <c r="C5428" s="27" t="s">
        <v>50</v>
      </c>
      <c r="D5428" s="27" t="s">
        <v>6</v>
      </c>
      <c r="E5428" s="27" t="s">
        <v>18</v>
      </c>
      <c r="F5428" s="29"/>
      <c r="G5428" s="30">
        <v>506.59399999999994</v>
      </c>
    </row>
    <row r="5429" spans="1:7" hidden="1" x14ac:dyDescent="0.25">
      <c r="A5429" s="28">
        <v>43952</v>
      </c>
      <c r="B5429" s="27" t="s">
        <v>34</v>
      </c>
      <c r="C5429" s="27" t="s">
        <v>50</v>
      </c>
      <c r="D5429" s="27" t="s">
        <v>6</v>
      </c>
      <c r="E5429" s="27" t="s">
        <v>19</v>
      </c>
      <c r="F5429" s="29"/>
      <c r="G5429" s="30">
        <v>716.14</v>
      </c>
    </row>
    <row r="5430" spans="1:7" hidden="1" x14ac:dyDescent="0.25">
      <c r="A5430" s="28">
        <v>43952</v>
      </c>
      <c r="B5430" s="27" t="s">
        <v>34</v>
      </c>
      <c r="C5430" s="27" t="s">
        <v>50</v>
      </c>
      <c r="D5430" s="27" t="s">
        <v>6</v>
      </c>
      <c r="E5430" s="27" t="s">
        <v>20</v>
      </c>
      <c r="F5430" s="29"/>
      <c r="G5430" s="30">
        <v>520.13300000000004</v>
      </c>
    </row>
    <row r="5431" spans="1:7" hidden="1" x14ac:dyDescent="0.25">
      <c r="A5431" s="28">
        <v>43952</v>
      </c>
      <c r="B5431" s="27" t="s">
        <v>34</v>
      </c>
      <c r="C5431" s="27" t="s">
        <v>50</v>
      </c>
      <c r="D5431" s="27" t="s">
        <v>6</v>
      </c>
      <c r="E5431" s="27" t="s">
        <v>38</v>
      </c>
      <c r="F5431" s="29"/>
      <c r="G5431" s="30">
        <v>204.74299999999999</v>
      </c>
    </row>
    <row r="5432" spans="1:7" hidden="1" x14ac:dyDescent="0.25">
      <c r="A5432" s="28">
        <v>43952</v>
      </c>
      <c r="B5432" s="27" t="s">
        <v>34</v>
      </c>
      <c r="C5432" s="27" t="s">
        <v>50</v>
      </c>
      <c r="D5432" s="27" t="s">
        <v>6</v>
      </c>
      <c r="E5432" s="27" t="s">
        <v>23</v>
      </c>
      <c r="F5432" s="29"/>
      <c r="G5432" s="30">
        <v>803.31400000000008</v>
      </c>
    </row>
    <row r="5433" spans="1:7" hidden="1" x14ac:dyDescent="0.25">
      <c r="A5433" s="28">
        <v>43983</v>
      </c>
      <c r="B5433" s="27" t="s">
        <v>33</v>
      </c>
      <c r="C5433" s="27" t="s">
        <v>50</v>
      </c>
      <c r="D5433" s="27" t="s">
        <v>7</v>
      </c>
      <c r="E5433" s="27" t="s">
        <v>8</v>
      </c>
      <c r="F5433" s="29"/>
      <c r="G5433" s="30">
        <v>1204.451111111111</v>
      </c>
    </row>
    <row r="5434" spans="1:7" hidden="1" x14ac:dyDescent="0.25">
      <c r="A5434" s="28">
        <v>43983</v>
      </c>
      <c r="B5434" s="27" t="s">
        <v>33</v>
      </c>
      <c r="C5434" s="27" t="s">
        <v>50</v>
      </c>
      <c r="D5434" s="27" t="s">
        <v>7</v>
      </c>
      <c r="E5434" s="27" t="s">
        <v>9</v>
      </c>
      <c r="F5434" s="29"/>
      <c r="G5434" s="30">
        <v>1204.451111111111</v>
      </c>
    </row>
    <row r="5435" spans="1:7" hidden="1" x14ac:dyDescent="0.25">
      <c r="A5435" s="28">
        <v>43983</v>
      </c>
      <c r="B5435" s="27" t="s">
        <v>33</v>
      </c>
      <c r="C5435" s="27" t="s">
        <v>50</v>
      </c>
      <c r="D5435" s="27" t="s">
        <v>7</v>
      </c>
      <c r="E5435" s="27" t="s">
        <v>22</v>
      </c>
      <c r="F5435" s="29"/>
      <c r="G5435" s="30">
        <v>1204.451111111111</v>
      </c>
    </row>
    <row r="5436" spans="1:7" hidden="1" x14ac:dyDescent="0.25">
      <c r="A5436" s="28">
        <v>43983</v>
      </c>
      <c r="B5436" s="27" t="s">
        <v>33</v>
      </c>
      <c r="C5436" s="27" t="s">
        <v>50</v>
      </c>
      <c r="D5436" s="27" t="s">
        <v>7</v>
      </c>
      <c r="E5436" s="27" t="s">
        <v>64</v>
      </c>
      <c r="F5436" s="29"/>
      <c r="G5436" s="30">
        <v>1204.451111111111</v>
      </c>
    </row>
    <row r="5437" spans="1:7" hidden="1" x14ac:dyDescent="0.25">
      <c r="A5437" s="28">
        <v>43983</v>
      </c>
      <c r="B5437" s="27" t="s">
        <v>33</v>
      </c>
      <c r="C5437" s="27" t="s">
        <v>50</v>
      </c>
      <c r="D5437" s="27" t="s">
        <v>7</v>
      </c>
      <c r="E5437" s="27" t="s">
        <v>21</v>
      </c>
      <c r="F5437" s="29"/>
      <c r="G5437" s="30">
        <v>1204.451111111111</v>
      </c>
    </row>
    <row r="5438" spans="1:7" hidden="1" x14ac:dyDescent="0.25">
      <c r="A5438" s="28">
        <v>43983</v>
      </c>
      <c r="B5438" s="27" t="s">
        <v>33</v>
      </c>
      <c r="C5438" s="27" t="s">
        <v>50</v>
      </c>
      <c r="D5438" s="27" t="s">
        <v>7</v>
      </c>
      <c r="E5438" s="27" t="s">
        <v>10</v>
      </c>
      <c r="F5438" s="29"/>
      <c r="G5438" s="30">
        <v>1204.451111111111</v>
      </c>
    </row>
    <row r="5439" spans="1:7" hidden="1" x14ac:dyDescent="0.25">
      <c r="A5439" s="28">
        <v>43983</v>
      </c>
      <c r="B5439" s="27" t="s">
        <v>33</v>
      </c>
      <c r="C5439" s="27" t="s">
        <v>50</v>
      </c>
      <c r="D5439" s="27" t="s">
        <v>7</v>
      </c>
      <c r="E5439" s="27" t="s">
        <v>11</v>
      </c>
      <c r="F5439" s="29"/>
      <c r="G5439" s="30">
        <v>1204.451111111111</v>
      </c>
    </row>
    <row r="5440" spans="1:7" hidden="1" x14ac:dyDescent="0.25">
      <c r="A5440" s="28">
        <v>43983</v>
      </c>
      <c r="B5440" s="27" t="s">
        <v>33</v>
      </c>
      <c r="C5440" s="27" t="s">
        <v>50</v>
      </c>
      <c r="D5440" s="27" t="s">
        <v>7</v>
      </c>
      <c r="E5440" s="27" t="s">
        <v>12</v>
      </c>
      <c r="F5440" s="29"/>
      <c r="G5440" s="30">
        <v>1204.451111111111</v>
      </c>
    </row>
    <row r="5441" spans="1:7" hidden="1" x14ac:dyDescent="0.25">
      <c r="A5441" s="28">
        <v>43983</v>
      </c>
      <c r="B5441" s="27" t="s">
        <v>33</v>
      </c>
      <c r="C5441" s="27" t="s">
        <v>50</v>
      </c>
      <c r="D5441" s="27" t="s">
        <v>7</v>
      </c>
      <c r="E5441" s="27" t="s">
        <v>13</v>
      </c>
      <c r="F5441" s="29"/>
      <c r="G5441" s="30">
        <v>1204.451111111111</v>
      </c>
    </row>
    <row r="5442" spans="1:7" hidden="1" x14ac:dyDescent="0.25">
      <c r="A5442" s="28">
        <v>43983</v>
      </c>
      <c r="B5442" s="27" t="s">
        <v>33</v>
      </c>
      <c r="C5442" s="27" t="s">
        <v>50</v>
      </c>
      <c r="D5442" s="27" t="s">
        <v>7</v>
      </c>
      <c r="E5442" s="27" t="s">
        <v>14</v>
      </c>
      <c r="F5442" s="29"/>
      <c r="G5442" s="30">
        <v>1204.451111111111</v>
      </c>
    </row>
    <row r="5443" spans="1:7" hidden="1" x14ac:dyDescent="0.25">
      <c r="A5443" s="28">
        <v>43983</v>
      </c>
      <c r="B5443" s="27" t="s">
        <v>33</v>
      </c>
      <c r="C5443" s="27" t="s">
        <v>50</v>
      </c>
      <c r="D5443" s="27" t="s">
        <v>7</v>
      </c>
      <c r="E5443" s="27" t="s">
        <v>15</v>
      </c>
      <c r="F5443" s="29"/>
      <c r="G5443" s="30">
        <v>1204.451111111111</v>
      </c>
    </row>
    <row r="5444" spans="1:7" hidden="1" x14ac:dyDescent="0.25">
      <c r="A5444" s="28">
        <v>43983</v>
      </c>
      <c r="B5444" s="27" t="s">
        <v>33</v>
      </c>
      <c r="C5444" s="27" t="s">
        <v>50</v>
      </c>
      <c r="D5444" s="27" t="s">
        <v>7</v>
      </c>
      <c r="E5444" s="27" t="s">
        <v>16</v>
      </c>
      <c r="F5444" s="29"/>
      <c r="G5444" s="30">
        <v>1204.451111111111</v>
      </c>
    </row>
    <row r="5445" spans="1:7" hidden="1" x14ac:dyDescent="0.25">
      <c r="A5445" s="28">
        <v>43983</v>
      </c>
      <c r="B5445" s="27" t="s">
        <v>33</v>
      </c>
      <c r="C5445" s="27" t="s">
        <v>50</v>
      </c>
      <c r="D5445" s="27" t="s">
        <v>7</v>
      </c>
      <c r="E5445" s="27" t="s">
        <v>17</v>
      </c>
      <c r="F5445" s="29"/>
      <c r="G5445" s="30">
        <v>1204.451111111111</v>
      </c>
    </row>
    <row r="5446" spans="1:7" hidden="1" x14ac:dyDescent="0.25">
      <c r="A5446" s="28">
        <v>43983</v>
      </c>
      <c r="B5446" s="27" t="s">
        <v>33</v>
      </c>
      <c r="C5446" s="27" t="s">
        <v>50</v>
      </c>
      <c r="D5446" s="27" t="s">
        <v>7</v>
      </c>
      <c r="E5446" s="27" t="s">
        <v>18</v>
      </c>
      <c r="F5446" s="29"/>
      <c r="G5446" s="30">
        <v>1204.451111111111</v>
      </c>
    </row>
    <row r="5447" spans="1:7" hidden="1" x14ac:dyDescent="0.25">
      <c r="A5447" s="28">
        <v>43983</v>
      </c>
      <c r="B5447" s="27" t="s">
        <v>33</v>
      </c>
      <c r="C5447" s="27" t="s">
        <v>50</v>
      </c>
      <c r="D5447" s="27" t="s">
        <v>7</v>
      </c>
      <c r="E5447" s="27" t="s">
        <v>19</v>
      </c>
      <c r="F5447" s="29"/>
      <c r="G5447" s="30">
        <v>1204.451111111111</v>
      </c>
    </row>
    <row r="5448" spans="1:7" hidden="1" x14ac:dyDescent="0.25">
      <c r="A5448" s="28">
        <v>43983</v>
      </c>
      <c r="B5448" s="27" t="s">
        <v>33</v>
      </c>
      <c r="C5448" s="27" t="s">
        <v>50</v>
      </c>
      <c r="D5448" s="27" t="s">
        <v>7</v>
      </c>
      <c r="E5448" s="27" t="s">
        <v>20</v>
      </c>
      <c r="F5448" s="29"/>
      <c r="G5448" s="30">
        <v>1204.451111111111</v>
      </c>
    </row>
    <row r="5449" spans="1:7" hidden="1" x14ac:dyDescent="0.25">
      <c r="A5449" s="28">
        <v>43983</v>
      </c>
      <c r="B5449" s="27" t="s">
        <v>33</v>
      </c>
      <c r="C5449" s="27" t="s">
        <v>50</v>
      </c>
      <c r="D5449" s="27" t="s">
        <v>7</v>
      </c>
      <c r="E5449" s="27" t="s">
        <v>38</v>
      </c>
      <c r="F5449" s="29"/>
      <c r="G5449" s="30">
        <v>1204.451111111111</v>
      </c>
    </row>
    <row r="5450" spans="1:7" hidden="1" x14ac:dyDescent="0.25">
      <c r="A5450" s="28">
        <v>43983</v>
      </c>
      <c r="B5450" s="27" t="s">
        <v>33</v>
      </c>
      <c r="C5450" s="27" t="s">
        <v>50</v>
      </c>
      <c r="D5450" s="27" t="s">
        <v>7</v>
      </c>
      <c r="E5450" s="27" t="s">
        <v>23</v>
      </c>
      <c r="F5450" s="29"/>
      <c r="G5450" s="30">
        <v>1204.451111111111</v>
      </c>
    </row>
    <row r="5451" spans="1:7" hidden="1" x14ac:dyDescent="0.25">
      <c r="A5451" s="28">
        <v>43983</v>
      </c>
      <c r="B5451" s="27" t="s">
        <v>4</v>
      </c>
      <c r="C5451" s="27" t="s">
        <v>50</v>
      </c>
      <c r="D5451" s="27" t="s">
        <v>7</v>
      </c>
      <c r="E5451" s="27" t="s">
        <v>8</v>
      </c>
      <c r="F5451" s="29"/>
      <c r="G5451" s="30">
        <v>1893.45</v>
      </c>
    </row>
    <row r="5452" spans="1:7" hidden="1" x14ac:dyDescent="0.25">
      <c r="A5452" s="28">
        <v>43983</v>
      </c>
      <c r="B5452" s="27" t="s">
        <v>4</v>
      </c>
      <c r="C5452" s="27" t="s">
        <v>50</v>
      </c>
      <c r="D5452" s="27" t="s">
        <v>7</v>
      </c>
      <c r="E5452" s="27" t="s">
        <v>22</v>
      </c>
      <c r="F5452" s="29"/>
      <c r="G5452" s="30">
        <v>1156.8800000000001</v>
      </c>
    </row>
    <row r="5453" spans="1:7" hidden="1" x14ac:dyDescent="0.25">
      <c r="A5453" s="28">
        <v>43983</v>
      </c>
      <c r="B5453" s="27" t="s">
        <v>4</v>
      </c>
      <c r="C5453" s="27" t="s">
        <v>50</v>
      </c>
      <c r="D5453" s="27" t="s">
        <v>7</v>
      </c>
      <c r="E5453" s="27" t="s">
        <v>64</v>
      </c>
      <c r="F5453" s="29"/>
      <c r="G5453" s="30">
        <v>1181.21</v>
      </c>
    </row>
    <row r="5454" spans="1:7" hidden="1" x14ac:dyDescent="0.25">
      <c r="A5454" s="28">
        <v>43983</v>
      </c>
      <c r="B5454" s="27" t="s">
        <v>4</v>
      </c>
      <c r="C5454" s="27" t="s">
        <v>50</v>
      </c>
      <c r="D5454" s="27" t="s">
        <v>7</v>
      </c>
      <c r="E5454" s="27" t="s">
        <v>21</v>
      </c>
      <c r="F5454" s="29"/>
      <c r="G5454" s="30">
        <v>4387.62</v>
      </c>
    </row>
    <row r="5455" spans="1:7" hidden="1" x14ac:dyDescent="0.25">
      <c r="A5455" s="28">
        <v>43983</v>
      </c>
      <c r="B5455" s="27" t="s">
        <v>4</v>
      </c>
      <c r="C5455" s="27" t="s">
        <v>50</v>
      </c>
      <c r="D5455" s="27" t="s">
        <v>7</v>
      </c>
      <c r="E5455" s="27" t="s">
        <v>10</v>
      </c>
      <c r="F5455" s="29"/>
      <c r="G5455" s="30">
        <v>3087.81</v>
      </c>
    </row>
    <row r="5456" spans="1:7" hidden="1" x14ac:dyDescent="0.25">
      <c r="A5456" s="28">
        <v>43983</v>
      </c>
      <c r="B5456" s="27" t="s">
        <v>4</v>
      </c>
      <c r="C5456" s="27" t="s">
        <v>50</v>
      </c>
      <c r="D5456" s="27" t="s">
        <v>7</v>
      </c>
      <c r="E5456" s="27" t="s">
        <v>11</v>
      </c>
      <c r="F5456" s="29"/>
      <c r="G5456" s="30">
        <v>1759.85</v>
      </c>
    </row>
    <row r="5457" spans="1:7" hidden="1" x14ac:dyDescent="0.25">
      <c r="A5457" s="28">
        <v>43983</v>
      </c>
      <c r="B5457" s="27" t="s">
        <v>4</v>
      </c>
      <c r="C5457" s="27" t="s">
        <v>50</v>
      </c>
      <c r="D5457" s="27" t="s">
        <v>7</v>
      </c>
      <c r="E5457" s="27" t="s">
        <v>12</v>
      </c>
      <c r="F5457" s="29"/>
      <c r="G5457" s="30">
        <v>1853.63</v>
      </c>
    </row>
    <row r="5458" spans="1:7" hidden="1" x14ac:dyDescent="0.25">
      <c r="A5458" s="28">
        <v>43983</v>
      </c>
      <c r="B5458" s="27" t="s">
        <v>4</v>
      </c>
      <c r="C5458" s="27" t="s">
        <v>50</v>
      </c>
      <c r="D5458" s="27" t="s">
        <v>7</v>
      </c>
      <c r="E5458" s="27" t="s">
        <v>13</v>
      </c>
      <c r="F5458" s="29"/>
      <c r="G5458" s="30">
        <v>3834.33</v>
      </c>
    </row>
    <row r="5459" spans="1:7" hidden="1" x14ac:dyDescent="0.25">
      <c r="A5459" s="28">
        <v>43983</v>
      </c>
      <c r="B5459" s="27" t="s">
        <v>4</v>
      </c>
      <c r="C5459" s="27" t="s">
        <v>50</v>
      </c>
      <c r="D5459" s="27" t="s">
        <v>7</v>
      </c>
      <c r="E5459" s="27" t="s">
        <v>14</v>
      </c>
      <c r="F5459" s="29"/>
      <c r="G5459" s="30">
        <v>1557.68</v>
      </c>
    </row>
    <row r="5460" spans="1:7" hidden="1" x14ac:dyDescent="0.25">
      <c r="A5460" s="28">
        <v>43983</v>
      </c>
      <c r="B5460" s="27" t="s">
        <v>4</v>
      </c>
      <c r="C5460" s="27" t="s">
        <v>50</v>
      </c>
      <c r="D5460" s="27" t="s">
        <v>7</v>
      </c>
      <c r="E5460" s="27" t="s">
        <v>15</v>
      </c>
      <c r="F5460" s="29"/>
      <c r="G5460" s="30">
        <v>3296.89</v>
      </c>
    </row>
    <row r="5461" spans="1:7" hidden="1" x14ac:dyDescent="0.25">
      <c r="A5461" s="28">
        <v>43983</v>
      </c>
      <c r="B5461" s="27" t="s">
        <v>4</v>
      </c>
      <c r="C5461" s="27" t="s">
        <v>50</v>
      </c>
      <c r="D5461" s="27" t="s">
        <v>7</v>
      </c>
      <c r="E5461" s="27" t="s">
        <v>16</v>
      </c>
      <c r="F5461" s="29"/>
      <c r="G5461" s="30">
        <v>2580.56</v>
      </c>
    </row>
    <row r="5462" spans="1:7" hidden="1" x14ac:dyDescent="0.25">
      <c r="A5462" s="28">
        <v>43983</v>
      </c>
      <c r="B5462" s="27" t="s">
        <v>4</v>
      </c>
      <c r="C5462" s="27" t="s">
        <v>50</v>
      </c>
      <c r="D5462" s="27" t="s">
        <v>7</v>
      </c>
      <c r="E5462" s="27" t="s">
        <v>17</v>
      </c>
      <c r="F5462" s="29"/>
      <c r="G5462" s="30">
        <v>2888.88</v>
      </c>
    </row>
    <row r="5463" spans="1:7" hidden="1" x14ac:dyDescent="0.25">
      <c r="A5463" s="28">
        <v>43983</v>
      </c>
      <c r="B5463" s="27" t="s">
        <v>4</v>
      </c>
      <c r="C5463" s="27" t="s">
        <v>50</v>
      </c>
      <c r="D5463" s="27" t="s">
        <v>7</v>
      </c>
      <c r="E5463" s="27" t="s">
        <v>18</v>
      </c>
      <c r="F5463" s="29"/>
      <c r="G5463" s="30">
        <v>2759.97</v>
      </c>
    </row>
    <row r="5464" spans="1:7" hidden="1" x14ac:dyDescent="0.25">
      <c r="A5464" s="28">
        <v>43983</v>
      </c>
      <c r="B5464" s="27" t="s">
        <v>4</v>
      </c>
      <c r="C5464" s="27" t="s">
        <v>50</v>
      </c>
      <c r="D5464" s="27" t="s">
        <v>7</v>
      </c>
      <c r="E5464" s="27" t="s">
        <v>19</v>
      </c>
      <c r="F5464" s="29"/>
      <c r="G5464" s="30">
        <v>2785.95</v>
      </c>
    </row>
    <row r="5465" spans="1:7" hidden="1" x14ac:dyDescent="0.25">
      <c r="A5465" s="28">
        <v>43983</v>
      </c>
      <c r="B5465" s="27" t="s">
        <v>4</v>
      </c>
      <c r="C5465" s="27" t="s">
        <v>50</v>
      </c>
      <c r="D5465" s="27" t="s">
        <v>7</v>
      </c>
      <c r="E5465" s="27" t="s">
        <v>20</v>
      </c>
      <c r="F5465" s="29"/>
      <c r="G5465" s="30">
        <v>2443.0500000000002</v>
      </c>
    </row>
    <row r="5466" spans="1:7" hidden="1" x14ac:dyDescent="0.25">
      <c r="A5466" s="28">
        <v>43983</v>
      </c>
      <c r="B5466" s="27" t="s">
        <v>4</v>
      </c>
      <c r="C5466" s="27" t="s">
        <v>50</v>
      </c>
      <c r="D5466" s="27" t="s">
        <v>7</v>
      </c>
      <c r="E5466" s="27" t="s">
        <v>38</v>
      </c>
      <c r="F5466" s="29"/>
      <c r="G5466" s="30">
        <v>2610.2600000000002</v>
      </c>
    </row>
    <row r="5467" spans="1:7" hidden="1" x14ac:dyDescent="0.25">
      <c r="A5467" s="28">
        <v>43983</v>
      </c>
      <c r="B5467" s="27" t="s">
        <v>4</v>
      </c>
      <c r="C5467" s="27" t="s">
        <v>50</v>
      </c>
      <c r="D5467" s="27" t="s">
        <v>7</v>
      </c>
      <c r="E5467" s="27" t="s">
        <v>23</v>
      </c>
      <c r="F5467" s="29"/>
      <c r="G5467" s="30">
        <v>2504.5700000000002</v>
      </c>
    </row>
    <row r="5468" spans="1:7" hidden="1" x14ac:dyDescent="0.25">
      <c r="A5468" s="28">
        <v>43983</v>
      </c>
      <c r="B5468" s="27" t="s">
        <v>4</v>
      </c>
      <c r="C5468" s="27" t="s">
        <v>50</v>
      </c>
      <c r="D5468" s="27" t="s">
        <v>7</v>
      </c>
      <c r="E5468" s="27" t="s">
        <v>37</v>
      </c>
      <c r="F5468" s="29"/>
      <c r="G5468" s="30">
        <v>445</v>
      </c>
    </row>
    <row r="5469" spans="1:7" hidden="1" x14ac:dyDescent="0.25">
      <c r="A5469" s="28">
        <v>43983</v>
      </c>
      <c r="B5469" s="27" t="s">
        <v>26</v>
      </c>
      <c r="C5469" s="27" t="s">
        <v>50</v>
      </c>
      <c r="D5469" s="27" t="s">
        <v>6</v>
      </c>
      <c r="E5469" s="27" t="s">
        <v>8</v>
      </c>
      <c r="F5469" s="29"/>
      <c r="G5469" s="30">
        <v>1194.25</v>
      </c>
    </row>
    <row r="5470" spans="1:7" hidden="1" x14ac:dyDescent="0.25">
      <c r="A5470" s="28">
        <v>43983</v>
      </c>
      <c r="B5470" s="27" t="s">
        <v>26</v>
      </c>
      <c r="C5470" s="27" t="s">
        <v>50</v>
      </c>
      <c r="D5470" s="27" t="s">
        <v>6</v>
      </c>
      <c r="E5470" s="27" t="s">
        <v>9</v>
      </c>
      <c r="F5470" s="29"/>
      <c r="G5470" s="30">
        <v>1550.9166666666667</v>
      </c>
    </row>
    <row r="5471" spans="1:7" hidden="1" x14ac:dyDescent="0.25">
      <c r="A5471" s="28">
        <v>43983</v>
      </c>
      <c r="B5471" s="27" t="s">
        <v>26</v>
      </c>
      <c r="C5471" s="27" t="s">
        <v>50</v>
      </c>
      <c r="D5471" s="27" t="s">
        <v>6</v>
      </c>
      <c r="E5471" s="27" t="s">
        <v>22</v>
      </c>
      <c r="F5471" s="29"/>
      <c r="G5471" s="30">
        <v>1270.3500000000001</v>
      </c>
    </row>
    <row r="5472" spans="1:7" hidden="1" x14ac:dyDescent="0.25">
      <c r="A5472" s="28">
        <v>43983</v>
      </c>
      <c r="B5472" s="27" t="s">
        <v>26</v>
      </c>
      <c r="C5472" s="27" t="s">
        <v>50</v>
      </c>
      <c r="D5472" s="27" t="s">
        <v>6</v>
      </c>
      <c r="E5472" s="27" t="s">
        <v>64</v>
      </c>
      <c r="F5472" s="29"/>
      <c r="G5472" s="30">
        <v>1359.4166666666667</v>
      </c>
    </row>
    <row r="5473" spans="1:7" hidden="1" x14ac:dyDescent="0.25">
      <c r="A5473" s="28">
        <v>43983</v>
      </c>
      <c r="B5473" s="27" t="s">
        <v>26</v>
      </c>
      <c r="C5473" s="27" t="s">
        <v>50</v>
      </c>
      <c r="D5473" s="27" t="s">
        <v>6</v>
      </c>
      <c r="E5473" s="27" t="s">
        <v>21</v>
      </c>
      <c r="F5473" s="29"/>
      <c r="G5473" s="30">
        <v>1359.4166666666667</v>
      </c>
    </row>
    <row r="5474" spans="1:7" hidden="1" x14ac:dyDescent="0.25">
      <c r="A5474" s="28">
        <v>43983</v>
      </c>
      <c r="B5474" s="27" t="s">
        <v>26</v>
      </c>
      <c r="C5474" s="27" t="s">
        <v>50</v>
      </c>
      <c r="D5474" s="27" t="s">
        <v>6</v>
      </c>
      <c r="E5474" s="27" t="s">
        <v>10</v>
      </c>
      <c r="F5474" s="29"/>
      <c r="G5474" s="30">
        <v>1998.9666666666669</v>
      </c>
    </row>
    <row r="5475" spans="1:7" hidden="1" x14ac:dyDescent="0.25">
      <c r="A5475" s="28">
        <v>43983</v>
      </c>
      <c r="B5475" s="27" t="s">
        <v>26</v>
      </c>
      <c r="C5475" s="27" t="s">
        <v>50</v>
      </c>
      <c r="D5475" s="27" t="s">
        <v>6</v>
      </c>
      <c r="E5475" s="27" t="s">
        <v>11</v>
      </c>
      <c r="F5475" s="29"/>
      <c r="G5475" s="30">
        <v>1340.7166666666667</v>
      </c>
    </row>
    <row r="5476" spans="1:7" hidden="1" x14ac:dyDescent="0.25">
      <c r="A5476" s="28">
        <v>43983</v>
      </c>
      <c r="B5476" s="27" t="s">
        <v>26</v>
      </c>
      <c r="C5476" s="27" t="s">
        <v>50</v>
      </c>
      <c r="D5476" s="27" t="s">
        <v>6</v>
      </c>
      <c r="E5476" s="27" t="s">
        <v>12</v>
      </c>
      <c r="F5476" s="29"/>
      <c r="G5476" s="30">
        <v>1350.1166666666668</v>
      </c>
    </row>
    <row r="5477" spans="1:7" hidden="1" x14ac:dyDescent="0.25">
      <c r="A5477" s="28">
        <v>43983</v>
      </c>
      <c r="B5477" s="27" t="s">
        <v>26</v>
      </c>
      <c r="C5477" s="27" t="s">
        <v>50</v>
      </c>
      <c r="D5477" s="27" t="s">
        <v>6</v>
      </c>
      <c r="E5477" s="27" t="s">
        <v>13</v>
      </c>
      <c r="F5477" s="29"/>
      <c r="G5477" s="30">
        <v>1901.5</v>
      </c>
    </row>
    <row r="5478" spans="1:7" hidden="1" x14ac:dyDescent="0.25">
      <c r="A5478" s="28">
        <v>43983</v>
      </c>
      <c r="B5478" s="27" t="s">
        <v>26</v>
      </c>
      <c r="C5478" s="27" t="s">
        <v>50</v>
      </c>
      <c r="D5478" s="27" t="s">
        <v>6</v>
      </c>
      <c r="E5478" s="27" t="s">
        <v>14</v>
      </c>
      <c r="F5478" s="29"/>
      <c r="G5478" s="30">
        <v>701.7833333333333</v>
      </c>
    </row>
    <row r="5479" spans="1:7" hidden="1" x14ac:dyDescent="0.25">
      <c r="A5479" s="28">
        <v>43983</v>
      </c>
      <c r="B5479" s="27" t="s">
        <v>26</v>
      </c>
      <c r="C5479" s="27" t="s">
        <v>50</v>
      </c>
      <c r="D5479" s="27" t="s">
        <v>6</v>
      </c>
      <c r="E5479" s="27" t="s">
        <v>15</v>
      </c>
      <c r="F5479" s="29"/>
      <c r="G5479" s="30">
        <v>1820.5500000000002</v>
      </c>
    </row>
    <row r="5480" spans="1:7" hidden="1" x14ac:dyDescent="0.25">
      <c r="A5480" s="28">
        <v>43983</v>
      </c>
      <c r="B5480" s="27" t="s">
        <v>26</v>
      </c>
      <c r="C5480" s="27" t="s">
        <v>50</v>
      </c>
      <c r="D5480" s="27" t="s">
        <v>6</v>
      </c>
      <c r="E5480" s="27" t="s">
        <v>16</v>
      </c>
      <c r="F5480" s="29"/>
      <c r="G5480" s="30">
        <v>1992.5833333333333</v>
      </c>
    </row>
    <row r="5481" spans="1:7" hidden="1" x14ac:dyDescent="0.25">
      <c r="A5481" s="28">
        <v>43983</v>
      </c>
      <c r="B5481" s="27" t="s">
        <v>26</v>
      </c>
      <c r="C5481" s="27" t="s">
        <v>50</v>
      </c>
      <c r="D5481" s="27" t="s">
        <v>6</v>
      </c>
      <c r="E5481" s="27" t="s">
        <v>17</v>
      </c>
      <c r="F5481" s="29"/>
      <c r="G5481" s="30">
        <v>2822.1166666666668</v>
      </c>
    </row>
    <row r="5482" spans="1:7" hidden="1" x14ac:dyDescent="0.25">
      <c r="A5482" s="28">
        <v>43983</v>
      </c>
      <c r="B5482" s="27" t="s">
        <v>26</v>
      </c>
      <c r="C5482" s="27" t="s">
        <v>50</v>
      </c>
      <c r="D5482" s="27" t="s">
        <v>6</v>
      </c>
      <c r="E5482" s="27" t="s">
        <v>18</v>
      </c>
      <c r="F5482" s="29"/>
      <c r="G5482" s="30">
        <v>1488.6666666666667</v>
      </c>
    </row>
    <row r="5483" spans="1:7" hidden="1" x14ac:dyDescent="0.25">
      <c r="A5483" s="28">
        <v>43983</v>
      </c>
      <c r="B5483" s="27" t="s">
        <v>26</v>
      </c>
      <c r="C5483" s="27" t="s">
        <v>50</v>
      </c>
      <c r="D5483" s="27" t="s">
        <v>6</v>
      </c>
      <c r="E5483" s="27" t="s">
        <v>19</v>
      </c>
      <c r="F5483" s="29"/>
      <c r="G5483" s="30">
        <v>2454.8833333333337</v>
      </c>
    </row>
    <row r="5484" spans="1:7" hidden="1" x14ac:dyDescent="0.25">
      <c r="A5484" s="28">
        <v>43983</v>
      </c>
      <c r="B5484" s="27" t="s">
        <v>26</v>
      </c>
      <c r="C5484" s="27" t="s">
        <v>50</v>
      </c>
      <c r="D5484" s="27" t="s">
        <v>6</v>
      </c>
      <c r="E5484" s="27" t="s">
        <v>20</v>
      </c>
      <c r="F5484" s="29"/>
      <c r="G5484" s="30">
        <v>1590.3833333333334</v>
      </c>
    </row>
    <row r="5485" spans="1:7" hidden="1" x14ac:dyDescent="0.25">
      <c r="A5485" s="28">
        <v>43983</v>
      </c>
      <c r="B5485" s="27" t="s">
        <v>26</v>
      </c>
      <c r="C5485" s="27" t="s">
        <v>50</v>
      </c>
      <c r="D5485" s="27" t="s">
        <v>6</v>
      </c>
      <c r="E5485" s="27" t="s">
        <v>38</v>
      </c>
      <c r="F5485" s="29"/>
      <c r="G5485" s="30">
        <v>602</v>
      </c>
    </row>
    <row r="5486" spans="1:7" hidden="1" x14ac:dyDescent="0.25">
      <c r="A5486" s="28">
        <v>43983</v>
      </c>
      <c r="B5486" s="27" t="s">
        <v>26</v>
      </c>
      <c r="C5486" s="27" t="s">
        <v>50</v>
      </c>
      <c r="D5486" s="27" t="s">
        <v>6</v>
      </c>
      <c r="E5486" s="27" t="s">
        <v>23</v>
      </c>
      <c r="F5486" s="29"/>
      <c r="G5486" s="30">
        <v>2997.5</v>
      </c>
    </row>
    <row r="5487" spans="1:7" hidden="1" x14ac:dyDescent="0.25">
      <c r="A5487" s="28">
        <v>43983</v>
      </c>
      <c r="B5487" s="27" t="s">
        <v>26</v>
      </c>
      <c r="C5487" s="27" t="s">
        <v>50</v>
      </c>
      <c r="D5487" s="27" t="s">
        <v>6</v>
      </c>
      <c r="E5487" s="27" t="s">
        <v>37</v>
      </c>
      <c r="F5487" s="29"/>
      <c r="G5487" s="30">
        <v>250</v>
      </c>
    </row>
    <row r="5488" spans="1:7" hidden="1" x14ac:dyDescent="0.25">
      <c r="A5488" s="28">
        <v>43983</v>
      </c>
      <c r="B5488" s="27" t="s">
        <v>3</v>
      </c>
      <c r="C5488" s="27" t="s">
        <v>50</v>
      </c>
      <c r="D5488" s="27" t="s">
        <v>7</v>
      </c>
      <c r="E5488" s="27" t="s">
        <v>8</v>
      </c>
      <c r="F5488" s="29"/>
      <c r="G5488" s="30">
        <v>531.06222222222232</v>
      </c>
    </row>
    <row r="5489" spans="1:7" hidden="1" x14ac:dyDescent="0.25">
      <c r="A5489" s="28">
        <v>43983</v>
      </c>
      <c r="B5489" s="27" t="s">
        <v>3</v>
      </c>
      <c r="C5489" s="27" t="s">
        <v>50</v>
      </c>
      <c r="D5489" s="27" t="s">
        <v>7</v>
      </c>
      <c r="E5489" s="27" t="s">
        <v>9</v>
      </c>
      <c r="F5489" s="29"/>
      <c r="G5489" s="30">
        <v>531.06222222222232</v>
      </c>
    </row>
    <row r="5490" spans="1:7" hidden="1" x14ac:dyDescent="0.25">
      <c r="A5490" s="28">
        <v>43983</v>
      </c>
      <c r="B5490" s="27" t="s">
        <v>3</v>
      </c>
      <c r="C5490" s="27" t="s">
        <v>50</v>
      </c>
      <c r="D5490" s="27" t="s">
        <v>7</v>
      </c>
      <c r="E5490" s="27" t="s">
        <v>22</v>
      </c>
      <c r="F5490" s="29"/>
      <c r="G5490" s="30">
        <v>531.06222222222232</v>
      </c>
    </row>
    <row r="5491" spans="1:7" hidden="1" x14ac:dyDescent="0.25">
      <c r="A5491" s="28">
        <v>43983</v>
      </c>
      <c r="B5491" s="27" t="s">
        <v>3</v>
      </c>
      <c r="C5491" s="27" t="s">
        <v>50</v>
      </c>
      <c r="D5491" s="27" t="s">
        <v>7</v>
      </c>
      <c r="E5491" s="27" t="s">
        <v>64</v>
      </c>
      <c r="F5491" s="29"/>
      <c r="G5491" s="30">
        <v>531.06222222222232</v>
      </c>
    </row>
    <row r="5492" spans="1:7" hidden="1" x14ac:dyDescent="0.25">
      <c r="A5492" s="28">
        <v>43983</v>
      </c>
      <c r="B5492" s="27" t="s">
        <v>3</v>
      </c>
      <c r="C5492" s="27" t="s">
        <v>50</v>
      </c>
      <c r="D5492" s="27" t="s">
        <v>7</v>
      </c>
      <c r="E5492" s="27" t="s">
        <v>21</v>
      </c>
      <c r="F5492" s="29"/>
      <c r="G5492" s="30">
        <v>531.06222222222232</v>
      </c>
    </row>
    <row r="5493" spans="1:7" hidden="1" x14ac:dyDescent="0.25">
      <c r="A5493" s="28">
        <v>43983</v>
      </c>
      <c r="B5493" s="27" t="s">
        <v>3</v>
      </c>
      <c r="C5493" s="27" t="s">
        <v>50</v>
      </c>
      <c r="D5493" s="27" t="s">
        <v>7</v>
      </c>
      <c r="E5493" s="27" t="s">
        <v>10</v>
      </c>
      <c r="F5493" s="29"/>
      <c r="G5493" s="30">
        <v>531.06222222222232</v>
      </c>
    </row>
    <row r="5494" spans="1:7" hidden="1" x14ac:dyDescent="0.25">
      <c r="A5494" s="28">
        <v>43983</v>
      </c>
      <c r="B5494" s="27" t="s">
        <v>3</v>
      </c>
      <c r="C5494" s="27" t="s">
        <v>50</v>
      </c>
      <c r="D5494" s="27" t="s">
        <v>7</v>
      </c>
      <c r="E5494" s="27" t="s">
        <v>11</v>
      </c>
      <c r="F5494" s="29"/>
      <c r="G5494" s="30">
        <v>531.06222222222232</v>
      </c>
    </row>
    <row r="5495" spans="1:7" hidden="1" x14ac:dyDescent="0.25">
      <c r="A5495" s="28">
        <v>43983</v>
      </c>
      <c r="B5495" s="27" t="s">
        <v>3</v>
      </c>
      <c r="C5495" s="27" t="s">
        <v>50</v>
      </c>
      <c r="D5495" s="27" t="s">
        <v>7</v>
      </c>
      <c r="E5495" s="27" t="s">
        <v>12</v>
      </c>
      <c r="F5495" s="29"/>
      <c r="G5495" s="30">
        <v>531.06222222222232</v>
      </c>
    </row>
    <row r="5496" spans="1:7" hidden="1" x14ac:dyDescent="0.25">
      <c r="A5496" s="28">
        <v>43983</v>
      </c>
      <c r="B5496" s="27" t="s">
        <v>3</v>
      </c>
      <c r="C5496" s="27" t="s">
        <v>50</v>
      </c>
      <c r="D5496" s="27" t="s">
        <v>7</v>
      </c>
      <c r="E5496" s="27" t="s">
        <v>13</v>
      </c>
      <c r="F5496" s="29"/>
      <c r="G5496" s="30">
        <v>531.06222222222232</v>
      </c>
    </row>
    <row r="5497" spans="1:7" hidden="1" x14ac:dyDescent="0.25">
      <c r="A5497" s="28">
        <v>43983</v>
      </c>
      <c r="B5497" s="27" t="s">
        <v>3</v>
      </c>
      <c r="C5497" s="27" t="s">
        <v>50</v>
      </c>
      <c r="D5497" s="27" t="s">
        <v>7</v>
      </c>
      <c r="E5497" s="27" t="s">
        <v>14</v>
      </c>
      <c r="F5497" s="29"/>
      <c r="G5497" s="30">
        <v>531.06222222222232</v>
      </c>
    </row>
    <row r="5498" spans="1:7" hidden="1" x14ac:dyDescent="0.25">
      <c r="A5498" s="28">
        <v>43983</v>
      </c>
      <c r="B5498" s="27" t="s">
        <v>3</v>
      </c>
      <c r="C5498" s="27" t="s">
        <v>50</v>
      </c>
      <c r="D5498" s="27" t="s">
        <v>7</v>
      </c>
      <c r="E5498" s="27" t="s">
        <v>15</v>
      </c>
      <c r="F5498" s="29"/>
      <c r="G5498" s="30">
        <v>531.06222222222232</v>
      </c>
    </row>
    <row r="5499" spans="1:7" hidden="1" x14ac:dyDescent="0.25">
      <c r="A5499" s="28">
        <v>43983</v>
      </c>
      <c r="B5499" s="27" t="s">
        <v>3</v>
      </c>
      <c r="C5499" s="27" t="s">
        <v>50</v>
      </c>
      <c r="D5499" s="27" t="s">
        <v>7</v>
      </c>
      <c r="E5499" s="27" t="s">
        <v>16</v>
      </c>
      <c r="F5499" s="29"/>
      <c r="G5499" s="30">
        <v>531.06222222222232</v>
      </c>
    </row>
    <row r="5500" spans="1:7" hidden="1" x14ac:dyDescent="0.25">
      <c r="A5500" s="28">
        <v>43983</v>
      </c>
      <c r="B5500" s="27" t="s">
        <v>3</v>
      </c>
      <c r="C5500" s="27" t="s">
        <v>50</v>
      </c>
      <c r="D5500" s="27" t="s">
        <v>7</v>
      </c>
      <c r="E5500" s="27" t="s">
        <v>17</v>
      </c>
      <c r="F5500" s="29"/>
      <c r="G5500" s="30">
        <v>531.06222222222232</v>
      </c>
    </row>
    <row r="5501" spans="1:7" hidden="1" x14ac:dyDescent="0.25">
      <c r="A5501" s="28">
        <v>43983</v>
      </c>
      <c r="B5501" s="27" t="s">
        <v>3</v>
      </c>
      <c r="C5501" s="27" t="s">
        <v>50</v>
      </c>
      <c r="D5501" s="27" t="s">
        <v>7</v>
      </c>
      <c r="E5501" s="27" t="s">
        <v>18</v>
      </c>
      <c r="F5501" s="29"/>
      <c r="G5501" s="30">
        <v>531.06222222222232</v>
      </c>
    </row>
    <row r="5502" spans="1:7" hidden="1" x14ac:dyDescent="0.25">
      <c r="A5502" s="28">
        <v>43983</v>
      </c>
      <c r="B5502" s="27" t="s">
        <v>3</v>
      </c>
      <c r="C5502" s="27" t="s">
        <v>50</v>
      </c>
      <c r="D5502" s="27" t="s">
        <v>7</v>
      </c>
      <c r="E5502" s="27" t="s">
        <v>19</v>
      </c>
      <c r="F5502" s="29"/>
      <c r="G5502" s="30">
        <v>531.06222222222232</v>
      </c>
    </row>
    <row r="5503" spans="1:7" hidden="1" x14ac:dyDescent="0.25">
      <c r="A5503" s="28">
        <v>43983</v>
      </c>
      <c r="B5503" s="27" t="s">
        <v>3</v>
      </c>
      <c r="C5503" s="27" t="s">
        <v>50</v>
      </c>
      <c r="D5503" s="27" t="s">
        <v>7</v>
      </c>
      <c r="E5503" s="27" t="s">
        <v>20</v>
      </c>
      <c r="F5503" s="29"/>
      <c r="G5503" s="30">
        <v>531.06222222222232</v>
      </c>
    </row>
    <row r="5504" spans="1:7" hidden="1" x14ac:dyDescent="0.25">
      <c r="A5504" s="28">
        <v>43983</v>
      </c>
      <c r="B5504" s="27" t="s">
        <v>3</v>
      </c>
      <c r="C5504" s="27" t="s">
        <v>50</v>
      </c>
      <c r="D5504" s="27" t="s">
        <v>7</v>
      </c>
      <c r="E5504" s="27" t="s">
        <v>38</v>
      </c>
      <c r="F5504" s="29"/>
      <c r="G5504" s="30">
        <v>531.06222222222232</v>
      </c>
    </row>
    <row r="5505" spans="1:7" hidden="1" x14ac:dyDescent="0.25">
      <c r="A5505" s="28">
        <v>43983</v>
      </c>
      <c r="B5505" s="27" t="s">
        <v>3</v>
      </c>
      <c r="C5505" s="27" t="s">
        <v>50</v>
      </c>
      <c r="D5505" s="27" t="s">
        <v>7</v>
      </c>
      <c r="E5505" s="27" t="s">
        <v>23</v>
      </c>
      <c r="F5505" s="29"/>
      <c r="G5505" s="30">
        <v>531.06222222222232</v>
      </c>
    </row>
    <row r="5506" spans="1:7" hidden="1" x14ac:dyDescent="0.25">
      <c r="A5506" s="28">
        <v>43983</v>
      </c>
      <c r="B5506" s="27" t="s">
        <v>179</v>
      </c>
      <c r="C5506" s="27" t="s">
        <v>50</v>
      </c>
      <c r="D5506" s="27" t="s">
        <v>6</v>
      </c>
      <c r="E5506" s="27" t="s">
        <v>8</v>
      </c>
      <c r="F5506" s="29"/>
      <c r="G5506" s="30">
        <v>54.554166666666667</v>
      </c>
    </row>
    <row r="5507" spans="1:7" hidden="1" x14ac:dyDescent="0.25">
      <c r="A5507" s="28">
        <v>43983</v>
      </c>
      <c r="B5507" s="27" t="s">
        <v>179</v>
      </c>
      <c r="C5507" s="27" t="s">
        <v>50</v>
      </c>
      <c r="D5507" s="27" t="s">
        <v>6</v>
      </c>
      <c r="E5507" s="27" t="s">
        <v>9</v>
      </c>
      <c r="F5507" s="29"/>
      <c r="G5507" s="30">
        <v>73.436666666666667</v>
      </c>
    </row>
    <row r="5508" spans="1:7" hidden="1" x14ac:dyDescent="0.25">
      <c r="A5508" s="28">
        <v>43983</v>
      </c>
      <c r="B5508" s="27" t="s">
        <v>179</v>
      </c>
      <c r="C5508" s="27" t="s">
        <v>50</v>
      </c>
      <c r="D5508" s="27" t="s">
        <v>6</v>
      </c>
      <c r="E5508" s="27" t="s">
        <v>22</v>
      </c>
      <c r="F5508" s="29"/>
      <c r="G5508" s="30">
        <v>98.38666666666667</v>
      </c>
    </row>
    <row r="5509" spans="1:7" hidden="1" x14ac:dyDescent="0.25">
      <c r="A5509" s="28">
        <v>43983</v>
      </c>
      <c r="B5509" s="27" t="s">
        <v>179</v>
      </c>
      <c r="C5509" s="27" t="s">
        <v>50</v>
      </c>
      <c r="D5509" s="27" t="s">
        <v>6</v>
      </c>
      <c r="E5509" s="27" t="s">
        <v>64</v>
      </c>
      <c r="F5509" s="29"/>
      <c r="G5509" s="30">
        <v>58.149166666666666</v>
      </c>
    </row>
    <row r="5510" spans="1:7" hidden="1" x14ac:dyDescent="0.25">
      <c r="A5510" s="28">
        <v>43983</v>
      </c>
      <c r="B5510" s="27" t="s">
        <v>179</v>
      </c>
      <c r="C5510" s="27" t="s">
        <v>50</v>
      </c>
      <c r="D5510" s="27" t="s">
        <v>6</v>
      </c>
      <c r="E5510" s="27" t="s">
        <v>21</v>
      </c>
      <c r="F5510" s="29"/>
      <c r="G5510" s="30">
        <v>67.641666666666666</v>
      </c>
    </row>
    <row r="5511" spans="1:7" hidden="1" x14ac:dyDescent="0.25">
      <c r="A5511" s="28">
        <v>43983</v>
      </c>
      <c r="B5511" s="27" t="s">
        <v>179</v>
      </c>
      <c r="C5511" s="27" t="s">
        <v>50</v>
      </c>
      <c r="D5511" s="27" t="s">
        <v>6</v>
      </c>
      <c r="E5511" s="27" t="s">
        <v>10</v>
      </c>
      <c r="F5511" s="29"/>
      <c r="G5511" s="30">
        <v>88.40666666666668</v>
      </c>
    </row>
    <row r="5512" spans="1:7" hidden="1" x14ac:dyDescent="0.25">
      <c r="A5512" s="28">
        <v>43983</v>
      </c>
      <c r="B5512" s="27" t="s">
        <v>179</v>
      </c>
      <c r="C5512" s="27" t="s">
        <v>50</v>
      </c>
      <c r="D5512" s="27" t="s">
        <v>6</v>
      </c>
      <c r="E5512" s="27" t="s">
        <v>11</v>
      </c>
      <c r="F5512" s="29"/>
      <c r="G5512" s="30">
        <v>66.776666666666671</v>
      </c>
    </row>
    <row r="5513" spans="1:7" hidden="1" x14ac:dyDescent="0.25">
      <c r="A5513" s="28">
        <v>43983</v>
      </c>
      <c r="B5513" s="27" t="s">
        <v>179</v>
      </c>
      <c r="C5513" s="27" t="s">
        <v>50</v>
      </c>
      <c r="D5513" s="27" t="s">
        <v>6</v>
      </c>
      <c r="E5513" s="27" t="s">
        <v>12</v>
      </c>
      <c r="F5513" s="29"/>
      <c r="G5513" s="30">
        <v>68.674166666666665</v>
      </c>
    </row>
    <row r="5514" spans="1:7" hidden="1" x14ac:dyDescent="0.25">
      <c r="A5514" s="28">
        <v>43983</v>
      </c>
      <c r="B5514" s="27" t="s">
        <v>179</v>
      </c>
      <c r="C5514" s="27" t="s">
        <v>50</v>
      </c>
      <c r="D5514" s="27" t="s">
        <v>6</v>
      </c>
      <c r="E5514" s="27" t="s">
        <v>13</v>
      </c>
      <c r="F5514" s="29"/>
      <c r="G5514" s="30">
        <v>94.161666666666676</v>
      </c>
    </row>
    <row r="5515" spans="1:7" hidden="1" x14ac:dyDescent="0.25">
      <c r="A5515" s="28">
        <v>43983</v>
      </c>
      <c r="B5515" s="27" t="s">
        <v>179</v>
      </c>
      <c r="C5515" s="27" t="s">
        <v>50</v>
      </c>
      <c r="D5515" s="27" t="s">
        <v>6</v>
      </c>
      <c r="E5515" s="27" t="s">
        <v>14</v>
      </c>
      <c r="F5515" s="29"/>
      <c r="G5515" s="30">
        <v>84.979166666666671</v>
      </c>
    </row>
    <row r="5516" spans="1:7" hidden="1" x14ac:dyDescent="0.25">
      <c r="A5516" s="28">
        <v>43983</v>
      </c>
      <c r="B5516" s="27" t="s">
        <v>179</v>
      </c>
      <c r="C5516" s="27" t="s">
        <v>50</v>
      </c>
      <c r="D5516" s="27" t="s">
        <v>6</v>
      </c>
      <c r="E5516" s="27" t="s">
        <v>15</v>
      </c>
      <c r="F5516" s="29"/>
      <c r="G5516" s="30">
        <v>90.716666666666654</v>
      </c>
    </row>
    <row r="5517" spans="1:7" hidden="1" x14ac:dyDescent="0.25">
      <c r="A5517" s="28">
        <v>43983</v>
      </c>
      <c r="B5517" s="27" t="s">
        <v>179</v>
      </c>
      <c r="C5517" s="27" t="s">
        <v>50</v>
      </c>
      <c r="D5517" s="27" t="s">
        <v>6</v>
      </c>
      <c r="E5517" s="27" t="s">
        <v>16</v>
      </c>
      <c r="F5517" s="29"/>
      <c r="G5517" s="30">
        <v>92.149166666666659</v>
      </c>
    </row>
    <row r="5518" spans="1:7" hidden="1" x14ac:dyDescent="0.25">
      <c r="A5518" s="28">
        <v>43983</v>
      </c>
      <c r="B5518" s="27" t="s">
        <v>179</v>
      </c>
      <c r="C5518" s="27" t="s">
        <v>50</v>
      </c>
      <c r="D5518" s="27" t="s">
        <v>6</v>
      </c>
      <c r="E5518" s="27" t="s">
        <v>17</v>
      </c>
      <c r="F5518" s="29"/>
      <c r="G5518" s="30">
        <v>142.66166666666666</v>
      </c>
    </row>
    <row r="5519" spans="1:7" hidden="1" x14ac:dyDescent="0.25">
      <c r="A5519" s="28">
        <v>43983</v>
      </c>
      <c r="B5519" s="27" t="s">
        <v>179</v>
      </c>
      <c r="C5519" s="27" t="s">
        <v>50</v>
      </c>
      <c r="D5519" s="27" t="s">
        <v>6</v>
      </c>
      <c r="E5519" s="27" t="s">
        <v>18</v>
      </c>
      <c r="F5519" s="29"/>
      <c r="G5519" s="30">
        <v>190.84666666666666</v>
      </c>
    </row>
    <row r="5520" spans="1:7" hidden="1" x14ac:dyDescent="0.25">
      <c r="A5520" s="28">
        <v>43983</v>
      </c>
      <c r="B5520" s="27" t="s">
        <v>179</v>
      </c>
      <c r="C5520" s="27" t="s">
        <v>50</v>
      </c>
      <c r="D5520" s="27" t="s">
        <v>6</v>
      </c>
      <c r="E5520" s="27" t="s">
        <v>19</v>
      </c>
      <c r="F5520" s="29"/>
      <c r="G5520" s="30">
        <v>129.04666666666665</v>
      </c>
    </row>
    <row r="5521" spans="1:7" hidden="1" x14ac:dyDescent="0.25">
      <c r="A5521" s="28">
        <v>43983</v>
      </c>
      <c r="B5521" s="27" t="s">
        <v>179</v>
      </c>
      <c r="C5521" s="27" t="s">
        <v>50</v>
      </c>
      <c r="D5521" s="27" t="s">
        <v>6</v>
      </c>
      <c r="E5521" s="27" t="s">
        <v>20</v>
      </c>
      <c r="F5521" s="29"/>
      <c r="G5521" s="30">
        <v>235.09666666666666</v>
      </c>
    </row>
    <row r="5522" spans="1:7" hidden="1" x14ac:dyDescent="0.25">
      <c r="A5522" s="28">
        <v>43983</v>
      </c>
      <c r="B5522" s="27" t="s">
        <v>179</v>
      </c>
      <c r="C5522" s="27" t="s">
        <v>50</v>
      </c>
      <c r="D5522" s="27" t="s">
        <v>6</v>
      </c>
      <c r="E5522" s="27" t="s">
        <v>38</v>
      </c>
      <c r="F5522" s="29"/>
      <c r="G5522" s="30">
        <v>108.04666666666667</v>
      </c>
    </row>
    <row r="5523" spans="1:7" hidden="1" x14ac:dyDescent="0.25">
      <c r="A5523" s="28">
        <v>43983</v>
      </c>
      <c r="B5523" s="27" t="s">
        <v>179</v>
      </c>
      <c r="C5523" s="27" t="s">
        <v>50</v>
      </c>
      <c r="D5523" s="27" t="s">
        <v>6</v>
      </c>
      <c r="E5523" s="27" t="s">
        <v>23</v>
      </c>
      <c r="F5523" s="29"/>
      <c r="G5523" s="30">
        <v>149.57916666666668</v>
      </c>
    </row>
    <row r="5524" spans="1:7" hidden="1" x14ac:dyDescent="0.25">
      <c r="A5524" s="28">
        <v>43983</v>
      </c>
      <c r="B5524" s="27" t="s">
        <v>32</v>
      </c>
      <c r="C5524" s="27" t="s">
        <v>50</v>
      </c>
      <c r="D5524" s="27" t="s">
        <v>7</v>
      </c>
      <c r="E5524" s="27" t="s">
        <v>10</v>
      </c>
      <c r="F5524" s="29"/>
      <c r="G5524" s="30">
        <v>30</v>
      </c>
    </row>
    <row r="5525" spans="1:7" hidden="1" x14ac:dyDescent="0.25">
      <c r="A5525" s="28">
        <v>43983</v>
      </c>
      <c r="B5525" s="27" t="s">
        <v>32</v>
      </c>
      <c r="C5525" s="27" t="s">
        <v>50</v>
      </c>
      <c r="D5525" s="27" t="s">
        <v>7</v>
      </c>
      <c r="E5525" s="27" t="s">
        <v>14</v>
      </c>
      <c r="F5525" s="29"/>
      <c r="G5525" s="30">
        <v>30</v>
      </c>
    </row>
    <row r="5526" spans="1:7" hidden="1" x14ac:dyDescent="0.25">
      <c r="A5526" s="28">
        <v>43983</v>
      </c>
      <c r="B5526" s="27" t="s">
        <v>32</v>
      </c>
      <c r="C5526" s="27" t="s">
        <v>50</v>
      </c>
      <c r="D5526" s="27" t="s">
        <v>7</v>
      </c>
      <c r="E5526" s="27" t="s">
        <v>17</v>
      </c>
      <c r="F5526" s="29"/>
      <c r="G5526" s="30">
        <v>30</v>
      </c>
    </row>
    <row r="5527" spans="1:7" hidden="1" x14ac:dyDescent="0.25">
      <c r="A5527" s="28">
        <v>43983</v>
      </c>
      <c r="B5527" s="27" t="s">
        <v>5</v>
      </c>
      <c r="C5527" s="27" t="s">
        <v>51</v>
      </c>
      <c r="D5527" s="27" t="s">
        <v>51</v>
      </c>
      <c r="E5527" s="27" t="s">
        <v>8</v>
      </c>
      <c r="F5527" s="29">
        <v>1862</v>
      </c>
      <c r="G5527" s="30">
        <v>5.9306711625555115</v>
      </c>
    </row>
    <row r="5528" spans="1:7" hidden="1" x14ac:dyDescent="0.25">
      <c r="A5528" s="28">
        <v>43983</v>
      </c>
      <c r="B5528" s="27" t="s">
        <v>5</v>
      </c>
      <c r="C5528" s="27" t="s">
        <v>51</v>
      </c>
      <c r="D5528" s="27" t="s">
        <v>51</v>
      </c>
      <c r="E5528" s="27" t="s">
        <v>9</v>
      </c>
      <c r="F5528" s="29">
        <v>100</v>
      </c>
      <c r="G5528" s="30">
        <v>90.329948713450307</v>
      </c>
    </row>
    <row r="5529" spans="1:7" hidden="1" x14ac:dyDescent="0.25">
      <c r="A5529" s="28">
        <v>43983</v>
      </c>
      <c r="B5529" s="27" t="s">
        <v>5</v>
      </c>
      <c r="C5529" s="27" t="s">
        <v>51</v>
      </c>
      <c r="D5529" s="27" t="s">
        <v>51</v>
      </c>
      <c r="E5529" s="27" t="s">
        <v>22</v>
      </c>
      <c r="F5529" s="29">
        <v>1670</v>
      </c>
      <c r="G5529" s="30">
        <v>6.2960282662744715</v>
      </c>
    </row>
    <row r="5530" spans="1:7" hidden="1" x14ac:dyDescent="0.25">
      <c r="A5530" s="28">
        <v>43983</v>
      </c>
      <c r="B5530" s="27" t="s">
        <v>5</v>
      </c>
      <c r="C5530" s="27" t="s">
        <v>51</v>
      </c>
      <c r="D5530" s="27" t="s">
        <v>51</v>
      </c>
      <c r="E5530" s="27" t="s">
        <v>64</v>
      </c>
      <c r="F5530" s="29">
        <v>1286</v>
      </c>
      <c r="G5530" s="30">
        <v>8.001217240548236</v>
      </c>
    </row>
    <row r="5531" spans="1:7" hidden="1" x14ac:dyDescent="0.25">
      <c r="A5531" s="28">
        <v>43983</v>
      </c>
      <c r="B5531" s="27" t="s">
        <v>5</v>
      </c>
      <c r="C5531" s="27" t="s">
        <v>51</v>
      </c>
      <c r="D5531" s="27" t="s">
        <v>51</v>
      </c>
      <c r="E5531" s="27" t="s">
        <v>21</v>
      </c>
      <c r="F5531" s="29">
        <v>5254</v>
      </c>
      <c r="G5531" s="30">
        <v>2.8804185137695142</v>
      </c>
    </row>
    <row r="5532" spans="1:7" hidden="1" x14ac:dyDescent="0.25">
      <c r="A5532" s="28">
        <v>43983</v>
      </c>
      <c r="B5532" s="27" t="s">
        <v>5</v>
      </c>
      <c r="C5532" s="27" t="s">
        <v>51</v>
      </c>
      <c r="D5532" s="27" t="s">
        <v>51</v>
      </c>
      <c r="E5532" s="27" t="s">
        <v>10</v>
      </c>
      <c r="F5532" s="29">
        <v>3968</v>
      </c>
      <c r="G5532" s="30">
        <v>3.5336698264478401</v>
      </c>
    </row>
    <row r="5533" spans="1:7" hidden="1" x14ac:dyDescent="0.25">
      <c r="A5533" s="28">
        <v>43983</v>
      </c>
      <c r="B5533" s="27" t="s">
        <v>5</v>
      </c>
      <c r="C5533" s="27" t="s">
        <v>51</v>
      </c>
      <c r="D5533" s="27" t="s">
        <v>51</v>
      </c>
      <c r="E5533" s="27" t="s">
        <v>11</v>
      </c>
      <c r="F5533" s="29">
        <v>3139</v>
      </c>
      <c r="G5533" s="30">
        <v>3.8753213989630559</v>
      </c>
    </row>
    <row r="5534" spans="1:7" hidden="1" x14ac:dyDescent="0.25">
      <c r="A5534" s="28">
        <v>43983</v>
      </c>
      <c r="B5534" s="27" t="s">
        <v>5</v>
      </c>
      <c r="C5534" s="27" t="s">
        <v>51</v>
      </c>
      <c r="D5534" s="27" t="s">
        <v>51</v>
      </c>
      <c r="E5534" s="27" t="s">
        <v>12</v>
      </c>
      <c r="F5534" s="29">
        <v>3370</v>
      </c>
      <c r="G5534" s="30">
        <v>3.499515540458467</v>
      </c>
    </row>
    <row r="5535" spans="1:7" hidden="1" x14ac:dyDescent="0.25">
      <c r="A5535" s="28">
        <v>43983</v>
      </c>
      <c r="B5535" s="27" t="s">
        <v>5</v>
      </c>
      <c r="C5535" s="27" t="s">
        <v>51</v>
      </c>
      <c r="D5535" s="27" t="s">
        <v>51</v>
      </c>
      <c r="E5535" s="27" t="s">
        <v>13</v>
      </c>
      <c r="F5535" s="29">
        <v>5964</v>
      </c>
      <c r="G5535" s="30">
        <v>2.3336616708045548</v>
      </c>
    </row>
    <row r="5536" spans="1:7" hidden="1" x14ac:dyDescent="0.25">
      <c r="A5536" s="28">
        <v>43983</v>
      </c>
      <c r="B5536" s="27" t="s">
        <v>5</v>
      </c>
      <c r="C5536" s="27" t="s">
        <v>51</v>
      </c>
      <c r="D5536" s="27" t="s">
        <v>51</v>
      </c>
      <c r="E5536" s="27" t="s">
        <v>14</v>
      </c>
      <c r="F5536" s="29">
        <v>2700</v>
      </c>
      <c r="G5536" s="30">
        <v>3.4042940881524806</v>
      </c>
    </row>
    <row r="5537" spans="1:7" hidden="1" x14ac:dyDescent="0.25">
      <c r="A5537" s="28">
        <v>43983</v>
      </c>
      <c r="B5537" s="27" t="s">
        <v>5</v>
      </c>
      <c r="C5537" s="27" t="s">
        <v>51</v>
      </c>
      <c r="D5537" s="27" t="s">
        <v>51</v>
      </c>
      <c r="E5537" s="27" t="s">
        <v>15</v>
      </c>
      <c r="F5537" s="29">
        <v>5223</v>
      </c>
      <c r="G5537" s="30">
        <v>2.6418267671220299</v>
      </c>
    </row>
    <row r="5538" spans="1:7" hidden="1" x14ac:dyDescent="0.25">
      <c r="A5538" s="28">
        <v>43983</v>
      </c>
      <c r="B5538" s="27" t="s">
        <v>5</v>
      </c>
      <c r="C5538" s="27" t="s">
        <v>51</v>
      </c>
      <c r="D5538" s="27" t="s">
        <v>51</v>
      </c>
      <c r="E5538" s="27" t="s">
        <v>16</v>
      </c>
      <c r="F5538" s="29">
        <v>5017</v>
      </c>
      <c r="G5538" s="30">
        <v>2.4906264775785716</v>
      </c>
    </row>
    <row r="5539" spans="1:7" hidden="1" x14ac:dyDescent="0.25">
      <c r="A5539" s="28">
        <v>43983</v>
      </c>
      <c r="B5539" s="27" t="s">
        <v>5</v>
      </c>
      <c r="C5539" s="27" t="s">
        <v>51</v>
      </c>
      <c r="D5539" s="27" t="s">
        <v>51</v>
      </c>
      <c r="E5539" s="27" t="s">
        <v>17</v>
      </c>
      <c r="F5539" s="29">
        <v>3041</v>
      </c>
      <c r="G5539" s="30">
        <v>4.997273551905633</v>
      </c>
    </row>
    <row r="5540" spans="1:7" hidden="1" x14ac:dyDescent="0.25">
      <c r="A5540" s="28">
        <v>43983</v>
      </c>
      <c r="B5540" s="27" t="s">
        <v>5</v>
      </c>
      <c r="C5540" s="27" t="s">
        <v>51</v>
      </c>
      <c r="D5540" s="27" t="s">
        <v>51</v>
      </c>
      <c r="E5540" s="27" t="s">
        <v>18</v>
      </c>
      <c r="F5540" s="29">
        <v>5780</v>
      </c>
      <c r="G5540" s="30">
        <v>1.7463469346715546</v>
      </c>
    </row>
    <row r="5541" spans="1:7" hidden="1" x14ac:dyDescent="0.25">
      <c r="A5541" s="28">
        <v>43983</v>
      </c>
      <c r="B5541" s="27" t="s">
        <v>5</v>
      </c>
      <c r="C5541" s="27" t="s">
        <v>51</v>
      </c>
      <c r="D5541" s="27" t="s">
        <v>51</v>
      </c>
      <c r="E5541" s="27" t="s">
        <v>19</v>
      </c>
      <c r="F5541" s="29">
        <v>4543</v>
      </c>
      <c r="G5541" s="30">
        <v>3.6907115425955745</v>
      </c>
    </row>
    <row r="5542" spans="1:7" hidden="1" x14ac:dyDescent="0.25">
      <c r="A5542" s="28">
        <v>43983</v>
      </c>
      <c r="B5542" s="27" t="s">
        <v>5</v>
      </c>
      <c r="C5542" s="27" t="s">
        <v>51</v>
      </c>
      <c r="D5542" s="27" t="s">
        <v>51</v>
      </c>
      <c r="E5542" s="27" t="s">
        <v>20</v>
      </c>
      <c r="F5542" s="29">
        <v>6485</v>
      </c>
      <c r="G5542" s="30">
        <v>1.8160748709347256</v>
      </c>
    </row>
    <row r="5543" spans="1:7" hidden="1" x14ac:dyDescent="0.25">
      <c r="A5543" s="28">
        <v>43983</v>
      </c>
      <c r="B5543" s="27" t="s">
        <v>5</v>
      </c>
      <c r="C5543" s="27" t="s">
        <v>51</v>
      </c>
      <c r="D5543" s="27" t="s">
        <v>51</v>
      </c>
      <c r="E5543" s="27" t="s">
        <v>38</v>
      </c>
      <c r="F5543" s="29">
        <v>4419</v>
      </c>
      <c r="G5543" s="30">
        <v>2.2898466179403405</v>
      </c>
    </row>
    <row r="5544" spans="1:7" hidden="1" x14ac:dyDescent="0.25">
      <c r="A5544" s="28">
        <v>43983</v>
      </c>
      <c r="B5544" s="27" t="s">
        <v>5</v>
      </c>
      <c r="C5544" s="27" t="s">
        <v>51</v>
      </c>
      <c r="D5544" s="27" t="s">
        <v>51</v>
      </c>
      <c r="E5544" s="27" t="s">
        <v>23</v>
      </c>
      <c r="F5544" s="29">
        <v>3663</v>
      </c>
      <c r="G5544" s="30">
        <v>3.6741402415174345</v>
      </c>
    </row>
    <row r="5545" spans="1:7" hidden="1" x14ac:dyDescent="0.25">
      <c r="A5545" s="28">
        <v>43983</v>
      </c>
      <c r="B5545" s="27" t="s">
        <v>180</v>
      </c>
      <c r="C5545" s="27" t="s">
        <v>50</v>
      </c>
      <c r="D5545" s="27" t="s">
        <v>7</v>
      </c>
      <c r="E5545" s="27" t="s">
        <v>8</v>
      </c>
      <c r="F5545" s="29"/>
      <c r="G5545" s="30">
        <v>90.1</v>
      </c>
    </row>
    <row r="5546" spans="1:7" hidden="1" x14ac:dyDescent="0.25">
      <c r="A5546" s="28">
        <v>43983</v>
      </c>
      <c r="B5546" s="27" t="s">
        <v>180</v>
      </c>
      <c r="C5546" s="27" t="s">
        <v>50</v>
      </c>
      <c r="D5546" s="27" t="s">
        <v>7</v>
      </c>
      <c r="E5546" s="27" t="s">
        <v>9</v>
      </c>
      <c r="F5546" s="29"/>
      <c r="G5546" s="30">
        <v>317.48</v>
      </c>
    </row>
    <row r="5547" spans="1:7" hidden="1" x14ac:dyDescent="0.25">
      <c r="A5547" s="28">
        <v>43983</v>
      </c>
      <c r="B5547" s="27" t="s">
        <v>180</v>
      </c>
      <c r="C5547" s="27" t="s">
        <v>50</v>
      </c>
      <c r="D5547" s="27" t="s">
        <v>7</v>
      </c>
      <c r="E5547" s="27" t="s">
        <v>22</v>
      </c>
      <c r="F5547" s="29"/>
      <c r="G5547" s="30">
        <v>130</v>
      </c>
    </row>
    <row r="5548" spans="1:7" hidden="1" x14ac:dyDescent="0.25">
      <c r="A5548" s="28">
        <v>43983</v>
      </c>
      <c r="B5548" s="27" t="s">
        <v>180</v>
      </c>
      <c r="C5548" s="27" t="s">
        <v>50</v>
      </c>
      <c r="D5548" s="27" t="s">
        <v>7</v>
      </c>
      <c r="E5548" s="27" t="s">
        <v>64</v>
      </c>
      <c r="F5548" s="29"/>
      <c r="G5548" s="30">
        <v>522.54</v>
      </c>
    </row>
    <row r="5549" spans="1:7" hidden="1" x14ac:dyDescent="0.25">
      <c r="A5549" s="28">
        <v>43983</v>
      </c>
      <c r="B5549" s="27" t="s">
        <v>180</v>
      </c>
      <c r="C5549" s="27" t="s">
        <v>50</v>
      </c>
      <c r="D5549" s="27" t="s">
        <v>7</v>
      </c>
      <c r="E5549" s="27" t="s">
        <v>21</v>
      </c>
      <c r="F5549" s="29"/>
      <c r="G5549" s="30">
        <v>1599.12</v>
      </c>
    </row>
    <row r="5550" spans="1:7" hidden="1" x14ac:dyDescent="0.25">
      <c r="A5550" s="28">
        <v>43983</v>
      </c>
      <c r="B5550" s="27" t="s">
        <v>180</v>
      </c>
      <c r="C5550" s="27" t="s">
        <v>50</v>
      </c>
      <c r="D5550" s="27" t="s">
        <v>7</v>
      </c>
      <c r="E5550" s="27" t="s">
        <v>10</v>
      </c>
      <c r="F5550" s="29"/>
      <c r="G5550" s="30">
        <v>353.92</v>
      </c>
    </row>
    <row r="5551" spans="1:7" hidden="1" x14ac:dyDescent="0.25">
      <c r="A5551" s="28">
        <v>43983</v>
      </c>
      <c r="B5551" s="27" t="s">
        <v>180</v>
      </c>
      <c r="C5551" s="27" t="s">
        <v>50</v>
      </c>
      <c r="D5551" s="27" t="s">
        <v>7</v>
      </c>
      <c r="E5551" s="27" t="s">
        <v>11</v>
      </c>
      <c r="F5551" s="29"/>
      <c r="G5551" s="30">
        <v>1086.3599999999999</v>
      </c>
    </row>
    <row r="5552" spans="1:7" hidden="1" x14ac:dyDescent="0.25">
      <c r="A5552" s="28">
        <v>43983</v>
      </c>
      <c r="B5552" s="27" t="s">
        <v>180</v>
      </c>
      <c r="C5552" s="27" t="s">
        <v>50</v>
      </c>
      <c r="D5552" s="27" t="s">
        <v>7</v>
      </c>
      <c r="E5552" s="27" t="s">
        <v>12</v>
      </c>
      <c r="F5552" s="29"/>
      <c r="G5552" s="30">
        <v>1171.68</v>
      </c>
    </row>
    <row r="5553" spans="1:7" hidden="1" x14ac:dyDescent="0.25">
      <c r="A5553" s="28">
        <v>43983</v>
      </c>
      <c r="B5553" s="27" t="s">
        <v>180</v>
      </c>
      <c r="C5553" s="27" t="s">
        <v>50</v>
      </c>
      <c r="D5553" s="27" t="s">
        <v>7</v>
      </c>
      <c r="E5553" s="27" t="s">
        <v>15</v>
      </c>
      <c r="F5553" s="29"/>
      <c r="G5553" s="30">
        <v>730</v>
      </c>
    </row>
    <row r="5554" spans="1:7" hidden="1" x14ac:dyDescent="0.25">
      <c r="A5554" s="28">
        <v>43983</v>
      </c>
      <c r="B5554" s="27" t="s">
        <v>180</v>
      </c>
      <c r="C5554" s="27" t="s">
        <v>50</v>
      </c>
      <c r="D5554" s="27" t="s">
        <v>7</v>
      </c>
      <c r="E5554" s="27" t="s">
        <v>16</v>
      </c>
      <c r="F5554" s="29"/>
      <c r="G5554" s="30">
        <v>170</v>
      </c>
    </row>
    <row r="5555" spans="1:7" hidden="1" x14ac:dyDescent="0.25">
      <c r="A5555" s="28">
        <v>43983</v>
      </c>
      <c r="B5555" s="27" t="s">
        <v>180</v>
      </c>
      <c r="C5555" s="27" t="s">
        <v>50</v>
      </c>
      <c r="D5555" s="27" t="s">
        <v>7</v>
      </c>
      <c r="E5555" s="27" t="s">
        <v>17</v>
      </c>
      <c r="F5555" s="29"/>
      <c r="G5555" s="30">
        <v>270</v>
      </c>
    </row>
    <row r="5556" spans="1:7" hidden="1" x14ac:dyDescent="0.25">
      <c r="A5556" s="28">
        <v>43983</v>
      </c>
      <c r="B5556" s="27" t="s">
        <v>180</v>
      </c>
      <c r="C5556" s="27" t="s">
        <v>50</v>
      </c>
      <c r="D5556" s="27" t="s">
        <v>7</v>
      </c>
      <c r="E5556" s="27" t="s">
        <v>19</v>
      </c>
      <c r="F5556" s="29"/>
      <c r="G5556" s="30">
        <v>3540.72</v>
      </c>
    </row>
    <row r="5557" spans="1:7" hidden="1" x14ac:dyDescent="0.25">
      <c r="A5557" s="28">
        <v>43983</v>
      </c>
      <c r="B5557" s="27" t="s">
        <v>180</v>
      </c>
      <c r="C5557" s="27" t="s">
        <v>50</v>
      </c>
      <c r="D5557" s="27" t="s">
        <v>7</v>
      </c>
      <c r="E5557" s="27" t="s">
        <v>20</v>
      </c>
      <c r="F5557" s="29"/>
      <c r="G5557" s="30">
        <v>25</v>
      </c>
    </row>
    <row r="5558" spans="1:7" hidden="1" x14ac:dyDescent="0.25">
      <c r="A5558" s="28">
        <v>43983</v>
      </c>
      <c r="B5558" s="27" t="s">
        <v>180</v>
      </c>
      <c r="C5558" s="27" t="s">
        <v>50</v>
      </c>
      <c r="D5558" s="27" t="s">
        <v>7</v>
      </c>
      <c r="E5558" s="27" t="s">
        <v>23</v>
      </c>
      <c r="F5558" s="29"/>
      <c r="G5558" s="30">
        <v>320</v>
      </c>
    </row>
    <row r="5559" spans="1:7" hidden="1" x14ac:dyDescent="0.25">
      <c r="A5559" s="28">
        <v>43983</v>
      </c>
      <c r="B5559" s="27" t="s">
        <v>181</v>
      </c>
      <c r="C5559" s="27" t="s">
        <v>50</v>
      </c>
      <c r="D5559" s="27" t="s">
        <v>6</v>
      </c>
      <c r="E5559" s="27" t="s">
        <v>8</v>
      </c>
      <c r="F5559" s="29"/>
      <c r="G5559" s="30">
        <v>452.9</v>
      </c>
    </row>
    <row r="5560" spans="1:7" hidden="1" x14ac:dyDescent="0.25">
      <c r="A5560" s="28">
        <v>43983</v>
      </c>
      <c r="B5560" s="27" t="s">
        <v>181</v>
      </c>
      <c r="C5560" s="27" t="s">
        <v>50</v>
      </c>
      <c r="D5560" s="27" t="s">
        <v>6</v>
      </c>
      <c r="E5560" s="27" t="s">
        <v>10</v>
      </c>
      <c r="F5560" s="29"/>
      <c r="G5560" s="30">
        <v>129.99</v>
      </c>
    </row>
    <row r="5561" spans="1:7" hidden="1" x14ac:dyDescent="0.25">
      <c r="A5561" s="28">
        <v>43983</v>
      </c>
      <c r="B5561" s="27" t="s">
        <v>181</v>
      </c>
      <c r="C5561" s="27" t="s">
        <v>50</v>
      </c>
      <c r="D5561" s="27" t="s">
        <v>6</v>
      </c>
      <c r="E5561" s="27" t="s">
        <v>11</v>
      </c>
      <c r="F5561" s="29"/>
      <c r="G5561" s="30">
        <v>824.1</v>
      </c>
    </row>
    <row r="5562" spans="1:7" hidden="1" x14ac:dyDescent="0.25">
      <c r="A5562" s="28">
        <v>43983</v>
      </c>
      <c r="B5562" s="27" t="s">
        <v>181</v>
      </c>
      <c r="C5562" s="27" t="s">
        <v>50</v>
      </c>
      <c r="D5562" s="27" t="s">
        <v>6</v>
      </c>
      <c r="E5562" s="27" t="s">
        <v>12</v>
      </c>
      <c r="F5562" s="29"/>
      <c r="G5562" s="30">
        <v>414.98</v>
      </c>
    </row>
    <row r="5563" spans="1:7" hidden="1" x14ac:dyDescent="0.25">
      <c r="A5563" s="28">
        <v>43983</v>
      </c>
      <c r="B5563" s="27" t="s">
        <v>181</v>
      </c>
      <c r="C5563" s="27" t="s">
        <v>50</v>
      </c>
      <c r="D5563" s="27" t="s">
        <v>6</v>
      </c>
      <c r="E5563" s="27" t="s">
        <v>13</v>
      </c>
      <c r="F5563" s="29"/>
      <c r="G5563" s="30">
        <v>17</v>
      </c>
    </row>
    <row r="5564" spans="1:7" hidden="1" x14ac:dyDescent="0.25">
      <c r="A5564" s="28">
        <v>43983</v>
      </c>
      <c r="B5564" s="27" t="s">
        <v>181</v>
      </c>
      <c r="C5564" s="27" t="s">
        <v>50</v>
      </c>
      <c r="D5564" s="27" t="s">
        <v>6</v>
      </c>
      <c r="E5564" s="27" t="s">
        <v>14</v>
      </c>
      <c r="F5564" s="29"/>
      <c r="G5564" s="30">
        <v>172.5</v>
      </c>
    </row>
    <row r="5565" spans="1:7" hidden="1" x14ac:dyDescent="0.25">
      <c r="A5565" s="28">
        <v>43983</v>
      </c>
      <c r="B5565" s="27" t="s">
        <v>181</v>
      </c>
      <c r="C5565" s="27" t="s">
        <v>50</v>
      </c>
      <c r="D5565" s="27" t="s">
        <v>6</v>
      </c>
      <c r="E5565" s="27" t="s">
        <v>16</v>
      </c>
      <c r="F5565" s="29"/>
      <c r="G5565" s="30">
        <v>120</v>
      </c>
    </row>
    <row r="5566" spans="1:7" hidden="1" x14ac:dyDescent="0.25">
      <c r="A5566" s="28">
        <v>43983</v>
      </c>
      <c r="B5566" s="27" t="s">
        <v>181</v>
      </c>
      <c r="C5566" s="27" t="s">
        <v>50</v>
      </c>
      <c r="D5566" s="27" t="s">
        <v>6</v>
      </c>
      <c r="E5566" s="27" t="s">
        <v>17</v>
      </c>
      <c r="F5566" s="29"/>
      <c r="G5566" s="30">
        <v>1035.19</v>
      </c>
    </row>
    <row r="5567" spans="1:7" hidden="1" x14ac:dyDescent="0.25">
      <c r="A5567" s="28">
        <v>43983</v>
      </c>
      <c r="B5567" s="27" t="s">
        <v>181</v>
      </c>
      <c r="C5567" s="27" t="s">
        <v>50</v>
      </c>
      <c r="D5567" s="27" t="s">
        <v>6</v>
      </c>
      <c r="E5567" s="27" t="s">
        <v>20</v>
      </c>
      <c r="F5567" s="29"/>
      <c r="G5567" s="30">
        <v>405.1</v>
      </c>
    </row>
    <row r="5568" spans="1:7" hidden="1" x14ac:dyDescent="0.25">
      <c r="A5568" s="28">
        <v>43983</v>
      </c>
      <c r="B5568" s="27" t="s">
        <v>25</v>
      </c>
      <c r="C5568" s="27" t="s">
        <v>50</v>
      </c>
      <c r="D5568" s="27" t="s">
        <v>7</v>
      </c>
      <c r="E5568" s="27" t="s">
        <v>10</v>
      </c>
      <c r="F5568" s="29"/>
      <c r="G5568" s="30">
        <v>104.13</v>
      </c>
    </row>
    <row r="5569" spans="1:7" hidden="1" x14ac:dyDescent="0.25">
      <c r="A5569" s="28">
        <v>43983</v>
      </c>
      <c r="B5569" s="27" t="s">
        <v>25</v>
      </c>
      <c r="C5569" s="27" t="s">
        <v>50</v>
      </c>
      <c r="D5569" s="27" t="s">
        <v>7</v>
      </c>
      <c r="E5569" s="27" t="s">
        <v>16</v>
      </c>
      <c r="F5569" s="29"/>
      <c r="G5569" s="30">
        <v>132.56</v>
      </c>
    </row>
    <row r="5570" spans="1:7" hidden="1" x14ac:dyDescent="0.25">
      <c r="A5570" s="28">
        <v>43983</v>
      </c>
      <c r="B5570" s="27" t="s">
        <v>2</v>
      </c>
      <c r="C5570" s="27" t="s">
        <v>50</v>
      </c>
      <c r="D5570" s="27" t="s">
        <v>7</v>
      </c>
      <c r="E5570" s="27" t="s">
        <v>8</v>
      </c>
      <c r="F5570" s="29"/>
      <c r="G5570" s="30">
        <v>108.07</v>
      </c>
    </row>
    <row r="5571" spans="1:7" hidden="1" x14ac:dyDescent="0.25">
      <c r="A5571" s="28">
        <v>43983</v>
      </c>
      <c r="B5571" s="27" t="s">
        <v>2</v>
      </c>
      <c r="C5571" s="27" t="s">
        <v>50</v>
      </c>
      <c r="D5571" s="27" t="s">
        <v>7</v>
      </c>
      <c r="E5571" s="27" t="s">
        <v>9</v>
      </c>
      <c r="F5571" s="29"/>
      <c r="G5571" s="30">
        <v>37.9</v>
      </c>
    </row>
    <row r="5572" spans="1:7" hidden="1" x14ac:dyDescent="0.25">
      <c r="A5572" s="28">
        <v>43983</v>
      </c>
      <c r="B5572" s="27" t="s">
        <v>2</v>
      </c>
      <c r="C5572" s="27" t="s">
        <v>50</v>
      </c>
      <c r="D5572" s="27" t="s">
        <v>7</v>
      </c>
      <c r="E5572" s="27" t="s">
        <v>22</v>
      </c>
      <c r="F5572" s="29"/>
      <c r="G5572" s="30">
        <v>438.7</v>
      </c>
    </row>
    <row r="5573" spans="1:7" hidden="1" x14ac:dyDescent="0.25">
      <c r="A5573" s="28">
        <v>43983</v>
      </c>
      <c r="B5573" s="27" t="s">
        <v>2</v>
      </c>
      <c r="C5573" s="27" t="s">
        <v>50</v>
      </c>
      <c r="D5573" s="27" t="s">
        <v>7</v>
      </c>
      <c r="E5573" s="27" t="s">
        <v>64</v>
      </c>
      <c r="F5573" s="29"/>
      <c r="G5573" s="30">
        <v>151.27000000000001</v>
      </c>
    </row>
    <row r="5574" spans="1:7" hidden="1" x14ac:dyDescent="0.25">
      <c r="A5574" s="28">
        <v>43983</v>
      </c>
      <c r="B5574" s="27" t="s">
        <v>2</v>
      </c>
      <c r="C5574" s="27" t="s">
        <v>50</v>
      </c>
      <c r="D5574" s="27" t="s">
        <v>7</v>
      </c>
      <c r="E5574" s="27" t="s">
        <v>21</v>
      </c>
      <c r="F5574" s="29"/>
      <c r="G5574" s="30">
        <v>656</v>
      </c>
    </row>
    <row r="5575" spans="1:7" hidden="1" x14ac:dyDescent="0.25">
      <c r="A5575" s="28">
        <v>43983</v>
      </c>
      <c r="B5575" s="27" t="s">
        <v>2</v>
      </c>
      <c r="C5575" s="27" t="s">
        <v>50</v>
      </c>
      <c r="D5575" s="27" t="s">
        <v>7</v>
      </c>
      <c r="E5575" s="27" t="s">
        <v>10</v>
      </c>
      <c r="F5575" s="29"/>
      <c r="G5575" s="30">
        <v>672.97</v>
      </c>
    </row>
    <row r="5576" spans="1:7" hidden="1" x14ac:dyDescent="0.25">
      <c r="A5576" s="28">
        <v>43983</v>
      </c>
      <c r="B5576" s="27" t="s">
        <v>2</v>
      </c>
      <c r="C5576" s="27" t="s">
        <v>50</v>
      </c>
      <c r="D5576" s="27" t="s">
        <v>7</v>
      </c>
      <c r="E5576" s="27" t="s">
        <v>11</v>
      </c>
      <c r="F5576" s="29"/>
      <c r="G5576" s="30">
        <v>330.87</v>
      </c>
    </row>
    <row r="5577" spans="1:7" hidden="1" x14ac:dyDescent="0.25">
      <c r="A5577" s="28">
        <v>43983</v>
      </c>
      <c r="B5577" s="27" t="s">
        <v>2</v>
      </c>
      <c r="C5577" s="27" t="s">
        <v>50</v>
      </c>
      <c r="D5577" s="27" t="s">
        <v>7</v>
      </c>
      <c r="E5577" s="27" t="s">
        <v>12</v>
      </c>
      <c r="F5577" s="29"/>
      <c r="G5577" s="30">
        <v>211.87</v>
      </c>
    </row>
    <row r="5578" spans="1:7" hidden="1" x14ac:dyDescent="0.25">
      <c r="A5578" s="28">
        <v>43983</v>
      </c>
      <c r="B5578" s="27" t="s">
        <v>2</v>
      </c>
      <c r="C5578" s="27" t="s">
        <v>50</v>
      </c>
      <c r="D5578" s="27" t="s">
        <v>7</v>
      </c>
      <c r="E5578" s="27" t="s">
        <v>13</v>
      </c>
      <c r="F5578" s="29"/>
      <c r="G5578" s="30">
        <v>1162.32</v>
      </c>
    </row>
    <row r="5579" spans="1:7" hidden="1" x14ac:dyDescent="0.25">
      <c r="A5579" s="28">
        <v>43983</v>
      </c>
      <c r="B5579" s="27" t="s">
        <v>2</v>
      </c>
      <c r="C5579" s="27" t="s">
        <v>50</v>
      </c>
      <c r="D5579" s="27" t="s">
        <v>7</v>
      </c>
      <c r="E5579" s="27" t="s">
        <v>14</v>
      </c>
      <c r="F5579" s="29"/>
      <c r="G5579" s="30">
        <v>186.42</v>
      </c>
    </row>
    <row r="5580" spans="1:7" hidden="1" x14ac:dyDescent="0.25">
      <c r="A5580" s="28">
        <v>43983</v>
      </c>
      <c r="B5580" s="27" t="s">
        <v>2</v>
      </c>
      <c r="C5580" s="27" t="s">
        <v>50</v>
      </c>
      <c r="D5580" s="27" t="s">
        <v>7</v>
      </c>
      <c r="E5580" s="27" t="s">
        <v>15</v>
      </c>
      <c r="F5580" s="29"/>
      <c r="G5580" s="30">
        <v>861.21</v>
      </c>
    </row>
    <row r="5581" spans="1:7" hidden="1" x14ac:dyDescent="0.25">
      <c r="A5581" s="28">
        <v>43983</v>
      </c>
      <c r="B5581" s="27" t="s">
        <v>2</v>
      </c>
      <c r="C5581" s="27" t="s">
        <v>50</v>
      </c>
      <c r="D5581" s="27" t="s">
        <v>7</v>
      </c>
      <c r="E5581" s="27" t="s">
        <v>16</v>
      </c>
      <c r="F5581" s="29"/>
      <c r="G5581" s="30">
        <v>284.20999999999998</v>
      </c>
    </row>
    <row r="5582" spans="1:7" hidden="1" x14ac:dyDescent="0.25">
      <c r="A5582" s="28">
        <v>43983</v>
      </c>
      <c r="B5582" s="27" t="s">
        <v>2</v>
      </c>
      <c r="C5582" s="27" t="s">
        <v>50</v>
      </c>
      <c r="D5582" s="27" t="s">
        <v>7</v>
      </c>
      <c r="E5582" s="27" t="s">
        <v>17</v>
      </c>
      <c r="F5582" s="29"/>
      <c r="G5582" s="30">
        <v>492.11</v>
      </c>
    </row>
    <row r="5583" spans="1:7" hidden="1" x14ac:dyDescent="0.25">
      <c r="A5583" s="28">
        <v>43983</v>
      </c>
      <c r="B5583" s="27" t="s">
        <v>2</v>
      </c>
      <c r="C5583" s="27" t="s">
        <v>50</v>
      </c>
      <c r="D5583" s="27" t="s">
        <v>7</v>
      </c>
      <c r="E5583" s="27" t="s">
        <v>18</v>
      </c>
      <c r="F5583" s="29"/>
      <c r="G5583" s="30">
        <v>25.72</v>
      </c>
    </row>
    <row r="5584" spans="1:7" hidden="1" x14ac:dyDescent="0.25">
      <c r="A5584" s="28">
        <v>43983</v>
      </c>
      <c r="B5584" s="27" t="s">
        <v>2</v>
      </c>
      <c r="C5584" s="27" t="s">
        <v>50</v>
      </c>
      <c r="D5584" s="27" t="s">
        <v>7</v>
      </c>
      <c r="E5584" s="27" t="s">
        <v>19</v>
      </c>
      <c r="F5584" s="29"/>
      <c r="G5584" s="30">
        <v>656.21</v>
      </c>
    </row>
    <row r="5585" spans="1:7" hidden="1" x14ac:dyDescent="0.25">
      <c r="A5585" s="28">
        <v>43983</v>
      </c>
      <c r="B5585" s="27" t="s">
        <v>2</v>
      </c>
      <c r="C5585" s="27" t="s">
        <v>50</v>
      </c>
      <c r="D5585" s="27" t="s">
        <v>7</v>
      </c>
      <c r="E5585" s="27" t="s">
        <v>20</v>
      </c>
      <c r="F5585" s="29"/>
      <c r="G5585" s="30">
        <v>311.72000000000003</v>
      </c>
    </row>
    <row r="5586" spans="1:7" hidden="1" x14ac:dyDescent="0.25">
      <c r="A5586" s="28">
        <v>43983</v>
      </c>
      <c r="B5586" s="27" t="s">
        <v>2</v>
      </c>
      <c r="C5586" s="27" t="s">
        <v>50</v>
      </c>
      <c r="D5586" s="27" t="s">
        <v>7</v>
      </c>
      <c r="E5586" s="27" t="s">
        <v>38</v>
      </c>
      <c r="F5586" s="29"/>
      <c r="G5586" s="30">
        <v>350.02</v>
      </c>
    </row>
    <row r="5587" spans="1:7" hidden="1" x14ac:dyDescent="0.25">
      <c r="A5587" s="28">
        <v>43983</v>
      </c>
      <c r="B5587" s="27" t="s">
        <v>2</v>
      </c>
      <c r="C5587" s="27" t="s">
        <v>50</v>
      </c>
      <c r="D5587" s="27" t="s">
        <v>7</v>
      </c>
      <c r="E5587" s="27" t="s">
        <v>23</v>
      </c>
      <c r="F5587" s="29"/>
      <c r="G5587" s="30">
        <v>342.15</v>
      </c>
    </row>
    <row r="5588" spans="1:7" hidden="1" x14ac:dyDescent="0.25">
      <c r="A5588" s="28">
        <v>43983</v>
      </c>
      <c r="B5588" s="27" t="s">
        <v>36</v>
      </c>
      <c r="C5588" s="27" t="s">
        <v>50</v>
      </c>
      <c r="D5588" s="27" t="s">
        <v>6</v>
      </c>
      <c r="E5588" s="27" t="s">
        <v>8</v>
      </c>
      <c r="F5588" s="29"/>
      <c r="G5588" s="30">
        <v>330.97</v>
      </c>
    </row>
    <row r="5589" spans="1:7" hidden="1" x14ac:dyDescent="0.25">
      <c r="A5589" s="28">
        <v>43983</v>
      </c>
      <c r="B5589" s="27" t="s">
        <v>36</v>
      </c>
      <c r="C5589" s="27" t="s">
        <v>50</v>
      </c>
      <c r="D5589" s="27" t="s">
        <v>6</v>
      </c>
      <c r="E5589" s="27" t="s">
        <v>9</v>
      </c>
      <c r="F5589" s="29"/>
      <c r="G5589" s="30">
        <v>56</v>
      </c>
    </row>
    <row r="5590" spans="1:7" hidden="1" x14ac:dyDescent="0.25">
      <c r="A5590" s="28">
        <v>43983</v>
      </c>
      <c r="B5590" s="27" t="s">
        <v>36</v>
      </c>
      <c r="C5590" s="27" t="s">
        <v>50</v>
      </c>
      <c r="D5590" s="27" t="s">
        <v>6</v>
      </c>
      <c r="E5590" s="27" t="s">
        <v>22</v>
      </c>
      <c r="F5590" s="29"/>
      <c r="G5590" s="30">
        <v>153.5</v>
      </c>
    </row>
    <row r="5591" spans="1:7" hidden="1" x14ac:dyDescent="0.25">
      <c r="A5591" s="28">
        <v>43983</v>
      </c>
      <c r="B5591" s="27" t="s">
        <v>36</v>
      </c>
      <c r="C5591" s="27" t="s">
        <v>50</v>
      </c>
      <c r="D5591" s="27" t="s">
        <v>6</v>
      </c>
      <c r="E5591" s="27" t="s">
        <v>64</v>
      </c>
      <c r="F5591" s="29"/>
      <c r="G5591" s="30">
        <v>59</v>
      </c>
    </row>
    <row r="5592" spans="1:7" hidden="1" x14ac:dyDescent="0.25">
      <c r="A5592" s="28">
        <v>43983</v>
      </c>
      <c r="B5592" s="27" t="s">
        <v>36</v>
      </c>
      <c r="C5592" s="27" t="s">
        <v>50</v>
      </c>
      <c r="D5592" s="27" t="s">
        <v>6</v>
      </c>
      <c r="E5592" s="27" t="s">
        <v>21</v>
      </c>
      <c r="F5592" s="29"/>
      <c r="G5592" s="30">
        <v>98.57</v>
      </c>
    </row>
    <row r="5593" spans="1:7" hidden="1" x14ac:dyDescent="0.25">
      <c r="A5593" s="28">
        <v>43983</v>
      </c>
      <c r="B5593" s="27" t="s">
        <v>36</v>
      </c>
      <c r="C5593" s="27" t="s">
        <v>50</v>
      </c>
      <c r="D5593" s="27" t="s">
        <v>6</v>
      </c>
      <c r="E5593" s="27" t="s">
        <v>10</v>
      </c>
      <c r="F5593" s="29"/>
      <c r="G5593" s="30">
        <v>330.97</v>
      </c>
    </row>
    <row r="5594" spans="1:7" hidden="1" x14ac:dyDescent="0.25">
      <c r="A5594" s="28">
        <v>43983</v>
      </c>
      <c r="B5594" s="27" t="s">
        <v>36</v>
      </c>
      <c r="C5594" s="27" t="s">
        <v>50</v>
      </c>
      <c r="D5594" s="27" t="s">
        <v>6</v>
      </c>
      <c r="E5594" s="27" t="s">
        <v>11</v>
      </c>
      <c r="F5594" s="29"/>
      <c r="G5594" s="30">
        <v>153.5</v>
      </c>
    </row>
    <row r="5595" spans="1:7" hidden="1" x14ac:dyDescent="0.25">
      <c r="A5595" s="28">
        <v>43983</v>
      </c>
      <c r="B5595" s="27" t="s">
        <v>36</v>
      </c>
      <c r="C5595" s="27" t="s">
        <v>50</v>
      </c>
      <c r="D5595" s="27" t="s">
        <v>6</v>
      </c>
      <c r="E5595" s="27" t="s">
        <v>12</v>
      </c>
      <c r="F5595" s="29"/>
      <c r="G5595" s="30">
        <v>78.69</v>
      </c>
    </row>
    <row r="5596" spans="1:7" hidden="1" x14ac:dyDescent="0.25">
      <c r="A5596" s="28">
        <v>43983</v>
      </c>
      <c r="B5596" s="27" t="s">
        <v>36</v>
      </c>
      <c r="C5596" s="27" t="s">
        <v>50</v>
      </c>
      <c r="D5596" s="27" t="s">
        <v>6</v>
      </c>
      <c r="E5596" s="27" t="s">
        <v>13</v>
      </c>
      <c r="F5596" s="29"/>
      <c r="G5596" s="30">
        <v>59</v>
      </c>
    </row>
    <row r="5597" spans="1:7" hidden="1" x14ac:dyDescent="0.25">
      <c r="A5597" s="28">
        <v>43983</v>
      </c>
      <c r="B5597" s="27" t="s">
        <v>36</v>
      </c>
      <c r="C5597" s="27" t="s">
        <v>50</v>
      </c>
      <c r="D5597" s="27" t="s">
        <v>6</v>
      </c>
      <c r="E5597" s="27" t="s">
        <v>14</v>
      </c>
      <c r="F5597" s="29"/>
      <c r="G5597" s="30">
        <v>78.69</v>
      </c>
    </row>
    <row r="5598" spans="1:7" hidden="1" x14ac:dyDescent="0.25">
      <c r="A5598" s="28">
        <v>43983</v>
      </c>
      <c r="B5598" s="27" t="s">
        <v>36</v>
      </c>
      <c r="C5598" s="27" t="s">
        <v>50</v>
      </c>
      <c r="D5598" s="27" t="s">
        <v>6</v>
      </c>
      <c r="E5598" s="27" t="s">
        <v>15</v>
      </c>
      <c r="F5598" s="29"/>
      <c r="G5598" s="30">
        <v>284.19</v>
      </c>
    </row>
    <row r="5599" spans="1:7" hidden="1" x14ac:dyDescent="0.25">
      <c r="A5599" s="28">
        <v>43983</v>
      </c>
      <c r="B5599" s="27" t="s">
        <v>36</v>
      </c>
      <c r="C5599" s="27" t="s">
        <v>50</v>
      </c>
      <c r="D5599" s="27" t="s">
        <v>6</v>
      </c>
      <c r="E5599" s="27" t="s">
        <v>16</v>
      </c>
      <c r="F5599" s="29"/>
      <c r="G5599" s="30">
        <v>284.19</v>
      </c>
    </row>
    <row r="5600" spans="1:7" hidden="1" x14ac:dyDescent="0.25">
      <c r="A5600" s="28">
        <v>43983</v>
      </c>
      <c r="B5600" s="27" t="s">
        <v>36</v>
      </c>
      <c r="C5600" s="27" t="s">
        <v>50</v>
      </c>
      <c r="D5600" s="27" t="s">
        <v>6</v>
      </c>
      <c r="E5600" s="27" t="s">
        <v>17</v>
      </c>
      <c r="F5600" s="29"/>
      <c r="G5600" s="30">
        <v>153.5</v>
      </c>
    </row>
    <row r="5601" spans="1:7" hidden="1" x14ac:dyDescent="0.25">
      <c r="A5601" s="28">
        <v>43983</v>
      </c>
      <c r="B5601" s="27" t="s">
        <v>36</v>
      </c>
      <c r="C5601" s="27" t="s">
        <v>50</v>
      </c>
      <c r="D5601" s="27" t="s">
        <v>6</v>
      </c>
      <c r="E5601" s="27" t="s">
        <v>18</v>
      </c>
      <c r="F5601" s="29"/>
      <c r="G5601" s="30">
        <v>165.5</v>
      </c>
    </row>
    <row r="5602" spans="1:7" hidden="1" x14ac:dyDescent="0.25">
      <c r="A5602" s="28">
        <v>43983</v>
      </c>
      <c r="B5602" s="27" t="s">
        <v>36</v>
      </c>
      <c r="C5602" s="27" t="s">
        <v>50</v>
      </c>
      <c r="D5602" s="27" t="s">
        <v>6</v>
      </c>
      <c r="E5602" s="27" t="s">
        <v>19</v>
      </c>
      <c r="F5602" s="29"/>
      <c r="G5602" s="30">
        <v>296.19</v>
      </c>
    </row>
    <row r="5603" spans="1:7" hidden="1" x14ac:dyDescent="0.25">
      <c r="A5603" s="28">
        <v>43983</v>
      </c>
      <c r="B5603" s="27" t="s">
        <v>36</v>
      </c>
      <c r="C5603" s="27" t="s">
        <v>50</v>
      </c>
      <c r="D5603" s="27" t="s">
        <v>6</v>
      </c>
      <c r="E5603" s="27" t="s">
        <v>20</v>
      </c>
      <c r="F5603" s="29"/>
      <c r="G5603" s="30">
        <v>59</v>
      </c>
    </row>
    <row r="5604" spans="1:7" hidden="1" x14ac:dyDescent="0.25">
      <c r="A5604" s="28">
        <v>43983</v>
      </c>
      <c r="B5604" s="27" t="s">
        <v>36</v>
      </c>
      <c r="C5604" s="27" t="s">
        <v>50</v>
      </c>
      <c r="D5604" s="27" t="s">
        <v>6</v>
      </c>
      <c r="E5604" s="27" t="s">
        <v>38</v>
      </c>
      <c r="F5604" s="29"/>
      <c r="G5604" s="30">
        <v>56</v>
      </c>
    </row>
    <row r="5605" spans="1:7" hidden="1" x14ac:dyDescent="0.25">
      <c r="A5605" s="28">
        <v>43983</v>
      </c>
      <c r="B5605" s="27" t="s">
        <v>36</v>
      </c>
      <c r="C5605" s="27" t="s">
        <v>50</v>
      </c>
      <c r="D5605" s="27" t="s">
        <v>6</v>
      </c>
      <c r="E5605" s="27" t="s">
        <v>23</v>
      </c>
      <c r="F5605" s="29"/>
      <c r="G5605" s="30">
        <v>153.5</v>
      </c>
    </row>
    <row r="5606" spans="1:7" hidden="1" x14ac:dyDescent="0.25">
      <c r="A5606" s="28">
        <v>43983</v>
      </c>
      <c r="B5606" s="27" t="s">
        <v>200</v>
      </c>
      <c r="C5606" s="27" t="s">
        <v>53</v>
      </c>
      <c r="D5606" s="27" t="s">
        <v>6</v>
      </c>
      <c r="E5606" s="27" t="s">
        <v>8</v>
      </c>
      <c r="F5606" s="29"/>
      <c r="G5606" s="30">
        <f t="shared" ref="G5606:G5623" si="102">11537.3933333333/18</f>
        <v>640.96629629629444</v>
      </c>
    </row>
    <row r="5607" spans="1:7" hidden="1" x14ac:dyDescent="0.25">
      <c r="A5607" s="28">
        <v>43983</v>
      </c>
      <c r="B5607" s="27" t="s">
        <v>200</v>
      </c>
      <c r="C5607" s="27" t="s">
        <v>53</v>
      </c>
      <c r="D5607" s="27" t="s">
        <v>6</v>
      </c>
      <c r="E5607" s="27" t="s">
        <v>9</v>
      </c>
      <c r="F5607" s="29"/>
      <c r="G5607" s="30">
        <f t="shared" si="102"/>
        <v>640.96629629629444</v>
      </c>
    </row>
    <row r="5608" spans="1:7" hidden="1" x14ac:dyDescent="0.25">
      <c r="A5608" s="28">
        <v>43983</v>
      </c>
      <c r="B5608" s="27" t="s">
        <v>200</v>
      </c>
      <c r="C5608" s="27" t="s">
        <v>53</v>
      </c>
      <c r="D5608" s="27" t="s">
        <v>6</v>
      </c>
      <c r="E5608" s="27" t="s">
        <v>22</v>
      </c>
      <c r="F5608" s="29"/>
      <c r="G5608" s="30">
        <f t="shared" si="102"/>
        <v>640.96629629629444</v>
      </c>
    </row>
    <row r="5609" spans="1:7" hidden="1" x14ac:dyDescent="0.25">
      <c r="A5609" s="28">
        <v>43983</v>
      </c>
      <c r="B5609" s="27" t="s">
        <v>200</v>
      </c>
      <c r="C5609" s="27" t="s">
        <v>53</v>
      </c>
      <c r="D5609" s="27" t="s">
        <v>6</v>
      </c>
      <c r="E5609" s="27" t="s">
        <v>64</v>
      </c>
      <c r="F5609" s="29"/>
      <c r="G5609" s="30">
        <f t="shared" si="102"/>
        <v>640.96629629629444</v>
      </c>
    </row>
    <row r="5610" spans="1:7" hidden="1" x14ac:dyDescent="0.25">
      <c r="A5610" s="28">
        <v>43983</v>
      </c>
      <c r="B5610" s="27" t="s">
        <v>200</v>
      </c>
      <c r="C5610" s="27" t="s">
        <v>53</v>
      </c>
      <c r="D5610" s="27" t="s">
        <v>6</v>
      </c>
      <c r="E5610" s="27" t="s">
        <v>21</v>
      </c>
      <c r="F5610" s="29"/>
      <c r="G5610" s="30">
        <f t="shared" si="102"/>
        <v>640.96629629629444</v>
      </c>
    </row>
    <row r="5611" spans="1:7" hidden="1" x14ac:dyDescent="0.25">
      <c r="A5611" s="28">
        <v>43983</v>
      </c>
      <c r="B5611" s="27" t="s">
        <v>200</v>
      </c>
      <c r="C5611" s="27" t="s">
        <v>53</v>
      </c>
      <c r="D5611" s="27" t="s">
        <v>6</v>
      </c>
      <c r="E5611" s="27" t="s">
        <v>10</v>
      </c>
      <c r="F5611" s="29"/>
      <c r="G5611" s="30">
        <f t="shared" si="102"/>
        <v>640.96629629629444</v>
      </c>
    </row>
    <row r="5612" spans="1:7" hidden="1" x14ac:dyDescent="0.25">
      <c r="A5612" s="28">
        <v>43983</v>
      </c>
      <c r="B5612" s="27" t="s">
        <v>200</v>
      </c>
      <c r="C5612" s="27" t="s">
        <v>53</v>
      </c>
      <c r="D5612" s="27" t="s">
        <v>6</v>
      </c>
      <c r="E5612" s="27" t="s">
        <v>11</v>
      </c>
      <c r="F5612" s="29"/>
      <c r="G5612" s="30">
        <f t="shared" si="102"/>
        <v>640.96629629629444</v>
      </c>
    </row>
    <row r="5613" spans="1:7" hidden="1" x14ac:dyDescent="0.25">
      <c r="A5613" s="28">
        <v>43983</v>
      </c>
      <c r="B5613" s="27" t="s">
        <v>200</v>
      </c>
      <c r="C5613" s="27" t="s">
        <v>53</v>
      </c>
      <c r="D5613" s="27" t="s">
        <v>6</v>
      </c>
      <c r="E5613" s="27" t="s">
        <v>12</v>
      </c>
      <c r="F5613" s="29"/>
      <c r="G5613" s="30">
        <f t="shared" si="102"/>
        <v>640.96629629629444</v>
      </c>
    </row>
    <row r="5614" spans="1:7" hidden="1" x14ac:dyDescent="0.25">
      <c r="A5614" s="28">
        <v>43983</v>
      </c>
      <c r="B5614" s="27" t="s">
        <v>200</v>
      </c>
      <c r="C5614" s="27" t="s">
        <v>53</v>
      </c>
      <c r="D5614" s="27" t="s">
        <v>6</v>
      </c>
      <c r="E5614" s="27" t="s">
        <v>13</v>
      </c>
      <c r="F5614" s="29"/>
      <c r="G5614" s="30">
        <f t="shared" si="102"/>
        <v>640.96629629629444</v>
      </c>
    </row>
    <row r="5615" spans="1:7" hidden="1" x14ac:dyDescent="0.25">
      <c r="A5615" s="28">
        <v>43983</v>
      </c>
      <c r="B5615" s="27" t="s">
        <v>200</v>
      </c>
      <c r="C5615" s="27" t="s">
        <v>53</v>
      </c>
      <c r="D5615" s="27" t="s">
        <v>6</v>
      </c>
      <c r="E5615" s="27" t="s">
        <v>14</v>
      </c>
      <c r="F5615" s="29"/>
      <c r="G5615" s="30">
        <f t="shared" si="102"/>
        <v>640.96629629629444</v>
      </c>
    </row>
    <row r="5616" spans="1:7" hidden="1" x14ac:dyDescent="0.25">
      <c r="A5616" s="28">
        <v>43983</v>
      </c>
      <c r="B5616" s="27" t="s">
        <v>200</v>
      </c>
      <c r="C5616" s="27" t="s">
        <v>53</v>
      </c>
      <c r="D5616" s="27" t="s">
        <v>6</v>
      </c>
      <c r="E5616" s="27" t="s">
        <v>15</v>
      </c>
      <c r="F5616" s="29"/>
      <c r="G5616" s="30">
        <f t="shared" si="102"/>
        <v>640.96629629629444</v>
      </c>
    </row>
    <row r="5617" spans="1:7" hidden="1" x14ac:dyDescent="0.25">
      <c r="A5617" s="28">
        <v>43983</v>
      </c>
      <c r="B5617" s="27" t="s">
        <v>200</v>
      </c>
      <c r="C5617" s="27" t="s">
        <v>53</v>
      </c>
      <c r="D5617" s="27" t="s">
        <v>6</v>
      </c>
      <c r="E5617" s="27" t="s">
        <v>16</v>
      </c>
      <c r="F5617" s="29"/>
      <c r="G5617" s="30">
        <f t="shared" si="102"/>
        <v>640.96629629629444</v>
      </c>
    </row>
    <row r="5618" spans="1:7" hidden="1" x14ac:dyDescent="0.25">
      <c r="A5618" s="28">
        <v>43983</v>
      </c>
      <c r="B5618" s="27" t="s">
        <v>200</v>
      </c>
      <c r="C5618" s="27" t="s">
        <v>53</v>
      </c>
      <c r="D5618" s="27" t="s">
        <v>6</v>
      </c>
      <c r="E5618" s="27" t="s">
        <v>17</v>
      </c>
      <c r="F5618" s="29"/>
      <c r="G5618" s="30">
        <f t="shared" si="102"/>
        <v>640.96629629629444</v>
      </c>
    </row>
    <row r="5619" spans="1:7" hidden="1" x14ac:dyDescent="0.25">
      <c r="A5619" s="28">
        <v>43983</v>
      </c>
      <c r="B5619" s="27" t="s">
        <v>200</v>
      </c>
      <c r="C5619" s="27" t="s">
        <v>53</v>
      </c>
      <c r="D5619" s="27" t="s">
        <v>6</v>
      </c>
      <c r="E5619" s="27" t="s">
        <v>18</v>
      </c>
      <c r="F5619" s="29"/>
      <c r="G5619" s="30">
        <f t="shared" si="102"/>
        <v>640.96629629629444</v>
      </c>
    </row>
    <row r="5620" spans="1:7" hidden="1" x14ac:dyDescent="0.25">
      <c r="A5620" s="28">
        <v>43983</v>
      </c>
      <c r="B5620" s="27" t="s">
        <v>200</v>
      </c>
      <c r="C5620" s="27" t="s">
        <v>53</v>
      </c>
      <c r="D5620" s="27" t="s">
        <v>6</v>
      </c>
      <c r="E5620" s="27" t="s">
        <v>19</v>
      </c>
      <c r="F5620" s="29"/>
      <c r="G5620" s="30">
        <f t="shared" si="102"/>
        <v>640.96629629629444</v>
      </c>
    </row>
    <row r="5621" spans="1:7" hidden="1" x14ac:dyDescent="0.25">
      <c r="A5621" s="28">
        <v>43983</v>
      </c>
      <c r="B5621" s="27" t="s">
        <v>200</v>
      </c>
      <c r="C5621" s="27" t="s">
        <v>53</v>
      </c>
      <c r="D5621" s="27" t="s">
        <v>6</v>
      </c>
      <c r="E5621" s="27" t="s">
        <v>20</v>
      </c>
      <c r="F5621" s="29"/>
      <c r="G5621" s="30">
        <f t="shared" si="102"/>
        <v>640.96629629629444</v>
      </c>
    </row>
    <row r="5622" spans="1:7" hidden="1" x14ac:dyDescent="0.25">
      <c r="A5622" s="28">
        <v>43983</v>
      </c>
      <c r="B5622" s="27" t="s">
        <v>200</v>
      </c>
      <c r="C5622" s="27" t="s">
        <v>53</v>
      </c>
      <c r="D5622" s="27" t="s">
        <v>6</v>
      </c>
      <c r="E5622" s="27" t="s">
        <v>38</v>
      </c>
      <c r="F5622" s="29"/>
      <c r="G5622" s="30">
        <f t="shared" si="102"/>
        <v>640.96629629629444</v>
      </c>
    </row>
    <row r="5623" spans="1:7" hidden="1" x14ac:dyDescent="0.25">
      <c r="A5623" s="28">
        <v>43983</v>
      </c>
      <c r="B5623" s="27" t="s">
        <v>200</v>
      </c>
      <c r="C5623" s="27" t="s">
        <v>53</v>
      </c>
      <c r="D5623" s="27" t="s">
        <v>6</v>
      </c>
      <c r="E5623" s="27" t="s">
        <v>23</v>
      </c>
      <c r="F5623" s="29"/>
      <c r="G5623" s="30">
        <f t="shared" si="102"/>
        <v>640.96629629629444</v>
      </c>
    </row>
    <row r="5624" spans="1:7" hidden="1" x14ac:dyDescent="0.25">
      <c r="A5624" s="28">
        <v>43983</v>
      </c>
      <c r="B5624" s="27" t="s">
        <v>200</v>
      </c>
      <c r="C5624" s="27" t="s">
        <v>54</v>
      </c>
      <c r="D5624" s="27" t="s">
        <v>7</v>
      </c>
      <c r="E5624" s="27" t="s">
        <v>8</v>
      </c>
      <c r="F5624" s="29"/>
      <c r="G5624" s="30">
        <f t="shared" ref="G5624:G5641" si="103">289.92/18</f>
        <v>16.106666666666669</v>
      </c>
    </row>
    <row r="5625" spans="1:7" hidden="1" x14ac:dyDescent="0.25">
      <c r="A5625" s="28">
        <v>43983</v>
      </c>
      <c r="B5625" s="27" t="s">
        <v>200</v>
      </c>
      <c r="C5625" s="27" t="s">
        <v>54</v>
      </c>
      <c r="D5625" s="27" t="s">
        <v>7</v>
      </c>
      <c r="E5625" s="27" t="s">
        <v>22</v>
      </c>
      <c r="F5625" s="29"/>
      <c r="G5625" s="30">
        <f t="shared" si="103"/>
        <v>16.106666666666669</v>
      </c>
    </row>
    <row r="5626" spans="1:7" hidden="1" x14ac:dyDescent="0.25">
      <c r="A5626" s="28">
        <v>43983</v>
      </c>
      <c r="B5626" s="27" t="s">
        <v>200</v>
      </c>
      <c r="C5626" s="27" t="s">
        <v>54</v>
      </c>
      <c r="D5626" s="27" t="s">
        <v>7</v>
      </c>
      <c r="E5626" s="27" t="s">
        <v>64</v>
      </c>
      <c r="F5626" s="29"/>
      <c r="G5626" s="30">
        <f t="shared" si="103"/>
        <v>16.106666666666669</v>
      </c>
    </row>
    <row r="5627" spans="1:7" hidden="1" x14ac:dyDescent="0.25">
      <c r="A5627" s="28">
        <v>43983</v>
      </c>
      <c r="B5627" s="27" t="s">
        <v>200</v>
      </c>
      <c r="C5627" s="27" t="s">
        <v>54</v>
      </c>
      <c r="D5627" s="27" t="s">
        <v>7</v>
      </c>
      <c r="E5627" s="27" t="s">
        <v>21</v>
      </c>
      <c r="F5627" s="29"/>
      <c r="G5627" s="30">
        <f t="shared" si="103"/>
        <v>16.106666666666669</v>
      </c>
    </row>
    <row r="5628" spans="1:7" hidden="1" x14ac:dyDescent="0.25">
      <c r="A5628" s="28">
        <v>43983</v>
      </c>
      <c r="B5628" s="27" t="s">
        <v>200</v>
      </c>
      <c r="C5628" s="27" t="s">
        <v>54</v>
      </c>
      <c r="D5628" s="27" t="s">
        <v>7</v>
      </c>
      <c r="E5628" s="27" t="s">
        <v>10</v>
      </c>
      <c r="F5628" s="29"/>
      <c r="G5628" s="30">
        <f t="shared" si="103"/>
        <v>16.106666666666669</v>
      </c>
    </row>
    <row r="5629" spans="1:7" hidden="1" x14ac:dyDescent="0.25">
      <c r="A5629" s="28">
        <v>43983</v>
      </c>
      <c r="B5629" s="27" t="s">
        <v>200</v>
      </c>
      <c r="C5629" s="27" t="s">
        <v>54</v>
      </c>
      <c r="D5629" s="27" t="s">
        <v>7</v>
      </c>
      <c r="E5629" s="27" t="s">
        <v>11</v>
      </c>
      <c r="F5629" s="29"/>
      <c r="G5629" s="30">
        <f t="shared" si="103"/>
        <v>16.106666666666669</v>
      </c>
    </row>
    <row r="5630" spans="1:7" hidden="1" x14ac:dyDescent="0.25">
      <c r="A5630" s="28">
        <v>43983</v>
      </c>
      <c r="B5630" s="27" t="s">
        <v>200</v>
      </c>
      <c r="C5630" s="27" t="s">
        <v>54</v>
      </c>
      <c r="D5630" s="27" t="s">
        <v>7</v>
      </c>
      <c r="E5630" s="27" t="s">
        <v>12</v>
      </c>
      <c r="F5630" s="29"/>
      <c r="G5630" s="30">
        <f t="shared" si="103"/>
        <v>16.106666666666669</v>
      </c>
    </row>
    <row r="5631" spans="1:7" hidden="1" x14ac:dyDescent="0.25">
      <c r="A5631" s="28">
        <v>43983</v>
      </c>
      <c r="B5631" s="27" t="s">
        <v>200</v>
      </c>
      <c r="C5631" s="27" t="s">
        <v>54</v>
      </c>
      <c r="D5631" s="27" t="s">
        <v>7</v>
      </c>
      <c r="E5631" s="27" t="s">
        <v>13</v>
      </c>
      <c r="F5631" s="29"/>
      <c r="G5631" s="30">
        <f t="shared" si="103"/>
        <v>16.106666666666669</v>
      </c>
    </row>
    <row r="5632" spans="1:7" hidden="1" x14ac:dyDescent="0.25">
      <c r="A5632" s="28">
        <v>43983</v>
      </c>
      <c r="B5632" s="27" t="s">
        <v>200</v>
      </c>
      <c r="C5632" s="27" t="s">
        <v>54</v>
      </c>
      <c r="D5632" s="27" t="s">
        <v>7</v>
      </c>
      <c r="E5632" s="27" t="s">
        <v>14</v>
      </c>
      <c r="F5632" s="29"/>
      <c r="G5632" s="30">
        <f t="shared" si="103"/>
        <v>16.106666666666669</v>
      </c>
    </row>
    <row r="5633" spans="1:7" hidden="1" x14ac:dyDescent="0.25">
      <c r="A5633" s="28">
        <v>43983</v>
      </c>
      <c r="B5633" s="27" t="s">
        <v>200</v>
      </c>
      <c r="C5633" s="27" t="s">
        <v>54</v>
      </c>
      <c r="D5633" s="27" t="s">
        <v>7</v>
      </c>
      <c r="E5633" s="27" t="s">
        <v>15</v>
      </c>
      <c r="F5633" s="29"/>
      <c r="G5633" s="30">
        <f t="shared" si="103"/>
        <v>16.106666666666669</v>
      </c>
    </row>
    <row r="5634" spans="1:7" hidden="1" x14ac:dyDescent="0.25">
      <c r="A5634" s="28">
        <v>43983</v>
      </c>
      <c r="B5634" s="27" t="s">
        <v>200</v>
      </c>
      <c r="C5634" s="27" t="s">
        <v>54</v>
      </c>
      <c r="D5634" s="27" t="s">
        <v>7</v>
      </c>
      <c r="E5634" s="27" t="s">
        <v>16</v>
      </c>
      <c r="F5634" s="29"/>
      <c r="G5634" s="30">
        <f t="shared" si="103"/>
        <v>16.106666666666669</v>
      </c>
    </row>
    <row r="5635" spans="1:7" hidden="1" x14ac:dyDescent="0.25">
      <c r="A5635" s="28">
        <v>43983</v>
      </c>
      <c r="B5635" s="27" t="s">
        <v>200</v>
      </c>
      <c r="C5635" s="27" t="s">
        <v>54</v>
      </c>
      <c r="D5635" s="27" t="s">
        <v>7</v>
      </c>
      <c r="E5635" s="27" t="s">
        <v>17</v>
      </c>
      <c r="F5635" s="29"/>
      <c r="G5635" s="30">
        <f t="shared" si="103"/>
        <v>16.106666666666669</v>
      </c>
    </row>
    <row r="5636" spans="1:7" hidden="1" x14ac:dyDescent="0.25">
      <c r="A5636" s="28">
        <v>43983</v>
      </c>
      <c r="B5636" s="27" t="s">
        <v>200</v>
      </c>
      <c r="C5636" s="27" t="s">
        <v>54</v>
      </c>
      <c r="D5636" s="27" t="s">
        <v>7</v>
      </c>
      <c r="E5636" s="27" t="s">
        <v>18</v>
      </c>
      <c r="F5636" s="29"/>
      <c r="G5636" s="30">
        <f t="shared" si="103"/>
        <v>16.106666666666669</v>
      </c>
    </row>
    <row r="5637" spans="1:7" hidden="1" x14ac:dyDescent="0.25">
      <c r="A5637" s="28">
        <v>43983</v>
      </c>
      <c r="B5637" s="27" t="s">
        <v>200</v>
      </c>
      <c r="C5637" s="27" t="s">
        <v>54</v>
      </c>
      <c r="D5637" s="27" t="s">
        <v>7</v>
      </c>
      <c r="E5637" s="27" t="s">
        <v>19</v>
      </c>
      <c r="F5637" s="29"/>
      <c r="G5637" s="30">
        <f t="shared" si="103"/>
        <v>16.106666666666669</v>
      </c>
    </row>
    <row r="5638" spans="1:7" hidden="1" x14ac:dyDescent="0.25">
      <c r="A5638" s="28">
        <v>43983</v>
      </c>
      <c r="B5638" s="27" t="s">
        <v>200</v>
      </c>
      <c r="C5638" s="27" t="s">
        <v>54</v>
      </c>
      <c r="D5638" s="27" t="s">
        <v>7</v>
      </c>
      <c r="E5638" s="27" t="s">
        <v>20</v>
      </c>
      <c r="F5638" s="29"/>
      <c r="G5638" s="30">
        <f t="shared" si="103"/>
        <v>16.106666666666669</v>
      </c>
    </row>
    <row r="5639" spans="1:7" hidden="1" x14ac:dyDescent="0.25">
      <c r="A5639" s="28">
        <v>43983</v>
      </c>
      <c r="B5639" s="27" t="s">
        <v>200</v>
      </c>
      <c r="C5639" s="27" t="s">
        <v>54</v>
      </c>
      <c r="D5639" s="27" t="s">
        <v>7</v>
      </c>
      <c r="E5639" s="27" t="s">
        <v>38</v>
      </c>
      <c r="F5639" s="29"/>
      <c r="G5639" s="30">
        <f t="shared" si="103"/>
        <v>16.106666666666669</v>
      </c>
    </row>
    <row r="5640" spans="1:7" hidden="1" x14ac:dyDescent="0.25">
      <c r="A5640" s="28">
        <v>43983</v>
      </c>
      <c r="B5640" s="27" t="s">
        <v>200</v>
      </c>
      <c r="C5640" s="27" t="s">
        <v>54</v>
      </c>
      <c r="D5640" s="27" t="s">
        <v>7</v>
      </c>
      <c r="E5640" s="27" t="s">
        <v>23</v>
      </c>
      <c r="F5640" s="29"/>
      <c r="G5640" s="30">
        <f t="shared" si="103"/>
        <v>16.106666666666669</v>
      </c>
    </row>
    <row r="5641" spans="1:7" hidden="1" x14ac:dyDescent="0.25">
      <c r="A5641" s="28">
        <v>43983</v>
      </c>
      <c r="B5641" s="27" t="s">
        <v>200</v>
      </c>
      <c r="C5641" s="27" t="s">
        <v>54</v>
      </c>
      <c r="D5641" s="27" t="s">
        <v>7</v>
      </c>
      <c r="E5641" s="27" t="s">
        <v>37</v>
      </c>
      <c r="F5641" s="29"/>
      <c r="G5641" s="30">
        <f t="shared" si="103"/>
        <v>16.106666666666669</v>
      </c>
    </row>
    <row r="5642" spans="1:7" hidden="1" x14ac:dyDescent="0.25">
      <c r="A5642" s="28">
        <v>43983</v>
      </c>
      <c r="B5642" s="27" t="s">
        <v>200</v>
      </c>
      <c r="C5642" s="27" t="s">
        <v>55</v>
      </c>
      <c r="D5642" s="27" t="s">
        <v>6</v>
      </c>
      <c r="E5642" s="27" t="s">
        <v>20</v>
      </c>
      <c r="F5642" s="29"/>
      <c r="G5642" s="30">
        <f>21181.8836888889/18</f>
        <v>1176.7713160493834</v>
      </c>
    </row>
    <row r="5643" spans="1:7" hidden="1" x14ac:dyDescent="0.25">
      <c r="A5643" s="28">
        <v>43983</v>
      </c>
      <c r="B5643" s="27" t="s">
        <v>200</v>
      </c>
      <c r="C5643" s="27" t="s">
        <v>55</v>
      </c>
      <c r="D5643" s="27" t="s">
        <v>6</v>
      </c>
      <c r="E5643" s="27" t="s">
        <v>38</v>
      </c>
      <c r="F5643" s="29"/>
      <c r="G5643" s="30">
        <f>21181.8836888889/18</f>
        <v>1176.7713160493834</v>
      </c>
    </row>
    <row r="5644" spans="1:7" hidden="1" x14ac:dyDescent="0.25">
      <c r="A5644" s="28">
        <v>43983</v>
      </c>
      <c r="B5644" s="27" t="s">
        <v>200</v>
      </c>
      <c r="C5644" s="27" t="s">
        <v>55</v>
      </c>
      <c r="D5644" s="27" t="s">
        <v>6</v>
      </c>
      <c r="E5644" s="27" t="s">
        <v>23</v>
      </c>
      <c r="F5644" s="29"/>
      <c r="G5644" s="30">
        <f>21181.8836888889/18</f>
        <v>1176.7713160493834</v>
      </c>
    </row>
    <row r="5645" spans="1:7" hidden="1" x14ac:dyDescent="0.25">
      <c r="A5645" s="28">
        <v>43983</v>
      </c>
      <c r="B5645" s="27" t="s">
        <v>200</v>
      </c>
      <c r="C5645" s="27" t="s">
        <v>55</v>
      </c>
      <c r="D5645" s="27" t="s">
        <v>6</v>
      </c>
      <c r="E5645" s="27" t="s">
        <v>8</v>
      </c>
      <c r="F5645" s="29"/>
      <c r="G5645" s="30">
        <f t="shared" ref="G5645:G5662" si="104">24655.3718666667/18</f>
        <v>1369.7428814814834</v>
      </c>
    </row>
    <row r="5646" spans="1:7" hidden="1" x14ac:dyDescent="0.25">
      <c r="A5646" s="28">
        <v>43983</v>
      </c>
      <c r="B5646" s="27" t="s">
        <v>200</v>
      </c>
      <c r="C5646" s="27" t="s">
        <v>55</v>
      </c>
      <c r="D5646" s="27" t="s">
        <v>6</v>
      </c>
      <c r="E5646" s="27" t="s">
        <v>9</v>
      </c>
      <c r="F5646" s="29"/>
      <c r="G5646" s="30">
        <f t="shared" si="104"/>
        <v>1369.7428814814834</v>
      </c>
    </row>
    <row r="5647" spans="1:7" hidden="1" x14ac:dyDescent="0.25">
      <c r="A5647" s="28">
        <v>43983</v>
      </c>
      <c r="B5647" s="27" t="s">
        <v>200</v>
      </c>
      <c r="C5647" s="27" t="s">
        <v>55</v>
      </c>
      <c r="D5647" s="27" t="s">
        <v>6</v>
      </c>
      <c r="E5647" s="27" t="s">
        <v>22</v>
      </c>
      <c r="F5647" s="29"/>
      <c r="G5647" s="30">
        <f t="shared" si="104"/>
        <v>1369.7428814814834</v>
      </c>
    </row>
    <row r="5648" spans="1:7" hidden="1" x14ac:dyDescent="0.25">
      <c r="A5648" s="28">
        <v>43983</v>
      </c>
      <c r="B5648" s="27" t="s">
        <v>200</v>
      </c>
      <c r="C5648" s="27" t="s">
        <v>55</v>
      </c>
      <c r="D5648" s="27" t="s">
        <v>6</v>
      </c>
      <c r="E5648" s="27" t="s">
        <v>64</v>
      </c>
      <c r="F5648" s="29"/>
      <c r="G5648" s="30">
        <f t="shared" si="104"/>
        <v>1369.7428814814834</v>
      </c>
    </row>
    <row r="5649" spans="1:7" hidden="1" x14ac:dyDescent="0.25">
      <c r="A5649" s="28">
        <v>43983</v>
      </c>
      <c r="B5649" s="27" t="s">
        <v>200</v>
      </c>
      <c r="C5649" s="27" t="s">
        <v>55</v>
      </c>
      <c r="D5649" s="27" t="s">
        <v>6</v>
      </c>
      <c r="E5649" s="27" t="s">
        <v>21</v>
      </c>
      <c r="F5649" s="29"/>
      <c r="G5649" s="30">
        <f t="shared" si="104"/>
        <v>1369.7428814814834</v>
      </c>
    </row>
    <row r="5650" spans="1:7" hidden="1" x14ac:dyDescent="0.25">
      <c r="A5650" s="28">
        <v>43983</v>
      </c>
      <c r="B5650" s="27" t="s">
        <v>200</v>
      </c>
      <c r="C5650" s="27" t="s">
        <v>55</v>
      </c>
      <c r="D5650" s="27" t="s">
        <v>6</v>
      </c>
      <c r="E5650" s="27" t="s">
        <v>10</v>
      </c>
      <c r="F5650" s="29"/>
      <c r="G5650" s="30">
        <f t="shared" si="104"/>
        <v>1369.7428814814834</v>
      </c>
    </row>
    <row r="5651" spans="1:7" hidden="1" x14ac:dyDescent="0.25">
      <c r="A5651" s="28">
        <v>43983</v>
      </c>
      <c r="B5651" s="27" t="s">
        <v>200</v>
      </c>
      <c r="C5651" s="27" t="s">
        <v>55</v>
      </c>
      <c r="D5651" s="27" t="s">
        <v>6</v>
      </c>
      <c r="E5651" s="27" t="s">
        <v>11</v>
      </c>
      <c r="F5651" s="29"/>
      <c r="G5651" s="30">
        <f t="shared" si="104"/>
        <v>1369.7428814814834</v>
      </c>
    </row>
    <row r="5652" spans="1:7" hidden="1" x14ac:dyDescent="0.25">
      <c r="A5652" s="28">
        <v>43983</v>
      </c>
      <c r="B5652" s="27" t="s">
        <v>200</v>
      </c>
      <c r="C5652" s="27" t="s">
        <v>55</v>
      </c>
      <c r="D5652" s="27" t="s">
        <v>6</v>
      </c>
      <c r="E5652" s="27" t="s">
        <v>12</v>
      </c>
      <c r="F5652" s="29"/>
      <c r="G5652" s="30">
        <f t="shared" si="104"/>
        <v>1369.7428814814834</v>
      </c>
    </row>
    <row r="5653" spans="1:7" hidden="1" x14ac:dyDescent="0.25">
      <c r="A5653" s="28">
        <v>43983</v>
      </c>
      <c r="B5653" s="27" t="s">
        <v>200</v>
      </c>
      <c r="C5653" s="27" t="s">
        <v>55</v>
      </c>
      <c r="D5653" s="27" t="s">
        <v>6</v>
      </c>
      <c r="E5653" s="27" t="s">
        <v>13</v>
      </c>
      <c r="F5653" s="29"/>
      <c r="G5653" s="30">
        <f t="shared" si="104"/>
        <v>1369.7428814814834</v>
      </c>
    </row>
    <row r="5654" spans="1:7" hidden="1" x14ac:dyDescent="0.25">
      <c r="A5654" s="28">
        <v>43983</v>
      </c>
      <c r="B5654" s="27" t="s">
        <v>200</v>
      </c>
      <c r="C5654" s="27" t="s">
        <v>55</v>
      </c>
      <c r="D5654" s="27" t="s">
        <v>6</v>
      </c>
      <c r="E5654" s="27" t="s">
        <v>14</v>
      </c>
      <c r="F5654" s="29"/>
      <c r="G5654" s="30">
        <f t="shared" si="104"/>
        <v>1369.7428814814834</v>
      </c>
    </row>
    <row r="5655" spans="1:7" hidden="1" x14ac:dyDescent="0.25">
      <c r="A5655" s="28">
        <v>43983</v>
      </c>
      <c r="B5655" s="27" t="s">
        <v>200</v>
      </c>
      <c r="C5655" s="27" t="s">
        <v>55</v>
      </c>
      <c r="D5655" s="27" t="s">
        <v>6</v>
      </c>
      <c r="E5655" s="27" t="s">
        <v>15</v>
      </c>
      <c r="F5655" s="29"/>
      <c r="G5655" s="30">
        <f t="shared" si="104"/>
        <v>1369.7428814814834</v>
      </c>
    </row>
    <row r="5656" spans="1:7" hidden="1" x14ac:dyDescent="0.25">
      <c r="A5656" s="28">
        <v>43983</v>
      </c>
      <c r="B5656" s="27" t="s">
        <v>200</v>
      </c>
      <c r="C5656" s="27" t="s">
        <v>55</v>
      </c>
      <c r="D5656" s="27" t="s">
        <v>6</v>
      </c>
      <c r="E5656" s="27" t="s">
        <v>16</v>
      </c>
      <c r="F5656" s="29"/>
      <c r="G5656" s="30">
        <f t="shared" si="104"/>
        <v>1369.7428814814834</v>
      </c>
    </row>
    <row r="5657" spans="1:7" hidden="1" x14ac:dyDescent="0.25">
      <c r="A5657" s="28">
        <v>43983</v>
      </c>
      <c r="B5657" s="27" t="s">
        <v>200</v>
      </c>
      <c r="C5657" s="27" t="s">
        <v>55</v>
      </c>
      <c r="D5657" s="27" t="s">
        <v>6</v>
      </c>
      <c r="E5657" s="27" t="s">
        <v>17</v>
      </c>
      <c r="F5657" s="29"/>
      <c r="G5657" s="30">
        <f t="shared" si="104"/>
        <v>1369.7428814814834</v>
      </c>
    </row>
    <row r="5658" spans="1:7" hidden="1" x14ac:dyDescent="0.25">
      <c r="A5658" s="28">
        <v>43983</v>
      </c>
      <c r="B5658" s="27" t="s">
        <v>200</v>
      </c>
      <c r="C5658" s="27" t="s">
        <v>55</v>
      </c>
      <c r="D5658" s="27" t="s">
        <v>6</v>
      </c>
      <c r="E5658" s="27" t="s">
        <v>18</v>
      </c>
      <c r="F5658" s="29"/>
      <c r="G5658" s="30">
        <f t="shared" si="104"/>
        <v>1369.7428814814834</v>
      </c>
    </row>
    <row r="5659" spans="1:7" hidden="1" x14ac:dyDescent="0.25">
      <c r="A5659" s="28">
        <v>43983</v>
      </c>
      <c r="B5659" s="27" t="s">
        <v>200</v>
      </c>
      <c r="C5659" s="27" t="s">
        <v>55</v>
      </c>
      <c r="D5659" s="27" t="s">
        <v>6</v>
      </c>
      <c r="E5659" s="27" t="s">
        <v>19</v>
      </c>
      <c r="F5659" s="29"/>
      <c r="G5659" s="30">
        <f t="shared" si="104"/>
        <v>1369.7428814814834</v>
      </c>
    </row>
    <row r="5660" spans="1:7" hidden="1" x14ac:dyDescent="0.25">
      <c r="A5660" s="28">
        <v>43983</v>
      </c>
      <c r="B5660" s="27" t="s">
        <v>200</v>
      </c>
      <c r="C5660" s="27" t="s">
        <v>55</v>
      </c>
      <c r="D5660" s="27" t="s">
        <v>6</v>
      </c>
      <c r="E5660" s="27" t="s">
        <v>20</v>
      </c>
      <c r="F5660" s="29"/>
      <c r="G5660" s="30">
        <f t="shared" si="104"/>
        <v>1369.7428814814834</v>
      </c>
    </row>
    <row r="5661" spans="1:7" hidden="1" x14ac:dyDescent="0.25">
      <c r="A5661" s="28">
        <v>43983</v>
      </c>
      <c r="B5661" s="27" t="s">
        <v>200</v>
      </c>
      <c r="C5661" s="27" t="s">
        <v>55</v>
      </c>
      <c r="D5661" s="27" t="s">
        <v>6</v>
      </c>
      <c r="E5661" s="27" t="s">
        <v>38</v>
      </c>
      <c r="F5661" s="29"/>
      <c r="G5661" s="30">
        <f t="shared" si="104"/>
        <v>1369.7428814814834</v>
      </c>
    </row>
    <row r="5662" spans="1:7" hidden="1" x14ac:dyDescent="0.25">
      <c r="A5662" s="28">
        <v>43983</v>
      </c>
      <c r="B5662" s="27" t="s">
        <v>200</v>
      </c>
      <c r="C5662" s="27" t="s">
        <v>55</v>
      </c>
      <c r="D5662" s="27" t="s">
        <v>6</v>
      </c>
      <c r="E5662" s="27" t="s">
        <v>23</v>
      </c>
      <c r="F5662" s="29"/>
      <c r="G5662" s="30">
        <f t="shared" si="104"/>
        <v>1369.7428814814834</v>
      </c>
    </row>
    <row r="5663" spans="1:7" hidden="1" x14ac:dyDescent="0.25">
      <c r="A5663" s="28">
        <v>43983</v>
      </c>
      <c r="B5663" s="27" t="s">
        <v>200</v>
      </c>
      <c r="C5663" s="27" t="s">
        <v>183</v>
      </c>
      <c r="D5663" s="27" t="s">
        <v>7</v>
      </c>
      <c r="E5663" s="27" t="s">
        <v>8</v>
      </c>
      <c r="F5663" s="29"/>
      <c r="G5663" s="30">
        <f t="shared" ref="G5663:G5680" si="105">1897.32/18</f>
        <v>105.40666666666667</v>
      </c>
    </row>
    <row r="5664" spans="1:7" hidden="1" x14ac:dyDescent="0.25">
      <c r="A5664" s="28">
        <v>43983</v>
      </c>
      <c r="B5664" s="27" t="s">
        <v>200</v>
      </c>
      <c r="C5664" s="27" t="s">
        <v>183</v>
      </c>
      <c r="D5664" s="27" t="s">
        <v>7</v>
      </c>
      <c r="E5664" s="27" t="s">
        <v>22</v>
      </c>
      <c r="F5664" s="29"/>
      <c r="G5664" s="30">
        <f t="shared" si="105"/>
        <v>105.40666666666667</v>
      </c>
    </row>
    <row r="5665" spans="1:7" hidden="1" x14ac:dyDescent="0.25">
      <c r="A5665" s="28">
        <v>43983</v>
      </c>
      <c r="B5665" s="27" t="s">
        <v>200</v>
      </c>
      <c r="C5665" s="27" t="s">
        <v>183</v>
      </c>
      <c r="D5665" s="27" t="s">
        <v>7</v>
      </c>
      <c r="E5665" s="27" t="s">
        <v>64</v>
      </c>
      <c r="F5665" s="29"/>
      <c r="G5665" s="30">
        <f t="shared" si="105"/>
        <v>105.40666666666667</v>
      </c>
    </row>
    <row r="5666" spans="1:7" hidden="1" x14ac:dyDescent="0.25">
      <c r="A5666" s="28">
        <v>43983</v>
      </c>
      <c r="B5666" s="27" t="s">
        <v>200</v>
      </c>
      <c r="C5666" s="27" t="s">
        <v>183</v>
      </c>
      <c r="D5666" s="27" t="s">
        <v>7</v>
      </c>
      <c r="E5666" s="27" t="s">
        <v>21</v>
      </c>
      <c r="F5666" s="29"/>
      <c r="G5666" s="30">
        <f t="shared" si="105"/>
        <v>105.40666666666667</v>
      </c>
    </row>
    <row r="5667" spans="1:7" hidden="1" x14ac:dyDescent="0.25">
      <c r="A5667" s="28">
        <v>43983</v>
      </c>
      <c r="B5667" s="27" t="s">
        <v>200</v>
      </c>
      <c r="C5667" s="27" t="s">
        <v>183</v>
      </c>
      <c r="D5667" s="27" t="s">
        <v>7</v>
      </c>
      <c r="E5667" s="27" t="s">
        <v>10</v>
      </c>
      <c r="F5667" s="29"/>
      <c r="G5667" s="30">
        <f t="shared" si="105"/>
        <v>105.40666666666667</v>
      </c>
    </row>
    <row r="5668" spans="1:7" hidden="1" x14ac:dyDescent="0.25">
      <c r="A5668" s="28">
        <v>43983</v>
      </c>
      <c r="B5668" s="27" t="s">
        <v>200</v>
      </c>
      <c r="C5668" s="27" t="s">
        <v>183</v>
      </c>
      <c r="D5668" s="27" t="s">
        <v>7</v>
      </c>
      <c r="E5668" s="27" t="s">
        <v>11</v>
      </c>
      <c r="F5668" s="29"/>
      <c r="G5668" s="30">
        <f t="shared" si="105"/>
        <v>105.40666666666667</v>
      </c>
    </row>
    <row r="5669" spans="1:7" hidden="1" x14ac:dyDescent="0.25">
      <c r="A5669" s="28">
        <v>43983</v>
      </c>
      <c r="B5669" s="27" t="s">
        <v>200</v>
      </c>
      <c r="C5669" s="27" t="s">
        <v>183</v>
      </c>
      <c r="D5669" s="27" t="s">
        <v>7</v>
      </c>
      <c r="E5669" s="27" t="s">
        <v>12</v>
      </c>
      <c r="F5669" s="29"/>
      <c r="G5669" s="30">
        <f t="shared" si="105"/>
        <v>105.40666666666667</v>
      </c>
    </row>
    <row r="5670" spans="1:7" hidden="1" x14ac:dyDescent="0.25">
      <c r="A5670" s="28">
        <v>43983</v>
      </c>
      <c r="B5670" s="27" t="s">
        <v>200</v>
      </c>
      <c r="C5670" s="27" t="s">
        <v>183</v>
      </c>
      <c r="D5670" s="27" t="s">
        <v>7</v>
      </c>
      <c r="E5670" s="27" t="s">
        <v>13</v>
      </c>
      <c r="F5670" s="29"/>
      <c r="G5670" s="30">
        <f t="shared" si="105"/>
        <v>105.40666666666667</v>
      </c>
    </row>
    <row r="5671" spans="1:7" hidden="1" x14ac:dyDescent="0.25">
      <c r="A5671" s="28">
        <v>43983</v>
      </c>
      <c r="B5671" s="27" t="s">
        <v>200</v>
      </c>
      <c r="C5671" s="27" t="s">
        <v>183</v>
      </c>
      <c r="D5671" s="27" t="s">
        <v>7</v>
      </c>
      <c r="E5671" s="27" t="s">
        <v>14</v>
      </c>
      <c r="F5671" s="29"/>
      <c r="G5671" s="30">
        <f t="shared" si="105"/>
        <v>105.40666666666667</v>
      </c>
    </row>
    <row r="5672" spans="1:7" hidden="1" x14ac:dyDescent="0.25">
      <c r="A5672" s="28">
        <v>43983</v>
      </c>
      <c r="B5672" s="27" t="s">
        <v>200</v>
      </c>
      <c r="C5672" s="27" t="s">
        <v>183</v>
      </c>
      <c r="D5672" s="27" t="s">
        <v>7</v>
      </c>
      <c r="E5672" s="27" t="s">
        <v>15</v>
      </c>
      <c r="F5672" s="29"/>
      <c r="G5672" s="30">
        <f t="shared" si="105"/>
        <v>105.40666666666667</v>
      </c>
    </row>
    <row r="5673" spans="1:7" hidden="1" x14ac:dyDescent="0.25">
      <c r="A5673" s="28">
        <v>43983</v>
      </c>
      <c r="B5673" s="27" t="s">
        <v>200</v>
      </c>
      <c r="C5673" s="27" t="s">
        <v>183</v>
      </c>
      <c r="D5673" s="27" t="s">
        <v>7</v>
      </c>
      <c r="E5673" s="27" t="s">
        <v>16</v>
      </c>
      <c r="F5673" s="29"/>
      <c r="G5673" s="30">
        <f t="shared" si="105"/>
        <v>105.40666666666667</v>
      </c>
    </row>
    <row r="5674" spans="1:7" hidden="1" x14ac:dyDescent="0.25">
      <c r="A5674" s="28">
        <v>43983</v>
      </c>
      <c r="B5674" s="27" t="s">
        <v>200</v>
      </c>
      <c r="C5674" s="27" t="s">
        <v>183</v>
      </c>
      <c r="D5674" s="27" t="s">
        <v>7</v>
      </c>
      <c r="E5674" s="27" t="s">
        <v>17</v>
      </c>
      <c r="F5674" s="29"/>
      <c r="G5674" s="30">
        <f t="shared" si="105"/>
        <v>105.40666666666667</v>
      </c>
    </row>
    <row r="5675" spans="1:7" hidden="1" x14ac:dyDescent="0.25">
      <c r="A5675" s="28">
        <v>43983</v>
      </c>
      <c r="B5675" s="27" t="s">
        <v>200</v>
      </c>
      <c r="C5675" s="27" t="s">
        <v>183</v>
      </c>
      <c r="D5675" s="27" t="s">
        <v>7</v>
      </c>
      <c r="E5675" s="27" t="s">
        <v>18</v>
      </c>
      <c r="F5675" s="29"/>
      <c r="G5675" s="30">
        <f t="shared" si="105"/>
        <v>105.40666666666667</v>
      </c>
    </row>
    <row r="5676" spans="1:7" hidden="1" x14ac:dyDescent="0.25">
      <c r="A5676" s="28">
        <v>43983</v>
      </c>
      <c r="B5676" s="27" t="s">
        <v>200</v>
      </c>
      <c r="C5676" s="27" t="s">
        <v>183</v>
      </c>
      <c r="D5676" s="27" t="s">
        <v>7</v>
      </c>
      <c r="E5676" s="27" t="s">
        <v>19</v>
      </c>
      <c r="F5676" s="29"/>
      <c r="G5676" s="30">
        <f t="shared" si="105"/>
        <v>105.40666666666667</v>
      </c>
    </row>
    <row r="5677" spans="1:7" hidden="1" x14ac:dyDescent="0.25">
      <c r="A5677" s="28">
        <v>43983</v>
      </c>
      <c r="B5677" s="27" t="s">
        <v>200</v>
      </c>
      <c r="C5677" s="27" t="s">
        <v>183</v>
      </c>
      <c r="D5677" s="27" t="s">
        <v>7</v>
      </c>
      <c r="E5677" s="27" t="s">
        <v>20</v>
      </c>
      <c r="F5677" s="29"/>
      <c r="G5677" s="30">
        <f t="shared" si="105"/>
        <v>105.40666666666667</v>
      </c>
    </row>
    <row r="5678" spans="1:7" hidden="1" x14ac:dyDescent="0.25">
      <c r="A5678" s="28">
        <v>43983</v>
      </c>
      <c r="B5678" s="27" t="s">
        <v>200</v>
      </c>
      <c r="C5678" s="27" t="s">
        <v>183</v>
      </c>
      <c r="D5678" s="27" t="s">
        <v>7</v>
      </c>
      <c r="E5678" s="27" t="s">
        <v>38</v>
      </c>
      <c r="F5678" s="29"/>
      <c r="G5678" s="30">
        <f t="shared" si="105"/>
        <v>105.40666666666667</v>
      </c>
    </row>
    <row r="5679" spans="1:7" hidden="1" x14ac:dyDescent="0.25">
      <c r="A5679" s="28">
        <v>43983</v>
      </c>
      <c r="B5679" s="27" t="s">
        <v>200</v>
      </c>
      <c r="C5679" s="27" t="s">
        <v>183</v>
      </c>
      <c r="D5679" s="27" t="s">
        <v>7</v>
      </c>
      <c r="E5679" s="27" t="s">
        <v>23</v>
      </c>
      <c r="F5679" s="29"/>
      <c r="G5679" s="30">
        <f t="shared" si="105"/>
        <v>105.40666666666667</v>
      </c>
    </row>
    <row r="5680" spans="1:7" hidden="1" x14ac:dyDescent="0.25">
      <c r="A5680" s="28">
        <v>43983</v>
      </c>
      <c r="B5680" s="27" t="s">
        <v>200</v>
      </c>
      <c r="C5680" s="27" t="s">
        <v>183</v>
      </c>
      <c r="D5680" s="27" t="s">
        <v>7</v>
      </c>
      <c r="E5680" s="27" t="s">
        <v>37</v>
      </c>
      <c r="F5680" s="29"/>
      <c r="G5680" s="30">
        <f t="shared" si="105"/>
        <v>105.40666666666667</v>
      </c>
    </row>
    <row r="5681" spans="1:7" hidden="1" x14ac:dyDescent="0.25">
      <c r="A5681" s="28">
        <v>43983</v>
      </c>
      <c r="B5681" s="27" t="s">
        <v>200</v>
      </c>
      <c r="C5681" s="27" t="s">
        <v>56</v>
      </c>
      <c r="D5681" s="27" t="s">
        <v>6</v>
      </c>
      <c r="E5681" s="27" t="s">
        <v>8</v>
      </c>
      <c r="F5681" s="29"/>
      <c r="G5681" s="30">
        <f t="shared" ref="G5681:G5698" si="106">35810.9296888889/18</f>
        <v>1989.4960938271611</v>
      </c>
    </row>
    <row r="5682" spans="1:7" hidden="1" x14ac:dyDescent="0.25">
      <c r="A5682" s="28">
        <v>43983</v>
      </c>
      <c r="B5682" s="27" t="s">
        <v>200</v>
      </c>
      <c r="C5682" s="27" t="s">
        <v>56</v>
      </c>
      <c r="D5682" s="27" t="s">
        <v>6</v>
      </c>
      <c r="E5682" s="27" t="s">
        <v>9</v>
      </c>
      <c r="F5682" s="29"/>
      <c r="G5682" s="30">
        <f t="shared" si="106"/>
        <v>1989.4960938271611</v>
      </c>
    </row>
    <row r="5683" spans="1:7" hidden="1" x14ac:dyDescent="0.25">
      <c r="A5683" s="28">
        <v>43983</v>
      </c>
      <c r="B5683" s="27" t="s">
        <v>200</v>
      </c>
      <c r="C5683" s="27" t="s">
        <v>56</v>
      </c>
      <c r="D5683" s="27" t="s">
        <v>6</v>
      </c>
      <c r="E5683" s="27" t="s">
        <v>22</v>
      </c>
      <c r="F5683" s="29"/>
      <c r="G5683" s="30">
        <f t="shared" si="106"/>
        <v>1989.4960938271611</v>
      </c>
    </row>
    <row r="5684" spans="1:7" hidden="1" x14ac:dyDescent="0.25">
      <c r="A5684" s="28">
        <v>43983</v>
      </c>
      <c r="B5684" s="27" t="s">
        <v>200</v>
      </c>
      <c r="C5684" s="27" t="s">
        <v>56</v>
      </c>
      <c r="D5684" s="27" t="s">
        <v>6</v>
      </c>
      <c r="E5684" s="27" t="s">
        <v>64</v>
      </c>
      <c r="F5684" s="29"/>
      <c r="G5684" s="30">
        <f t="shared" si="106"/>
        <v>1989.4960938271611</v>
      </c>
    </row>
    <row r="5685" spans="1:7" hidden="1" x14ac:dyDescent="0.25">
      <c r="A5685" s="28">
        <v>43983</v>
      </c>
      <c r="B5685" s="27" t="s">
        <v>200</v>
      </c>
      <c r="C5685" s="27" t="s">
        <v>56</v>
      </c>
      <c r="D5685" s="27" t="s">
        <v>6</v>
      </c>
      <c r="E5685" s="27" t="s">
        <v>21</v>
      </c>
      <c r="F5685" s="29"/>
      <c r="G5685" s="30">
        <f t="shared" si="106"/>
        <v>1989.4960938271611</v>
      </c>
    </row>
    <row r="5686" spans="1:7" hidden="1" x14ac:dyDescent="0.25">
      <c r="A5686" s="28">
        <v>43983</v>
      </c>
      <c r="B5686" s="27" t="s">
        <v>200</v>
      </c>
      <c r="C5686" s="27" t="s">
        <v>56</v>
      </c>
      <c r="D5686" s="27" t="s">
        <v>6</v>
      </c>
      <c r="E5686" s="27" t="s">
        <v>10</v>
      </c>
      <c r="F5686" s="29"/>
      <c r="G5686" s="30">
        <f t="shared" si="106"/>
        <v>1989.4960938271611</v>
      </c>
    </row>
    <row r="5687" spans="1:7" hidden="1" x14ac:dyDescent="0.25">
      <c r="A5687" s="28">
        <v>43983</v>
      </c>
      <c r="B5687" s="27" t="s">
        <v>200</v>
      </c>
      <c r="C5687" s="27" t="s">
        <v>56</v>
      </c>
      <c r="D5687" s="27" t="s">
        <v>6</v>
      </c>
      <c r="E5687" s="27" t="s">
        <v>11</v>
      </c>
      <c r="F5687" s="29"/>
      <c r="G5687" s="30">
        <f t="shared" si="106"/>
        <v>1989.4960938271611</v>
      </c>
    </row>
    <row r="5688" spans="1:7" hidden="1" x14ac:dyDescent="0.25">
      <c r="A5688" s="28">
        <v>43983</v>
      </c>
      <c r="B5688" s="27" t="s">
        <v>200</v>
      </c>
      <c r="C5688" s="27" t="s">
        <v>56</v>
      </c>
      <c r="D5688" s="27" t="s">
        <v>6</v>
      </c>
      <c r="E5688" s="27" t="s">
        <v>12</v>
      </c>
      <c r="F5688" s="29"/>
      <c r="G5688" s="30">
        <f t="shared" si="106"/>
        <v>1989.4960938271611</v>
      </c>
    </row>
    <row r="5689" spans="1:7" hidden="1" x14ac:dyDescent="0.25">
      <c r="A5689" s="28">
        <v>43983</v>
      </c>
      <c r="B5689" s="27" t="s">
        <v>200</v>
      </c>
      <c r="C5689" s="27" t="s">
        <v>56</v>
      </c>
      <c r="D5689" s="27" t="s">
        <v>6</v>
      </c>
      <c r="E5689" s="27" t="s">
        <v>13</v>
      </c>
      <c r="F5689" s="29"/>
      <c r="G5689" s="30">
        <f t="shared" si="106"/>
        <v>1989.4960938271611</v>
      </c>
    </row>
    <row r="5690" spans="1:7" hidden="1" x14ac:dyDescent="0.25">
      <c r="A5690" s="28">
        <v>43983</v>
      </c>
      <c r="B5690" s="27" t="s">
        <v>200</v>
      </c>
      <c r="C5690" s="27" t="s">
        <v>56</v>
      </c>
      <c r="D5690" s="27" t="s">
        <v>6</v>
      </c>
      <c r="E5690" s="27" t="s">
        <v>14</v>
      </c>
      <c r="F5690" s="29"/>
      <c r="G5690" s="30">
        <f t="shared" si="106"/>
        <v>1989.4960938271611</v>
      </c>
    </row>
    <row r="5691" spans="1:7" hidden="1" x14ac:dyDescent="0.25">
      <c r="A5691" s="28">
        <v>43983</v>
      </c>
      <c r="B5691" s="27" t="s">
        <v>200</v>
      </c>
      <c r="C5691" s="27" t="s">
        <v>56</v>
      </c>
      <c r="D5691" s="27" t="s">
        <v>6</v>
      </c>
      <c r="E5691" s="27" t="s">
        <v>15</v>
      </c>
      <c r="F5691" s="29"/>
      <c r="G5691" s="30">
        <f t="shared" si="106"/>
        <v>1989.4960938271611</v>
      </c>
    </row>
    <row r="5692" spans="1:7" hidden="1" x14ac:dyDescent="0.25">
      <c r="A5692" s="28">
        <v>43983</v>
      </c>
      <c r="B5692" s="27" t="s">
        <v>200</v>
      </c>
      <c r="C5692" s="27" t="s">
        <v>56</v>
      </c>
      <c r="D5692" s="27" t="s">
        <v>6</v>
      </c>
      <c r="E5692" s="27" t="s">
        <v>16</v>
      </c>
      <c r="F5692" s="29"/>
      <c r="G5692" s="30">
        <f t="shared" si="106"/>
        <v>1989.4960938271611</v>
      </c>
    </row>
    <row r="5693" spans="1:7" hidden="1" x14ac:dyDescent="0.25">
      <c r="A5693" s="28">
        <v>43983</v>
      </c>
      <c r="B5693" s="27" t="s">
        <v>200</v>
      </c>
      <c r="C5693" s="27" t="s">
        <v>56</v>
      </c>
      <c r="D5693" s="27" t="s">
        <v>6</v>
      </c>
      <c r="E5693" s="27" t="s">
        <v>17</v>
      </c>
      <c r="F5693" s="29"/>
      <c r="G5693" s="30">
        <f t="shared" si="106"/>
        <v>1989.4960938271611</v>
      </c>
    </row>
    <row r="5694" spans="1:7" hidden="1" x14ac:dyDescent="0.25">
      <c r="A5694" s="28">
        <v>43983</v>
      </c>
      <c r="B5694" s="27" t="s">
        <v>200</v>
      </c>
      <c r="C5694" s="27" t="s">
        <v>56</v>
      </c>
      <c r="D5694" s="27" t="s">
        <v>6</v>
      </c>
      <c r="E5694" s="27" t="s">
        <v>18</v>
      </c>
      <c r="F5694" s="29"/>
      <c r="G5694" s="30">
        <f t="shared" si="106"/>
        <v>1989.4960938271611</v>
      </c>
    </row>
    <row r="5695" spans="1:7" hidden="1" x14ac:dyDescent="0.25">
      <c r="A5695" s="28">
        <v>43983</v>
      </c>
      <c r="B5695" s="27" t="s">
        <v>200</v>
      </c>
      <c r="C5695" s="27" t="s">
        <v>56</v>
      </c>
      <c r="D5695" s="27" t="s">
        <v>6</v>
      </c>
      <c r="E5695" s="27" t="s">
        <v>19</v>
      </c>
      <c r="F5695" s="29"/>
      <c r="G5695" s="30">
        <f t="shared" si="106"/>
        <v>1989.4960938271611</v>
      </c>
    </row>
    <row r="5696" spans="1:7" hidden="1" x14ac:dyDescent="0.25">
      <c r="A5696" s="28">
        <v>43983</v>
      </c>
      <c r="B5696" s="27" t="s">
        <v>200</v>
      </c>
      <c r="C5696" s="27" t="s">
        <v>56</v>
      </c>
      <c r="D5696" s="27" t="s">
        <v>6</v>
      </c>
      <c r="E5696" s="27" t="s">
        <v>20</v>
      </c>
      <c r="F5696" s="29"/>
      <c r="G5696" s="30">
        <f t="shared" si="106"/>
        <v>1989.4960938271611</v>
      </c>
    </row>
    <row r="5697" spans="1:7" hidden="1" x14ac:dyDescent="0.25">
      <c r="A5697" s="28">
        <v>43983</v>
      </c>
      <c r="B5697" s="27" t="s">
        <v>200</v>
      </c>
      <c r="C5697" s="27" t="s">
        <v>56</v>
      </c>
      <c r="D5697" s="27" t="s">
        <v>6</v>
      </c>
      <c r="E5697" s="27" t="s">
        <v>38</v>
      </c>
      <c r="F5697" s="29"/>
      <c r="G5697" s="30">
        <f t="shared" si="106"/>
        <v>1989.4960938271611</v>
      </c>
    </row>
    <row r="5698" spans="1:7" hidden="1" x14ac:dyDescent="0.25">
      <c r="A5698" s="28">
        <v>43983</v>
      </c>
      <c r="B5698" s="27" t="s">
        <v>200</v>
      </c>
      <c r="C5698" s="27" t="s">
        <v>56</v>
      </c>
      <c r="D5698" s="27" t="s">
        <v>6</v>
      </c>
      <c r="E5698" s="27" t="s">
        <v>23</v>
      </c>
      <c r="F5698" s="29"/>
      <c r="G5698" s="30">
        <f t="shared" si="106"/>
        <v>1989.4960938271611</v>
      </c>
    </row>
    <row r="5699" spans="1:7" hidden="1" x14ac:dyDescent="0.25">
      <c r="A5699" s="28">
        <v>43983</v>
      </c>
      <c r="B5699" s="27" t="s">
        <v>200</v>
      </c>
      <c r="C5699" s="27" t="s">
        <v>182</v>
      </c>
      <c r="D5699" s="27" t="s">
        <v>7</v>
      </c>
      <c r="E5699" s="27" t="s">
        <v>8</v>
      </c>
      <c r="F5699" s="29"/>
      <c r="G5699" s="30">
        <f t="shared" ref="G5699:G5716" si="107">1955.92/18</f>
        <v>108.66222222222223</v>
      </c>
    </row>
    <row r="5700" spans="1:7" hidden="1" x14ac:dyDescent="0.25">
      <c r="A5700" s="28">
        <v>43983</v>
      </c>
      <c r="B5700" s="27" t="s">
        <v>200</v>
      </c>
      <c r="C5700" s="27" t="s">
        <v>182</v>
      </c>
      <c r="D5700" s="27" t="s">
        <v>7</v>
      </c>
      <c r="E5700" s="27" t="s">
        <v>22</v>
      </c>
      <c r="F5700" s="29"/>
      <c r="G5700" s="30">
        <f t="shared" si="107"/>
        <v>108.66222222222223</v>
      </c>
    </row>
    <row r="5701" spans="1:7" hidden="1" x14ac:dyDescent="0.25">
      <c r="A5701" s="28">
        <v>43983</v>
      </c>
      <c r="B5701" s="27" t="s">
        <v>200</v>
      </c>
      <c r="C5701" s="27" t="s">
        <v>182</v>
      </c>
      <c r="D5701" s="27" t="s">
        <v>7</v>
      </c>
      <c r="E5701" s="27" t="s">
        <v>64</v>
      </c>
      <c r="F5701" s="29"/>
      <c r="G5701" s="30">
        <f t="shared" si="107"/>
        <v>108.66222222222223</v>
      </c>
    </row>
    <row r="5702" spans="1:7" hidden="1" x14ac:dyDescent="0.25">
      <c r="A5702" s="28">
        <v>43983</v>
      </c>
      <c r="B5702" s="27" t="s">
        <v>200</v>
      </c>
      <c r="C5702" s="27" t="s">
        <v>182</v>
      </c>
      <c r="D5702" s="27" t="s">
        <v>7</v>
      </c>
      <c r="E5702" s="27" t="s">
        <v>21</v>
      </c>
      <c r="F5702" s="29"/>
      <c r="G5702" s="30">
        <f t="shared" si="107"/>
        <v>108.66222222222223</v>
      </c>
    </row>
    <row r="5703" spans="1:7" hidden="1" x14ac:dyDescent="0.25">
      <c r="A5703" s="28">
        <v>43983</v>
      </c>
      <c r="B5703" s="27" t="s">
        <v>200</v>
      </c>
      <c r="C5703" s="27" t="s">
        <v>182</v>
      </c>
      <c r="D5703" s="27" t="s">
        <v>7</v>
      </c>
      <c r="E5703" s="27" t="s">
        <v>10</v>
      </c>
      <c r="F5703" s="29"/>
      <c r="G5703" s="30">
        <f t="shared" si="107"/>
        <v>108.66222222222223</v>
      </c>
    </row>
    <row r="5704" spans="1:7" hidden="1" x14ac:dyDescent="0.25">
      <c r="A5704" s="28">
        <v>43983</v>
      </c>
      <c r="B5704" s="27" t="s">
        <v>200</v>
      </c>
      <c r="C5704" s="27" t="s">
        <v>182</v>
      </c>
      <c r="D5704" s="27" t="s">
        <v>7</v>
      </c>
      <c r="E5704" s="27" t="s">
        <v>11</v>
      </c>
      <c r="F5704" s="29"/>
      <c r="G5704" s="30">
        <f t="shared" si="107"/>
        <v>108.66222222222223</v>
      </c>
    </row>
    <row r="5705" spans="1:7" hidden="1" x14ac:dyDescent="0.25">
      <c r="A5705" s="28">
        <v>43983</v>
      </c>
      <c r="B5705" s="27" t="s">
        <v>200</v>
      </c>
      <c r="C5705" s="27" t="s">
        <v>182</v>
      </c>
      <c r="D5705" s="27" t="s">
        <v>7</v>
      </c>
      <c r="E5705" s="27" t="s">
        <v>12</v>
      </c>
      <c r="F5705" s="29"/>
      <c r="G5705" s="30">
        <f t="shared" si="107"/>
        <v>108.66222222222223</v>
      </c>
    </row>
    <row r="5706" spans="1:7" hidden="1" x14ac:dyDescent="0.25">
      <c r="A5706" s="28">
        <v>43983</v>
      </c>
      <c r="B5706" s="27" t="s">
        <v>200</v>
      </c>
      <c r="C5706" s="27" t="s">
        <v>182</v>
      </c>
      <c r="D5706" s="27" t="s">
        <v>7</v>
      </c>
      <c r="E5706" s="27" t="s">
        <v>13</v>
      </c>
      <c r="F5706" s="29"/>
      <c r="G5706" s="30">
        <f t="shared" si="107"/>
        <v>108.66222222222223</v>
      </c>
    </row>
    <row r="5707" spans="1:7" hidden="1" x14ac:dyDescent="0.25">
      <c r="A5707" s="28">
        <v>43983</v>
      </c>
      <c r="B5707" s="27" t="s">
        <v>200</v>
      </c>
      <c r="C5707" s="27" t="s">
        <v>182</v>
      </c>
      <c r="D5707" s="27" t="s">
        <v>7</v>
      </c>
      <c r="E5707" s="27" t="s">
        <v>14</v>
      </c>
      <c r="F5707" s="29"/>
      <c r="G5707" s="30">
        <f t="shared" si="107"/>
        <v>108.66222222222223</v>
      </c>
    </row>
    <row r="5708" spans="1:7" hidden="1" x14ac:dyDescent="0.25">
      <c r="A5708" s="28">
        <v>43983</v>
      </c>
      <c r="B5708" s="27" t="s">
        <v>200</v>
      </c>
      <c r="C5708" s="27" t="s">
        <v>182</v>
      </c>
      <c r="D5708" s="27" t="s">
        <v>7</v>
      </c>
      <c r="E5708" s="27" t="s">
        <v>15</v>
      </c>
      <c r="F5708" s="29"/>
      <c r="G5708" s="30">
        <f t="shared" si="107"/>
        <v>108.66222222222223</v>
      </c>
    </row>
    <row r="5709" spans="1:7" hidden="1" x14ac:dyDescent="0.25">
      <c r="A5709" s="28">
        <v>43983</v>
      </c>
      <c r="B5709" s="27" t="s">
        <v>200</v>
      </c>
      <c r="C5709" s="27" t="s">
        <v>182</v>
      </c>
      <c r="D5709" s="27" t="s">
        <v>7</v>
      </c>
      <c r="E5709" s="27" t="s">
        <v>16</v>
      </c>
      <c r="F5709" s="29"/>
      <c r="G5709" s="30">
        <f t="shared" si="107"/>
        <v>108.66222222222223</v>
      </c>
    </row>
    <row r="5710" spans="1:7" hidden="1" x14ac:dyDescent="0.25">
      <c r="A5710" s="28">
        <v>43983</v>
      </c>
      <c r="B5710" s="27" t="s">
        <v>200</v>
      </c>
      <c r="C5710" s="27" t="s">
        <v>182</v>
      </c>
      <c r="D5710" s="27" t="s">
        <v>7</v>
      </c>
      <c r="E5710" s="27" t="s">
        <v>17</v>
      </c>
      <c r="F5710" s="29"/>
      <c r="G5710" s="30">
        <f t="shared" si="107"/>
        <v>108.66222222222223</v>
      </c>
    </row>
    <row r="5711" spans="1:7" hidden="1" x14ac:dyDescent="0.25">
      <c r="A5711" s="28">
        <v>43983</v>
      </c>
      <c r="B5711" s="27" t="s">
        <v>200</v>
      </c>
      <c r="C5711" s="27" t="s">
        <v>182</v>
      </c>
      <c r="D5711" s="27" t="s">
        <v>7</v>
      </c>
      <c r="E5711" s="27" t="s">
        <v>18</v>
      </c>
      <c r="F5711" s="29"/>
      <c r="G5711" s="30">
        <f t="shared" si="107"/>
        <v>108.66222222222223</v>
      </c>
    </row>
    <row r="5712" spans="1:7" hidden="1" x14ac:dyDescent="0.25">
      <c r="A5712" s="28">
        <v>43983</v>
      </c>
      <c r="B5712" s="27" t="s">
        <v>200</v>
      </c>
      <c r="C5712" s="27" t="s">
        <v>182</v>
      </c>
      <c r="D5712" s="27" t="s">
        <v>7</v>
      </c>
      <c r="E5712" s="27" t="s">
        <v>19</v>
      </c>
      <c r="F5712" s="29"/>
      <c r="G5712" s="30">
        <f t="shared" si="107"/>
        <v>108.66222222222223</v>
      </c>
    </row>
    <row r="5713" spans="1:7" hidden="1" x14ac:dyDescent="0.25">
      <c r="A5713" s="28">
        <v>43983</v>
      </c>
      <c r="B5713" s="27" t="s">
        <v>200</v>
      </c>
      <c r="C5713" s="27" t="s">
        <v>182</v>
      </c>
      <c r="D5713" s="27" t="s">
        <v>7</v>
      </c>
      <c r="E5713" s="27" t="s">
        <v>20</v>
      </c>
      <c r="F5713" s="29"/>
      <c r="G5713" s="30">
        <f t="shared" si="107"/>
        <v>108.66222222222223</v>
      </c>
    </row>
    <row r="5714" spans="1:7" hidden="1" x14ac:dyDescent="0.25">
      <c r="A5714" s="28">
        <v>43983</v>
      </c>
      <c r="B5714" s="27" t="s">
        <v>200</v>
      </c>
      <c r="C5714" s="27" t="s">
        <v>182</v>
      </c>
      <c r="D5714" s="27" t="s">
        <v>7</v>
      </c>
      <c r="E5714" s="27" t="s">
        <v>38</v>
      </c>
      <c r="F5714" s="29"/>
      <c r="G5714" s="30">
        <f t="shared" si="107"/>
        <v>108.66222222222223</v>
      </c>
    </row>
    <row r="5715" spans="1:7" hidden="1" x14ac:dyDescent="0.25">
      <c r="A5715" s="28">
        <v>43983</v>
      </c>
      <c r="B5715" s="27" t="s">
        <v>200</v>
      </c>
      <c r="C5715" s="27" t="s">
        <v>182</v>
      </c>
      <c r="D5715" s="27" t="s">
        <v>7</v>
      </c>
      <c r="E5715" s="27" t="s">
        <v>23</v>
      </c>
      <c r="F5715" s="29"/>
      <c r="G5715" s="30">
        <f t="shared" si="107"/>
        <v>108.66222222222223</v>
      </c>
    </row>
    <row r="5716" spans="1:7" hidden="1" x14ac:dyDescent="0.25">
      <c r="A5716" s="28">
        <v>43983</v>
      </c>
      <c r="B5716" s="27" t="s">
        <v>200</v>
      </c>
      <c r="C5716" s="27" t="s">
        <v>182</v>
      </c>
      <c r="D5716" s="27" t="s">
        <v>7</v>
      </c>
      <c r="E5716" s="27" t="s">
        <v>37</v>
      </c>
      <c r="F5716" s="29"/>
      <c r="G5716" s="30">
        <f t="shared" si="107"/>
        <v>108.66222222222223</v>
      </c>
    </row>
    <row r="5717" spans="1:7" hidden="1" x14ac:dyDescent="0.25">
      <c r="A5717" s="28">
        <v>43983</v>
      </c>
      <c r="B5717" s="27" t="s">
        <v>35</v>
      </c>
      <c r="C5717" s="27" t="s">
        <v>50</v>
      </c>
      <c r="D5717" s="27" t="s">
        <v>6</v>
      </c>
      <c r="E5717" s="27" t="s">
        <v>8</v>
      </c>
      <c r="F5717" s="29"/>
      <c r="G5717" s="30">
        <v>444.52</v>
      </c>
    </row>
    <row r="5718" spans="1:7" hidden="1" x14ac:dyDescent="0.25">
      <c r="A5718" s="28">
        <v>43983</v>
      </c>
      <c r="B5718" s="27" t="s">
        <v>35</v>
      </c>
      <c r="C5718" s="27" t="s">
        <v>50</v>
      </c>
      <c r="D5718" s="27" t="s">
        <v>6</v>
      </c>
      <c r="E5718" s="27" t="s">
        <v>9</v>
      </c>
      <c r="F5718" s="29"/>
      <c r="G5718" s="30">
        <v>444.52</v>
      </c>
    </row>
    <row r="5719" spans="1:7" hidden="1" x14ac:dyDescent="0.25">
      <c r="A5719" s="28">
        <v>43983</v>
      </c>
      <c r="B5719" s="27" t="s">
        <v>35</v>
      </c>
      <c r="C5719" s="27" t="s">
        <v>50</v>
      </c>
      <c r="D5719" s="27" t="s">
        <v>6</v>
      </c>
      <c r="E5719" s="27" t="s">
        <v>22</v>
      </c>
      <c r="F5719" s="29"/>
      <c r="G5719" s="30">
        <v>444.52</v>
      </c>
    </row>
    <row r="5720" spans="1:7" hidden="1" x14ac:dyDescent="0.25">
      <c r="A5720" s="28">
        <v>43983</v>
      </c>
      <c r="B5720" s="27" t="s">
        <v>35</v>
      </c>
      <c r="C5720" s="27" t="s">
        <v>50</v>
      </c>
      <c r="D5720" s="27" t="s">
        <v>6</v>
      </c>
      <c r="E5720" s="27" t="s">
        <v>64</v>
      </c>
      <c r="F5720" s="29"/>
      <c r="G5720" s="30">
        <v>444.52</v>
      </c>
    </row>
    <row r="5721" spans="1:7" hidden="1" x14ac:dyDescent="0.25">
      <c r="A5721" s="28">
        <v>43983</v>
      </c>
      <c r="B5721" s="27" t="s">
        <v>35</v>
      </c>
      <c r="C5721" s="27" t="s">
        <v>50</v>
      </c>
      <c r="D5721" s="27" t="s">
        <v>6</v>
      </c>
      <c r="E5721" s="27" t="s">
        <v>21</v>
      </c>
      <c r="F5721" s="29"/>
      <c r="G5721" s="30">
        <v>444.52</v>
      </c>
    </row>
    <row r="5722" spans="1:7" hidden="1" x14ac:dyDescent="0.25">
      <c r="A5722" s="28">
        <v>43983</v>
      </c>
      <c r="B5722" s="27" t="s">
        <v>35</v>
      </c>
      <c r="C5722" s="27" t="s">
        <v>50</v>
      </c>
      <c r="D5722" s="27" t="s">
        <v>6</v>
      </c>
      <c r="E5722" s="27" t="s">
        <v>10</v>
      </c>
      <c r="F5722" s="29"/>
      <c r="G5722" s="30">
        <v>444.52</v>
      </c>
    </row>
    <row r="5723" spans="1:7" hidden="1" x14ac:dyDescent="0.25">
      <c r="A5723" s="28">
        <v>43983</v>
      </c>
      <c r="B5723" s="27" t="s">
        <v>35</v>
      </c>
      <c r="C5723" s="27" t="s">
        <v>50</v>
      </c>
      <c r="D5723" s="27" t="s">
        <v>6</v>
      </c>
      <c r="E5723" s="27" t="s">
        <v>11</v>
      </c>
      <c r="F5723" s="29"/>
      <c r="G5723" s="30">
        <v>444.52</v>
      </c>
    </row>
    <row r="5724" spans="1:7" hidden="1" x14ac:dyDescent="0.25">
      <c r="A5724" s="28">
        <v>43983</v>
      </c>
      <c r="B5724" s="27" t="s">
        <v>35</v>
      </c>
      <c r="C5724" s="27" t="s">
        <v>50</v>
      </c>
      <c r="D5724" s="27" t="s">
        <v>6</v>
      </c>
      <c r="E5724" s="27" t="s">
        <v>12</v>
      </c>
      <c r="F5724" s="29"/>
      <c r="G5724" s="30">
        <v>444.52</v>
      </c>
    </row>
    <row r="5725" spans="1:7" hidden="1" x14ac:dyDescent="0.25">
      <c r="A5725" s="28">
        <v>43983</v>
      </c>
      <c r="B5725" s="27" t="s">
        <v>35</v>
      </c>
      <c r="C5725" s="27" t="s">
        <v>50</v>
      </c>
      <c r="D5725" s="27" t="s">
        <v>6</v>
      </c>
      <c r="E5725" s="27" t="s">
        <v>13</v>
      </c>
      <c r="F5725" s="29"/>
      <c r="G5725" s="30">
        <v>444.52</v>
      </c>
    </row>
    <row r="5726" spans="1:7" hidden="1" x14ac:dyDescent="0.25">
      <c r="A5726" s="28">
        <v>43983</v>
      </c>
      <c r="B5726" s="27" t="s">
        <v>35</v>
      </c>
      <c r="C5726" s="27" t="s">
        <v>50</v>
      </c>
      <c r="D5726" s="27" t="s">
        <v>6</v>
      </c>
      <c r="E5726" s="27" t="s">
        <v>14</v>
      </c>
      <c r="F5726" s="29"/>
      <c r="G5726" s="30">
        <v>444.52</v>
      </c>
    </row>
    <row r="5727" spans="1:7" hidden="1" x14ac:dyDescent="0.25">
      <c r="A5727" s="28">
        <v>43983</v>
      </c>
      <c r="B5727" s="27" t="s">
        <v>35</v>
      </c>
      <c r="C5727" s="27" t="s">
        <v>50</v>
      </c>
      <c r="D5727" s="27" t="s">
        <v>6</v>
      </c>
      <c r="E5727" s="27" t="s">
        <v>15</v>
      </c>
      <c r="F5727" s="29"/>
      <c r="G5727" s="30">
        <v>444.52</v>
      </c>
    </row>
    <row r="5728" spans="1:7" hidden="1" x14ac:dyDescent="0.25">
      <c r="A5728" s="28">
        <v>43983</v>
      </c>
      <c r="B5728" s="27" t="s">
        <v>35</v>
      </c>
      <c r="C5728" s="27" t="s">
        <v>50</v>
      </c>
      <c r="D5728" s="27" t="s">
        <v>6</v>
      </c>
      <c r="E5728" s="27" t="s">
        <v>16</v>
      </c>
      <c r="F5728" s="29"/>
      <c r="G5728" s="30">
        <v>444.52</v>
      </c>
    </row>
    <row r="5729" spans="1:7" hidden="1" x14ac:dyDescent="0.25">
      <c r="A5729" s="28">
        <v>43983</v>
      </c>
      <c r="B5729" s="27" t="s">
        <v>35</v>
      </c>
      <c r="C5729" s="27" t="s">
        <v>50</v>
      </c>
      <c r="D5729" s="27" t="s">
        <v>6</v>
      </c>
      <c r="E5729" s="27" t="s">
        <v>17</v>
      </c>
      <c r="F5729" s="29"/>
      <c r="G5729" s="30">
        <v>444.52</v>
      </c>
    </row>
    <row r="5730" spans="1:7" hidden="1" x14ac:dyDescent="0.25">
      <c r="A5730" s="28">
        <v>43983</v>
      </c>
      <c r="B5730" s="27" t="s">
        <v>35</v>
      </c>
      <c r="C5730" s="27" t="s">
        <v>50</v>
      </c>
      <c r="D5730" s="27" t="s">
        <v>6</v>
      </c>
      <c r="E5730" s="27" t="s">
        <v>18</v>
      </c>
      <c r="F5730" s="29"/>
      <c r="G5730" s="30">
        <v>444.52</v>
      </c>
    </row>
    <row r="5731" spans="1:7" hidden="1" x14ac:dyDescent="0.25">
      <c r="A5731" s="28">
        <v>43983</v>
      </c>
      <c r="B5731" s="27" t="s">
        <v>35</v>
      </c>
      <c r="C5731" s="27" t="s">
        <v>50</v>
      </c>
      <c r="D5731" s="27" t="s">
        <v>6</v>
      </c>
      <c r="E5731" s="27" t="s">
        <v>19</v>
      </c>
      <c r="F5731" s="29"/>
      <c r="G5731" s="30">
        <v>444.52</v>
      </c>
    </row>
    <row r="5732" spans="1:7" hidden="1" x14ac:dyDescent="0.25">
      <c r="A5732" s="28">
        <v>43983</v>
      </c>
      <c r="B5732" s="27" t="s">
        <v>35</v>
      </c>
      <c r="C5732" s="27" t="s">
        <v>50</v>
      </c>
      <c r="D5732" s="27" t="s">
        <v>6</v>
      </c>
      <c r="E5732" s="27" t="s">
        <v>20</v>
      </c>
      <c r="F5732" s="29"/>
      <c r="G5732" s="30">
        <v>444.52</v>
      </c>
    </row>
    <row r="5733" spans="1:7" hidden="1" x14ac:dyDescent="0.25">
      <c r="A5733" s="28">
        <v>43983</v>
      </c>
      <c r="B5733" s="27" t="s">
        <v>35</v>
      </c>
      <c r="C5733" s="27" t="s">
        <v>50</v>
      </c>
      <c r="D5733" s="27" t="s">
        <v>6</v>
      </c>
      <c r="E5733" s="27" t="s">
        <v>38</v>
      </c>
      <c r="F5733" s="29"/>
      <c r="G5733" s="30">
        <v>444.52</v>
      </c>
    </row>
    <row r="5734" spans="1:7" hidden="1" x14ac:dyDescent="0.25">
      <c r="A5734" s="28">
        <v>43983</v>
      </c>
      <c r="B5734" s="27" t="s">
        <v>35</v>
      </c>
      <c r="C5734" s="27" t="s">
        <v>50</v>
      </c>
      <c r="D5734" s="27" t="s">
        <v>6</v>
      </c>
      <c r="E5734" s="27" t="s">
        <v>23</v>
      </c>
      <c r="F5734" s="29"/>
      <c r="G5734" s="30">
        <v>444.52</v>
      </c>
    </row>
    <row r="5735" spans="1:7" hidden="1" x14ac:dyDescent="0.25">
      <c r="A5735" s="28">
        <v>43983</v>
      </c>
      <c r="B5735" s="27" t="s">
        <v>34</v>
      </c>
      <c r="C5735" s="27" t="s">
        <v>50</v>
      </c>
      <c r="D5735" s="27" t="s">
        <v>6</v>
      </c>
      <c r="E5735" s="27" t="s">
        <v>8</v>
      </c>
      <c r="F5735" s="29"/>
      <c r="G5735" s="30">
        <v>730.85299999999995</v>
      </c>
    </row>
    <row r="5736" spans="1:7" hidden="1" x14ac:dyDescent="0.25">
      <c r="A5736" s="28">
        <v>43983</v>
      </c>
      <c r="B5736" s="27" t="s">
        <v>34</v>
      </c>
      <c r="C5736" s="27" t="s">
        <v>50</v>
      </c>
      <c r="D5736" s="27" t="s">
        <v>6</v>
      </c>
      <c r="E5736" s="27" t="s">
        <v>9</v>
      </c>
      <c r="F5736" s="29"/>
      <c r="G5736" s="30">
        <v>809.49900000000002</v>
      </c>
    </row>
    <row r="5737" spans="1:7" hidden="1" x14ac:dyDescent="0.25">
      <c r="A5737" s="28">
        <v>43983</v>
      </c>
      <c r="B5737" s="27" t="s">
        <v>34</v>
      </c>
      <c r="C5737" s="27" t="s">
        <v>50</v>
      </c>
      <c r="D5737" s="27" t="s">
        <v>6</v>
      </c>
      <c r="E5737" s="27" t="s">
        <v>22</v>
      </c>
      <c r="F5737" s="29"/>
      <c r="G5737" s="30">
        <v>1078.788</v>
      </c>
    </row>
    <row r="5738" spans="1:7" hidden="1" x14ac:dyDescent="0.25">
      <c r="A5738" s="28">
        <v>43983</v>
      </c>
      <c r="B5738" s="27" t="s">
        <v>34</v>
      </c>
      <c r="C5738" s="27" t="s">
        <v>50</v>
      </c>
      <c r="D5738" s="27" t="s">
        <v>6</v>
      </c>
      <c r="E5738" s="27" t="s">
        <v>64</v>
      </c>
      <c r="F5738" s="29"/>
      <c r="G5738" s="30">
        <v>770.21699999999998</v>
      </c>
    </row>
    <row r="5739" spans="1:7" hidden="1" x14ac:dyDescent="0.25">
      <c r="A5739" s="28">
        <v>43983</v>
      </c>
      <c r="B5739" s="27" t="s">
        <v>34</v>
      </c>
      <c r="C5739" s="27" t="s">
        <v>50</v>
      </c>
      <c r="D5739" s="27" t="s">
        <v>6</v>
      </c>
      <c r="E5739" s="27" t="s">
        <v>21</v>
      </c>
      <c r="F5739" s="29"/>
      <c r="G5739" s="30">
        <v>777.58799999999997</v>
      </c>
    </row>
    <row r="5740" spans="1:7" hidden="1" x14ac:dyDescent="0.25">
      <c r="A5740" s="28">
        <v>43983</v>
      </c>
      <c r="B5740" s="27" t="s">
        <v>34</v>
      </c>
      <c r="C5740" s="27" t="s">
        <v>50</v>
      </c>
      <c r="D5740" s="27" t="s">
        <v>6</v>
      </c>
      <c r="E5740" s="27" t="s">
        <v>10</v>
      </c>
      <c r="F5740" s="29"/>
      <c r="G5740" s="30">
        <v>1036.6759999999999</v>
      </c>
    </row>
    <row r="5741" spans="1:7" hidden="1" x14ac:dyDescent="0.25">
      <c r="A5741" s="28">
        <v>43983</v>
      </c>
      <c r="B5741" s="27" t="s">
        <v>34</v>
      </c>
      <c r="C5741" s="27" t="s">
        <v>50</v>
      </c>
      <c r="D5741" s="27" t="s">
        <v>6</v>
      </c>
      <c r="E5741" s="27" t="s">
        <v>11</v>
      </c>
      <c r="F5741" s="29"/>
      <c r="G5741" s="30">
        <v>414.69799999999998</v>
      </c>
    </row>
    <row r="5742" spans="1:7" hidden="1" x14ac:dyDescent="0.25">
      <c r="A5742" s="28">
        <v>43983</v>
      </c>
      <c r="B5742" s="27" t="s">
        <v>34</v>
      </c>
      <c r="C5742" s="27" t="s">
        <v>50</v>
      </c>
      <c r="D5742" s="27" t="s">
        <v>6</v>
      </c>
      <c r="E5742" s="27" t="s">
        <v>12</v>
      </c>
      <c r="F5742" s="29"/>
      <c r="G5742" s="30">
        <v>455.96400000000006</v>
      </c>
    </row>
    <row r="5743" spans="1:7" hidden="1" x14ac:dyDescent="0.25">
      <c r="A5743" s="28">
        <v>43983</v>
      </c>
      <c r="B5743" s="27" t="s">
        <v>34</v>
      </c>
      <c r="C5743" s="27" t="s">
        <v>50</v>
      </c>
      <c r="D5743" s="27" t="s">
        <v>6</v>
      </c>
      <c r="E5743" s="27" t="s">
        <v>13</v>
      </c>
      <c r="F5743" s="29"/>
      <c r="G5743" s="30">
        <v>661.88400000000001</v>
      </c>
    </row>
    <row r="5744" spans="1:7" hidden="1" x14ac:dyDescent="0.25">
      <c r="A5744" s="28">
        <v>43983</v>
      </c>
      <c r="B5744" s="27" t="s">
        <v>34</v>
      </c>
      <c r="C5744" s="27" t="s">
        <v>50</v>
      </c>
      <c r="D5744" s="27" t="s">
        <v>6</v>
      </c>
      <c r="E5744" s="27" t="s">
        <v>14</v>
      </c>
      <c r="F5744" s="29"/>
      <c r="G5744" s="30">
        <v>191.779</v>
      </c>
    </row>
    <row r="5745" spans="1:7" hidden="1" x14ac:dyDescent="0.25">
      <c r="A5745" s="28">
        <v>43983</v>
      </c>
      <c r="B5745" s="27" t="s">
        <v>34</v>
      </c>
      <c r="C5745" s="27" t="s">
        <v>50</v>
      </c>
      <c r="D5745" s="27" t="s">
        <v>6</v>
      </c>
      <c r="E5745" s="27" t="s">
        <v>15</v>
      </c>
      <c r="F5745" s="29"/>
      <c r="G5745" s="30">
        <v>526.94200000000001</v>
      </c>
    </row>
    <row r="5746" spans="1:7" hidden="1" x14ac:dyDescent="0.25">
      <c r="A5746" s="28">
        <v>43983</v>
      </c>
      <c r="B5746" s="27" t="s">
        <v>34</v>
      </c>
      <c r="C5746" s="27" t="s">
        <v>50</v>
      </c>
      <c r="D5746" s="27" t="s">
        <v>6</v>
      </c>
      <c r="E5746" s="27" t="s">
        <v>16</v>
      </c>
      <c r="F5746" s="29"/>
      <c r="G5746" s="30">
        <v>651.45799999999997</v>
      </c>
    </row>
    <row r="5747" spans="1:7" hidden="1" x14ac:dyDescent="0.25">
      <c r="A5747" s="28">
        <v>43983</v>
      </c>
      <c r="B5747" s="27" t="s">
        <v>34</v>
      </c>
      <c r="C5747" s="27" t="s">
        <v>50</v>
      </c>
      <c r="D5747" s="27" t="s">
        <v>6</v>
      </c>
      <c r="E5747" s="27" t="s">
        <v>17</v>
      </c>
      <c r="F5747" s="29"/>
      <c r="G5747" s="30">
        <v>1174.4879999999998</v>
      </c>
    </row>
    <row r="5748" spans="1:7" hidden="1" x14ac:dyDescent="0.25">
      <c r="A5748" s="28">
        <v>43983</v>
      </c>
      <c r="B5748" s="27" t="s">
        <v>34</v>
      </c>
      <c r="C5748" s="27" t="s">
        <v>50</v>
      </c>
      <c r="D5748" s="27" t="s">
        <v>6</v>
      </c>
      <c r="E5748" s="27" t="s">
        <v>18</v>
      </c>
      <c r="F5748" s="29"/>
      <c r="G5748" s="30">
        <v>506.59399999999994</v>
      </c>
    </row>
    <row r="5749" spans="1:7" hidden="1" x14ac:dyDescent="0.25">
      <c r="A5749" s="28">
        <v>43983</v>
      </c>
      <c r="B5749" s="27" t="s">
        <v>34</v>
      </c>
      <c r="C5749" s="27" t="s">
        <v>50</v>
      </c>
      <c r="D5749" s="27" t="s">
        <v>6</v>
      </c>
      <c r="E5749" s="27" t="s">
        <v>19</v>
      </c>
      <c r="F5749" s="29"/>
      <c r="G5749" s="30">
        <v>716.14</v>
      </c>
    </row>
    <row r="5750" spans="1:7" hidden="1" x14ac:dyDescent="0.25">
      <c r="A5750" s="28">
        <v>43983</v>
      </c>
      <c r="B5750" s="27" t="s">
        <v>34</v>
      </c>
      <c r="C5750" s="27" t="s">
        <v>50</v>
      </c>
      <c r="D5750" s="27" t="s">
        <v>6</v>
      </c>
      <c r="E5750" s="27" t="s">
        <v>20</v>
      </c>
      <c r="F5750" s="29"/>
      <c r="G5750" s="30">
        <v>520.13300000000004</v>
      </c>
    </row>
    <row r="5751" spans="1:7" hidden="1" x14ac:dyDescent="0.25">
      <c r="A5751" s="28">
        <v>43983</v>
      </c>
      <c r="B5751" s="27" t="s">
        <v>34</v>
      </c>
      <c r="C5751" s="27" t="s">
        <v>50</v>
      </c>
      <c r="D5751" s="27" t="s">
        <v>6</v>
      </c>
      <c r="E5751" s="27" t="s">
        <v>38</v>
      </c>
      <c r="F5751" s="29"/>
      <c r="G5751" s="30">
        <v>204.74299999999999</v>
      </c>
    </row>
    <row r="5752" spans="1:7" hidden="1" x14ac:dyDescent="0.25">
      <c r="A5752" s="28">
        <v>43983</v>
      </c>
      <c r="B5752" s="27" t="s">
        <v>34</v>
      </c>
      <c r="C5752" s="27" t="s">
        <v>50</v>
      </c>
      <c r="D5752" s="27" t="s">
        <v>6</v>
      </c>
      <c r="E5752" s="27" t="s">
        <v>23</v>
      </c>
      <c r="F5752" s="29"/>
      <c r="G5752" s="30">
        <v>803.31400000000008</v>
      </c>
    </row>
    <row r="5753" spans="1:7" hidden="1" x14ac:dyDescent="0.25">
      <c r="A5753" s="28">
        <v>44013</v>
      </c>
      <c r="B5753" s="27" t="s">
        <v>33</v>
      </c>
      <c r="C5753" s="27" t="s">
        <v>50</v>
      </c>
      <c r="D5753" s="27" t="s">
        <v>7</v>
      </c>
      <c r="E5753" s="27" t="s">
        <v>8</v>
      </c>
      <c r="F5753" s="29"/>
      <c r="G5753" s="30">
        <v>1734.595</v>
      </c>
    </row>
    <row r="5754" spans="1:7" hidden="1" x14ac:dyDescent="0.25">
      <c r="A5754" s="28">
        <v>44013</v>
      </c>
      <c r="B5754" s="27" t="s">
        <v>33</v>
      </c>
      <c r="C5754" s="27" t="s">
        <v>50</v>
      </c>
      <c r="D5754" s="27" t="s">
        <v>7</v>
      </c>
      <c r="E5754" s="27" t="s">
        <v>9</v>
      </c>
      <c r="F5754" s="29"/>
      <c r="G5754" s="30">
        <v>1734.595</v>
      </c>
    </row>
    <row r="5755" spans="1:7" hidden="1" x14ac:dyDescent="0.25">
      <c r="A5755" s="28">
        <v>44013</v>
      </c>
      <c r="B5755" s="27" t="s">
        <v>33</v>
      </c>
      <c r="C5755" s="27" t="s">
        <v>50</v>
      </c>
      <c r="D5755" s="27" t="s">
        <v>7</v>
      </c>
      <c r="E5755" s="27" t="s">
        <v>22</v>
      </c>
      <c r="F5755" s="29"/>
      <c r="G5755" s="30">
        <v>1734.595</v>
      </c>
    </row>
    <row r="5756" spans="1:7" hidden="1" x14ac:dyDescent="0.25">
      <c r="A5756" s="28">
        <v>44013</v>
      </c>
      <c r="B5756" s="27" t="s">
        <v>33</v>
      </c>
      <c r="C5756" s="27" t="s">
        <v>50</v>
      </c>
      <c r="D5756" s="27" t="s">
        <v>7</v>
      </c>
      <c r="E5756" s="27" t="s">
        <v>64</v>
      </c>
      <c r="F5756" s="29"/>
      <c r="G5756" s="30">
        <v>1734.595</v>
      </c>
    </row>
    <row r="5757" spans="1:7" hidden="1" x14ac:dyDescent="0.25">
      <c r="A5757" s="28">
        <v>44013</v>
      </c>
      <c r="B5757" s="27" t="s">
        <v>33</v>
      </c>
      <c r="C5757" s="27" t="s">
        <v>50</v>
      </c>
      <c r="D5757" s="27" t="s">
        <v>7</v>
      </c>
      <c r="E5757" s="27" t="s">
        <v>21</v>
      </c>
      <c r="F5757" s="29"/>
      <c r="G5757" s="30">
        <v>1734.595</v>
      </c>
    </row>
    <row r="5758" spans="1:7" hidden="1" x14ac:dyDescent="0.25">
      <c r="A5758" s="28">
        <v>44013</v>
      </c>
      <c r="B5758" s="27" t="s">
        <v>33</v>
      </c>
      <c r="C5758" s="27" t="s">
        <v>50</v>
      </c>
      <c r="D5758" s="27" t="s">
        <v>7</v>
      </c>
      <c r="E5758" s="27" t="s">
        <v>10</v>
      </c>
      <c r="F5758" s="29"/>
      <c r="G5758" s="30">
        <v>1734.595</v>
      </c>
    </row>
    <row r="5759" spans="1:7" hidden="1" x14ac:dyDescent="0.25">
      <c r="A5759" s="28">
        <v>44013</v>
      </c>
      <c r="B5759" s="27" t="s">
        <v>33</v>
      </c>
      <c r="C5759" s="27" t="s">
        <v>50</v>
      </c>
      <c r="D5759" s="27" t="s">
        <v>7</v>
      </c>
      <c r="E5759" s="27" t="s">
        <v>11</v>
      </c>
      <c r="F5759" s="29"/>
      <c r="G5759" s="30">
        <v>1734.595</v>
      </c>
    </row>
    <row r="5760" spans="1:7" hidden="1" x14ac:dyDescent="0.25">
      <c r="A5760" s="28">
        <v>44013</v>
      </c>
      <c r="B5760" s="27" t="s">
        <v>33</v>
      </c>
      <c r="C5760" s="27" t="s">
        <v>50</v>
      </c>
      <c r="D5760" s="27" t="s">
        <v>7</v>
      </c>
      <c r="E5760" s="27" t="s">
        <v>12</v>
      </c>
      <c r="F5760" s="29"/>
      <c r="G5760" s="30">
        <v>1734.595</v>
      </c>
    </row>
    <row r="5761" spans="1:7" hidden="1" x14ac:dyDescent="0.25">
      <c r="A5761" s="28">
        <v>44013</v>
      </c>
      <c r="B5761" s="27" t="s">
        <v>33</v>
      </c>
      <c r="C5761" s="27" t="s">
        <v>50</v>
      </c>
      <c r="D5761" s="27" t="s">
        <v>7</v>
      </c>
      <c r="E5761" s="27" t="s">
        <v>13</v>
      </c>
      <c r="F5761" s="29"/>
      <c r="G5761" s="30">
        <v>1734.595</v>
      </c>
    </row>
    <row r="5762" spans="1:7" hidden="1" x14ac:dyDescent="0.25">
      <c r="A5762" s="28">
        <v>44013</v>
      </c>
      <c r="B5762" s="27" t="s">
        <v>33</v>
      </c>
      <c r="C5762" s="27" t="s">
        <v>50</v>
      </c>
      <c r="D5762" s="27" t="s">
        <v>7</v>
      </c>
      <c r="E5762" s="27" t="s">
        <v>14</v>
      </c>
      <c r="F5762" s="29"/>
      <c r="G5762" s="30">
        <v>1734.595</v>
      </c>
    </row>
    <row r="5763" spans="1:7" hidden="1" x14ac:dyDescent="0.25">
      <c r="A5763" s="28">
        <v>44013</v>
      </c>
      <c r="B5763" s="27" t="s">
        <v>33</v>
      </c>
      <c r="C5763" s="27" t="s">
        <v>50</v>
      </c>
      <c r="D5763" s="27" t="s">
        <v>7</v>
      </c>
      <c r="E5763" s="27" t="s">
        <v>15</v>
      </c>
      <c r="F5763" s="29"/>
      <c r="G5763" s="30">
        <v>1734.595</v>
      </c>
    </row>
    <row r="5764" spans="1:7" hidden="1" x14ac:dyDescent="0.25">
      <c r="A5764" s="28">
        <v>44013</v>
      </c>
      <c r="B5764" s="27" t="s">
        <v>33</v>
      </c>
      <c r="C5764" s="27" t="s">
        <v>50</v>
      </c>
      <c r="D5764" s="27" t="s">
        <v>7</v>
      </c>
      <c r="E5764" s="27" t="s">
        <v>16</v>
      </c>
      <c r="F5764" s="29"/>
      <c r="G5764" s="30">
        <v>1734.595</v>
      </c>
    </row>
    <row r="5765" spans="1:7" hidden="1" x14ac:dyDescent="0.25">
      <c r="A5765" s="28">
        <v>44013</v>
      </c>
      <c r="B5765" s="27" t="s">
        <v>33</v>
      </c>
      <c r="C5765" s="27" t="s">
        <v>50</v>
      </c>
      <c r="D5765" s="27" t="s">
        <v>7</v>
      </c>
      <c r="E5765" s="27" t="s">
        <v>17</v>
      </c>
      <c r="F5765" s="29"/>
      <c r="G5765" s="30">
        <v>1734.595</v>
      </c>
    </row>
    <row r="5766" spans="1:7" hidden="1" x14ac:dyDescent="0.25">
      <c r="A5766" s="28">
        <v>44013</v>
      </c>
      <c r="B5766" s="27" t="s">
        <v>33</v>
      </c>
      <c r="C5766" s="27" t="s">
        <v>50</v>
      </c>
      <c r="D5766" s="27" t="s">
        <v>7</v>
      </c>
      <c r="E5766" s="27" t="s">
        <v>18</v>
      </c>
      <c r="F5766" s="29"/>
      <c r="G5766" s="30">
        <v>1734.595</v>
      </c>
    </row>
    <row r="5767" spans="1:7" hidden="1" x14ac:dyDescent="0.25">
      <c r="A5767" s="28">
        <v>44013</v>
      </c>
      <c r="B5767" s="27" t="s">
        <v>33</v>
      </c>
      <c r="C5767" s="27" t="s">
        <v>50</v>
      </c>
      <c r="D5767" s="27" t="s">
        <v>7</v>
      </c>
      <c r="E5767" s="27" t="s">
        <v>19</v>
      </c>
      <c r="F5767" s="29"/>
      <c r="G5767" s="30">
        <v>1734.595</v>
      </c>
    </row>
    <row r="5768" spans="1:7" hidden="1" x14ac:dyDescent="0.25">
      <c r="A5768" s="28">
        <v>44013</v>
      </c>
      <c r="B5768" s="27" t="s">
        <v>33</v>
      </c>
      <c r="C5768" s="27" t="s">
        <v>50</v>
      </c>
      <c r="D5768" s="27" t="s">
        <v>7</v>
      </c>
      <c r="E5768" s="27" t="s">
        <v>20</v>
      </c>
      <c r="F5768" s="29"/>
      <c r="G5768" s="30">
        <v>1734.595</v>
      </c>
    </row>
    <row r="5769" spans="1:7" hidden="1" x14ac:dyDescent="0.25">
      <c r="A5769" s="28">
        <v>44013</v>
      </c>
      <c r="B5769" s="27" t="s">
        <v>33</v>
      </c>
      <c r="C5769" s="27" t="s">
        <v>50</v>
      </c>
      <c r="D5769" s="27" t="s">
        <v>7</v>
      </c>
      <c r="E5769" s="27" t="s">
        <v>38</v>
      </c>
      <c r="F5769" s="29"/>
      <c r="G5769" s="30">
        <v>1734.595</v>
      </c>
    </row>
    <row r="5770" spans="1:7" hidden="1" x14ac:dyDescent="0.25">
      <c r="A5770" s="28">
        <v>44013</v>
      </c>
      <c r="B5770" s="27" t="s">
        <v>33</v>
      </c>
      <c r="C5770" s="27" t="s">
        <v>50</v>
      </c>
      <c r="D5770" s="27" t="s">
        <v>7</v>
      </c>
      <c r="E5770" s="27" t="s">
        <v>23</v>
      </c>
      <c r="F5770" s="29"/>
      <c r="G5770" s="30">
        <v>1734.595</v>
      </c>
    </row>
    <row r="5771" spans="1:7" hidden="1" x14ac:dyDescent="0.25">
      <c r="A5771" s="28">
        <v>44013</v>
      </c>
      <c r="B5771" s="27" t="s">
        <v>4</v>
      </c>
      <c r="C5771" s="27" t="s">
        <v>50</v>
      </c>
      <c r="D5771" s="27" t="s">
        <v>7</v>
      </c>
      <c r="E5771" s="27" t="s">
        <v>8</v>
      </c>
      <c r="F5771" s="29"/>
      <c r="G5771" s="30">
        <v>2357.04</v>
      </c>
    </row>
    <row r="5772" spans="1:7" hidden="1" x14ac:dyDescent="0.25">
      <c r="A5772" s="28">
        <v>44013</v>
      </c>
      <c r="B5772" s="27" t="s">
        <v>4</v>
      </c>
      <c r="C5772" s="27" t="s">
        <v>50</v>
      </c>
      <c r="D5772" s="27" t="s">
        <v>7</v>
      </c>
      <c r="E5772" s="27" t="s">
        <v>9</v>
      </c>
      <c r="F5772" s="29"/>
      <c r="G5772" s="30">
        <v>1176.76</v>
      </c>
    </row>
    <row r="5773" spans="1:7" hidden="1" x14ac:dyDescent="0.25">
      <c r="A5773" s="28">
        <v>44013</v>
      </c>
      <c r="B5773" s="27" t="s">
        <v>4</v>
      </c>
      <c r="C5773" s="27" t="s">
        <v>50</v>
      </c>
      <c r="D5773" s="27" t="s">
        <v>7</v>
      </c>
      <c r="E5773" s="27" t="s">
        <v>22</v>
      </c>
      <c r="F5773" s="29"/>
      <c r="G5773" s="30">
        <v>1814.97</v>
      </c>
    </row>
    <row r="5774" spans="1:7" hidden="1" x14ac:dyDescent="0.25">
      <c r="A5774" s="28">
        <v>44013</v>
      </c>
      <c r="B5774" s="27" t="s">
        <v>4</v>
      </c>
      <c r="C5774" s="27" t="s">
        <v>50</v>
      </c>
      <c r="D5774" s="27" t="s">
        <v>7</v>
      </c>
      <c r="E5774" s="27" t="s">
        <v>64</v>
      </c>
      <c r="F5774" s="29"/>
      <c r="G5774" s="30">
        <v>2497.98</v>
      </c>
    </row>
    <row r="5775" spans="1:7" hidden="1" x14ac:dyDescent="0.25">
      <c r="A5775" s="28">
        <v>44013</v>
      </c>
      <c r="B5775" s="27" t="s">
        <v>4</v>
      </c>
      <c r="C5775" s="27" t="s">
        <v>50</v>
      </c>
      <c r="D5775" s="27" t="s">
        <v>7</v>
      </c>
      <c r="E5775" s="27" t="s">
        <v>21</v>
      </c>
      <c r="F5775" s="29"/>
      <c r="G5775" s="30">
        <v>4372.1099999999997</v>
      </c>
    </row>
    <row r="5776" spans="1:7" hidden="1" x14ac:dyDescent="0.25">
      <c r="A5776" s="28">
        <v>44013</v>
      </c>
      <c r="B5776" s="27" t="s">
        <v>4</v>
      </c>
      <c r="C5776" s="27" t="s">
        <v>50</v>
      </c>
      <c r="D5776" s="27" t="s">
        <v>7</v>
      </c>
      <c r="E5776" s="27" t="s">
        <v>10</v>
      </c>
      <c r="F5776" s="29"/>
      <c r="G5776" s="30">
        <v>4091.76</v>
      </c>
    </row>
    <row r="5777" spans="1:7" hidden="1" x14ac:dyDescent="0.25">
      <c r="A5777" s="28">
        <v>44013</v>
      </c>
      <c r="B5777" s="27" t="s">
        <v>4</v>
      </c>
      <c r="C5777" s="27" t="s">
        <v>50</v>
      </c>
      <c r="D5777" s="27" t="s">
        <v>7</v>
      </c>
      <c r="E5777" s="27" t="s">
        <v>11</v>
      </c>
      <c r="F5777" s="29"/>
      <c r="G5777" s="30">
        <v>2142.42</v>
      </c>
    </row>
    <row r="5778" spans="1:7" hidden="1" x14ac:dyDescent="0.25">
      <c r="A5778" s="28">
        <v>44013</v>
      </c>
      <c r="B5778" s="27" t="s">
        <v>4</v>
      </c>
      <c r="C5778" s="27" t="s">
        <v>50</v>
      </c>
      <c r="D5778" s="27" t="s">
        <v>7</v>
      </c>
      <c r="E5778" s="27" t="s">
        <v>12</v>
      </c>
      <c r="F5778" s="29"/>
      <c r="G5778" s="30">
        <v>1854.56</v>
      </c>
    </row>
    <row r="5779" spans="1:7" hidden="1" x14ac:dyDescent="0.25">
      <c r="A5779" s="28">
        <v>44013</v>
      </c>
      <c r="B5779" s="27" t="s">
        <v>4</v>
      </c>
      <c r="C5779" s="27" t="s">
        <v>50</v>
      </c>
      <c r="D5779" s="27" t="s">
        <v>7</v>
      </c>
      <c r="E5779" s="27" t="s">
        <v>13</v>
      </c>
      <c r="F5779" s="29"/>
      <c r="G5779" s="30">
        <v>5768.4</v>
      </c>
    </row>
    <row r="5780" spans="1:7" hidden="1" x14ac:dyDescent="0.25">
      <c r="A5780" s="28">
        <v>44013</v>
      </c>
      <c r="B5780" s="27" t="s">
        <v>4</v>
      </c>
      <c r="C5780" s="27" t="s">
        <v>50</v>
      </c>
      <c r="D5780" s="27" t="s">
        <v>7</v>
      </c>
      <c r="E5780" s="27" t="s">
        <v>14</v>
      </c>
      <c r="F5780" s="29"/>
      <c r="G5780" s="30">
        <v>1382.85</v>
      </c>
    </row>
    <row r="5781" spans="1:7" hidden="1" x14ac:dyDescent="0.25">
      <c r="A5781" s="28">
        <v>44013</v>
      </c>
      <c r="B5781" s="27" t="s">
        <v>4</v>
      </c>
      <c r="C5781" s="27" t="s">
        <v>50</v>
      </c>
      <c r="D5781" s="27" t="s">
        <v>7</v>
      </c>
      <c r="E5781" s="27" t="s">
        <v>15</v>
      </c>
      <c r="F5781" s="29"/>
      <c r="G5781" s="30">
        <v>3320.9</v>
      </c>
    </row>
    <row r="5782" spans="1:7" hidden="1" x14ac:dyDescent="0.25">
      <c r="A5782" s="28">
        <v>44013</v>
      </c>
      <c r="B5782" s="27" t="s">
        <v>4</v>
      </c>
      <c r="C5782" s="27" t="s">
        <v>50</v>
      </c>
      <c r="D5782" s="27" t="s">
        <v>7</v>
      </c>
      <c r="E5782" s="27" t="s">
        <v>16</v>
      </c>
      <c r="F5782" s="29"/>
      <c r="G5782" s="30">
        <v>2355.08</v>
      </c>
    </row>
    <row r="5783" spans="1:7" hidden="1" x14ac:dyDescent="0.25">
      <c r="A5783" s="28">
        <v>44013</v>
      </c>
      <c r="B5783" s="27" t="s">
        <v>4</v>
      </c>
      <c r="C5783" s="27" t="s">
        <v>50</v>
      </c>
      <c r="D5783" s="27" t="s">
        <v>7</v>
      </c>
      <c r="E5783" s="27" t="s">
        <v>17</v>
      </c>
      <c r="F5783" s="29"/>
      <c r="G5783" s="30">
        <v>4712.41</v>
      </c>
    </row>
    <row r="5784" spans="1:7" hidden="1" x14ac:dyDescent="0.25">
      <c r="A5784" s="28">
        <v>44013</v>
      </c>
      <c r="B5784" s="27" t="s">
        <v>4</v>
      </c>
      <c r="C5784" s="27" t="s">
        <v>50</v>
      </c>
      <c r="D5784" s="27" t="s">
        <v>7</v>
      </c>
      <c r="E5784" s="27" t="s">
        <v>18</v>
      </c>
      <c r="F5784" s="29"/>
      <c r="G5784" s="30">
        <v>1417.6</v>
      </c>
    </row>
    <row r="5785" spans="1:7" hidden="1" x14ac:dyDescent="0.25">
      <c r="A5785" s="28">
        <v>44013</v>
      </c>
      <c r="B5785" s="27" t="s">
        <v>4</v>
      </c>
      <c r="C5785" s="27" t="s">
        <v>50</v>
      </c>
      <c r="D5785" s="27" t="s">
        <v>7</v>
      </c>
      <c r="E5785" s="27" t="s">
        <v>19</v>
      </c>
      <c r="F5785" s="29"/>
      <c r="G5785" s="30">
        <v>3364.65</v>
      </c>
    </row>
    <row r="5786" spans="1:7" hidden="1" x14ac:dyDescent="0.25">
      <c r="A5786" s="28">
        <v>44013</v>
      </c>
      <c r="B5786" s="27" t="s">
        <v>4</v>
      </c>
      <c r="C5786" s="27" t="s">
        <v>50</v>
      </c>
      <c r="D5786" s="27" t="s">
        <v>7</v>
      </c>
      <c r="E5786" s="27" t="s">
        <v>20</v>
      </c>
      <c r="F5786" s="29"/>
      <c r="G5786" s="30">
        <v>1977.17</v>
      </c>
    </row>
    <row r="5787" spans="1:7" hidden="1" x14ac:dyDescent="0.25">
      <c r="A5787" s="28">
        <v>44013</v>
      </c>
      <c r="B5787" s="27" t="s">
        <v>4</v>
      </c>
      <c r="C5787" s="27" t="s">
        <v>50</v>
      </c>
      <c r="D5787" s="27" t="s">
        <v>7</v>
      </c>
      <c r="E5787" s="27" t="s">
        <v>38</v>
      </c>
      <c r="F5787" s="29"/>
      <c r="G5787" s="30">
        <v>2030.15</v>
      </c>
    </row>
    <row r="5788" spans="1:7" hidden="1" x14ac:dyDescent="0.25">
      <c r="A5788" s="28">
        <v>44013</v>
      </c>
      <c r="B5788" s="27" t="s">
        <v>4</v>
      </c>
      <c r="C5788" s="27" t="s">
        <v>50</v>
      </c>
      <c r="D5788" s="27" t="s">
        <v>7</v>
      </c>
      <c r="E5788" s="27" t="s">
        <v>23</v>
      </c>
      <c r="F5788" s="29"/>
      <c r="G5788" s="30">
        <v>3870.52</v>
      </c>
    </row>
    <row r="5789" spans="1:7" hidden="1" x14ac:dyDescent="0.25">
      <c r="A5789" s="28">
        <v>44013</v>
      </c>
      <c r="B5789" s="27" t="s">
        <v>4</v>
      </c>
      <c r="C5789" s="27" t="s">
        <v>50</v>
      </c>
      <c r="D5789" s="27" t="s">
        <v>7</v>
      </c>
      <c r="E5789" s="27" t="s">
        <v>37</v>
      </c>
      <c r="F5789" s="29"/>
      <c r="G5789" s="30">
        <v>480</v>
      </c>
    </row>
    <row r="5790" spans="1:7" hidden="1" x14ac:dyDescent="0.25">
      <c r="A5790" s="28">
        <v>44013</v>
      </c>
      <c r="B5790" s="27" t="s">
        <v>26</v>
      </c>
      <c r="C5790" s="27" t="s">
        <v>50</v>
      </c>
      <c r="D5790" s="27" t="s">
        <v>6</v>
      </c>
      <c r="E5790" s="27" t="s">
        <v>8</v>
      </c>
      <c r="F5790" s="29"/>
      <c r="G5790" s="30">
        <v>1194.25</v>
      </c>
    </row>
    <row r="5791" spans="1:7" hidden="1" x14ac:dyDescent="0.25">
      <c r="A5791" s="28">
        <v>44013</v>
      </c>
      <c r="B5791" s="27" t="s">
        <v>26</v>
      </c>
      <c r="C5791" s="27" t="s">
        <v>50</v>
      </c>
      <c r="D5791" s="27" t="s">
        <v>6</v>
      </c>
      <c r="E5791" s="27" t="s">
        <v>9</v>
      </c>
      <c r="F5791" s="29"/>
      <c r="G5791" s="30">
        <v>1550.9166666666667</v>
      </c>
    </row>
    <row r="5792" spans="1:7" hidden="1" x14ac:dyDescent="0.25">
      <c r="A5792" s="28">
        <v>44013</v>
      </c>
      <c r="B5792" s="27" t="s">
        <v>26</v>
      </c>
      <c r="C5792" s="27" t="s">
        <v>50</v>
      </c>
      <c r="D5792" s="27" t="s">
        <v>6</v>
      </c>
      <c r="E5792" s="27" t="s">
        <v>22</v>
      </c>
      <c r="F5792" s="29"/>
      <c r="G5792" s="30">
        <v>1270.3500000000001</v>
      </c>
    </row>
    <row r="5793" spans="1:7" hidden="1" x14ac:dyDescent="0.25">
      <c r="A5793" s="28">
        <v>44013</v>
      </c>
      <c r="B5793" s="27" t="s">
        <v>26</v>
      </c>
      <c r="C5793" s="27" t="s">
        <v>50</v>
      </c>
      <c r="D5793" s="27" t="s">
        <v>6</v>
      </c>
      <c r="E5793" s="27" t="s">
        <v>64</v>
      </c>
      <c r="F5793" s="29"/>
      <c r="G5793" s="30">
        <v>1359.4166666666667</v>
      </c>
    </row>
    <row r="5794" spans="1:7" hidden="1" x14ac:dyDescent="0.25">
      <c r="A5794" s="28">
        <v>44013</v>
      </c>
      <c r="B5794" s="27" t="s">
        <v>26</v>
      </c>
      <c r="C5794" s="27" t="s">
        <v>50</v>
      </c>
      <c r="D5794" s="27" t="s">
        <v>6</v>
      </c>
      <c r="E5794" s="27" t="s">
        <v>21</v>
      </c>
      <c r="F5794" s="29"/>
      <c r="G5794" s="30">
        <v>1359.4166666666667</v>
      </c>
    </row>
    <row r="5795" spans="1:7" hidden="1" x14ac:dyDescent="0.25">
      <c r="A5795" s="28">
        <v>44013</v>
      </c>
      <c r="B5795" s="27" t="s">
        <v>26</v>
      </c>
      <c r="C5795" s="27" t="s">
        <v>50</v>
      </c>
      <c r="D5795" s="27" t="s">
        <v>6</v>
      </c>
      <c r="E5795" s="27" t="s">
        <v>10</v>
      </c>
      <c r="F5795" s="29"/>
      <c r="G5795" s="30">
        <v>1998.9666666666669</v>
      </c>
    </row>
    <row r="5796" spans="1:7" hidden="1" x14ac:dyDescent="0.25">
      <c r="A5796" s="28">
        <v>44013</v>
      </c>
      <c r="B5796" s="27" t="s">
        <v>26</v>
      </c>
      <c r="C5796" s="27" t="s">
        <v>50</v>
      </c>
      <c r="D5796" s="27" t="s">
        <v>6</v>
      </c>
      <c r="E5796" s="27" t="s">
        <v>11</v>
      </c>
      <c r="F5796" s="29"/>
      <c r="G5796" s="30">
        <v>1340.7166666666667</v>
      </c>
    </row>
    <row r="5797" spans="1:7" hidden="1" x14ac:dyDescent="0.25">
      <c r="A5797" s="28">
        <v>44013</v>
      </c>
      <c r="B5797" s="27" t="s">
        <v>26</v>
      </c>
      <c r="C5797" s="27" t="s">
        <v>50</v>
      </c>
      <c r="D5797" s="27" t="s">
        <v>6</v>
      </c>
      <c r="E5797" s="27" t="s">
        <v>12</v>
      </c>
      <c r="F5797" s="29"/>
      <c r="G5797" s="30">
        <v>1350.1166666666668</v>
      </c>
    </row>
    <row r="5798" spans="1:7" hidden="1" x14ac:dyDescent="0.25">
      <c r="A5798" s="28">
        <v>44013</v>
      </c>
      <c r="B5798" s="27" t="s">
        <v>26</v>
      </c>
      <c r="C5798" s="27" t="s">
        <v>50</v>
      </c>
      <c r="D5798" s="27" t="s">
        <v>6</v>
      </c>
      <c r="E5798" s="27" t="s">
        <v>13</v>
      </c>
      <c r="F5798" s="29"/>
      <c r="G5798" s="30">
        <v>1901.5</v>
      </c>
    </row>
    <row r="5799" spans="1:7" hidden="1" x14ac:dyDescent="0.25">
      <c r="A5799" s="28">
        <v>44013</v>
      </c>
      <c r="B5799" s="27" t="s">
        <v>26</v>
      </c>
      <c r="C5799" s="27" t="s">
        <v>50</v>
      </c>
      <c r="D5799" s="27" t="s">
        <v>6</v>
      </c>
      <c r="E5799" s="27" t="s">
        <v>14</v>
      </c>
      <c r="F5799" s="29"/>
      <c r="G5799" s="30">
        <v>701.7833333333333</v>
      </c>
    </row>
    <row r="5800" spans="1:7" hidden="1" x14ac:dyDescent="0.25">
      <c r="A5800" s="28">
        <v>44013</v>
      </c>
      <c r="B5800" s="27" t="s">
        <v>26</v>
      </c>
      <c r="C5800" s="27" t="s">
        <v>50</v>
      </c>
      <c r="D5800" s="27" t="s">
        <v>6</v>
      </c>
      <c r="E5800" s="27" t="s">
        <v>15</v>
      </c>
      <c r="F5800" s="29"/>
      <c r="G5800" s="30">
        <v>1820.5500000000002</v>
      </c>
    </row>
    <row r="5801" spans="1:7" hidden="1" x14ac:dyDescent="0.25">
      <c r="A5801" s="28">
        <v>44013</v>
      </c>
      <c r="B5801" s="27" t="s">
        <v>26</v>
      </c>
      <c r="C5801" s="27" t="s">
        <v>50</v>
      </c>
      <c r="D5801" s="27" t="s">
        <v>6</v>
      </c>
      <c r="E5801" s="27" t="s">
        <v>16</v>
      </c>
      <c r="F5801" s="29"/>
      <c r="G5801" s="30">
        <v>1992.5833333333333</v>
      </c>
    </row>
    <row r="5802" spans="1:7" hidden="1" x14ac:dyDescent="0.25">
      <c r="A5802" s="28">
        <v>44013</v>
      </c>
      <c r="B5802" s="27" t="s">
        <v>26</v>
      </c>
      <c r="C5802" s="27" t="s">
        <v>50</v>
      </c>
      <c r="D5802" s="27" t="s">
        <v>6</v>
      </c>
      <c r="E5802" s="27" t="s">
        <v>17</v>
      </c>
      <c r="F5802" s="29"/>
      <c r="G5802" s="30">
        <v>2822.1166666666668</v>
      </c>
    </row>
    <row r="5803" spans="1:7" hidden="1" x14ac:dyDescent="0.25">
      <c r="A5803" s="28">
        <v>44013</v>
      </c>
      <c r="B5803" s="27" t="s">
        <v>26</v>
      </c>
      <c r="C5803" s="27" t="s">
        <v>50</v>
      </c>
      <c r="D5803" s="27" t="s">
        <v>6</v>
      </c>
      <c r="E5803" s="27" t="s">
        <v>18</v>
      </c>
      <c r="F5803" s="29"/>
      <c r="G5803" s="30">
        <v>1488.6666666666667</v>
      </c>
    </row>
    <row r="5804" spans="1:7" hidden="1" x14ac:dyDescent="0.25">
      <c r="A5804" s="28">
        <v>44013</v>
      </c>
      <c r="B5804" s="27" t="s">
        <v>26</v>
      </c>
      <c r="C5804" s="27" t="s">
        <v>50</v>
      </c>
      <c r="D5804" s="27" t="s">
        <v>6</v>
      </c>
      <c r="E5804" s="27" t="s">
        <v>19</v>
      </c>
      <c r="F5804" s="29"/>
      <c r="G5804" s="30">
        <v>2454.8833333333337</v>
      </c>
    </row>
    <row r="5805" spans="1:7" hidden="1" x14ac:dyDescent="0.25">
      <c r="A5805" s="28">
        <v>44013</v>
      </c>
      <c r="B5805" s="27" t="s">
        <v>26</v>
      </c>
      <c r="C5805" s="27" t="s">
        <v>50</v>
      </c>
      <c r="D5805" s="27" t="s">
        <v>6</v>
      </c>
      <c r="E5805" s="27" t="s">
        <v>20</v>
      </c>
      <c r="F5805" s="29"/>
      <c r="G5805" s="30">
        <v>1590.3833333333334</v>
      </c>
    </row>
    <row r="5806" spans="1:7" hidden="1" x14ac:dyDescent="0.25">
      <c r="A5806" s="28">
        <v>44013</v>
      </c>
      <c r="B5806" s="27" t="s">
        <v>26</v>
      </c>
      <c r="C5806" s="27" t="s">
        <v>50</v>
      </c>
      <c r="D5806" s="27" t="s">
        <v>6</v>
      </c>
      <c r="E5806" s="27" t="s">
        <v>38</v>
      </c>
      <c r="F5806" s="29"/>
      <c r="G5806" s="30">
        <v>602</v>
      </c>
    </row>
    <row r="5807" spans="1:7" hidden="1" x14ac:dyDescent="0.25">
      <c r="A5807" s="28">
        <v>44013</v>
      </c>
      <c r="B5807" s="27" t="s">
        <v>26</v>
      </c>
      <c r="C5807" s="27" t="s">
        <v>50</v>
      </c>
      <c r="D5807" s="27" t="s">
        <v>6</v>
      </c>
      <c r="E5807" s="27" t="s">
        <v>23</v>
      </c>
      <c r="F5807" s="29"/>
      <c r="G5807" s="30">
        <v>2997.5</v>
      </c>
    </row>
    <row r="5808" spans="1:7" hidden="1" x14ac:dyDescent="0.25">
      <c r="A5808" s="28">
        <v>44013</v>
      </c>
      <c r="B5808" s="27" t="s">
        <v>26</v>
      </c>
      <c r="C5808" s="27" t="s">
        <v>50</v>
      </c>
      <c r="D5808" s="27" t="s">
        <v>6</v>
      </c>
      <c r="E5808" s="27" t="s">
        <v>37</v>
      </c>
      <c r="F5808" s="29"/>
      <c r="G5808" s="30">
        <v>250</v>
      </c>
    </row>
    <row r="5809" spans="1:7" hidden="1" x14ac:dyDescent="0.25">
      <c r="A5809" s="28">
        <v>44013</v>
      </c>
      <c r="B5809" s="27" t="s">
        <v>3</v>
      </c>
      <c r="C5809" s="27" t="s">
        <v>50</v>
      </c>
      <c r="D5809" s="27" t="s">
        <v>7</v>
      </c>
      <c r="E5809" s="27" t="s">
        <v>8</v>
      </c>
      <c r="F5809" s="29"/>
      <c r="G5809" s="30">
        <v>633.21777777777777</v>
      </c>
    </row>
    <row r="5810" spans="1:7" hidden="1" x14ac:dyDescent="0.25">
      <c r="A5810" s="28">
        <v>44013</v>
      </c>
      <c r="B5810" s="27" t="s">
        <v>3</v>
      </c>
      <c r="C5810" s="27" t="s">
        <v>50</v>
      </c>
      <c r="D5810" s="27" t="s">
        <v>7</v>
      </c>
      <c r="E5810" s="27" t="s">
        <v>9</v>
      </c>
      <c r="F5810" s="29"/>
      <c r="G5810" s="30">
        <v>633.21777777777777</v>
      </c>
    </row>
    <row r="5811" spans="1:7" hidden="1" x14ac:dyDescent="0.25">
      <c r="A5811" s="28">
        <v>44013</v>
      </c>
      <c r="B5811" s="27" t="s">
        <v>3</v>
      </c>
      <c r="C5811" s="27" t="s">
        <v>50</v>
      </c>
      <c r="D5811" s="27" t="s">
        <v>7</v>
      </c>
      <c r="E5811" s="27" t="s">
        <v>22</v>
      </c>
      <c r="F5811" s="29"/>
      <c r="G5811" s="30">
        <v>633.21777777777777</v>
      </c>
    </row>
    <row r="5812" spans="1:7" hidden="1" x14ac:dyDescent="0.25">
      <c r="A5812" s="28">
        <v>44013</v>
      </c>
      <c r="B5812" s="27" t="s">
        <v>3</v>
      </c>
      <c r="C5812" s="27" t="s">
        <v>50</v>
      </c>
      <c r="D5812" s="27" t="s">
        <v>7</v>
      </c>
      <c r="E5812" s="27" t="s">
        <v>64</v>
      </c>
      <c r="F5812" s="29"/>
      <c r="G5812" s="30">
        <v>633.21777777777777</v>
      </c>
    </row>
    <row r="5813" spans="1:7" hidden="1" x14ac:dyDescent="0.25">
      <c r="A5813" s="28">
        <v>44013</v>
      </c>
      <c r="B5813" s="27" t="s">
        <v>3</v>
      </c>
      <c r="C5813" s="27" t="s">
        <v>50</v>
      </c>
      <c r="D5813" s="27" t="s">
        <v>7</v>
      </c>
      <c r="E5813" s="27" t="s">
        <v>21</v>
      </c>
      <c r="F5813" s="29"/>
      <c r="G5813" s="30">
        <v>633.21777777777777</v>
      </c>
    </row>
    <row r="5814" spans="1:7" hidden="1" x14ac:dyDescent="0.25">
      <c r="A5814" s="28">
        <v>44013</v>
      </c>
      <c r="B5814" s="27" t="s">
        <v>3</v>
      </c>
      <c r="C5814" s="27" t="s">
        <v>50</v>
      </c>
      <c r="D5814" s="27" t="s">
        <v>7</v>
      </c>
      <c r="E5814" s="27" t="s">
        <v>10</v>
      </c>
      <c r="F5814" s="29"/>
      <c r="G5814" s="30">
        <v>633.21777777777777</v>
      </c>
    </row>
    <row r="5815" spans="1:7" hidden="1" x14ac:dyDescent="0.25">
      <c r="A5815" s="28">
        <v>44013</v>
      </c>
      <c r="B5815" s="27" t="s">
        <v>3</v>
      </c>
      <c r="C5815" s="27" t="s">
        <v>50</v>
      </c>
      <c r="D5815" s="27" t="s">
        <v>7</v>
      </c>
      <c r="E5815" s="27" t="s">
        <v>11</v>
      </c>
      <c r="F5815" s="29"/>
      <c r="G5815" s="30">
        <v>633.21777777777777</v>
      </c>
    </row>
    <row r="5816" spans="1:7" hidden="1" x14ac:dyDescent="0.25">
      <c r="A5816" s="28">
        <v>44013</v>
      </c>
      <c r="B5816" s="27" t="s">
        <v>3</v>
      </c>
      <c r="C5816" s="27" t="s">
        <v>50</v>
      </c>
      <c r="D5816" s="27" t="s">
        <v>7</v>
      </c>
      <c r="E5816" s="27" t="s">
        <v>12</v>
      </c>
      <c r="F5816" s="29"/>
      <c r="G5816" s="30">
        <v>633.21777777777777</v>
      </c>
    </row>
    <row r="5817" spans="1:7" hidden="1" x14ac:dyDescent="0.25">
      <c r="A5817" s="28">
        <v>44013</v>
      </c>
      <c r="B5817" s="27" t="s">
        <v>3</v>
      </c>
      <c r="C5817" s="27" t="s">
        <v>50</v>
      </c>
      <c r="D5817" s="27" t="s">
        <v>7</v>
      </c>
      <c r="E5817" s="27" t="s">
        <v>13</v>
      </c>
      <c r="F5817" s="29"/>
      <c r="G5817" s="30">
        <v>633.21777777777777</v>
      </c>
    </row>
    <row r="5818" spans="1:7" hidden="1" x14ac:dyDescent="0.25">
      <c r="A5818" s="28">
        <v>44013</v>
      </c>
      <c r="B5818" s="27" t="s">
        <v>3</v>
      </c>
      <c r="C5818" s="27" t="s">
        <v>50</v>
      </c>
      <c r="D5818" s="27" t="s">
        <v>7</v>
      </c>
      <c r="E5818" s="27" t="s">
        <v>14</v>
      </c>
      <c r="F5818" s="29"/>
      <c r="G5818" s="30">
        <v>633.21777777777777</v>
      </c>
    </row>
    <row r="5819" spans="1:7" hidden="1" x14ac:dyDescent="0.25">
      <c r="A5819" s="28">
        <v>44013</v>
      </c>
      <c r="B5819" s="27" t="s">
        <v>3</v>
      </c>
      <c r="C5819" s="27" t="s">
        <v>50</v>
      </c>
      <c r="D5819" s="27" t="s">
        <v>7</v>
      </c>
      <c r="E5819" s="27" t="s">
        <v>15</v>
      </c>
      <c r="F5819" s="29"/>
      <c r="G5819" s="30">
        <v>633.21777777777777</v>
      </c>
    </row>
    <row r="5820" spans="1:7" hidden="1" x14ac:dyDescent="0.25">
      <c r="A5820" s="28">
        <v>44013</v>
      </c>
      <c r="B5820" s="27" t="s">
        <v>3</v>
      </c>
      <c r="C5820" s="27" t="s">
        <v>50</v>
      </c>
      <c r="D5820" s="27" t="s">
        <v>7</v>
      </c>
      <c r="E5820" s="27" t="s">
        <v>16</v>
      </c>
      <c r="F5820" s="29"/>
      <c r="G5820" s="30">
        <v>633.21777777777777</v>
      </c>
    </row>
    <row r="5821" spans="1:7" hidden="1" x14ac:dyDescent="0.25">
      <c r="A5821" s="28">
        <v>44013</v>
      </c>
      <c r="B5821" s="27" t="s">
        <v>3</v>
      </c>
      <c r="C5821" s="27" t="s">
        <v>50</v>
      </c>
      <c r="D5821" s="27" t="s">
        <v>7</v>
      </c>
      <c r="E5821" s="27" t="s">
        <v>17</v>
      </c>
      <c r="F5821" s="29"/>
      <c r="G5821" s="30">
        <v>633.21777777777777</v>
      </c>
    </row>
    <row r="5822" spans="1:7" hidden="1" x14ac:dyDescent="0.25">
      <c r="A5822" s="28">
        <v>44013</v>
      </c>
      <c r="B5822" s="27" t="s">
        <v>3</v>
      </c>
      <c r="C5822" s="27" t="s">
        <v>50</v>
      </c>
      <c r="D5822" s="27" t="s">
        <v>7</v>
      </c>
      <c r="E5822" s="27" t="s">
        <v>18</v>
      </c>
      <c r="F5822" s="29"/>
      <c r="G5822" s="30">
        <v>633.21777777777777</v>
      </c>
    </row>
    <row r="5823" spans="1:7" hidden="1" x14ac:dyDescent="0.25">
      <c r="A5823" s="28">
        <v>44013</v>
      </c>
      <c r="B5823" s="27" t="s">
        <v>3</v>
      </c>
      <c r="C5823" s="27" t="s">
        <v>50</v>
      </c>
      <c r="D5823" s="27" t="s">
        <v>7</v>
      </c>
      <c r="E5823" s="27" t="s">
        <v>19</v>
      </c>
      <c r="F5823" s="29"/>
      <c r="G5823" s="30">
        <v>633.21777777777777</v>
      </c>
    </row>
    <row r="5824" spans="1:7" hidden="1" x14ac:dyDescent="0.25">
      <c r="A5824" s="28">
        <v>44013</v>
      </c>
      <c r="B5824" s="27" t="s">
        <v>3</v>
      </c>
      <c r="C5824" s="27" t="s">
        <v>50</v>
      </c>
      <c r="D5824" s="27" t="s">
        <v>7</v>
      </c>
      <c r="E5824" s="27" t="s">
        <v>20</v>
      </c>
      <c r="F5824" s="29"/>
      <c r="G5824" s="30">
        <v>633.21777777777777</v>
      </c>
    </row>
    <row r="5825" spans="1:7" hidden="1" x14ac:dyDescent="0.25">
      <c r="A5825" s="28">
        <v>44013</v>
      </c>
      <c r="B5825" s="27" t="s">
        <v>3</v>
      </c>
      <c r="C5825" s="27" t="s">
        <v>50</v>
      </c>
      <c r="D5825" s="27" t="s">
        <v>7</v>
      </c>
      <c r="E5825" s="27" t="s">
        <v>38</v>
      </c>
      <c r="F5825" s="29"/>
      <c r="G5825" s="30">
        <v>633.21777777777777</v>
      </c>
    </row>
    <row r="5826" spans="1:7" hidden="1" x14ac:dyDescent="0.25">
      <c r="A5826" s="28">
        <v>44013</v>
      </c>
      <c r="B5826" s="27" t="s">
        <v>3</v>
      </c>
      <c r="C5826" s="27" t="s">
        <v>50</v>
      </c>
      <c r="D5826" s="27" t="s">
        <v>7</v>
      </c>
      <c r="E5826" s="27" t="s">
        <v>23</v>
      </c>
      <c r="F5826" s="29"/>
      <c r="G5826" s="30">
        <v>633.21777777777777</v>
      </c>
    </row>
    <row r="5827" spans="1:7" hidden="1" x14ac:dyDescent="0.25">
      <c r="A5827" s="28">
        <v>44013</v>
      </c>
      <c r="B5827" s="27" t="s">
        <v>179</v>
      </c>
      <c r="C5827" s="27" t="s">
        <v>50</v>
      </c>
      <c r="D5827" s="27" t="s">
        <v>6</v>
      </c>
      <c r="E5827" s="27" t="s">
        <v>8</v>
      </c>
      <c r="F5827" s="29"/>
      <c r="G5827" s="30">
        <v>54.554166666666667</v>
      </c>
    </row>
    <row r="5828" spans="1:7" hidden="1" x14ac:dyDescent="0.25">
      <c r="A5828" s="28">
        <v>44013</v>
      </c>
      <c r="B5828" s="27" t="s">
        <v>179</v>
      </c>
      <c r="C5828" s="27" t="s">
        <v>50</v>
      </c>
      <c r="D5828" s="27" t="s">
        <v>6</v>
      </c>
      <c r="E5828" s="27" t="s">
        <v>9</v>
      </c>
      <c r="F5828" s="29"/>
      <c r="G5828" s="30">
        <v>73.436666666666667</v>
      </c>
    </row>
    <row r="5829" spans="1:7" hidden="1" x14ac:dyDescent="0.25">
      <c r="A5829" s="28">
        <v>44013</v>
      </c>
      <c r="B5829" s="27" t="s">
        <v>179</v>
      </c>
      <c r="C5829" s="27" t="s">
        <v>50</v>
      </c>
      <c r="D5829" s="27" t="s">
        <v>6</v>
      </c>
      <c r="E5829" s="27" t="s">
        <v>22</v>
      </c>
      <c r="F5829" s="29"/>
      <c r="G5829" s="30">
        <v>98.38666666666667</v>
      </c>
    </row>
    <row r="5830" spans="1:7" hidden="1" x14ac:dyDescent="0.25">
      <c r="A5830" s="28">
        <v>44013</v>
      </c>
      <c r="B5830" s="27" t="s">
        <v>179</v>
      </c>
      <c r="C5830" s="27" t="s">
        <v>50</v>
      </c>
      <c r="D5830" s="27" t="s">
        <v>6</v>
      </c>
      <c r="E5830" s="27" t="s">
        <v>64</v>
      </c>
      <c r="F5830" s="29"/>
      <c r="G5830" s="30">
        <v>58.149166666666666</v>
      </c>
    </row>
    <row r="5831" spans="1:7" hidden="1" x14ac:dyDescent="0.25">
      <c r="A5831" s="28">
        <v>44013</v>
      </c>
      <c r="B5831" s="27" t="s">
        <v>179</v>
      </c>
      <c r="C5831" s="27" t="s">
        <v>50</v>
      </c>
      <c r="D5831" s="27" t="s">
        <v>6</v>
      </c>
      <c r="E5831" s="27" t="s">
        <v>21</v>
      </c>
      <c r="F5831" s="29"/>
      <c r="G5831" s="30">
        <v>67.641666666666666</v>
      </c>
    </row>
    <row r="5832" spans="1:7" hidden="1" x14ac:dyDescent="0.25">
      <c r="A5832" s="28">
        <v>44013</v>
      </c>
      <c r="B5832" s="27" t="s">
        <v>179</v>
      </c>
      <c r="C5832" s="27" t="s">
        <v>50</v>
      </c>
      <c r="D5832" s="27" t="s">
        <v>6</v>
      </c>
      <c r="E5832" s="27" t="s">
        <v>10</v>
      </c>
      <c r="F5832" s="29"/>
      <c r="G5832" s="30">
        <v>88.40666666666668</v>
      </c>
    </row>
    <row r="5833" spans="1:7" hidden="1" x14ac:dyDescent="0.25">
      <c r="A5833" s="28">
        <v>44013</v>
      </c>
      <c r="B5833" s="27" t="s">
        <v>179</v>
      </c>
      <c r="C5833" s="27" t="s">
        <v>50</v>
      </c>
      <c r="D5833" s="27" t="s">
        <v>6</v>
      </c>
      <c r="E5833" s="27" t="s">
        <v>11</v>
      </c>
      <c r="F5833" s="29"/>
      <c r="G5833" s="30">
        <v>66.776666666666671</v>
      </c>
    </row>
    <row r="5834" spans="1:7" hidden="1" x14ac:dyDescent="0.25">
      <c r="A5834" s="28">
        <v>44013</v>
      </c>
      <c r="B5834" s="27" t="s">
        <v>179</v>
      </c>
      <c r="C5834" s="27" t="s">
        <v>50</v>
      </c>
      <c r="D5834" s="27" t="s">
        <v>6</v>
      </c>
      <c r="E5834" s="27" t="s">
        <v>12</v>
      </c>
      <c r="F5834" s="29"/>
      <c r="G5834" s="30">
        <v>68.674166666666665</v>
      </c>
    </row>
    <row r="5835" spans="1:7" hidden="1" x14ac:dyDescent="0.25">
      <c r="A5835" s="28">
        <v>44013</v>
      </c>
      <c r="B5835" s="27" t="s">
        <v>179</v>
      </c>
      <c r="C5835" s="27" t="s">
        <v>50</v>
      </c>
      <c r="D5835" s="27" t="s">
        <v>6</v>
      </c>
      <c r="E5835" s="27" t="s">
        <v>13</v>
      </c>
      <c r="F5835" s="29"/>
      <c r="G5835" s="30">
        <v>94.161666666666676</v>
      </c>
    </row>
    <row r="5836" spans="1:7" hidden="1" x14ac:dyDescent="0.25">
      <c r="A5836" s="28">
        <v>44013</v>
      </c>
      <c r="B5836" s="27" t="s">
        <v>179</v>
      </c>
      <c r="C5836" s="27" t="s">
        <v>50</v>
      </c>
      <c r="D5836" s="27" t="s">
        <v>6</v>
      </c>
      <c r="E5836" s="27" t="s">
        <v>14</v>
      </c>
      <c r="F5836" s="29"/>
      <c r="G5836" s="30">
        <v>84.979166666666671</v>
      </c>
    </row>
    <row r="5837" spans="1:7" hidden="1" x14ac:dyDescent="0.25">
      <c r="A5837" s="28">
        <v>44013</v>
      </c>
      <c r="B5837" s="27" t="s">
        <v>179</v>
      </c>
      <c r="C5837" s="27" t="s">
        <v>50</v>
      </c>
      <c r="D5837" s="27" t="s">
        <v>6</v>
      </c>
      <c r="E5837" s="27" t="s">
        <v>15</v>
      </c>
      <c r="F5837" s="29"/>
      <c r="G5837" s="30">
        <v>90.716666666666654</v>
      </c>
    </row>
    <row r="5838" spans="1:7" hidden="1" x14ac:dyDescent="0.25">
      <c r="A5838" s="28">
        <v>44013</v>
      </c>
      <c r="B5838" s="27" t="s">
        <v>179</v>
      </c>
      <c r="C5838" s="27" t="s">
        <v>50</v>
      </c>
      <c r="D5838" s="27" t="s">
        <v>6</v>
      </c>
      <c r="E5838" s="27" t="s">
        <v>16</v>
      </c>
      <c r="F5838" s="29"/>
      <c r="G5838" s="30">
        <v>92.149166666666659</v>
      </c>
    </row>
    <row r="5839" spans="1:7" hidden="1" x14ac:dyDescent="0.25">
      <c r="A5839" s="28">
        <v>44013</v>
      </c>
      <c r="B5839" s="27" t="s">
        <v>179</v>
      </c>
      <c r="C5839" s="27" t="s">
        <v>50</v>
      </c>
      <c r="D5839" s="27" t="s">
        <v>6</v>
      </c>
      <c r="E5839" s="27" t="s">
        <v>17</v>
      </c>
      <c r="F5839" s="29"/>
      <c r="G5839" s="30">
        <v>142.66166666666666</v>
      </c>
    </row>
    <row r="5840" spans="1:7" hidden="1" x14ac:dyDescent="0.25">
      <c r="A5840" s="28">
        <v>44013</v>
      </c>
      <c r="B5840" s="27" t="s">
        <v>179</v>
      </c>
      <c r="C5840" s="27" t="s">
        <v>50</v>
      </c>
      <c r="D5840" s="27" t="s">
        <v>6</v>
      </c>
      <c r="E5840" s="27" t="s">
        <v>18</v>
      </c>
      <c r="F5840" s="29"/>
      <c r="G5840" s="30">
        <v>190.84666666666666</v>
      </c>
    </row>
    <row r="5841" spans="1:7" hidden="1" x14ac:dyDescent="0.25">
      <c r="A5841" s="28">
        <v>44013</v>
      </c>
      <c r="B5841" s="27" t="s">
        <v>179</v>
      </c>
      <c r="C5841" s="27" t="s">
        <v>50</v>
      </c>
      <c r="D5841" s="27" t="s">
        <v>6</v>
      </c>
      <c r="E5841" s="27" t="s">
        <v>19</v>
      </c>
      <c r="F5841" s="29"/>
      <c r="G5841" s="30">
        <v>129.04666666666665</v>
      </c>
    </row>
    <row r="5842" spans="1:7" hidden="1" x14ac:dyDescent="0.25">
      <c r="A5842" s="28">
        <v>44013</v>
      </c>
      <c r="B5842" s="27" t="s">
        <v>179</v>
      </c>
      <c r="C5842" s="27" t="s">
        <v>50</v>
      </c>
      <c r="D5842" s="27" t="s">
        <v>6</v>
      </c>
      <c r="E5842" s="27" t="s">
        <v>20</v>
      </c>
      <c r="F5842" s="29"/>
      <c r="G5842" s="30">
        <v>235.09666666666666</v>
      </c>
    </row>
    <row r="5843" spans="1:7" hidden="1" x14ac:dyDescent="0.25">
      <c r="A5843" s="28">
        <v>44013</v>
      </c>
      <c r="B5843" s="27" t="s">
        <v>179</v>
      </c>
      <c r="C5843" s="27" t="s">
        <v>50</v>
      </c>
      <c r="D5843" s="27" t="s">
        <v>6</v>
      </c>
      <c r="E5843" s="27" t="s">
        <v>38</v>
      </c>
      <c r="F5843" s="29"/>
      <c r="G5843" s="30">
        <v>108.04666666666667</v>
      </c>
    </row>
    <row r="5844" spans="1:7" hidden="1" x14ac:dyDescent="0.25">
      <c r="A5844" s="28">
        <v>44013</v>
      </c>
      <c r="B5844" s="27" t="s">
        <v>179</v>
      </c>
      <c r="C5844" s="27" t="s">
        <v>50</v>
      </c>
      <c r="D5844" s="27" t="s">
        <v>6</v>
      </c>
      <c r="E5844" s="27" t="s">
        <v>23</v>
      </c>
      <c r="F5844" s="29"/>
      <c r="G5844" s="30">
        <v>149.57916666666668</v>
      </c>
    </row>
    <row r="5845" spans="1:7" hidden="1" x14ac:dyDescent="0.25">
      <c r="A5845" s="28">
        <v>44013</v>
      </c>
      <c r="B5845" s="27" t="s">
        <v>32</v>
      </c>
      <c r="C5845" s="27" t="s">
        <v>50</v>
      </c>
      <c r="D5845" s="27" t="s">
        <v>7</v>
      </c>
      <c r="E5845" s="27" t="s">
        <v>10</v>
      </c>
      <c r="F5845" s="29"/>
      <c r="G5845" s="30">
        <v>30</v>
      </c>
    </row>
    <row r="5846" spans="1:7" hidden="1" x14ac:dyDescent="0.25">
      <c r="A5846" s="28">
        <v>44013</v>
      </c>
      <c r="B5846" s="27" t="s">
        <v>32</v>
      </c>
      <c r="C5846" s="27" t="s">
        <v>50</v>
      </c>
      <c r="D5846" s="27" t="s">
        <v>7</v>
      </c>
      <c r="E5846" s="27" t="s">
        <v>17</v>
      </c>
      <c r="F5846" s="29"/>
      <c r="G5846" s="30">
        <v>30</v>
      </c>
    </row>
    <row r="5847" spans="1:7" hidden="1" x14ac:dyDescent="0.25">
      <c r="A5847" s="28">
        <v>44013</v>
      </c>
      <c r="B5847" s="27" t="s">
        <v>5</v>
      </c>
      <c r="C5847" s="27" t="s">
        <v>51</v>
      </c>
      <c r="D5847" s="27" t="s">
        <v>51</v>
      </c>
      <c r="E5847" s="27" t="s">
        <v>8</v>
      </c>
      <c r="F5847" s="29">
        <v>3231</v>
      </c>
      <c r="G5847" s="30">
        <v>3.8543815303501709</v>
      </c>
    </row>
    <row r="5848" spans="1:7" hidden="1" x14ac:dyDescent="0.25">
      <c r="A5848" s="28">
        <v>44013</v>
      </c>
      <c r="B5848" s="27" t="s">
        <v>5</v>
      </c>
      <c r="C5848" s="27" t="s">
        <v>51</v>
      </c>
      <c r="D5848" s="27" t="s">
        <v>51</v>
      </c>
      <c r="E5848" s="27" t="s">
        <v>9</v>
      </c>
      <c r="F5848" s="29">
        <v>3163</v>
      </c>
      <c r="G5848" s="30">
        <v>3.6833328774037524</v>
      </c>
    </row>
    <row r="5849" spans="1:7" hidden="1" x14ac:dyDescent="0.25">
      <c r="A5849" s="28">
        <v>44013</v>
      </c>
      <c r="B5849" s="27" t="s">
        <v>5</v>
      </c>
      <c r="C5849" s="27" t="s">
        <v>51</v>
      </c>
      <c r="D5849" s="27" t="s">
        <v>51</v>
      </c>
      <c r="E5849" s="27" t="s">
        <v>22</v>
      </c>
      <c r="F5849" s="29">
        <v>2106</v>
      </c>
      <c r="G5849" s="30">
        <v>5.5921007713966766</v>
      </c>
    </row>
    <row r="5850" spans="1:7" hidden="1" x14ac:dyDescent="0.25">
      <c r="A5850" s="28">
        <v>44013</v>
      </c>
      <c r="B5850" s="27" t="s">
        <v>5</v>
      </c>
      <c r="C5850" s="27" t="s">
        <v>51</v>
      </c>
      <c r="D5850" s="27" t="s">
        <v>51</v>
      </c>
      <c r="E5850" s="27" t="s">
        <v>64</v>
      </c>
      <c r="F5850" s="29">
        <v>3047</v>
      </c>
      <c r="G5850" s="30">
        <v>4.0942246114959211</v>
      </c>
    </row>
    <row r="5851" spans="1:7" hidden="1" x14ac:dyDescent="0.25">
      <c r="A5851" s="28">
        <v>44013</v>
      </c>
      <c r="B5851" s="27" t="s">
        <v>5</v>
      </c>
      <c r="C5851" s="27" t="s">
        <v>51</v>
      </c>
      <c r="D5851" s="27" t="s">
        <v>51</v>
      </c>
      <c r="E5851" s="27" t="s">
        <v>21</v>
      </c>
      <c r="F5851" s="29">
        <v>5215</v>
      </c>
      <c r="G5851" s="30">
        <v>2.7534546291904256</v>
      </c>
    </row>
    <row r="5852" spans="1:7" hidden="1" x14ac:dyDescent="0.25">
      <c r="A5852" s="28">
        <v>44013</v>
      </c>
      <c r="B5852" s="27" t="s">
        <v>5</v>
      </c>
      <c r="C5852" s="27" t="s">
        <v>51</v>
      </c>
      <c r="D5852" s="27" t="s">
        <v>51</v>
      </c>
      <c r="E5852" s="27" t="s">
        <v>10</v>
      </c>
      <c r="F5852" s="29">
        <v>4481</v>
      </c>
      <c r="G5852" s="30">
        <v>3.6343090585199884</v>
      </c>
    </row>
    <row r="5853" spans="1:7" hidden="1" x14ac:dyDescent="0.25">
      <c r="A5853" s="28">
        <v>44013</v>
      </c>
      <c r="B5853" s="27" t="s">
        <v>5</v>
      </c>
      <c r="C5853" s="27" t="s">
        <v>51</v>
      </c>
      <c r="D5853" s="27" t="s">
        <v>51</v>
      </c>
      <c r="E5853" s="27" t="s">
        <v>11</v>
      </c>
      <c r="F5853" s="29">
        <v>3995</v>
      </c>
      <c r="G5853" s="30">
        <v>2.9247136148255493</v>
      </c>
    </row>
    <row r="5854" spans="1:7" hidden="1" x14ac:dyDescent="0.25">
      <c r="A5854" s="28">
        <v>44013</v>
      </c>
      <c r="B5854" s="27" t="s">
        <v>5</v>
      </c>
      <c r="C5854" s="27" t="s">
        <v>51</v>
      </c>
      <c r="D5854" s="27" t="s">
        <v>51</v>
      </c>
      <c r="E5854" s="27" t="s">
        <v>12</v>
      </c>
      <c r="F5854" s="29">
        <v>3385</v>
      </c>
      <c r="G5854" s="30">
        <v>3.3786394065666379</v>
      </c>
    </row>
    <row r="5855" spans="1:7" hidden="1" x14ac:dyDescent="0.25">
      <c r="A5855" s="28">
        <v>44013</v>
      </c>
      <c r="B5855" s="27" t="s">
        <v>5</v>
      </c>
      <c r="C5855" s="27" t="s">
        <v>51</v>
      </c>
      <c r="D5855" s="27" t="s">
        <v>51</v>
      </c>
      <c r="E5855" s="27" t="s">
        <v>13</v>
      </c>
      <c r="F5855" s="29">
        <v>8617</v>
      </c>
      <c r="G5855" s="30">
        <v>1.9694470493862601</v>
      </c>
    </row>
    <row r="5856" spans="1:7" hidden="1" x14ac:dyDescent="0.25">
      <c r="A5856" s="28">
        <v>44013</v>
      </c>
      <c r="B5856" s="27" t="s">
        <v>5</v>
      </c>
      <c r="C5856" s="27" t="s">
        <v>51</v>
      </c>
      <c r="D5856" s="27" t="s">
        <v>51</v>
      </c>
      <c r="E5856" s="27" t="s">
        <v>14</v>
      </c>
      <c r="F5856" s="29">
        <v>4082</v>
      </c>
      <c r="G5856" s="30">
        <v>2.4240913909590245</v>
      </c>
    </row>
    <row r="5857" spans="1:7" hidden="1" x14ac:dyDescent="0.25">
      <c r="A5857" s="28">
        <v>44013</v>
      </c>
      <c r="B5857" s="27" t="s">
        <v>5</v>
      </c>
      <c r="C5857" s="27" t="s">
        <v>51</v>
      </c>
      <c r="D5857" s="27" t="s">
        <v>51</v>
      </c>
      <c r="E5857" s="27" t="s">
        <v>15</v>
      </c>
      <c r="F5857" s="29">
        <v>3932</v>
      </c>
      <c r="G5857" s="30">
        <v>3.5874817458192783</v>
      </c>
    </row>
    <row r="5858" spans="1:7" hidden="1" x14ac:dyDescent="0.25">
      <c r="A5858" s="28">
        <v>44013</v>
      </c>
      <c r="B5858" s="27" t="s">
        <v>5</v>
      </c>
      <c r="C5858" s="27" t="s">
        <v>51</v>
      </c>
      <c r="D5858" s="27" t="s">
        <v>51</v>
      </c>
      <c r="E5858" s="27" t="s">
        <v>16</v>
      </c>
      <c r="F5858" s="29">
        <v>4191</v>
      </c>
      <c r="G5858" s="30">
        <v>3.0662705936279493</v>
      </c>
    </row>
    <row r="5859" spans="1:7" hidden="1" x14ac:dyDescent="0.25">
      <c r="A5859" s="28">
        <v>44013</v>
      </c>
      <c r="B5859" s="27" t="s">
        <v>5</v>
      </c>
      <c r="C5859" s="27" t="s">
        <v>51</v>
      </c>
      <c r="D5859" s="27" t="s">
        <v>51</v>
      </c>
      <c r="E5859" s="27" t="s">
        <v>17</v>
      </c>
      <c r="F5859" s="29">
        <v>6272</v>
      </c>
      <c r="G5859" s="30">
        <v>2.8362334010248831</v>
      </c>
    </row>
    <row r="5860" spans="1:7" hidden="1" x14ac:dyDescent="0.25">
      <c r="A5860" s="28">
        <v>44013</v>
      </c>
      <c r="B5860" s="27" t="s">
        <v>5</v>
      </c>
      <c r="C5860" s="27" t="s">
        <v>51</v>
      </c>
      <c r="D5860" s="27" t="s">
        <v>51</v>
      </c>
      <c r="E5860" s="27" t="s">
        <v>18</v>
      </c>
      <c r="F5860" s="29">
        <v>8617</v>
      </c>
      <c r="G5860" s="30">
        <v>1.3372167681592282</v>
      </c>
    </row>
    <row r="5861" spans="1:7" hidden="1" x14ac:dyDescent="0.25">
      <c r="A5861" s="28">
        <v>44013</v>
      </c>
      <c r="B5861" s="27" t="s">
        <v>5</v>
      </c>
      <c r="C5861" s="27" t="s">
        <v>51</v>
      </c>
      <c r="D5861" s="27" t="s">
        <v>51</v>
      </c>
      <c r="E5861" s="27" t="s">
        <v>19</v>
      </c>
      <c r="F5861" s="29">
        <v>5496</v>
      </c>
      <c r="G5861" s="30">
        <v>2.7120359457595953</v>
      </c>
    </row>
    <row r="5862" spans="1:7" hidden="1" x14ac:dyDescent="0.25">
      <c r="A5862" s="28">
        <v>44013</v>
      </c>
      <c r="B5862" s="27" t="s">
        <v>5</v>
      </c>
      <c r="C5862" s="27" t="s">
        <v>51</v>
      </c>
      <c r="D5862" s="27" t="s">
        <v>51</v>
      </c>
      <c r="E5862" s="27" t="s">
        <v>20</v>
      </c>
      <c r="F5862" s="29">
        <v>4792</v>
      </c>
      <c r="G5862" s="30">
        <v>2.4891678960548278</v>
      </c>
    </row>
    <row r="5863" spans="1:7" hidden="1" x14ac:dyDescent="0.25">
      <c r="A5863" s="28">
        <v>44013</v>
      </c>
      <c r="B5863" s="27" t="s">
        <v>5</v>
      </c>
      <c r="C5863" s="27" t="s">
        <v>51</v>
      </c>
      <c r="D5863" s="27" t="s">
        <v>51</v>
      </c>
      <c r="E5863" s="27" t="s">
        <v>38</v>
      </c>
      <c r="F5863" s="29">
        <v>3732</v>
      </c>
      <c r="G5863" s="30">
        <v>2.9277061159060569</v>
      </c>
    </row>
    <row r="5864" spans="1:7" hidden="1" x14ac:dyDescent="0.25">
      <c r="A5864" s="28">
        <v>44013</v>
      </c>
      <c r="B5864" s="27" t="s">
        <v>5</v>
      </c>
      <c r="C5864" s="27" t="s">
        <v>51</v>
      </c>
      <c r="D5864" s="27" t="s">
        <v>51</v>
      </c>
      <c r="E5864" s="27" t="s">
        <v>23</v>
      </c>
      <c r="F5864" s="29">
        <v>5646</v>
      </c>
      <c r="G5864" s="30">
        <v>2.7749260936169682</v>
      </c>
    </row>
    <row r="5865" spans="1:7" hidden="1" x14ac:dyDescent="0.25">
      <c r="A5865" s="28">
        <v>44013</v>
      </c>
      <c r="B5865" s="27" t="s">
        <v>180</v>
      </c>
      <c r="C5865" s="27" t="s">
        <v>50</v>
      </c>
      <c r="D5865" s="27" t="s">
        <v>7</v>
      </c>
      <c r="E5865" s="27" t="s">
        <v>8</v>
      </c>
      <c r="F5865" s="29"/>
      <c r="G5865" s="30">
        <v>200</v>
      </c>
    </row>
    <row r="5866" spans="1:7" hidden="1" x14ac:dyDescent="0.25">
      <c r="A5866" s="28">
        <v>44013</v>
      </c>
      <c r="B5866" s="27" t="s">
        <v>180</v>
      </c>
      <c r="C5866" s="27" t="s">
        <v>50</v>
      </c>
      <c r="D5866" s="27" t="s">
        <v>7</v>
      </c>
      <c r="E5866" s="27" t="s">
        <v>9</v>
      </c>
      <c r="F5866" s="29"/>
      <c r="G5866" s="30">
        <v>790</v>
      </c>
    </row>
    <row r="5867" spans="1:7" hidden="1" x14ac:dyDescent="0.25">
      <c r="A5867" s="28">
        <v>44013</v>
      </c>
      <c r="B5867" s="27" t="s">
        <v>180</v>
      </c>
      <c r="C5867" s="27" t="s">
        <v>50</v>
      </c>
      <c r="D5867" s="27" t="s">
        <v>7</v>
      </c>
      <c r="E5867" s="27" t="s">
        <v>64</v>
      </c>
      <c r="F5867" s="29"/>
      <c r="G5867" s="30">
        <v>135</v>
      </c>
    </row>
    <row r="5868" spans="1:7" hidden="1" x14ac:dyDescent="0.25">
      <c r="A5868" s="28">
        <v>44013</v>
      </c>
      <c r="B5868" s="27" t="s">
        <v>180</v>
      </c>
      <c r="C5868" s="27" t="s">
        <v>50</v>
      </c>
      <c r="D5868" s="27" t="s">
        <v>7</v>
      </c>
      <c r="E5868" s="27" t="s">
        <v>10</v>
      </c>
      <c r="F5868" s="29"/>
      <c r="G5868" s="30">
        <v>156.30000000000001</v>
      </c>
    </row>
    <row r="5869" spans="1:7" hidden="1" x14ac:dyDescent="0.25">
      <c r="A5869" s="28">
        <v>44013</v>
      </c>
      <c r="B5869" s="27" t="s">
        <v>180</v>
      </c>
      <c r="C5869" s="27" t="s">
        <v>50</v>
      </c>
      <c r="D5869" s="27" t="s">
        <v>7</v>
      </c>
      <c r="E5869" s="27" t="s">
        <v>12</v>
      </c>
      <c r="F5869" s="29"/>
      <c r="G5869" s="30">
        <v>205</v>
      </c>
    </row>
    <row r="5870" spans="1:7" hidden="1" x14ac:dyDescent="0.25">
      <c r="A5870" s="28">
        <v>44013</v>
      </c>
      <c r="B5870" s="27" t="s">
        <v>180</v>
      </c>
      <c r="C5870" s="27" t="s">
        <v>50</v>
      </c>
      <c r="D5870" s="27" t="s">
        <v>7</v>
      </c>
      <c r="E5870" s="27" t="s">
        <v>13</v>
      </c>
      <c r="F5870" s="29"/>
      <c r="G5870" s="30">
        <v>19</v>
      </c>
    </row>
    <row r="5871" spans="1:7" hidden="1" x14ac:dyDescent="0.25">
      <c r="A5871" s="28">
        <v>44013</v>
      </c>
      <c r="B5871" s="27" t="s">
        <v>180</v>
      </c>
      <c r="C5871" s="27" t="s">
        <v>50</v>
      </c>
      <c r="D5871" s="27" t="s">
        <v>7</v>
      </c>
      <c r="E5871" s="27" t="s">
        <v>14</v>
      </c>
      <c r="F5871" s="29"/>
      <c r="G5871" s="30">
        <v>105</v>
      </c>
    </row>
    <row r="5872" spans="1:7" hidden="1" x14ac:dyDescent="0.25">
      <c r="A5872" s="28">
        <v>44013</v>
      </c>
      <c r="B5872" s="27" t="s">
        <v>180</v>
      </c>
      <c r="C5872" s="27" t="s">
        <v>50</v>
      </c>
      <c r="D5872" s="27" t="s">
        <v>7</v>
      </c>
      <c r="E5872" s="27" t="s">
        <v>15</v>
      </c>
      <c r="F5872" s="29"/>
      <c r="G5872" s="30">
        <v>210</v>
      </c>
    </row>
    <row r="5873" spans="1:7" hidden="1" x14ac:dyDescent="0.25">
      <c r="A5873" s="28">
        <v>44013</v>
      </c>
      <c r="B5873" s="27" t="s">
        <v>180</v>
      </c>
      <c r="C5873" s="27" t="s">
        <v>50</v>
      </c>
      <c r="D5873" s="27" t="s">
        <v>7</v>
      </c>
      <c r="E5873" s="27" t="s">
        <v>16</v>
      </c>
      <c r="F5873" s="29"/>
      <c r="G5873" s="30">
        <v>80</v>
      </c>
    </row>
    <row r="5874" spans="1:7" hidden="1" x14ac:dyDescent="0.25">
      <c r="A5874" s="28">
        <v>44013</v>
      </c>
      <c r="B5874" s="27" t="s">
        <v>180</v>
      </c>
      <c r="C5874" s="27" t="s">
        <v>50</v>
      </c>
      <c r="D5874" s="27" t="s">
        <v>7</v>
      </c>
      <c r="E5874" s="27" t="s">
        <v>20</v>
      </c>
      <c r="F5874" s="29"/>
      <c r="G5874" s="30">
        <v>13</v>
      </c>
    </row>
    <row r="5875" spans="1:7" hidden="1" x14ac:dyDescent="0.25">
      <c r="A5875" s="28">
        <v>44013</v>
      </c>
      <c r="B5875" s="27" t="s">
        <v>180</v>
      </c>
      <c r="C5875" s="27" t="s">
        <v>50</v>
      </c>
      <c r="D5875" s="27" t="s">
        <v>7</v>
      </c>
      <c r="E5875" s="27" t="s">
        <v>23</v>
      </c>
      <c r="F5875" s="29"/>
      <c r="G5875" s="30">
        <v>6</v>
      </c>
    </row>
    <row r="5876" spans="1:7" hidden="1" x14ac:dyDescent="0.25">
      <c r="A5876" s="28">
        <v>44013</v>
      </c>
      <c r="B5876" s="27" t="s">
        <v>181</v>
      </c>
      <c r="C5876" s="27" t="s">
        <v>50</v>
      </c>
      <c r="D5876" s="27" t="s">
        <v>6</v>
      </c>
      <c r="E5876" s="27" t="s">
        <v>8</v>
      </c>
      <c r="F5876" s="29"/>
      <c r="G5876" s="30">
        <v>245</v>
      </c>
    </row>
    <row r="5877" spans="1:7" hidden="1" x14ac:dyDescent="0.25">
      <c r="A5877" s="28">
        <v>44013</v>
      </c>
      <c r="B5877" s="27" t="s">
        <v>181</v>
      </c>
      <c r="C5877" s="27" t="s">
        <v>50</v>
      </c>
      <c r="D5877" s="27" t="s">
        <v>6</v>
      </c>
      <c r="E5877" s="27" t="s">
        <v>64</v>
      </c>
      <c r="F5877" s="29"/>
      <c r="G5877" s="30">
        <v>245</v>
      </c>
    </row>
    <row r="5878" spans="1:7" hidden="1" x14ac:dyDescent="0.25">
      <c r="A5878" s="28">
        <v>44013</v>
      </c>
      <c r="B5878" s="27" t="s">
        <v>181</v>
      </c>
      <c r="C5878" s="27" t="s">
        <v>50</v>
      </c>
      <c r="D5878" s="27" t="s">
        <v>6</v>
      </c>
      <c r="E5878" s="27" t="s">
        <v>21</v>
      </c>
      <c r="F5878" s="29"/>
      <c r="G5878" s="30">
        <v>139</v>
      </c>
    </row>
    <row r="5879" spans="1:7" hidden="1" x14ac:dyDescent="0.25">
      <c r="A5879" s="28">
        <v>44013</v>
      </c>
      <c r="B5879" s="27" t="s">
        <v>181</v>
      </c>
      <c r="C5879" s="27" t="s">
        <v>50</v>
      </c>
      <c r="D5879" s="27" t="s">
        <v>6</v>
      </c>
      <c r="E5879" s="27" t="s">
        <v>10</v>
      </c>
      <c r="F5879" s="29"/>
      <c r="G5879" s="30">
        <v>619.99</v>
      </c>
    </row>
    <row r="5880" spans="1:7" hidden="1" x14ac:dyDescent="0.25">
      <c r="A5880" s="28">
        <v>44013</v>
      </c>
      <c r="B5880" s="27" t="s">
        <v>181</v>
      </c>
      <c r="C5880" s="27" t="s">
        <v>50</v>
      </c>
      <c r="D5880" s="27" t="s">
        <v>6</v>
      </c>
      <c r="E5880" s="27" t="s">
        <v>11</v>
      </c>
      <c r="F5880" s="29"/>
      <c r="G5880" s="30">
        <v>114.98</v>
      </c>
    </row>
    <row r="5881" spans="1:7" hidden="1" x14ac:dyDescent="0.25">
      <c r="A5881" s="28">
        <v>44013</v>
      </c>
      <c r="B5881" s="27" t="s">
        <v>181</v>
      </c>
      <c r="C5881" s="27" t="s">
        <v>50</v>
      </c>
      <c r="D5881" s="27" t="s">
        <v>6</v>
      </c>
      <c r="E5881" s="27" t="s">
        <v>13</v>
      </c>
      <c r="F5881" s="29"/>
      <c r="G5881" s="30">
        <v>90</v>
      </c>
    </row>
    <row r="5882" spans="1:7" hidden="1" x14ac:dyDescent="0.25">
      <c r="A5882" s="28">
        <v>44013</v>
      </c>
      <c r="B5882" s="27" t="s">
        <v>181</v>
      </c>
      <c r="C5882" s="27" t="s">
        <v>50</v>
      </c>
      <c r="D5882" s="27" t="s">
        <v>6</v>
      </c>
      <c r="E5882" s="27" t="s">
        <v>14</v>
      </c>
      <c r="F5882" s="29"/>
      <c r="G5882" s="30">
        <v>40</v>
      </c>
    </row>
    <row r="5883" spans="1:7" hidden="1" x14ac:dyDescent="0.25">
      <c r="A5883" s="28">
        <v>44013</v>
      </c>
      <c r="B5883" s="27" t="s">
        <v>181</v>
      </c>
      <c r="C5883" s="27" t="s">
        <v>50</v>
      </c>
      <c r="D5883" s="27" t="s">
        <v>6</v>
      </c>
      <c r="E5883" s="27" t="s">
        <v>17</v>
      </c>
      <c r="F5883" s="29"/>
      <c r="G5883" s="30">
        <v>299.97000000000003</v>
      </c>
    </row>
    <row r="5884" spans="1:7" hidden="1" x14ac:dyDescent="0.25">
      <c r="A5884" s="28">
        <v>44013</v>
      </c>
      <c r="B5884" s="27" t="s">
        <v>181</v>
      </c>
      <c r="C5884" s="27" t="s">
        <v>50</v>
      </c>
      <c r="D5884" s="27" t="s">
        <v>6</v>
      </c>
      <c r="E5884" s="27" t="s">
        <v>18</v>
      </c>
      <c r="F5884" s="29"/>
      <c r="G5884" s="30">
        <v>653</v>
      </c>
    </row>
    <row r="5885" spans="1:7" hidden="1" x14ac:dyDescent="0.25">
      <c r="A5885" s="28">
        <v>44013</v>
      </c>
      <c r="B5885" s="27" t="s">
        <v>181</v>
      </c>
      <c r="C5885" s="27" t="s">
        <v>50</v>
      </c>
      <c r="D5885" s="27" t="s">
        <v>6</v>
      </c>
      <c r="E5885" s="27" t="s">
        <v>38</v>
      </c>
      <c r="F5885" s="29"/>
      <c r="G5885" s="30">
        <v>501.07</v>
      </c>
    </row>
    <row r="5886" spans="1:7" hidden="1" x14ac:dyDescent="0.25">
      <c r="A5886" s="28">
        <v>44013</v>
      </c>
      <c r="B5886" s="27" t="s">
        <v>181</v>
      </c>
      <c r="C5886" s="27" t="s">
        <v>50</v>
      </c>
      <c r="D5886" s="27" t="s">
        <v>6</v>
      </c>
      <c r="E5886" s="27" t="s">
        <v>23</v>
      </c>
      <c r="F5886" s="29"/>
      <c r="G5886" s="30">
        <v>30</v>
      </c>
    </row>
    <row r="5887" spans="1:7" hidden="1" x14ac:dyDescent="0.25">
      <c r="A5887" s="28">
        <v>44013</v>
      </c>
      <c r="B5887" s="27" t="s">
        <v>25</v>
      </c>
      <c r="C5887" s="27" t="s">
        <v>50</v>
      </c>
      <c r="D5887" s="27" t="s">
        <v>7</v>
      </c>
      <c r="E5887" s="27" t="s">
        <v>10</v>
      </c>
      <c r="F5887" s="29"/>
      <c r="G5887" s="30">
        <v>104.13</v>
      </c>
    </row>
    <row r="5888" spans="1:7" hidden="1" x14ac:dyDescent="0.25">
      <c r="A5888" s="28">
        <v>44013</v>
      </c>
      <c r="B5888" s="27" t="s">
        <v>2</v>
      </c>
      <c r="C5888" s="27" t="s">
        <v>50</v>
      </c>
      <c r="D5888" s="27" t="s">
        <v>7</v>
      </c>
      <c r="E5888" s="27" t="s">
        <v>8</v>
      </c>
      <c r="F5888" s="29"/>
      <c r="G5888" s="30">
        <v>228.17</v>
      </c>
    </row>
    <row r="5889" spans="1:7" hidden="1" x14ac:dyDescent="0.25">
      <c r="A5889" s="28">
        <v>44013</v>
      </c>
      <c r="B5889" s="27" t="s">
        <v>2</v>
      </c>
      <c r="C5889" s="27" t="s">
        <v>50</v>
      </c>
      <c r="D5889" s="27" t="s">
        <v>7</v>
      </c>
      <c r="E5889" s="27" t="s">
        <v>9</v>
      </c>
      <c r="F5889" s="29"/>
      <c r="G5889" s="30">
        <v>81.099999999999994</v>
      </c>
    </row>
    <row r="5890" spans="1:7" hidden="1" x14ac:dyDescent="0.25">
      <c r="A5890" s="28">
        <v>44013</v>
      </c>
      <c r="B5890" s="27" t="s">
        <v>2</v>
      </c>
      <c r="C5890" s="27" t="s">
        <v>50</v>
      </c>
      <c r="D5890" s="27" t="s">
        <v>7</v>
      </c>
      <c r="E5890" s="27" t="s">
        <v>22</v>
      </c>
      <c r="F5890" s="29"/>
      <c r="G5890" s="30">
        <v>236.3</v>
      </c>
    </row>
    <row r="5891" spans="1:7" hidden="1" x14ac:dyDescent="0.25">
      <c r="A5891" s="28">
        <v>44013</v>
      </c>
      <c r="B5891" s="27" t="s">
        <v>2</v>
      </c>
      <c r="C5891" s="27" t="s">
        <v>50</v>
      </c>
      <c r="D5891" s="27" t="s">
        <v>7</v>
      </c>
      <c r="E5891" s="27" t="s">
        <v>64</v>
      </c>
      <c r="F5891" s="29"/>
      <c r="G5891" s="30">
        <v>237.67</v>
      </c>
    </row>
    <row r="5892" spans="1:7" hidden="1" x14ac:dyDescent="0.25">
      <c r="A5892" s="28">
        <v>44013</v>
      </c>
      <c r="B5892" s="27" t="s">
        <v>2</v>
      </c>
      <c r="C5892" s="27" t="s">
        <v>50</v>
      </c>
      <c r="D5892" s="27" t="s">
        <v>7</v>
      </c>
      <c r="E5892" s="27" t="s">
        <v>21</v>
      </c>
      <c r="F5892" s="29"/>
      <c r="G5892" s="30">
        <v>432.27</v>
      </c>
    </row>
    <row r="5893" spans="1:7" hidden="1" x14ac:dyDescent="0.25">
      <c r="A5893" s="28">
        <v>44013</v>
      </c>
      <c r="B5893" s="27" t="s">
        <v>2</v>
      </c>
      <c r="C5893" s="27" t="s">
        <v>50</v>
      </c>
      <c r="D5893" s="27" t="s">
        <v>7</v>
      </c>
      <c r="E5893" s="27" t="s">
        <v>10</v>
      </c>
      <c r="F5893" s="29"/>
      <c r="G5893" s="30">
        <v>715.47</v>
      </c>
    </row>
    <row r="5894" spans="1:7" hidden="1" x14ac:dyDescent="0.25">
      <c r="A5894" s="28">
        <v>44013</v>
      </c>
      <c r="B5894" s="27" t="s">
        <v>2</v>
      </c>
      <c r="C5894" s="27" t="s">
        <v>50</v>
      </c>
      <c r="D5894" s="27" t="s">
        <v>7</v>
      </c>
      <c r="E5894" s="27" t="s">
        <v>11</v>
      </c>
      <c r="F5894" s="29"/>
      <c r="G5894" s="30">
        <v>326.47000000000003</v>
      </c>
    </row>
    <row r="5895" spans="1:7" hidden="1" x14ac:dyDescent="0.25">
      <c r="A5895" s="28">
        <v>44013</v>
      </c>
      <c r="B5895" s="27" t="s">
        <v>2</v>
      </c>
      <c r="C5895" s="27" t="s">
        <v>50</v>
      </c>
      <c r="D5895" s="27" t="s">
        <v>7</v>
      </c>
      <c r="E5895" s="27" t="s">
        <v>12</v>
      </c>
      <c r="F5895" s="29"/>
      <c r="G5895" s="30">
        <v>305.27</v>
      </c>
    </row>
    <row r="5896" spans="1:7" hidden="1" x14ac:dyDescent="0.25">
      <c r="A5896" s="28">
        <v>44013</v>
      </c>
      <c r="B5896" s="27" t="s">
        <v>2</v>
      </c>
      <c r="C5896" s="27" t="s">
        <v>50</v>
      </c>
      <c r="D5896" s="27" t="s">
        <v>7</v>
      </c>
      <c r="E5896" s="27" t="s">
        <v>13</v>
      </c>
      <c r="F5896" s="29"/>
      <c r="G5896" s="30">
        <v>1264.1099999999999</v>
      </c>
    </row>
    <row r="5897" spans="1:7" hidden="1" x14ac:dyDescent="0.25">
      <c r="A5897" s="28">
        <v>44013</v>
      </c>
      <c r="B5897" s="27" t="s">
        <v>2</v>
      </c>
      <c r="C5897" s="27" t="s">
        <v>50</v>
      </c>
      <c r="D5897" s="27" t="s">
        <v>7</v>
      </c>
      <c r="E5897" s="27" t="s">
        <v>14</v>
      </c>
      <c r="F5897" s="29"/>
      <c r="G5897" s="30">
        <v>191.64</v>
      </c>
    </row>
    <row r="5898" spans="1:7" hidden="1" x14ac:dyDescent="0.25">
      <c r="A5898" s="28">
        <v>44013</v>
      </c>
      <c r="B5898" s="27" t="s">
        <v>2</v>
      </c>
      <c r="C5898" s="27" t="s">
        <v>50</v>
      </c>
      <c r="D5898" s="27" t="s">
        <v>7</v>
      </c>
      <c r="E5898" s="27" t="s">
        <v>15</v>
      </c>
      <c r="F5898" s="29"/>
      <c r="G5898" s="30">
        <v>704.01</v>
      </c>
    </row>
    <row r="5899" spans="1:7" hidden="1" x14ac:dyDescent="0.25">
      <c r="A5899" s="28">
        <v>44013</v>
      </c>
      <c r="B5899" s="27" t="s">
        <v>2</v>
      </c>
      <c r="C5899" s="27" t="s">
        <v>50</v>
      </c>
      <c r="D5899" s="27" t="s">
        <v>7</v>
      </c>
      <c r="E5899" s="27" t="s">
        <v>16</v>
      </c>
      <c r="F5899" s="29"/>
      <c r="G5899" s="30">
        <v>270.61</v>
      </c>
    </row>
    <row r="5900" spans="1:7" hidden="1" x14ac:dyDescent="0.25">
      <c r="A5900" s="28">
        <v>44013</v>
      </c>
      <c r="B5900" s="27" t="s">
        <v>2</v>
      </c>
      <c r="C5900" s="27" t="s">
        <v>50</v>
      </c>
      <c r="D5900" s="27" t="s">
        <v>7</v>
      </c>
      <c r="E5900" s="27" t="s">
        <v>17</v>
      </c>
      <c r="F5900" s="29"/>
      <c r="G5900" s="30">
        <v>1303.24</v>
      </c>
    </row>
    <row r="5901" spans="1:7" hidden="1" x14ac:dyDescent="0.25">
      <c r="A5901" s="28">
        <v>44013</v>
      </c>
      <c r="B5901" s="27" t="s">
        <v>2</v>
      </c>
      <c r="C5901" s="27" t="s">
        <v>50</v>
      </c>
      <c r="D5901" s="27" t="s">
        <v>7</v>
      </c>
      <c r="E5901" s="27" t="s">
        <v>18</v>
      </c>
      <c r="F5901" s="29"/>
      <c r="G5901" s="30">
        <v>25.72</v>
      </c>
    </row>
    <row r="5902" spans="1:7" hidden="1" x14ac:dyDescent="0.25">
      <c r="A5902" s="28">
        <v>44013</v>
      </c>
      <c r="B5902" s="27" t="s">
        <v>2</v>
      </c>
      <c r="C5902" s="27" t="s">
        <v>50</v>
      </c>
      <c r="D5902" s="27" t="s">
        <v>7</v>
      </c>
      <c r="E5902" s="27" t="s">
        <v>19</v>
      </c>
      <c r="F5902" s="29"/>
      <c r="G5902" s="30">
        <v>843.77</v>
      </c>
    </row>
    <row r="5903" spans="1:7" hidden="1" x14ac:dyDescent="0.25">
      <c r="A5903" s="28">
        <v>44013</v>
      </c>
      <c r="B5903" s="27" t="s">
        <v>2</v>
      </c>
      <c r="C5903" s="27" t="s">
        <v>50</v>
      </c>
      <c r="D5903" s="27" t="s">
        <v>7</v>
      </c>
      <c r="E5903" s="27" t="s">
        <v>20</v>
      </c>
      <c r="F5903" s="29"/>
      <c r="G5903" s="30">
        <v>420.64</v>
      </c>
    </row>
    <row r="5904" spans="1:7" hidden="1" x14ac:dyDescent="0.25">
      <c r="A5904" s="28">
        <v>44013</v>
      </c>
      <c r="B5904" s="27" t="s">
        <v>2</v>
      </c>
      <c r="C5904" s="27" t="s">
        <v>50</v>
      </c>
      <c r="D5904" s="27" t="s">
        <v>7</v>
      </c>
      <c r="E5904" s="27" t="s">
        <v>38</v>
      </c>
      <c r="F5904" s="29"/>
      <c r="G5904" s="30">
        <v>311.52</v>
      </c>
    </row>
    <row r="5905" spans="1:7" hidden="1" x14ac:dyDescent="0.25">
      <c r="A5905" s="28">
        <v>44013</v>
      </c>
      <c r="B5905" s="27" t="s">
        <v>2</v>
      </c>
      <c r="C5905" s="27" t="s">
        <v>50</v>
      </c>
      <c r="D5905" s="27" t="s">
        <v>7</v>
      </c>
      <c r="E5905" s="27" t="s">
        <v>23</v>
      </c>
      <c r="F5905" s="29"/>
      <c r="G5905" s="30">
        <v>532.15</v>
      </c>
    </row>
    <row r="5906" spans="1:7" hidden="1" x14ac:dyDescent="0.25">
      <c r="A5906" s="28">
        <v>44013</v>
      </c>
      <c r="B5906" s="27" t="s">
        <v>36</v>
      </c>
      <c r="C5906" s="27" t="s">
        <v>50</v>
      </c>
      <c r="D5906" s="27" t="s">
        <v>6</v>
      </c>
      <c r="E5906" s="27" t="s">
        <v>8</v>
      </c>
      <c r="F5906" s="29"/>
      <c r="G5906" s="30">
        <v>330.97</v>
      </c>
    </row>
    <row r="5907" spans="1:7" hidden="1" x14ac:dyDescent="0.25">
      <c r="A5907" s="28">
        <v>44013</v>
      </c>
      <c r="B5907" s="27" t="s">
        <v>36</v>
      </c>
      <c r="C5907" s="27" t="s">
        <v>50</v>
      </c>
      <c r="D5907" s="27" t="s">
        <v>6</v>
      </c>
      <c r="E5907" s="27" t="s">
        <v>9</v>
      </c>
      <c r="F5907" s="29"/>
      <c r="G5907" s="30">
        <v>56</v>
      </c>
    </row>
    <row r="5908" spans="1:7" hidden="1" x14ac:dyDescent="0.25">
      <c r="A5908" s="28">
        <v>44013</v>
      </c>
      <c r="B5908" s="27" t="s">
        <v>36</v>
      </c>
      <c r="C5908" s="27" t="s">
        <v>50</v>
      </c>
      <c r="D5908" s="27" t="s">
        <v>6</v>
      </c>
      <c r="E5908" s="27" t="s">
        <v>22</v>
      </c>
      <c r="F5908" s="29"/>
      <c r="G5908" s="30">
        <v>165.5</v>
      </c>
    </row>
    <row r="5909" spans="1:7" hidden="1" x14ac:dyDescent="0.25">
      <c r="A5909" s="28">
        <v>44013</v>
      </c>
      <c r="B5909" s="27" t="s">
        <v>36</v>
      </c>
      <c r="C5909" s="27" t="s">
        <v>50</v>
      </c>
      <c r="D5909" s="27" t="s">
        <v>6</v>
      </c>
      <c r="E5909" s="27" t="s">
        <v>64</v>
      </c>
      <c r="F5909" s="29"/>
      <c r="G5909" s="30">
        <v>59</v>
      </c>
    </row>
    <row r="5910" spans="1:7" hidden="1" x14ac:dyDescent="0.25">
      <c r="A5910" s="28">
        <v>44013</v>
      </c>
      <c r="B5910" s="27" t="s">
        <v>36</v>
      </c>
      <c r="C5910" s="27" t="s">
        <v>50</v>
      </c>
      <c r="D5910" s="27" t="s">
        <v>6</v>
      </c>
      <c r="E5910" s="27" t="s">
        <v>21</v>
      </c>
      <c r="F5910" s="29"/>
      <c r="G5910" s="30">
        <v>98.57</v>
      </c>
    </row>
    <row r="5911" spans="1:7" hidden="1" x14ac:dyDescent="0.25">
      <c r="A5911" s="28">
        <v>44013</v>
      </c>
      <c r="B5911" s="27" t="s">
        <v>36</v>
      </c>
      <c r="C5911" s="27" t="s">
        <v>50</v>
      </c>
      <c r="D5911" s="27" t="s">
        <v>6</v>
      </c>
      <c r="E5911" s="27" t="s">
        <v>10</v>
      </c>
      <c r="F5911" s="29"/>
      <c r="G5911" s="30">
        <v>330.97</v>
      </c>
    </row>
    <row r="5912" spans="1:7" hidden="1" x14ac:dyDescent="0.25">
      <c r="A5912" s="28">
        <v>44013</v>
      </c>
      <c r="B5912" s="27" t="s">
        <v>36</v>
      </c>
      <c r="C5912" s="27" t="s">
        <v>50</v>
      </c>
      <c r="D5912" s="27" t="s">
        <v>6</v>
      </c>
      <c r="E5912" s="27" t="s">
        <v>11</v>
      </c>
      <c r="F5912" s="29"/>
      <c r="G5912" s="30">
        <v>165.5</v>
      </c>
    </row>
    <row r="5913" spans="1:7" hidden="1" x14ac:dyDescent="0.25">
      <c r="A5913" s="28">
        <v>44013</v>
      </c>
      <c r="B5913" s="27" t="s">
        <v>36</v>
      </c>
      <c r="C5913" s="27" t="s">
        <v>50</v>
      </c>
      <c r="D5913" s="27" t="s">
        <v>6</v>
      </c>
      <c r="E5913" s="27" t="s">
        <v>12</v>
      </c>
      <c r="F5913" s="29"/>
      <c r="G5913" s="30">
        <v>84.44</v>
      </c>
    </row>
    <row r="5914" spans="1:7" hidden="1" x14ac:dyDescent="0.25">
      <c r="A5914" s="28">
        <v>44013</v>
      </c>
      <c r="B5914" s="27" t="s">
        <v>36</v>
      </c>
      <c r="C5914" s="27" t="s">
        <v>50</v>
      </c>
      <c r="D5914" s="27" t="s">
        <v>6</v>
      </c>
      <c r="E5914" s="27" t="s">
        <v>13</v>
      </c>
      <c r="F5914" s="29"/>
      <c r="G5914" s="30">
        <v>59</v>
      </c>
    </row>
    <row r="5915" spans="1:7" hidden="1" x14ac:dyDescent="0.25">
      <c r="A5915" s="28">
        <v>44013</v>
      </c>
      <c r="B5915" s="27" t="s">
        <v>36</v>
      </c>
      <c r="C5915" s="27" t="s">
        <v>50</v>
      </c>
      <c r="D5915" s="27" t="s">
        <v>6</v>
      </c>
      <c r="E5915" s="27" t="s">
        <v>14</v>
      </c>
      <c r="F5915" s="29"/>
      <c r="G5915" s="30">
        <v>84.44</v>
      </c>
    </row>
    <row r="5916" spans="1:7" hidden="1" x14ac:dyDescent="0.25">
      <c r="A5916" s="28">
        <v>44013</v>
      </c>
      <c r="B5916" s="27" t="s">
        <v>36</v>
      </c>
      <c r="C5916" s="27" t="s">
        <v>50</v>
      </c>
      <c r="D5916" s="27" t="s">
        <v>6</v>
      </c>
      <c r="E5916" s="27" t="s">
        <v>15</v>
      </c>
      <c r="F5916" s="29"/>
      <c r="G5916" s="30">
        <v>320.19</v>
      </c>
    </row>
    <row r="5917" spans="1:7" hidden="1" x14ac:dyDescent="0.25">
      <c r="A5917" s="28">
        <v>44013</v>
      </c>
      <c r="B5917" s="27" t="s">
        <v>36</v>
      </c>
      <c r="C5917" s="27" t="s">
        <v>50</v>
      </c>
      <c r="D5917" s="27" t="s">
        <v>6</v>
      </c>
      <c r="E5917" s="27" t="s">
        <v>16</v>
      </c>
      <c r="F5917" s="29"/>
      <c r="G5917" s="30">
        <v>296.19</v>
      </c>
    </row>
    <row r="5918" spans="1:7" hidden="1" x14ac:dyDescent="0.25">
      <c r="A5918" s="28">
        <v>44013</v>
      </c>
      <c r="B5918" s="27" t="s">
        <v>36</v>
      </c>
      <c r="C5918" s="27" t="s">
        <v>50</v>
      </c>
      <c r="D5918" s="27" t="s">
        <v>6</v>
      </c>
      <c r="E5918" s="27" t="s">
        <v>17</v>
      </c>
      <c r="F5918" s="29"/>
      <c r="G5918" s="30">
        <v>191.3</v>
      </c>
    </row>
    <row r="5919" spans="1:7" hidden="1" x14ac:dyDescent="0.25">
      <c r="A5919" s="28">
        <v>44013</v>
      </c>
      <c r="B5919" s="27" t="s">
        <v>36</v>
      </c>
      <c r="C5919" s="27" t="s">
        <v>50</v>
      </c>
      <c r="D5919" s="27" t="s">
        <v>6</v>
      </c>
      <c r="E5919" s="27" t="s">
        <v>18</v>
      </c>
      <c r="F5919" s="29"/>
      <c r="G5919" s="30">
        <v>127.7</v>
      </c>
    </row>
    <row r="5920" spans="1:7" hidden="1" x14ac:dyDescent="0.25">
      <c r="A5920" s="28">
        <v>44013</v>
      </c>
      <c r="B5920" s="27" t="s">
        <v>36</v>
      </c>
      <c r="C5920" s="27" t="s">
        <v>50</v>
      </c>
      <c r="D5920" s="27" t="s">
        <v>6</v>
      </c>
      <c r="E5920" s="27" t="s">
        <v>19</v>
      </c>
      <c r="F5920" s="29"/>
      <c r="G5920" s="30">
        <v>284.19</v>
      </c>
    </row>
    <row r="5921" spans="1:7" hidden="1" x14ac:dyDescent="0.25">
      <c r="A5921" s="28">
        <v>44013</v>
      </c>
      <c r="B5921" s="27" t="s">
        <v>36</v>
      </c>
      <c r="C5921" s="27" t="s">
        <v>50</v>
      </c>
      <c r="D5921" s="27" t="s">
        <v>6</v>
      </c>
      <c r="E5921" s="27" t="s">
        <v>20</v>
      </c>
      <c r="F5921" s="29"/>
      <c r="G5921" s="30">
        <v>59</v>
      </c>
    </row>
    <row r="5922" spans="1:7" hidden="1" x14ac:dyDescent="0.25">
      <c r="A5922" s="28">
        <v>44013</v>
      </c>
      <c r="B5922" s="27" t="s">
        <v>36</v>
      </c>
      <c r="C5922" s="27" t="s">
        <v>50</v>
      </c>
      <c r="D5922" s="27" t="s">
        <v>6</v>
      </c>
      <c r="E5922" s="27" t="s">
        <v>38</v>
      </c>
      <c r="F5922" s="29"/>
      <c r="G5922" s="30">
        <v>56</v>
      </c>
    </row>
    <row r="5923" spans="1:7" hidden="1" x14ac:dyDescent="0.25">
      <c r="A5923" s="28">
        <v>44013</v>
      </c>
      <c r="B5923" s="27" t="s">
        <v>36</v>
      </c>
      <c r="C5923" s="27" t="s">
        <v>50</v>
      </c>
      <c r="D5923" s="27" t="s">
        <v>6</v>
      </c>
      <c r="E5923" s="27" t="s">
        <v>23</v>
      </c>
      <c r="F5923" s="29"/>
      <c r="G5923" s="30">
        <v>165.5</v>
      </c>
    </row>
    <row r="5924" spans="1:7" hidden="1" x14ac:dyDescent="0.25">
      <c r="A5924" s="28">
        <v>44013</v>
      </c>
      <c r="B5924" s="27" t="s">
        <v>200</v>
      </c>
      <c r="C5924" s="27" t="s">
        <v>53</v>
      </c>
      <c r="D5924" s="27" t="s">
        <v>6</v>
      </c>
      <c r="E5924" s="27" t="s">
        <v>8</v>
      </c>
      <c r="F5924" s="29"/>
      <c r="G5924" s="30">
        <f t="shared" ref="G5924:G5941" si="108">11666.1929333333/18</f>
        <v>648.12182962962777</v>
      </c>
    </row>
    <row r="5925" spans="1:7" hidden="1" x14ac:dyDescent="0.25">
      <c r="A5925" s="28">
        <v>44013</v>
      </c>
      <c r="B5925" s="27" t="s">
        <v>200</v>
      </c>
      <c r="C5925" s="27" t="s">
        <v>53</v>
      </c>
      <c r="D5925" s="27" t="s">
        <v>6</v>
      </c>
      <c r="E5925" s="27" t="s">
        <v>9</v>
      </c>
      <c r="F5925" s="29"/>
      <c r="G5925" s="30">
        <f t="shared" si="108"/>
        <v>648.12182962962777</v>
      </c>
    </row>
    <row r="5926" spans="1:7" hidden="1" x14ac:dyDescent="0.25">
      <c r="A5926" s="28">
        <v>44013</v>
      </c>
      <c r="B5926" s="27" t="s">
        <v>200</v>
      </c>
      <c r="C5926" s="27" t="s">
        <v>53</v>
      </c>
      <c r="D5926" s="27" t="s">
        <v>6</v>
      </c>
      <c r="E5926" s="27" t="s">
        <v>22</v>
      </c>
      <c r="F5926" s="29"/>
      <c r="G5926" s="30">
        <f t="shared" si="108"/>
        <v>648.12182962962777</v>
      </c>
    </row>
    <row r="5927" spans="1:7" hidden="1" x14ac:dyDescent="0.25">
      <c r="A5927" s="28">
        <v>44013</v>
      </c>
      <c r="B5927" s="27" t="s">
        <v>200</v>
      </c>
      <c r="C5927" s="27" t="s">
        <v>53</v>
      </c>
      <c r="D5927" s="27" t="s">
        <v>6</v>
      </c>
      <c r="E5927" s="27" t="s">
        <v>64</v>
      </c>
      <c r="F5927" s="29"/>
      <c r="G5927" s="30">
        <f t="shared" si="108"/>
        <v>648.12182962962777</v>
      </c>
    </row>
    <row r="5928" spans="1:7" hidden="1" x14ac:dyDescent="0.25">
      <c r="A5928" s="28">
        <v>44013</v>
      </c>
      <c r="B5928" s="27" t="s">
        <v>200</v>
      </c>
      <c r="C5928" s="27" t="s">
        <v>53</v>
      </c>
      <c r="D5928" s="27" t="s">
        <v>6</v>
      </c>
      <c r="E5928" s="27" t="s">
        <v>21</v>
      </c>
      <c r="F5928" s="29"/>
      <c r="G5928" s="30">
        <f t="shared" si="108"/>
        <v>648.12182962962777</v>
      </c>
    </row>
    <row r="5929" spans="1:7" hidden="1" x14ac:dyDescent="0.25">
      <c r="A5929" s="28">
        <v>44013</v>
      </c>
      <c r="B5929" s="27" t="s">
        <v>200</v>
      </c>
      <c r="C5929" s="27" t="s">
        <v>53</v>
      </c>
      <c r="D5929" s="27" t="s">
        <v>6</v>
      </c>
      <c r="E5929" s="27" t="s">
        <v>10</v>
      </c>
      <c r="F5929" s="29"/>
      <c r="G5929" s="30">
        <f t="shared" si="108"/>
        <v>648.12182962962777</v>
      </c>
    </row>
    <row r="5930" spans="1:7" hidden="1" x14ac:dyDescent="0.25">
      <c r="A5930" s="28">
        <v>44013</v>
      </c>
      <c r="B5930" s="27" t="s">
        <v>200</v>
      </c>
      <c r="C5930" s="27" t="s">
        <v>53</v>
      </c>
      <c r="D5930" s="27" t="s">
        <v>6</v>
      </c>
      <c r="E5930" s="27" t="s">
        <v>11</v>
      </c>
      <c r="F5930" s="29"/>
      <c r="G5930" s="30">
        <f t="shared" si="108"/>
        <v>648.12182962962777</v>
      </c>
    </row>
    <row r="5931" spans="1:7" hidden="1" x14ac:dyDescent="0.25">
      <c r="A5931" s="28">
        <v>44013</v>
      </c>
      <c r="B5931" s="27" t="s">
        <v>200</v>
      </c>
      <c r="C5931" s="27" t="s">
        <v>53</v>
      </c>
      <c r="D5931" s="27" t="s">
        <v>6</v>
      </c>
      <c r="E5931" s="27" t="s">
        <v>12</v>
      </c>
      <c r="F5931" s="29"/>
      <c r="G5931" s="30">
        <f t="shared" si="108"/>
        <v>648.12182962962777</v>
      </c>
    </row>
    <row r="5932" spans="1:7" hidden="1" x14ac:dyDescent="0.25">
      <c r="A5932" s="28">
        <v>44013</v>
      </c>
      <c r="B5932" s="27" t="s">
        <v>200</v>
      </c>
      <c r="C5932" s="27" t="s">
        <v>53</v>
      </c>
      <c r="D5932" s="27" t="s">
        <v>6</v>
      </c>
      <c r="E5932" s="27" t="s">
        <v>13</v>
      </c>
      <c r="F5932" s="29"/>
      <c r="G5932" s="30">
        <f t="shared" si="108"/>
        <v>648.12182962962777</v>
      </c>
    </row>
    <row r="5933" spans="1:7" hidden="1" x14ac:dyDescent="0.25">
      <c r="A5933" s="28">
        <v>44013</v>
      </c>
      <c r="B5933" s="27" t="s">
        <v>200</v>
      </c>
      <c r="C5933" s="27" t="s">
        <v>53</v>
      </c>
      <c r="D5933" s="27" t="s">
        <v>6</v>
      </c>
      <c r="E5933" s="27" t="s">
        <v>14</v>
      </c>
      <c r="F5933" s="29"/>
      <c r="G5933" s="30">
        <f t="shared" si="108"/>
        <v>648.12182962962777</v>
      </c>
    </row>
    <row r="5934" spans="1:7" hidden="1" x14ac:dyDescent="0.25">
      <c r="A5934" s="28">
        <v>44013</v>
      </c>
      <c r="B5934" s="27" t="s">
        <v>200</v>
      </c>
      <c r="C5934" s="27" t="s">
        <v>53</v>
      </c>
      <c r="D5934" s="27" t="s">
        <v>6</v>
      </c>
      <c r="E5934" s="27" t="s">
        <v>15</v>
      </c>
      <c r="F5934" s="29"/>
      <c r="G5934" s="30">
        <f t="shared" si="108"/>
        <v>648.12182962962777</v>
      </c>
    </row>
    <row r="5935" spans="1:7" hidden="1" x14ac:dyDescent="0.25">
      <c r="A5935" s="28">
        <v>44013</v>
      </c>
      <c r="B5935" s="27" t="s">
        <v>200</v>
      </c>
      <c r="C5935" s="27" t="s">
        <v>53</v>
      </c>
      <c r="D5935" s="27" t="s">
        <v>6</v>
      </c>
      <c r="E5935" s="27" t="s">
        <v>16</v>
      </c>
      <c r="F5935" s="29"/>
      <c r="G5935" s="30">
        <f t="shared" si="108"/>
        <v>648.12182962962777</v>
      </c>
    </row>
    <row r="5936" spans="1:7" hidden="1" x14ac:dyDescent="0.25">
      <c r="A5936" s="28">
        <v>44013</v>
      </c>
      <c r="B5936" s="27" t="s">
        <v>200</v>
      </c>
      <c r="C5936" s="27" t="s">
        <v>53</v>
      </c>
      <c r="D5936" s="27" t="s">
        <v>6</v>
      </c>
      <c r="E5936" s="27" t="s">
        <v>17</v>
      </c>
      <c r="F5936" s="29"/>
      <c r="G5936" s="30">
        <f t="shared" si="108"/>
        <v>648.12182962962777</v>
      </c>
    </row>
    <row r="5937" spans="1:7" hidden="1" x14ac:dyDescent="0.25">
      <c r="A5937" s="28">
        <v>44013</v>
      </c>
      <c r="B5937" s="27" t="s">
        <v>200</v>
      </c>
      <c r="C5937" s="27" t="s">
        <v>53</v>
      </c>
      <c r="D5937" s="27" t="s">
        <v>6</v>
      </c>
      <c r="E5937" s="27" t="s">
        <v>18</v>
      </c>
      <c r="F5937" s="29"/>
      <c r="G5937" s="30">
        <f t="shared" si="108"/>
        <v>648.12182962962777</v>
      </c>
    </row>
    <row r="5938" spans="1:7" hidden="1" x14ac:dyDescent="0.25">
      <c r="A5938" s="28">
        <v>44013</v>
      </c>
      <c r="B5938" s="27" t="s">
        <v>200</v>
      </c>
      <c r="C5938" s="27" t="s">
        <v>53</v>
      </c>
      <c r="D5938" s="27" t="s">
        <v>6</v>
      </c>
      <c r="E5938" s="27" t="s">
        <v>19</v>
      </c>
      <c r="F5938" s="29"/>
      <c r="G5938" s="30">
        <f t="shared" si="108"/>
        <v>648.12182962962777</v>
      </c>
    </row>
    <row r="5939" spans="1:7" hidden="1" x14ac:dyDescent="0.25">
      <c r="A5939" s="28">
        <v>44013</v>
      </c>
      <c r="B5939" s="27" t="s">
        <v>200</v>
      </c>
      <c r="C5939" s="27" t="s">
        <v>53</v>
      </c>
      <c r="D5939" s="27" t="s">
        <v>6</v>
      </c>
      <c r="E5939" s="27" t="s">
        <v>20</v>
      </c>
      <c r="F5939" s="29"/>
      <c r="G5939" s="30">
        <f t="shared" si="108"/>
        <v>648.12182962962777</v>
      </c>
    </row>
    <row r="5940" spans="1:7" hidden="1" x14ac:dyDescent="0.25">
      <c r="A5940" s="28">
        <v>44013</v>
      </c>
      <c r="B5940" s="27" t="s">
        <v>200</v>
      </c>
      <c r="C5940" s="27" t="s">
        <v>53</v>
      </c>
      <c r="D5940" s="27" t="s">
        <v>6</v>
      </c>
      <c r="E5940" s="27" t="s">
        <v>38</v>
      </c>
      <c r="F5940" s="29"/>
      <c r="G5940" s="30">
        <f t="shared" si="108"/>
        <v>648.12182962962777</v>
      </c>
    </row>
    <row r="5941" spans="1:7" hidden="1" x14ac:dyDescent="0.25">
      <c r="A5941" s="28">
        <v>44013</v>
      </c>
      <c r="B5941" s="27" t="s">
        <v>200</v>
      </c>
      <c r="C5941" s="27" t="s">
        <v>53</v>
      </c>
      <c r="D5941" s="27" t="s">
        <v>6</v>
      </c>
      <c r="E5941" s="27" t="s">
        <v>23</v>
      </c>
      <c r="F5941" s="29"/>
      <c r="G5941" s="30">
        <f t="shared" si="108"/>
        <v>648.12182962962777</v>
      </c>
    </row>
    <row r="5942" spans="1:7" hidden="1" x14ac:dyDescent="0.25">
      <c r="A5942" s="28">
        <v>44013</v>
      </c>
      <c r="B5942" s="27" t="s">
        <v>200</v>
      </c>
      <c r="C5942" s="27" t="s">
        <v>54</v>
      </c>
      <c r="D5942" s="27" t="s">
        <v>7</v>
      </c>
      <c r="E5942" s="27" t="s">
        <v>8</v>
      </c>
      <c r="F5942" s="29"/>
      <c r="G5942" s="30">
        <f t="shared" ref="G5942:G5960" si="109">170.89/19</f>
        <v>8.9942105263157881</v>
      </c>
    </row>
    <row r="5943" spans="1:7" hidden="1" x14ac:dyDescent="0.25">
      <c r="A5943" s="28">
        <v>44013</v>
      </c>
      <c r="B5943" s="27" t="s">
        <v>200</v>
      </c>
      <c r="C5943" s="27" t="s">
        <v>54</v>
      </c>
      <c r="D5943" s="27" t="s">
        <v>7</v>
      </c>
      <c r="E5943" s="27" t="s">
        <v>9</v>
      </c>
      <c r="F5943" s="29"/>
      <c r="G5943" s="30">
        <f t="shared" si="109"/>
        <v>8.9942105263157881</v>
      </c>
    </row>
    <row r="5944" spans="1:7" hidden="1" x14ac:dyDescent="0.25">
      <c r="A5944" s="28">
        <v>44013</v>
      </c>
      <c r="B5944" s="27" t="s">
        <v>200</v>
      </c>
      <c r="C5944" s="27" t="s">
        <v>54</v>
      </c>
      <c r="D5944" s="27" t="s">
        <v>7</v>
      </c>
      <c r="E5944" s="27" t="s">
        <v>22</v>
      </c>
      <c r="F5944" s="29"/>
      <c r="G5944" s="30">
        <f t="shared" si="109"/>
        <v>8.9942105263157881</v>
      </c>
    </row>
    <row r="5945" spans="1:7" hidden="1" x14ac:dyDescent="0.25">
      <c r="A5945" s="28">
        <v>44013</v>
      </c>
      <c r="B5945" s="27" t="s">
        <v>200</v>
      </c>
      <c r="C5945" s="27" t="s">
        <v>54</v>
      </c>
      <c r="D5945" s="27" t="s">
        <v>7</v>
      </c>
      <c r="E5945" s="27" t="s">
        <v>64</v>
      </c>
      <c r="F5945" s="29"/>
      <c r="G5945" s="30">
        <f t="shared" si="109"/>
        <v>8.9942105263157881</v>
      </c>
    </row>
    <row r="5946" spans="1:7" hidden="1" x14ac:dyDescent="0.25">
      <c r="A5946" s="28">
        <v>44013</v>
      </c>
      <c r="B5946" s="27" t="s">
        <v>200</v>
      </c>
      <c r="C5946" s="27" t="s">
        <v>54</v>
      </c>
      <c r="D5946" s="27" t="s">
        <v>7</v>
      </c>
      <c r="E5946" s="27" t="s">
        <v>21</v>
      </c>
      <c r="F5946" s="29"/>
      <c r="G5946" s="30">
        <f t="shared" si="109"/>
        <v>8.9942105263157881</v>
      </c>
    </row>
    <row r="5947" spans="1:7" hidden="1" x14ac:dyDescent="0.25">
      <c r="A5947" s="28">
        <v>44013</v>
      </c>
      <c r="B5947" s="27" t="s">
        <v>200</v>
      </c>
      <c r="C5947" s="27" t="s">
        <v>54</v>
      </c>
      <c r="D5947" s="27" t="s">
        <v>7</v>
      </c>
      <c r="E5947" s="27" t="s">
        <v>10</v>
      </c>
      <c r="F5947" s="29"/>
      <c r="G5947" s="30">
        <f t="shared" si="109"/>
        <v>8.9942105263157881</v>
      </c>
    </row>
    <row r="5948" spans="1:7" hidden="1" x14ac:dyDescent="0.25">
      <c r="A5948" s="28">
        <v>44013</v>
      </c>
      <c r="B5948" s="27" t="s">
        <v>200</v>
      </c>
      <c r="C5948" s="27" t="s">
        <v>54</v>
      </c>
      <c r="D5948" s="27" t="s">
        <v>7</v>
      </c>
      <c r="E5948" s="27" t="s">
        <v>11</v>
      </c>
      <c r="F5948" s="29"/>
      <c r="G5948" s="30">
        <f t="shared" si="109"/>
        <v>8.9942105263157881</v>
      </c>
    </row>
    <row r="5949" spans="1:7" hidden="1" x14ac:dyDescent="0.25">
      <c r="A5949" s="28">
        <v>44013</v>
      </c>
      <c r="B5949" s="27" t="s">
        <v>200</v>
      </c>
      <c r="C5949" s="27" t="s">
        <v>54</v>
      </c>
      <c r="D5949" s="27" t="s">
        <v>7</v>
      </c>
      <c r="E5949" s="27" t="s">
        <v>12</v>
      </c>
      <c r="F5949" s="29"/>
      <c r="G5949" s="30">
        <f t="shared" si="109"/>
        <v>8.9942105263157881</v>
      </c>
    </row>
    <row r="5950" spans="1:7" hidden="1" x14ac:dyDescent="0.25">
      <c r="A5950" s="28">
        <v>44013</v>
      </c>
      <c r="B5950" s="27" t="s">
        <v>200</v>
      </c>
      <c r="C5950" s="27" t="s">
        <v>54</v>
      </c>
      <c r="D5950" s="27" t="s">
        <v>7</v>
      </c>
      <c r="E5950" s="27" t="s">
        <v>13</v>
      </c>
      <c r="F5950" s="29"/>
      <c r="G5950" s="30">
        <f t="shared" si="109"/>
        <v>8.9942105263157881</v>
      </c>
    </row>
    <row r="5951" spans="1:7" hidden="1" x14ac:dyDescent="0.25">
      <c r="A5951" s="28">
        <v>44013</v>
      </c>
      <c r="B5951" s="27" t="s">
        <v>200</v>
      </c>
      <c r="C5951" s="27" t="s">
        <v>54</v>
      </c>
      <c r="D5951" s="27" t="s">
        <v>7</v>
      </c>
      <c r="E5951" s="27" t="s">
        <v>14</v>
      </c>
      <c r="F5951" s="29"/>
      <c r="G5951" s="30">
        <f t="shared" si="109"/>
        <v>8.9942105263157881</v>
      </c>
    </row>
    <row r="5952" spans="1:7" hidden="1" x14ac:dyDescent="0.25">
      <c r="A5952" s="28">
        <v>44013</v>
      </c>
      <c r="B5952" s="27" t="s">
        <v>200</v>
      </c>
      <c r="C5952" s="27" t="s">
        <v>54</v>
      </c>
      <c r="D5952" s="27" t="s">
        <v>7</v>
      </c>
      <c r="E5952" s="27" t="s">
        <v>15</v>
      </c>
      <c r="F5952" s="29"/>
      <c r="G5952" s="30">
        <f t="shared" si="109"/>
        <v>8.9942105263157881</v>
      </c>
    </row>
    <row r="5953" spans="1:7" hidden="1" x14ac:dyDescent="0.25">
      <c r="A5953" s="28">
        <v>44013</v>
      </c>
      <c r="B5953" s="27" t="s">
        <v>200</v>
      </c>
      <c r="C5953" s="27" t="s">
        <v>54</v>
      </c>
      <c r="D5953" s="27" t="s">
        <v>7</v>
      </c>
      <c r="E5953" s="27" t="s">
        <v>16</v>
      </c>
      <c r="F5953" s="29"/>
      <c r="G5953" s="30">
        <f t="shared" si="109"/>
        <v>8.9942105263157881</v>
      </c>
    </row>
    <row r="5954" spans="1:7" hidden="1" x14ac:dyDescent="0.25">
      <c r="A5954" s="28">
        <v>44013</v>
      </c>
      <c r="B5954" s="27" t="s">
        <v>200</v>
      </c>
      <c r="C5954" s="27" t="s">
        <v>54</v>
      </c>
      <c r="D5954" s="27" t="s">
        <v>7</v>
      </c>
      <c r="E5954" s="27" t="s">
        <v>17</v>
      </c>
      <c r="F5954" s="29"/>
      <c r="G5954" s="30">
        <f t="shared" si="109"/>
        <v>8.9942105263157881</v>
      </c>
    </row>
    <row r="5955" spans="1:7" hidden="1" x14ac:dyDescent="0.25">
      <c r="A5955" s="28">
        <v>44013</v>
      </c>
      <c r="B5955" s="27" t="s">
        <v>200</v>
      </c>
      <c r="C5955" s="27" t="s">
        <v>54</v>
      </c>
      <c r="D5955" s="27" t="s">
        <v>7</v>
      </c>
      <c r="E5955" s="27" t="s">
        <v>18</v>
      </c>
      <c r="F5955" s="29"/>
      <c r="G5955" s="30">
        <f t="shared" si="109"/>
        <v>8.9942105263157881</v>
      </c>
    </row>
    <row r="5956" spans="1:7" hidden="1" x14ac:dyDescent="0.25">
      <c r="A5956" s="28">
        <v>44013</v>
      </c>
      <c r="B5956" s="27" t="s">
        <v>200</v>
      </c>
      <c r="C5956" s="27" t="s">
        <v>54</v>
      </c>
      <c r="D5956" s="27" t="s">
        <v>7</v>
      </c>
      <c r="E5956" s="27" t="s">
        <v>19</v>
      </c>
      <c r="F5956" s="29"/>
      <c r="G5956" s="30">
        <f t="shared" si="109"/>
        <v>8.9942105263157881</v>
      </c>
    </row>
    <row r="5957" spans="1:7" hidden="1" x14ac:dyDescent="0.25">
      <c r="A5957" s="28">
        <v>44013</v>
      </c>
      <c r="B5957" s="27" t="s">
        <v>200</v>
      </c>
      <c r="C5957" s="27" t="s">
        <v>54</v>
      </c>
      <c r="D5957" s="27" t="s">
        <v>7</v>
      </c>
      <c r="E5957" s="27" t="s">
        <v>20</v>
      </c>
      <c r="F5957" s="29"/>
      <c r="G5957" s="30">
        <f t="shared" si="109"/>
        <v>8.9942105263157881</v>
      </c>
    </row>
    <row r="5958" spans="1:7" hidden="1" x14ac:dyDescent="0.25">
      <c r="A5958" s="28">
        <v>44013</v>
      </c>
      <c r="B5958" s="27" t="s">
        <v>200</v>
      </c>
      <c r="C5958" s="27" t="s">
        <v>54</v>
      </c>
      <c r="D5958" s="27" t="s">
        <v>7</v>
      </c>
      <c r="E5958" s="27" t="s">
        <v>38</v>
      </c>
      <c r="F5958" s="29"/>
      <c r="G5958" s="30">
        <f t="shared" si="109"/>
        <v>8.9942105263157881</v>
      </c>
    </row>
    <row r="5959" spans="1:7" hidden="1" x14ac:dyDescent="0.25">
      <c r="A5959" s="28">
        <v>44013</v>
      </c>
      <c r="B5959" s="27" t="s">
        <v>200</v>
      </c>
      <c r="C5959" s="27" t="s">
        <v>54</v>
      </c>
      <c r="D5959" s="27" t="s">
        <v>7</v>
      </c>
      <c r="E5959" s="27" t="s">
        <v>23</v>
      </c>
      <c r="F5959" s="29"/>
      <c r="G5959" s="30">
        <f t="shared" si="109"/>
        <v>8.9942105263157881</v>
      </c>
    </row>
    <row r="5960" spans="1:7" hidden="1" x14ac:dyDescent="0.25">
      <c r="A5960" s="28">
        <v>44013</v>
      </c>
      <c r="B5960" s="27" t="s">
        <v>200</v>
      </c>
      <c r="C5960" s="27" t="s">
        <v>54</v>
      </c>
      <c r="D5960" s="27" t="s">
        <v>7</v>
      </c>
      <c r="E5960" s="27" t="s">
        <v>37</v>
      </c>
      <c r="F5960" s="29"/>
      <c r="G5960" s="30">
        <f t="shared" si="109"/>
        <v>8.9942105263157881</v>
      </c>
    </row>
    <row r="5961" spans="1:7" hidden="1" x14ac:dyDescent="0.25">
      <c r="A5961" s="28">
        <v>44013</v>
      </c>
      <c r="B5961" s="27" t="s">
        <v>200</v>
      </c>
      <c r="C5961" s="27" t="s">
        <v>55</v>
      </c>
      <c r="D5961" s="27" t="s">
        <v>6</v>
      </c>
      <c r="E5961" s="27" t="s">
        <v>8</v>
      </c>
      <c r="F5961" s="29"/>
      <c r="G5961" s="30">
        <f t="shared" ref="G5961:G5978" si="110">23337.9318666667/18</f>
        <v>1296.5517703703722</v>
      </c>
    </row>
    <row r="5962" spans="1:7" hidden="1" x14ac:dyDescent="0.25">
      <c r="A5962" s="28">
        <v>44013</v>
      </c>
      <c r="B5962" s="27" t="s">
        <v>200</v>
      </c>
      <c r="C5962" s="27" t="s">
        <v>55</v>
      </c>
      <c r="D5962" s="27" t="s">
        <v>6</v>
      </c>
      <c r="E5962" s="27" t="s">
        <v>9</v>
      </c>
      <c r="F5962" s="29"/>
      <c r="G5962" s="30">
        <f t="shared" si="110"/>
        <v>1296.5517703703722</v>
      </c>
    </row>
    <row r="5963" spans="1:7" hidden="1" x14ac:dyDescent="0.25">
      <c r="A5963" s="28">
        <v>44013</v>
      </c>
      <c r="B5963" s="27" t="s">
        <v>200</v>
      </c>
      <c r="C5963" s="27" t="s">
        <v>55</v>
      </c>
      <c r="D5963" s="27" t="s">
        <v>6</v>
      </c>
      <c r="E5963" s="27" t="s">
        <v>22</v>
      </c>
      <c r="F5963" s="29"/>
      <c r="G5963" s="30">
        <f t="shared" si="110"/>
        <v>1296.5517703703722</v>
      </c>
    </row>
    <row r="5964" spans="1:7" hidden="1" x14ac:dyDescent="0.25">
      <c r="A5964" s="28">
        <v>44013</v>
      </c>
      <c r="B5964" s="27" t="s">
        <v>200</v>
      </c>
      <c r="C5964" s="27" t="s">
        <v>55</v>
      </c>
      <c r="D5964" s="27" t="s">
        <v>6</v>
      </c>
      <c r="E5964" s="27" t="s">
        <v>64</v>
      </c>
      <c r="F5964" s="29"/>
      <c r="G5964" s="30">
        <f t="shared" si="110"/>
        <v>1296.5517703703722</v>
      </c>
    </row>
    <row r="5965" spans="1:7" hidden="1" x14ac:dyDescent="0.25">
      <c r="A5965" s="28">
        <v>44013</v>
      </c>
      <c r="B5965" s="27" t="s">
        <v>200</v>
      </c>
      <c r="C5965" s="27" t="s">
        <v>55</v>
      </c>
      <c r="D5965" s="27" t="s">
        <v>6</v>
      </c>
      <c r="E5965" s="27" t="s">
        <v>21</v>
      </c>
      <c r="F5965" s="29"/>
      <c r="G5965" s="30">
        <f t="shared" si="110"/>
        <v>1296.5517703703722</v>
      </c>
    </row>
    <row r="5966" spans="1:7" hidden="1" x14ac:dyDescent="0.25">
      <c r="A5966" s="28">
        <v>44013</v>
      </c>
      <c r="B5966" s="27" t="s">
        <v>200</v>
      </c>
      <c r="C5966" s="27" t="s">
        <v>55</v>
      </c>
      <c r="D5966" s="27" t="s">
        <v>6</v>
      </c>
      <c r="E5966" s="27" t="s">
        <v>10</v>
      </c>
      <c r="F5966" s="29"/>
      <c r="G5966" s="30">
        <f t="shared" si="110"/>
        <v>1296.5517703703722</v>
      </c>
    </row>
    <row r="5967" spans="1:7" hidden="1" x14ac:dyDescent="0.25">
      <c r="A5967" s="28">
        <v>44013</v>
      </c>
      <c r="B5967" s="27" t="s">
        <v>200</v>
      </c>
      <c r="C5967" s="27" t="s">
        <v>55</v>
      </c>
      <c r="D5967" s="27" t="s">
        <v>6</v>
      </c>
      <c r="E5967" s="27" t="s">
        <v>11</v>
      </c>
      <c r="F5967" s="29"/>
      <c r="G5967" s="30">
        <f t="shared" si="110"/>
        <v>1296.5517703703722</v>
      </c>
    </row>
    <row r="5968" spans="1:7" hidden="1" x14ac:dyDescent="0.25">
      <c r="A5968" s="28">
        <v>44013</v>
      </c>
      <c r="B5968" s="27" t="s">
        <v>200</v>
      </c>
      <c r="C5968" s="27" t="s">
        <v>55</v>
      </c>
      <c r="D5968" s="27" t="s">
        <v>6</v>
      </c>
      <c r="E5968" s="27" t="s">
        <v>12</v>
      </c>
      <c r="F5968" s="29"/>
      <c r="G5968" s="30">
        <f t="shared" si="110"/>
        <v>1296.5517703703722</v>
      </c>
    </row>
    <row r="5969" spans="1:7" hidden="1" x14ac:dyDescent="0.25">
      <c r="A5969" s="28">
        <v>44013</v>
      </c>
      <c r="B5969" s="27" t="s">
        <v>200</v>
      </c>
      <c r="C5969" s="27" t="s">
        <v>55</v>
      </c>
      <c r="D5969" s="27" t="s">
        <v>6</v>
      </c>
      <c r="E5969" s="27" t="s">
        <v>13</v>
      </c>
      <c r="F5969" s="29"/>
      <c r="G5969" s="30">
        <f t="shared" si="110"/>
        <v>1296.5517703703722</v>
      </c>
    </row>
    <row r="5970" spans="1:7" hidden="1" x14ac:dyDescent="0.25">
      <c r="A5970" s="28">
        <v>44013</v>
      </c>
      <c r="B5970" s="27" t="s">
        <v>200</v>
      </c>
      <c r="C5970" s="27" t="s">
        <v>55</v>
      </c>
      <c r="D5970" s="27" t="s">
        <v>6</v>
      </c>
      <c r="E5970" s="27" t="s">
        <v>14</v>
      </c>
      <c r="F5970" s="29"/>
      <c r="G5970" s="30">
        <f t="shared" si="110"/>
        <v>1296.5517703703722</v>
      </c>
    </row>
    <row r="5971" spans="1:7" hidden="1" x14ac:dyDescent="0.25">
      <c r="A5971" s="28">
        <v>44013</v>
      </c>
      <c r="B5971" s="27" t="s">
        <v>200</v>
      </c>
      <c r="C5971" s="27" t="s">
        <v>55</v>
      </c>
      <c r="D5971" s="27" t="s">
        <v>6</v>
      </c>
      <c r="E5971" s="27" t="s">
        <v>15</v>
      </c>
      <c r="F5971" s="29"/>
      <c r="G5971" s="30">
        <f t="shared" si="110"/>
        <v>1296.5517703703722</v>
      </c>
    </row>
    <row r="5972" spans="1:7" hidden="1" x14ac:dyDescent="0.25">
      <c r="A5972" s="28">
        <v>44013</v>
      </c>
      <c r="B5972" s="27" t="s">
        <v>200</v>
      </c>
      <c r="C5972" s="27" t="s">
        <v>55</v>
      </c>
      <c r="D5972" s="27" t="s">
        <v>6</v>
      </c>
      <c r="E5972" s="27" t="s">
        <v>16</v>
      </c>
      <c r="F5972" s="29"/>
      <c r="G5972" s="30">
        <f t="shared" si="110"/>
        <v>1296.5517703703722</v>
      </c>
    </row>
    <row r="5973" spans="1:7" hidden="1" x14ac:dyDescent="0.25">
      <c r="A5973" s="28">
        <v>44013</v>
      </c>
      <c r="B5973" s="27" t="s">
        <v>200</v>
      </c>
      <c r="C5973" s="27" t="s">
        <v>55</v>
      </c>
      <c r="D5973" s="27" t="s">
        <v>6</v>
      </c>
      <c r="E5973" s="27" t="s">
        <v>17</v>
      </c>
      <c r="F5973" s="29"/>
      <c r="G5973" s="30">
        <f t="shared" si="110"/>
        <v>1296.5517703703722</v>
      </c>
    </row>
    <row r="5974" spans="1:7" hidden="1" x14ac:dyDescent="0.25">
      <c r="A5974" s="28">
        <v>44013</v>
      </c>
      <c r="B5974" s="27" t="s">
        <v>200</v>
      </c>
      <c r="C5974" s="27" t="s">
        <v>55</v>
      </c>
      <c r="D5974" s="27" t="s">
        <v>6</v>
      </c>
      <c r="E5974" s="27" t="s">
        <v>18</v>
      </c>
      <c r="F5974" s="29"/>
      <c r="G5974" s="30">
        <f t="shared" si="110"/>
        <v>1296.5517703703722</v>
      </c>
    </row>
    <row r="5975" spans="1:7" hidden="1" x14ac:dyDescent="0.25">
      <c r="A5975" s="28">
        <v>44013</v>
      </c>
      <c r="B5975" s="27" t="s">
        <v>200</v>
      </c>
      <c r="C5975" s="27" t="s">
        <v>55</v>
      </c>
      <c r="D5975" s="27" t="s">
        <v>6</v>
      </c>
      <c r="E5975" s="27" t="s">
        <v>19</v>
      </c>
      <c r="F5975" s="29"/>
      <c r="G5975" s="30">
        <f t="shared" si="110"/>
        <v>1296.5517703703722</v>
      </c>
    </row>
    <row r="5976" spans="1:7" hidden="1" x14ac:dyDescent="0.25">
      <c r="A5976" s="28">
        <v>44013</v>
      </c>
      <c r="B5976" s="27" t="s">
        <v>200</v>
      </c>
      <c r="C5976" s="27" t="s">
        <v>55</v>
      </c>
      <c r="D5976" s="27" t="s">
        <v>6</v>
      </c>
      <c r="E5976" s="27" t="s">
        <v>20</v>
      </c>
      <c r="F5976" s="29"/>
      <c r="G5976" s="30">
        <f t="shared" si="110"/>
        <v>1296.5517703703722</v>
      </c>
    </row>
    <row r="5977" spans="1:7" hidden="1" x14ac:dyDescent="0.25">
      <c r="A5977" s="28">
        <v>44013</v>
      </c>
      <c r="B5977" s="27" t="s">
        <v>200</v>
      </c>
      <c r="C5977" s="27" t="s">
        <v>55</v>
      </c>
      <c r="D5977" s="27" t="s">
        <v>6</v>
      </c>
      <c r="E5977" s="27" t="s">
        <v>38</v>
      </c>
      <c r="F5977" s="29"/>
      <c r="G5977" s="30">
        <f t="shared" si="110"/>
        <v>1296.5517703703722</v>
      </c>
    </row>
    <row r="5978" spans="1:7" hidden="1" x14ac:dyDescent="0.25">
      <c r="A5978" s="28">
        <v>44013</v>
      </c>
      <c r="B5978" s="27" t="s">
        <v>200</v>
      </c>
      <c r="C5978" s="27" t="s">
        <v>55</v>
      </c>
      <c r="D5978" s="27" t="s">
        <v>6</v>
      </c>
      <c r="E5978" s="27" t="s">
        <v>23</v>
      </c>
      <c r="F5978" s="29"/>
      <c r="G5978" s="30">
        <f t="shared" si="110"/>
        <v>1296.5517703703722</v>
      </c>
    </row>
    <row r="5979" spans="1:7" hidden="1" x14ac:dyDescent="0.25">
      <c r="A5979" s="28">
        <v>44013</v>
      </c>
      <c r="B5979" s="27" t="s">
        <v>200</v>
      </c>
      <c r="C5979" s="27" t="s">
        <v>183</v>
      </c>
      <c r="D5979" s="27" t="s">
        <v>7</v>
      </c>
      <c r="E5979" s="27" t="s">
        <v>8</v>
      </c>
      <c r="F5979" s="29"/>
      <c r="G5979" s="30">
        <f t="shared" ref="G5979:G5997" si="111">1463.64/19</f>
        <v>77.033684210526317</v>
      </c>
    </row>
    <row r="5980" spans="1:7" hidden="1" x14ac:dyDescent="0.25">
      <c r="A5980" s="28">
        <v>44013</v>
      </c>
      <c r="B5980" s="27" t="s">
        <v>200</v>
      </c>
      <c r="C5980" s="27" t="s">
        <v>183</v>
      </c>
      <c r="D5980" s="27" t="s">
        <v>7</v>
      </c>
      <c r="E5980" s="27" t="s">
        <v>9</v>
      </c>
      <c r="F5980" s="29"/>
      <c r="G5980" s="30">
        <f t="shared" si="111"/>
        <v>77.033684210526317</v>
      </c>
    </row>
    <row r="5981" spans="1:7" hidden="1" x14ac:dyDescent="0.25">
      <c r="A5981" s="28">
        <v>44013</v>
      </c>
      <c r="B5981" s="27" t="s">
        <v>200</v>
      </c>
      <c r="C5981" s="27" t="s">
        <v>183</v>
      </c>
      <c r="D5981" s="27" t="s">
        <v>7</v>
      </c>
      <c r="E5981" s="27" t="s">
        <v>22</v>
      </c>
      <c r="F5981" s="29"/>
      <c r="G5981" s="30">
        <f t="shared" si="111"/>
        <v>77.033684210526317</v>
      </c>
    </row>
    <row r="5982" spans="1:7" hidden="1" x14ac:dyDescent="0.25">
      <c r="A5982" s="28">
        <v>44013</v>
      </c>
      <c r="B5982" s="27" t="s">
        <v>200</v>
      </c>
      <c r="C5982" s="27" t="s">
        <v>183</v>
      </c>
      <c r="D5982" s="27" t="s">
        <v>7</v>
      </c>
      <c r="E5982" s="27" t="s">
        <v>64</v>
      </c>
      <c r="F5982" s="29"/>
      <c r="G5982" s="30">
        <f t="shared" si="111"/>
        <v>77.033684210526317</v>
      </c>
    </row>
    <row r="5983" spans="1:7" hidden="1" x14ac:dyDescent="0.25">
      <c r="A5983" s="28">
        <v>44013</v>
      </c>
      <c r="B5983" s="27" t="s">
        <v>200</v>
      </c>
      <c r="C5983" s="27" t="s">
        <v>183</v>
      </c>
      <c r="D5983" s="27" t="s">
        <v>7</v>
      </c>
      <c r="E5983" s="27" t="s">
        <v>21</v>
      </c>
      <c r="F5983" s="29"/>
      <c r="G5983" s="30">
        <f t="shared" si="111"/>
        <v>77.033684210526317</v>
      </c>
    </row>
    <row r="5984" spans="1:7" hidden="1" x14ac:dyDescent="0.25">
      <c r="A5984" s="28">
        <v>44013</v>
      </c>
      <c r="B5984" s="27" t="s">
        <v>200</v>
      </c>
      <c r="C5984" s="27" t="s">
        <v>183</v>
      </c>
      <c r="D5984" s="27" t="s">
        <v>7</v>
      </c>
      <c r="E5984" s="27" t="s">
        <v>10</v>
      </c>
      <c r="F5984" s="29"/>
      <c r="G5984" s="30">
        <f t="shared" si="111"/>
        <v>77.033684210526317</v>
      </c>
    </row>
    <row r="5985" spans="1:7" hidden="1" x14ac:dyDescent="0.25">
      <c r="A5985" s="28">
        <v>44013</v>
      </c>
      <c r="B5985" s="27" t="s">
        <v>200</v>
      </c>
      <c r="C5985" s="27" t="s">
        <v>183</v>
      </c>
      <c r="D5985" s="27" t="s">
        <v>7</v>
      </c>
      <c r="E5985" s="27" t="s">
        <v>11</v>
      </c>
      <c r="F5985" s="29"/>
      <c r="G5985" s="30">
        <f t="shared" si="111"/>
        <v>77.033684210526317</v>
      </c>
    </row>
    <row r="5986" spans="1:7" hidden="1" x14ac:dyDescent="0.25">
      <c r="A5986" s="28">
        <v>44013</v>
      </c>
      <c r="B5986" s="27" t="s">
        <v>200</v>
      </c>
      <c r="C5986" s="27" t="s">
        <v>183</v>
      </c>
      <c r="D5986" s="27" t="s">
        <v>7</v>
      </c>
      <c r="E5986" s="27" t="s">
        <v>12</v>
      </c>
      <c r="F5986" s="29"/>
      <c r="G5986" s="30">
        <f t="shared" si="111"/>
        <v>77.033684210526317</v>
      </c>
    </row>
    <row r="5987" spans="1:7" hidden="1" x14ac:dyDescent="0.25">
      <c r="A5987" s="28">
        <v>44013</v>
      </c>
      <c r="B5987" s="27" t="s">
        <v>200</v>
      </c>
      <c r="C5987" s="27" t="s">
        <v>183</v>
      </c>
      <c r="D5987" s="27" t="s">
        <v>7</v>
      </c>
      <c r="E5987" s="27" t="s">
        <v>13</v>
      </c>
      <c r="F5987" s="29"/>
      <c r="G5987" s="30">
        <f t="shared" si="111"/>
        <v>77.033684210526317</v>
      </c>
    </row>
    <row r="5988" spans="1:7" hidden="1" x14ac:dyDescent="0.25">
      <c r="A5988" s="28">
        <v>44013</v>
      </c>
      <c r="B5988" s="27" t="s">
        <v>200</v>
      </c>
      <c r="C5988" s="27" t="s">
        <v>183</v>
      </c>
      <c r="D5988" s="27" t="s">
        <v>7</v>
      </c>
      <c r="E5988" s="27" t="s">
        <v>14</v>
      </c>
      <c r="F5988" s="29"/>
      <c r="G5988" s="30">
        <f t="shared" si="111"/>
        <v>77.033684210526317</v>
      </c>
    </row>
    <row r="5989" spans="1:7" hidden="1" x14ac:dyDescent="0.25">
      <c r="A5989" s="28">
        <v>44013</v>
      </c>
      <c r="B5989" s="27" t="s">
        <v>200</v>
      </c>
      <c r="C5989" s="27" t="s">
        <v>183</v>
      </c>
      <c r="D5989" s="27" t="s">
        <v>7</v>
      </c>
      <c r="E5989" s="27" t="s">
        <v>15</v>
      </c>
      <c r="F5989" s="29"/>
      <c r="G5989" s="30">
        <f t="shared" si="111"/>
        <v>77.033684210526317</v>
      </c>
    </row>
    <row r="5990" spans="1:7" hidden="1" x14ac:dyDescent="0.25">
      <c r="A5990" s="28">
        <v>44013</v>
      </c>
      <c r="B5990" s="27" t="s">
        <v>200</v>
      </c>
      <c r="C5990" s="27" t="s">
        <v>183</v>
      </c>
      <c r="D5990" s="27" t="s">
        <v>7</v>
      </c>
      <c r="E5990" s="27" t="s">
        <v>16</v>
      </c>
      <c r="F5990" s="29"/>
      <c r="G5990" s="30">
        <f t="shared" si="111"/>
        <v>77.033684210526317</v>
      </c>
    </row>
    <row r="5991" spans="1:7" hidden="1" x14ac:dyDescent="0.25">
      <c r="A5991" s="28">
        <v>44013</v>
      </c>
      <c r="B5991" s="27" t="s">
        <v>200</v>
      </c>
      <c r="C5991" s="27" t="s">
        <v>183</v>
      </c>
      <c r="D5991" s="27" t="s">
        <v>7</v>
      </c>
      <c r="E5991" s="27" t="s">
        <v>17</v>
      </c>
      <c r="F5991" s="29"/>
      <c r="G5991" s="30">
        <f t="shared" si="111"/>
        <v>77.033684210526317</v>
      </c>
    </row>
    <row r="5992" spans="1:7" hidden="1" x14ac:dyDescent="0.25">
      <c r="A5992" s="28">
        <v>44013</v>
      </c>
      <c r="B5992" s="27" t="s">
        <v>200</v>
      </c>
      <c r="C5992" s="27" t="s">
        <v>183</v>
      </c>
      <c r="D5992" s="27" t="s">
        <v>7</v>
      </c>
      <c r="E5992" s="27" t="s">
        <v>18</v>
      </c>
      <c r="F5992" s="29"/>
      <c r="G5992" s="30">
        <f t="shared" si="111"/>
        <v>77.033684210526317</v>
      </c>
    </row>
    <row r="5993" spans="1:7" hidden="1" x14ac:dyDescent="0.25">
      <c r="A5993" s="28">
        <v>44013</v>
      </c>
      <c r="B5993" s="27" t="s">
        <v>200</v>
      </c>
      <c r="C5993" s="27" t="s">
        <v>183</v>
      </c>
      <c r="D5993" s="27" t="s">
        <v>7</v>
      </c>
      <c r="E5993" s="27" t="s">
        <v>19</v>
      </c>
      <c r="F5993" s="29"/>
      <c r="G5993" s="30">
        <f t="shared" si="111"/>
        <v>77.033684210526317</v>
      </c>
    </row>
    <row r="5994" spans="1:7" hidden="1" x14ac:dyDescent="0.25">
      <c r="A5994" s="28">
        <v>44013</v>
      </c>
      <c r="B5994" s="27" t="s">
        <v>200</v>
      </c>
      <c r="C5994" s="27" t="s">
        <v>183</v>
      </c>
      <c r="D5994" s="27" t="s">
        <v>7</v>
      </c>
      <c r="E5994" s="27" t="s">
        <v>20</v>
      </c>
      <c r="F5994" s="29"/>
      <c r="G5994" s="30">
        <f t="shared" si="111"/>
        <v>77.033684210526317</v>
      </c>
    </row>
    <row r="5995" spans="1:7" hidden="1" x14ac:dyDescent="0.25">
      <c r="A5995" s="28">
        <v>44013</v>
      </c>
      <c r="B5995" s="27" t="s">
        <v>200</v>
      </c>
      <c r="C5995" s="27" t="s">
        <v>183</v>
      </c>
      <c r="D5995" s="27" t="s">
        <v>7</v>
      </c>
      <c r="E5995" s="27" t="s">
        <v>38</v>
      </c>
      <c r="F5995" s="29"/>
      <c r="G5995" s="30">
        <f t="shared" si="111"/>
        <v>77.033684210526317</v>
      </c>
    </row>
    <row r="5996" spans="1:7" hidden="1" x14ac:dyDescent="0.25">
      <c r="A5996" s="28">
        <v>44013</v>
      </c>
      <c r="B5996" s="27" t="s">
        <v>200</v>
      </c>
      <c r="C5996" s="27" t="s">
        <v>183</v>
      </c>
      <c r="D5996" s="27" t="s">
        <v>7</v>
      </c>
      <c r="E5996" s="27" t="s">
        <v>23</v>
      </c>
      <c r="F5996" s="29"/>
      <c r="G5996" s="30">
        <f t="shared" si="111"/>
        <v>77.033684210526317</v>
      </c>
    </row>
    <row r="5997" spans="1:7" hidden="1" x14ac:dyDescent="0.25">
      <c r="A5997" s="28">
        <v>44013</v>
      </c>
      <c r="B5997" s="27" t="s">
        <v>200</v>
      </c>
      <c r="C5997" s="27" t="s">
        <v>183</v>
      </c>
      <c r="D5997" s="27" t="s">
        <v>7</v>
      </c>
      <c r="E5997" s="27" t="s">
        <v>37</v>
      </c>
      <c r="F5997" s="29"/>
      <c r="G5997" s="30">
        <f t="shared" si="111"/>
        <v>77.033684210526317</v>
      </c>
    </row>
    <row r="5998" spans="1:7" hidden="1" x14ac:dyDescent="0.25">
      <c r="A5998" s="28">
        <v>44013</v>
      </c>
      <c r="B5998" s="27" t="s">
        <v>200</v>
      </c>
      <c r="C5998" s="27" t="s">
        <v>56</v>
      </c>
      <c r="D5998" s="27" t="s">
        <v>6</v>
      </c>
      <c r="E5998" s="27" t="s">
        <v>8</v>
      </c>
      <c r="F5998" s="29"/>
      <c r="G5998" s="30">
        <f t="shared" ref="G5998:G6015" si="112">40511.7090222222/18</f>
        <v>2250.6505012345669</v>
      </c>
    </row>
    <row r="5999" spans="1:7" hidden="1" x14ac:dyDescent="0.25">
      <c r="A5999" s="28">
        <v>44013</v>
      </c>
      <c r="B5999" s="27" t="s">
        <v>200</v>
      </c>
      <c r="C5999" s="27" t="s">
        <v>56</v>
      </c>
      <c r="D5999" s="27" t="s">
        <v>6</v>
      </c>
      <c r="E5999" s="27" t="s">
        <v>9</v>
      </c>
      <c r="F5999" s="29"/>
      <c r="G5999" s="30">
        <f t="shared" si="112"/>
        <v>2250.6505012345669</v>
      </c>
    </row>
    <row r="6000" spans="1:7" hidden="1" x14ac:dyDescent="0.25">
      <c r="A6000" s="28">
        <v>44013</v>
      </c>
      <c r="B6000" s="27" t="s">
        <v>200</v>
      </c>
      <c r="C6000" s="27" t="s">
        <v>56</v>
      </c>
      <c r="D6000" s="27" t="s">
        <v>6</v>
      </c>
      <c r="E6000" s="27" t="s">
        <v>22</v>
      </c>
      <c r="F6000" s="29"/>
      <c r="G6000" s="30">
        <f t="shared" si="112"/>
        <v>2250.6505012345669</v>
      </c>
    </row>
    <row r="6001" spans="1:7" hidden="1" x14ac:dyDescent="0.25">
      <c r="A6001" s="28">
        <v>44013</v>
      </c>
      <c r="B6001" s="27" t="s">
        <v>200</v>
      </c>
      <c r="C6001" s="27" t="s">
        <v>56</v>
      </c>
      <c r="D6001" s="27" t="s">
        <v>6</v>
      </c>
      <c r="E6001" s="27" t="s">
        <v>64</v>
      </c>
      <c r="F6001" s="29"/>
      <c r="G6001" s="30">
        <f t="shared" si="112"/>
        <v>2250.6505012345669</v>
      </c>
    </row>
    <row r="6002" spans="1:7" hidden="1" x14ac:dyDescent="0.25">
      <c r="A6002" s="28">
        <v>44013</v>
      </c>
      <c r="B6002" s="27" t="s">
        <v>200</v>
      </c>
      <c r="C6002" s="27" t="s">
        <v>56</v>
      </c>
      <c r="D6002" s="27" t="s">
        <v>6</v>
      </c>
      <c r="E6002" s="27" t="s">
        <v>21</v>
      </c>
      <c r="F6002" s="29"/>
      <c r="G6002" s="30">
        <f t="shared" si="112"/>
        <v>2250.6505012345669</v>
      </c>
    </row>
    <row r="6003" spans="1:7" hidden="1" x14ac:dyDescent="0.25">
      <c r="A6003" s="28">
        <v>44013</v>
      </c>
      <c r="B6003" s="27" t="s">
        <v>200</v>
      </c>
      <c r="C6003" s="27" t="s">
        <v>56</v>
      </c>
      <c r="D6003" s="27" t="s">
        <v>6</v>
      </c>
      <c r="E6003" s="27" t="s">
        <v>10</v>
      </c>
      <c r="F6003" s="29"/>
      <c r="G6003" s="30">
        <f t="shared" si="112"/>
        <v>2250.6505012345669</v>
      </c>
    </row>
    <row r="6004" spans="1:7" hidden="1" x14ac:dyDescent="0.25">
      <c r="A6004" s="28">
        <v>44013</v>
      </c>
      <c r="B6004" s="27" t="s">
        <v>200</v>
      </c>
      <c r="C6004" s="27" t="s">
        <v>56</v>
      </c>
      <c r="D6004" s="27" t="s">
        <v>6</v>
      </c>
      <c r="E6004" s="27" t="s">
        <v>11</v>
      </c>
      <c r="F6004" s="29"/>
      <c r="G6004" s="30">
        <f t="shared" si="112"/>
        <v>2250.6505012345669</v>
      </c>
    </row>
    <row r="6005" spans="1:7" hidden="1" x14ac:dyDescent="0.25">
      <c r="A6005" s="28">
        <v>44013</v>
      </c>
      <c r="B6005" s="27" t="s">
        <v>200</v>
      </c>
      <c r="C6005" s="27" t="s">
        <v>56</v>
      </c>
      <c r="D6005" s="27" t="s">
        <v>6</v>
      </c>
      <c r="E6005" s="27" t="s">
        <v>12</v>
      </c>
      <c r="F6005" s="29"/>
      <c r="G6005" s="30">
        <f t="shared" si="112"/>
        <v>2250.6505012345669</v>
      </c>
    </row>
    <row r="6006" spans="1:7" hidden="1" x14ac:dyDescent="0.25">
      <c r="A6006" s="28">
        <v>44013</v>
      </c>
      <c r="B6006" s="27" t="s">
        <v>200</v>
      </c>
      <c r="C6006" s="27" t="s">
        <v>56</v>
      </c>
      <c r="D6006" s="27" t="s">
        <v>6</v>
      </c>
      <c r="E6006" s="27" t="s">
        <v>13</v>
      </c>
      <c r="F6006" s="29"/>
      <c r="G6006" s="30">
        <f t="shared" si="112"/>
        <v>2250.6505012345669</v>
      </c>
    </row>
    <row r="6007" spans="1:7" hidden="1" x14ac:dyDescent="0.25">
      <c r="A6007" s="28">
        <v>44013</v>
      </c>
      <c r="B6007" s="27" t="s">
        <v>200</v>
      </c>
      <c r="C6007" s="27" t="s">
        <v>56</v>
      </c>
      <c r="D6007" s="27" t="s">
        <v>6</v>
      </c>
      <c r="E6007" s="27" t="s">
        <v>14</v>
      </c>
      <c r="F6007" s="29"/>
      <c r="G6007" s="30">
        <f t="shared" si="112"/>
        <v>2250.6505012345669</v>
      </c>
    </row>
    <row r="6008" spans="1:7" hidden="1" x14ac:dyDescent="0.25">
      <c r="A6008" s="28">
        <v>44013</v>
      </c>
      <c r="B6008" s="27" t="s">
        <v>200</v>
      </c>
      <c r="C6008" s="27" t="s">
        <v>56</v>
      </c>
      <c r="D6008" s="27" t="s">
        <v>6</v>
      </c>
      <c r="E6008" s="27" t="s">
        <v>15</v>
      </c>
      <c r="F6008" s="29"/>
      <c r="G6008" s="30">
        <f t="shared" si="112"/>
        <v>2250.6505012345669</v>
      </c>
    </row>
    <row r="6009" spans="1:7" hidden="1" x14ac:dyDescent="0.25">
      <c r="A6009" s="28">
        <v>44013</v>
      </c>
      <c r="B6009" s="27" t="s">
        <v>200</v>
      </c>
      <c r="C6009" s="27" t="s">
        <v>56</v>
      </c>
      <c r="D6009" s="27" t="s">
        <v>6</v>
      </c>
      <c r="E6009" s="27" t="s">
        <v>16</v>
      </c>
      <c r="F6009" s="29"/>
      <c r="G6009" s="30">
        <f t="shared" si="112"/>
        <v>2250.6505012345669</v>
      </c>
    </row>
    <row r="6010" spans="1:7" hidden="1" x14ac:dyDescent="0.25">
      <c r="A6010" s="28">
        <v>44013</v>
      </c>
      <c r="B6010" s="27" t="s">
        <v>200</v>
      </c>
      <c r="C6010" s="27" t="s">
        <v>56</v>
      </c>
      <c r="D6010" s="27" t="s">
        <v>6</v>
      </c>
      <c r="E6010" s="27" t="s">
        <v>17</v>
      </c>
      <c r="F6010" s="29"/>
      <c r="G6010" s="30">
        <f t="shared" si="112"/>
        <v>2250.6505012345669</v>
      </c>
    </row>
    <row r="6011" spans="1:7" hidden="1" x14ac:dyDescent="0.25">
      <c r="A6011" s="28">
        <v>44013</v>
      </c>
      <c r="B6011" s="27" t="s">
        <v>200</v>
      </c>
      <c r="C6011" s="27" t="s">
        <v>56</v>
      </c>
      <c r="D6011" s="27" t="s">
        <v>6</v>
      </c>
      <c r="E6011" s="27" t="s">
        <v>18</v>
      </c>
      <c r="F6011" s="29"/>
      <c r="G6011" s="30">
        <f t="shared" si="112"/>
        <v>2250.6505012345669</v>
      </c>
    </row>
    <row r="6012" spans="1:7" hidden="1" x14ac:dyDescent="0.25">
      <c r="A6012" s="28">
        <v>44013</v>
      </c>
      <c r="B6012" s="27" t="s">
        <v>200</v>
      </c>
      <c r="C6012" s="27" t="s">
        <v>56</v>
      </c>
      <c r="D6012" s="27" t="s">
        <v>6</v>
      </c>
      <c r="E6012" s="27" t="s">
        <v>19</v>
      </c>
      <c r="F6012" s="29"/>
      <c r="G6012" s="30">
        <f t="shared" si="112"/>
        <v>2250.6505012345669</v>
      </c>
    </row>
    <row r="6013" spans="1:7" hidden="1" x14ac:dyDescent="0.25">
      <c r="A6013" s="28">
        <v>44013</v>
      </c>
      <c r="B6013" s="27" t="s">
        <v>200</v>
      </c>
      <c r="C6013" s="27" t="s">
        <v>56</v>
      </c>
      <c r="D6013" s="27" t="s">
        <v>6</v>
      </c>
      <c r="E6013" s="27" t="s">
        <v>20</v>
      </c>
      <c r="F6013" s="29"/>
      <c r="G6013" s="30">
        <f t="shared" si="112"/>
        <v>2250.6505012345669</v>
      </c>
    </row>
    <row r="6014" spans="1:7" hidden="1" x14ac:dyDescent="0.25">
      <c r="A6014" s="28">
        <v>44013</v>
      </c>
      <c r="B6014" s="27" t="s">
        <v>200</v>
      </c>
      <c r="C6014" s="27" t="s">
        <v>56</v>
      </c>
      <c r="D6014" s="27" t="s">
        <v>6</v>
      </c>
      <c r="E6014" s="27" t="s">
        <v>38</v>
      </c>
      <c r="F6014" s="29"/>
      <c r="G6014" s="30">
        <f t="shared" si="112"/>
        <v>2250.6505012345669</v>
      </c>
    </row>
    <row r="6015" spans="1:7" hidden="1" x14ac:dyDescent="0.25">
      <c r="A6015" s="28">
        <v>44013</v>
      </c>
      <c r="B6015" s="27" t="s">
        <v>200</v>
      </c>
      <c r="C6015" s="27" t="s">
        <v>56</v>
      </c>
      <c r="D6015" s="27" t="s">
        <v>6</v>
      </c>
      <c r="E6015" s="27" t="s">
        <v>23</v>
      </c>
      <c r="F6015" s="29"/>
      <c r="G6015" s="30">
        <f t="shared" si="112"/>
        <v>2250.6505012345669</v>
      </c>
    </row>
    <row r="6016" spans="1:7" hidden="1" x14ac:dyDescent="0.25">
      <c r="A6016" s="28">
        <v>44013</v>
      </c>
      <c r="B6016" s="27" t="s">
        <v>200</v>
      </c>
      <c r="C6016" s="27" t="s">
        <v>182</v>
      </c>
      <c r="D6016" s="27" t="s">
        <v>7</v>
      </c>
      <c r="E6016" s="27" t="s">
        <v>8</v>
      </c>
      <c r="F6016" s="29"/>
      <c r="G6016" s="30">
        <f t="shared" ref="G6016:G6034" si="113">2416.35/19</f>
        <v>127.17631578947368</v>
      </c>
    </row>
    <row r="6017" spans="1:7" hidden="1" x14ac:dyDescent="0.25">
      <c r="A6017" s="28">
        <v>44013</v>
      </c>
      <c r="B6017" s="27" t="s">
        <v>200</v>
      </c>
      <c r="C6017" s="27" t="s">
        <v>182</v>
      </c>
      <c r="D6017" s="27" t="s">
        <v>7</v>
      </c>
      <c r="E6017" s="27" t="s">
        <v>9</v>
      </c>
      <c r="F6017" s="29"/>
      <c r="G6017" s="30">
        <f t="shared" si="113"/>
        <v>127.17631578947368</v>
      </c>
    </row>
    <row r="6018" spans="1:7" hidden="1" x14ac:dyDescent="0.25">
      <c r="A6018" s="28">
        <v>44013</v>
      </c>
      <c r="B6018" s="27" t="s">
        <v>200</v>
      </c>
      <c r="C6018" s="27" t="s">
        <v>182</v>
      </c>
      <c r="D6018" s="27" t="s">
        <v>7</v>
      </c>
      <c r="E6018" s="27" t="s">
        <v>22</v>
      </c>
      <c r="F6018" s="29"/>
      <c r="G6018" s="30">
        <f t="shared" si="113"/>
        <v>127.17631578947368</v>
      </c>
    </row>
    <row r="6019" spans="1:7" hidden="1" x14ac:dyDescent="0.25">
      <c r="A6019" s="28">
        <v>44013</v>
      </c>
      <c r="B6019" s="27" t="s">
        <v>200</v>
      </c>
      <c r="C6019" s="27" t="s">
        <v>182</v>
      </c>
      <c r="D6019" s="27" t="s">
        <v>7</v>
      </c>
      <c r="E6019" s="27" t="s">
        <v>64</v>
      </c>
      <c r="F6019" s="29"/>
      <c r="G6019" s="30">
        <f t="shared" si="113"/>
        <v>127.17631578947368</v>
      </c>
    </row>
    <row r="6020" spans="1:7" hidden="1" x14ac:dyDescent="0.25">
      <c r="A6020" s="28">
        <v>44013</v>
      </c>
      <c r="B6020" s="27" t="s">
        <v>200</v>
      </c>
      <c r="C6020" s="27" t="s">
        <v>182</v>
      </c>
      <c r="D6020" s="27" t="s">
        <v>7</v>
      </c>
      <c r="E6020" s="27" t="s">
        <v>21</v>
      </c>
      <c r="F6020" s="29"/>
      <c r="G6020" s="30">
        <f t="shared" si="113"/>
        <v>127.17631578947368</v>
      </c>
    </row>
    <row r="6021" spans="1:7" hidden="1" x14ac:dyDescent="0.25">
      <c r="A6021" s="28">
        <v>44013</v>
      </c>
      <c r="B6021" s="27" t="s">
        <v>200</v>
      </c>
      <c r="C6021" s="27" t="s">
        <v>182</v>
      </c>
      <c r="D6021" s="27" t="s">
        <v>7</v>
      </c>
      <c r="E6021" s="27" t="s">
        <v>10</v>
      </c>
      <c r="F6021" s="29"/>
      <c r="G6021" s="30">
        <f t="shared" si="113"/>
        <v>127.17631578947368</v>
      </c>
    </row>
    <row r="6022" spans="1:7" hidden="1" x14ac:dyDescent="0.25">
      <c r="A6022" s="28">
        <v>44013</v>
      </c>
      <c r="B6022" s="27" t="s">
        <v>200</v>
      </c>
      <c r="C6022" s="27" t="s">
        <v>182</v>
      </c>
      <c r="D6022" s="27" t="s">
        <v>7</v>
      </c>
      <c r="E6022" s="27" t="s">
        <v>11</v>
      </c>
      <c r="F6022" s="29"/>
      <c r="G6022" s="30">
        <f t="shared" si="113"/>
        <v>127.17631578947368</v>
      </c>
    </row>
    <row r="6023" spans="1:7" hidden="1" x14ac:dyDescent="0.25">
      <c r="A6023" s="28">
        <v>44013</v>
      </c>
      <c r="B6023" s="27" t="s">
        <v>200</v>
      </c>
      <c r="C6023" s="27" t="s">
        <v>182</v>
      </c>
      <c r="D6023" s="27" t="s">
        <v>7</v>
      </c>
      <c r="E6023" s="27" t="s">
        <v>12</v>
      </c>
      <c r="F6023" s="29"/>
      <c r="G6023" s="30">
        <f t="shared" si="113"/>
        <v>127.17631578947368</v>
      </c>
    </row>
    <row r="6024" spans="1:7" hidden="1" x14ac:dyDescent="0.25">
      <c r="A6024" s="28">
        <v>44013</v>
      </c>
      <c r="B6024" s="27" t="s">
        <v>200</v>
      </c>
      <c r="C6024" s="27" t="s">
        <v>182</v>
      </c>
      <c r="D6024" s="27" t="s">
        <v>7</v>
      </c>
      <c r="E6024" s="27" t="s">
        <v>13</v>
      </c>
      <c r="F6024" s="29"/>
      <c r="G6024" s="30">
        <f t="shared" si="113"/>
        <v>127.17631578947368</v>
      </c>
    </row>
    <row r="6025" spans="1:7" hidden="1" x14ac:dyDescent="0.25">
      <c r="A6025" s="28">
        <v>44013</v>
      </c>
      <c r="B6025" s="27" t="s">
        <v>200</v>
      </c>
      <c r="C6025" s="27" t="s">
        <v>182</v>
      </c>
      <c r="D6025" s="27" t="s">
        <v>7</v>
      </c>
      <c r="E6025" s="27" t="s">
        <v>14</v>
      </c>
      <c r="F6025" s="29"/>
      <c r="G6025" s="30">
        <f t="shared" si="113"/>
        <v>127.17631578947368</v>
      </c>
    </row>
    <row r="6026" spans="1:7" hidden="1" x14ac:dyDescent="0.25">
      <c r="A6026" s="28">
        <v>44013</v>
      </c>
      <c r="B6026" s="27" t="s">
        <v>200</v>
      </c>
      <c r="C6026" s="27" t="s">
        <v>182</v>
      </c>
      <c r="D6026" s="27" t="s">
        <v>7</v>
      </c>
      <c r="E6026" s="27" t="s">
        <v>15</v>
      </c>
      <c r="F6026" s="29"/>
      <c r="G6026" s="30">
        <f t="shared" si="113"/>
        <v>127.17631578947368</v>
      </c>
    </row>
    <row r="6027" spans="1:7" hidden="1" x14ac:dyDescent="0.25">
      <c r="A6027" s="28">
        <v>44013</v>
      </c>
      <c r="B6027" s="27" t="s">
        <v>200</v>
      </c>
      <c r="C6027" s="27" t="s">
        <v>182</v>
      </c>
      <c r="D6027" s="27" t="s">
        <v>7</v>
      </c>
      <c r="E6027" s="27" t="s">
        <v>16</v>
      </c>
      <c r="F6027" s="29"/>
      <c r="G6027" s="30">
        <f t="shared" si="113"/>
        <v>127.17631578947368</v>
      </c>
    </row>
    <row r="6028" spans="1:7" hidden="1" x14ac:dyDescent="0.25">
      <c r="A6028" s="28">
        <v>44013</v>
      </c>
      <c r="B6028" s="27" t="s">
        <v>200</v>
      </c>
      <c r="C6028" s="27" t="s">
        <v>182</v>
      </c>
      <c r="D6028" s="27" t="s">
        <v>7</v>
      </c>
      <c r="E6028" s="27" t="s">
        <v>17</v>
      </c>
      <c r="F6028" s="29"/>
      <c r="G6028" s="30">
        <f t="shared" si="113"/>
        <v>127.17631578947368</v>
      </c>
    </row>
    <row r="6029" spans="1:7" hidden="1" x14ac:dyDescent="0.25">
      <c r="A6029" s="28">
        <v>44013</v>
      </c>
      <c r="B6029" s="27" t="s">
        <v>200</v>
      </c>
      <c r="C6029" s="27" t="s">
        <v>182</v>
      </c>
      <c r="D6029" s="27" t="s">
        <v>7</v>
      </c>
      <c r="E6029" s="27" t="s">
        <v>18</v>
      </c>
      <c r="F6029" s="29"/>
      <c r="G6029" s="30">
        <f t="shared" si="113"/>
        <v>127.17631578947368</v>
      </c>
    </row>
    <row r="6030" spans="1:7" hidden="1" x14ac:dyDescent="0.25">
      <c r="A6030" s="28">
        <v>44013</v>
      </c>
      <c r="B6030" s="27" t="s">
        <v>200</v>
      </c>
      <c r="C6030" s="27" t="s">
        <v>182</v>
      </c>
      <c r="D6030" s="27" t="s">
        <v>7</v>
      </c>
      <c r="E6030" s="27" t="s">
        <v>19</v>
      </c>
      <c r="F6030" s="29"/>
      <c r="G6030" s="30">
        <f t="shared" si="113"/>
        <v>127.17631578947368</v>
      </c>
    </row>
    <row r="6031" spans="1:7" hidden="1" x14ac:dyDescent="0.25">
      <c r="A6031" s="28">
        <v>44013</v>
      </c>
      <c r="B6031" s="27" t="s">
        <v>200</v>
      </c>
      <c r="C6031" s="27" t="s">
        <v>182</v>
      </c>
      <c r="D6031" s="27" t="s">
        <v>7</v>
      </c>
      <c r="E6031" s="27" t="s">
        <v>20</v>
      </c>
      <c r="F6031" s="29"/>
      <c r="G6031" s="30">
        <f t="shared" si="113"/>
        <v>127.17631578947368</v>
      </c>
    </row>
    <row r="6032" spans="1:7" hidden="1" x14ac:dyDescent="0.25">
      <c r="A6032" s="28">
        <v>44013</v>
      </c>
      <c r="B6032" s="27" t="s">
        <v>200</v>
      </c>
      <c r="C6032" s="27" t="s">
        <v>182</v>
      </c>
      <c r="D6032" s="27" t="s">
        <v>7</v>
      </c>
      <c r="E6032" s="27" t="s">
        <v>38</v>
      </c>
      <c r="F6032" s="29"/>
      <c r="G6032" s="30">
        <f t="shared" si="113"/>
        <v>127.17631578947368</v>
      </c>
    </row>
    <row r="6033" spans="1:7" hidden="1" x14ac:dyDescent="0.25">
      <c r="A6033" s="28">
        <v>44013</v>
      </c>
      <c r="B6033" s="27" t="s">
        <v>200</v>
      </c>
      <c r="C6033" s="27" t="s">
        <v>182</v>
      </c>
      <c r="D6033" s="27" t="s">
        <v>7</v>
      </c>
      <c r="E6033" s="27" t="s">
        <v>23</v>
      </c>
      <c r="F6033" s="29"/>
      <c r="G6033" s="30">
        <f t="shared" si="113"/>
        <v>127.17631578947368</v>
      </c>
    </row>
    <row r="6034" spans="1:7" hidden="1" x14ac:dyDescent="0.25">
      <c r="A6034" s="28">
        <v>44013</v>
      </c>
      <c r="B6034" s="27" t="s">
        <v>200</v>
      </c>
      <c r="C6034" s="27" t="s">
        <v>182</v>
      </c>
      <c r="D6034" s="27" t="s">
        <v>7</v>
      </c>
      <c r="E6034" s="27" t="s">
        <v>37</v>
      </c>
      <c r="F6034" s="29"/>
      <c r="G6034" s="30">
        <f t="shared" si="113"/>
        <v>127.17631578947368</v>
      </c>
    </row>
    <row r="6035" spans="1:7" hidden="1" x14ac:dyDescent="0.25">
      <c r="A6035" s="28">
        <v>44013</v>
      </c>
      <c r="B6035" s="27" t="s">
        <v>35</v>
      </c>
      <c r="C6035" s="27" t="s">
        <v>50</v>
      </c>
      <c r="D6035" s="27" t="s">
        <v>6</v>
      </c>
      <c r="E6035" s="27" t="s">
        <v>8</v>
      </c>
      <c r="F6035" s="29"/>
      <c r="G6035" s="30">
        <v>557.13499999999999</v>
      </c>
    </row>
    <row r="6036" spans="1:7" hidden="1" x14ac:dyDescent="0.25">
      <c r="A6036" s="28">
        <v>44013</v>
      </c>
      <c r="B6036" s="27" t="s">
        <v>35</v>
      </c>
      <c r="C6036" s="27" t="s">
        <v>50</v>
      </c>
      <c r="D6036" s="27" t="s">
        <v>6</v>
      </c>
      <c r="E6036" s="27" t="s">
        <v>9</v>
      </c>
      <c r="F6036" s="29"/>
      <c r="G6036" s="30">
        <v>557.13499999999999</v>
      </c>
    </row>
    <row r="6037" spans="1:7" hidden="1" x14ac:dyDescent="0.25">
      <c r="A6037" s="28">
        <v>44013</v>
      </c>
      <c r="B6037" s="27" t="s">
        <v>35</v>
      </c>
      <c r="C6037" s="27" t="s">
        <v>50</v>
      </c>
      <c r="D6037" s="27" t="s">
        <v>6</v>
      </c>
      <c r="E6037" s="27" t="s">
        <v>22</v>
      </c>
      <c r="F6037" s="29"/>
      <c r="G6037" s="30">
        <v>557.13499999999999</v>
      </c>
    </row>
    <row r="6038" spans="1:7" hidden="1" x14ac:dyDescent="0.25">
      <c r="A6038" s="28">
        <v>44013</v>
      </c>
      <c r="B6038" s="27" t="s">
        <v>35</v>
      </c>
      <c r="C6038" s="27" t="s">
        <v>50</v>
      </c>
      <c r="D6038" s="27" t="s">
        <v>6</v>
      </c>
      <c r="E6038" s="27" t="s">
        <v>64</v>
      </c>
      <c r="F6038" s="29"/>
      <c r="G6038" s="30">
        <v>557.13499999999999</v>
      </c>
    </row>
    <row r="6039" spans="1:7" hidden="1" x14ac:dyDescent="0.25">
      <c r="A6039" s="28">
        <v>44013</v>
      </c>
      <c r="B6039" s="27" t="s">
        <v>35</v>
      </c>
      <c r="C6039" s="27" t="s">
        <v>50</v>
      </c>
      <c r="D6039" s="27" t="s">
        <v>6</v>
      </c>
      <c r="E6039" s="27" t="s">
        <v>21</v>
      </c>
      <c r="F6039" s="29"/>
      <c r="G6039" s="30">
        <v>557.13499999999999</v>
      </c>
    </row>
    <row r="6040" spans="1:7" hidden="1" x14ac:dyDescent="0.25">
      <c r="A6040" s="28">
        <v>44013</v>
      </c>
      <c r="B6040" s="27" t="s">
        <v>35</v>
      </c>
      <c r="C6040" s="27" t="s">
        <v>50</v>
      </c>
      <c r="D6040" s="27" t="s">
        <v>6</v>
      </c>
      <c r="E6040" s="27" t="s">
        <v>10</v>
      </c>
      <c r="F6040" s="29"/>
      <c r="G6040" s="30">
        <v>557.13499999999999</v>
      </c>
    </row>
    <row r="6041" spans="1:7" hidden="1" x14ac:dyDescent="0.25">
      <c r="A6041" s="28">
        <v>44013</v>
      </c>
      <c r="B6041" s="27" t="s">
        <v>35</v>
      </c>
      <c r="C6041" s="27" t="s">
        <v>50</v>
      </c>
      <c r="D6041" s="27" t="s">
        <v>6</v>
      </c>
      <c r="E6041" s="27" t="s">
        <v>11</v>
      </c>
      <c r="F6041" s="29"/>
      <c r="G6041" s="30">
        <v>557.13499999999999</v>
      </c>
    </row>
    <row r="6042" spans="1:7" hidden="1" x14ac:dyDescent="0.25">
      <c r="A6042" s="28">
        <v>44013</v>
      </c>
      <c r="B6042" s="27" t="s">
        <v>35</v>
      </c>
      <c r="C6042" s="27" t="s">
        <v>50</v>
      </c>
      <c r="D6042" s="27" t="s">
        <v>6</v>
      </c>
      <c r="E6042" s="27" t="s">
        <v>12</v>
      </c>
      <c r="F6042" s="29"/>
      <c r="G6042" s="30">
        <v>557.13499999999999</v>
      </c>
    </row>
    <row r="6043" spans="1:7" hidden="1" x14ac:dyDescent="0.25">
      <c r="A6043" s="28">
        <v>44013</v>
      </c>
      <c r="B6043" s="27" t="s">
        <v>35</v>
      </c>
      <c r="C6043" s="27" t="s">
        <v>50</v>
      </c>
      <c r="D6043" s="27" t="s">
        <v>6</v>
      </c>
      <c r="E6043" s="27" t="s">
        <v>13</v>
      </c>
      <c r="F6043" s="29"/>
      <c r="G6043" s="30">
        <v>557.13499999999999</v>
      </c>
    </row>
    <row r="6044" spans="1:7" hidden="1" x14ac:dyDescent="0.25">
      <c r="A6044" s="28">
        <v>44013</v>
      </c>
      <c r="B6044" s="27" t="s">
        <v>35</v>
      </c>
      <c r="C6044" s="27" t="s">
        <v>50</v>
      </c>
      <c r="D6044" s="27" t="s">
        <v>6</v>
      </c>
      <c r="E6044" s="27" t="s">
        <v>14</v>
      </c>
      <c r="F6044" s="29"/>
      <c r="G6044" s="30">
        <v>557.13499999999999</v>
      </c>
    </row>
    <row r="6045" spans="1:7" hidden="1" x14ac:dyDescent="0.25">
      <c r="A6045" s="28">
        <v>44013</v>
      </c>
      <c r="B6045" s="27" t="s">
        <v>35</v>
      </c>
      <c r="C6045" s="27" t="s">
        <v>50</v>
      </c>
      <c r="D6045" s="27" t="s">
        <v>6</v>
      </c>
      <c r="E6045" s="27" t="s">
        <v>15</v>
      </c>
      <c r="F6045" s="29"/>
      <c r="G6045" s="30">
        <v>557.13499999999999</v>
      </c>
    </row>
    <row r="6046" spans="1:7" hidden="1" x14ac:dyDescent="0.25">
      <c r="A6046" s="28">
        <v>44013</v>
      </c>
      <c r="B6046" s="27" t="s">
        <v>35</v>
      </c>
      <c r="C6046" s="27" t="s">
        <v>50</v>
      </c>
      <c r="D6046" s="27" t="s">
        <v>6</v>
      </c>
      <c r="E6046" s="27" t="s">
        <v>16</v>
      </c>
      <c r="F6046" s="29"/>
      <c r="G6046" s="30">
        <v>557.13499999999999</v>
      </c>
    </row>
    <row r="6047" spans="1:7" hidden="1" x14ac:dyDescent="0.25">
      <c r="A6047" s="28">
        <v>44013</v>
      </c>
      <c r="B6047" s="27" t="s">
        <v>35</v>
      </c>
      <c r="C6047" s="27" t="s">
        <v>50</v>
      </c>
      <c r="D6047" s="27" t="s">
        <v>6</v>
      </c>
      <c r="E6047" s="27" t="s">
        <v>17</v>
      </c>
      <c r="F6047" s="29"/>
      <c r="G6047" s="30">
        <v>557.13499999999999</v>
      </c>
    </row>
    <row r="6048" spans="1:7" hidden="1" x14ac:dyDescent="0.25">
      <c r="A6048" s="28">
        <v>44013</v>
      </c>
      <c r="B6048" s="27" t="s">
        <v>35</v>
      </c>
      <c r="C6048" s="27" t="s">
        <v>50</v>
      </c>
      <c r="D6048" s="27" t="s">
        <v>6</v>
      </c>
      <c r="E6048" s="27" t="s">
        <v>18</v>
      </c>
      <c r="F6048" s="29"/>
      <c r="G6048" s="30">
        <v>557.13499999999999</v>
      </c>
    </row>
    <row r="6049" spans="1:7" hidden="1" x14ac:dyDescent="0.25">
      <c r="A6049" s="28">
        <v>44013</v>
      </c>
      <c r="B6049" s="27" t="s">
        <v>35</v>
      </c>
      <c r="C6049" s="27" t="s">
        <v>50</v>
      </c>
      <c r="D6049" s="27" t="s">
        <v>6</v>
      </c>
      <c r="E6049" s="27" t="s">
        <v>19</v>
      </c>
      <c r="F6049" s="29"/>
      <c r="G6049" s="30">
        <v>557.13499999999999</v>
      </c>
    </row>
    <row r="6050" spans="1:7" hidden="1" x14ac:dyDescent="0.25">
      <c r="A6050" s="28">
        <v>44013</v>
      </c>
      <c r="B6050" s="27" t="s">
        <v>35</v>
      </c>
      <c r="C6050" s="27" t="s">
        <v>50</v>
      </c>
      <c r="D6050" s="27" t="s">
        <v>6</v>
      </c>
      <c r="E6050" s="27" t="s">
        <v>20</v>
      </c>
      <c r="F6050" s="29"/>
      <c r="G6050" s="30">
        <v>557.13499999999999</v>
      </c>
    </row>
    <row r="6051" spans="1:7" hidden="1" x14ac:dyDescent="0.25">
      <c r="A6051" s="28">
        <v>44013</v>
      </c>
      <c r="B6051" s="27" t="s">
        <v>35</v>
      </c>
      <c r="C6051" s="27" t="s">
        <v>50</v>
      </c>
      <c r="D6051" s="27" t="s">
        <v>6</v>
      </c>
      <c r="E6051" s="27" t="s">
        <v>38</v>
      </c>
      <c r="F6051" s="29"/>
      <c r="G6051" s="30">
        <v>557.13499999999999</v>
      </c>
    </row>
    <row r="6052" spans="1:7" hidden="1" x14ac:dyDescent="0.25">
      <c r="A6052" s="28">
        <v>44013</v>
      </c>
      <c r="B6052" s="27" t="s">
        <v>35</v>
      </c>
      <c r="C6052" s="27" t="s">
        <v>50</v>
      </c>
      <c r="D6052" s="27" t="s">
        <v>6</v>
      </c>
      <c r="E6052" s="27" t="s">
        <v>23</v>
      </c>
      <c r="F6052" s="29"/>
      <c r="G6052" s="30">
        <v>557.13499999999999</v>
      </c>
    </row>
    <row r="6053" spans="1:7" hidden="1" x14ac:dyDescent="0.25">
      <c r="A6053" s="28">
        <v>44013</v>
      </c>
      <c r="B6053" s="27" t="s">
        <v>34</v>
      </c>
      <c r="C6053" s="27" t="s">
        <v>50</v>
      </c>
      <c r="D6053" s="27" t="s">
        <v>6</v>
      </c>
      <c r="E6053" s="27" t="s">
        <v>8</v>
      </c>
      <c r="F6053" s="29"/>
      <c r="G6053" s="30">
        <v>730.85299999999995</v>
      </c>
    </row>
    <row r="6054" spans="1:7" hidden="1" x14ac:dyDescent="0.25">
      <c r="A6054" s="28">
        <v>44013</v>
      </c>
      <c r="B6054" s="27" t="s">
        <v>34</v>
      </c>
      <c r="C6054" s="27" t="s">
        <v>50</v>
      </c>
      <c r="D6054" s="27" t="s">
        <v>6</v>
      </c>
      <c r="E6054" s="27" t="s">
        <v>9</v>
      </c>
      <c r="F6054" s="29"/>
      <c r="G6054" s="30">
        <v>809.49900000000002</v>
      </c>
    </row>
    <row r="6055" spans="1:7" hidden="1" x14ac:dyDescent="0.25">
      <c r="A6055" s="28">
        <v>44013</v>
      </c>
      <c r="B6055" s="27" t="s">
        <v>34</v>
      </c>
      <c r="C6055" s="27" t="s">
        <v>50</v>
      </c>
      <c r="D6055" s="27" t="s">
        <v>6</v>
      </c>
      <c r="E6055" s="27" t="s">
        <v>22</v>
      </c>
      <c r="F6055" s="29"/>
      <c r="G6055" s="30">
        <v>1078.788</v>
      </c>
    </row>
    <row r="6056" spans="1:7" hidden="1" x14ac:dyDescent="0.25">
      <c r="A6056" s="28">
        <v>44013</v>
      </c>
      <c r="B6056" s="27" t="s">
        <v>34</v>
      </c>
      <c r="C6056" s="27" t="s">
        <v>50</v>
      </c>
      <c r="D6056" s="27" t="s">
        <v>6</v>
      </c>
      <c r="E6056" s="27" t="s">
        <v>64</v>
      </c>
      <c r="F6056" s="29"/>
      <c r="G6056" s="30">
        <v>770.21699999999998</v>
      </c>
    </row>
    <row r="6057" spans="1:7" hidden="1" x14ac:dyDescent="0.25">
      <c r="A6057" s="28">
        <v>44013</v>
      </c>
      <c r="B6057" s="27" t="s">
        <v>34</v>
      </c>
      <c r="C6057" s="27" t="s">
        <v>50</v>
      </c>
      <c r="D6057" s="27" t="s">
        <v>6</v>
      </c>
      <c r="E6057" s="27" t="s">
        <v>21</v>
      </c>
      <c r="F6057" s="29"/>
      <c r="G6057" s="30">
        <v>777.58799999999997</v>
      </c>
    </row>
    <row r="6058" spans="1:7" hidden="1" x14ac:dyDescent="0.25">
      <c r="A6058" s="28">
        <v>44013</v>
      </c>
      <c r="B6058" s="27" t="s">
        <v>34</v>
      </c>
      <c r="C6058" s="27" t="s">
        <v>50</v>
      </c>
      <c r="D6058" s="27" t="s">
        <v>6</v>
      </c>
      <c r="E6058" s="27" t="s">
        <v>10</v>
      </c>
      <c r="F6058" s="29"/>
      <c r="G6058" s="30">
        <v>1036.6759999999999</v>
      </c>
    </row>
    <row r="6059" spans="1:7" hidden="1" x14ac:dyDescent="0.25">
      <c r="A6059" s="28">
        <v>44013</v>
      </c>
      <c r="B6059" s="27" t="s">
        <v>34</v>
      </c>
      <c r="C6059" s="27" t="s">
        <v>50</v>
      </c>
      <c r="D6059" s="27" t="s">
        <v>6</v>
      </c>
      <c r="E6059" s="27" t="s">
        <v>11</v>
      </c>
      <c r="F6059" s="29"/>
      <c r="G6059" s="30">
        <v>414.69799999999998</v>
      </c>
    </row>
    <row r="6060" spans="1:7" hidden="1" x14ac:dyDescent="0.25">
      <c r="A6060" s="28">
        <v>44013</v>
      </c>
      <c r="B6060" s="27" t="s">
        <v>34</v>
      </c>
      <c r="C6060" s="27" t="s">
        <v>50</v>
      </c>
      <c r="D6060" s="27" t="s">
        <v>6</v>
      </c>
      <c r="E6060" s="27" t="s">
        <v>12</v>
      </c>
      <c r="F6060" s="29"/>
      <c r="G6060" s="30">
        <v>455.96400000000006</v>
      </c>
    </row>
    <row r="6061" spans="1:7" hidden="1" x14ac:dyDescent="0.25">
      <c r="A6061" s="28">
        <v>44013</v>
      </c>
      <c r="B6061" s="27" t="s">
        <v>34</v>
      </c>
      <c r="C6061" s="27" t="s">
        <v>50</v>
      </c>
      <c r="D6061" s="27" t="s">
        <v>6</v>
      </c>
      <c r="E6061" s="27" t="s">
        <v>13</v>
      </c>
      <c r="F6061" s="29"/>
      <c r="G6061" s="30">
        <v>661.88400000000001</v>
      </c>
    </row>
    <row r="6062" spans="1:7" hidden="1" x14ac:dyDescent="0.25">
      <c r="A6062" s="28">
        <v>44013</v>
      </c>
      <c r="B6062" s="27" t="s">
        <v>34</v>
      </c>
      <c r="C6062" s="27" t="s">
        <v>50</v>
      </c>
      <c r="D6062" s="27" t="s">
        <v>6</v>
      </c>
      <c r="E6062" s="27" t="s">
        <v>14</v>
      </c>
      <c r="F6062" s="29"/>
      <c r="G6062" s="30">
        <v>191.779</v>
      </c>
    </row>
    <row r="6063" spans="1:7" hidden="1" x14ac:dyDescent="0.25">
      <c r="A6063" s="28">
        <v>44013</v>
      </c>
      <c r="B6063" s="27" t="s">
        <v>34</v>
      </c>
      <c r="C6063" s="27" t="s">
        <v>50</v>
      </c>
      <c r="D6063" s="27" t="s">
        <v>6</v>
      </c>
      <c r="E6063" s="27" t="s">
        <v>15</v>
      </c>
      <c r="F6063" s="29"/>
      <c r="G6063" s="30">
        <v>526.94200000000001</v>
      </c>
    </row>
    <row r="6064" spans="1:7" hidden="1" x14ac:dyDescent="0.25">
      <c r="A6064" s="28">
        <v>44013</v>
      </c>
      <c r="B6064" s="27" t="s">
        <v>34</v>
      </c>
      <c r="C6064" s="27" t="s">
        <v>50</v>
      </c>
      <c r="D6064" s="27" t="s">
        <v>6</v>
      </c>
      <c r="E6064" s="27" t="s">
        <v>16</v>
      </c>
      <c r="F6064" s="29"/>
      <c r="G6064" s="30">
        <v>651.45799999999997</v>
      </c>
    </row>
    <row r="6065" spans="1:7" hidden="1" x14ac:dyDescent="0.25">
      <c r="A6065" s="28">
        <v>44013</v>
      </c>
      <c r="B6065" s="27" t="s">
        <v>34</v>
      </c>
      <c r="C6065" s="27" t="s">
        <v>50</v>
      </c>
      <c r="D6065" s="27" t="s">
        <v>6</v>
      </c>
      <c r="E6065" s="27" t="s">
        <v>17</v>
      </c>
      <c r="F6065" s="29"/>
      <c r="G6065" s="30">
        <v>1174.4879999999998</v>
      </c>
    </row>
    <row r="6066" spans="1:7" hidden="1" x14ac:dyDescent="0.25">
      <c r="A6066" s="28">
        <v>44013</v>
      </c>
      <c r="B6066" s="27" t="s">
        <v>34</v>
      </c>
      <c r="C6066" s="27" t="s">
        <v>50</v>
      </c>
      <c r="D6066" s="27" t="s">
        <v>6</v>
      </c>
      <c r="E6066" s="27" t="s">
        <v>18</v>
      </c>
      <c r="F6066" s="29"/>
      <c r="G6066" s="30">
        <v>506.59399999999994</v>
      </c>
    </row>
    <row r="6067" spans="1:7" hidden="1" x14ac:dyDescent="0.25">
      <c r="A6067" s="28">
        <v>44013</v>
      </c>
      <c r="B6067" s="27" t="s">
        <v>34</v>
      </c>
      <c r="C6067" s="27" t="s">
        <v>50</v>
      </c>
      <c r="D6067" s="27" t="s">
        <v>6</v>
      </c>
      <c r="E6067" s="27" t="s">
        <v>19</v>
      </c>
      <c r="F6067" s="29"/>
      <c r="G6067" s="30">
        <v>716.14</v>
      </c>
    </row>
    <row r="6068" spans="1:7" hidden="1" x14ac:dyDescent="0.25">
      <c r="A6068" s="28">
        <v>44013</v>
      </c>
      <c r="B6068" s="27" t="s">
        <v>34</v>
      </c>
      <c r="C6068" s="27" t="s">
        <v>50</v>
      </c>
      <c r="D6068" s="27" t="s">
        <v>6</v>
      </c>
      <c r="E6068" s="27" t="s">
        <v>20</v>
      </c>
      <c r="F6068" s="29"/>
      <c r="G6068" s="30">
        <v>520.13300000000004</v>
      </c>
    </row>
    <row r="6069" spans="1:7" hidden="1" x14ac:dyDescent="0.25">
      <c r="A6069" s="28">
        <v>44013</v>
      </c>
      <c r="B6069" s="27" t="s">
        <v>34</v>
      </c>
      <c r="C6069" s="27" t="s">
        <v>50</v>
      </c>
      <c r="D6069" s="27" t="s">
        <v>6</v>
      </c>
      <c r="E6069" s="27" t="s">
        <v>38</v>
      </c>
      <c r="F6069" s="29"/>
      <c r="G6069" s="30">
        <v>204.74299999999999</v>
      </c>
    </row>
    <row r="6070" spans="1:7" hidden="1" x14ac:dyDescent="0.25">
      <c r="A6070" s="28">
        <v>44013</v>
      </c>
      <c r="B6070" s="27" t="s">
        <v>34</v>
      </c>
      <c r="C6070" s="27" t="s">
        <v>50</v>
      </c>
      <c r="D6070" s="27" t="s">
        <v>6</v>
      </c>
      <c r="E6070" s="27" t="s">
        <v>23</v>
      </c>
      <c r="F6070" s="29"/>
      <c r="G6070" s="30">
        <v>803.31400000000008</v>
      </c>
    </row>
    <row r="6071" spans="1:7" hidden="1" x14ac:dyDescent="0.25">
      <c r="A6071" s="28">
        <v>44044</v>
      </c>
      <c r="B6071" s="27" t="s">
        <v>33</v>
      </c>
      <c r="C6071" s="27" t="s">
        <v>50</v>
      </c>
      <c r="D6071" s="27" t="s">
        <v>7</v>
      </c>
      <c r="E6071" s="27" t="s">
        <v>8</v>
      </c>
      <c r="F6071" s="29"/>
      <c r="G6071" s="30">
        <v>2024.0166666666669</v>
      </c>
    </row>
    <row r="6072" spans="1:7" hidden="1" x14ac:dyDescent="0.25">
      <c r="A6072" s="28">
        <v>44044</v>
      </c>
      <c r="B6072" s="27" t="s">
        <v>33</v>
      </c>
      <c r="C6072" s="27" t="s">
        <v>50</v>
      </c>
      <c r="D6072" s="27" t="s">
        <v>7</v>
      </c>
      <c r="E6072" s="27" t="s">
        <v>9</v>
      </c>
      <c r="F6072" s="29"/>
      <c r="G6072" s="30">
        <v>2024.0166666666669</v>
      </c>
    </row>
    <row r="6073" spans="1:7" hidden="1" x14ac:dyDescent="0.25">
      <c r="A6073" s="28">
        <v>44044</v>
      </c>
      <c r="B6073" s="27" t="s">
        <v>33</v>
      </c>
      <c r="C6073" s="27" t="s">
        <v>50</v>
      </c>
      <c r="D6073" s="27" t="s">
        <v>7</v>
      </c>
      <c r="E6073" s="27" t="s">
        <v>22</v>
      </c>
      <c r="F6073" s="29"/>
      <c r="G6073" s="30">
        <v>2024.0166666666669</v>
      </c>
    </row>
    <row r="6074" spans="1:7" hidden="1" x14ac:dyDescent="0.25">
      <c r="A6074" s="28">
        <v>44044</v>
      </c>
      <c r="B6074" s="27" t="s">
        <v>33</v>
      </c>
      <c r="C6074" s="27" t="s">
        <v>50</v>
      </c>
      <c r="D6074" s="27" t="s">
        <v>7</v>
      </c>
      <c r="E6074" s="27" t="s">
        <v>64</v>
      </c>
      <c r="F6074" s="29"/>
      <c r="G6074" s="30">
        <v>2024.0166666666669</v>
      </c>
    </row>
    <row r="6075" spans="1:7" hidden="1" x14ac:dyDescent="0.25">
      <c r="A6075" s="28">
        <v>44044</v>
      </c>
      <c r="B6075" s="27" t="s">
        <v>33</v>
      </c>
      <c r="C6075" s="27" t="s">
        <v>50</v>
      </c>
      <c r="D6075" s="27" t="s">
        <v>7</v>
      </c>
      <c r="E6075" s="27" t="s">
        <v>21</v>
      </c>
      <c r="F6075" s="29"/>
      <c r="G6075" s="30">
        <v>2024.0166666666669</v>
      </c>
    </row>
    <row r="6076" spans="1:7" hidden="1" x14ac:dyDescent="0.25">
      <c r="A6076" s="28">
        <v>44044</v>
      </c>
      <c r="B6076" s="27" t="s">
        <v>33</v>
      </c>
      <c r="C6076" s="27" t="s">
        <v>50</v>
      </c>
      <c r="D6076" s="27" t="s">
        <v>7</v>
      </c>
      <c r="E6076" s="27" t="s">
        <v>10</v>
      </c>
      <c r="F6076" s="29"/>
      <c r="G6076" s="30">
        <v>2024.0166666666669</v>
      </c>
    </row>
    <row r="6077" spans="1:7" hidden="1" x14ac:dyDescent="0.25">
      <c r="A6077" s="28">
        <v>44044</v>
      </c>
      <c r="B6077" s="27" t="s">
        <v>33</v>
      </c>
      <c r="C6077" s="27" t="s">
        <v>50</v>
      </c>
      <c r="D6077" s="27" t="s">
        <v>7</v>
      </c>
      <c r="E6077" s="27" t="s">
        <v>11</v>
      </c>
      <c r="F6077" s="29"/>
      <c r="G6077" s="30">
        <v>2024.0166666666669</v>
      </c>
    </row>
    <row r="6078" spans="1:7" hidden="1" x14ac:dyDescent="0.25">
      <c r="A6078" s="28">
        <v>44044</v>
      </c>
      <c r="B6078" s="27" t="s">
        <v>33</v>
      </c>
      <c r="C6078" s="27" t="s">
        <v>50</v>
      </c>
      <c r="D6078" s="27" t="s">
        <v>7</v>
      </c>
      <c r="E6078" s="27" t="s">
        <v>12</v>
      </c>
      <c r="F6078" s="29"/>
      <c r="G6078" s="30">
        <v>2024.0166666666669</v>
      </c>
    </row>
    <row r="6079" spans="1:7" hidden="1" x14ac:dyDescent="0.25">
      <c r="A6079" s="28">
        <v>44044</v>
      </c>
      <c r="B6079" s="27" t="s">
        <v>33</v>
      </c>
      <c r="C6079" s="27" t="s">
        <v>50</v>
      </c>
      <c r="D6079" s="27" t="s">
        <v>7</v>
      </c>
      <c r="E6079" s="27" t="s">
        <v>13</v>
      </c>
      <c r="F6079" s="29"/>
      <c r="G6079" s="30">
        <v>2024.0166666666669</v>
      </c>
    </row>
    <row r="6080" spans="1:7" hidden="1" x14ac:dyDescent="0.25">
      <c r="A6080" s="28">
        <v>44044</v>
      </c>
      <c r="B6080" s="27" t="s">
        <v>33</v>
      </c>
      <c r="C6080" s="27" t="s">
        <v>50</v>
      </c>
      <c r="D6080" s="27" t="s">
        <v>7</v>
      </c>
      <c r="E6080" s="27" t="s">
        <v>14</v>
      </c>
      <c r="F6080" s="29"/>
      <c r="G6080" s="30">
        <v>2024.0166666666669</v>
      </c>
    </row>
    <row r="6081" spans="1:7" hidden="1" x14ac:dyDescent="0.25">
      <c r="A6081" s="28">
        <v>44044</v>
      </c>
      <c r="B6081" s="27" t="s">
        <v>33</v>
      </c>
      <c r="C6081" s="27" t="s">
        <v>50</v>
      </c>
      <c r="D6081" s="27" t="s">
        <v>7</v>
      </c>
      <c r="E6081" s="27" t="s">
        <v>15</v>
      </c>
      <c r="F6081" s="29"/>
      <c r="G6081" s="30">
        <v>2024.0166666666669</v>
      </c>
    </row>
    <row r="6082" spans="1:7" hidden="1" x14ac:dyDescent="0.25">
      <c r="A6082" s="28">
        <v>44044</v>
      </c>
      <c r="B6082" s="27" t="s">
        <v>33</v>
      </c>
      <c r="C6082" s="27" t="s">
        <v>50</v>
      </c>
      <c r="D6082" s="27" t="s">
        <v>7</v>
      </c>
      <c r="E6082" s="27" t="s">
        <v>16</v>
      </c>
      <c r="F6082" s="29"/>
      <c r="G6082" s="30">
        <v>2024.0166666666669</v>
      </c>
    </row>
    <row r="6083" spans="1:7" hidden="1" x14ac:dyDescent="0.25">
      <c r="A6083" s="28">
        <v>44044</v>
      </c>
      <c r="B6083" s="27" t="s">
        <v>33</v>
      </c>
      <c r="C6083" s="27" t="s">
        <v>50</v>
      </c>
      <c r="D6083" s="27" t="s">
        <v>7</v>
      </c>
      <c r="E6083" s="27" t="s">
        <v>17</v>
      </c>
      <c r="F6083" s="29"/>
      <c r="G6083" s="30">
        <v>2024.0166666666669</v>
      </c>
    </row>
    <row r="6084" spans="1:7" hidden="1" x14ac:dyDescent="0.25">
      <c r="A6084" s="28">
        <v>44044</v>
      </c>
      <c r="B6084" s="27" t="s">
        <v>33</v>
      </c>
      <c r="C6084" s="27" t="s">
        <v>50</v>
      </c>
      <c r="D6084" s="27" t="s">
        <v>7</v>
      </c>
      <c r="E6084" s="27" t="s">
        <v>18</v>
      </c>
      <c r="F6084" s="29"/>
      <c r="G6084" s="30">
        <v>2024.0166666666669</v>
      </c>
    </row>
    <row r="6085" spans="1:7" hidden="1" x14ac:dyDescent="0.25">
      <c r="A6085" s="28">
        <v>44044</v>
      </c>
      <c r="B6085" s="27" t="s">
        <v>33</v>
      </c>
      <c r="C6085" s="27" t="s">
        <v>50</v>
      </c>
      <c r="D6085" s="27" t="s">
        <v>7</v>
      </c>
      <c r="E6085" s="27" t="s">
        <v>19</v>
      </c>
      <c r="F6085" s="29"/>
      <c r="G6085" s="30">
        <v>2024.0166666666669</v>
      </c>
    </row>
    <row r="6086" spans="1:7" hidden="1" x14ac:dyDescent="0.25">
      <c r="A6086" s="28">
        <v>44044</v>
      </c>
      <c r="B6086" s="27" t="s">
        <v>33</v>
      </c>
      <c r="C6086" s="27" t="s">
        <v>50</v>
      </c>
      <c r="D6086" s="27" t="s">
        <v>7</v>
      </c>
      <c r="E6086" s="27" t="s">
        <v>20</v>
      </c>
      <c r="F6086" s="29"/>
      <c r="G6086" s="30">
        <v>2024.0166666666669</v>
      </c>
    </row>
    <row r="6087" spans="1:7" hidden="1" x14ac:dyDescent="0.25">
      <c r="A6087" s="28">
        <v>44044</v>
      </c>
      <c r="B6087" s="27" t="s">
        <v>33</v>
      </c>
      <c r="C6087" s="27" t="s">
        <v>50</v>
      </c>
      <c r="D6087" s="27" t="s">
        <v>7</v>
      </c>
      <c r="E6087" s="27" t="s">
        <v>38</v>
      </c>
      <c r="F6087" s="29"/>
      <c r="G6087" s="30">
        <v>2024.0166666666669</v>
      </c>
    </row>
    <row r="6088" spans="1:7" hidden="1" x14ac:dyDescent="0.25">
      <c r="A6088" s="28">
        <v>44044</v>
      </c>
      <c r="B6088" s="27" t="s">
        <v>33</v>
      </c>
      <c r="C6088" s="27" t="s">
        <v>50</v>
      </c>
      <c r="D6088" s="27" t="s">
        <v>7</v>
      </c>
      <c r="E6088" s="27" t="s">
        <v>23</v>
      </c>
      <c r="F6088" s="29"/>
      <c r="G6088" s="30">
        <v>2024.0166666666669</v>
      </c>
    </row>
    <row r="6089" spans="1:7" hidden="1" x14ac:dyDescent="0.25">
      <c r="A6089" s="28">
        <v>44044</v>
      </c>
      <c r="B6089" s="27" t="s">
        <v>4</v>
      </c>
      <c r="C6089" s="27" t="s">
        <v>50</v>
      </c>
      <c r="D6089" s="27" t="s">
        <v>7</v>
      </c>
      <c r="E6089" s="27" t="s">
        <v>8</v>
      </c>
      <c r="F6089" s="29"/>
      <c r="G6089" s="30">
        <v>2094.9899999999998</v>
      </c>
    </row>
    <row r="6090" spans="1:7" hidden="1" x14ac:dyDescent="0.25">
      <c r="A6090" s="28">
        <v>44044</v>
      </c>
      <c r="B6090" s="27" t="s">
        <v>4</v>
      </c>
      <c r="C6090" s="27" t="s">
        <v>50</v>
      </c>
      <c r="D6090" s="27" t="s">
        <v>7</v>
      </c>
      <c r="E6090" s="27" t="s">
        <v>9</v>
      </c>
      <c r="F6090" s="29"/>
      <c r="G6090" s="30">
        <v>3719.41</v>
      </c>
    </row>
    <row r="6091" spans="1:7" hidden="1" x14ac:dyDescent="0.25">
      <c r="A6091" s="28">
        <v>44044</v>
      </c>
      <c r="B6091" s="27" t="s">
        <v>4</v>
      </c>
      <c r="C6091" s="27" t="s">
        <v>50</v>
      </c>
      <c r="D6091" s="27" t="s">
        <v>7</v>
      </c>
      <c r="E6091" s="27" t="s">
        <v>22</v>
      </c>
      <c r="F6091" s="29"/>
      <c r="G6091" s="30">
        <v>3033.77</v>
      </c>
    </row>
    <row r="6092" spans="1:7" hidden="1" x14ac:dyDescent="0.25">
      <c r="A6092" s="28">
        <v>44044</v>
      </c>
      <c r="B6092" s="27" t="s">
        <v>4</v>
      </c>
      <c r="C6092" s="27" t="s">
        <v>50</v>
      </c>
      <c r="D6092" s="27" t="s">
        <v>7</v>
      </c>
      <c r="E6092" s="27" t="s">
        <v>64</v>
      </c>
      <c r="F6092" s="29"/>
      <c r="G6092" s="30">
        <v>2585.38</v>
      </c>
    </row>
    <row r="6093" spans="1:7" hidden="1" x14ac:dyDescent="0.25">
      <c r="A6093" s="28">
        <v>44044</v>
      </c>
      <c r="B6093" s="27" t="s">
        <v>4</v>
      </c>
      <c r="C6093" s="27" t="s">
        <v>50</v>
      </c>
      <c r="D6093" s="27" t="s">
        <v>7</v>
      </c>
      <c r="E6093" s="27" t="s">
        <v>21</v>
      </c>
      <c r="F6093" s="29"/>
      <c r="G6093" s="30">
        <v>1107</v>
      </c>
    </row>
    <row r="6094" spans="1:7" hidden="1" x14ac:dyDescent="0.25">
      <c r="A6094" s="28">
        <v>44044</v>
      </c>
      <c r="B6094" s="27" t="s">
        <v>4</v>
      </c>
      <c r="C6094" s="27" t="s">
        <v>50</v>
      </c>
      <c r="D6094" s="27" t="s">
        <v>7</v>
      </c>
      <c r="E6094" s="27" t="s">
        <v>10</v>
      </c>
      <c r="F6094" s="29"/>
      <c r="G6094" s="30">
        <v>5653.41</v>
      </c>
    </row>
    <row r="6095" spans="1:7" hidden="1" x14ac:dyDescent="0.25">
      <c r="A6095" s="28">
        <v>44044</v>
      </c>
      <c r="B6095" s="27" t="s">
        <v>4</v>
      </c>
      <c r="C6095" s="27" t="s">
        <v>50</v>
      </c>
      <c r="D6095" s="27" t="s">
        <v>7</v>
      </c>
      <c r="E6095" s="27" t="s">
        <v>11</v>
      </c>
      <c r="F6095" s="29"/>
      <c r="G6095" s="30">
        <v>2184.2199999999998</v>
      </c>
    </row>
    <row r="6096" spans="1:7" hidden="1" x14ac:dyDescent="0.25">
      <c r="A6096" s="28">
        <v>44044</v>
      </c>
      <c r="B6096" s="27" t="s">
        <v>4</v>
      </c>
      <c r="C6096" s="27" t="s">
        <v>50</v>
      </c>
      <c r="D6096" s="27" t="s">
        <v>7</v>
      </c>
      <c r="E6096" s="27" t="s">
        <v>12</v>
      </c>
      <c r="F6096" s="29"/>
      <c r="G6096" s="30">
        <v>1963.45</v>
      </c>
    </row>
    <row r="6097" spans="1:7" hidden="1" x14ac:dyDescent="0.25">
      <c r="A6097" s="28">
        <v>44044</v>
      </c>
      <c r="B6097" s="27" t="s">
        <v>4</v>
      </c>
      <c r="C6097" s="27" t="s">
        <v>50</v>
      </c>
      <c r="D6097" s="27" t="s">
        <v>7</v>
      </c>
      <c r="E6097" s="27" t="s">
        <v>13</v>
      </c>
      <c r="F6097" s="29"/>
      <c r="G6097" s="30">
        <v>5400.55</v>
      </c>
    </row>
    <row r="6098" spans="1:7" hidden="1" x14ac:dyDescent="0.25">
      <c r="A6098" s="28">
        <v>44044</v>
      </c>
      <c r="B6098" s="27" t="s">
        <v>4</v>
      </c>
      <c r="C6098" s="27" t="s">
        <v>50</v>
      </c>
      <c r="D6098" s="27" t="s">
        <v>7</v>
      </c>
      <c r="E6098" s="27" t="s">
        <v>14</v>
      </c>
      <c r="F6098" s="29"/>
      <c r="G6098" s="30">
        <v>913.79</v>
      </c>
    </row>
    <row r="6099" spans="1:7" hidden="1" x14ac:dyDescent="0.25">
      <c r="A6099" s="28">
        <v>44044</v>
      </c>
      <c r="B6099" s="27" t="s">
        <v>4</v>
      </c>
      <c r="C6099" s="27" t="s">
        <v>50</v>
      </c>
      <c r="D6099" s="27" t="s">
        <v>7</v>
      </c>
      <c r="E6099" s="27" t="s">
        <v>15</v>
      </c>
      <c r="F6099" s="29"/>
      <c r="G6099" s="30">
        <v>4109.07</v>
      </c>
    </row>
    <row r="6100" spans="1:7" hidden="1" x14ac:dyDescent="0.25">
      <c r="A6100" s="28">
        <v>44044</v>
      </c>
      <c r="B6100" s="27" t="s">
        <v>4</v>
      </c>
      <c r="C6100" s="27" t="s">
        <v>50</v>
      </c>
      <c r="D6100" s="27" t="s">
        <v>7</v>
      </c>
      <c r="E6100" s="27" t="s">
        <v>16</v>
      </c>
      <c r="F6100" s="29"/>
      <c r="G6100" s="30">
        <v>3463.36</v>
      </c>
    </row>
    <row r="6101" spans="1:7" hidden="1" x14ac:dyDescent="0.25">
      <c r="A6101" s="28">
        <v>44044</v>
      </c>
      <c r="B6101" s="27" t="s">
        <v>4</v>
      </c>
      <c r="C6101" s="27" t="s">
        <v>50</v>
      </c>
      <c r="D6101" s="27" t="s">
        <v>7</v>
      </c>
      <c r="E6101" s="27" t="s">
        <v>17</v>
      </c>
      <c r="F6101" s="29"/>
      <c r="G6101" s="30">
        <v>3573.31</v>
      </c>
    </row>
    <row r="6102" spans="1:7" hidden="1" x14ac:dyDescent="0.25">
      <c r="A6102" s="28">
        <v>44044</v>
      </c>
      <c r="B6102" s="27" t="s">
        <v>4</v>
      </c>
      <c r="C6102" s="27" t="s">
        <v>50</v>
      </c>
      <c r="D6102" s="27" t="s">
        <v>7</v>
      </c>
      <c r="E6102" s="27" t="s">
        <v>18</v>
      </c>
      <c r="F6102" s="29"/>
      <c r="G6102" s="30">
        <v>2522.39</v>
      </c>
    </row>
    <row r="6103" spans="1:7" hidden="1" x14ac:dyDescent="0.25">
      <c r="A6103" s="28">
        <v>44044</v>
      </c>
      <c r="B6103" s="27" t="s">
        <v>4</v>
      </c>
      <c r="C6103" s="27" t="s">
        <v>50</v>
      </c>
      <c r="D6103" s="27" t="s">
        <v>7</v>
      </c>
      <c r="E6103" s="27" t="s">
        <v>19</v>
      </c>
      <c r="F6103" s="29"/>
      <c r="G6103" s="30">
        <v>4595.7700000000004</v>
      </c>
    </row>
    <row r="6104" spans="1:7" hidden="1" x14ac:dyDescent="0.25">
      <c r="A6104" s="28">
        <v>44044</v>
      </c>
      <c r="B6104" s="27" t="s">
        <v>4</v>
      </c>
      <c r="C6104" s="27" t="s">
        <v>50</v>
      </c>
      <c r="D6104" s="27" t="s">
        <v>7</v>
      </c>
      <c r="E6104" s="27" t="s">
        <v>20</v>
      </c>
      <c r="F6104" s="29"/>
      <c r="G6104" s="30">
        <v>2365.64</v>
      </c>
    </row>
    <row r="6105" spans="1:7" hidden="1" x14ac:dyDescent="0.25">
      <c r="A6105" s="28">
        <v>44044</v>
      </c>
      <c r="B6105" s="27" t="s">
        <v>4</v>
      </c>
      <c r="C6105" s="27" t="s">
        <v>50</v>
      </c>
      <c r="D6105" s="27" t="s">
        <v>7</v>
      </c>
      <c r="E6105" s="27" t="s">
        <v>38</v>
      </c>
      <c r="F6105" s="29"/>
      <c r="G6105" s="30">
        <v>2707.23</v>
      </c>
    </row>
    <row r="6106" spans="1:7" hidden="1" x14ac:dyDescent="0.25">
      <c r="A6106" s="28">
        <v>44044</v>
      </c>
      <c r="B6106" s="27" t="s">
        <v>4</v>
      </c>
      <c r="C6106" s="27" t="s">
        <v>50</v>
      </c>
      <c r="D6106" s="27" t="s">
        <v>7</v>
      </c>
      <c r="E6106" s="27" t="s">
        <v>23</v>
      </c>
      <c r="F6106" s="29"/>
      <c r="G6106" s="30">
        <v>4825.92</v>
      </c>
    </row>
    <row r="6107" spans="1:7" hidden="1" x14ac:dyDescent="0.25">
      <c r="A6107" s="28">
        <v>44044</v>
      </c>
      <c r="B6107" s="27" t="s">
        <v>4</v>
      </c>
      <c r="C6107" s="27" t="s">
        <v>50</v>
      </c>
      <c r="D6107" s="27" t="s">
        <v>7</v>
      </c>
      <c r="E6107" s="27" t="s">
        <v>37</v>
      </c>
      <c r="F6107" s="29"/>
      <c r="G6107" s="30">
        <v>445</v>
      </c>
    </row>
    <row r="6108" spans="1:7" hidden="1" x14ac:dyDescent="0.25">
      <c r="A6108" s="28">
        <v>44044</v>
      </c>
      <c r="B6108" s="27" t="s">
        <v>26</v>
      </c>
      <c r="C6108" s="27" t="s">
        <v>50</v>
      </c>
      <c r="D6108" s="27" t="s">
        <v>6</v>
      </c>
      <c r="E6108" s="27" t="s">
        <v>8</v>
      </c>
      <c r="F6108" s="29"/>
      <c r="G6108" s="30">
        <v>1194.25</v>
      </c>
    </row>
    <row r="6109" spans="1:7" hidden="1" x14ac:dyDescent="0.25">
      <c r="A6109" s="28">
        <v>44044</v>
      </c>
      <c r="B6109" s="27" t="s">
        <v>26</v>
      </c>
      <c r="C6109" s="27" t="s">
        <v>50</v>
      </c>
      <c r="D6109" s="27" t="s">
        <v>6</v>
      </c>
      <c r="E6109" s="27" t="s">
        <v>9</v>
      </c>
      <c r="F6109" s="29"/>
      <c r="G6109" s="30">
        <v>1550.9166666666667</v>
      </c>
    </row>
    <row r="6110" spans="1:7" hidden="1" x14ac:dyDescent="0.25">
      <c r="A6110" s="28">
        <v>44044</v>
      </c>
      <c r="B6110" s="27" t="s">
        <v>26</v>
      </c>
      <c r="C6110" s="27" t="s">
        <v>50</v>
      </c>
      <c r="D6110" s="27" t="s">
        <v>6</v>
      </c>
      <c r="E6110" s="27" t="s">
        <v>22</v>
      </c>
      <c r="F6110" s="29"/>
      <c r="G6110" s="30">
        <v>1270.3500000000001</v>
      </c>
    </row>
    <row r="6111" spans="1:7" hidden="1" x14ac:dyDescent="0.25">
      <c r="A6111" s="28">
        <v>44044</v>
      </c>
      <c r="B6111" s="27" t="s">
        <v>26</v>
      </c>
      <c r="C6111" s="27" t="s">
        <v>50</v>
      </c>
      <c r="D6111" s="27" t="s">
        <v>6</v>
      </c>
      <c r="E6111" s="27" t="s">
        <v>64</v>
      </c>
      <c r="F6111" s="29"/>
      <c r="G6111" s="30">
        <v>1359.4166666666667</v>
      </c>
    </row>
    <row r="6112" spans="1:7" hidden="1" x14ac:dyDescent="0.25">
      <c r="A6112" s="28">
        <v>44044</v>
      </c>
      <c r="B6112" s="27" t="s">
        <v>26</v>
      </c>
      <c r="C6112" s="27" t="s">
        <v>50</v>
      </c>
      <c r="D6112" s="27" t="s">
        <v>6</v>
      </c>
      <c r="E6112" s="27" t="s">
        <v>21</v>
      </c>
      <c r="F6112" s="29"/>
      <c r="G6112" s="30">
        <v>1359.4166666666667</v>
      </c>
    </row>
    <row r="6113" spans="1:7" hidden="1" x14ac:dyDescent="0.25">
      <c r="A6113" s="28">
        <v>44044</v>
      </c>
      <c r="B6113" s="27" t="s">
        <v>26</v>
      </c>
      <c r="C6113" s="27" t="s">
        <v>50</v>
      </c>
      <c r="D6113" s="27" t="s">
        <v>6</v>
      </c>
      <c r="E6113" s="27" t="s">
        <v>10</v>
      </c>
      <c r="F6113" s="29"/>
      <c r="G6113" s="30">
        <v>1998.9666666666669</v>
      </c>
    </row>
    <row r="6114" spans="1:7" hidden="1" x14ac:dyDescent="0.25">
      <c r="A6114" s="28">
        <v>44044</v>
      </c>
      <c r="B6114" s="27" t="s">
        <v>26</v>
      </c>
      <c r="C6114" s="27" t="s">
        <v>50</v>
      </c>
      <c r="D6114" s="27" t="s">
        <v>6</v>
      </c>
      <c r="E6114" s="27" t="s">
        <v>11</v>
      </c>
      <c r="F6114" s="29"/>
      <c r="G6114" s="30">
        <v>1340.7166666666667</v>
      </c>
    </row>
    <row r="6115" spans="1:7" hidden="1" x14ac:dyDescent="0.25">
      <c r="A6115" s="28">
        <v>44044</v>
      </c>
      <c r="B6115" s="27" t="s">
        <v>26</v>
      </c>
      <c r="C6115" s="27" t="s">
        <v>50</v>
      </c>
      <c r="D6115" s="27" t="s">
        <v>6</v>
      </c>
      <c r="E6115" s="27" t="s">
        <v>12</v>
      </c>
      <c r="F6115" s="29"/>
      <c r="G6115" s="30">
        <v>1350.1166666666668</v>
      </c>
    </row>
    <row r="6116" spans="1:7" hidden="1" x14ac:dyDescent="0.25">
      <c r="A6116" s="28">
        <v>44044</v>
      </c>
      <c r="B6116" s="27" t="s">
        <v>26</v>
      </c>
      <c r="C6116" s="27" t="s">
        <v>50</v>
      </c>
      <c r="D6116" s="27" t="s">
        <v>6</v>
      </c>
      <c r="E6116" s="27" t="s">
        <v>13</v>
      </c>
      <c r="F6116" s="29"/>
      <c r="G6116" s="30">
        <v>1901.5</v>
      </c>
    </row>
    <row r="6117" spans="1:7" hidden="1" x14ac:dyDescent="0.25">
      <c r="A6117" s="28">
        <v>44044</v>
      </c>
      <c r="B6117" s="27" t="s">
        <v>26</v>
      </c>
      <c r="C6117" s="27" t="s">
        <v>50</v>
      </c>
      <c r="D6117" s="27" t="s">
        <v>6</v>
      </c>
      <c r="E6117" s="27" t="s">
        <v>14</v>
      </c>
      <c r="F6117" s="29"/>
      <c r="G6117" s="30">
        <v>701.7833333333333</v>
      </c>
    </row>
    <row r="6118" spans="1:7" hidden="1" x14ac:dyDescent="0.25">
      <c r="A6118" s="28">
        <v>44044</v>
      </c>
      <c r="B6118" s="27" t="s">
        <v>26</v>
      </c>
      <c r="C6118" s="27" t="s">
        <v>50</v>
      </c>
      <c r="D6118" s="27" t="s">
        <v>6</v>
      </c>
      <c r="E6118" s="27" t="s">
        <v>15</v>
      </c>
      <c r="F6118" s="29"/>
      <c r="G6118" s="30">
        <v>1820.5500000000002</v>
      </c>
    </row>
    <row r="6119" spans="1:7" hidden="1" x14ac:dyDescent="0.25">
      <c r="A6119" s="28">
        <v>44044</v>
      </c>
      <c r="B6119" s="27" t="s">
        <v>26</v>
      </c>
      <c r="C6119" s="27" t="s">
        <v>50</v>
      </c>
      <c r="D6119" s="27" t="s">
        <v>6</v>
      </c>
      <c r="E6119" s="27" t="s">
        <v>16</v>
      </c>
      <c r="F6119" s="29"/>
      <c r="G6119" s="30">
        <v>1992.5833333333333</v>
      </c>
    </row>
    <row r="6120" spans="1:7" hidden="1" x14ac:dyDescent="0.25">
      <c r="A6120" s="28">
        <v>44044</v>
      </c>
      <c r="B6120" s="27" t="s">
        <v>26</v>
      </c>
      <c r="C6120" s="27" t="s">
        <v>50</v>
      </c>
      <c r="D6120" s="27" t="s">
        <v>6</v>
      </c>
      <c r="E6120" s="27" t="s">
        <v>17</v>
      </c>
      <c r="F6120" s="29"/>
      <c r="G6120" s="30">
        <v>2822.1166666666668</v>
      </c>
    </row>
    <row r="6121" spans="1:7" hidden="1" x14ac:dyDescent="0.25">
      <c r="A6121" s="28">
        <v>44044</v>
      </c>
      <c r="B6121" s="27" t="s">
        <v>26</v>
      </c>
      <c r="C6121" s="27" t="s">
        <v>50</v>
      </c>
      <c r="D6121" s="27" t="s">
        <v>6</v>
      </c>
      <c r="E6121" s="27" t="s">
        <v>18</v>
      </c>
      <c r="F6121" s="29"/>
      <c r="G6121" s="30">
        <v>1488.6666666666667</v>
      </c>
    </row>
    <row r="6122" spans="1:7" hidden="1" x14ac:dyDescent="0.25">
      <c r="A6122" s="28">
        <v>44044</v>
      </c>
      <c r="B6122" s="27" t="s">
        <v>26</v>
      </c>
      <c r="C6122" s="27" t="s">
        <v>50</v>
      </c>
      <c r="D6122" s="27" t="s">
        <v>6</v>
      </c>
      <c r="E6122" s="27" t="s">
        <v>19</v>
      </c>
      <c r="F6122" s="29"/>
      <c r="G6122" s="30">
        <v>2454.8833333333337</v>
      </c>
    </row>
    <row r="6123" spans="1:7" hidden="1" x14ac:dyDescent="0.25">
      <c r="A6123" s="28">
        <v>44044</v>
      </c>
      <c r="B6123" s="27" t="s">
        <v>26</v>
      </c>
      <c r="C6123" s="27" t="s">
        <v>50</v>
      </c>
      <c r="D6123" s="27" t="s">
        <v>6</v>
      </c>
      <c r="E6123" s="27" t="s">
        <v>20</v>
      </c>
      <c r="F6123" s="29"/>
      <c r="G6123" s="30">
        <v>1590.3833333333334</v>
      </c>
    </row>
    <row r="6124" spans="1:7" hidden="1" x14ac:dyDescent="0.25">
      <c r="A6124" s="28">
        <v>44044</v>
      </c>
      <c r="B6124" s="27" t="s">
        <v>26</v>
      </c>
      <c r="C6124" s="27" t="s">
        <v>50</v>
      </c>
      <c r="D6124" s="27" t="s">
        <v>6</v>
      </c>
      <c r="E6124" s="27" t="s">
        <v>38</v>
      </c>
      <c r="F6124" s="29"/>
      <c r="G6124" s="30">
        <v>602</v>
      </c>
    </row>
    <row r="6125" spans="1:7" hidden="1" x14ac:dyDescent="0.25">
      <c r="A6125" s="28">
        <v>44044</v>
      </c>
      <c r="B6125" s="27" t="s">
        <v>26</v>
      </c>
      <c r="C6125" s="27" t="s">
        <v>50</v>
      </c>
      <c r="D6125" s="27" t="s">
        <v>6</v>
      </c>
      <c r="E6125" s="27" t="s">
        <v>23</v>
      </c>
      <c r="F6125" s="29"/>
      <c r="G6125" s="30">
        <v>2997.5</v>
      </c>
    </row>
    <row r="6126" spans="1:7" hidden="1" x14ac:dyDescent="0.25">
      <c r="A6126" s="28">
        <v>44044</v>
      </c>
      <c r="B6126" s="27" t="s">
        <v>26</v>
      </c>
      <c r="C6126" s="27" t="s">
        <v>50</v>
      </c>
      <c r="D6126" s="27" t="s">
        <v>6</v>
      </c>
      <c r="E6126" s="27" t="s">
        <v>37</v>
      </c>
      <c r="F6126" s="29"/>
      <c r="G6126" s="30">
        <v>250</v>
      </c>
    </row>
    <row r="6127" spans="1:7" hidden="1" x14ac:dyDescent="0.25">
      <c r="A6127" s="28">
        <v>44044</v>
      </c>
      <c r="B6127" s="27" t="s">
        <v>3</v>
      </c>
      <c r="C6127" s="27" t="s">
        <v>50</v>
      </c>
      <c r="D6127" s="27" t="s">
        <v>7</v>
      </c>
      <c r="E6127" s="27" t="s">
        <v>8</v>
      </c>
      <c r="F6127" s="29"/>
      <c r="G6127" s="30">
        <v>583.26222222222214</v>
      </c>
    </row>
    <row r="6128" spans="1:7" hidden="1" x14ac:dyDescent="0.25">
      <c r="A6128" s="28">
        <v>44044</v>
      </c>
      <c r="B6128" s="27" t="s">
        <v>3</v>
      </c>
      <c r="C6128" s="27" t="s">
        <v>50</v>
      </c>
      <c r="D6128" s="27" t="s">
        <v>7</v>
      </c>
      <c r="E6128" s="27" t="s">
        <v>9</v>
      </c>
      <c r="F6128" s="29"/>
      <c r="G6128" s="30">
        <v>583.26222222222214</v>
      </c>
    </row>
    <row r="6129" spans="1:7" hidden="1" x14ac:dyDescent="0.25">
      <c r="A6129" s="28">
        <v>44044</v>
      </c>
      <c r="B6129" s="27" t="s">
        <v>3</v>
      </c>
      <c r="C6129" s="27" t="s">
        <v>50</v>
      </c>
      <c r="D6129" s="27" t="s">
        <v>7</v>
      </c>
      <c r="E6129" s="27" t="s">
        <v>22</v>
      </c>
      <c r="F6129" s="29"/>
      <c r="G6129" s="30">
        <v>583.26222222222214</v>
      </c>
    </row>
    <row r="6130" spans="1:7" hidden="1" x14ac:dyDescent="0.25">
      <c r="A6130" s="28">
        <v>44044</v>
      </c>
      <c r="B6130" s="27" t="s">
        <v>3</v>
      </c>
      <c r="C6130" s="27" t="s">
        <v>50</v>
      </c>
      <c r="D6130" s="27" t="s">
        <v>7</v>
      </c>
      <c r="E6130" s="27" t="s">
        <v>64</v>
      </c>
      <c r="F6130" s="29"/>
      <c r="G6130" s="30">
        <v>583.26222222222214</v>
      </c>
    </row>
    <row r="6131" spans="1:7" hidden="1" x14ac:dyDescent="0.25">
      <c r="A6131" s="28">
        <v>44044</v>
      </c>
      <c r="B6131" s="27" t="s">
        <v>3</v>
      </c>
      <c r="C6131" s="27" t="s">
        <v>50</v>
      </c>
      <c r="D6131" s="27" t="s">
        <v>7</v>
      </c>
      <c r="E6131" s="27" t="s">
        <v>21</v>
      </c>
      <c r="F6131" s="29"/>
      <c r="G6131" s="30">
        <v>583.26222222222214</v>
      </c>
    </row>
    <row r="6132" spans="1:7" hidden="1" x14ac:dyDescent="0.25">
      <c r="A6132" s="28">
        <v>44044</v>
      </c>
      <c r="B6132" s="27" t="s">
        <v>3</v>
      </c>
      <c r="C6132" s="27" t="s">
        <v>50</v>
      </c>
      <c r="D6132" s="27" t="s">
        <v>7</v>
      </c>
      <c r="E6132" s="27" t="s">
        <v>10</v>
      </c>
      <c r="F6132" s="29"/>
      <c r="G6132" s="30">
        <v>583.26222222222214</v>
      </c>
    </row>
    <row r="6133" spans="1:7" hidden="1" x14ac:dyDescent="0.25">
      <c r="A6133" s="28">
        <v>44044</v>
      </c>
      <c r="B6133" s="27" t="s">
        <v>3</v>
      </c>
      <c r="C6133" s="27" t="s">
        <v>50</v>
      </c>
      <c r="D6133" s="27" t="s">
        <v>7</v>
      </c>
      <c r="E6133" s="27" t="s">
        <v>11</v>
      </c>
      <c r="F6133" s="29"/>
      <c r="G6133" s="30">
        <v>583.26222222222214</v>
      </c>
    </row>
    <row r="6134" spans="1:7" hidden="1" x14ac:dyDescent="0.25">
      <c r="A6134" s="28">
        <v>44044</v>
      </c>
      <c r="B6134" s="27" t="s">
        <v>3</v>
      </c>
      <c r="C6134" s="27" t="s">
        <v>50</v>
      </c>
      <c r="D6134" s="27" t="s">
        <v>7</v>
      </c>
      <c r="E6134" s="27" t="s">
        <v>12</v>
      </c>
      <c r="F6134" s="29"/>
      <c r="G6134" s="30">
        <v>583.26222222222214</v>
      </c>
    </row>
    <row r="6135" spans="1:7" hidden="1" x14ac:dyDescent="0.25">
      <c r="A6135" s="28">
        <v>44044</v>
      </c>
      <c r="B6135" s="27" t="s">
        <v>3</v>
      </c>
      <c r="C6135" s="27" t="s">
        <v>50</v>
      </c>
      <c r="D6135" s="27" t="s">
        <v>7</v>
      </c>
      <c r="E6135" s="27" t="s">
        <v>13</v>
      </c>
      <c r="F6135" s="29"/>
      <c r="G6135" s="30">
        <v>583.26222222222214</v>
      </c>
    </row>
    <row r="6136" spans="1:7" hidden="1" x14ac:dyDescent="0.25">
      <c r="A6136" s="28">
        <v>44044</v>
      </c>
      <c r="B6136" s="27" t="s">
        <v>3</v>
      </c>
      <c r="C6136" s="27" t="s">
        <v>50</v>
      </c>
      <c r="D6136" s="27" t="s">
        <v>7</v>
      </c>
      <c r="E6136" s="27" t="s">
        <v>14</v>
      </c>
      <c r="F6136" s="29"/>
      <c r="G6136" s="30">
        <v>583.26222222222214</v>
      </c>
    </row>
    <row r="6137" spans="1:7" hidden="1" x14ac:dyDescent="0.25">
      <c r="A6137" s="28">
        <v>44044</v>
      </c>
      <c r="B6137" s="27" t="s">
        <v>3</v>
      </c>
      <c r="C6137" s="27" t="s">
        <v>50</v>
      </c>
      <c r="D6137" s="27" t="s">
        <v>7</v>
      </c>
      <c r="E6137" s="27" t="s">
        <v>15</v>
      </c>
      <c r="F6137" s="29"/>
      <c r="G6137" s="30">
        <v>583.26222222222214</v>
      </c>
    </row>
    <row r="6138" spans="1:7" hidden="1" x14ac:dyDescent="0.25">
      <c r="A6138" s="28">
        <v>44044</v>
      </c>
      <c r="B6138" s="27" t="s">
        <v>3</v>
      </c>
      <c r="C6138" s="27" t="s">
        <v>50</v>
      </c>
      <c r="D6138" s="27" t="s">
        <v>7</v>
      </c>
      <c r="E6138" s="27" t="s">
        <v>16</v>
      </c>
      <c r="F6138" s="29"/>
      <c r="G6138" s="30">
        <v>583.26222222222214</v>
      </c>
    </row>
    <row r="6139" spans="1:7" hidden="1" x14ac:dyDescent="0.25">
      <c r="A6139" s="28">
        <v>44044</v>
      </c>
      <c r="B6139" s="27" t="s">
        <v>3</v>
      </c>
      <c r="C6139" s="27" t="s">
        <v>50</v>
      </c>
      <c r="D6139" s="27" t="s">
        <v>7</v>
      </c>
      <c r="E6139" s="27" t="s">
        <v>17</v>
      </c>
      <c r="F6139" s="29"/>
      <c r="G6139" s="30">
        <v>583.26222222222214</v>
      </c>
    </row>
    <row r="6140" spans="1:7" hidden="1" x14ac:dyDescent="0.25">
      <c r="A6140" s="28">
        <v>44044</v>
      </c>
      <c r="B6140" s="27" t="s">
        <v>3</v>
      </c>
      <c r="C6140" s="27" t="s">
        <v>50</v>
      </c>
      <c r="D6140" s="27" t="s">
        <v>7</v>
      </c>
      <c r="E6140" s="27" t="s">
        <v>18</v>
      </c>
      <c r="F6140" s="29"/>
      <c r="G6140" s="30">
        <v>583.26222222222214</v>
      </c>
    </row>
    <row r="6141" spans="1:7" hidden="1" x14ac:dyDescent="0.25">
      <c r="A6141" s="28">
        <v>44044</v>
      </c>
      <c r="B6141" s="27" t="s">
        <v>3</v>
      </c>
      <c r="C6141" s="27" t="s">
        <v>50</v>
      </c>
      <c r="D6141" s="27" t="s">
        <v>7</v>
      </c>
      <c r="E6141" s="27" t="s">
        <v>19</v>
      </c>
      <c r="F6141" s="29"/>
      <c r="G6141" s="30">
        <v>583.26222222222214</v>
      </c>
    </row>
    <row r="6142" spans="1:7" hidden="1" x14ac:dyDescent="0.25">
      <c r="A6142" s="28">
        <v>44044</v>
      </c>
      <c r="B6142" s="27" t="s">
        <v>3</v>
      </c>
      <c r="C6142" s="27" t="s">
        <v>50</v>
      </c>
      <c r="D6142" s="27" t="s">
        <v>7</v>
      </c>
      <c r="E6142" s="27" t="s">
        <v>20</v>
      </c>
      <c r="F6142" s="29"/>
      <c r="G6142" s="30">
        <v>583.26222222222214</v>
      </c>
    </row>
    <row r="6143" spans="1:7" hidden="1" x14ac:dyDescent="0.25">
      <c r="A6143" s="28">
        <v>44044</v>
      </c>
      <c r="B6143" s="27" t="s">
        <v>3</v>
      </c>
      <c r="C6143" s="27" t="s">
        <v>50</v>
      </c>
      <c r="D6143" s="27" t="s">
        <v>7</v>
      </c>
      <c r="E6143" s="27" t="s">
        <v>38</v>
      </c>
      <c r="F6143" s="29"/>
      <c r="G6143" s="30">
        <v>583.26222222222214</v>
      </c>
    </row>
    <row r="6144" spans="1:7" hidden="1" x14ac:dyDescent="0.25">
      <c r="A6144" s="28">
        <v>44044</v>
      </c>
      <c r="B6144" s="27" t="s">
        <v>3</v>
      </c>
      <c r="C6144" s="27" t="s">
        <v>50</v>
      </c>
      <c r="D6144" s="27" t="s">
        <v>7</v>
      </c>
      <c r="E6144" s="27" t="s">
        <v>23</v>
      </c>
      <c r="F6144" s="29"/>
      <c r="G6144" s="30">
        <v>583.26222222222214</v>
      </c>
    </row>
    <row r="6145" spans="1:7" hidden="1" x14ac:dyDescent="0.25">
      <c r="A6145" s="28">
        <v>44044</v>
      </c>
      <c r="B6145" s="27" t="s">
        <v>179</v>
      </c>
      <c r="C6145" s="27" t="s">
        <v>50</v>
      </c>
      <c r="D6145" s="27" t="s">
        <v>6</v>
      </c>
      <c r="E6145" s="27" t="s">
        <v>8</v>
      </c>
      <c r="F6145" s="29"/>
      <c r="G6145" s="30">
        <v>54.554166666666667</v>
      </c>
    </row>
    <row r="6146" spans="1:7" hidden="1" x14ac:dyDescent="0.25">
      <c r="A6146" s="28">
        <v>44044</v>
      </c>
      <c r="B6146" s="27" t="s">
        <v>179</v>
      </c>
      <c r="C6146" s="27" t="s">
        <v>50</v>
      </c>
      <c r="D6146" s="27" t="s">
        <v>6</v>
      </c>
      <c r="E6146" s="27" t="s">
        <v>9</v>
      </c>
      <c r="F6146" s="29"/>
      <c r="G6146" s="30">
        <v>73.436666666666667</v>
      </c>
    </row>
    <row r="6147" spans="1:7" hidden="1" x14ac:dyDescent="0.25">
      <c r="A6147" s="28">
        <v>44044</v>
      </c>
      <c r="B6147" s="27" t="s">
        <v>179</v>
      </c>
      <c r="C6147" s="27" t="s">
        <v>50</v>
      </c>
      <c r="D6147" s="27" t="s">
        <v>6</v>
      </c>
      <c r="E6147" s="27" t="s">
        <v>22</v>
      </c>
      <c r="F6147" s="29"/>
      <c r="G6147" s="30">
        <v>98.38666666666667</v>
      </c>
    </row>
    <row r="6148" spans="1:7" hidden="1" x14ac:dyDescent="0.25">
      <c r="A6148" s="28">
        <v>44044</v>
      </c>
      <c r="B6148" s="27" t="s">
        <v>179</v>
      </c>
      <c r="C6148" s="27" t="s">
        <v>50</v>
      </c>
      <c r="D6148" s="27" t="s">
        <v>6</v>
      </c>
      <c r="E6148" s="27" t="s">
        <v>64</v>
      </c>
      <c r="F6148" s="29"/>
      <c r="G6148" s="30">
        <v>58.149166666666666</v>
      </c>
    </row>
    <row r="6149" spans="1:7" hidden="1" x14ac:dyDescent="0.25">
      <c r="A6149" s="28">
        <v>44044</v>
      </c>
      <c r="B6149" s="27" t="s">
        <v>179</v>
      </c>
      <c r="C6149" s="27" t="s">
        <v>50</v>
      </c>
      <c r="D6149" s="27" t="s">
        <v>6</v>
      </c>
      <c r="E6149" s="27" t="s">
        <v>21</v>
      </c>
      <c r="F6149" s="29"/>
      <c r="G6149" s="30">
        <v>67.641666666666666</v>
      </c>
    </row>
    <row r="6150" spans="1:7" hidden="1" x14ac:dyDescent="0.25">
      <c r="A6150" s="28">
        <v>44044</v>
      </c>
      <c r="B6150" s="27" t="s">
        <v>179</v>
      </c>
      <c r="C6150" s="27" t="s">
        <v>50</v>
      </c>
      <c r="D6150" s="27" t="s">
        <v>6</v>
      </c>
      <c r="E6150" s="27" t="s">
        <v>10</v>
      </c>
      <c r="F6150" s="29"/>
      <c r="G6150" s="30">
        <v>88.40666666666668</v>
      </c>
    </row>
    <row r="6151" spans="1:7" hidden="1" x14ac:dyDescent="0.25">
      <c r="A6151" s="28">
        <v>44044</v>
      </c>
      <c r="B6151" s="27" t="s">
        <v>179</v>
      </c>
      <c r="C6151" s="27" t="s">
        <v>50</v>
      </c>
      <c r="D6151" s="27" t="s">
        <v>6</v>
      </c>
      <c r="E6151" s="27" t="s">
        <v>11</v>
      </c>
      <c r="F6151" s="29"/>
      <c r="G6151" s="30">
        <v>66.776666666666671</v>
      </c>
    </row>
    <row r="6152" spans="1:7" hidden="1" x14ac:dyDescent="0.25">
      <c r="A6152" s="28">
        <v>44044</v>
      </c>
      <c r="B6152" s="27" t="s">
        <v>179</v>
      </c>
      <c r="C6152" s="27" t="s">
        <v>50</v>
      </c>
      <c r="D6152" s="27" t="s">
        <v>6</v>
      </c>
      <c r="E6152" s="27" t="s">
        <v>12</v>
      </c>
      <c r="F6152" s="29"/>
      <c r="G6152" s="30">
        <v>68.674166666666665</v>
      </c>
    </row>
    <row r="6153" spans="1:7" hidden="1" x14ac:dyDescent="0.25">
      <c r="A6153" s="28">
        <v>44044</v>
      </c>
      <c r="B6153" s="27" t="s">
        <v>179</v>
      </c>
      <c r="C6153" s="27" t="s">
        <v>50</v>
      </c>
      <c r="D6153" s="27" t="s">
        <v>6</v>
      </c>
      <c r="E6153" s="27" t="s">
        <v>13</v>
      </c>
      <c r="F6153" s="29"/>
      <c r="G6153" s="30">
        <v>94.161666666666676</v>
      </c>
    </row>
    <row r="6154" spans="1:7" hidden="1" x14ac:dyDescent="0.25">
      <c r="A6154" s="28">
        <v>44044</v>
      </c>
      <c r="B6154" s="27" t="s">
        <v>179</v>
      </c>
      <c r="C6154" s="27" t="s">
        <v>50</v>
      </c>
      <c r="D6154" s="27" t="s">
        <v>6</v>
      </c>
      <c r="E6154" s="27" t="s">
        <v>14</v>
      </c>
      <c r="F6154" s="29"/>
      <c r="G6154" s="30">
        <v>84.979166666666671</v>
      </c>
    </row>
    <row r="6155" spans="1:7" hidden="1" x14ac:dyDescent="0.25">
      <c r="A6155" s="28">
        <v>44044</v>
      </c>
      <c r="B6155" s="27" t="s">
        <v>179</v>
      </c>
      <c r="C6155" s="27" t="s">
        <v>50</v>
      </c>
      <c r="D6155" s="27" t="s">
        <v>6</v>
      </c>
      <c r="E6155" s="27" t="s">
        <v>15</v>
      </c>
      <c r="F6155" s="29"/>
      <c r="G6155" s="30">
        <v>90.716666666666654</v>
      </c>
    </row>
    <row r="6156" spans="1:7" hidden="1" x14ac:dyDescent="0.25">
      <c r="A6156" s="28">
        <v>44044</v>
      </c>
      <c r="B6156" s="27" t="s">
        <v>179</v>
      </c>
      <c r="C6156" s="27" t="s">
        <v>50</v>
      </c>
      <c r="D6156" s="27" t="s">
        <v>6</v>
      </c>
      <c r="E6156" s="27" t="s">
        <v>16</v>
      </c>
      <c r="F6156" s="29"/>
      <c r="G6156" s="30">
        <v>92.149166666666659</v>
      </c>
    </row>
    <row r="6157" spans="1:7" hidden="1" x14ac:dyDescent="0.25">
      <c r="A6157" s="28">
        <v>44044</v>
      </c>
      <c r="B6157" s="27" t="s">
        <v>179</v>
      </c>
      <c r="C6157" s="27" t="s">
        <v>50</v>
      </c>
      <c r="D6157" s="27" t="s">
        <v>6</v>
      </c>
      <c r="E6157" s="27" t="s">
        <v>17</v>
      </c>
      <c r="F6157" s="29"/>
      <c r="G6157" s="30">
        <v>142.66166666666666</v>
      </c>
    </row>
    <row r="6158" spans="1:7" hidden="1" x14ac:dyDescent="0.25">
      <c r="A6158" s="28">
        <v>44044</v>
      </c>
      <c r="B6158" s="27" t="s">
        <v>179</v>
      </c>
      <c r="C6158" s="27" t="s">
        <v>50</v>
      </c>
      <c r="D6158" s="27" t="s">
        <v>6</v>
      </c>
      <c r="E6158" s="27" t="s">
        <v>18</v>
      </c>
      <c r="F6158" s="29"/>
      <c r="G6158" s="30">
        <v>190.84666666666666</v>
      </c>
    </row>
    <row r="6159" spans="1:7" hidden="1" x14ac:dyDescent="0.25">
      <c r="A6159" s="28">
        <v>44044</v>
      </c>
      <c r="B6159" s="27" t="s">
        <v>179</v>
      </c>
      <c r="C6159" s="27" t="s">
        <v>50</v>
      </c>
      <c r="D6159" s="27" t="s">
        <v>6</v>
      </c>
      <c r="E6159" s="27" t="s">
        <v>19</v>
      </c>
      <c r="F6159" s="29"/>
      <c r="G6159" s="30">
        <v>129.04666666666665</v>
      </c>
    </row>
    <row r="6160" spans="1:7" hidden="1" x14ac:dyDescent="0.25">
      <c r="A6160" s="28">
        <v>44044</v>
      </c>
      <c r="B6160" s="27" t="s">
        <v>179</v>
      </c>
      <c r="C6160" s="27" t="s">
        <v>50</v>
      </c>
      <c r="D6160" s="27" t="s">
        <v>6</v>
      </c>
      <c r="E6160" s="27" t="s">
        <v>20</v>
      </c>
      <c r="F6160" s="29"/>
      <c r="G6160" s="30">
        <v>235.09666666666666</v>
      </c>
    </row>
    <row r="6161" spans="1:7" hidden="1" x14ac:dyDescent="0.25">
      <c r="A6161" s="28">
        <v>44044</v>
      </c>
      <c r="B6161" s="27" t="s">
        <v>179</v>
      </c>
      <c r="C6161" s="27" t="s">
        <v>50</v>
      </c>
      <c r="D6161" s="27" t="s">
        <v>6</v>
      </c>
      <c r="E6161" s="27" t="s">
        <v>38</v>
      </c>
      <c r="F6161" s="29"/>
      <c r="G6161" s="30">
        <v>108.04666666666667</v>
      </c>
    </row>
    <row r="6162" spans="1:7" hidden="1" x14ac:dyDescent="0.25">
      <c r="A6162" s="28">
        <v>44044</v>
      </c>
      <c r="B6162" s="27" t="s">
        <v>179</v>
      </c>
      <c r="C6162" s="27" t="s">
        <v>50</v>
      </c>
      <c r="D6162" s="27" t="s">
        <v>6</v>
      </c>
      <c r="E6162" s="27" t="s">
        <v>23</v>
      </c>
      <c r="F6162" s="29"/>
      <c r="G6162" s="30">
        <v>149.57916666666668</v>
      </c>
    </row>
    <row r="6163" spans="1:7" hidden="1" x14ac:dyDescent="0.25">
      <c r="A6163" s="28">
        <v>44044</v>
      </c>
      <c r="B6163" s="27" t="s">
        <v>32</v>
      </c>
      <c r="C6163" s="27" t="s">
        <v>50</v>
      </c>
      <c r="D6163" s="27" t="s">
        <v>7</v>
      </c>
      <c r="E6163" s="27" t="s">
        <v>10</v>
      </c>
      <c r="F6163" s="29"/>
      <c r="G6163" s="30">
        <v>30</v>
      </c>
    </row>
    <row r="6164" spans="1:7" hidden="1" x14ac:dyDescent="0.25">
      <c r="A6164" s="28">
        <v>44044</v>
      </c>
      <c r="B6164" s="27" t="s">
        <v>32</v>
      </c>
      <c r="C6164" s="27" t="s">
        <v>50</v>
      </c>
      <c r="D6164" s="27" t="s">
        <v>7</v>
      </c>
      <c r="E6164" s="27" t="s">
        <v>17</v>
      </c>
      <c r="F6164" s="29"/>
      <c r="G6164" s="30">
        <v>30</v>
      </c>
    </row>
    <row r="6165" spans="1:7" hidden="1" x14ac:dyDescent="0.25">
      <c r="A6165" s="28">
        <v>44044</v>
      </c>
      <c r="B6165" s="27" t="s">
        <v>5</v>
      </c>
      <c r="C6165" s="27" t="s">
        <v>51</v>
      </c>
      <c r="D6165" s="27" t="s">
        <v>51</v>
      </c>
      <c r="E6165" s="27" t="s">
        <v>8</v>
      </c>
      <c r="F6165" s="29">
        <v>2190</v>
      </c>
      <c r="G6165" s="30">
        <v>7.2802670252877242</v>
      </c>
    </row>
    <row r="6166" spans="1:7" hidden="1" x14ac:dyDescent="0.25">
      <c r="A6166" s="28">
        <v>44044</v>
      </c>
      <c r="B6166" s="27" t="s">
        <v>5</v>
      </c>
      <c r="C6166" s="27" t="s">
        <v>51</v>
      </c>
      <c r="D6166" s="27" t="s">
        <v>51</v>
      </c>
      <c r="E6166" s="27" t="s">
        <v>9</v>
      </c>
      <c r="F6166" s="29">
        <v>3409</v>
      </c>
      <c r="G6166" s="30">
        <v>4.2083191411108194</v>
      </c>
    </row>
    <row r="6167" spans="1:7" hidden="1" x14ac:dyDescent="0.25">
      <c r="A6167" s="28">
        <v>44044</v>
      </c>
      <c r="B6167" s="27" t="s">
        <v>5</v>
      </c>
      <c r="C6167" s="27" t="s">
        <v>51</v>
      </c>
      <c r="D6167" s="27" t="s">
        <v>51</v>
      </c>
      <c r="E6167" s="27" t="s">
        <v>22</v>
      </c>
      <c r="F6167" s="29">
        <v>1452</v>
      </c>
      <c r="G6167" s="30">
        <v>9.3671985436502183</v>
      </c>
    </row>
    <row r="6168" spans="1:7" hidden="1" x14ac:dyDescent="0.25">
      <c r="A6168" s="28">
        <v>44044</v>
      </c>
      <c r="B6168" s="27" t="s">
        <v>5</v>
      </c>
      <c r="C6168" s="27" t="s">
        <v>51</v>
      </c>
      <c r="D6168" s="27" t="s">
        <v>51</v>
      </c>
      <c r="E6168" s="27" t="s">
        <v>64</v>
      </c>
      <c r="F6168" s="29">
        <v>2631</v>
      </c>
      <c r="G6168" s="30">
        <v>4.8861765306145131</v>
      </c>
    </row>
    <row r="6169" spans="1:7" hidden="1" x14ac:dyDescent="0.25">
      <c r="A6169" s="28">
        <v>44044</v>
      </c>
      <c r="B6169" s="27" t="s">
        <v>5</v>
      </c>
      <c r="C6169" s="27" t="s">
        <v>51</v>
      </c>
      <c r="D6169" s="27" t="s">
        <v>51</v>
      </c>
      <c r="E6169" s="27" t="s">
        <v>21</v>
      </c>
      <c r="F6169" s="29">
        <v>2139</v>
      </c>
      <c r="G6169" s="30">
        <v>6.3077998840798415</v>
      </c>
    </row>
    <row r="6170" spans="1:7" hidden="1" x14ac:dyDescent="0.25">
      <c r="A6170" s="28">
        <v>44044</v>
      </c>
      <c r="B6170" s="27" t="s">
        <v>5</v>
      </c>
      <c r="C6170" s="27" t="s">
        <v>51</v>
      </c>
      <c r="D6170" s="27" t="s">
        <v>51</v>
      </c>
      <c r="E6170" s="27" t="s">
        <v>10</v>
      </c>
      <c r="F6170" s="29">
        <v>5406</v>
      </c>
      <c r="G6170" s="30">
        <v>3.2787526733345884</v>
      </c>
    </row>
    <row r="6171" spans="1:7" hidden="1" x14ac:dyDescent="0.25">
      <c r="A6171" s="28">
        <v>44044</v>
      </c>
      <c r="B6171" s="27" t="s">
        <v>5</v>
      </c>
      <c r="C6171" s="27" t="s">
        <v>51</v>
      </c>
      <c r="D6171" s="27" t="s">
        <v>51</v>
      </c>
      <c r="E6171" s="27" t="s">
        <v>11</v>
      </c>
      <c r="F6171" s="29">
        <v>4165</v>
      </c>
      <c r="G6171" s="30">
        <v>3.0454691361456865</v>
      </c>
    </row>
    <row r="6172" spans="1:7" hidden="1" x14ac:dyDescent="0.25">
      <c r="A6172" s="28">
        <v>44044</v>
      </c>
      <c r="B6172" s="27" t="s">
        <v>5</v>
      </c>
      <c r="C6172" s="27" t="s">
        <v>51</v>
      </c>
      <c r="D6172" s="27" t="s">
        <v>51</v>
      </c>
      <c r="E6172" s="27" t="s">
        <v>12</v>
      </c>
      <c r="F6172" s="29">
        <v>3549</v>
      </c>
      <c r="G6172" s="30">
        <v>3.7584791355443175</v>
      </c>
    </row>
    <row r="6173" spans="1:7" hidden="1" x14ac:dyDescent="0.25">
      <c r="A6173" s="28">
        <v>44044</v>
      </c>
      <c r="B6173" s="27" t="s">
        <v>5</v>
      </c>
      <c r="C6173" s="27" t="s">
        <v>51</v>
      </c>
      <c r="D6173" s="27" t="s">
        <v>51</v>
      </c>
      <c r="E6173" s="27" t="s">
        <v>13</v>
      </c>
      <c r="F6173" s="29">
        <v>7100</v>
      </c>
      <c r="G6173" s="30">
        <v>2.5835187725887487</v>
      </c>
    </row>
    <row r="6174" spans="1:7" hidden="1" x14ac:dyDescent="0.25">
      <c r="A6174" s="28">
        <v>44044</v>
      </c>
      <c r="B6174" s="27" t="s">
        <v>5</v>
      </c>
      <c r="C6174" s="27" t="s">
        <v>51</v>
      </c>
      <c r="D6174" s="27" t="s">
        <v>51</v>
      </c>
      <c r="E6174" s="27" t="s">
        <v>14</v>
      </c>
      <c r="F6174" s="29">
        <v>1733</v>
      </c>
      <c r="G6174" s="30">
        <v>6.1463872583459027</v>
      </c>
    </row>
    <row r="6175" spans="1:7" hidden="1" x14ac:dyDescent="0.25">
      <c r="A6175" s="28">
        <v>44044</v>
      </c>
      <c r="B6175" s="27" t="s">
        <v>5</v>
      </c>
      <c r="C6175" s="27" t="s">
        <v>51</v>
      </c>
      <c r="D6175" s="27" t="s">
        <v>51</v>
      </c>
      <c r="E6175" s="27" t="s">
        <v>15</v>
      </c>
      <c r="F6175" s="29">
        <v>6265</v>
      </c>
      <c r="G6175" s="30">
        <v>2.4555907877701699</v>
      </c>
    </row>
    <row r="6176" spans="1:7" hidden="1" x14ac:dyDescent="0.25">
      <c r="A6176" s="28">
        <v>44044</v>
      </c>
      <c r="B6176" s="27" t="s">
        <v>5</v>
      </c>
      <c r="C6176" s="27" t="s">
        <v>51</v>
      </c>
      <c r="D6176" s="27" t="s">
        <v>51</v>
      </c>
      <c r="E6176" s="27" t="s">
        <v>16</v>
      </c>
      <c r="F6176" s="29">
        <v>5273</v>
      </c>
      <c r="G6176" s="30">
        <v>2.7036503164637682</v>
      </c>
    </row>
    <row r="6177" spans="1:7" hidden="1" x14ac:dyDescent="0.25">
      <c r="A6177" s="28">
        <v>44044</v>
      </c>
      <c r="B6177" s="27" t="s">
        <v>5</v>
      </c>
      <c r="C6177" s="27" t="s">
        <v>51</v>
      </c>
      <c r="D6177" s="27" t="s">
        <v>51</v>
      </c>
      <c r="E6177" s="27" t="s">
        <v>17</v>
      </c>
      <c r="F6177" s="29">
        <v>4599</v>
      </c>
      <c r="G6177" s="30">
        <v>3.7143431076422671</v>
      </c>
    </row>
    <row r="6178" spans="1:7" hidden="1" x14ac:dyDescent="0.25">
      <c r="A6178" s="28">
        <v>44044</v>
      </c>
      <c r="B6178" s="27" t="s">
        <v>5</v>
      </c>
      <c r="C6178" s="27" t="s">
        <v>51</v>
      </c>
      <c r="D6178" s="27" t="s">
        <v>51</v>
      </c>
      <c r="E6178" s="27" t="s">
        <v>18</v>
      </c>
      <c r="F6178" s="29">
        <v>4850</v>
      </c>
      <c r="G6178" s="30">
        <v>2.6142133921745945</v>
      </c>
    </row>
    <row r="6179" spans="1:7" hidden="1" x14ac:dyDescent="0.25">
      <c r="A6179" s="28">
        <v>44044</v>
      </c>
      <c r="B6179" s="27" t="s">
        <v>5</v>
      </c>
      <c r="C6179" s="27" t="s">
        <v>51</v>
      </c>
      <c r="D6179" s="27" t="s">
        <v>51</v>
      </c>
      <c r="E6179" s="27" t="s">
        <v>19</v>
      </c>
      <c r="F6179" s="29">
        <v>5098</v>
      </c>
      <c r="G6179" s="30">
        <v>3.282969324973215</v>
      </c>
    </row>
    <row r="6180" spans="1:7" hidden="1" x14ac:dyDescent="0.25">
      <c r="A6180" s="28">
        <v>44044</v>
      </c>
      <c r="B6180" s="27" t="s">
        <v>5</v>
      </c>
      <c r="C6180" s="27" t="s">
        <v>51</v>
      </c>
      <c r="D6180" s="27" t="s">
        <v>51</v>
      </c>
      <c r="E6180" s="27" t="s">
        <v>20</v>
      </c>
      <c r="F6180" s="29">
        <v>4500</v>
      </c>
      <c r="G6180" s="30">
        <v>2.7292112486029887</v>
      </c>
    </row>
    <row r="6181" spans="1:7" hidden="1" x14ac:dyDescent="0.25">
      <c r="A6181" s="28">
        <v>44044</v>
      </c>
      <c r="B6181" s="27" t="s">
        <v>5</v>
      </c>
      <c r="C6181" s="27" t="s">
        <v>51</v>
      </c>
      <c r="D6181" s="27" t="s">
        <v>51</v>
      </c>
      <c r="E6181" s="27" t="s">
        <v>38</v>
      </c>
      <c r="F6181" s="29">
        <v>3290</v>
      </c>
      <c r="G6181" s="30">
        <v>3.6075523663769355</v>
      </c>
    </row>
    <row r="6182" spans="1:7" hidden="1" x14ac:dyDescent="0.25">
      <c r="A6182" s="28">
        <v>44044</v>
      </c>
      <c r="B6182" s="27" t="s">
        <v>5</v>
      </c>
      <c r="C6182" s="27" t="s">
        <v>51</v>
      </c>
      <c r="D6182" s="27" t="s">
        <v>51</v>
      </c>
      <c r="E6182" s="27" t="s">
        <v>23</v>
      </c>
      <c r="F6182" s="29">
        <v>5975</v>
      </c>
      <c r="G6182" s="30">
        <v>2.9571147757958354</v>
      </c>
    </row>
    <row r="6183" spans="1:7" hidden="1" x14ac:dyDescent="0.25">
      <c r="A6183" s="28">
        <v>44044</v>
      </c>
      <c r="B6183" s="27" t="s">
        <v>180</v>
      </c>
      <c r="C6183" s="27" t="s">
        <v>50</v>
      </c>
      <c r="D6183" s="27" t="s">
        <v>7</v>
      </c>
      <c r="E6183" s="27" t="s">
        <v>8</v>
      </c>
      <c r="F6183" s="29"/>
      <c r="G6183" s="30">
        <v>3699</v>
      </c>
    </row>
    <row r="6184" spans="1:7" hidden="1" x14ac:dyDescent="0.25">
      <c r="A6184" s="28">
        <v>44044</v>
      </c>
      <c r="B6184" s="27" t="s">
        <v>180</v>
      </c>
      <c r="C6184" s="27" t="s">
        <v>50</v>
      </c>
      <c r="D6184" s="27" t="s">
        <v>7</v>
      </c>
      <c r="E6184" s="27" t="s">
        <v>9</v>
      </c>
      <c r="F6184" s="29"/>
      <c r="G6184" s="30">
        <v>120</v>
      </c>
    </row>
    <row r="6185" spans="1:7" hidden="1" x14ac:dyDescent="0.25">
      <c r="A6185" s="28">
        <v>44044</v>
      </c>
      <c r="B6185" s="27" t="s">
        <v>180</v>
      </c>
      <c r="C6185" s="27" t="s">
        <v>50</v>
      </c>
      <c r="D6185" s="27" t="s">
        <v>7</v>
      </c>
      <c r="E6185" s="27" t="s">
        <v>64</v>
      </c>
      <c r="F6185" s="29"/>
      <c r="G6185" s="30">
        <v>190</v>
      </c>
    </row>
    <row r="6186" spans="1:7" hidden="1" x14ac:dyDescent="0.25">
      <c r="A6186" s="28">
        <v>44044</v>
      </c>
      <c r="B6186" s="27" t="s">
        <v>180</v>
      </c>
      <c r="C6186" s="27" t="s">
        <v>50</v>
      </c>
      <c r="D6186" s="27" t="s">
        <v>7</v>
      </c>
      <c r="E6186" s="27" t="s">
        <v>21</v>
      </c>
      <c r="F6186" s="29"/>
      <c r="G6186" s="30">
        <v>2374.5</v>
      </c>
    </row>
    <row r="6187" spans="1:7" hidden="1" x14ac:dyDescent="0.25">
      <c r="A6187" s="28">
        <v>44044</v>
      </c>
      <c r="B6187" s="27" t="s">
        <v>180</v>
      </c>
      <c r="C6187" s="27" t="s">
        <v>50</v>
      </c>
      <c r="D6187" s="27" t="s">
        <v>7</v>
      </c>
      <c r="E6187" s="27" t="s">
        <v>10</v>
      </c>
      <c r="F6187" s="29"/>
      <c r="G6187" s="30">
        <v>148.24</v>
      </c>
    </row>
    <row r="6188" spans="1:7" hidden="1" x14ac:dyDescent="0.25">
      <c r="A6188" s="28">
        <v>44044</v>
      </c>
      <c r="B6188" s="27" t="s">
        <v>180</v>
      </c>
      <c r="C6188" s="27" t="s">
        <v>50</v>
      </c>
      <c r="D6188" s="27" t="s">
        <v>7</v>
      </c>
      <c r="E6188" s="27" t="s">
        <v>11</v>
      </c>
      <c r="F6188" s="29"/>
      <c r="G6188" s="30">
        <v>480</v>
      </c>
    </row>
    <row r="6189" spans="1:7" hidden="1" x14ac:dyDescent="0.25">
      <c r="A6189" s="28">
        <v>44044</v>
      </c>
      <c r="B6189" s="27" t="s">
        <v>180</v>
      </c>
      <c r="C6189" s="27" t="s">
        <v>50</v>
      </c>
      <c r="D6189" s="27" t="s">
        <v>7</v>
      </c>
      <c r="E6189" s="27" t="s">
        <v>12</v>
      </c>
      <c r="F6189" s="29"/>
      <c r="G6189" s="30">
        <v>1556.53</v>
      </c>
    </row>
    <row r="6190" spans="1:7" hidden="1" x14ac:dyDescent="0.25">
      <c r="A6190" s="28">
        <v>44044</v>
      </c>
      <c r="B6190" s="27" t="s">
        <v>180</v>
      </c>
      <c r="C6190" s="27" t="s">
        <v>50</v>
      </c>
      <c r="D6190" s="27" t="s">
        <v>7</v>
      </c>
      <c r="E6190" s="27" t="s">
        <v>13</v>
      </c>
      <c r="F6190" s="29"/>
      <c r="G6190" s="30">
        <v>1180</v>
      </c>
    </row>
    <row r="6191" spans="1:7" hidden="1" x14ac:dyDescent="0.25">
      <c r="A6191" s="28">
        <v>44044</v>
      </c>
      <c r="B6191" s="27" t="s">
        <v>180</v>
      </c>
      <c r="C6191" s="27" t="s">
        <v>50</v>
      </c>
      <c r="D6191" s="27" t="s">
        <v>7</v>
      </c>
      <c r="E6191" s="27" t="s">
        <v>14</v>
      </c>
      <c r="F6191" s="29"/>
      <c r="G6191" s="30">
        <v>1178</v>
      </c>
    </row>
    <row r="6192" spans="1:7" hidden="1" x14ac:dyDescent="0.25">
      <c r="A6192" s="28">
        <v>44044</v>
      </c>
      <c r="B6192" s="27" t="s">
        <v>180</v>
      </c>
      <c r="C6192" s="27" t="s">
        <v>50</v>
      </c>
      <c r="D6192" s="27" t="s">
        <v>7</v>
      </c>
      <c r="E6192" s="27" t="s">
        <v>15</v>
      </c>
      <c r="F6192" s="29"/>
      <c r="G6192" s="30">
        <v>580</v>
      </c>
    </row>
    <row r="6193" spans="1:7" hidden="1" x14ac:dyDescent="0.25">
      <c r="A6193" s="28">
        <v>44044</v>
      </c>
      <c r="B6193" s="27" t="s">
        <v>180</v>
      </c>
      <c r="C6193" s="27" t="s">
        <v>50</v>
      </c>
      <c r="D6193" s="27" t="s">
        <v>7</v>
      </c>
      <c r="E6193" s="27" t="s">
        <v>17</v>
      </c>
      <c r="F6193" s="29"/>
      <c r="G6193" s="30">
        <v>359.12</v>
      </c>
    </row>
    <row r="6194" spans="1:7" hidden="1" x14ac:dyDescent="0.25">
      <c r="A6194" s="28">
        <v>44044</v>
      </c>
      <c r="B6194" s="27" t="s">
        <v>180</v>
      </c>
      <c r="C6194" s="27" t="s">
        <v>50</v>
      </c>
      <c r="D6194" s="27" t="s">
        <v>7</v>
      </c>
      <c r="E6194" s="27" t="s">
        <v>18</v>
      </c>
      <c r="F6194" s="29"/>
      <c r="G6194" s="30">
        <v>138.65</v>
      </c>
    </row>
    <row r="6195" spans="1:7" hidden="1" x14ac:dyDescent="0.25">
      <c r="A6195" s="28">
        <v>44044</v>
      </c>
      <c r="B6195" s="27" t="s">
        <v>180</v>
      </c>
      <c r="C6195" s="27" t="s">
        <v>50</v>
      </c>
      <c r="D6195" s="27" t="s">
        <v>7</v>
      </c>
      <c r="E6195" s="27" t="s">
        <v>19</v>
      </c>
      <c r="F6195" s="29"/>
      <c r="G6195" s="30">
        <v>350</v>
      </c>
    </row>
    <row r="6196" spans="1:7" hidden="1" x14ac:dyDescent="0.25">
      <c r="A6196" s="28">
        <v>44044</v>
      </c>
      <c r="B6196" s="27" t="s">
        <v>180</v>
      </c>
      <c r="C6196" s="27" t="s">
        <v>50</v>
      </c>
      <c r="D6196" s="27" t="s">
        <v>7</v>
      </c>
      <c r="E6196" s="27" t="s">
        <v>20</v>
      </c>
      <c r="F6196" s="29"/>
      <c r="G6196" s="30">
        <v>40</v>
      </c>
    </row>
    <row r="6197" spans="1:7" hidden="1" x14ac:dyDescent="0.25">
      <c r="A6197" s="28">
        <v>44044</v>
      </c>
      <c r="B6197" s="27" t="s">
        <v>180</v>
      </c>
      <c r="C6197" s="27" t="s">
        <v>50</v>
      </c>
      <c r="D6197" s="27" t="s">
        <v>7</v>
      </c>
      <c r="E6197" s="27" t="s">
        <v>23</v>
      </c>
      <c r="F6197" s="29"/>
      <c r="G6197" s="30">
        <v>560</v>
      </c>
    </row>
    <row r="6198" spans="1:7" hidden="1" x14ac:dyDescent="0.25">
      <c r="A6198" s="28">
        <v>44044</v>
      </c>
      <c r="B6198" s="27" t="s">
        <v>181</v>
      </c>
      <c r="C6198" s="27" t="s">
        <v>50</v>
      </c>
      <c r="D6198" s="27" t="s">
        <v>6</v>
      </c>
      <c r="E6198" s="27" t="s">
        <v>22</v>
      </c>
      <c r="F6198" s="29"/>
      <c r="G6198" s="30">
        <v>180</v>
      </c>
    </row>
    <row r="6199" spans="1:7" hidden="1" x14ac:dyDescent="0.25">
      <c r="A6199" s="28">
        <v>44044</v>
      </c>
      <c r="B6199" s="27" t="s">
        <v>181</v>
      </c>
      <c r="C6199" s="27" t="s">
        <v>50</v>
      </c>
      <c r="D6199" s="27" t="s">
        <v>6</v>
      </c>
      <c r="E6199" s="27" t="s">
        <v>10</v>
      </c>
      <c r="F6199" s="29"/>
      <c r="G6199" s="30">
        <v>125</v>
      </c>
    </row>
    <row r="6200" spans="1:7" hidden="1" x14ac:dyDescent="0.25">
      <c r="A6200" s="28">
        <v>44044</v>
      </c>
      <c r="B6200" s="27" t="s">
        <v>181</v>
      </c>
      <c r="C6200" s="27" t="s">
        <v>50</v>
      </c>
      <c r="D6200" s="27" t="s">
        <v>6</v>
      </c>
      <c r="E6200" s="27" t="s">
        <v>11</v>
      </c>
      <c r="F6200" s="29"/>
      <c r="G6200" s="30">
        <v>35</v>
      </c>
    </row>
    <row r="6201" spans="1:7" hidden="1" x14ac:dyDescent="0.25">
      <c r="A6201" s="28">
        <v>44044</v>
      </c>
      <c r="B6201" s="27" t="s">
        <v>181</v>
      </c>
      <c r="C6201" s="27" t="s">
        <v>50</v>
      </c>
      <c r="D6201" s="27" t="s">
        <v>6</v>
      </c>
      <c r="E6201" s="27" t="s">
        <v>12</v>
      </c>
      <c r="F6201" s="29"/>
      <c r="G6201" s="30">
        <v>35</v>
      </c>
    </row>
    <row r="6202" spans="1:7" hidden="1" x14ac:dyDescent="0.25">
      <c r="A6202" s="28">
        <v>44044</v>
      </c>
      <c r="B6202" s="27" t="s">
        <v>181</v>
      </c>
      <c r="C6202" s="27" t="s">
        <v>50</v>
      </c>
      <c r="D6202" s="27" t="s">
        <v>6</v>
      </c>
      <c r="E6202" s="27" t="s">
        <v>17</v>
      </c>
      <c r="F6202" s="29"/>
      <c r="G6202" s="30">
        <v>260</v>
      </c>
    </row>
    <row r="6203" spans="1:7" hidden="1" x14ac:dyDescent="0.25">
      <c r="A6203" s="28">
        <v>44044</v>
      </c>
      <c r="B6203" s="27" t="s">
        <v>181</v>
      </c>
      <c r="C6203" s="27" t="s">
        <v>50</v>
      </c>
      <c r="D6203" s="27" t="s">
        <v>6</v>
      </c>
      <c r="E6203" s="27" t="s">
        <v>18</v>
      </c>
      <c r="F6203" s="29"/>
      <c r="G6203" s="30">
        <v>167.57</v>
      </c>
    </row>
    <row r="6204" spans="1:7" hidden="1" x14ac:dyDescent="0.25">
      <c r="A6204" s="28">
        <v>44044</v>
      </c>
      <c r="B6204" s="27" t="s">
        <v>181</v>
      </c>
      <c r="C6204" s="27" t="s">
        <v>50</v>
      </c>
      <c r="D6204" s="27" t="s">
        <v>6</v>
      </c>
      <c r="E6204" s="27" t="s">
        <v>38</v>
      </c>
      <c r="F6204" s="29"/>
      <c r="G6204" s="30">
        <v>434.21</v>
      </c>
    </row>
    <row r="6205" spans="1:7" hidden="1" x14ac:dyDescent="0.25">
      <c r="A6205" s="28">
        <v>44044</v>
      </c>
      <c r="B6205" s="27" t="s">
        <v>2</v>
      </c>
      <c r="C6205" s="27" t="s">
        <v>50</v>
      </c>
      <c r="D6205" s="27" t="s">
        <v>7</v>
      </c>
      <c r="E6205" s="27" t="s">
        <v>8</v>
      </c>
      <c r="F6205" s="29"/>
      <c r="G6205" s="30">
        <v>367.97</v>
      </c>
    </row>
    <row r="6206" spans="1:7" hidden="1" x14ac:dyDescent="0.25">
      <c r="A6206" s="28">
        <v>44044</v>
      </c>
      <c r="B6206" s="27" t="s">
        <v>2</v>
      </c>
      <c r="C6206" s="27" t="s">
        <v>50</v>
      </c>
      <c r="D6206" s="27" t="s">
        <v>7</v>
      </c>
      <c r="E6206" s="27" t="s">
        <v>9</v>
      </c>
      <c r="F6206" s="29"/>
      <c r="G6206" s="30">
        <v>545.70000000000005</v>
      </c>
    </row>
    <row r="6207" spans="1:7" hidden="1" x14ac:dyDescent="0.25">
      <c r="A6207" s="28">
        <v>44044</v>
      </c>
      <c r="B6207" s="27" t="s">
        <v>2</v>
      </c>
      <c r="C6207" s="27" t="s">
        <v>50</v>
      </c>
      <c r="D6207" s="27" t="s">
        <v>7</v>
      </c>
      <c r="E6207" s="27" t="s">
        <v>22</v>
      </c>
      <c r="F6207" s="29"/>
      <c r="G6207" s="30">
        <v>315.18</v>
      </c>
    </row>
    <row r="6208" spans="1:7" hidden="1" x14ac:dyDescent="0.25">
      <c r="A6208" s="28">
        <v>44044</v>
      </c>
      <c r="B6208" s="27" t="s">
        <v>2</v>
      </c>
      <c r="C6208" s="27" t="s">
        <v>50</v>
      </c>
      <c r="D6208" s="27" t="s">
        <v>7</v>
      </c>
      <c r="E6208" s="27" t="s">
        <v>64</v>
      </c>
      <c r="F6208" s="29"/>
      <c r="G6208" s="30">
        <v>362.17</v>
      </c>
    </row>
    <row r="6209" spans="1:7" hidden="1" x14ac:dyDescent="0.25">
      <c r="A6209" s="28">
        <v>44044</v>
      </c>
      <c r="B6209" s="27" t="s">
        <v>2</v>
      </c>
      <c r="C6209" s="27" t="s">
        <v>50</v>
      </c>
      <c r="D6209" s="27" t="s">
        <v>7</v>
      </c>
      <c r="E6209" s="27" t="s">
        <v>21</v>
      </c>
      <c r="F6209" s="29"/>
      <c r="G6209" s="30">
        <v>236.47</v>
      </c>
    </row>
    <row r="6210" spans="1:7" hidden="1" x14ac:dyDescent="0.25">
      <c r="A6210" s="28">
        <v>44044</v>
      </c>
      <c r="B6210" s="27" t="s">
        <v>2</v>
      </c>
      <c r="C6210" s="27" t="s">
        <v>50</v>
      </c>
      <c r="D6210" s="27" t="s">
        <v>7</v>
      </c>
      <c r="E6210" s="27" t="s">
        <v>10</v>
      </c>
      <c r="F6210" s="29"/>
      <c r="G6210" s="30">
        <v>842.07</v>
      </c>
    </row>
    <row r="6211" spans="1:7" hidden="1" x14ac:dyDescent="0.25">
      <c r="A6211" s="28">
        <v>44044</v>
      </c>
      <c r="B6211" s="27" t="s">
        <v>2</v>
      </c>
      <c r="C6211" s="27" t="s">
        <v>50</v>
      </c>
      <c r="D6211" s="27" t="s">
        <v>7</v>
      </c>
      <c r="E6211" s="27" t="s">
        <v>11</v>
      </c>
      <c r="F6211" s="29"/>
      <c r="G6211" s="30">
        <v>514.27</v>
      </c>
    </row>
    <row r="6212" spans="1:7" hidden="1" x14ac:dyDescent="0.25">
      <c r="A6212" s="28">
        <v>44044</v>
      </c>
      <c r="B6212" s="27" t="s">
        <v>2</v>
      </c>
      <c r="C6212" s="27" t="s">
        <v>50</v>
      </c>
      <c r="D6212" s="27" t="s">
        <v>7</v>
      </c>
      <c r="E6212" s="27" t="s">
        <v>12</v>
      </c>
      <c r="F6212" s="29"/>
      <c r="G6212" s="30">
        <v>353.47</v>
      </c>
    </row>
    <row r="6213" spans="1:7" hidden="1" x14ac:dyDescent="0.25">
      <c r="A6213" s="28">
        <v>44044</v>
      </c>
      <c r="B6213" s="27" t="s">
        <v>2</v>
      </c>
      <c r="C6213" s="27" t="s">
        <v>50</v>
      </c>
      <c r="D6213" s="27" t="s">
        <v>7</v>
      </c>
      <c r="E6213" s="27" t="s">
        <v>13</v>
      </c>
      <c r="F6213" s="29"/>
      <c r="G6213" s="30">
        <v>1574.69</v>
      </c>
    </row>
    <row r="6214" spans="1:7" hidden="1" x14ac:dyDescent="0.25">
      <c r="A6214" s="28">
        <v>44044</v>
      </c>
      <c r="B6214" s="27" t="s">
        <v>2</v>
      </c>
      <c r="C6214" s="27" t="s">
        <v>50</v>
      </c>
      <c r="D6214" s="27" t="s">
        <v>7</v>
      </c>
      <c r="E6214" s="27" t="s">
        <v>14</v>
      </c>
      <c r="F6214" s="29"/>
      <c r="G6214" s="30">
        <v>25.72</v>
      </c>
    </row>
    <row r="6215" spans="1:7" hidden="1" x14ac:dyDescent="0.25">
      <c r="A6215" s="28">
        <v>44044</v>
      </c>
      <c r="B6215" s="27" t="s">
        <v>2</v>
      </c>
      <c r="C6215" s="27" t="s">
        <v>50</v>
      </c>
      <c r="D6215" s="27" t="s">
        <v>7</v>
      </c>
      <c r="E6215" s="27" t="s">
        <v>15</v>
      </c>
      <c r="F6215" s="29"/>
      <c r="G6215" s="30">
        <v>501.61</v>
      </c>
    </row>
    <row r="6216" spans="1:7" hidden="1" x14ac:dyDescent="0.25">
      <c r="A6216" s="28">
        <v>44044</v>
      </c>
      <c r="B6216" s="27" t="s">
        <v>2</v>
      </c>
      <c r="C6216" s="27" t="s">
        <v>50</v>
      </c>
      <c r="D6216" s="27" t="s">
        <v>7</v>
      </c>
      <c r="E6216" s="27" t="s">
        <v>16</v>
      </c>
      <c r="F6216" s="29"/>
      <c r="G6216" s="30">
        <v>289.41000000000003</v>
      </c>
    </row>
    <row r="6217" spans="1:7" hidden="1" x14ac:dyDescent="0.25">
      <c r="A6217" s="28">
        <v>44044</v>
      </c>
      <c r="B6217" s="27" t="s">
        <v>2</v>
      </c>
      <c r="C6217" s="27" t="s">
        <v>50</v>
      </c>
      <c r="D6217" s="27" t="s">
        <v>7</v>
      </c>
      <c r="E6217" s="27" t="s">
        <v>17</v>
      </c>
      <c r="F6217" s="29"/>
      <c r="G6217" s="30">
        <v>1095.8699999999999</v>
      </c>
    </row>
    <row r="6218" spans="1:7" hidden="1" x14ac:dyDescent="0.25">
      <c r="A6218" s="28">
        <v>44044</v>
      </c>
      <c r="B6218" s="27" t="s">
        <v>2</v>
      </c>
      <c r="C6218" s="27" t="s">
        <v>50</v>
      </c>
      <c r="D6218" s="27" t="s">
        <v>7</v>
      </c>
      <c r="E6218" s="27" t="s">
        <v>18</v>
      </c>
      <c r="F6218" s="29"/>
      <c r="G6218" s="30">
        <v>39.520000000000003</v>
      </c>
    </row>
    <row r="6219" spans="1:7" hidden="1" x14ac:dyDescent="0.25">
      <c r="A6219" s="28">
        <v>44044</v>
      </c>
      <c r="B6219" s="27" t="s">
        <v>2</v>
      </c>
      <c r="C6219" s="27" t="s">
        <v>50</v>
      </c>
      <c r="D6219" s="27" t="s">
        <v>7</v>
      </c>
      <c r="E6219" s="27" t="s">
        <v>19</v>
      </c>
      <c r="F6219" s="29"/>
      <c r="G6219" s="30">
        <v>723.35</v>
      </c>
    </row>
    <row r="6220" spans="1:7" hidden="1" x14ac:dyDescent="0.25">
      <c r="A6220" s="28">
        <v>44044</v>
      </c>
      <c r="B6220" s="27" t="s">
        <v>2</v>
      </c>
      <c r="C6220" s="27" t="s">
        <v>50</v>
      </c>
      <c r="D6220" s="27" t="s">
        <v>7</v>
      </c>
      <c r="E6220" s="27" t="s">
        <v>38</v>
      </c>
      <c r="F6220" s="29"/>
      <c r="G6220" s="30">
        <v>285.42</v>
      </c>
    </row>
    <row r="6221" spans="1:7" hidden="1" x14ac:dyDescent="0.25">
      <c r="A6221" s="28">
        <v>44044</v>
      </c>
      <c r="B6221" s="27" t="s">
        <v>2</v>
      </c>
      <c r="C6221" s="27" t="s">
        <v>50</v>
      </c>
      <c r="D6221" s="27" t="s">
        <v>7</v>
      </c>
      <c r="E6221" s="27" t="s">
        <v>23</v>
      </c>
      <c r="F6221" s="29"/>
      <c r="G6221" s="30">
        <v>707.75</v>
      </c>
    </row>
    <row r="6222" spans="1:7" hidden="1" x14ac:dyDescent="0.25">
      <c r="A6222" s="28">
        <v>44044</v>
      </c>
      <c r="B6222" s="27" t="s">
        <v>36</v>
      </c>
      <c r="C6222" s="27" t="s">
        <v>50</v>
      </c>
      <c r="D6222" s="27" t="s">
        <v>6</v>
      </c>
      <c r="E6222" s="27" t="s">
        <v>8</v>
      </c>
      <c r="F6222" s="29"/>
      <c r="G6222" s="30">
        <v>330.97</v>
      </c>
    </row>
    <row r="6223" spans="1:7" hidden="1" x14ac:dyDescent="0.25">
      <c r="A6223" s="28">
        <v>44044</v>
      </c>
      <c r="B6223" s="27" t="s">
        <v>36</v>
      </c>
      <c r="C6223" s="27" t="s">
        <v>50</v>
      </c>
      <c r="D6223" s="27" t="s">
        <v>6</v>
      </c>
      <c r="E6223" s="27" t="s">
        <v>9</v>
      </c>
      <c r="F6223" s="29"/>
      <c r="G6223" s="30">
        <v>56</v>
      </c>
    </row>
    <row r="6224" spans="1:7" hidden="1" x14ac:dyDescent="0.25">
      <c r="A6224" s="28">
        <v>44044</v>
      </c>
      <c r="B6224" s="27" t="s">
        <v>36</v>
      </c>
      <c r="C6224" s="27" t="s">
        <v>50</v>
      </c>
      <c r="D6224" s="27" t="s">
        <v>6</v>
      </c>
      <c r="E6224" s="27" t="s">
        <v>22</v>
      </c>
      <c r="F6224" s="29"/>
      <c r="G6224" s="30">
        <v>153.5</v>
      </c>
    </row>
    <row r="6225" spans="1:7" hidden="1" x14ac:dyDescent="0.25">
      <c r="A6225" s="28">
        <v>44044</v>
      </c>
      <c r="B6225" s="27" t="s">
        <v>36</v>
      </c>
      <c r="C6225" s="27" t="s">
        <v>50</v>
      </c>
      <c r="D6225" s="27" t="s">
        <v>6</v>
      </c>
      <c r="E6225" s="27" t="s">
        <v>64</v>
      </c>
      <c r="F6225" s="29"/>
      <c r="G6225" s="30">
        <v>59</v>
      </c>
    </row>
    <row r="6226" spans="1:7" hidden="1" x14ac:dyDescent="0.25">
      <c r="A6226" s="28">
        <v>44044</v>
      </c>
      <c r="B6226" s="27" t="s">
        <v>36</v>
      </c>
      <c r="C6226" s="27" t="s">
        <v>50</v>
      </c>
      <c r="D6226" s="27" t="s">
        <v>6</v>
      </c>
      <c r="E6226" s="27" t="s">
        <v>21</v>
      </c>
      <c r="F6226" s="29"/>
      <c r="G6226" s="30">
        <v>98.57</v>
      </c>
    </row>
    <row r="6227" spans="1:7" hidden="1" x14ac:dyDescent="0.25">
      <c r="A6227" s="28">
        <v>44044</v>
      </c>
      <c r="B6227" s="27" t="s">
        <v>36</v>
      </c>
      <c r="C6227" s="27" t="s">
        <v>50</v>
      </c>
      <c r="D6227" s="27" t="s">
        <v>6</v>
      </c>
      <c r="E6227" s="27" t="s">
        <v>10</v>
      </c>
      <c r="F6227" s="29"/>
      <c r="G6227" s="30">
        <v>330.97</v>
      </c>
    </row>
    <row r="6228" spans="1:7" hidden="1" x14ac:dyDescent="0.25">
      <c r="A6228" s="28">
        <v>44044</v>
      </c>
      <c r="B6228" s="27" t="s">
        <v>36</v>
      </c>
      <c r="C6228" s="27" t="s">
        <v>50</v>
      </c>
      <c r="D6228" s="27" t="s">
        <v>6</v>
      </c>
      <c r="E6228" s="27" t="s">
        <v>11</v>
      </c>
      <c r="F6228" s="29"/>
      <c r="G6228" s="30">
        <v>177.5</v>
      </c>
    </row>
    <row r="6229" spans="1:7" hidden="1" x14ac:dyDescent="0.25">
      <c r="A6229" s="28">
        <v>44044</v>
      </c>
      <c r="B6229" s="27" t="s">
        <v>36</v>
      </c>
      <c r="C6229" s="27" t="s">
        <v>50</v>
      </c>
      <c r="D6229" s="27" t="s">
        <v>6</v>
      </c>
      <c r="E6229" s="27" t="s">
        <v>12</v>
      </c>
      <c r="F6229" s="29"/>
      <c r="G6229" s="30">
        <v>84.44</v>
      </c>
    </row>
    <row r="6230" spans="1:7" hidden="1" x14ac:dyDescent="0.25">
      <c r="A6230" s="28">
        <v>44044</v>
      </c>
      <c r="B6230" s="27" t="s">
        <v>36</v>
      </c>
      <c r="C6230" s="27" t="s">
        <v>50</v>
      </c>
      <c r="D6230" s="27" t="s">
        <v>6</v>
      </c>
      <c r="E6230" s="27" t="s">
        <v>13</v>
      </c>
      <c r="F6230" s="29"/>
      <c r="G6230" s="30">
        <v>59</v>
      </c>
    </row>
    <row r="6231" spans="1:7" hidden="1" x14ac:dyDescent="0.25">
      <c r="A6231" s="28">
        <v>44044</v>
      </c>
      <c r="B6231" s="27" t="s">
        <v>36</v>
      </c>
      <c r="C6231" s="27" t="s">
        <v>50</v>
      </c>
      <c r="D6231" s="27" t="s">
        <v>6</v>
      </c>
      <c r="E6231" s="27" t="s">
        <v>14</v>
      </c>
      <c r="F6231" s="29"/>
      <c r="G6231" s="30">
        <v>84.44</v>
      </c>
    </row>
    <row r="6232" spans="1:7" hidden="1" x14ac:dyDescent="0.25">
      <c r="A6232" s="28">
        <v>44044</v>
      </c>
      <c r="B6232" s="27" t="s">
        <v>36</v>
      </c>
      <c r="C6232" s="27" t="s">
        <v>50</v>
      </c>
      <c r="D6232" s="27" t="s">
        <v>6</v>
      </c>
      <c r="E6232" s="27" t="s">
        <v>15</v>
      </c>
      <c r="F6232" s="29"/>
      <c r="G6232" s="30">
        <v>284.19</v>
      </c>
    </row>
    <row r="6233" spans="1:7" hidden="1" x14ac:dyDescent="0.25">
      <c r="A6233" s="28">
        <v>44044</v>
      </c>
      <c r="B6233" s="27" t="s">
        <v>36</v>
      </c>
      <c r="C6233" s="27" t="s">
        <v>50</v>
      </c>
      <c r="D6233" s="27" t="s">
        <v>6</v>
      </c>
      <c r="E6233" s="27" t="s">
        <v>16</v>
      </c>
      <c r="F6233" s="29"/>
      <c r="G6233" s="30">
        <v>296.19</v>
      </c>
    </row>
    <row r="6234" spans="1:7" hidden="1" x14ac:dyDescent="0.25">
      <c r="A6234" s="28">
        <v>44044</v>
      </c>
      <c r="B6234" s="27" t="s">
        <v>36</v>
      </c>
      <c r="C6234" s="27" t="s">
        <v>50</v>
      </c>
      <c r="D6234" s="27" t="s">
        <v>6</v>
      </c>
      <c r="E6234" s="27" t="s">
        <v>17</v>
      </c>
      <c r="F6234" s="29"/>
      <c r="G6234" s="30">
        <v>153.5</v>
      </c>
    </row>
    <row r="6235" spans="1:7" hidden="1" x14ac:dyDescent="0.25">
      <c r="A6235" s="28">
        <v>44044</v>
      </c>
      <c r="B6235" s="27" t="s">
        <v>36</v>
      </c>
      <c r="C6235" s="27" t="s">
        <v>50</v>
      </c>
      <c r="D6235" s="27" t="s">
        <v>6</v>
      </c>
      <c r="E6235" s="27" t="s">
        <v>18</v>
      </c>
      <c r="F6235" s="29"/>
      <c r="G6235" s="30">
        <v>153.5</v>
      </c>
    </row>
    <row r="6236" spans="1:7" hidden="1" x14ac:dyDescent="0.25">
      <c r="A6236" s="28">
        <v>44044</v>
      </c>
      <c r="B6236" s="27" t="s">
        <v>36</v>
      </c>
      <c r="C6236" s="27" t="s">
        <v>50</v>
      </c>
      <c r="D6236" s="27" t="s">
        <v>6</v>
      </c>
      <c r="E6236" s="27" t="s">
        <v>19</v>
      </c>
      <c r="F6236" s="29"/>
      <c r="G6236" s="30">
        <v>296.19</v>
      </c>
    </row>
    <row r="6237" spans="1:7" hidden="1" x14ac:dyDescent="0.25">
      <c r="A6237" s="28">
        <v>44044</v>
      </c>
      <c r="B6237" s="27" t="s">
        <v>36</v>
      </c>
      <c r="C6237" s="27" t="s">
        <v>50</v>
      </c>
      <c r="D6237" s="27" t="s">
        <v>6</v>
      </c>
      <c r="E6237" s="27" t="s">
        <v>20</v>
      </c>
      <c r="F6237" s="29"/>
      <c r="G6237" s="30">
        <v>59</v>
      </c>
    </row>
    <row r="6238" spans="1:7" hidden="1" x14ac:dyDescent="0.25">
      <c r="A6238" s="28">
        <v>44044</v>
      </c>
      <c r="B6238" s="27" t="s">
        <v>36</v>
      </c>
      <c r="C6238" s="27" t="s">
        <v>50</v>
      </c>
      <c r="D6238" s="27" t="s">
        <v>6</v>
      </c>
      <c r="E6238" s="27" t="s">
        <v>38</v>
      </c>
      <c r="F6238" s="29"/>
      <c r="G6238" s="30">
        <v>56</v>
      </c>
    </row>
    <row r="6239" spans="1:7" hidden="1" x14ac:dyDescent="0.25">
      <c r="A6239" s="28">
        <v>44044</v>
      </c>
      <c r="B6239" s="27" t="s">
        <v>36</v>
      </c>
      <c r="C6239" s="27" t="s">
        <v>50</v>
      </c>
      <c r="D6239" s="27" t="s">
        <v>6</v>
      </c>
      <c r="E6239" s="27" t="s">
        <v>23</v>
      </c>
      <c r="F6239" s="29"/>
      <c r="G6239" s="30">
        <v>153.5</v>
      </c>
    </row>
    <row r="6240" spans="1:7" hidden="1" x14ac:dyDescent="0.25">
      <c r="A6240" s="28">
        <v>44044</v>
      </c>
      <c r="B6240" s="27" t="s">
        <v>200</v>
      </c>
      <c r="C6240" s="27" t="s">
        <v>53</v>
      </c>
      <c r="D6240" s="27" t="s">
        <v>6</v>
      </c>
      <c r="E6240" s="27" t="s">
        <v>8</v>
      </c>
      <c r="F6240" s="29"/>
      <c r="G6240" s="30">
        <f t="shared" ref="G6240:G6257" si="114">11877.6638666667/18</f>
        <v>659.87021481481668</v>
      </c>
    </row>
    <row r="6241" spans="1:7" hidden="1" x14ac:dyDescent="0.25">
      <c r="A6241" s="28">
        <v>44044</v>
      </c>
      <c r="B6241" s="27" t="s">
        <v>200</v>
      </c>
      <c r="C6241" s="27" t="s">
        <v>53</v>
      </c>
      <c r="D6241" s="27" t="s">
        <v>6</v>
      </c>
      <c r="E6241" s="27" t="s">
        <v>9</v>
      </c>
      <c r="F6241" s="29"/>
      <c r="G6241" s="30">
        <f t="shared" si="114"/>
        <v>659.87021481481668</v>
      </c>
    </row>
    <row r="6242" spans="1:7" hidden="1" x14ac:dyDescent="0.25">
      <c r="A6242" s="28">
        <v>44044</v>
      </c>
      <c r="B6242" s="27" t="s">
        <v>200</v>
      </c>
      <c r="C6242" s="27" t="s">
        <v>53</v>
      </c>
      <c r="D6242" s="27" t="s">
        <v>6</v>
      </c>
      <c r="E6242" s="27" t="s">
        <v>22</v>
      </c>
      <c r="F6242" s="29"/>
      <c r="G6242" s="30">
        <f t="shared" si="114"/>
        <v>659.87021481481668</v>
      </c>
    </row>
    <row r="6243" spans="1:7" hidden="1" x14ac:dyDescent="0.25">
      <c r="A6243" s="28">
        <v>44044</v>
      </c>
      <c r="B6243" s="27" t="s">
        <v>200</v>
      </c>
      <c r="C6243" s="27" t="s">
        <v>53</v>
      </c>
      <c r="D6243" s="27" t="s">
        <v>6</v>
      </c>
      <c r="E6243" s="27" t="s">
        <v>64</v>
      </c>
      <c r="F6243" s="29"/>
      <c r="G6243" s="30">
        <f t="shared" si="114"/>
        <v>659.87021481481668</v>
      </c>
    </row>
    <row r="6244" spans="1:7" hidden="1" x14ac:dyDescent="0.25">
      <c r="A6244" s="28">
        <v>44044</v>
      </c>
      <c r="B6244" s="27" t="s">
        <v>200</v>
      </c>
      <c r="C6244" s="27" t="s">
        <v>53</v>
      </c>
      <c r="D6244" s="27" t="s">
        <v>6</v>
      </c>
      <c r="E6244" s="27" t="s">
        <v>21</v>
      </c>
      <c r="F6244" s="29"/>
      <c r="G6244" s="30">
        <f t="shared" si="114"/>
        <v>659.87021481481668</v>
      </c>
    </row>
    <row r="6245" spans="1:7" hidden="1" x14ac:dyDescent="0.25">
      <c r="A6245" s="28">
        <v>44044</v>
      </c>
      <c r="B6245" s="27" t="s">
        <v>200</v>
      </c>
      <c r="C6245" s="27" t="s">
        <v>53</v>
      </c>
      <c r="D6245" s="27" t="s">
        <v>6</v>
      </c>
      <c r="E6245" s="27" t="s">
        <v>10</v>
      </c>
      <c r="F6245" s="29"/>
      <c r="G6245" s="30">
        <f t="shared" si="114"/>
        <v>659.87021481481668</v>
      </c>
    </row>
    <row r="6246" spans="1:7" hidden="1" x14ac:dyDescent="0.25">
      <c r="A6246" s="28">
        <v>44044</v>
      </c>
      <c r="B6246" s="27" t="s">
        <v>200</v>
      </c>
      <c r="C6246" s="27" t="s">
        <v>53</v>
      </c>
      <c r="D6246" s="27" t="s">
        <v>6</v>
      </c>
      <c r="E6246" s="27" t="s">
        <v>11</v>
      </c>
      <c r="F6246" s="29"/>
      <c r="G6246" s="30">
        <f t="shared" si="114"/>
        <v>659.87021481481668</v>
      </c>
    </row>
    <row r="6247" spans="1:7" hidden="1" x14ac:dyDescent="0.25">
      <c r="A6247" s="28">
        <v>44044</v>
      </c>
      <c r="B6247" s="27" t="s">
        <v>200</v>
      </c>
      <c r="C6247" s="27" t="s">
        <v>53</v>
      </c>
      <c r="D6247" s="27" t="s">
        <v>6</v>
      </c>
      <c r="E6247" s="27" t="s">
        <v>12</v>
      </c>
      <c r="F6247" s="29"/>
      <c r="G6247" s="30">
        <f t="shared" si="114"/>
        <v>659.87021481481668</v>
      </c>
    </row>
    <row r="6248" spans="1:7" hidden="1" x14ac:dyDescent="0.25">
      <c r="A6248" s="28">
        <v>44044</v>
      </c>
      <c r="B6248" s="27" t="s">
        <v>200</v>
      </c>
      <c r="C6248" s="27" t="s">
        <v>53</v>
      </c>
      <c r="D6248" s="27" t="s">
        <v>6</v>
      </c>
      <c r="E6248" s="27" t="s">
        <v>13</v>
      </c>
      <c r="F6248" s="29"/>
      <c r="G6248" s="30">
        <f t="shared" si="114"/>
        <v>659.87021481481668</v>
      </c>
    </row>
    <row r="6249" spans="1:7" hidden="1" x14ac:dyDescent="0.25">
      <c r="A6249" s="28">
        <v>44044</v>
      </c>
      <c r="B6249" s="27" t="s">
        <v>200</v>
      </c>
      <c r="C6249" s="27" t="s">
        <v>53</v>
      </c>
      <c r="D6249" s="27" t="s">
        <v>6</v>
      </c>
      <c r="E6249" s="27" t="s">
        <v>14</v>
      </c>
      <c r="F6249" s="29"/>
      <c r="G6249" s="30">
        <f t="shared" si="114"/>
        <v>659.87021481481668</v>
      </c>
    </row>
    <row r="6250" spans="1:7" hidden="1" x14ac:dyDescent="0.25">
      <c r="A6250" s="28">
        <v>44044</v>
      </c>
      <c r="B6250" s="27" t="s">
        <v>200</v>
      </c>
      <c r="C6250" s="27" t="s">
        <v>53</v>
      </c>
      <c r="D6250" s="27" t="s">
        <v>6</v>
      </c>
      <c r="E6250" s="27" t="s">
        <v>15</v>
      </c>
      <c r="F6250" s="29"/>
      <c r="G6250" s="30">
        <f t="shared" si="114"/>
        <v>659.87021481481668</v>
      </c>
    </row>
    <row r="6251" spans="1:7" hidden="1" x14ac:dyDescent="0.25">
      <c r="A6251" s="28">
        <v>44044</v>
      </c>
      <c r="B6251" s="27" t="s">
        <v>200</v>
      </c>
      <c r="C6251" s="27" t="s">
        <v>53</v>
      </c>
      <c r="D6251" s="27" t="s">
        <v>6</v>
      </c>
      <c r="E6251" s="27" t="s">
        <v>16</v>
      </c>
      <c r="F6251" s="29"/>
      <c r="G6251" s="30">
        <f t="shared" si="114"/>
        <v>659.87021481481668</v>
      </c>
    </row>
    <row r="6252" spans="1:7" hidden="1" x14ac:dyDescent="0.25">
      <c r="A6252" s="28">
        <v>44044</v>
      </c>
      <c r="B6252" s="27" t="s">
        <v>200</v>
      </c>
      <c r="C6252" s="27" t="s">
        <v>53</v>
      </c>
      <c r="D6252" s="27" t="s">
        <v>6</v>
      </c>
      <c r="E6252" s="27" t="s">
        <v>17</v>
      </c>
      <c r="F6252" s="29"/>
      <c r="G6252" s="30">
        <f t="shared" si="114"/>
        <v>659.87021481481668</v>
      </c>
    </row>
    <row r="6253" spans="1:7" hidden="1" x14ac:dyDescent="0.25">
      <c r="A6253" s="28">
        <v>44044</v>
      </c>
      <c r="B6253" s="27" t="s">
        <v>200</v>
      </c>
      <c r="C6253" s="27" t="s">
        <v>53</v>
      </c>
      <c r="D6253" s="27" t="s">
        <v>6</v>
      </c>
      <c r="E6253" s="27" t="s">
        <v>18</v>
      </c>
      <c r="F6253" s="29"/>
      <c r="G6253" s="30">
        <f t="shared" si="114"/>
        <v>659.87021481481668</v>
      </c>
    </row>
    <row r="6254" spans="1:7" hidden="1" x14ac:dyDescent="0.25">
      <c r="A6254" s="28">
        <v>44044</v>
      </c>
      <c r="B6254" s="27" t="s">
        <v>200</v>
      </c>
      <c r="C6254" s="27" t="s">
        <v>53</v>
      </c>
      <c r="D6254" s="27" t="s">
        <v>6</v>
      </c>
      <c r="E6254" s="27" t="s">
        <v>19</v>
      </c>
      <c r="F6254" s="29"/>
      <c r="G6254" s="30">
        <f t="shared" si="114"/>
        <v>659.87021481481668</v>
      </c>
    </row>
    <row r="6255" spans="1:7" hidden="1" x14ac:dyDescent="0.25">
      <c r="A6255" s="28">
        <v>44044</v>
      </c>
      <c r="B6255" s="27" t="s">
        <v>200</v>
      </c>
      <c r="C6255" s="27" t="s">
        <v>53</v>
      </c>
      <c r="D6255" s="27" t="s">
        <v>6</v>
      </c>
      <c r="E6255" s="27" t="s">
        <v>20</v>
      </c>
      <c r="F6255" s="29"/>
      <c r="G6255" s="30">
        <f t="shared" si="114"/>
        <v>659.87021481481668</v>
      </c>
    </row>
    <row r="6256" spans="1:7" hidden="1" x14ac:dyDescent="0.25">
      <c r="A6256" s="28">
        <v>44044</v>
      </c>
      <c r="B6256" s="27" t="s">
        <v>200</v>
      </c>
      <c r="C6256" s="27" t="s">
        <v>53</v>
      </c>
      <c r="D6256" s="27" t="s">
        <v>6</v>
      </c>
      <c r="E6256" s="27" t="s">
        <v>38</v>
      </c>
      <c r="F6256" s="29"/>
      <c r="G6256" s="30">
        <f t="shared" si="114"/>
        <v>659.87021481481668</v>
      </c>
    </row>
    <row r="6257" spans="1:7" hidden="1" x14ac:dyDescent="0.25">
      <c r="A6257" s="28">
        <v>44044</v>
      </c>
      <c r="B6257" s="27" t="s">
        <v>200</v>
      </c>
      <c r="C6257" s="27" t="s">
        <v>53</v>
      </c>
      <c r="D6257" s="27" t="s">
        <v>6</v>
      </c>
      <c r="E6257" s="27" t="s">
        <v>23</v>
      </c>
      <c r="F6257" s="29"/>
      <c r="G6257" s="30">
        <f t="shared" si="114"/>
        <v>659.87021481481668</v>
      </c>
    </row>
    <row r="6258" spans="1:7" hidden="1" x14ac:dyDescent="0.25">
      <c r="A6258" s="28">
        <v>44044</v>
      </c>
      <c r="B6258" s="27" t="s">
        <v>200</v>
      </c>
      <c r="C6258" s="27" t="s">
        <v>54</v>
      </c>
      <c r="D6258" s="27" t="s">
        <v>7</v>
      </c>
      <c r="E6258" s="27" t="s">
        <v>8</v>
      </c>
      <c r="F6258" s="29"/>
      <c r="G6258" s="30">
        <f t="shared" ref="G6258:G6276" si="115">570.73/19</f>
        <v>30.03842105263158</v>
      </c>
    </row>
    <row r="6259" spans="1:7" hidden="1" x14ac:dyDescent="0.25">
      <c r="A6259" s="28">
        <v>44044</v>
      </c>
      <c r="B6259" s="27" t="s">
        <v>200</v>
      </c>
      <c r="C6259" s="27" t="s">
        <v>54</v>
      </c>
      <c r="D6259" s="27" t="s">
        <v>7</v>
      </c>
      <c r="E6259" s="27" t="s">
        <v>9</v>
      </c>
      <c r="F6259" s="29"/>
      <c r="G6259" s="30">
        <f t="shared" si="115"/>
        <v>30.03842105263158</v>
      </c>
    </row>
    <row r="6260" spans="1:7" hidden="1" x14ac:dyDescent="0.25">
      <c r="A6260" s="28">
        <v>44044</v>
      </c>
      <c r="B6260" s="27" t="s">
        <v>200</v>
      </c>
      <c r="C6260" s="27" t="s">
        <v>54</v>
      </c>
      <c r="D6260" s="27" t="s">
        <v>7</v>
      </c>
      <c r="E6260" s="27" t="s">
        <v>22</v>
      </c>
      <c r="F6260" s="29"/>
      <c r="G6260" s="30">
        <f t="shared" si="115"/>
        <v>30.03842105263158</v>
      </c>
    </row>
    <row r="6261" spans="1:7" hidden="1" x14ac:dyDescent="0.25">
      <c r="A6261" s="28">
        <v>44044</v>
      </c>
      <c r="B6261" s="27" t="s">
        <v>200</v>
      </c>
      <c r="C6261" s="27" t="s">
        <v>54</v>
      </c>
      <c r="D6261" s="27" t="s">
        <v>7</v>
      </c>
      <c r="E6261" s="27" t="s">
        <v>64</v>
      </c>
      <c r="F6261" s="29"/>
      <c r="G6261" s="30">
        <f t="shared" si="115"/>
        <v>30.03842105263158</v>
      </c>
    </row>
    <row r="6262" spans="1:7" hidden="1" x14ac:dyDescent="0.25">
      <c r="A6262" s="28">
        <v>44044</v>
      </c>
      <c r="B6262" s="27" t="s">
        <v>200</v>
      </c>
      <c r="C6262" s="27" t="s">
        <v>54</v>
      </c>
      <c r="D6262" s="27" t="s">
        <v>7</v>
      </c>
      <c r="E6262" s="27" t="s">
        <v>21</v>
      </c>
      <c r="F6262" s="29"/>
      <c r="G6262" s="30">
        <f t="shared" si="115"/>
        <v>30.03842105263158</v>
      </c>
    </row>
    <row r="6263" spans="1:7" hidden="1" x14ac:dyDescent="0.25">
      <c r="A6263" s="28">
        <v>44044</v>
      </c>
      <c r="B6263" s="27" t="s">
        <v>200</v>
      </c>
      <c r="C6263" s="27" t="s">
        <v>54</v>
      </c>
      <c r="D6263" s="27" t="s">
        <v>7</v>
      </c>
      <c r="E6263" s="27" t="s">
        <v>10</v>
      </c>
      <c r="F6263" s="29"/>
      <c r="G6263" s="30">
        <f t="shared" si="115"/>
        <v>30.03842105263158</v>
      </c>
    </row>
    <row r="6264" spans="1:7" hidden="1" x14ac:dyDescent="0.25">
      <c r="A6264" s="28">
        <v>44044</v>
      </c>
      <c r="B6264" s="27" t="s">
        <v>200</v>
      </c>
      <c r="C6264" s="27" t="s">
        <v>54</v>
      </c>
      <c r="D6264" s="27" t="s">
        <v>7</v>
      </c>
      <c r="E6264" s="27" t="s">
        <v>11</v>
      </c>
      <c r="F6264" s="29"/>
      <c r="G6264" s="30">
        <f t="shared" si="115"/>
        <v>30.03842105263158</v>
      </c>
    </row>
    <row r="6265" spans="1:7" hidden="1" x14ac:dyDescent="0.25">
      <c r="A6265" s="28">
        <v>44044</v>
      </c>
      <c r="B6265" s="27" t="s">
        <v>200</v>
      </c>
      <c r="C6265" s="27" t="s">
        <v>54</v>
      </c>
      <c r="D6265" s="27" t="s">
        <v>7</v>
      </c>
      <c r="E6265" s="27" t="s">
        <v>12</v>
      </c>
      <c r="F6265" s="29"/>
      <c r="G6265" s="30">
        <f t="shared" si="115"/>
        <v>30.03842105263158</v>
      </c>
    </row>
    <row r="6266" spans="1:7" hidden="1" x14ac:dyDescent="0.25">
      <c r="A6266" s="28">
        <v>44044</v>
      </c>
      <c r="B6266" s="27" t="s">
        <v>200</v>
      </c>
      <c r="C6266" s="27" t="s">
        <v>54</v>
      </c>
      <c r="D6266" s="27" t="s">
        <v>7</v>
      </c>
      <c r="E6266" s="27" t="s">
        <v>13</v>
      </c>
      <c r="F6266" s="29"/>
      <c r="G6266" s="30">
        <f t="shared" si="115"/>
        <v>30.03842105263158</v>
      </c>
    </row>
    <row r="6267" spans="1:7" hidden="1" x14ac:dyDescent="0.25">
      <c r="A6267" s="28">
        <v>44044</v>
      </c>
      <c r="B6267" s="27" t="s">
        <v>200</v>
      </c>
      <c r="C6267" s="27" t="s">
        <v>54</v>
      </c>
      <c r="D6267" s="27" t="s">
        <v>7</v>
      </c>
      <c r="E6267" s="27" t="s">
        <v>14</v>
      </c>
      <c r="F6267" s="29"/>
      <c r="G6267" s="30">
        <f t="shared" si="115"/>
        <v>30.03842105263158</v>
      </c>
    </row>
    <row r="6268" spans="1:7" hidden="1" x14ac:dyDescent="0.25">
      <c r="A6268" s="28">
        <v>44044</v>
      </c>
      <c r="B6268" s="27" t="s">
        <v>200</v>
      </c>
      <c r="C6268" s="27" t="s">
        <v>54</v>
      </c>
      <c r="D6268" s="27" t="s">
        <v>7</v>
      </c>
      <c r="E6268" s="27" t="s">
        <v>15</v>
      </c>
      <c r="F6268" s="29"/>
      <c r="G6268" s="30">
        <f t="shared" si="115"/>
        <v>30.03842105263158</v>
      </c>
    </row>
    <row r="6269" spans="1:7" hidden="1" x14ac:dyDescent="0.25">
      <c r="A6269" s="28">
        <v>44044</v>
      </c>
      <c r="B6269" s="27" t="s">
        <v>200</v>
      </c>
      <c r="C6269" s="27" t="s">
        <v>54</v>
      </c>
      <c r="D6269" s="27" t="s">
        <v>7</v>
      </c>
      <c r="E6269" s="27" t="s">
        <v>16</v>
      </c>
      <c r="F6269" s="29"/>
      <c r="G6269" s="30">
        <f t="shared" si="115"/>
        <v>30.03842105263158</v>
      </c>
    </row>
    <row r="6270" spans="1:7" hidden="1" x14ac:dyDescent="0.25">
      <c r="A6270" s="28">
        <v>44044</v>
      </c>
      <c r="B6270" s="27" t="s">
        <v>200</v>
      </c>
      <c r="C6270" s="27" t="s">
        <v>54</v>
      </c>
      <c r="D6270" s="27" t="s">
        <v>7</v>
      </c>
      <c r="E6270" s="27" t="s">
        <v>17</v>
      </c>
      <c r="F6270" s="29"/>
      <c r="G6270" s="30">
        <f t="shared" si="115"/>
        <v>30.03842105263158</v>
      </c>
    </row>
    <row r="6271" spans="1:7" hidden="1" x14ac:dyDescent="0.25">
      <c r="A6271" s="28">
        <v>44044</v>
      </c>
      <c r="B6271" s="27" t="s">
        <v>200</v>
      </c>
      <c r="C6271" s="27" t="s">
        <v>54</v>
      </c>
      <c r="D6271" s="27" t="s">
        <v>7</v>
      </c>
      <c r="E6271" s="27" t="s">
        <v>18</v>
      </c>
      <c r="F6271" s="29"/>
      <c r="G6271" s="30">
        <f t="shared" si="115"/>
        <v>30.03842105263158</v>
      </c>
    </row>
    <row r="6272" spans="1:7" hidden="1" x14ac:dyDescent="0.25">
      <c r="A6272" s="28">
        <v>44044</v>
      </c>
      <c r="B6272" s="27" t="s">
        <v>200</v>
      </c>
      <c r="C6272" s="27" t="s">
        <v>54</v>
      </c>
      <c r="D6272" s="27" t="s">
        <v>7</v>
      </c>
      <c r="E6272" s="27" t="s">
        <v>19</v>
      </c>
      <c r="F6272" s="29"/>
      <c r="G6272" s="30">
        <f t="shared" si="115"/>
        <v>30.03842105263158</v>
      </c>
    </row>
    <row r="6273" spans="1:7" hidden="1" x14ac:dyDescent="0.25">
      <c r="A6273" s="28">
        <v>44044</v>
      </c>
      <c r="B6273" s="27" t="s">
        <v>200</v>
      </c>
      <c r="C6273" s="27" t="s">
        <v>54</v>
      </c>
      <c r="D6273" s="27" t="s">
        <v>7</v>
      </c>
      <c r="E6273" s="27" t="s">
        <v>20</v>
      </c>
      <c r="F6273" s="29"/>
      <c r="G6273" s="30">
        <f t="shared" si="115"/>
        <v>30.03842105263158</v>
      </c>
    </row>
    <row r="6274" spans="1:7" hidden="1" x14ac:dyDescent="0.25">
      <c r="A6274" s="28">
        <v>44044</v>
      </c>
      <c r="B6274" s="27" t="s">
        <v>200</v>
      </c>
      <c r="C6274" s="27" t="s">
        <v>54</v>
      </c>
      <c r="D6274" s="27" t="s">
        <v>7</v>
      </c>
      <c r="E6274" s="27" t="s">
        <v>38</v>
      </c>
      <c r="F6274" s="29"/>
      <c r="G6274" s="30">
        <f t="shared" si="115"/>
        <v>30.03842105263158</v>
      </c>
    </row>
    <row r="6275" spans="1:7" hidden="1" x14ac:dyDescent="0.25">
      <c r="A6275" s="28">
        <v>44044</v>
      </c>
      <c r="B6275" s="27" t="s">
        <v>200</v>
      </c>
      <c r="C6275" s="27" t="s">
        <v>54</v>
      </c>
      <c r="D6275" s="27" t="s">
        <v>7</v>
      </c>
      <c r="E6275" s="27" t="s">
        <v>23</v>
      </c>
      <c r="F6275" s="29"/>
      <c r="G6275" s="30">
        <f t="shared" si="115"/>
        <v>30.03842105263158</v>
      </c>
    </row>
    <row r="6276" spans="1:7" hidden="1" x14ac:dyDescent="0.25">
      <c r="A6276" s="28">
        <v>44044</v>
      </c>
      <c r="B6276" s="27" t="s">
        <v>200</v>
      </c>
      <c r="C6276" s="27" t="s">
        <v>54</v>
      </c>
      <c r="D6276" s="27" t="s">
        <v>7</v>
      </c>
      <c r="E6276" s="27" t="s">
        <v>37</v>
      </c>
      <c r="F6276" s="29"/>
      <c r="G6276" s="30">
        <f t="shared" si="115"/>
        <v>30.03842105263158</v>
      </c>
    </row>
    <row r="6277" spans="1:7" hidden="1" x14ac:dyDescent="0.25">
      <c r="A6277" s="28">
        <v>44044</v>
      </c>
      <c r="B6277" s="27" t="s">
        <v>200</v>
      </c>
      <c r="C6277" s="27" t="s">
        <v>55</v>
      </c>
      <c r="D6277" s="27" t="s">
        <v>6</v>
      </c>
      <c r="E6277" s="27" t="s">
        <v>8</v>
      </c>
      <c r="F6277" s="29"/>
      <c r="G6277" s="30">
        <f t="shared" ref="G6277:G6294" si="116">22802.4940444444/18</f>
        <v>1266.8052246913555</v>
      </c>
    </row>
    <row r="6278" spans="1:7" hidden="1" x14ac:dyDescent="0.25">
      <c r="A6278" s="28">
        <v>44044</v>
      </c>
      <c r="B6278" s="27" t="s">
        <v>200</v>
      </c>
      <c r="C6278" s="27" t="s">
        <v>55</v>
      </c>
      <c r="D6278" s="27" t="s">
        <v>6</v>
      </c>
      <c r="E6278" s="27" t="s">
        <v>9</v>
      </c>
      <c r="F6278" s="29"/>
      <c r="G6278" s="30">
        <f t="shared" si="116"/>
        <v>1266.8052246913555</v>
      </c>
    </row>
    <row r="6279" spans="1:7" hidden="1" x14ac:dyDescent="0.25">
      <c r="A6279" s="28">
        <v>44044</v>
      </c>
      <c r="B6279" s="27" t="s">
        <v>200</v>
      </c>
      <c r="C6279" s="27" t="s">
        <v>55</v>
      </c>
      <c r="D6279" s="27" t="s">
        <v>6</v>
      </c>
      <c r="E6279" s="27" t="s">
        <v>22</v>
      </c>
      <c r="F6279" s="29"/>
      <c r="G6279" s="30">
        <f t="shared" si="116"/>
        <v>1266.8052246913555</v>
      </c>
    </row>
    <row r="6280" spans="1:7" hidden="1" x14ac:dyDescent="0.25">
      <c r="A6280" s="28">
        <v>44044</v>
      </c>
      <c r="B6280" s="27" t="s">
        <v>200</v>
      </c>
      <c r="C6280" s="27" t="s">
        <v>55</v>
      </c>
      <c r="D6280" s="27" t="s">
        <v>6</v>
      </c>
      <c r="E6280" s="27" t="s">
        <v>64</v>
      </c>
      <c r="F6280" s="29"/>
      <c r="G6280" s="30">
        <f t="shared" si="116"/>
        <v>1266.8052246913555</v>
      </c>
    </row>
    <row r="6281" spans="1:7" hidden="1" x14ac:dyDescent="0.25">
      <c r="A6281" s="28">
        <v>44044</v>
      </c>
      <c r="B6281" s="27" t="s">
        <v>200</v>
      </c>
      <c r="C6281" s="27" t="s">
        <v>55</v>
      </c>
      <c r="D6281" s="27" t="s">
        <v>6</v>
      </c>
      <c r="E6281" s="27" t="s">
        <v>21</v>
      </c>
      <c r="F6281" s="29"/>
      <c r="G6281" s="30">
        <f t="shared" si="116"/>
        <v>1266.8052246913555</v>
      </c>
    </row>
    <row r="6282" spans="1:7" hidden="1" x14ac:dyDescent="0.25">
      <c r="A6282" s="28">
        <v>44044</v>
      </c>
      <c r="B6282" s="27" t="s">
        <v>200</v>
      </c>
      <c r="C6282" s="27" t="s">
        <v>55</v>
      </c>
      <c r="D6282" s="27" t="s">
        <v>6</v>
      </c>
      <c r="E6282" s="27" t="s">
        <v>10</v>
      </c>
      <c r="F6282" s="29"/>
      <c r="G6282" s="30">
        <f t="shared" si="116"/>
        <v>1266.8052246913555</v>
      </c>
    </row>
    <row r="6283" spans="1:7" hidden="1" x14ac:dyDescent="0.25">
      <c r="A6283" s="28">
        <v>44044</v>
      </c>
      <c r="B6283" s="27" t="s">
        <v>200</v>
      </c>
      <c r="C6283" s="27" t="s">
        <v>55</v>
      </c>
      <c r="D6283" s="27" t="s">
        <v>6</v>
      </c>
      <c r="E6283" s="27" t="s">
        <v>11</v>
      </c>
      <c r="F6283" s="29"/>
      <c r="G6283" s="30">
        <f t="shared" si="116"/>
        <v>1266.8052246913555</v>
      </c>
    </row>
    <row r="6284" spans="1:7" hidden="1" x14ac:dyDescent="0.25">
      <c r="A6284" s="28">
        <v>44044</v>
      </c>
      <c r="B6284" s="27" t="s">
        <v>200</v>
      </c>
      <c r="C6284" s="27" t="s">
        <v>55</v>
      </c>
      <c r="D6284" s="27" t="s">
        <v>6</v>
      </c>
      <c r="E6284" s="27" t="s">
        <v>12</v>
      </c>
      <c r="F6284" s="29"/>
      <c r="G6284" s="30">
        <f t="shared" si="116"/>
        <v>1266.8052246913555</v>
      </c>
    </row>
    <row r="6285" spans="1:7" hidden="1" x14ac:dyDescent="0.25">
      <c r="A6285" s="28">
        <v>44044</v>
      </c>
      <c r="B6285" s="27" t="s">
        <v>200</v>
      </c>
      <c r="C6285" s="27" t="s">
        <v>55</v>
      </c>
      <c r="D6285" s="27" t="s">
        <v>6</v>
      </c>
      <c r="E6285" s="27" t="s">
        <v>13</v>
      </c>
      <c r="F6285" s="29"/>
      <c r="G6285" s="30">
        <f t="shared" si="116"/>
        <v>1266.8052246913555</v>
      </c>
    </row>
    <row r="6286" spans="1:7" hidden="1" x14ac:dyDescent="0.25">
      <c r="A6286" s="28">
        <v>44044</v>
      </c>
      <c r="B6286" s="27" t="s">
        <v>200</v>
      </c>
      <c r="C6286" s="27" t="s">
        <v>55</v>
      </c>
      <c r="D6286" s="27" t="s">
        <v>6</v>
      </c>
      <c r="E6286" s="27" t="s">
        <v>14</v>
      </c>
      <c r="F6286" s="29"/>
      <c r="G6286" s="30">
        <f t="shared" si="116"/>
        <v>1266.8052246913555</v>
      </c>
    </row>
    <row r="6287" spans="1:7" hidden="1" x14ac:dyDescent="0.25">
      <c r="A6287" s="28">
        <v>44044</v>
      </c>
      <c r="B6287" s="27" t="s">
        <v>200</v>
      </c>
      <c r="C6287" s="27" t="s">
        <v>55</v>
      </c>
      <c r="D6287" s="27" t="s">
        <v>6</v>
      </c>
      <c r="E6287" s="27" t="s">
        <v>15</v>
      </c>
      <c r="F6287" s="29"/>
      <c r="G6287" s="30">
        <f t="shared" si="116"/>
        <v>1266.8052246913555</v>
      </c>
    </row>
    <row r="6288" spans="1:7" hidden="1" x14ac:dyDescent="0.25">
      <c r="A6288" s="28">
        <v>44044</v>
      </c>
      <c r="B6288" s="27" t="s">
        <v>200</v>
      </c>
      <c r="C6288" s="27" t="s">
        <v>55</v>
      </c>
      <c r="D6288" s="27" t="s">
        <v>6</v>
      </c>
      <c r="E6288" s="27" t="s">
        <v>16</v>
      </c>
      <c r="F6288" s="29"/>
      <c r="G6288" s="30">
        <f t="shared" si="116"/>
        <v>1266.8052246913555</v>
      </c>
    </row>
    <row r="6289" spans="1:7" hidden="1" x14ac:dyDescent="0.25">
      <c r="A6289" s="28">
        <v>44044</v>
      </c>
      <c r="B6289" s="27" t="s">
        <v>200</v>
      </c>
      <c r="C6289" s="27" t="s">
        <v>55</v>
      </c>
      <c r="D6289" s="27" t="s">
        <v>6</v>
      </c>
      <c r="E6289" s="27" t="s">
        <v>17</v>
      </c>
      <c r="F6289" s="29"/>
      <c r="G6289" s="30">
        <f t="shared" si="116"/>
        <v>1266.8052246913555</v>
      </c>
    </row>
    <row r="6290" spans="1:7" hidden="1" x14ac:dyDescent="0.25">
      <c r="A6290" s="28">
        <v>44044</v>
      </c>
      <c r="B6290" s="27" t="s">
        <v>200</v>
      </c>
      <c r="C6290" s="27" t="s">
        <v>55</v>
      </c>
      <c r="D6290" s="27" t="s">
        <v>6</v>
      </c>
      <c r="E6290" s="27" t="s">
        <v>18</v>
      </c>
      <c r="F6290" s="29"/>
      <c r="G6290" s="30">
        <f t="shared" si="116"/>
        <v>1266.8052246913555</v>
      </c>
    </row>
    <row r="6291" spans="1:7" hidden="1" x14ac:dyDescent="0.25">
      <c r="A6291" s="28">
        <v>44044</v>
      </c>
      <c r="B6291" s="27" t="s">
        <v>200</v>
      </c>
      <c r="C6291" s="27" t="s">
        <v>55</v>
      </c>
      <c r="D6291" s="27" t="s">
        <v>6</v>
      </c>
      <c r="E6291" s="27" t="s">
        <v>19</v>
      </c>
      <c r="F6291" s="29"/>
      <c r="G6291" s="30">
        <f t="shared" si="116"/>
        <v>1266.8052246913555</v>
      </c>
    </row>
    <row r="6292" spans="1:7" hidden="1" x14ac:dyDescent="0.25">
      <c r="A6292" s="28">
        <v>44044</v>
      </c>
      <c r="B6292" s="27" t="s">
        <v>200</v>
      </c>
      <c r="C6292" s="27" t="s">
        <v>55</v>
      </c>
      <c r="D6292" s="27" t="s">
        <v>6</v>
      </c>
      <c r="E6292" s="27" t="s">
        <v>20</v>
      </c>
      <c r="F6292" s="29"/>
      <c r="G6292" s="30">
        <f t="shared" si="116"/>
        <v>1266.8052246913555</v>
      </c>
    </row>
    <row r="6293" spans="1:7" hidden="1" x14ac:dyDescent="0.25">
      <c r="A6293" s="28">
        <v>44044</v>
      </c>
      <c r="B6293" s="27" t="s">
        <v>200</v>
      </c>
      <c r="C6293" s="27" t="s">
        <v>55</v>
      </c>
      <c r="D6293" s="27" t="s">
        <v>6</v>
      </c>
      <c r="E6293" s="27" t="s">
        <v>38</v>
      </c>
      <c r="F6293" s="29"/>
      <c r="G6293" s="30">
        <f t="shared" si="116"/>
        <v>1266.8052246913555</v>
      </c>
    </row>
    <row r="6294" spans="1:7" hidden="1" x14ac:dyDescent="0.25">
      <c r="A6294" s="28">
        <v>44044</v>
      </c>
      <c r="B6294" s="27" t="s">
        <v>200</v>
      </c>
      <c r="C6294" s="27" t="s">
        <v>55</v>
      </c>
      <c r="D6294" s="27" t="s">
        <v>6</v>
      </c>
      <c r="E6294" s="27" t="s">
        <v>23</v>
      </c>
      <c r="F6294" s="29"/>
      <c r="G6294" s="30">
        <f t="shared" si="116"/>
        <v>1266.8052246913555</v>
      </c>
    </row>
    <row r="6295" spans="1:7" hidden="1" x14ac:dyDescent="0.25">
      <c r="A6295" s="28">
        <v>44044</v>
      </c>
      <c r="B6295" s="27" t="s">
        <v>200</v>
      </c>
      <c r="C6295" s="27" t="s">
        <v>183</v>
      </c>
      <c r="D6295" s="27" t="s">
        <v>7</v>
      </c>
      <c r="E6295" s="27" t="s">
        <v>8</v>
      </c>
      <c r="F6295" s="29"/>
      <c r="G6295" s="30">
        <f t="shared" ref="G6295:G6313" si="117">2813.01/19</f>
        <v>148.05315789473684</v>
      </c>
    </row>
    <row r="6296" spans="1:7" hidden="1" x14ac:dyDescent="0.25">
      <c r="A6296" s="28">
        <v>44044</v>
      </c>
      <c r="B6296" s="27" t="s">
        <v>200</v>
      </c>
      <c r="C6296" s="27" t="s">
        <v>183</v>
      </c>
      <c r="D6296" s="27" t="s">
        <v>7</v>
      </c>
      <c r="E6296" s="27" t="s">
        <v>9</v>
      </c>
      <c r="F6296" s="29"/>
      <c r="G6296" s="30">
        <f t="shared" si="117"/>
        <v>148.05315789473684</v>
      </c>
    </row>
    <row r="6297" spans="1:7" hidden="1" x14ac:dyDescent="0.25">
      <c r="A6297" s="28">
        <v>44044</v>
      </c>
      <c r="B6297" s="27" t="s">
        <v>200</v>
      </c>
      <c r="C6297" s="27" t="s">
        <v>183</v>
      </c>
      <c r="D6297" s="27" t="s">
        <v>7</v>
      </c>
      <c r="E6297" s="27" t="s">
        <v>22</v>
      </c>
      <c r="F6297" s="29"/>
      <c r="G6297" s="30">
        <f t="shared" si="117"/>
        <v>148.05315789473684</v>
      </c>
    </row>
    <row r="6298" spans="1:7" hidden="1" x14ac:dyDescent="0.25">
      <c r="A6298" s="28">
        <v>44044</v>
      </c>
      <c r="B6298" s="27" t="s">
        <v>200</v>
      </c>
      <c r="C6298" s="27" t="s">
        <v>183</v>
      </c>
      <c r="D6298" s="27" t="s">
        <v>7</v>
      </c>
      <c r="E6298" s="27" t="s">
        <v>64</v>
      </c>
      <c r="F6298" s="29"/>
      <c r="G6298" s="30">
        <f t="shared" si="117"/>
        <v>148.05315789473684</v>
      </c>
    </row>
    <row r="6299" spans="1:7" hidden="1" x14ac:dyDescent="0.25">
      <c r="A6299" s="28">
        <v>44044</v>
      </c>
      <c r="B6299" s="27" t="s">
        <v>200</v>
      </c>
      <c r="C6299" s="27" t="s">
        <v>183</v>
      </c>
      <c r="D6299" s="27" t="s">
        <v>7</v>
      </c>
      <c r="E6299" s="27" t="s">
        <v>21</v>
      </c>
      <c r="F6299" s="29"/>
      <c r="G6299" s="30">
        <f t="shared" si="117"/>
        <v>148.05315789473684</v>
      </c>
    </row>
    <row r="6300" spans="1:7" hidden="1" x14ac:dyDescent="0.25">
      <c r="A6300" s="28">
        <v>44044</v>
      </c>
      <c r="B6300" s="27" t="s">
        <v>200</v>
      </c>
      <c r="C6300" s="27" t="s">
        <v>183</v>
      </c>
      <c r="D6300" s="27" t="s">
        <v>7</v>
      </c>
      <c r="E6300" s="27" t="s">
        <v>10</v>
      </c>
      <c r="F6300" s="29"/>
      <c r="G6300" s="30">
        <f t="shared" si="117"/>
        <v>148.05315789473684</v>
      </c>
    </row>
    <row r="6301" spans="1:7" hidden="1" x14ac:dyDescent="0.25">
      <c r="A6301" s="28">
        <v>44044</v>
      </c>
      <c r="B6301" s="27" t="s">
        <v>200</v>
      </c>
      <c r="C6301" s="27" t="s">
        <v>183</v>
      </c>
      <c r="D6301" s="27" t="s">
        <v>7</v>
      </c>
      <c r="E6301" s="27" t="s">
        <v>11</v>
      </c>
      <c r="F6301" s="29"/>
      <c r="G6301" s="30">
        <f t="shared" si="117"/>
        <v>148.05315789473684</v>
      </c>
    </row>
    <row r="6302" spans="1:7" hidden="1" x14ac:dyDescent="0.25">
      <c r="A6302" s="28">
        <v>44044</v>
      </c>
      <c r="B6302" s="27" t="s">
        <v>200</v>
      </c>
      <c r="C6302" s="27" t="s">
        <v>183</v>
      </c>
      <c r="D6302" s="27" t="s">
        <v>7</v>
      </c>
      <c r="E6302" s="27" t="s">
        <v>12</v>
      </c>
      <c r="F6302" s="29"/>
      <c r="G6302" s="30">
        <f t="shared" si="117"/>
        <v>148.05315789473684</v>
      </c>
    </row>
    <row r="6303" spans="1:7" hidden="1" x14ac:dyDescent="0.25">
      <c r="A6303" s="28">
        <v>44044</v>
      </c>
      <c r="B6303" s="27" t="s">
        <v>200</v>
      </c>
      <c r="C6303" s="27" t="s">
        <v>183</v>
      </c>
      <c r="D6303" s="27" t="s">
        <v>7</v>
      </c>
      <c r="E6303" s="27" t="s">
        <v>13</v>
      </c>
      <c r="F6303" s="29"/>
      <c r="G6303" s="30">
        <f t="shared" si="117"/>
        <v>148.05315789473684</v>
      </c>
    </row>
    <row r="6304" spans="1:7" hidden="1" x14ac:dyDescent="0.25">
      <c r="A6304" s="28">
        <v>44044</v>
      </c>
      <c r="B6304" s="27" t="s">
        <v>200</v>
      </c>
      <c r="C6304" s="27" t="s">
        <v>183</v>
      </c>
      <c r="D6304" s="27" t="s">
        <v>7</v>
      </c>
      <c r="E6304" s="27" t="s">
        <v>14</v>
      </c>
      <c r="F6304" s="29"/>
      <c r="G6304" s="30">
        <f t="shared" si="117"/>
        <v>148.05315789473684</v>
      </c>
    </row>
    <row r="6305" spans="1:7" hidden="1" x14ac:dyDescent="0.25">
      <c r="A6305" s="28">
        <v>44044</v>
      </c>
      <c r="B6305" s="27" t="s">
        <v>200</v>
      </c>
      <c r="C6305" s="27" t="s">
        <v>183</v>
      </c>
      <c r="D6305" s="27" t="s">
        <v>7</v>
      </c>
      <c r="E6305" s="27" t="s">
        <v>15</v>
      </c>
      <c r="F6305" s="29"/>
      <c r="G6305" s="30">
        <f t="shared" si="117"/>
        <v>148.05315789473684</v>
      </c>
    </row>
    <row r="6306" spans="1:7" hidden="1" x14ac:dyDescent="0.25">
      <c r="A6306" s="28">
        <v>44044</v>
      </c>
      <c r="B6306" s="27" t="s">
        <v>200</v>
      </c>
      <c r="C6306" s="27" t="s">
        <v>183</v>
      </c>
      <c r="D6306" s="27" t="s">
        <v>7</v>
      </c>
      <c r="E6306" s="27" t="s">
        <v>16</v>
      </c>
      <c r="F6306" s="29"/>
      <c r="G6306" s="30">
        <f t="shared" si="117"/>
        <v>148.05315789473684</v>
      </c>
    </row>
    <row r="6307" spans="1:7" hidden="1" x14ac:dyDescent="0.25">
      <c r="A6307" s="28">
        <v>44044</v>
      </c>
      <c r="B6307" s="27" t="s">
        <v>200</v>
      </c>
      <c r="C6307" s="27" t="s">
        <v>183</v>
      </c>
      <c r="D6307" s="27" t="s">
        <v>7</v>
      </c>
      <c r="E6307" s="27" t="s">
        <v>17</v>
      </c>
      <c r="F6307" s="29"/>
      <c r="G6307" s="30">
        <f t="shared" si="117"/>
        <v>148.05315789473684</v>
      </c>
    </row>
    <row r="6308" spans="1:7" hidden="1" x14ac:dyDescent="0.25">
      <c r="A6308" s="28">
        <v>44044</v>
      </c>
      <c r="B6308" s="27" t="s">
        <v>200</v>
      </c>
      <c r="C6308" s="27" t="s">
        <v>183</v>
      </c>
      <c r="D6308" s="27" t="s">
        <v>7</v>
      </c>
      <c r="E6308" s="27" t="s">
        <v>18</v>
      </c>
      <c r="F6308" s="29"/>
      <c r="G6308" s="30">
        <f t="shared" si="117"/>
        <v>148.05315789473684</v>
      </c>
    </row>
    <row r="6309" spans="1:7" hidden="1" x14ac:dyDescent="0.25">
      <c r="A6309" s="28">
        <v>44044</v>
      </c>
      <c r="B6309" s="27" t="s">
        <v>200</v>
      </c>
      <c r="C6309" s="27" t="s">
        <v>183</v>
      </c>
      <c r="D6309" s="27" t="s">
        <v>7</v>
      </c>
      <c r="E6309" s="27" t="s">
        <v>19</v>
      </c>
      <c r="F6309" s="29"/>
      <c r="G6309" s="30">
        <f t="shared" si="117"/>
        <v>148.05315789473684</v>
      </c>
    </row>
    <row r="6310" spans="1:7" hidden="1" x14ac:dyDescent="0.25">
      <c r="A6310" s="28">
        <v>44044</v>
      </c>
      <c r="B6310" s="27" t="s">
        <v>200</v>
      </c>
      <c r="C6310" s="27" t="s">
        <v>183</v>
      </c>
      <c r="D6310" s="27" t="s">
        <v>7</v>
      </c>
      <c r="E6310" s="27" t="s">
        <v>20</v>
      </c>
      <c r="F6310" s="29"/>
      <c r="G6310" s="30">
        <f t="shared" si="117"/>
        <v>148.05315789473684</v>
      </c>
    </row>
    <row r="6311" spans="1:7" hidden="1" x14ac:dyDescent="0.25">
      <c r="A6311" s="28">
        <v>44044</v>
      </c>
      <c r="B6311" s="27" t="s">
        <v>200</v>
      </c>
      <c r="C6311" s="27" t="s">
        <v>183</v>
      </c>
      <c r="D6311" s="27" t="s">
        <v>7</v>
      </c>
      <c r="E6311" s="27" t="s">
        <v>38</v>
      </c>
      <c r="F6311" s="29"/>
      <c r="G6311" s="30">
        <f t="shared" si="117"/>
        <v>148.05315789473684</v>
      </c>
    </row>
    <row r="6312" spans="1:7" hidden="1" x14ac:dyDescent="0.25">
      <c r="A6312" s="28">
        <v>44044</v>
      </c>
      <c r="B6312" s="27" t="s">
        <v>200</v>
      </c>
      <c r="C6312" s="27" t="s">
        <v>183</v>
      </c>
      <c r="D6312" s="27" t="s">
        <v>7</v>
      </c>
      <c r="E6312" s="27" t="s">
        <v>23</v>
      </c>
      <c r="F6312" s="29"/>
      <c r="G6312" s="30">
        <f t="shared" si="117"/>
        <v>148.05315789473684</v>
      </c>
    </row>
    <row r="6313" spans="1:7" hidden="1" x14ac:dyDescent="0.25">
      <c r="A6313" s="28">
        <v>44044</v>
      </c>
      <c r="B6313" s="27" t="s">
        <v>200</v>
      </c>
      <c r="C6313" s="27" t="s">
        <v>183</v>
      </c>
      <c r="D6313" s="27" t="s">
        <v>7</v>
      </c>
      <c r="E6313" s="27" t="s">
        <v>37</v>
      </c>
      <c r="F6313" s="29"/>
      <c r="G6313" s="30">
        <f t="shared" si="117"/>
        <v>148.05315789473684</v>
      </c>
    </row>
    <row r="6314" spans="1:7" hidden="1" x14ac:dyDescent="0.25">
      <c r="A6314" s="28">
        <v>44044</v>
      </c>
      <c r="B6314" s="27" t="s">
        <v>200</v>
      </c>
      <c r="C6314" s="27" t="s">
        <v>56</v>
      </c>
      <c r="D6314" s="27" t="s">
        <v>6</v>
      </c>
      <c r="E6314" s="27" t="s">
        <v>8</v>
      </c>
      <c r="F6314" s="29"/>
      <c r="G6314" s="30">
        <f t="shared" ref="G6314:G6331" si="118">40274.3457333333/18</f>
        <v>2237.46365185185</v>
      </c>
    </row>
    <row r="6315" spans="1:7" hidden="1" x14ac:dyDescent="0.25">
      <c r="A6315" s="28">
        <v>44044</v>
      </c>
      <c r="B6315" s="27" t="s">
        <v>200</v>
      </c>
      <c r="C6315" s="27" t="s">
        <v>56</v>
      </c>
      <c r="D6315" s="27" t="s">
        <v>6</v>
      </c>
      <c r="E6315" s="27" t="s">
        <v>9</v>
      </c>
      <c r="F6315" s="29"/>
      <c r="G6315" s="30">
        <f t="shared" si="118"/>
        <v>2237.46365185185</v>
      </c>
    </row>
    <row r="6316" spans="1:7" hidden="1" x14ac:dyDescent="0.25">
      <c r="A6316" s="28">
        <v>44044</v>
      </c>
      <c r="B6316" s="27" t="s">
        <v>200</v>
      </c>
      <c r="C6316" s="27" t="s">
        <v>56</v>
      </c>
      <c r="D6316" s="27" t="s">
        <v>6</v>
      </c>
      <c r="E6316" s="27" t="s">
        <v>22</v>
      </c>
      <c r="F6316" s="29"/>
      <c r="G6316" s="30">
        <f t="shared" si="118"/>
        <v>2237.46365185185</v>
      </c>
    </row>
    <row r="6317" spans="1:7" hidden="1" x14ac:dyDescent="0.25">
      <c r="A6317" s="28">
        <v>44044</v>
      </c>
      <c r="B6317" s="27" t="s">
        <v>200</v>
      </c>
      <c r="C6317" s="27" t="s">
        <v>56</v>
      </c>
      <c r="D6317" s="27" t="s">
        <v>6</v>
      </c>
      <c r="E6317" s="27" t="s">
        <v>64</v>
      </c>
      <c r="F6317" s="29"/>
      <c r="G6317" s="30">
        <f t="shared" si="118"/>
        <v>2237.46365185185</v>
      </c>
    </row>
    <row r="6318" spans="1:7" hidden="1" x14ac:dyDescent="0.25">
      <c r="A6318" s="28">
        <v>44044</v>
      </c>
      <c r="B6318" s="27" t="s">
        <v>200</v>
      </c>
      <c r="C6318" s="27" t="s">
        <v>56</v>
      </c>
      <c r="D6318" s="27" t="s">
        <v>6</v>
      </c>
      <c r="E6318" s="27" t="s">
        <v>21</v>
      </c>
      <c r="F6318" s="29"/>
      <c r="G6318" s="30">
        <f t="shared" si="118"/>
        <v>2237.46365185185</v>
      </c>
    </row>
    <row r="6319" spans="1:7" hidden="1" x14ac:dyDescent="0.25">
      <c r="A6319" s="28">
        <v>44044</v>
      </c>
      <c r="B6319" s="27" t="s">
        <v>200</v>
      </c>
      <c r="C6319" s="27" t="s">
        <v>56</v>
      </c>
      <c r="D6319" s="27" t="s">
        <v>6</v>
      </c>
      <c r="E6319" s="27" t="s">
        <v>10</v>
      </c>
      <c r="F6319" s="29"/>
      <c r="G6319" s="30">
        <f t="shared" si="118"/>
        <v>2237.46365185185</v>
      </c>
    </row>
    <row r="6320" spans="1:7" hidden="1" x14ac:dyDescent="0.25">
      <c r="A6320" s="28">
        <v>44044</v>
      </c>
      <c r="B6320" s="27" t="s">
        <v>200</v>
      </c>
      <c r="C6320" s="27" t="s">
        <v>56</v>
      </c>
      <c r="D6320" s="27" t="s">
        <v>6</v>
      </c>
      <c r="E6320" s="27" t="s">
        <v>11</v>
      </c>
      <c r="F6320" s="29"/>
      <c r="G6320" s="30">
        <f t="shared" si="118"/>
        <v>2237.46365185185</v>
      </c>
    </row>
    <row r="6321" spans="1:7" hidden="1" x14ac:dyDescent="0.25">
      <c r="A6321" s="28">
        <v>44044</v>
      </c>
      <c r="B6321" s="27" t="s">
        <v>200</v>
      </c>
      <c r="C6321" s="27" t="s">
        <v>56</v>
      </c>
      <c r="D6321" s="27" t="s">
        <v>6</v>
      </c>
      <c r="E6321" s="27" t="s">
        <v>12</v>
      </c>
      <c r="F6321" s="29"/>
      <c r="G6321" s="30">
        <f t="shared" si="118"/>
        <v>2237.46365185185</v>
      </c>
    </row>
    <row r="6322" spans="1:7" hidden="1" x14ac:dyDescent="0.25">
      <c r="A6322" s="28">
        <v>44044</v>
      </c>
      <c r="B6322" s="27" t="s">
        <v>200</v>
      </c>
      <c r="C6322" s="27" t="s">
        <v>56</v>
      </c>
      <c r="D6322" s="27" t="s">
        <v>6</v>
      </c>
      <c r="E6322" s="27" t="s">
        <v>13</v>
      </c>
      <c r="F6322" s="29"/>
      <c r="G6322" s="30">
        <f t="shared" si="118"/>
        <v>2237.46365185185</v>
      </c>
    </row>
    <row r="6323" spans="1:7" hidden="1" x14ac:dyDescent="0.25">
      <c r="A6323" s="28">
        <v>44044</v>
      </c>
      <c r="B6323" s="27" t="s">
        <v>200</v>
      </c>
      <c r="C6323" s="27" t="s">
        <v>56</v>
      </c>
      <c r="D6323" s="27" t="s">
        <v>6</v>
      </c>
      <c r="E6323" s="27" t="s">
        <v>14</v>
      </c>
      <c r="F6323" s="29"/>
      <c r="G6323" s="30">
        <f t="shared" si="118"/>
        <v>2237.46365185185</v>
      </c>
    </row>
    <row r="6324" spans="1:7" hidden="1" x14ac:dyDescent="0.25">
      <c r="A6324" s="28">
        <v>44044</v>
      </c>
      <c r="B6324" s="27" t="s">
        <v>200</v>
      </c>
      <c r="C6324" s="27" t="s">
        <v>56</v>
      </c>
      <c r="D6324" s="27" t="s">
        <v>6</v>
      </c>
      <c r="E6324" s="27" t="s">
        <v>15</v>
      </c>
      <c r="F6324" s="29"/>
      <c r="G6324" s="30">
        <f t="shared" si="118"/>
        <v>2237.46365185185</v>
      </c>
    </row>
    <row r="6325" spans="1:7" hidden="1" x14ac:dyDescent="0.25">
      <c r="A6325" s="28">
        <v>44044</v>
      </c>
      <c r="B6325" s="27" t="s">
        <v>200</v>
      </c>
      <c r="C6325" s="27" t="s">
        <v>56</v>
      </c>
      <c r="D6325" s="27" t="s">
        <v>6</v>
      </c>
      <c r="E6325" s="27" t="s">
        <v>16</v>
      </c>
      <c r="F6325" s="29"/>
      <c r="G6325" s="30">
        <f t="shared" si="118"/>
        <v>2237.46365185185</v>
      </c>
    </row>
    <row r="6326" spans="1:7" hidden="1" x14ac:dyDescent="0.25">
      <c r="A6326" s="28">
        <v>44044</v>
      </c>
      <c r="B6326" s="27" t="s">
        <v>200</v>
      </c>
      <c r="C6326" s="27" t="s">
        <v>56</v>
      </c>
      <c r="D6326" s="27" t="s">
        <v>6</v>
      </c>
      <c r="E6326" s="27" t="s">
        <v>17</v>
      </c>
      <c r="F6326" s="29"/>
      <c r="G6326" s="30">
        <f t="shared" si="118"/>
        <v>2237.46365185185</v>
      </c>
    </row>
    <row r="6327" spans="1:7" hidden="1" x14ac:dyDescent="0.25">
      <c r="A6327" s="28">
        <v>44044</v>
      </c>
      <c r="B6327" s="27" t="s">
        <v>200</v>
      </c>
      <c r="C6327" s="27" t="s">
        <v>56</v>
      </c>
      <c r="D6327" s="27" t="s">
        <v>6</v>
      </c>
      <c r="E6327" s="27" t="s">
        <v>18</v>
      </c>
      <c r="F6327" s="29"/>
      <c r="G6327" s="30">
        <f t="shared" si="118"/>
        <v>2237.46365185185</v>
      </c>
    </row>
    <row r="6328" spans="1:7" hidden="1" x14ac:dyDescent="0.25">
      <c r="A6328" s="28">
        <v>44044</v>
      </c>
      <c r="B6328" s="27" t="s">
        <v>200</v>
      </c>
      <c r="C6328" s="27" t="s">
        <v>56</v>
      </c>
      <c r="D6328" s="27" t="s">
        <v>6</v>
      </c>
      <c r="E6328" s="27" t="s">
        <v>19</v>
      </c>
      <c r="F6328" s="29"/>
      <c r="G6328" s="30">
        <f t="shared" si="118"/>
        <v>2237.46365185185</v>
      </c>
    </row>
    <row r="6329" spans="1:7" hidden="1" x14ac:dyDescent="0.25">
      <c r="A6329" s="28">
        <v>44044</v>
      </c>
      <c r="B6329" s="27" t="s">
        <v>200</v>
      </c>
      <c r="C6329" s="27" t="s">
        <v>56</v>
      </c>
      <c r="D6329" s="27" t="s">
        <v>6</v>
      </c>
      <c r="E6329" s="27" t="s">
        <v>20</v>
      </c>
      <c r="F6329" s="29"/>
      <c r="G6329" s="30">
        <f t="shared" si="118"/>
        <v>2237.46365185185</v>
      </c>
    </row>
    <row r="6330" spans="1:7" hidden="1" x14ac:dyDescent="0.25">
      <c r="A6330" s="28">
        <v>44044</v>
      </c>
      <c r="B6330" s="27" t="s">
        <v>200</v>
      </c>
      <c r="C6330" s="27" t="s">
        <v>56</v>
      </c>
      <c r="D6330" s="27" t="s">
        <v>6</v>
      </c>
      <c r="E6330" s="27" t="s">
        <v>38</v>
      </c>
      <c r="F6330" s="29"/>
      <c r="G6330" s="30">
        <f t="shared" si="118"/>
        <v>2237.46365185185</v>
      </c>
    </row>
    <row r="6331" spans="1:7" hidden="1" x14ac:dyDescent="0.25">
      <c r="A6331" s="28">
        <v>44044</v>
      </c>
      <c r="B6331" s="27" t="s">
        <v>200</v>
      </c>
      <c r="C6331" s="27" t="s">
        <v>56</v>
      </c>
      <c r="D6331" s="27" t="s">
        <v>6</v>
      </c>
      <c r="E6331" s="27" t="s">
        <v>23</v>
      </c>
      <c r="F6331" s="29"/>
      <c r="G6331" s="30">
        <f t="shared" si="118"/>
        <v>2237.46365185185</v>
      </c>
    </row>
    <row r="6332" spans="1:7" hidden="1" x14ac:dyDescent="0.25">
      <c r="A6332" s="28">
        <v>44044</v>
      </c>
      <c r="B6332" s="27" t="s">
        <v>200</v>
      </c>
      <c r="C6332" s="27" t="s">
        <v>182</v>
      </c>
      <c r="D6332" s="27" t="s">
        <v>7</v>
      </c>
      <c r="E6332" s="27" t="s">
        <v>8</v>
      </c>
      <c r="F6332" s="29"/>
      <c r="G6332" s="30">
        <f t="shared" ref="G6332:G6350" si="119">3910.22/19</f>
        <v>205.80105263157893</v>
      </c>
    </row>
    <row r="6333" spans="1:7" hidden="1" x14ac:dyDescent="0.25">
      <c r="A6333" s="28">
        <v>44044</v>
      </c>
      <c r="B6333" s="27" t="s">
        <v>200</v>
      </c>
      <c r="C6333" s="27" t="s">
        <v>182</v>
      </c>
      <c r="D6333" s="27" t="s">
        <v>7</v>
      </c>
      <c r="E6333" s="27" t="s">
        <v>9</v>
      </c>
      <c r="F6333" s="29"/>
      <c r="G6333" s="30">
        <f t="shared" si="119"/>
        <v>205.80105263157893</v>
      </c>
    </row>
    <row r="6334" spans="1:7" hidden="1" x14ac:dyDescent="0.25">
      <c r="A6334" s="28">
        <v>44044</v>
      </c>
      <c r="B6334" s="27" t="s">
        <v>200</v>
      </c>
      <c r="C6334" s="27" t="s">
        <v>182</v>
      </c>
      <c r="D6334" s="27" t="s">
        <v>7</v>
      </c>
      <c r="E6334" s="27" t="s">
        <v>22</v>
      </c>
      <c r="F6334" s="29"/>
      <c r="G6334" s="30">
        <f t="shared" si="119"/>
        <v>205.80105263157893</v>
      </c>
    </row>
    <row r="6335" spans="1:7" hidden="1" x14ac:dyDescent="0.25">
      <c r="A6335" s="28">
        <v>44044</v>
      </c>
      <c r="B6335" s="27" t="s">
        <v>200</v>
      </c>
      <c r="C6335" s="27" t="s">
        <v>182</v>
      </c>
      <c r="D6335" s="27" t="s">
        <v>7</v>
      </c>
      <c r="E6335" s="27" t="s">
        <v>64</v>
      </c>
      <c r="F6335" s="29"/>
      <c r="G6335" s="30">
        <f t="shared" si="119"/>
        <v>205.80105263157893</v>
      </c>
    </row>
    <row r="6336" spans="1:7" hidden="1" x14ac:dyDescent="0.25">
      <c r="A6336" s="28">
        <v>44044</v>
      </c>
      <c r="B6336" s="27" t="s">
        <v>200</v>
      </c>
      <c r="C6336" s="27" t="s">
        <v>182</v>
      </c>
      <c r="D6336" s="27" t="s">
        <v>7</v>
      </c>
      <c r="E6336" s="27" t="s">
        <v>21</v>
      </c>
      <c r="F6336" s="29"/>
      <c r="G6336" s="30">
        <f t="shared" si="119"/>
        <v>205.80105263157893</v>
      </c>
    </row>
    <row r="6337" spans="1:7" hidden="1" x14ac:dyDescent="0.25">
      <c r="A6337" s="28">
        <v>44044</v>
      </c>
      <c r="B6337" s="27" t="s">
        <v>200</v>
      </c>
      <c r="C6337" s="27" t="s">
        <v>182</v>
      </c>
      <c r="D6337" s="27" t="s">
        <v>7</v>
      </c>
      <c r="E6337" s="27" t="s">
        <v>10</v>
      </c>
      <c r="F6337" s="29"/>
      <c r="G6337" s="30">
        <f t="shared" si="119"/>
        <v>205.80105263157893</v>
      </c>
    </row>
    <row r="6338" spans="1:7" hidden="1" x14ac:dyDescent="0.25">
      <c r="A6338" s="28">
        <v>44044</v>
      </c>
      <c r="B6338" s="27" t="s">
        <v>200</v>
      </c>
      <c r="C6338" s="27" t="s">
        <v>182</v>
      </c>
      <c r="D6338" s="27" t="s">
        <v>7</v>
      </c>
      <c r="E6338" s="27" t="s">
        <v>11</v>
      </c>
      <c r="F6338" s="29"/>
      <c r="G6338" s="30">
        <f t="shared" si="119"/>
        <v>205.80105263157893</v>
      </c>
    </row>
    <row r="6339" spans="1:7" hidden="1" x14ac:dyDescent="0.25">
      <c r="A6339" s="28">
        <v>44044</v>
      </c>
      <c r="B6339" s="27" t="s">
        <v>200</v>
      </c>
      <c r="C6339" s="27" t="s">
        <v>182</v>
      </c>
      <c r="D6339" s="27" t="s">
        <v>7</v>
      </c>
      <c r="E6339" s="27" t="s">
        <v>12</v>
      </c>
      <c r="F6339" s="29"/>
      <c r="G6339" s="30">
        <f t="shared" si="119"/>
        <v>205.80105263157893</v>
      </c>
    </row>
    <row r="6340" spans="1:7" hidden="1" x14ac:dyDescent="0.25">
      <c r="A6340" s="28">
        <v>44044</v>
      </c>
      <c r="B6340" s="27" t="s">
        <v>200</v>
      </c>
      <c r="C6340" s="27" t="s">
        <v>182</v>
      </c>
      <c r="D6340" s="27" t="s">
        <v>7</v>
      </c>
      <c r="E6340" s="27" t="s">
        <v>13</v>
      </c>
      <c r="F6340" s="29"/>
      <c r="G6340" s="30">
        <f t="shared" si="119"/>
        <v>205.80105263157893</v>
      </c>
    </row>
    <row r="6341" spans="1:7" hidden="1" x14ac:dyDescent="0.25">
      <c r="A6341" s="28">
        <v>44044</v>
      </c>
      <c r="B6341" s="27" t="s">
        <v>200</v>
      </c>
      <c r="C6341" s="27" t="s">
        <v>182</v>
      </c>
      <c r="D6341" s="27" t="s">
        <v>7</v>
      </c>
      <c r="E6341" s="27" t="s">
        <v>14</v>
      </c>
      <c r="F6341" s="29"/>
      <c r="G6341" s="30">
        <f t="shared" si="119"/>
        <v>205.80105263157893</v>
      </c>
    </row>
    <row r="6342" spans="1:7" hidden="1" x14ac:dyDescent="0.25">
      <c r="A6342" s="28">
        <v>44044</v>
      </c>
      <c r="B6342" s="27" t="s">
        <v>200</v>
      </c>
      <c r="C6342" s="27" t="s">
        <v>182</v>
      </c>
      <c r="D6342" s="27" t="s">
        <v>7</v>
      </c>
      <c r="E6342" s="27" t="s">
        <v>15</v>
      </c>
      <c r="F6342" s="29"/>
      <c r="G6342" s="30">
        <f t="shared" si="119"/>
        <v>205.80105263157893</v>
      </c>
    </row>
    <row r="6343" spans="1:7" hidden="1" x14ac:dyDescent="0.25">
      <c r="A6343" s="28">
        <v>44044</v>
      </c>
      <c r="B6343" s="27" t="s">
        <v>200</v>
      </c>
      <c r="C6343" s="27" t="s">
        <v>182</v>
      </c>
      <c r="D6343" s="27" t="s">
        <v>7</v>
      </c>
      <c r="E6343" s="27" t="s">
        <v>16</v>
      </c>
      <c r="F6343" s="29"/>
      <c r="G6343" s="30">
        <f t="shared" si="119"/>
        <v>205.80105263157893</v>
      </c>
    </row>
    <row r="6344" spans="1:7" hidden="1" x14ac:dyDescent="0.25">
      <c r="A6344" s="28">
        <v>44044</v>
      </c>
      <c r="B6344" s="27" t="s">
        <v>200</v>
      </c>
      <c r="C6344" s="27" t="s">
        <v>182</v>
      </c>
      <c r="D6344" s="27" t="s">
        <v>7</v>
      </c>
      <c r="E6344" s="27" t="s">
        <v>17</v>
      </c>
      <c r="F6344" s="29"/>
      <c r="G6344" s="30">
        <f t="shared" si="119"/>
        <v>205.80105263157893</v>
      </c>
    </row>
    <row r="6345" spans="1:7" hidden="1" x14ac:dyDescent="0.25">
      <c r="A6345" s="28">
        <v>44044</v>
      </c>
      <c r="B6345" s="27" t="s">
        <v>200</v>
      </c>
      <c r="C6345" s="27" t="s">
        <v>182</v>
      </c>
      <c r="D6345" s="27" t="s">
        <v>7</v>
      </c>
      <c r="E6345" s="27" t="s">
        <v>18</v>
      </c>
      <c r="F6345" s="29"/>
      <c r="G6345" s="30">
        <f t="shared" si="119"/>
        <v>205.80105263157893</v>
      </c>
    </row>
    <row r="6346" spans="1:7" hidden="1" x14ac:dyDescent="0.25">
      <c r="A6346" s="28">
        <v>44044</v>
      </c>
      <c r="B6346" s="27" t="s">
        <v>200</v>
      </c>
      <c r="C6346" s="27" t="s">
        <v>182</v>
      </c>
      <c r="D6346" s="27" t="s">
        <v>7</v>
      </c>
      <c r="E6346" s="27" t="s">
        <v>19</v>
      </c>
      <c r="F6346" s="29"/>
      <c r="G6346" s="30">
        <f t="shared" si="119"/>
        <v>205.80105263157893</v>
      </c>
    </row>
    <row r="6347" spans="1:7" hidden="1" x14ac:dyDescent="0.25">
      <c r="A6347" s="28">
        <v>44044</v>
      </c>
      <c r="B6347" s="27" t="s">
        <v>200</v>
      </c>
      <c r="C6347" s="27" t="s">
        <v>182</v>
      </c>
      <c r="D6347" s="27" t="s">
        <v>7</v>
      </c>
      <c r="E6347" s="27" t="s">
        <v>20</v>
      </c>
      <c r="F6347" s="29"/>
      <c r="G6347" s="30">
        <f t="shared" si="119"/>
        <v>205.80105263157893</v>
      </c>
    </row>
    <row r="6348" spans="1:7" hidden="1" x14ac:dyDescent="0.25">
      <c r="A6348" s="28">
        <v>44044</v>
      </c>
      <c r="B6348" s="27" t="s">
        <v>200</v>
      </c>
      <c r="C6348" s="27" t="s">
        <v>182</v>
      </c>
      <c r="D6348" s="27" t="s">
        <v>7</v>
      </c>
      <c r="E6348" s="27" t="s">
        <v>38</v>
      </c>
      <c r="F6348" s="29"/>
      <c r="G6348" s="30">
        <f t="shared" si="119"/>
        <v>205.80105263157893</v>
      </c>
    </row>
    <row r="6349" spans="1:7" hidden="1" x14ac:dyDescent="0.25">
      <c r="A6349" s="28">
        <v>44044</v>
      </c>
      <c r="B6349" s="27" t="s">
        <v>200</v>
      </c>
      <c r="C6349" s="27" t="s">
        <v>182</v>
      </c>
      <c r="D6349" s="27" t="s">
        <v>7</v>
      </c>
      <c r="E6349" s="27" t="s">
        <v>23</v>
      </c>
      <c r="F6349" s="29"/>
      <c r="G6349" s="30">
        <f t="shared" si="119"/>
        <v>205.80105263157893</v>
      </c>
    </row>
    <row r="6350" spans="1:7" hidden="1" x14ac:dyDescent="0.25">
      <c r="A6350" s="28">
        <v>44044</v>
      </c>
      <c r="B6350" s="27" t="s">
        <v>200</v>
      </c>
      <c r="C6350" s="27" t="s">
        <v>182</v>
      </c>
      <c r="D6350" s="27" t="s">
        <v>7</v>
      </c>
      <c r="E6350" s="27" t="s">
        <v>37</v>
      </c>
      <c r="F6350" s="29"/>
      <c r="G6350" s="30">
        <f t="shared" si="119"/>
        <v>205.80105263157893</v>
      </c>
    </row>
    <row r="6351" spans="1:7" hidden="1" x14ac:dyDescent="0.25">
      <c r="A6351" s="28">
        <v>44044</v>
      </c>
      <c r="B6351" s="27" t="s">
        <v>35</v>
      </c>
      <c r="C6351" s="27" t="s">
        <v>50</v>
      </c>
      <c r="D6351" s="27" t="s">
        <v>6</v>
      </c>
      <c r="E6351" s="27" t="s">
        <v>8</v>
      </c>
      <c r="F6351" s="29"/>
      <c r="G6351" s="30">
        <v>535.05222222222221</v>
      </c>
    </row>
    <row r="6352" spans="1:7" hidden="1" x14ac:dyDescent="0.25">
      <c r="A6352" s="28">
        <v>44044</v>
      </c>
      <c r="B6352" s="27" t="s">
        <v>35</v>
      </c>
      <c r="C6352" s="27" t="s">
        <v>50</v>
      </c>
      <c r="D6352" s="27" t="s">
        <v>6</v>
      </c>
      <c r="E6352" s="27" t="s">
        <v>9</v>
      </c>
      <c r="F6352" s="29"/>
      <c r="G6352" s="30">
        <v>535.05222222222221</v>
      </c>
    </row>
    <row r="6353" spans="1:7" hidden="1" x14ac:dyDescent="0.25">
      <c r="A6353" s="28">
        <v>44044</v>
      </c>
      <c r="B6353" s="27" t="s">
        <v>35</v>
      </c>
      <c r="C6353" s="27" t="s">
        <v>50</v>
      </c>
      <c r="D6353" s="27" t="s">
        <v>6</v>
      </c>
      <c r="E6353" s="27" t="s">
        <v>22</v>
      </c>
      <c r="F6353" s="29"/>
      <c r="G6353" s="30">
        <v>535.05222222222221</v>
      </c>
    </row>
    <row r="6354" spans="1:7" hidden="1" x14ac:dyDescent="0.25">
      <c r="A6354" s="28">
        <v>44044</v>
      </c>
      <c r="B6354" s="27" t="s">
        <v>35</v>
      </c>
      <c r="C6354" s="27" t="s">
        <v>50</v>
      </c>
      <c r="D6354" s="27" t="s">
        <v>6</v>
      </c>
      <c r="E6354" s="27" t="s">
        <v>64</v>
      </c>
      <c r="F6354" s="29"/>
      <c r="G6354" s="30">
        <v>535.05222222222221</v>
      </c>
    </row>
    <row r="6355" spans="1:7" hidden="1" x14ac:dyDescent="0.25">
      <c r="A6355" s="28">
        <v>44044</v>
      </c>
      <c r="B6355" s="27" t="s">
        <v>35</v>
      </c>
      <c r="C6355" s="27" t="s">
        <v>50</v>
      </c>
      <c r="D6355" s="27" t="s">
        <v>6</v>
      </c>
      <c r="E6355" s="27" t="s">
        <v>21</v>
      </c>
      <c r="F6355" s="29"/>
      <c r="G6355" s="30">
        <v>535.05222222222221</v>
      </c>
    </row>
    <row r="6356" spans="1:7" hidden="1" x14ac:dyDescent="0.25">
      <c r="A6356" s="28">
        <v>44044</v>
      </c>
      <c r="B6356" s="27" t="s">
        <v>35</v>
      </c>
      <c r="C6356" s="27" t="s">
        <v>50</v>
      </c>
      <c r="D6356" s="27" t="s">
        <v>6</v>
      </c>
      <c r="E6356" s="27" t="s">
        <v>10</v>
      </c>
      <c r="F6356" s="29"/>
      <c r="G6356" s="30">
        <v>535.05222222222221</v>
      </c>
    </row>
    <row r="6357" spans="1:7" hidden="1" x14ac:dyDescent="0.25">
      <c r="A6357" s="28">
        <v>44044</v>
      </c>
      <c r="B6357" s="27" t="s">
        <v>35</v>
      </c>
      <c r="C6357" s="27" t="s">
        <v>50</v>
      </c>
      <c r="D6357" s="27" t="s">
        <v>6</v>
      </c>
      <c r="E6357" s="27" t="s">
        <v>11</v>
      </c>
      <c r="F6357" s="29"/>
      <c r="G6357" s="30">
        <v>535.05222222222221</v>
      </c>
    </row>
    <row r="6358" spans="1:7" hidden="1" x14ac:dyDescent="0.25">
      <c r="A6358" s="28">
        <v>44044</v>
      </c>
      <c r="B6358" s="27" t="s">
        <v>35</v>
      </c>
      <c r="C6358" s="27" t="s">
        <v>50</v>
      </c>
      <c r="D6358" s="27" t="s">
        <v>6</v>
      </c>
      <c r="E6358" s="27" t="s">
        <v>12</v>
      </c>
      <c r="F6358" s="29"/>
      <c r="G6358" s="30">
        <v>535.05222222222221</v>
      </c>
    </row>
    <row r="6359" spans="1:7" hidden="1" x14ac:dyDescent="0.25">
      <c r="A6359" s="28">
        <v>44044</v>
      </c>
      <c r="B6359" s="27" t="s">
        <v>35</v>
      </c>
      <c r="C6359" s="27" t="s">
        <v>50</v>
      </c>
      <c r="D6359" s="27" t="s">
        <v>6</v>
      </c>
      <c r="E6359" s="27" t="s">
        <v>13</v>
      </c>
      <c r="F6359" s="29"/>
      <c r="G6359" s="30">
        <v>535.05222222222221</v>
      </c>
    </row>
    <row r="6360" spans="1:7" hidden="1" x14ac:dyDescent="0.25">
      <c r="A6360" s="28">
        <v>44044</v>
      </c>
      <c r="B6360" s="27" t="s">
        <v>35</v>
      </c>
      <c r="C6360" s="27" t="s">
        <v>50</v>
      </c>
      <c r="D6360" s="27" t="s">
        <v>6</v>
      </c>
      <c r="E6360" s="27" t="s">
        <v>14</v>
      </c>
      <c r="F6360" s="29"/>
      <c r="G6360" s="30">
        <v>535.05222222222221</v>
      </c>
    </row>
    <row r="6361" spans="1:7" hidden="1" x14ac:dyDescent="0.25">
      <c r="A6361" s="28">
        <v>44044</v>
      </c>
      <c r="B6361" s="27" t="s">
        <v>35</v>
      </c>
      <c r="C6361" s="27" t="s">
        <v>50</v>
      </c>
      <c r="D6361" s="27" t="s">
        <v>6</v>
      </c>
      <c r="E6361" s="27" t="s">
        <v>15</v>
      </c>
      <c r="F6361" s="29"/>
      <c r="G6361" s="30">
        <v>535.05222222222221</v>
      </c>
    </row>
    <row r="6362" spans="1:7" hidden="1" x14ac:dyDescent="0.25">
      <c r="A6362" s="28">
        <v>44044</v>
      </c>
      <c r="B6362" s="27" t="s">
        <v>35</v>
      </c>
      <c r="C6362" s="27" t="s">
        <v>50</v>
      </c>
      <c r="D6362" s="27" t="s">
        <v>6</v>
      </c>
      <c r="E6362" s="27" t="s">
        <v>16</v>
      </c>
      <c r="F6362" s="29"/>
      <c r="G6362" s="30">
        <v>535.05222222222221</v>
      </c>
    </row>
    <row r="6363" spans="1:7" hidden="1" x14ac:dyDescent="0.25">
      <c r="A6363" s="28">
        <v>44044</v>
      </c>
      <c r="B6363" s="27" t="s">
        <v>35</v>
      </c>
      <c r="C6363" s="27" t="s">
        <v>50</v>
      </c>
      <c r="D6363" s="27" t="s">
        <v>6</v>
      </c>
      <c r="E6363" s="27" t="s">
        <v>17</v>
      </c>
      <c r="F6363" s="29"/>
      <c r="G6363" s="30">
        <v>535.05222222222221</v>
      </c>
    </row>
    <row r="6364" spans="1:7" hidden="1" x14ac:dyDescent="0.25">
      <c r="A6364" s="28">
        <v>44044</v>
      </c>
      <c r="B6364" s="27" t="s">
        <v>35</v>
      </c>
      <c r="C6364" s="27" t="s">
        <v>50</v>
      </c>
      <c r="D6364" s="27" t="s">
        <v>6</v>
      </c>
      <c r="E6364" s="27" t="s">
        <v>18</v>
      </c>
      <c r="F6364" s="29"/>
      <c r="G6364" s="30">
        <v>535.05222222222221</v>
      </c>
    </row>
    <row r="6365" spans="1:7" hidden="1" x14ac:dyDescent="0.25">
      <c r="A6365" s="28">
        <v>44044</v>
      </c>
      <c r="B6365" s="27" t="s">
        <v>35</v>
      </c>
      <c r="C6365" s="27" t="s">
        <v>50</v>
      </c>
      <c r="D6365" s="27" t="s">
        <v>6</v>
      </c>
      <c r="E6365" s="27" t="s">
        <v>19</v>
      </c>
      <c r="F6365" s="29"/>
      <c r="G6365" s="30">
        <v>535.05222222222221</v>
      </c>
    </row>
    <row r="6366" spans="1:7" hidden="1" x14ac:dyDescent="0.25">
      <c r="A6366" s="28">
        <v>44044</v>
      </c>
      <c r="B6366" s="27" t="s">
        <v>35</v>
      </c>
      <c r="C6366" s="27" t="s">
        <v>50</v>
      </c>
      <c r="D6366" s="27" t="s">
        <v>6</v>
      </c>
      <c r="E6366" s="27" t="s">
        <v>20</v>
      </c>
      <c r="F6366" s="29"/>
      <c r="G6366" s="30">
        <v>535.05222222222221</v>
      </c>
    </row>
    <row r="6367" spans="1:7" hidden="1" x14ac:dyDescent="0.25">
      <c r="A6367" s="28">
        <v>44044</v>
      </c>
      <c r="B6367" s="27" t="s">
        <v>35</v>
      </c>
      <c r="C6367" s="27" t="s">
        <v>50</v>
      </c>
      <c r="D6367" s="27" t="s">
        <v>6</v>
      </c>
      <c r="E6367" s="27" t="s">
        <v>38</v>
      </c>
      <c r="F6367" s="29"/>
      <c r="G6367" s="30">
        <v>535.05222222222221</v>
      </c>
    </row>
    <row r="6368" spans="1:7" hidden="1" x14ac:dyDescent="0.25">
      <c r="A6368" s="28">
        <v>44044</v>
      </c>
      <c r="B6368" s="27" t="s">
        <v>35</v>
      </c>
      <c r="C6368" s="27" t="s">
        <v>50</v>
      </c>
      <c r="D6368" s="27" t="s">
        <v>6</v>
      </c>
      <c r="E6368" s="27" t="s">
        <v>23</v>
      </c>
      <c r="F6368" s="29"/>
      <c r="G6368" s="30">
        <v>535.05222222222221</v>
      </c>
    </row>
    <row r="6369" spans="1:7" hidden="1" x14ac:dyDescent="0.25">
      <c r="A6369" s="28">
        <v>44044</v>
      </c>
      <c r="B6369" s="27" t="s">
        <v>34</v>
      </c>
      <c r="C6369" s="27" t="s">
        <v>50</v>
      </c>
      <c r="D6369" s="27" t="s">
        <v>6</v>
      </c>
      <c r="E6369" s="27" t="s">
        <v>8</v>
      </c>
      <c r="F6369" s="29"/>
      <c r="G6369" s="30">
        <v>730.85299999999995</v>
      </c>
    </row>
    <row r="6370" spans="1:7" hidden="1" x14ac:dyDescent="0.25">
      <c r="A6370" s="28">
        <v>44044</v>
      </c>
      <c r="B6370" s="27" t="s">
        <v>34</v>
      </c>
      <c r="C6370" s="27" t="s">
        <v>50</v>
      </c>
      <c r="D6370" s="27" t="s">
        <v>6</v>
      </c>
      <c r="E6370" s="27" t="s">
        <v>9</v>
      </c>
      <c r="F6370" s="29"/>
      <c r="G6370" s="30">
        <v>809.49900000000002</v>
      </c>
    </row>
    <row r="6371" spans="1:7" hidden="1" x14ac:dyDescent="0.25">
      <c r="A6371" s="28">
        <v>44044</v>
      </c>
      <c r="B6371" s="27" t="s">
        <v>34</v>
      </c>
      <c r="C6371" s="27" t="s">
        <v>50</v>
      </c>
      <c r="D6371" s="27" t="s">
        <v>6</v>
      </c>
      <c r="E6371" s="27" t="s">
        <v>22</v>
      </c>
      <c r="F6371" s="29"/>
      <c r="G6371" s="30">
        <v>1078.788</v>
      </c>
    </row>
    <row r="6372" spans="1:7" hidden="1" x14ac:dyDescent="0.25">
      <c r="A6372" s="28">
        <v>44044</v>
      </c>
      <c r="B6372" s="27" t="s">
        <v>34</v>
      </c>
      <c r="C6372" s="27" t="s">
        <v>50</v>
      </c>
      <c r="D6372" s="27" t="s">
        <v>6</v>
      </c>
      <c r="E6372" s="27" t="s">
        <v>64</v>
      </c>
      <c r="F6372" s="29"/>
      <c r="G6372" s="30">
        <v>770.21699999999998</v>
      </c>
    </row>
    <row r="6373" spans="1:7" hidden="1" x14ac:dyDescent="0.25">
      <c r="A6373" s="28">
        <v>44044</v>
      </c>
      <c r="B6373" s="27" t="s">
        <v>34</v>
      </c>
      <c r="C6373" s="27" t="s">
        <v>50</v>
      </c>
      <c r="D6373" s="27" t="s">
        <v>6</v>
      </c>
      <c r="E6373" s="27" t="s">
        <v>21</v>
      </c>
      <c r="F6373" s="29"/>
      <c r="G6373" s="30">
        <v>777.58799999999997</v>
      </c>
    </row>
    <row r="6374" spans="1:7" hidden="1" x14ac:dyDescent="0.25">
      <c r="A6374" s="28">
        <v>44044</v>
      </c>
      <c r="B6374" s="27" t="s">
        <v>34</v>
      </c>
      <c r="C6374" s="27" t="s">
        <v>50</v>
      </c>
      <c r="D6374" s="27" t="s">
        <v>6</v>
      </c>
      <c r="E6374" s="27" t="s">
        <v>10</v>
      </c>
      <c r="F6374" s="29"/>
      <c r="G6374" s="30">
        <v>1036.6759999999999</v>
      </c>
    </row>
    <row r="6375" spans="1:7" hidden="1" x14ac:dyDescent="0.25">
      <c r="A6375" s="28">
        <v>44044</v>
      </c>
      <c r="B6375" s="27" t="s">
        <v>34</v>
      </c>
      <c r="C6375" s="27" t="s">
        <v>50</v>
      </c>
      <c r="D6375" s="27" t="s">
        <v>6</v>
      </c>
      <c r="E6375" s="27" t="s">
        <v>11</v>
      </c>
      <c r="F6375" s="29"/>
      <c r="G6375" s="30">
        <v>414.69799999999998</v>
      </c>
    </row>
    <row r="6376" spans="1:7" hidden="1" x14ac:dyDescent="0.25">
      <c r="A6376" s="28">
        <v>44044</v>
      </c>
      <c r="B6376" s="27" t="s">
        <v>34</v>
      </c>
      <c r="C6376" s="27" t="s">
        <v>50</v>
      </c>
      <c r="D6376" s="27" t="s">
        <v>6</v>
      </c>
      <c r="E6376" s="27" t="s">
        <v>12</v>
      </c>
      <c r="F6376" s="29"/>
      <c r="G6376" s="30">
        <v>455.96400000000006</v>
      </c>
    </row>
    <row r="6377" spans="1:7" hidden="1" x14ac:dyDescent="0.25">
      <c r="A6377" s="28">
        <v>44044</v>
      </c>
      <c r="B6377" s="27" t="s">
        <v>34</v>
      </c>
      <c r="C6377" s="27" t="s">
        <v>50</v>
      </c>
      <c r="D6377" s="27" t="s">
        <v>6</v>
      </c>
      <c r="E6377" s="27" t="s">
        <v>13</v>
      </c>
      <c r="F6377" s="29"/>
      <c r="G6377" s="30">
        <v>661.88400000000001</v>
      </c>
    </row>
    <row r="6378" spans="1:7" hidden="1" x14ac:dyDescent="0.25">
      <c r="A6378" s="28">
        <v>44044</v>
      </c>
      <c r="B6378" s="27" t="s">
        <v>34</v>
      </c>
      <c r="C6378" s="27" t="s">
        <v>50</v>
      </c>
      <c r="D6378" s="27" t="s">
        <v>6</v>
      </c>
      <c r="E6378" s="27" t="s">
        <v>14</v>
      </c>
      <c r="F6378" s="29"/>
      <c r="G6378" s="30">
        <v>191.779</v>
      </c>
    </row>
    <row r="6379" spans="1:7" hidden="1" x14ac:dyDescent="0.25">
      <c r="A6379" s="28">
        <v>44044</v>
      </c>
      <c r="B6379" s="27" t="s">
        <v>34</v>
      </c>
      <c r="C6379" s="27" t="s">
        <v>50</v>
      </c>
      <c r="D6379" s="27" t="s">
        <v>6</v>
      </c>
      <c r="E6379" s="27" t="s">
        <v>15</v>
      </c>
      <c r="F6379" s="29"/>
      <c r="G6379" s="30">
        <v>526.94200000000001</v>
      </c>
    </row>
    <row r="6380" spans="1:7" hidden="1" x14ac:dyDescent="0.25">
      <c r="A6380" s="28">
        <v>44044</v>
      </c>
      <c r="B6380" s="27" t="s">
        <v>34</v>
      </c>
      <c r="C6380" s="27" t="s">
        <v>50</v>
      </c>
      <c r="D6380" s="27" t="s">
        <v>6</v>
      </c>
      <c r="E6380" s="27" t="s">
        <v>16</v>
      </c>
      <c r="F6380" s="29"/>
      <c r="G6380" s="30">
        <v>651.45799999999997</v>
      </c>
    </row>
    <row r="6381" spans="1:7" hidden="1" x14ac:dyDescent="0.25">
      <c r="A6381" s="28">
        <v>44044</v>
      </c>
      <c r="B6381" s="27" t="s">
        <v>34</v>
      </c>
      <c r="C6381" s="27" t="s">
        <v>50</v>
      </c>
      <c r="D6381" s="27" t="s">
        <v>6</v>
      </c>
      <c r="E6381" s="27" t="s">
        <v>17</v>
      </c>
      <c r="F6381" s="29"/>
      <c r="G6381" s="30">
        <v>1174.4879999999998</v>
      </c>
    </row>
    <row r="6382" spans="1:7" hidden="1" x14ac:dyDescent="0.25">
      <c r="A6382" s="28">
        <v>44044</v>
      </c>
      <c r="B6382" s="27" t="s">
        <v>34</v>
      </c>
      <c r="C6382" s="27" t="s">
        <v>50</v>
      </c>
      <c r="D6382" s="27" t="s">
        <v>6</v>
      </c>
      <c r="E6382" s="27" t="s">
        <v>18</v>
      </c>
      <c r="F6382" s="29"/>
      <c r="G6382" s="30">
        <v>506.59399999999994</v>
      </c>
    </row>
    <row r="6383" spans="1:7" hidden="1" x14ac:dyDescent="0.25">
      <c r="A6383" s="28">
        <v>44044</v>
      </c>
      <c r="B6383" s="27" t="s">
        <v>34</v>
      </c>
      <c r="C6383" s="27" t="s">
        <v>50</v>
      </c>
      <c r="D6383" s="27" t="s">
        <v>6</v>
      </c>
      <c r="E6383" s="27" t="s">
        <v>19</v>
      </c>
      <c r="F6383" s="29"/>
      <c r="G6383" s="30">
        <v>716.14</v>
      </c>
    </row>
    <row r="6384" spans="1:7" hidden="1" x14ac:dyDescent="0.25">
      <c r="A6384" s="28">
        <v>44044</v>
      </c>
      <c r="B6384" s="27" t="s">
        <v>34</v>
      </c>
      <c r="C6384" s="27" t="s">
        <v>50</v>
      </c>
      <c r="D6384" s="27" t="s">
        <v>6</v>
      </c>
      <c r="E6384" s="27" t="s">
        <v>20</v>
      </c>
      <c r="F6384" s="29"/>
      <c r="G6384" s="30">
        <v>520.13300000000004</v>
      </c>
    </row>
    <row r="6385" spans="1:7" hidden="1" x14ac:dyDescent="0.25">
      <c r="A6385" s="28">
        <v>44044</v>
      </c>
      <c r="B6385" s="27" t="s">
        <v>34</v>
      </c>
      <c r="C6385" s="27" t="s">
        <v>50</v>
      </c>
      <c r="D6385" s="27" t="s">
        <v>6</v>
      </c>
      <c r="E6385" s="27" t="s">
        <v>38</v>
      </c>
      <c r="F6385" s="29"/>
      <c r="G6385" s="30">
        <v>204.74299999999999</v>
      </c>
    </row>
    <row r="6386" spans="1:7" hidden="1" x14ac:dyDescent="0.25">
      <c r="A6386" s="28">
        <v>44044</v>
      </c>
      <c r="B6386" s="27" t="s">
        <v>34</v>
      </c>
      <c r="C6386" s="27" t="s">
        <v>50</v>
      </c>
      <c r="D6386" s="27" t="s">
        <v>6</v>
      </c>
      <c r="E6386" s="27" t="s">
        <v>23</v>
      </c>
      <c r="F6386" s="29"/>
      <c r="G6386" s="30">
        <v>803.31400000000008</v>
      </c>
    </row>
    <row r="6387" spans="1:7" hidden="1" x14ac:dyDescent="0.25">
      <c r="A6387" s="28">
        <v>44075</v>
      </c>
      <c r="B6387" s="27" t="s">
        <v>33</v>
      </c>
      <c r="C6387" s="27" t="s">
        <v>50</v>
      </c>
      <c r="D6387" s="27" t="s">
        <v>7</v>
      </c>
      <c r="E6387" s="27" t="s">
        <v>8</v>
      </c>
      <c r="F6387" s="29"/>
      <c r="G6387" s="30">
        <v>2542.7127777777778</v>
      </c>
    </row>
    <row r="6388" spans="1:7" hidden="1" x14ac:dyDescent="0.25">
      <c r="A6388" s="28">
        <v>44075</v>
      </c>
      <c r="B6388" s="27" t="s">
        <v>33</v>
      </c>
      <c r="C6388" s="27" t="s">
        <v>50</v>
      </c>
      <c r="D6388" s="27" t="s">
        <v>7</v>
      </c>
      <c r="E6388" s="27" t="s">
        <v>9</v>
      </c>
      <c r="F6388" s="29"/>
      <c r="G6388" s="30">
        <v>2542.7127777777778</v>
      </c>
    </row>
    <row r="6389" spans="1:7" hidden="1" x14ac:dyDescent="0.25">
      <c r="A6389" s="28">
        <v>44075</v>
      </c>
      <c r="B6389" s="27" t="s">
        <v>33</v>
      </c>
      <c r="C6389" s="27" t="s">
        <v>50</v>
      </c>
      <c r="D6389" s="27" t="s">
        <v>7</v>
      </c>
      <c r="E6389" s="27" t="s">
        <v>22</v>
      </c>
      <c r="F6389" s="29"/>
      <c r="G6389" s="30">
        <v>2542.7127777777778</v>
      </c>
    </row>
    <row r="6390" spans="1:7" hidden="1" x14ac:dyDescent="0.25">
      <c r="A6390" s="28">
        <v>44075</v>
      </c>
      <c r="B6390" s="27" t="s">
        <v>33</v>
      </c>
      <c r="C6390" s="27" t="s">
        <v>50</v>
      </c>
      <c r="D6390" s="27" t="s">
        <v>7</v>
      </c>
      <c r="E6390" s="27" t="s">
        <v>64</v>
      </c>
      <c r="F6390" s="29"/>
      <c r="G6390" s="30">
        <v>2542.7127777777778</v>
      </c>
    </row>
    <row r="6391" spans="1:7" hidden="1" x14ac:dyDescent="0.25">
      <c r="A6391" s="28">
        <v>44075</v>
      </c>
      <c r="B6391" s="27" t="s">
        <v>33</v>
      </c>
      <c r="C6391" s="27" t="s">
        <v>50</v>
      </c>
      <c r="D6391" s="27" t="s">
        <v>7</v>
      </c>
      <c r="E6391" s="27" t="s">
        <v>21</v>
      </c>
      <c r="F6391" s="29"/>
      <c r="G6391" s="30">
        <v>2542.7127777777778</v>
      </c>
    </row>
    <row r="6392" spans="1:7" hidden="1" x14ac:dyDescent="0.25">
      <c r="A6392" s="28">
        <v>44075</v>
      </c>
      <c r="B6392" s="27" t="s">
        <v>33</v>
      </c>
      <c r="C6392" s="27" t="s">
        <v>50</v>
      </c>
      <c r="D6392" s="27" t="s">
        <v>7</v>
      </c>
      <c r="E6392" s="27" t="s">
        <v>10</v>
      </c>
      <c r="F6392" s="29"/>
      <c r="G6392" s="30">
        <v>2542.7127777777778</v>
      </c>
    </row>
    <row r="6393" spans="1:7" hidden="1" x14ac:dyDescent="0.25">
      <c r="A6393" s="28">
        <v>44075</v>
      </c>
      <c r="B6393" s="27" t="s">
        <v>33</v>
      </c>
      <c r="C6393" s="27" t="s">
        <v>50</v>
      </c>
      <c r="D6393" s="27" t="s">
        <v>7</v>
      </c>
      <c r="E6393" s="27" t="s">
        <v>11</v>
      </c>
      <c r="F6393" s="29"/>
      <c r="G6393" s="30">
        <v>2542.7127777777778</v>
      </c>
    </row>
    <row r="6394" spans="1:7" hidden="1" x14ac:dyDescent="0.25">
      <c r="A6394" s="28">
        <v>44075</v>
      </c>
      <c r="B6394" s="27" t="s">
        <v>33</v>
      </c>
      <c r="C6394" s="27" t="s">
        <v>50</v>
      </c>
      <c r="D6394" s="27" t="s">
        <v>7</v>
      </c>
      <c r="E6394" s="27" t="s">
        <v>12</v>
      </c>
      <c r="F6394" s="29"/>
      <c r="G6394" s="30">
        <v>2542.7127777777778</v>
      </c>
    </row>
    <row r="6395" spans="1:7" hidden="1" x14ac:dyDescent="0.25">
      <c r="A6395" s="28">
        <v>44075</v>
      </c>
      <c r="B6395" s="27" t="s">
        <v>33</v>
      </c>
      <c r="C6395" s="27" t="s">
        <v>50</v>
      </c>
      <c r="D6395" s="27" t="s">
        <v>7</v>
      </c>
      <c r="E6395" s="27" t="s">
        <v>13</v>
      </c>
      <c r="F6395" s="29"/>
      <c r="G6395" s="30">
        <v>2542.7127777777778</v>
      </c>
    </row>
    <row r="6396" spans="1:7" hidden="1" x14ac:dyDescent="0.25">
      <c r="A6396" s="28">
        <v>44075</v>
      </c>
      <c r="B6396" s="27" t="s">
        <v>33</v>
      </c>
      <c r="C6396" s="27" t="s">
        <v>50</v>
      </c>
      <c r="D6396" s="27" t="s">
        <v>7</v>
      </c>
      <c r="E6396" s="27" t="s">
        <v>14</v>
      </c>
      <c r="F6396" s="29"/>
      <c r="G6396" s="30">
        <v>2542.7127777777778</v>
      </c>
    </row>
    <row r="6397" spans="1:7" hidden="1" x14ac:dyDescent="0.25">
      <c r="A6397" s="28">
        <v>44075</v>
      </c>
      <c r="B6397" s="27" t="s">
        <v>33</v>
      </c>
      <c r="C6397" s="27" t="s">
        <v>50</v>
      </c>
      <c r="D6397" s="27" t="s">
        <v>7</v>
      </c>
      <c r="E6397" s="27" t="s">
        <v>15</v>
      </c>
      <c r="F6397" s="29"/>
      <c r="G6397" s="30">
        <v>2542.7127777777778</v>
      </c>
    </row>
    <row r="6398" spans="1:7" hidden="1" x14ac:dyDescent="0.25">
      <c r="A6398" s="28">
        <v>44075</v>
      </c>
      <c r="B6398" s="27" t="s">
        <v>33</v>
      </c>
      <c r="C6398" s="27" t="s">
        <v>50</v>
      </c>
      <c r="D6398" s="27" t="s">
        <v>7</v>
      </c>
      <c r="E6398" s="27" t="s">
        <v>16</v>
      </c>
      <c r="F6398" s="29"/>
      <c r="G6398" s="30">
        <v>2542.7127777777778</v>
      </c>
    </row>
    <row r="6399" spans="1:7" hidden="1" x14ac:dyDescent="0.25">
      <c r="A6399" s="28">
        <v>44075</v>
      </c>
      <c r="B6399" s="27" t="s">
        <v>33</v>
      </c>
      <c r="C6399" s="27" t="s">
        <v>50</v>
      </c>
      <c r="D6399" s="27" t="s">
        <v>7</v>
      </c>
      <c r="E6399" s="27" t="s">
        <v>17</v>
      </c>
      <c r="F6399" s="29"/>
      <c r="G6399" s="30">
        <v>2542.7127777777778</v>
      </c>
    </row>
    <row r="6400" spans="1:7" hidden="1" x14ac:dyDescent="0.25">
      <c r="A6400" s="28">
        <v>44075</v>
      </c>
      <c r="B6400" s="27" t="s">
        <v>33</v>
      </c>
      <c r="C6400" s="27" t="s">
        <v>50</v>
      </c>
      <c r="D6400" s="27" t="s">
        <v>7</v>
      </c>
      <c r="E6400" s="27" t="s">
        <v>18</v>
      </c>
      <c r="F6400" s="29"/>
      <c r="G6400" s="30">
        <v>2542.7127777777778</v>
      </c>
    </row>
    <row r="6401" spans="1:7" hidden="1" x14ac:dyDescent="0.25">
      <c r="A6401" s="28">
        <v>44075</v>
      </c>
      <c r="B6401" s="27" t="s">
        <v>33</v>
      </c>
      <c r="C6401" s="27" t="s">
        <v>50</v>
      </c>
      <c r="D6401" s="27" t="s">
        <v>7</v>
      </c>
      <c r="E6401" s="27" t="s">
        <v>19</v>
      </c>
      <c r="F6401" s="29"/>
      <c r="G6401" s="30">
        <v>2542.7127777777778</v>
      </c>
    </row>
    <row r="6402" spans="1:7" hidden="1" x14ac:dyDescent="0.25">
      <c r="A6402" s="28">
        <v>44075</v>
      </c>
      <c r="B6402" s="27" t="s">
        <v>33</v>
      </c>
      <c r="C6402" s="27" t="s">
        <v>50</v>
      </c>
      <c r="D6402" s="27" t="s">
        <v>7</v>
      </c>
      <c r="E6402" s="27" t="s">
        <v>20</v>
      </c>
      <c r="F6402" s="29"/>
      <c r="G6402" s="30">
        <v>2542.7127777777778</v>
      </c>
    </row>
    <row r="6403" spans="1:7" hidden="1" x14ac:dyDescent="0.25">
      <c r="A6403" s="28">
        <v>44075</v>
      </c>
      <c r="B6403" s="27" t="s">
        <v>33</v>
      </c>
      <c r="C6403" s="27" t="s">
        <v>50</v>
      </c>
      <c r="D6403" s="27" t="s">
        <v>7</v>
      </c>
      <c r="E6403" s="27" t="s">
        <v>38</v>
      </c>
      <c r="F6403" s="29"/>
      <c r="G6403" s="30">
        <v>2542.7127777777778</v>
      </c>
    </row>
    <row r="6404" spans="1:7" hidden="1" x14ac:dyDescent="0.25">
      <c r="A6404" s="28">
        <v>44075</v>
      </c>
      <c r="B6404" s="27" t="s">
        <v>33</v>
      </c>
      <c r="C6404" s="27" t="s">
        <v>50</v>
      </c>
      <c r="D6404" s="27" t="s">
        <v>7</v>
      </c>
      <c r="E6404" s="27" t="s">
        <v>23</v>
      </c>
      <c r="F6404" s="29"/>
      <c r="G6404" s="30">
        <v>2542.7127777777778</v>
      </c>
    </row>
    <row r="6405" spans="1:7" hidden="1" x14ac:dyDescent="0.25">
      <c r="A6405" s="28">
        <v>44075</v>
      </c>
      <c r="B6405" s="27" t="s">
        <v>4</v>
      </c>
      <c r="C6405" s="27" t="s">
        <v>50</v>
      </c>
      <c r="D6405" s="27" t="s">
        <v>7</v>
      </c>
      <c r="E6405" s="27" t="s">
        <v>8</v>
      </c>
      <c r="F6405" s="29"/>
      <c r="G6405" s="30">
        <v>3023.36</v>
      </c>
    </row>
    <row r="6406" spans="1:7" hidden="1" x14ac:dyDescent="0.25">
      <c r="A6406" s="28">
        <v>44075</v>
      </c>
      <c r="B6406" s="27" t="s">
        <v>4</v>
      </c>
      <c r="C6406" s="27" t="s">
        <v>50</v>
      </c>
      <c r="D6406" s="27" t="s">
        <v>7</v>
      </c>
      <c r="E6406" s="27" t="s">
        <v>9</v>
      </c>
      <c r="F6406" s="29"/>
      <c r="G6406" s="30">
        <v>3696.82</v>
      </c>
    </row>
    <row r="6407" spans="1:7" hidden="1" x14ac:dyDescent="0.25">
      <c r="A6407" s="28">
        <v>44075</v>
      </c>
      <c r="B6407" s="27" t="s">
        <v>4</v>
      </c>
      <c r="C6407" s="27" t="s">
        <v>50</v>
      </c>
      <c r="D6407" s="27" t="s">
        <v>7</v>
      </c>
      <c r="E6407" s="27" t="s">
        <v>22</v>
      </c>
      <c r="F6407" s="29"/>
      <c r="G6407" s="30">
        <v>3812.57</v>
      </c>
    </row>
    <row r="6408" spans="1:7" hidden="1" x14ac:dyDescent="0.25">
      <c r="A6408" s="28">
        <v>44075</v>
      </c>
      <c r="B6408" s="27" t="s">
        <v>4</v>
      </c>
      <c r="C6408" s="27" t="s">
        <v>50</v>
      </c>
      <c r="D6408" s="27" t="s">
        <v>7</v>
      </c>
      <c r="E6408" s="27" t="s">
        <v>64</v>
      </c>
      <c r="F6408" s="29"/>
      <c r="G6408" s="30">
        <v>3510.92</v>
      </c>
    </row>
    <row r="6409" spans="1:7" hidden="1" x14ac:dyDescent="0.25">
      <c r="A6409" s="28">
        <v>44075</v>
      </c>
      <c r="B6409" s="27" t="s">
        <v>4</v>
      </c>
      <c r="C6409" s="27" t="s">
        <v>50</v>
      </c>
      <c r="D6409" s="27" t="s">
        <v>7</v>
      </c>
      <c r="E6409" s="27" t="s">
        <v>10</v>
      </c>
      <c r="F6409" s="29"/>
      <c r="G6409" s="30">
        <v>4046.57</v>
      </c>
    </row>
    <row r="6410" spans="1:7" hidden="1" x14ac:dyDescent="0.25">
      <c r="A6410" s="28">
        <v>44075</v>
      </c>
      <c r="B6410" s="27" t="s">
        <v>4</v>
      </c>
      <c r="C6410" s="27" t="s">
        <v>50</v>
      </c>
      <c r="D6410" s="27" t="s">
        <v>7</v>
      </c>
      <c r="E6410" s="27" t="s">
        <v>11</v>
      </c>
      <c r="F6410" s="29"/>
      <c r="G6410" s="30">
        <v>2615.1799999999998</v>
      </c>
    </row>
    <row r="6411" spans="1:7" hidden="1" x14ac:dyDescent="0.25">
      <c r="A6411" s="28">
        <v>44075</v>
      </c>
      <c r="B6411" s="27" t="s">
        <v>4</v>
      </c>
      <c r="C6411" s="27" t="s">
        <v>50</v>
      </c>
      <c r="D6411" s="27" t="s">
        <v>7</v>
      </c>
      <c r="E6411" s="27" t="s">
        <v>12</v>
      </c>
      <c r="F6411" s="29"/>
      <c r="G6411" s="30">
        <v>2044.56</v>
      </c>
    </row>
    <row r="6412" spans="1:7" hidden="1" x14ac:dyDescent="0.25">
      <c r="A6412" s="28">
        <v>44075</v>
      </c>
      <c r="B6412" s="27" t="s">
        <v>4</v>
      </c>
      <c r="C6412" s="27" t="s">
        <v>50</v>
      </c>
      <c r="D6412" s="27" t="s">
        <v>7</v>
      </c>
      <c r="E6412" s="27" t="s">
        <v>13</v>
      </c>
      <c r="F6412" s="29"/>
      <c r="G6412" s="30">
        <v>5669.28</v>
      </c>
    </row>
    <row r="6413" spans="1:7" hidden="1" x14ac:dyDescent="0.25">
      <c r="A6413" s="28">
        <v>44075</v>
      </c>
      <c r="B6413" s="27" t="s">
        <v>4</v>
      </c>
      <c r="C6413" s="27" t="s">
        <v>50</v>
      </c>
      <c r="D6413" s="27" t="s">
        <v>7</v>
      </c>
      <c r="E6413" s="27" t="s">
        <v>14</v>
      </c>
      <c r="F6413" s="29"/>
      <c r="G6413" s="30">
        <v>403.77</v>
      </c>
    </row>
    <row r="6414" spans="1:7" hidden="1" x14ac:dyDescent="0.25">
      <c r="A6414" s="28">
        <v>44075</v>
      </c>
      <c r="B6414" s="27" t="s">
        <v>4</v>
      </c>
      <c r="C6414" s="27" t="s">
        <v>50</v>
      </c>
      <c r="D6414" s="27" t="s">
        <v>7</v>
      </c>
      <c r="E6414" s="27" t="s">
        <v>15</v>
      </c>
      <c r="F6414" s="29"/>
      <c r="G6414" s="30">
        <v>3359.25</v>
      </c>
    </row>
    <row r="6415" spans="1:7" hidden="1" x14ac:dyDescent="0.25">
      <c r="A6415" s="28">
        <v>44075</v>
      </c>
      <c r="B6415" s="27" t="s">
        <v>4</v>
      </c>
      <c r="C6415" s="27" t="s">
        <v>50</v>
      </c>
      <c r="D6415" s="27" t="s">
        <v>7</v>
      </c>
      <c r="E6415" s="27" t="s">
        <v>16</v>
      </c>
      <c r="F6415" s="29"/>
      <c r="G6415" s="30">
        <v>1964.91</v>
      </c>
    </row>
    <row r="6416" spans="1:7" hidden="1" x14ac:dyDescent="0.25">
      <c r="A6416" s="28">
        <v>44075</v>
      </c>
      <c r="B6416" s="27" t="s">
        <v>4</v>
      </c>
      <c r="C6416" s="27" t="s">
        <v>50</v>
      </c>
      <c r="D6416" s="27" t="s">
        <v>7</v>
      </c>
      <c r="E6416" s="27" t="s">
        <v>17</v>
      </c>
      <c r="F6416" s="29"/>
      <c r="G6416" s="30">
        <v>4595.6899999999996</v>
      </c>
    </row>
    <row r="6417" spans="1:7" hidden="1" x14ac:dyDescent="0.25">
      <c r="A6417" s="28">
        <v>44075</v>
      </c>
      <c r="B6417" s="27" t="s">
        <v>4</v>
      </c>
      <c r="C6417" s="27" t="s">
        <v>50</v>
      </c>
      <c r="D6417" s="27" t="s">
        <v>7</v>
      </c>
      <c r="E6417" s="27" t="s">
        <v>18</v>
      </c>
      <c r="F6417" s="29"/>
      <c r="G6417" s="30">
        <v>1219.45</v>
      </c>
    </row>
    <row r="6418" spans="1:7" hidden="1" x14ac:dyDescent="0.25">
      <c r="A6418" s="28">
        <v>44075</v>
      </c>
      <c r="B6418" s="27" t="s">
        <v>4</v>
      </c>
      <c r="C6418" s="27" t="s">
        <v>50</v>
      </c>
      <c r="D6418" s="27" t="s">
        <v>7</v>
      </c>
      <c r="E6418" s="27" t="s">
        <v>19</v>
      </c>
      <c r="F6418" s="29"/>
      <c r="G6418" s="30">
        <v>4264.2700000000004</v>
      </c>
    </row>
    <row r="6419" spans="1:7" hidden="1" x14ac:dyDescent="0.25">
      <c r="A6419" s="28">
        <v>44075</v>
      </c>
      <c r="B6419" s="27" t="s">
        <v>4</v>
      </c>
      <c r="C6419" s="27" t="s">
        <v>50</v>
      </c>
      <c r="D6419" s="27" t="s">
        <v>7</v>
      </c>
      <c r="E6419" s="27" t="s">
        <v>20</v>
      </c>
      <c r="F6419" s="29"/>
      <c r="G6419" s="30">
        <v>1015.57</v>
      </c>
    </row>
    <row r="6420" spans="1:7" hidden="1" x14ac:dyDescent="0.25">
      <c r="A6420" s="28">
        <v>44075</v>
      </c>
      <c r="B6420" s="27" t="s">
        <v>4</v>
      </c>
      <c r="C6420" s="27" t="s">
        <v>50</v>
      </c>
      <c r="D6420" s="27" t="s">
        <v>7</v>
      </c>
      <c r="E6420" s="27" t="s">
        <v>38</v>
      </c>
      <c r="F6420" s="29"/>
      <c r="G6420" s="30">
        <v>496.77</v>
      </c>
    </row>
    <row r="6421" spans="1:7" hidden="1" x14ac:dyDescent="0.25">
      <c r="A6421" s="28">
        <v>44075</v>
      </c>
      <c r="B6421" s="27" t="s">
        <v>4</v>
      </c>
      <c r="C6421" s="27" t="s">
        <v>50</v>
      </c>
      <c r="D6421" s="27" t="s">
        <v>7</v>
      </c>
      <c r="E6421" s="27" t="s">
        <v>23</v>
      </c>
      <c r="F6421" s="29"/>
      <c r="G6421" s="30">
        <v>4566.33</v>
      </c>
    </row>
    <row r="6422" spans="1:7" hidden="1" x14ac:dyDescent="0.25">
      <c r="A6422" s="28">
        <v>44075</v>
      </c>
      <c r="B6422" s="27" t="s">
        <v>4</v>
      </c>
      <c r="C6422" s="27" t="s">
        <v>50</v>
      </c>
      <c r="D6422" s="27" t="s">
        <v>7</v>
      </c>
      <c r="E6422" s="27" t="s">
        <v>37</v>
      </c>
      <c r="F6422" s="29"/>
      <c r="G6422" s="30">
        <v>340</v>
      </c>
    </row>
    <row r="6423" spans="1:7" hidden="1" x14ac:dyDescent="0.25">
      <c r="A6423" s="28">
        <v>44075</v>
      </c>
      <c r="B6423" s="27" t="s">
        <v>26</v>
      </c>
      <c r="C6423" s="27" t="s">
        <v>50</v>
      </c>
      <c r="D6423" s="27" t="s">
        <v>6</v>
      </c>
      <c r="E6423" s="27" t="s">
        <v>8</v>
      </c>
      <c r="F6423" s="29"/>
      <c r="G6423" s="30">
        <v>1194.25</v>
      </c>
    </row>
    <row r="6424" spans="1:7" hidden="1" x14ac:dyDescent="0.25">
      <c r="A6424" s="28">
        <v>44075</v>
      </c>
      <c r="B6424" s="27" t="s">
        <v>26</v>
      </c>
      <c r="C6424" s="27" t="s">
        <v>50</v>
      </c>
      <c r="D6424" s="27" t="s">
        <v>6</v>
      </c>
      <c r="E6424" s="27" t="s">
        <v>9</v>
      </c>
      <c r="F6424" s="29"/>
      <c r="G6424" s="30">
        <v>1550.9166666666667</v>
      </c>
    </row>
    <row r="6425" spans="1:7" hidden="1" x14ac:dyDescent="0.25">
      <c r="A6425" s="28">
        <v>44075</v>
      </c>
      <c r="B6425" s="27" t="s">
        <v>26</v>
      </c>
      <c r="C6425" s="27" t="s">
        <v>50</v>
      </c>
      <c r="D6425" s="27" t="s">
        <v>6</v>
      </c>
      <c r="E6425" s="27" t="s">
        <v>22</v>
      </c>
      <c r="F6425" s="29"/>
      <c r="G6425" s="30">
        <v>1270.3500000000001</v>
      </c>
    </row>
    <row r="6426" spans="1:7" hidden="1" x14ac:dyDescent="0.25">
      <c r="A6426" s="28">
        <v>44075</v>
      </c>
      <c r="B6426" s="27" t="s">
        <v>26</v>
      </c>
      <c r="C6426" s="27" t="s">
        <v>50</v>
      </c>
      <c r="D6426" s="27" t="s">
        <v>6</v>
      </c>
      <c r="E6426" s="27" t="s">
        <v>64</v>
      </c>
      <c r="F6426" s="29"/>
      <c r="G6426" s="30">
        <v>1359.4166666666667</v>
      </c>
    </row>
    <row r="6427" spans="1:7" hidden="1" x14ac:dyDescent="0.25">
      <c r="A6427" s="28">
        <v>44075</v>
      </c>
      <c r="B6427" s="27" t="s">
        <v>26</v>
      </c>
      <c r="C6427" s="27" t="s">
        <v>50</v>
      </c>
      <c r="D6427" s="27" t="s">
        <v>6</v>
      </c>
      <c r="E6427" s="27" t="s">
        <v>21</v>
      </c>
      <c r="F6427" s="29"/>
      <c r="G6427" s="30">
        <v>1359.4166666666667</v>
      </c>
    </row>
    <row r="6428" spans="1:7" hidden="1" x14ac:dyDescent="0.25">
      <c r="A6428" s="28">
        <v>44075</v>
      </c>
      <c r="B6428" s="27" t="s">
        <v>26</v>
      </c>
      <c r="C6428" s="27" t="s">
        <v>50</v>
      </c>
      <c r="D6428" s="27" t="s">
        <v>6</v>
      </c>
      <c r="E6428" s="27" t="s">
        <v>10</v>
      </c>
      <c r="F6428" s="29"/>
      <c r="G6428" s="30">
        <v>1998.9666666666669</v>
      </c>
    </row>
    <row r="6429" spans="1:7" hidden="1" x14ac:dyDescent="0.25">
      <c r="A6429" s="28">
        <v>44075</v>
      </c>
      <c r="B6429" s="27" t="s">
        <v>26</v>
      </c>
      <c r="C6429" s="27" t="s">
        <v>50</v>
      </c>
      <c r="D6429" s="27" t="s">
        <v>6</v>
      </c>
      <c r="E6429" s="27" t="s">
        <v>11</v>
      </c>
      <c r="F6429" s="29"/>
      <c r="G6429" s="30">
        <v>1340.7166666666667</v>
      </c>
    </row>
    <row r="6430" spans="1:7" hidden="1" x14ac:dyDescent="0.25">
      <c r="A6430" s="28">
        <v>44075</v>
      </c>
      <c r="B6430" s="27" t="s">
        <v>26</v>
      </c>
      <c r="C6430" s="27" t="s">
        <v>50</v>
      </c>
      <c r="D6430" s="27" t="s">
        <v>6</v>
      </c>
      <c r="E6430" s="27" t="s">
        <v>12</v>
      </c>
      <c r="F6430" s="29"/>
      <c r="G6430" s="30">
        <v>1350.1166666666668</v>
      </c>
    </row>
    <row r="6431" spans="1:7" hidden="1" x14ac:dyDescent="0.25">
      <c r="A6431" s="28">
        <v>44075</v>
      </c>
      <c r="B6431" s="27" t="s">
        <v>26</v>
      </c>
      <c r="C6431" s="27" t="s">
        <v>50</v>
      </c>
      <c r="D6431" s="27" t="s">
        <v>6</v>
      </c>
      <c r="E6431" s="27" t="s">
        <v>13</v>
      </c>
      <c r="F6431" s="29"/>
      <c r="G6431" s="30">
        <v>1901.5</v>
      </c>
    </row>
    <row r="6432" spans="1:7" hidden="1" x14ac:dyDescent="0.25">
      <c r="A6432" s="28">
        <v>44075</v>
      </c>
      <c r="B6432" s="27" t="s">
        <v>26</v>
      </c>
      <c r="C6432" s="27" t="s">
        <v>50</v>
      </c>
      <c r="D6432" s="27" t="s">
        <v>6</v>
      </c>
      <c r="E6432" s="27" t="s">
        <v>14</v>
      </c>
      <c r="F6432" s="29"/>
      <c r="G6432" s="30">
        <v>701.7833333333333</v>
      </c>
    </row>
    <row r="6433" spans="1:7" hidden="1" x14ac:dyDescent="0.25">
      <c r="A6433" s="28">
        <v>44075</v>
      </c>
      <c r="B6433" s="27" t="s">
        <v>26</v>
      </c>
      <c r="C6433" s="27" t="s">
        <v>50</v>
      </c>
      <c r="D6433" s="27" t="s">
        <v>6</v>
      </c>
      <c r="E6433" s="27" t="s">
        <v>15</v>
      </c>
      <c r="F6433" s="29"/>
      <c r="G6433" s="30">
        <v>1820.5500000000002</v>
      </c>
    </row>
    <row r="6434" spans="1:7" hidden="1" x14ac:dyDescent="0.25">
      <c r="A6434" s="28">
        <v>44075</v>
      </c>
      <c r="B6434" s="27" t="s">
        <v>26</v>
      </c>
      <c r="C6434" s="27" t="s">
        <v>50</v>
      </c>
      <c r="D6434" s="27" t="s">
        <v>6</v>
      </c>
      <c r="E6434" s="27" t="s">
        <v>16</v>
      </c>
      <c r="F6434" s="29"/>
      <c r="G6434" s="30">
        <v>1992.5833333333333</v>
      </c>
    </row>
    <row r="6435" spans="1:7" hidden="1" x14ac:dyDescent="0.25">
      <c r="A6435" s="28">
        <v>44075</v>
      </c>
      <c r="B6435" s="27" t="s">
        <v>26</v>
      </c>
      <c r="C6435" s="27" t="s">
        <v>50</v>
      </c>
      <c r="D6435" s="27" t="s">
        <v>6</v>
      </c>
      <c r="E6435" s="27" t="s">
        <v>17</v>
      </c>
      <c r="F6435" s="29"/>
      <c r="G6435" s="30">
        <v>2822.1166666666668</v>
      </c>
    </row>
    <row r="6436" spans="1:7" hidden="1" x14ac:dyDescent="0.25">
      <c r="A6436" s="28">
        <v>44075</v>
      </c>
      <c r="B6436" s="27" t="s">
        <v>26</v>
      </c>
      <c r="C6436" s="27" t="s">
        <v>50</v>
      </c>
      <c r="D6436" s="27" t="s">
        <v>6</v>
      </c>
      <c r="E6436" s="27" t="s">
        <v>18</v>
      </c>
      <c r="F6436" s="29"/>
      <c r="G6436" s="30">
        <v>1488.6666666666667</v>
      </c>
    </row>
    <row r="6437" spans="1:7" hidden="1" x14ac:dyDescent="0.25">
      <c r="A6437" s="28">
        <v>44075</v>
      </c>
      <c r="B6437" s="27" t="s">
        <v>26</v>
      </c>
      <c r="C6437" s="27" t="s">
        <v>50</v>
      </c>
      <c r="D6437" s="27" t="s">
        <v>6</v>
      </c>
      <c r="E6437" s="27" t="s">
        <v>19</v>
      </c>
      <c r="F6437" s="29"/>
      <c r="G6437" s="30">
        <v>2454.8833333333337</v>
      </c>
    </row>
    <row r="6438" spans="1:7" hidden="1" x14ac:dyDescent="0.25">
      <c r="A6438" s="28">
        <v>44075</v>
      </c>
      <c r="B6438" s="27" t="s">
        <v>26</v>
      </c>
      <c r="C6438" s="27" t="s">
        <v>50</v>
      </c>
      <c r="D6438" s="27" t="s">
        <v>6</v>
      </c>
      <c r="E6438" s="27" t="s">
        <v>20</v>
      </c>
      <c r="F6438" s="29"/>
      <c r="G6438" s="30">
        <v>1590.3833333333334</v>
      </c>
    </row>
    <row r="6439" spans="1:7" hidden="1" x14ac:dyDescent="0.25">
      <c r="A6439" s="28">
        <v>44075</v>
      </c>
      <c r="B6439" s="27" t="s">
        <v>26</v>
      </c>
      <c r="C6439" s="27" t="s">
        <v>50</v>
      </c>
      <c r="D6439" s="27" t="s">
        <v>6</v>
      </c>
      <c r="E6439" s="27" t="s">
        <v>38</v>
      </c>
      <c r="F6439" s="29"/>
      <c r="G6439" s="30">
        <v>602</v>
      </c>
    </row>
    <row r="6440" spans="1:7" hidden="1" x14ac:dyDescent="0.25">
      <c r="A6440" s="28">
        <v>44075</v>
      </c>
      <c r="B6440" s="27" t="s">
        <v>26</v>
      </c>
      <c r="C6440" s="27" t="s">
        <v>50</v>
      </c>
      <c r="D6440" s="27" t="s">
        <v>6</v>
      </c>
      <c r="E6440" s="27" t="s">
        <v>23</v>
      </c>
      <c r="F6440" s="29"/>
      <c r="G6440" s="30">
        <v>2997.5</v>
      </c>
    </row>
    <row r="6441" spans="1:7" hidden="1" x14ac:dyDescent="0.25">
      <c r="A6441" s="28">
        <v>44075</v>
      </c>
      <c r="B6441" s="27" t="s">
        <v>26</v>
      </c>
      <c r="C6441" s="27" t="s">
        <v>50</v>
      </c>
      <c r="D6441" s="27" t="s">
        <v>6</v>
      </c>
      <c r="E6441" s="27" t="s">
        <v>37</v>
      </c>
      <c r="F6441" s="29"/>
      <c r="G6441" s="30">
        <v>250</v>
      </c>
    </row>
    <row r="6442" spans="1:7" hidden="1" x14ac:dyDescent="0.25">
      <c r="A6442" s="28">
        <v>44075</v>
      </c>
      <c r="B6442" s="27" t="s">
        <v>3</v>
      </c>
      <c r="C6442" s="27" t="s">
        <v>50</v>
      </c>
      <c r="D6442" s="27" t="s">
        <v>7</v>
      </c>
      <c r="E6442" s="27" t="s">
        <v>8</v>
      </c>
      <c r="F6442" s="29"/>
      <c r="G6442" s="30">
        <v>583.87111111111108</v>
      </c>
    </row>
    <row r="6443" spans="1:7" hidden="1" x14ac:dyDescent="0.25">
      <c r="A6443" s="28">
        <v>44075</v>
      </c>
      <c r="B6443" s="27" t="s">
        <v>3</v>
      </c>
      <c r="C6443" s="27" t="s">
        <v>50</v>
      </c>
      <c r="D6443" s="27" t="s">
        <v>7</v>
      </c>
      <c r="E6443" s="27" t="s">
        <v>9</v>
      </c>
      <c r="F6443" s="29"/>
      <c r="G6443" s="30">
        <v>583.87111111111108</v>
      </c>
    </row>
    <row r="6444" spans="1:7" hidden="1" x14ac:dyDescent="0.25">
      <c r="A6444" s="28">
        <v>44075</v>
      </c>
      <c r="B6444" s="27" t="s">
        <v>3</v>
      </c>
      <c r="C6444" s="27" t="s">
        <v>50</v>
      </c>
      <c r="D6444" s="27" t="s">
        <v>7</v>
      </c>
      <c r="E6444" s="27" t="s">
        <v>22</v>
      </c>
      <c r="F6444" s="29"/>
      <c r="G6444" s="30">
        <v>583.87111111111108</v>
      </c>
    </row>
    <row r="6445" spans="1:7" hidden="1" x14ac:dyDescent="0.25">
      <c r="A6445" s="28">
        <v>44075</v>
      </c>
      <c r="B6445" s="27" t="s">
        <v>3</v>
      </c>
      <c r="C6445" s="27" t="s">
        <v>50</v>
      </c>
      <c r="D6445" s="27" t="s">
        <v>7</v>
      </c>
      <c r="E6445" s="27" t="s">
        <v>64</v>
      </c>
      <c r="F6445" s="29"/>
      <c r="G6445" s="30">
        <v>583.87111111111108</v>
      </c>
    </row>
    <row r="6446" spans="1:7" hidden="1" x14ac:dyDescent="0.25">
      <c r="A6446" s="28">
        <v>44075</v>
      </c>
      <c r="B6446" s="27" t="s">
        <v>3</v>
      </c>
      <c r="C6446" s="27" t="s">
        <v>50</v>
      </c>
      <c r="D6446" s="27" t="s">
        <v>7</v>
      </c>
      <c r="E6446" s="27" t="s">
        <v>21</v>
      </c>
      <c r="F6446" s="29"/>
      <c r="G6446" s="30">
        <v>583.87111111111108</v>
      </c>
    </row>
    <row r="6447" spans="1:7" hidden="1" x14ac:dyDescent="0.25">
      <c r="A6447" s="28">
        <v>44075</v>
      </c>
      <c r="B6447" s="27" t="s">
        <v>3</v>
      </c>
      <c r="C6447" s="27" t="s">
        <v>50</v>
      </c>
      <c r="D6447" s="27" t="s">
        <v>7</v>
      </c>
      <c r="E6447" s="27" t="s">
        <v>10</v>
      </c>
      <c r="F6447" s="29"/>
      <c r="G6447" s="30">
        <v>583.87111111111108</v>
      </c>
    </row>
    <row r="6448" spans="1:7" hidden="1" x14ac:dyDescent="0.25">
      <c r="A6448" s="28">
        <v>44075</v>
      </c>
      <c r="B6448" s="27" t="s">
        <v>3</v>
      </c>
      <c r="C6448" s="27" t="s">
        <v>50</v>
      </c>
      <c r="D6448" s="27" t="s">
        <v>7</v>
      </c>
      <c r="E6448" s="27" t="s">
        <v>11</v>
      </c>
      <c r="F6448" s="29"/>
      <c r="G6448" s="30">
        <v>583.87111111111108</v>
      </c>
    </row>
    <row r="6449" spans="1:7" hidden="1" x14ac:dyDescent="0.25">
      <c r="A6449" s="28">
        <v>44075</v>
      </c>
      <c r="B6449" s="27" t="s">
        <v>3</v>
      </c>
      <c r="C6449" s="27" t="s">
        <v>50</v>
      </c>
      <c r="D6449" s="27" t="s">
        <v>7</v>
      </c>
      <c r="E6449" s="27" t="s">
        <v>12</v>
      </c>
      <c r="F6449" s="29"/>
      <c r="G6449" s="30">
        <v>583.87111111111108</v>
      </c>
    </row>
    <row r="6450" spans="1:7" hidden="1" x14ac:dyDescent="0.25">
      <c r="A6450" s="28">
        <v>44075</v>
      </c>
      <c r="B6450" s="27" t="s">
        <v>3</v>
      </c>
      <c r="C6450" s="27" t="s">
        <v>50</v>
      </c>
      <c r="D6450" s="27" t="s">
        <v>7</v>
      </c>
      <c r="E6450" s="27" t="s">
        <v>13</v>
      </c>
      <c r="F6450" s="29"/>
      <c r="G6450" s="30">
        <v>583.87111111111108</v>
      </c>
    </row>
    <row r="6451" spans="1:7" hidden="1" x14ac:dyDescent="0.25">
      <c r="A6451" s="28">
        <v>44075</v>
      </c>
      <c r="B6451" s="27" t="s">
        <v>3</v>
      </c>
      <c r="C6451" s="27" t="s">
        <v>50</v>
      </c>
      <c r="D6451" s="27" t="s">
        <v>7</v>
      </c>
      <c r="E6451" s="27" t="s">
        <v>14</v>
      </c>
      <c r="F6451" s="29"/>
      <c r="G6451" s="30">
        <v>583.87111111111108</v>
      </c>
    </row>
    <row r="6452" spans="1:7" hidden="1" x14ac:dyDescent="0.25">
      <c r="A6452" s="28">
        <v>44075</v>
      </c>
      <c r="B6452" s="27" t="s">
        <v>3</v>
      </c>
      <c r="C6452" s="27" t="s">
        <v>50</v>
      </c>
      <c r="D6452" s="27" t="s">
        <v>7</v>
      </c>
      <c r="E6452" s="27" t="s">
        <v>15</v>
      </c>
      <c r="F6452" s="29"/>
      <c r="G6452" s="30">
        <v>583.87111111111108</v>
      </c>
    </row>
    <row r="6453" spans="1:7" hidden="1" x14ac:dyDescent="0.25">
      <c r="A6453" s="28">
        <v>44075</v>
      </c>
      <c r="B6453" s="27" t="s">
        <v>3</v>
      </c>
      <c r="C6453" s="27" t="s">
        <v>50</v>
      </c>
      <c r="D6453" s="27" t="s">
        <v>7</v>
      </c>
      <c r="E6453" s="27" t="s">
        <v>16</v>
      </c>
      <c r="F6453" s="29"/>
      <c r="G6453" s="30">
        <v>583.87111111111108</v>
      </c>
    </row>
    <row r="6454" spans="1:7" hidden="1" x14ac:dyDescent="0.25">
      <c r="A6454" s="28">
        <v>44075</v>
      </c>
      <c r="B6454" s="27" t="s">
        <v>3</v>
      </c>
      <c r="C6454" s="27" t="s">
        <v>50</v>
      </c>
      <c r="D6454" s="27" t="s">
        <v>7</v>
      </c>
      <c r="E6454" s="27" t="s">
        <v>17</v>
      </c>
      <c r="F6454" s="29"/>
      <c r="G6454" s="30">
        <v>583.87111111111108</v>
      </c>
    </row>
    <row r="6455" spans="1:7" hidden="1" x14ac:dyDescent="0.25">
      <c r="A6455" s="28">
        <v>44075</v>
      </c>
      <c r="B6455" s="27" t="s">
        <v>3</v>
      </c>
      <c r="C6455" s="27" t="s">
        <v>50</v>
      </c>
      <c r="D6455" s="27" t="s">
        <v>7</v>
      </c>
      <c r="E6455" s="27" t="s">
        <v>18</v>
      </c>
      <c r="F6455" s="29"/>
      <c r="G6455" s="30">
        <v>583.87111111111108</v>
      </c>
    </row>
    <row r="6456" spans="1:7" hidden="1" x14ac:dyDescent="0.25">
      <c r="A6456" s="28">
        <v>44075</v>
      </c>
      <c r="B6456" s="27" t="s">
        <v>3</v>
      </c>
      <c r="C6456" s="27" t="s">
        <v>50</v>
      </c>
      <c r="D6456" s="27" t="s">
        <v>7</v>
      </c>
      <c r="E6456" s="27" t="s">
        <v>19</v>
      </c>
      <c r="F6456" s="29"/>
      <c r="G6456" s="30">
        <v>583.87111111111108</v>
      </c>
    </row>
    <row r="6457" spans="1:7" hidden="1" x14ac:dyDescent="0.25">
      <c r="A6457" s="28">
        <v>44075</v>
      </c>
      <c r="B6457" s="27" t="s">
        <v>3</v>
      </c>
      <c r="C6457" s="27" t="s">
        <v>50</v>
      </c>
      <c r="D6457" s="27" t="s">
        <v>7</v>
      </c>
      <c r="E6457" s="27" t="s">
        <v>20</v>
      </c>
      <c r="F6457" s="29"/>
      <c r="G6457" s="30">
        <v>583.87111111111108</v>
      </c>
    </row>
    <row r="6458" spans="1:7" hidden="1" x14ac:dyDescent="0.25">
      <c r="A6458" s="28">
        <v>44075</v>
      </c>
      <c r="B6458" s="27" t="s">
        <v>3</v>
      </c>
      <c r="C6458" s="27" t="s">
        <v>50</v>
      </c>
      <c r="D6458" s="27" t="s">
        <v>7</v>
      </c>
      <c r="E6458" s="27" t="s">
        <v>38</v>
      </c>
      <c r="F6458" s="29"/>
      <c r="G6458" s="30">
        <v>583.87111111111108</v>
      </c>
    </row>
    <row r="6459" spans="1:7" hidden="1" x14ac:dyDescent="0.25">
      <c r="A6459" s="28">
        <v>44075</v>
      </c>
      <c r="B6459" s="27" t="s">
        <v>3</v>
      </c>
      <c r="C6459" s="27" t="s">
        <v>50</v>
      </c>
      <c r="D6459" s="27" t="s">
        <v>7</v>
      </c>
      <c r="E6459" s="27" t="s">
        <v>23</v>
      </c>
      <c r="F6459" s="29"/>
      <c r="G6459" s="30">
        <v>583.87111111111108</v>
      </c>
    </row>
    <row r="6460" spans="1:7" hidden="1" x14ac:dyDescent="0.25">
      <c r="A6460" s="28">
        <v>44075</v>
      </c>
      <c r="B6460" s="27" t="s">
        <v>179</v>
      </c>
      <c r="C6460" s="27" t="s">
        <v>50</v>
      </c>
      <c r="D6460" s="27" t="s">
        <v>6</v>
      </c>
      <c r="E6460" s="27" t="s">
        <v>8</v>
      </c>
      <c r="F6460" s="29"/>
      <c r="G6460" s="30">
        <v>54.554166666666667</v>
      </c>
    </row>
    <row r="6461" spans="1:7" hidden="1" x14ac:dyDescent="0.25">
      <c r="A6461" s="28">
        <v>44075</v>
      </c>
      <c r="B6461" s="27" t="s">
        <v>179</v>
      </c>
      <c r="C6461" s="27" t="s">
        <v>50</v>
      </c>
      <c r="D6461" s="27" t="s">
        <v>6</v>
      </c>
      <c r="E6461" s="27" t="s">
        <v>9</v>
      </c>
      <c r="F6461" s="29"/>
      <c r="G6461" s="30">
        <v>73.436666666666667</v>
      </c>
    </row>
    <row r="6462" spans="1:7" hidden="1" x14ac:dyDescent="0.25">
      <c r="A6462" s="28">
        <v>44075</v>
      </c>
      <c r="B6462" s="27" t="s">
        <v>179</v>
      </c>
      <c r="C6462" s="27" t="s">
        <v>50</v>
      </c>
      <c r="D6462" s="27" t="s">
        <v>6</v>
      </c>
      <c r="E6462" s="27" t="s">
        <v>22</v>
      </c>
      <c r="F6462" s="29"/>
      <c r="G6462" s="30">
        <v>98.38666666666667</v>
      </c>
    </row>
    <row r="6463" spans="1:7" hidden="1" x14ac:dyDescent="0.25">
      <c r="A6463" s="28">
        <v>44075</v>
      </c>
      <c r="B6463" s="27" t="s">
        <v>179</v>
      </c>
      <c r="C6463" s="27" t="s">
        <v>50</v>
      </c>
      <c r="D6463" s="27" t="s">
        <v>6</v>
      </c>
      <c r="E6463" s="27" t="s">
        <v>64</v>
      </c>
      <c r="F6463" s="29"/>
      <c r="G6463" s="30">
        <v>58.149166666666666</v>
      </c>
    </row>
    <row r="6464" spans="1:7" hidden="1" x14ac:dyDescent="0.25">
      <c r="A6464" s="28">
        <v>44075</v>
      </c>
      <c r="B6464" s="27" t="s">
        <v>179</v>
      </c>
      <c r="C6464" s="27" t="s">
        <v>50</v>
      </c>
      <c r="D6464" s="27" t="s">
        <v>6</v>
      </c>
      <c r="E6464" s="27" t="s">
        <v>21</v>
      </c>
      <c r="F6464" s="29"/>
      <c r="G6464" s="30">
        <v>67.641666666666666</v>
      </c>
    </row>
    <row r="6465" spans="1:7" hidden="1" x14ac:dyDescent="0.25">
      <c r="A6465" s="28">
        <v>44075</v>
      </c>
      <c r="B6465" s="27" t="s">
        <v>179</v>
      </c>
      <c r="C6465" s="27" t="s">
        <v>50</v>
      </c>
      <c r="D6465" s="27" t="s">
        <v>6</v>
      </c>
      <c r="E6465" s="27" t="s">
        <v>10</v>
      </c>
      <c r="F6465" s="29"/>
      <c r="G6465" s="30">
        <v>88.40666666666668</v>
      </c>
    </row>
    <row r="6466" spans="1:7" hidden="1" x14ac:dyDescent="0.25">
      <c r="A6466" s="28">
        <v>44075</v>
      </c>
      <c r="B6466" s="27" t="s">
        <v>179</v>
      </c>
      <c r="C6466" s="27" t="s">
        <v>50</v>
      </c>
      <c r="D6466" s="27" t="s">
        <v>6</v>
      </c>
      <c r="E6466" s="27" t="s">
        <v>11</v>
      </c>
      <c r="F6466" s="29"/>
      <c r="G6466" s="30">
        <v>66.776666666666671</v>
      </c>
    </row>
    <row r="6467" spans="1:7" hidden="1" x14ac:dyDescent="0.25">
      <c r="A6467" s="28">
        <v>44075</v>
      </c>
      <c r="B6467" s="27" t="s">
        <v>179</v>
      </c>
      <c r="C6467" s="27" t="s">
        <v>50</v>
      </c>
      <c r="D6467" s="27" t="s">
        <v>6</v>
      </c>
      <c r="E6467" s="27" t="s">
        <v>12</v>
      </c>
      <c r="F6467" s="29"/>
      <c r="G6467" s="30">
        <v>68.674166666666665</v>
      </c>
    </row>
    <row r="6468" spans="1:7" hidden="1" x14ac:dyDescent="0.25">
      <c r="A6468" s="28">
        <v>44075</v>
      </c>
      <c r="B6468" s="27" t="s">
        <v>179</v>
      </c>
      <c r="C6468" s="27" t="s">
        <v>50</v>
      </c>
      <c r="D6468" s="27" t="s">
        <v>6</v>
      </c>
      <c r="E6468" s="27" t="s">
        <v>13</v>
      </c>
      <c r="F6468" s="29"/>
      <c r="G6468" s="30">
        <v>94.161666666666676</v>
      </c>
    </row>
    <row r="6469" spans="1:7" hidden="1" x14ac:dyDescent="0.25">
      <c r="A6469" s="28">
        <v>44075</v>
      </c>
      <c r="B6469" s="27" t="s">
        <v>179</v>
      </c>
      <c r="C6469" s="27" t="s">
        <v>50</v>
      </c>
      <c r="D6469" s="27" t="s">
        <v>6</v>
      </c>
      <c r="E6469" s="27" t="s">
        <v>14</v>
      </c>
      <c r="F6469" s="29"/>
      <c r="G6469" s="30">
        <v>84.979166666666671</v>
      </c>
    </row>
    <row r="6470" spans="1:7" hidden="1" x14ac:dyDescent="0.25">
      <c r="A6470" s="28">
        <v>44075</v>
      </c>
      <c r="B6470" s="27" t="s">
        <v>179</v>
      </c>
      <c r="C6470" s="27" t="s">
        <v>50</v>
      </c>
      <c r="D6470" s="27" t="s">
        <v>6</v>
      </c>
      <c r="E6470" s="27" t="s">
        <v>15</v>
      </c>
      <c r="F6470" s="29"/>
      <c r="G6470" s="30">
        <v>90.716666666666654</v>
      </c>
    </row>
    <row r="6471" spans="1:7" hidden="1" x14ac:dyDescent="0.25">
      <c r="A6471" s="28">
        <v>44075</v>
      </c>
      <c r="B6471" s="27" t="s">
        <v>179</v>
      </c>
      <c r="C6471" s="27" t="s">
        <v>50</v>
      </c>
      <c r="D6471" s="27" t="s">
        <v>6</v>
      </c>
      <c r="E6471" s="27" t="s">
        <v>16</v>
      </c>
      <c r="F6471" s="29"/>
      <c r="G6471" s="30">
        <v>92.149166666666659</v>
      </c>
    </row>
    <row r="6472" spans="1:7" hidden="1" x14ac:dyDescent="0.25">
      <c r="A6472" s="28">
        <v>44075</v>
      </c>
      <c r="B6472" s="27" t="s">
        <v>179</v>
      </c>
      <c r="C6472" s="27" t="s">
        <v>50</v>
      </c>
      <c r="D6472" s="27" t="s">
        <v>6</v>
      </c>
      <c r="E6472" s="27" t="s">
        <v>17</v>
      </c>
      <c r="F6472" s="29"/>
      <c r="G6472" s="30">
        <v>142.66166666666666</v>
      </c>
    </row>
    <row r="6473" spans="1:7" hidden="1" x14ac:dyDescent="0.25">
      <c r="A6473" s="28">
        <v>44075</v>
      </c>
      <c r="B6473" s="27" t="s">
        <v>179</v>
      </c>
      <c r="C6473" s="27" t="s">
        <v>50</v>
      </c>
      <c r="D6473" s="27" t="s">
        <v>6</v>
      </c>
      <c r="E6473" s="27" t="s">
        <v>18</v>
      </c>
      <c r="F6473" s="29"/>
      <c r="G6473" s="30">
        <v>190.84666666666666</v>
      </c>
    </row>
    <row r="6474" spans="1:7" hidden="1" x14ac:dyDescent="0.25">
      <c r="A6474" s="28">
        <v>44075</v>
      </c>
      <c r="B6474" s="27" t="s">
        <v>179</v>
      </c>
      <c r="C6474" s="27" t="s">
        <v>50</v>
      </c>
      <c r="D6474" s="27" t="s">
        <v>6</v>
      </c>
      <c r="E6474" s="27" t="s">
        <v>19</v>
      </c>
      <c r="F6474" s="29"/>
      <c r="G6474" s="30">
        <v>129.04666666666665</v>
      </c>
    </row>
    <row r="6475" spans="1:7" hidden="1" x14ac:dyDescent="0.25">
      <c r="A6475" s="28">
        <v>44075</v>
      </c>
      <c r="B6475" s="27" t="s">
        <v>179</v>
      </c>
      <c r="C6475" s="27" t="s">
        <v>50</v>
      </c>
      <c r="D6475" s="27" t="s">
        <v>6</v>
      </c>
      <c r="E6475" s="27" t="s">
        <v>20</v>
      </c>
      <c r="F6475" s="29"/>
      <c r="G6475" s="30">
        <v>235.09666666666666</v>
      </c>
    </row>
    <row r="6476" spans="1:7" hidden="1" x14ac:dyDescent="0.25">
      <c r="A6476" s="28">
        <v>44075</v>
      </c>
      <c r="B6476" s="27" t="s">
        <v>179</v>
      </c>
      <c r="C6476" s="27" t="s">
        <v>50</v>
      </c>
      <c r="D6476" s="27" t="s">
        <v>6</v>
      </c>
      <c r="E6476" s="27" t="s">
        <v>38</v>
      </c>
      <c r="F6476" s="29"/>
      <c r="G6476" s="30">
        <v>108.04666666666667</v>
      </c>
    </row>
    <row r="6477" spans="1:7" hidden="1" x14ac:dyDescent="0.25">
      <c r="A6477" s="28">
        <v>44075</v>
      </c>
      <c r="B6477" s="27" t="s">
        <v>179</v>
      </c>
      <c r="C6477" s="27" t="s">
        <v>50</v>
      </c>
      <c r="D6477" s="27" t="s">
        <v>6</v>
      </c>
      <c r="E6477" s="27" t="s">
        <v>23</v>
      </c>
      <c r="F6477" s="29"/>
      <c r="G6477" s="30">
        <v>149.57916666666668</v>
      </c>
    </row>
    <row r="6478" spans="1:7" hidden="1" x14ac:dyDescent="0.25">
      <c r="A6478" s="28">
        <v>44075</v>
      </c>
      <c r="B6478" s="27" t="s">
        <v>32</v>
      </c>
      <c r="C6478" s="27" t="s">
        <v>50</v>
      </c>
      <c r="D6478" s="27" t="s">
        <v>7</v>
      </c>
      <c r="E6478" s="27" t="s">
        <v>10</v>
      </c>
      <c r="F6478" s="29"/>
      <c r="G6478" s="30">
        <v>30</v>
      </c>
    </row>
    <row r="6479" spans="1:7" hidden="1" x14ac:dyDescent="0.25">
      <c r="A6479" s="28">
        <v>44075</v>
      </c>
      <c r="B6479" s="27" t="s">
        <v>32</v>
      </c>
      <c r="C6479" s="27" t="s">
        <v>50</v>
      </c>
      <c r="D6479" s="27" t="s">
        <v>7</v>
      </c>
      <c r="E6479" s="27" t="s">
        <v>17</v>
      </c>
      <c r="F6479" s="29"/>
      <c r="G6479" s="30">
        <v>30</v>
      </c>
    </row>
    <row r="6480" spans="1:7" hidden="1" x14ac:dyDescent="0.25">
      <c r="A6480" s="28">
        <v>44075</v>
      </c>
      <c r="B6480" s="27" t="s">
        <v>5</v>
      </c>
      <c r="C6480" s="27" t="s">
        <v>51</v>
      </c>
      <c r="D6480" s="27" t="s">
        <v>51</v>
      </c>
      <c r="E6480" s="27" t="s">
        <v>8</v>
      </c>
      <c r="F6480" s="29">
        <v>4116</v>
      </c>
      <c r="G6480" s="30">
        <v>3.3020262895049419</v>
      </c>
    </row>
    <row r="6481" spans="1:7" hidden="1" x14ac:dyDescent="0.25">
      <c r="A6481" s="28">
        <v>44075</v>
      </c>
      <c r="B6481" s="27" t="s">
        <v>5</v>
      </c>
      <c r="C6481" s="27" t="s">
        <v>51</v>
      </c>
      <c r="D6481" s="27" t="s">
        <v>51</v>
      </c>
      <c r="E6481" s="27" t="s">
        <v>9</v>
      </c>
      <c r="F6481" s="29">
        <v>4660</v>
      </c>
      <c r="G6481" s="30">
        <v>3.3104861318173828</v>
      </c>
    </row>
    <row r="6482" spans="1:7" hidden="1" x14ac:dyDescent="0.25">
      <c r="A6482" s="28">
        <v>44075</v>
      </c>
      <c r="B6482" s="27" t="s">
        <v>5</v>
      </c>
      <c r="C6482" s="27" t="s">
        <v>51</v>
      </c>
      <c r="D6482" s="27" t="s">
        <v>51</v>
      </c>
      <c r="E6482" s="27" t="s">
        <v>22</v>
      </c>
      <c r="F6482" s="29">
        <v>2262</v>
      </c>
      <c r="G6482" s="30">
        <v>6.6669883764820241</v>
      </c>
    </row>
    <row r="6483" spans="1:7" hidden="1" x14ac:dyDescent="0.25">
      <c r="A6483" s="28">
        <v>44075</v>
      </c>
      <c r="B6483" s="27" t="s">
        <v>5</v>
      </c>
      <c r="C6483" s="27" t="s">
        <v>51</v>
      </c>
      <c r="D6483" s="27" t="s">
        <v>51</v>
      </c>
      <c r="E6483" s="27" t="s">
        <v>64</v>
      </c>
      <c r="F6483" s="29">
        <v>4025</v>
      </c>
      <c r="G6483" s="30">
        <v>3.9188412109985111</v>
      </c>
    </row>
    <row r="6484" spans="1:7" hidden="1" x14ac:dyDescent="0.25">
      <c r="A6484" s="28">
        <v>44075</v>
      </c>
      <c r="B6484" s="27" t="s">
        <v>5</v>
      </c>
      <c r="C6484" s="27" t="s">
        <v>51</v>
      </c>
      <c r="D6484" s="27" t="s">
        <v>51</v>
      </c>
      <c r="E6484" s="27" t="s">
        <v>21</v>
      </c>
      <c r="F6484" s="29">
        <v>3953</v>
      </c>
      <c r="G6484" s="30">
        <v>4.9927015872170522</v>
      </c>
    </row>
    <row r="6485" spans="1:7" hidden="1" x14ac:dyDescent="0.25">
      <c r="A6485" s="28">
        <v>44075</v>
      </c>
      <c r="B6485" s="27" t="s">
        <v>5</v>
      </c>
      <c r="C6485" s="27" t="s">
        <v>51</v>
      </c>
      <c r="D6485" s="27" t="s">
        <v>51</v>
      </c>
      <c r="E6485" s="27" t="s">
        <v>10</v>
      </c>
      <c r="F6485" s="29">
        <v>4969</v>
      </c>
      <c r="G6485" s="30">
        <v>3.2393122105592687</v>
      </c>
    </row>
    <row r="6486" spans="1:7" hidden="1" x14ac:dyDescent="0.25">
      <c r="A6486" s="28">
        <v>44075</v>
      </c>
      <c r="B6486" s="27" t="s">
        <v>5</v>
      </c>
      <c r="C6486" s="27" t="s">
        <v>51</v>
      </c>
      <c r="D6486" s="27" t="s">
        <v>51</v>
      </c>
      <c r="E6486" s="27" t="s">
        <v>11</v>
      </c>
      <c r="F6486" s="29">
        <v>3483</v>
      </c>
      <c r="G6486" s="30">
        <v>3.6718042992446187</v>
      </c>
    </row>
    <row r="6487" spans="1:7" hidden="1" x14ac:dyDescent="0.25">
      <c r="A6487" s="28">
        <v>44075</v>
      </c>
      <c r="B6487" s="27" t="s">
        <v>5</v>
      </c>
      <c r="C6487" s="27" t="s">
        <v>51</v>
      </c>
      <c r="D6487" s="27" t="s">
        <v>51</v>
      </c>
      <c r="E6487" s="27" t="s">
        <v>12</v>
      </c>
      <c r="F6487" s="29">
        <v>3713</v>
      </c>
      <c r="G6487" s="30">
        <v>3.2552700981063847</v>
      </c>
    </row>
    <row r="6488" spans="1:7" hidden="1" x14ac:dyDescent="0.25">
      <c r="A6488" s="28">
        <v>44075</v>
      </c>
      <c r="B6488" s="27" t="s">
        <v>5</v>
      </c>
      <c r="C6488" s="27" t="s">
        <v>51</v>
      </c>
      <c r="D6488" s="27" t="s">
        <v>51</v>
      </c>
      <c r="E6488" s="27" t="s">
        <v>13</v>
      </c>
      <c r="F6488" s="29">
        <v>7404</v>
      </c>
      <c r="G6488" s="30">
        <v>2.3515584424098241</v>
      </c>
    </row>
    <row r="6489" spans="1:7" hidden="1" x14ac:dyDescent="0.25">
      <c r="A6489" s="28">
        <v>44075</v>
      </c>
      <c r="B6489" s="27" t="s">
        <v>5</v>
      </c>
      <c r="C6489" s="27" t="s">
        <v>51</v>
      </c>
      <c r="D6489" s="27" t="s">
        <v>51</v>
      </c>
      <c r="E6489" s="27" t="s">
        <v>14</v>
      </c>
      <c r="F6489" s="29">
        <v>3584</v>
      </c>
      <c r="G6489" s="30">
        <v>2.622163655394997</v>
      </c>
    </row>
    <row r="6490" spans="1:7" hidden="1" x14ac:dyDescent="0.25">
      <c r="A6490" s="28">
        <v>44075</v>
      </c>
      <c r="B6490" s="27" t="s">
        <v>5</v>
      </c>
      <c r="C6490" s="27" t="s">
        <v>51</v>
      </c>
      <c r="D6490" s="27" t="s">
        <v>51</v>
      </c>
      <c r="E6490" s="27" t="s">
        <v>15</v>
      </c>
      <c r="F6490" s="29">
        <v>5315</v>
      </c>
      <c r="G6490" s="30">
        <v>2.7714885621076837</v>
      </c>
    </row>
    <row r="6491" spans="1:7" hidden="1" x14ac:dyDescent="0.25">
      <c r="A6491" s="28">
        <v>44075</v>
      </c>
      <c r="B6491" s="27" t="s">
        <v>5</v>
      </c>
      <c r="C6491" s="27" t="s">
        <v>51</v>
      </c>
      <c r="D6491" s="27" t="s">
        <v>51</v>
      </c>
      <c r="E6491" s="27" t="s">
        <v>16</v>
      </c>
      <c r="F6491" s="29">
        <v>5323</v>
      </c>
      <c r="G6491" s="30">
        <v>2.4827246930181612</v>
      </c>
    </row>
    <row r="6492" spans="1:7" hidden="1" x14ac:dyDescent="0.25">
      <c r="A6492" s="28">
        <v>44075</v>
      </c>
      <c r="B6492" s="27" t="s">
        <v>5</v>
      </c>
      <c r="C6492" s="27" t="s">
        <v>51</v>
      </c>
      <c r="D6492" s="27" t="s">
        <v>51</v>
      </c>
      <c r="E6492" s="27" t="s">
        <v>17</v>
      </c>
      <c r="F6492" s="29">
        <v>4709</v>
      </c>
      <c r="G6492" s="30">
        <v>3.8266106125013812</v>
      </c>
    </row>
    <row r="6493" spans="1:7" hidden="1" x14ac:dyDescent="0.25">
      <c r="A6493" s="28">
        <v>44075</v>
      </c>
      <c r="B6493" s="27" t="s">
        <v>5</v>
      </c>
      <c r="C6493" s="27" t="s">
        <v>51</v>
      </c>
      <c r="D6493" s="27" t="s">
        <v>51</v>
      </c>
      <c r="E6493" s="27" t="s">
        <v>18</v>
      </c>
      <c r="F6493" s="29">
        <v>4731</v>
      </c>
      <c r="G6493" s="30">
        <v>2.4655760672730933</v>
      </c>
    </row>
    <row r="6494" spans="1:7" hidden="1" x14ac:dyDescent="0.25">
      <c r="A6494" s="28">
        <v>44075</v>
      </c>
      <c r="B6494" s="27" t="s">
        <v>5</v>
      </c>
      <c r="C6494" s="27" t="s">
        <v>51</v>
      </c>
      <c r="D6494" s="27" t="s">
        <v>51</v>
      </c>
      <c r="E6494" s="27" t="s">
        <v>19</v>
      </c>
      <c r="F6494" s="29">
        <v>6808</v>
      </c>
      <c r="G6494" s="30">
        <v>2.4256394008424902</v>
      </c>
    </row>
    <row r="6495" spans="1:7" hidden="1" x14ac:dyDescent="0.25">
      <c r="A6495" s="28">
        <v>44075</v>
      </c>
      <c r="B6495" s="27" t="s">
        <v>5</v>
      </c>
      <c r="C6495" s="27" t="s">
        <v>51</v>
      </c>
      <c r="D6495" s="27" t="s">
        <v>51</v>
      </c>
      <c r="E6495" s="27" t="s">
        <v>20</v>
      </c>
      <c r="F6495" s="29">
        <v>4400</v>
      </c>
      <c r="G6495" s="30">
        <v>2.6385831911217439</v>
      </c>
    </row>
    <row r="6496" spans="1:7" hidden="1" x14ac:dyDescent="0.25">
      <c r="A6496" s="28">
        <v>44075</v>
      </c>
      <c r="B6496" s="27" t="s">
        <v>5</v>
      </c>
      <c r="C6496" s="27" t="s">
        <v>51</v>
      </c>
      <c r="D6496" s="27" t="s">
        <v>51</v>
      </c>
      <c r="E6496" s="27" t="s">
        <v>38</v>
      </c>
      <c r="F6496" s="29">
        <v>3868</v>
      </c>
      <c r="G6496" s="30">
        <v>2.4241061808692708</v>
      </c>
    </row>
    <row r="6497" spans="1:7" hidden="1" x14ac:dyDescent="0.25">
      <c r="A6497" s="28">
        <v>44075</v>
      </c>
      <c r="B6497" s="27" t="s">
        <v>5</v>
      </c>
      <c r="C6497" s="27" t="s">
        <v>51</v>
      </c>
      <c r="D6497" s="27" t="s">
        <v>51</v>
      </c>
      <c r="E6497" s="27" t="s">
        <v>23</v>
      </c>
      <c r="F6497" s="29">
        <v>6409</v>
      </c>
      <c r="G6497" s="30">
        <v>2.718256546669112</v>
      </c>
    </row>
    <row r="6498" spans="1:7" hidden="1" x14ac:dyDescent="0.25">
      <c r="A6498" s="28">
        <v>44075</v>
      </c>
      <c r="B6498" s="27" t="s">
        <v>180</v>
      </c>
      <c r="C6498" s="27" t="s">
        <v>50</v>
      </c>
      <c r="D6498" s="27" t="s">
        <v>7</v>
      </c>
      <c r="E6498" s="27" t="s">
        <v>9</v>
      </c>
      <c r="F6498" s="29"/>
      <c r="G6498" s="30">
        <v>708</v>
      </c>
    </row>
    <row r="6499" spans="1:7" hidden="1" x14ac:dyDescent="0.25">
      <c r="A6499" s="28">
        <v>44075</v>
      </c>
      <c r="B6499" s="27" t="s">
        <v>180</v>
      </c>
      <c r="C6499" s="27" t="s">
        <v>50</v>
      </c>
      <c r="D6499" s="27" t="s">
        <v>7</v>
      </c>
      <c r="E6499" s="27" t="s">
        <v>64</v>
      </c>
      <c r="F6499" s="29"/>
      <c r="G6499" s="30">
        <v>1449.03</v>
      </c>
    </row>
    <row r="6500" spans="1:7" hidden="1" x14ac:dyDescent="0.25">
      <c r="A6500" s="28">
        <v>44075</v>
      </c>
      <c r="B6500" s="27" t="s">
        <v>180</v>
      </c>
      <c r="C6500" s="27" t="s">
        <v>50</v>
      </c>
      <c r="D6500" s="27" t="s">
        <v>7</v>
      </c>
      <c r="E6500" s="27" t="s">
        <v>21</v>
      </c>
      <c r="F6500" s="29"/>
      <c r="G6500" s="30">
        <v>9656.8700000000008</v>
      </c>
    </row>
    <row r="6501" spans="1:7" hidden="1" x14ac:dyDescent="0.25">
      <c r="A6501" s="28">
        <v>44075</v>
      </c>
      <c r="B6501" s="27" t="s">
        <v>180</v>
      </c>
      <c r="C6501" s="27" t="s">
        <v>50</v>
      </c>
      <c r="D6501" s="27" t="s">
        <v>7</v>
      </c>
      <c r="E6501" s="27" t="s">
        <v>10</v>
      </c>
      <c r="F6501" s="29"/>
      <c r="G6501" s="30">
        <v>160</v>
      </c>
    </row>
    <row r="6502" spans="1:7" hidden="1" x14ac:dyDescent="0.25">
      <c r="A6502" s="28">
        <v>44075</v>
      </c>
      <c r="B6502" s="27" t="s">
        <v>180</v>
      </c>
      <c r="C6502" s="27" t="s">
        <v>50</v>
      </c>
      <c r="D6502" s="27" t="s">
        <v>7</v>
      </c>
      <c r="E6502" s="27" t="s">
        <v>16</v>
      </c>
      <c r="F6502" s="29"/>
      <c r="G6502" s="30">
        <v>186</v>
      </c>
    </row>
    <row r="6503" spans="1:7" hidden="1" x14ac:dyDescent="0.25">
      <c r="A6503" s="28">
        <v>44075</v>
      </c>
      <c r="B6503" s="27" t="s">
        <v>180</v>
      </c>
      <c r="C6503" s="27" t="s">
        <v>50</v>
      </c>
      <c r="D6503" s="27" t="s">
        <v>7</v>
      </c>
      <c r="E6503" s="27" t="s">
        <v>17</v>
      </c>
      <c r="F6503" s="29"/>
      <c r="G6503" s="30">
        <v>80</v>
      </c>
    </row>
    <row r="6504" spans="1:7" hidden="1" x14ac:dyDescent="0.25">
      <c r="A6504" s="28">
        <v>44075</v>
      </c>
      <c r="B6504" s="27" t="s">
        <v>181</v>
      </c>
      <c r="C6504" s="27" t="s">
        <v>50</v>
      </c>
      <c r="D6504" s="27" t="s">
        <v>6</v>
      </c>
      <c r="E6504" s="27" t="s">
        <v>9</v>
      </c>
      <c r="F6504" s="29"/>
      <c r="G6504" s="30">
        <v>175</v>
      </c>
    </row>
    <row r="6505" spans="1:7" hidden="1" x14ac:dyDescent="0.25">
      <c r="A6505" s="28">
        <v>44075</v>
      </c>
      <c r="B6505" s="27" t="s">
        <v>181</v>
      </c>
      <c r="C6505" s="27" t="s">
        <v>50</v>
      </c>
      <c r="D6505" s="27" t="s">
        <v>6</v>
      </c>
      <c r="E6505" s="27" t="s">
        <v>22</v>
      </c>
      <c r="F6505" s="29"/>
      <c r="G6505" s="30">
        <v>341.44</v>
      </c>
    </row>
    <row r="6506" spans="1:7" hidden="1" x14ac:dyDescent="0.25">
      <c r="A6506" s="28">
        <v>44075</v>
      </c>
      <c r="B6506" s="27" t="s">
        <v>181</v>
      </c>
      <c r="C6506" s="27" t="s">
        <v>50</v>
      </c>
      <c r="D6506" s="27" t="s">
        <v>6</v>
      </c>
      <c r="E6506" s="27" t="s">
        <v>11</v>
      </c>
      <c r="F6506" s="29"/>
      <c r="G6506" s="30">
        <v>27.56</v>
      </c>
    </row>
    <row r="6507" spans="1:7" hidden="1" x14ac:dyDescent="0.25">
      <c r="A6507" s="28">
        <v>44075</v>
      </c>
      <c r="B6507" s="27" t="s">
        <v>181</v>
      </c>
      <c r="C6507" s="27" t="s">
        <v>50</v>
      </c>
      <c r="D6507" s="27" t="s">
        <v>6</v>
      </c>
      <c r="E6507" s="27" t="s">
        <v>15</v>
      </c>
      <c r="F6507" s="29"/>
      <c r="G6507" s="30">
        <v>220</v>
      </c>
    </row>
    <row r="6508" spans="1:7" hidden="1" x14ac:dyDescent="0.25">
      <c r="A6508" s="28">
        <v>44075</v>
      </c>
      <c r="B6508" s="27" t="s">
        <v>181</v>
      </c>
      <c r="C6508" s="27" t="s">
        <v>50</v>
      </c>
      <c r="D6508" s="27" t="s">
        <v>6</v>
      </c>
      <c r="E6508" s="27" t="s">
        <v>17</v>
      </c>
      <c r="F6508" s="29"/>
      <c r="G6508" s="30">
        <v>710</v>
      </c>
    </row>
    <row r="6509" spans="1:7" hidden="1" x14ac:dyDescent="0.25">
      <c r="A6509" s="28">
        <v>44075</v>
      </c>
      <c r="B6509" s="27" t="s">
        <v>181</v>
      </c>
      <c r="C6509" s="27" t="s">
        <v>50</v>
      </c>
      <c r="D6509" s="27" t="s">
        <v>6</v>
      </c>
      <c r="E6509" s="27" t="s">
        <v>18</v>
      </c>
      <c r="F6509" s="29"/>
      <c r="G6509" s="30">
        <v>350.9</v>
      </c>
    </row>
    <row r="6510" spans="1:7" hidden="1" x14ac:dyDescent="0.25">
      <c r="A6510" s="28">
        <v>44075</v>
      </c>
      <c r="B6510" s="27" t="s">
        <v>181</v>
      </c>
      <c r="C6510" s="27" t="s">
        <v>50</v>
      </c>
      <c r="D6510" s="27" t="s">
        <v>6</v>
      </c>
      <c r="E6510" s="27" t="s">
        <v>19</v>
      </c>
      <c r="F6510" s="29"/>
      <c r="G6510" s="30">
        <v>341.44</v>
      </c>
    </row>
    <row r="6511" spans="1:7" hidden="1" x14ac:dyDescent="0.25">
      <c r="A6511" s="28">
        <v>44075</v>
      </c>
      <c r="B6511" s="27" t="s">
        <v>181</v>
      </c>
      <c r="C6511" s="27" t="s">
        <v>50</v>
      </c>
      <c r="D6511" s="27" t="s">
        <v>6</v>
      </c>
      <c r="E6511" s="27" t="s">
        <v>23</v>
      </c>
      <c r="F6511" s="29"/>
      <c r="G6511" s="30">
        <v>100</v>
      </c>
    </row>
    <row r="6512" spans="1:7" hidden="1" x14ac:dyDescent="0.25">
      <c r="A6512" s="28">
        <v>44075</v>
      </c>
      <c r="B6512" s="27" t="s">
        <v>2</v>
      </c>
      <c r="C6512" s="27" t="s">
        <v>50</v>
      </c>
      <c r="D6512" s="27" t="s">
        <v>7</v>
      </c>
      <c r="E6512" s="27" t="s">
        <v>8</v>
      </c>
      <c r="F6512" s="29"/>
      <c r="G6512" s="30">
        <v>461.68</v>
      </c>
    </row>
    <row r="6513" spans="1:7" hidden="1" x14ac:dyDescent="0.25">
      <c r="A6513" s="28">
        <v>44075</v>
      </c>
      <c r="B6513" s="27" t="s">
        <v>2</v>
      </c>
      <c r="C6513" s="27" t="s">
        <v>50</v>
      </c>
      <c r="D6513" s="27" t="s">
        <v>7</v>
      </c>
      <c r="E6513" s="27" t="s">
        <v>9</v>
      </c>
      <c r="F6513" s="29"/>
      <c r="G6513" s="30">
        <v>604.80999999999995</v>
      </c>
    </row>
    <row r="6514" spans="1:7" hidden="1" x14ac:dyDescent="0.25">
      <c r="A6514" s="28">
        <v>44075</v>
      </c>
      <c r="B6514" s="27" t="s">
        <v>2</v>
      </c>
      <c r="C6514" s="27" t="s">
        <v>50</v>
      </c>
      <c r="D6514" s="27" t="s">
        <v>7</v>
      </c>
      <c r="E6514" s="27" t="s">
        <v>22</v>
      </c>
      <c r="F6514" s="29"/>
      <c r="G6514" s="30">
        <v>670.81</v>
      </c>
    </row>
    <row r="6515" spans="1:7" hidden="1" x14ac:dyDescent="0.25">
      <c r="A6515" s="28">
        <v>44075</v>
      </c>
      <c r="B6515" s="27" t="s">
        <v>2</v>
      </c>
      <c r="C6515" s="27" t="s">
        <v>50</v>
      </c>
      <c r="D6515" s="27" t="s">
        <v>7</v>
      </c>
      <c r="E6515" s="27" t="s">
        <v>64</v>
      </c>
      <c r="F6515" s="29"/>
      <c r="G6515" s="30">
        <v>814.22</v>
      </c>
    </row>
    <row r="6516" spans="1:7" hidden="1" x14ac:dyDescent="0.25">
      <c r="A6516" s="28">
        <v>44075</v>
      </c>
      <c r="B6516" s="27" t="s">
        <v>2</v>
      </c>
      <c r="C6516" s="27" t="s">
        <v>50</v>
      </c>
      <c r="D6516" s="27" t="s">
        <v>7</v>
      </c>
      <c r="E6516" s="27" t="s">
        <v>21</v>
      </c>
      <c r="F6516" s="29"/>
      <c r="G6516" s="30">
        <v>23.68</v>
      </c>
    </row>
    <row r="6517" spans="1:7" hidden="1" x14ac:dyDescent="0.25">
      <c r="A6517" s="28">
        <v>44075</v>
      </c>
      <c r="B6517" s="27" t="s">
        <v>2</v>
      </c>
      <c r="C6517" s="27" t="s">
        <v>50</v>
      </c>
      <c r="D6517" s="27" t="s">
        <v>7</v>
      </c>
      <c r="E6517" s="27" t="s">
        <v>10</v>
      </c>
      <c r="F6517" s="29"/>
      <c r="G6517" s="30">
        <v>609.08000000000004</v>
      </c>
    </row>
    <row r="6518" spans="1:7" hidden="1" x14ac:dyDescent="0.25">
      <c r="A6518" s="28">
        <v>44075</v>
      </c>
      <c r="B6518" s="27" t="s">
        <v>2</v>
      </c>
      <c r="C6518" s="27" t="s">
        <v>50</v>
      </c>
      <c r="D6518" s="27" t="s">
        <v>7</v>
      </c>
      <c r="E6518" s="27" t="s">
        <v>11</v>
      </c>
      <c r="F6518" s="29"/>
      <c r="G6518" s="30">
        <v>394.08</v>
      </c>
    </row>
    <row r="6519" spans="1:7" hidden="1" x14ac:dyDescent="0.25">
      <c r="A6519" s="28">
        <v>44075</v>
      </c>
      <c r="B6519" s="27" t="s">
        <v>2</v>
      </c>
      <c r="C6519" s="27" t="s">
        <v>50</v>
      </c>
      <c r="D6519" s="27" t="s">
        <v>7</v>
      </c>
      <c r="E6519" s="27" t="s">
        <v>12</v>
      </c>
      <c r="F6519" s="29"/>
      <c r="G6519" s="30">
        <v>330.68</v>
      </c>
    </row>
    <row r="6520" spans="1:7" hidden="1" x14ac:dyDescent="0.25">
      <c r="A6520" s="28">
        <v>44075</v>
      </c>
      <c r="B6520" s="27" t="s">
        <v>2</v>
      </c>
      <c r="C6520" s="27" t="s">
        <v>50</v>
      </c>
      <c r="D6520" s="27" t="s">
        <v>7</v>
      </c>
      <c r="E6520" s="27" t="s">
        <v>13</v>
      </c>
      <c r="F6520" s="29"/>
      <c r="G6520" s="30">
        <v>1272.73</v>
      </c>
    </row>
    <row r="6521" spans="1:7" hidden="1" x14ac:dyDescent="0.25">
      <c r="A6521" s="28">
        <v>44075</v>
      </c>
      <c r="B6521" s="27" t="s">
        <v>2</v>
      </c>
      <c r="C6521" s="27" t="s">
        <v>50</v>
      </c>
      <c r="D6521" s="27" t="s">
        <v>7</v>
      </c>
      <c r="E6521" s="27" t="s">
        <v>14</v>
      </c>
      <c r="F6521" s="29"/>
      <c r="G6521" s="30">
        <v>178.7</v>
      </c>
    </row>
    <row r="6522" spans="1:7" hidden="1" x14ac:dyDescent="0.25">
      <c r="A6522" s="28">
        <v>44075</v>
      </c>
      <c r="B6522" s="27" t="s">
        <v>2</v>
      </c>
      <c r="C6522" s="27" t="s">
        <v>50</v>
      </c>
      <c r="D6522" s="27" t="s">
        <v>7</v>
      </c>
      <c r="E6522" s="27" t="s">
        <v>15</v>
      </c>
      <c r="F6522" s="29"/>
      <c r="G6522" s="30">
        <v>702.23</v>
      </c>
    </row>
    <row r="6523" spans="1:7" hidden="1" x14ac:dyDescent="0.25">
      <c r="A6523" s="28">
        <v>44075</v>
      </c>
      <c r="B6523" s="27" t="s">
        <v>2</v>
      </c>
      <c r="C6523" s="27" t="s">
        <v>50</v>
      </c>
      <c r="D6523" s="27" t="s">
        <v>7</v>
      </c>
      <c r="E6523" s="27" t="s">
        <v>16</v>
      </c>
      <c r="F6523" s="29"/>
      <c r="G6523" s="30">
        <v>291.87</v>
      </c>
    </row>
    <row r="6524" spans="1:7" hidden="1" x14ac:dyDescent="0.25">
      <c r="A6524" s="28">
        <v>44075</v>
      </c>
      <c r="B6524" s="27" t="s">
        <v>2</v>
      </c>
      <c r="C6524" s="27" t="s">
        <v>50</v>
      </c>
      <c r="D6524" s="27" t="s">
        <v>7</v>
      </c>
      <c r="E6524" s="27" t="s">
        <v>17</v>
      </c>
      <c r="F6524" s="29"/>
      <c r="G6524" s="30">
        <v>520.87</v>
      </c>
    </row>
    <row r="6525" spans="1:7" hidden="1" x14ac:dyDescent="0.25">
      <c r="A6525" s="28">
        <v>44075</v>
      </c>
      <c r="B6525" s="27" t="s">
        <v>2</v>
      </c>
      <c r="C6525" s="27" t="s">
        <v>50</v>
      </c>
      <c r="D6525" s="27" t="s">
        <v>7</v>
      </c>
      <c r="E6525" s="27" t="s">
        <v>18</v>
      </c>
      <c r="F6525" s="29"/>
      <c r="G6525" s="30">
        <v>28.1</v>
      </c>
    </row>
    <row r="6526" spans="1:7" hidden="1" x14ac:dyDescent="0.25">
      <c r="A6526" s="28">
        <v>44075</v>
      </c>
      <c r="B6526" s="27" t="s">
        <v>2</v>
      </c>
      <c r="C6526" s="27" t="s">
        <v>50</v>
      </c>
      <c r="D6526" s="27" t="s">
        <v>7</v>
      </c>
      <c r="E6526" s="27" t="s">
        <v>19</v>
      </c>
      <c r="F6526" s="29"/>
      <c r="G6526" s="30">
        <v>571.4</v>
      </c>
    </row>
    <row r="6527" spans="1:7" hidden="1" x14ac:dyDescent="0.25">
      <c r="A6527" s="28">
        <v>44075</v>
      </c>
      <c r="B6527" s="27" t="s">
        <v>2</v>
      </c>
      <c r="C6527" s="27" t="s">
        <v>50</v>
      </c>
      <c r="D6527" s="27" t="s">
        <v>7</v>
      </c>
      <c r="E6527" s="27" t="s">
        <v>20</v>
      </c>
      <c r="F6527" s="29"/>
      <c r="G6527" s="30">
        <v>437.2</v>
      </c>
    </row>
    <row r="6528" spans="1:7" hidden="1" x14ac:dyDescent="0.25">
      <c r="A6528" s="28">
        <v>44075</v>
      </c>
      <c r="B6528" s="27" t="s">
        <v>2</v>
      </c>
      <c r="C6528" s="27" t="s">
        <v>50</v>
      </c>
      <c r="D6528" s="27" t="s">
        <v>7</v>
      </c>
      <c r="E6528" s="27" t="s">
        <v>38</v>
      </c>
      <c r="F6528" s="29"/>
      <c r="G6528" s="30">
        <v>156.5</v>
      </c>
    </row>
    <row r="6529" spans="1:7" hidden="1" x14ac:dyDescent="0.25">
      <c r="A6529" s="28">
        <v>44075</v>
      </c>
      <c r="B6529" s="27" t="s">
        <v>2</v>
      </c>
      <c r="C6529" s="27" t="s">
        <v>50</v>
      </c>
      <c r="D6529" s="27" t="s">
        <v>7</v>
      </c>
      <c r="E6529" s="27" t="s">
        <v>23</v>
      </c>
      <c r="F6529" s="29"/>
      <c r="G6529" s="30">
        <v>886.7</v>
      </c>
    </row>
    <row r="6530" spans="1:7" hidden="1" x14ac:dyDescent="0.25">
      <c r="A6530" s="28">
        <v>44075</v>
      </c>
      <c r="B6530" s="27" t="s">
        <v>36</v>
      </c>
      <c r="C6530" s="27" t="s">
        <v>50</v>
      </c>
      <c r="D6530" s="27" t="s">
        <v>6</v>
      </c>
      <c r="E6530" s="27" t="s">
        <v>8</v>
      </c>
      <c r="F6530" s="29"/>
      <c r="G6530" s="30">
        <v>374.06</v>
      </c>
    </row>
    <row r="6531" spans="1:7" hidden="1" x14ac:dyDescent="0.25">
      <c r="A6531" s="28">
        <v>44075</v>
      </c>
      <c r="B6531" s="27" t="s">
        <v>36</v>
      </c>
      <c r="C6531" s="27" t="s">
        <v>50</v>
      </c>
      <c r="D6531" s="27" t="s">
        <v>6</v>
      </c>
      <c r="E6531" s="27" t="s">
        <v>9</v>
      </c>
      <c r="F6531" s="29"/>
      <c r="G6531" s="30">
        <v>56</v>
      </c>
    </row>
    <row r="6532" spans="1:7" hidden="1" x14ac:dyDescent="0.25">
      <c r="A6532" s="28">
        <v>44075</v>
      </c>
      <c r="B6532" s="27" t="s">
        <v>36</v>
      </c>
      <c r="C6532" s="27" t="s">
        <v>50</v>
      </c>
      <c r="D6532" s="27" t="s">
        <v>6</v>
      </c>
      <c r="E6532" s="27" t="s">
        <v>22</v>
      </c>
      <c r="F6532" s="29"/>
      <c r="G6532" s="30">
        <v>56</v>
      </c>
    </row>
    <row r="6533" spans="1:7" hidden="1" x14ac:dyDescent="0.25">
      <c r="A6533" s="28">
        <v>44075</v>
      </c>
      <c r="B6533" s="27" t="s">
        <v>36</v>
      </c>
      <c r="C6533" s="27" t="s">
        <v>50</v>
      </c>
      <c r="D6533" s="27" t="s">
        <v>6</v>
      </c>
      <c r="E6533" s="27" t="s">
        <v>64</v>
      </c>
      <c r="F6533" s="29"/>
      <c r="G6533" s="30">
        <v>59</v>
      </c>
    </row>
    <row r="6534" spans="1:7" hidden="1" x14ac:dyDescent="0.25">
      <c r="A6534" s="28">
        <v>44075</v>
      </c>
      <c r="B6534" s="27" t="s">
        <v>36</v>
      </c>
      <c r="C6534" s="27" t="s">
        <v>50</v>
      </c>
      <c r="D6534" s="27" t="s">
        <v>6</v>
      </c>
      <c r="E6534" s="27" t="s">
        <v>21</v>
      </c>
      <c r="F6534" s="29"/>
      <c r="G6534" s="30">
        <v>98.57</v>
      </c>
    </row>
    <row r="6535" spans="1:7" hidden="1" x14ac:dyDescent="0.25">
      <c r="A6535" s="28">
        <v>44075</v>
      </c>
      <c r="B6535" s="27" t="s">
        <v>36</v>
      </c>
      <c r="C6535" s="27" t="s">
        <v>50</v>
      </c>
      <c r="D6535" s="27" t="s">
        <v>6</v>
      </c>
      <c r="E6535" s="27" t="s">
        <v>10</v>
      </c>
      <c r="F6535" s="29"/>
      <c r="G6535" s="30">
        <v>374.06</v>
      </c>
    </row>
    <row r="6536" spans="1:7" hidden="1" x14ac:dyDescent="0.25">
      <c r="A6536" s="28">
        <v>44075</v>
      </c>
      <c r="B6536" s="27" t="s">
        <v>36</v>
      </c>
      <c r="C6536" s="27" t="s">
        <v>50</v>
      </c>
      <c r="D6536" s="27" t="s">
        <v>6</v>
      </c>
      <c r="E6536" s="27" t="s">
        <v>11</v>
      </c>
      <c r="F6536" s="29"/>
      <c r="G6536" s="30">
        <v>177.5</v>
      </c>
    </row>
    <row r="6537" spans="1:7" hidden="1" x14ac:dyDescent="0.25">
      <c r="A6537" s="28">
        <v>44075</v>
      </c>
      <c r="B6537" s="27" t="s">
        <v>36</v>
      </c>
      <c r="C6537" s="27" t="s">
        <v>50</v>
      </c>
      <c r="D6537" s="27" t="s">
        <v>6</v>
      </c>
      <c r="E6537" s="27" t="s">
        <v>12</v>
      </c>
      <c r="F6537" s="29"/>
      <c r="G6537" s="30">
        <v>84.44</v>
      </c>
    </row>
    <row r="6538" spans="1:7" hidden="1" x14ac:dyDescent="0.25">
      <c r="A6538" s="28">
        <v>44075</v>
      </c>
      <c r="B6538" s="27" t="s">
        <v>36</v>
      </c>
      <c r="C6538" s="27" t="s">
        <v>50</v>
      </c>
      <c r="D6538" s="27" t="s">
        <v>6</v>
      </c>
      <c r="E6538" s="27" t="s">
        <v>13</v>
      </c>
      <c r="F6538" s="29"/>
      <c r="G6538" s="30">
        <v>59</v>
      </c>
    </row>
    <row r="6539" spans="1:7" hidden="1" x14ac:dyDescent="0.25">
      <c r="A6539" s="28">
        <v>44075</v>
      </c>
      <c r="B6539" s="27" t="s">
        <v>36</v>
      </c>
      <c r="C6539" s="27" t="s">
        <v>50</v>
      </c>
      <c r="D6539" s="27" t="s">
        <v>6</v>
      </c>
      <c r="E6539" s="27" t="s">
        <v>14</v>
      </c>
      <c r="F6539" s="29"/>
      <c r="G6539" s="30">
        <v>84.44</v>
      </c>
    </row>
    <row r="6540" spans="1:7" hidden="1" x14ac:dyDescent="0.25">
      <c r="A6540" s="28">
        <v>44075</v>
      </c>
      <c r="B6540" s="27" t="s">
        <v>36</v>
      </c>
      <c r="C6540" s="27" t="s">
        <v>50</v>
      </c>
      <c r="D6540" s="27" t="s">
        <v>6</v>
      </c>
      <c r="E6540" s="27" t="s">
        <v>15</v>
      </c>
      <c r="F6540" s="29"/>
      <c r="G6540" s="30">
        <v>258.39</v>
      </c>
    </row>
    <row r="6541" spans="1:7" hidden="1" x14ac:dyDescent="0.25">
      <c r="A6541" s="28">
        <v>44075</v>
      </c>
      <c r="B6541" s="27" t="s">
        <v>36</v>
      </c>
      <c r="C6541" s="27" t="s">
        <v>50</v>
      </c>
      <c r="D6541" s="27" t="s">
        <v>6</v>
      </c>
      <c r="E6541" s="27" t="s">
        <v>16</v>
      </c>
      <c r="F6541" s="29"/>
      <c r="G6541" s="30">
        <v>284.19</v>
      </c>
    </row>
    <row r="6542" spans="1:7" hidden="1" x14ac:dyDescent="0.25">
      <c r="A6542" s="28">
        <v>44075</v>
      </c>
      <c r="B6542" s="27" t="s">
        <v>36</v>
      </c>
      <c r="C6542" s="27" t="s">
        <v>50</v>
      </c>
      <c r="D6542" s="27" t="s">
        <v>6</v>
      </c>
      <c r="E6542" s="27" t="s">
        <v>17</v>
      </c>
      <c r="F6542" s="29"/>
      <c r="G6542" s="30">
        <v>191.3</v>
      </c>
    </row>
    <row r="6543" spans="1:7" hidden="1" x14ac:dyDescent="0.25">
      <c r="A6543" s="28">
        <v>44075</v>
      </c>
      <c r="B6543" s="27" t="s">
        <v>36</v>
      </c>
      <c r="C6543" s="27" t="s">
        <v>50</v>
      </c>
      <c r="D6543" s="27" t="s">
        <v>6</v>
      </c>
      <c r="E6543" s="27" t="s">
        <v>18</v>
      </c>
      <c r="F6543" s="29"/>
      <c r="G6543" s="30">
        <v>127.7</v>
      </c>
    </row>
    <row r="6544" spans="1:7" hidden="1" x14ac:dyDescent="0.25">
      <c r="A6544" s="28">
        <v>44075</v>
      </c>
      <c r="B6544" s="27" t="s">
        <v>36</v>
      </c>
      <c r="C6544" s="27" t="s">
        <v>50</v>
      </c>
      <c r="D6544" s="27" t="s">
        <v>6</v>
      </c>
      <c r="E6544" s="27" t="s">
        <v>19</v>
      </c>
      <c r="F6544" s="29"/>
      <c r="G6544" s="30">
        <v>284.19</v>
      </c>
    </row>
    <row r="6545" spans="1:7" hidden="1" x14ac:dyDescent="0.25">
      <c r="A6545" s="28">
        <v>44075</v>
      </c>
      <c r="B6545" s="27" t="s">
        <v>36</v>
      </c>
      <c r="C6545" s="27" t="s">
        <v>50</v>
      </c>
      <c r="D6545" s="27" t="s">
        <v>6</v>
      </c>
      <c r="E6545" s="27" t="s">
        <v>20</v>
      </c>
      <c r="F6545" s="29"/>
      <c r="G6545" s="30">
        <v>59</v>
      </c>
    </row>
    <row r="6546" spans="1:7" hidden="1" x14ac:dyDescent="0.25">
      <c r="A6546" s="28">
        <v>44075</v>
      </c>
      <c r="B6546" s="27" t="s">
        <v>36</v>
      </c>
      <c r="C6546" s="27" t="s">
        <v>50</v>
      </c>
      <c r="D6546" s="27" t="s">
        <v>6</v>
      </c>
      <c r="E6546" s="27" t="s">
        <v>38</v>
      </c>
      <c r="F6546" s="29"/>
      <c r="G6546" s="30">
        <v>56</v>
      </c>
    </row>
    <row r="6547" spans="1:7" hidden="1" x14ac:dyDescent="0.25">
      <c r="A6547" s="28">
        <v>44075</v>
      </c>
      <c r="B6547" s="27" t="s">
        <v>36</v>
      </c>
      <c r="C6547" s="27" t="s">
        <v>50</v>
      </c>
      <c r="D6547" s="27" t="s">
        <v>6</v>
      </c>
      <c r="E6547" s="27" t="s">
        <v>23</v>
      </c>
      <c r="F6547" s="29"/>
      <c r="G6547" s="30">
        <v>165.5</v>
      </c>
    </row>
    <row r="6548" spans="1:7" hidden="1" x14ac:dyDescent="0.25">
      <c r="A6548" s="28">
        <v>44075</v>
      </c>
      <c r="B6548" s="27" t="s">
        <v>200</v>
      </c>
      <c r="C6548" s="27" t="s">
        <v>53</v>
      </c>
      <c r="D6548" s="27" t="s">
        <v>6</v>
      </c>
      <c r="E6548" s="27" t="s">
        <v>8</v>
      </c>
      <c r="F6548" s="29"/>
      <c r="G6548" s="30">
        <f t="shared" ref="G6548:G6565" si="120">11575.8111111111/18</f>
        <v>643.10061728394999</v>
      </c>
    </row>
    <row r="6549" spans="1:7" hidden="1" x14ac:dyDescent="0.25">
      <c r="A6549" s="28">
        <v>44075</v>
      </c>
      <c r="B6549" s="27" t="s">
        <v>200</v>
      </c>
      <c r="C6549" s="27" t="s">
        <v>53</v>
      </c>
      <c r="D6549" s="27" t="s">
        <v>6</v>
      </c>
      <c r="E6549" s="27" t="s">
        <v>9</v>
      </c>
      <c r="F6549" s="29"/>
      <c r="G6549" s="30">
        <f t="shared" si="120"/>
        <v>643.10061728394999</v>
      </c>
    </row>
    <row r="6550" spans="1:7" hidden="1" x14ac:dyDescent="0.25">
      <c r="A6550" s="28">
        <v>44075</v>
      </c>
      <c r="B6550" s="27" t="s">
        <v>200</v>
      </c>
      <c r="C6550" s="27" t="s">
        <v>53</v>
      </c>
      <c r="D6550" s="27" t="s">
        <v>6</v>
      </c>
      <c r="E6550" s="27" t="s">
        <v>22</v>
      </c>
      <c r="F6550" s="29"/>
      <c r="G6550" s="30">
        <f t="shared" si="120"/>
        <v>643.10061728394999</v>
      </c>
    </row>
    <row r="6551" spans="1:7" hidden="1" x14ac:dyDescent="0.25">
      <c r="A6551" s="28">
        <v>44075</v>
      </c>
      <c r="B6551" s="27" t="s">
        <v>200</v>
      </c>
      <c r="C6551" s="27" t="s">
        <v>53</v>
      </c>
      <c r="D6551" s="27" t="s">
        <v>6</v>
      </c>
      <c r="E6551" s="27" t="s">
        <v>64</v>
      </c>
      <c r="F6551" s="29"/>
      <c r="G6551" s="30">
        <f t="shared" si="120"/>
        <v>643.10061728394999</v>
      </c>
    </row>
    <row r="6552" spans="1:7" hidden="1" x14ac:dyDescent="0.25">
      <c r="A6552" s="28">
        <v>44075</v>
      </c>
      <c r="B6552" s="27" t="s">
        <v>200</v>
      </c>
      <c r="C6552" s="27" t="s">
        <v>53</v>
      </c>
      <c r="D6552" s="27" t="s">
        <v>6</v>
      </c>
      <c r="E6552" s="27" t="s">
        <v>21</v>
      </c>
      <c r="F6552" s="29"/>
      <c r="G6552" s="30">
        <f t="shared" si="120"/>
        <v>643.10061728394999</v>
      </c>
    </row>
    <row r="6553" spans="1:7" hidden="1" x14ac:dyDescent="0.25">
      <c r="A6553" s="28">
        <v>44075</v>
      </c>
      <c r="B6553" s="27" t="s">
        <v>200</v>
      </c>
      <c r="C6553" s="27" t="s">
        <v>53</v>
      </c>
      <c r="D6553" s="27" t="s">
        <v>6</v>
      </c>
      <c r="E6553" s="27" t="s">
        <v>10</v>
      </c>
      <c r="F6553" s="29"/>
      <c r="G6553" s="30">
        <f t="shared" si="120"/>
        <v>643.10061728394999</v>
      </c>
    </row>
    <row r="6554" spans="1:7" hidden="1" x14ac:dyDescent="0.25">
      <c r="A6554" s="28">
        <v>44075</v>
      </c>
      <c r="B6554" s="27" t="s">
        <v>200</v>
      </c>
      <c r="C6554" s="27" t="s">
        <v>53</v>
      </c>
      <c r="D6554" s="27" t="s">
        <v>6</v>
      </c>
      <c r="E6554" s="27" t="s">
        <v>11</v>
      </c>
      <c r="F6554" s="29"/>
      <c r="G6554" s="30">
        <f t="shared" si="120"/>
        <v>643.10061728394999</v>
      </c>
    </row>
    <row r="6555" spans="1:7" hidden="1" x14ac:dyDescent="0.25">
      <c r="A6555" s="28">
        <v>44075</v>
      </c>
      <c r="B6555" s="27" t="s">
        <v>200</v>
      </c>
      <c r="C6555" s="27" t="s">
        <v>53</v>
      </c>
      <c r="D6555" s="27" t="s">
        <v>6</v>
      </c>
      <c r="E6555" s="27" t="s">
        <v>12</v>
      </c>
      <c r="F6555" s="29"/>
      <c r="G6555" s="30">
        <f t="shared" si="120"/>
        <v>643.10061728394999</v>
      </c>
    </row>
    <row r="6556" spans="1:7" hidden="1" x14ac:dyDescent="0.25">
      <c r="A6556" s="28">
        <v>44075</v>
      </c>
      <c r="B6556" s="27" t="s">
        <v>200</v>
      </c>
      <c r="C6556" s="27" t="s">
        <v>53</v>
      </c>
      <c r="D6556" s="27" t="s">
        <v>6</v>
      </c>
      <c r="E6556" s="27" t="s">
        <v>13</v>
      </c>
      <c r="F6556" s="29"/>
      <c r="G6556" s="30">
        <f t="shared" si="120"/>
        <v>643.10061728394999</v>
      </c>
    </row>
    <row r="6557" spans="1:7" hidden="1" x14ac:dyDescent="0.25">
      <c r="A6557" s="28">
        <v>44075</v>
      </c>
      <c r="B6557" s="27" t="s">
        <v>200</v>
      </c>
      <c r="C6557" s="27" t="s">
        <v>53</v>
      </c>
      <c r="D6557" s="27" t="s">
        <v>6</v>
      </c>
      <c r="E6557" s="27" t="s">
        <v>14</v>
      </c>
      <c r="F6557" s="29"/>
      <c r="G6557" s="30">
        <f t="shared" si="120"/>
        <v>643.10061728394999</v>
      </c>
    </row>
    <row r="6558" spans="1:7" hidden="1" x14ac:dyDescent="0.25">
      <c r="A6558" s="28">
        <v>44075</v>
      </c>
      <c r="B6558" s="27" t="s">
        <v>200</v>
      </c>
      <c r="C6558" s="27" t="s">
        <v>53</v>
      </c>
      <c r="D6558" s="27" t="s">
        <v>6</v>
      </c>
      <c r="E6558" s="27" t="s">
        <v>15</v>
      </c>
      <c r="F6558" s="29"/>
      <c r="G6558" s="30">
        <f t="shared" si="120"/>
        <v>643.10061728394999</v>
      </c>
    </row>
    <row r="6559" spans="1:7" hidden="1" x14ac:dyDescent="0.25">
      <c r="A6559" s="28">
        <v>44075</v>
      </c>
      <c r="B6559" s="27" t="s">
        <v>200</v>
      </c>
      <c r="C6559" s="27" t="s">
        <v>53</v>
      </c>
      <c r="D6559" s="27" t="s">
        <v>6</v>
      </c>
      <c r="E6559" s="27" t="s">
        <v>16</v>
      </c>
      <c r="F6559" s="29"/>
      <c r="G6559" s="30">
        <f t="shared" si="120"/>
        <v>643.10061728394999</v>
      </c>
    </row>
    <row r="6560" spans="1:7" hidden="1" x14ac:dyDescent="0.25">
      <c r="A6560" s="28">
        <v>44075</v>
      </c>
      <c r="B6560" s="27" t="s">
        <v>200</v>
      </c>
      <c r="C6560" s="27" t="s">
        <v>53</v>
      </c>
      <c r="D6560" s="27" t="s">
        <v>6</v>
      </c>
      <c r="E6560" s="27" t="s">
        <v>17</v>
      </c>
      <c r="F6560" s="29"/>
      <c r="G6560" s="30">
        <f t="shared" si="120"/>
        <v>643.10061728394999</v>
      </c>
    </row>
    <row r="6561" spans="1:7" hidden="1" x14ac:dyDescent="0.25">
      <c r="A6561" s="28">
        <v>44075</v>
      </c>
      <c r="B6561" s="27" t="s">
        <v>200</v>
      </c>
      <c r="C6561" s="27" t="s">
        <v>53</v>
      </c>
      <c r="D6561" s="27" t="s">
        <v>6</v>
      </c>
      <c r="E6561" s="27" t="s">
        <v>18</v>
      </c>
      <c r="F6561" s="29"/>
      <c r="G6561" s="30">
        <f t="shared" si="120"/>
        <v>643.10061728394999</v>
      </c>
    </row>
    <row r="6562" spans="1:7" hidden="1" x14ac:dyDescent="0.25">
      <c r="A6562" s="28">
        <v>44075</v>
      </c>
      <c r="B6562" s="27" t="s">
        <v>200</v>
      </c>
      <c r="C6562" s="27" t="s">
        <v>53</v>
      </c>
      <c r="D6562" s="27" t="s">
        <v>6</v>
      </c>
      <c r="E6562" s="27" t="s">
        <v>19</v>
      </c>
      <c r="F6562" s="29"/>
      <c r="G6562" s="30">
        <f t="shared" si="120"/>
        <v>643.10061728394999</v>
      </c>
    </row>
    <row r="6563" spans="1:7" hidden="1" x14ac:dyDescent="0.25">
      <c r="A6563" s="28">
        <v>44075</v>
      </c>
      <c r="B6563" s="27" t="s">
        <v>200</v>
      </c>
      <c r="C6563" s="27" t="s">
        <v>53</v>
      </c>
      <c r="D6563" s="27" t="s">
        <v>6</v>
      </c>
      <c r="E6563" s="27" t="s">
        <v>20</v>
      </c>
      <c r="F6563" s="29"/>
      <c r="G6563" s="30">
        <f t="shared" si="120"/>
        <v>643.10061728394999</v>
      </c>
    </row>
    <row r="6564" spans="1:7" hidden="1" x14ac:dyDescent="0.25">
      <c r="A6564" s="28">
        <v>44075</v>
      </c>
      <c r="B6564" s="27" t="s">
        <v>200</v>
      </c>
      <c r="C6564" s="27" t="s">
        <v>53</v>
      </c>
      <c r="D6564" s="27" t="s">
        <v>6</v>
      </c>
      <c r="E6564" s="27" t="s">
        <v>38</v>
      </c>
      <c r="F6564" s="29"/>
      <c r="G6564" s="30">
        <f t="shared" si="120"/>
        <v>643.10061728394999</v>
      </c>
    </row>
    <row r="6565" spans="1:7" hidden="1" x14ac:dyDescent="0.25">
      <c r="A6565" s="28">
        <v>44075</v>
      </c>
      <c r="B6565" s="27" t="s">
        <v>200</v>
      </c>
      <c r="C6565" s="27" t="s">
        <v>53</v>
      </c>
      <c r="D6565" s="27" t="s">
        <v>6</v>
      </c>
      <c r="E6565" s="27" t="s">
        <v>23</v>
      </c>
      <c r="F6565" s="29"/>
      <c r="G6565" s="30">
        <f t="shared" si="120"/>
        <v>643.10061728394999</v>
      </c>
    </row>
    <row r="6566" spans="1:7" hidden="1" x14ac:dyDescent="0.25">
      <c r="A6566" s="28">
        <v>44075</v>
      </c>
      <c r="B6566" s="27" t="s">
        <v>200</v>
      </c>
      <c r="C6566" s="27" t="s">
        <v>55</v>
      </c>
      <c r="D6566" s="27" t="s">
        <v>6</v>
      </c>
      <c r="E6566" s="27" t="s">
        <v>8</v>
      </c>
      <c r="F6566" s="29"/>
      <c r="G6566" s="30">
        <f t="shared" ref="G6566:G6583" si="121">22763.0964888889/18</f>
        <v>1264.6164716049389</v>
      </c>
    </row>
    <row r="6567" spans="1:7" hidden="1" x14ac:dyDescent="0.25">
      <c r="A6567" s="28">
        <v>44075</v>
      </c>
      <c r="B6567" s="27" t="s">
        <v>200</v>
      </c>
      <c r="C6567" s="27" t="s">
        <v>55</v>
      </c>
      <c r="D6567" s="27" t="s">
        <v>6</v>
      </c>
      <c r="E6567" s="27" t="s">
        <v>9</v>
      </c>
      <c r="F6567" s="29"/>
      <c r="G6567" s="30">
        <f t="shared" si="121"/>
        <v>1264.6164716049389</v>
      </c>
    </row>
    <row r="6568" spans="1:7" hidden="1" x14ac:dyDescent="0.25">
      <c r="A6568" s="28">
        <v>44075</v>
      </c>
      <c r="B6568" s="27" t="s">
        <v>200</v>
      </c>
      <c r="C6568" s="27" t="s">
        <v>55</v>
      </c>
      <c r="D6568" s="27" t="s">
        <v>6</v>
      </c>
      <c r="E6568" s="27" t="s">
        <v>22</v>
      </c>
      <c r="F6568" s="29"/>
      <c r="G6568" s="30">
        <f t="shared" si="121"/>
        <v>1264.6164716049389</v>
      </c>
    </row>
    <row r="6569" spans="1:7" hidden="1" x14ac:dyDescent="0.25">
      <c r="A6569" s="28">
        <v>44075</v>
      </c>
      <c r="B6569" s="27" t="s">
        <v>200</v>
      </c>
      <c r="C6569" s="27" t="s">
        <v>55</v>
      </c>
      <c r="D6569" s="27" t="s">
        <v>6</v>
      </c>
      <c r="E6569" s="27" t="s">
        <v>64</v>
      </c>
      <c r="F6569" s="29"/>
      <c r="G6569" s="30">
        <f t="shared" si="121"/>
        <v>1264.6164716049389</v>
      </c>
    </row>
    <row r="6570" spans="1:7" hidden="1" x14ac:dyDescent="0.25">
      <c r="A6570" s="28">
        <v>44075</v>
      </c>
      <c r="B6570" s="27" t="s">
        <v>200</v>
      </c>
      <c r="C6570" s="27" t="s">
        <v>55</v>
      </c>
      <c r="D6570" s="27" t="s">
        <v>6</v>
      </c>
      <c r="E6570" s="27" t="s">
        <v>21</v>
      </c>
      <c r="F6570" s="29"/>
      <c r="G6570" s="30">
        <f t="shared" si="121"/>
        <v>1264.6164716049389</v>
      </c>
    </row>
    <row r="6571" spans="1:7" hidden="1" x14ac:dyDescent="0.25">
      <c r="A6571" s="28">
        <v>44075</v>
      </c>
      <c r="B6571" s="27" t="s">
        <v>200</v>
      </c>
      <c r="C6571" s="27" t="s">
        <v>55</v>
      </c>
      <c r="D6571" s="27" t="s">
        <v>6</v>
      </c>
      <c r="E6571" s="27" t="s">
        <v>10</v>
      </c>
      <c r="F6571" s="29"/>
      <c r="G6571" s="30">
        <f t="shared" si="121"/>
        <v>1264.6164716049389</v>
      </c>
    </row>
    <row r="6572" spans="1:7" hidden="1" x14ac:dyDescent="0.25">
      <c r="A6572" s="28">
        <v>44075</v>
      </c>
      <c r="B6572" s="27" t="s">
        <v>200</v>
      </c>
      <c r="C6572" s="27" t="s">
        <v>55</v>
      </c>
      <c r="D6572" s="27" t="s">
        <v>6</v>
      </c>
      <c r="E6572" s="27" t="s">
        <v>11</v>
      </c>
      <c r="F6572" s="29"/>
      <c r="G6572" s="30">
        <f t="shared" si="121"/>
        <v>1264.6164716049389</v>
      </c>
    </row>
    <row r="6573" spans="1:7" hidden="1" x14ac:dyDescent="0.25">
      <c r="A6573" s="28">
        <v>44075</v>
      </c>
      <c r="B6573" s="27" t="s">
        <v>200</v>
      </c>
      <c r="C6573" s="27" t="s">
        <v>55</v>
      </c>
      <c r="D6573" s="27" t="s">
        <v>6</v>
      </c>
      <c r="E6573" s="27" t="s">
        <v>12</v>
      </c>
      <c r="F6573" s="29"/>
      <c r="G6573" s="30">
        <f t="shared" si="121"/>
        <v>1264.6164716049389</v>
      </c>
    </row>
    <row r="6574" spans="1:7" hidden="1" x14ac:dyDescent="0.25">
      <c r="A6574" s="28">
        <v>44075</v>
      </c>
      <c r="B6574" s="27" t="s">
        <v>200</v>
      </c>
      <c r="C6574" s="27" t="s">
        <v>55</v>
      </c>
      <c r="D6574" s="27" t="s">
        <v>6</v>
      </c>
      <c r="E6574" s="27" t="s">
        <v>13</v>
      </c>
      <c r="F6574" s="29"/>
      <c r="G6574" s="30">
        <f t="shared" si="121"/>
        <v>1264.6164716049389</v>
      </c>
    </row>
    <row r="6575" spans="1:7" hidden="1" x14ac:dyDescent="0.25">
      <c r="A6575" s="28">
        <v>44075</v>
      </c>
      <c r="B6575" s="27" t="s">
        <v>200</v>
      </c>
      <c r="C6575" s="27" t="s">
        <v>55</v>
      </c>
      <c r="D6575" s="27" t="s">
        <v>6</v>
      </c>
      <c r="E6575" s="27" t="s">
        <v>14</v>
      </c>
      <c r="F6575" s="29"/>
      <c r="G6575" s="30">
        <f t="shared" si="121"/>
        <v>1264.6164716049389</v>
      </c>
    </row>
    <row r="6576" spans="1:7" hidden="1" x14ac:dyDescent="0.25">
      <c r="A6576" s="28">
        <v>44075</v>
      </c>
      <c r="B6576" s="27" t="s">
        <v>200</v>
      </c>
      <c r="C6576" s="27" t="s">
        <v>55</v>
      </c>
      <c r="D6576" s="27" t="s">
        <v>6</v>
      </c>
      <c r="E6576" s="27" t="s">
        <v>15</v>
      </c>
      <c r="F6576" s="29"/>
      <c r="G6576" s="30">
        <f t="shared" si="121"/>
        <v>1264.6164716049389</v>
      </c>
    </row>
    <row r="6577" spans="1:7" hidden="1" x14ac:dyDescent="0.25">
      <c r="A6577" s="28">
        <v>44075</v>
      </c>
      <c r="B6577" s="27" t="s">
        <v>200</v>
      </c>
      <c r="C6577" s="27" t="s">
        <v>55</v>
      </c>
      <c r="D6577" s="27" t="s">
        <v>6</v>
      </c>
      <c r="E6577" s="27" t="s">
        <v>16</v>
      </c>
      <c r="F6577" s="29"/>
      <c r="G6577" s="30">
        <f t="shared" si="121"/>
        <v>1264.6164716049389</v>
      </c>
    </row>
    <row r="6578" spans="1:7" hidden="1" x14ac:dyDescent="0.25">
      <c r="A6578" s="28">
        <v>44075</v>
      </c>
      <c r="B6578" s="27" t="s">
        <v>200</v>
      </c>
      <c r="C6578" s="27" t="s">
        <v>55</v>
      </c>
      <c r="D6578" s="27" t="s">
        <v>6</v>
      </c>
      <c r="E6578" s="27" t="s">
        <v>17</v>
      </c>
      <c r="F6578" s="29"/>
      <c r="G6578" s="30">
        <f t="shared" si="121"/>
        <v>1264.6164716049389</v>
      </c>
    </row>
    <row r="6579" spans="1:7" hidden="1" x14ac:dyDescent="0.25">
      <c r="A6579" s="28">
        <v>44075</v>
      </c>
      <c r="B6579" s="27" t="s">
        <v>200</v>
      </c>
      <c r="C6579" s="27" t="s">
        <v>55</v>
      </c>
      <c r="D6579" s="27" t="s">
        <v>6</v>
      </c>
      <c r="E6579" s="27" t="s">
        <v>18</v>
      </c>
      <c r="F6579" s="29"/>
      <c r="G6579" s="30">
        <f t="shared" si="121"/>
        <v>1264.6164716049389</v>
      </c>
    </row>
    <row r="6580" spans="1:7" hidden="1" x14ac:dyDescent="0.25">
      <c r="A6580" s="28">
        <v>44075</v>
      </c>
      <c r="B6580" s="27" t="s">
        <v>200</v>
      </c>
      <c r="C6580" s="27" t="s">
        <v>55</v>
      </c>
      <c r="D6580" s="27" t="s">
        <v>6</v>
      </c>
      <c r="E6580" s="27" t="s">
        <v>19</v>
      </c>
      <c r="F6580" s="29"/>
      <c r="G6580" s="30">
        <f t="shared" si="121"/>
        <v>1264.6164716049389</v>
      </c>
    </row>
    <row r="6581" spans="1:7" hidden="1" x14ac:dyDescent="0.25">
      <c r="A6581" s="28">
        <v>44075</v>
      </c>
      <c r="B6581" s="27" t="s">
        <v>200</v>
      </c>
      <c r="C6581" s="27" t="s">
        <v>55</v>
      </c>
      <c r="D6581" s="27" t="s">
        <v>6</v>
      </c>
      <c r="E6581" s="27" t="s">
        <v>20</v>
      </c>
      <c r="F6581" s="29"/>
      <c r="G6581" s="30">
        <f t="shared" si="121"/>
        <v>1264.6164716049389</v>
      </c>
    </row>
    <row r="6582" spans="1:7" hidden="1" x14ac:dyDescent="0.25">
      <c r="A6582" s="28">
        <v>44075</v>
      </c>
      <c r="B6582" s="27" t="s">
        <v>200</v>
      </c>
      <c r="C6582" s="27" t="s">
        <v>55</v>
      </c>
      <c r="D6582" s="27" t="s">
        <v>6</v>
      </c>
      <c r="E6582" s="27" t="s">
        <v>38</v>
      </c>
      <c r="F6582" s="29"/>
      <c r="G6582" s="30">
        <f t="shared" si="121"/>
        <v>1264.6164716049389</v>
      </c>
    </row>
    <row r="6583" spans="1:7" hidden="1" x14ac:dyDescent="0.25">
      <c r="A6583" s="28">
        <v>44075</v>
      </c>
      <c r="B6583" s="27" t="s">
        <v>200</v>
      </c>
      <c r="C6583" s="27" t="s">
        <v>55</v>
      </c>
      <c r="D6583" s="27" t="s">
        <v>6</v>
      </c>
      <c r="E6583" s="27" t="s">
        <v>23</v>
      </c>
      <c r="F6583" s="29"/>
      <c r="G6583" s="30">
        <f t="shared" si="121"/>
        <v>1264.6164716049389</v>
      </c>
    </row>
    <row r="6584" spans="1:7" hidden="1" x14ac:dyDescent="0.25">
      <c r="A6584" s="28">
        <v>44075</v>
      </c>
      <c r="B6584" s="27" t="s">
        <v>200</v>
      </c>
      <c r="C6584" s="27" t="s">
        <v>183</v>
      </c>
      <c r="D6584" s="27" t="s">
        <v>7</v>
      </c>
      <c r="E6584" s="27" t="s">
        <v>8</v>
      </c>
      <c r="F6584" s="29"/>
      <c r="G6584" s="30">
        <f t="shared" ref="G6584:G6601" si="122">2723.96/18</f>
        <v>151.33111111111111</v>
      </c>
    </row>
    <row r="6585" spans="1:7" hidden="1" x14ac:dyDescent="0.25">
      <c r="A6585" s="28">
        <v>44075</v>
      </c>
      <c r="B6585" s="27" t="s">
        <v>200</v>
      </c>
      <c r="C6585" s="27" t="s">
        <v>183</v>
      </c>
      <c r="D6585" s="27" t="s">
        <v>7</v>
      </c>
      <c r="E6585" s="27" t="s">
        <v>9</v>
      </c>
      <c r="F6585" s="29"/>
      <c r="G6585" s="30">
        <f t="shared" si="122"/>
        <v>151.33111111111111</v>
      </c>
    </row>
    <row r="6586" spans="1:7" hidden="1" x14ac:dyDescent="0.25">
      <c r="A6586" s="28">
        <v>44075</v>
      </c>
      <c r="B6586" s="27" t="s">
        <v>200</v>
      </c>
      <c r="C6586" s="27" t="s">
        <v>183</v>
      </c>
      <c r="D6586" s="27" t="s">
        <v>7</v>
      </c>
      <c r="E6586" s="27" t="s">
        <v>22</v>
      </c>
      <c r="F6586" s="29"/>
      <c r="G6586" s="30">
        <f t="shared" si="122"/>
        <v>151.33111111111111</v>
      </c>
    </row>
    <row r="6587" spans="1:7" hidden="1" x14ac:dyDescent="0.25">
      <c r="A6587" s="28">
        <v>44075</v>
      </c>
      <c r="B6587" s="27" t="s">
        <v>200</v>
      </c>
      <c r="C6587" s="27" t="s">
        <v>183</v>
      </c>
      <c r="D6587" s="27" t="s">
        <v>7</v>
      </c>
      <c r="E6587" s="27" t="s">
        <v>64</v>
      </c>
      <c r="F6587" s="29"/>
      <c r="G6587" s="30">
        <f t="shared" si="122"/>
        <v>151.33111111111111</v>
      </c>
    </row>
    <row r="6588" spans="1:7" hidden="1" x14ac:dyDescent="0.25">
      <c r="A6588" s="28">
        <v>44075</v>
      </c>
      <c r="B6588" s="27" t="s">
        <v>200</v>
      </c>
      <c r="C6588" s="27" t="s">
        <v>183</v>
      </c>
      <c r="D6588" s="27" t="s">
        <v>7</v>
      </c>
      <c r="E6588" s="27" t="s">
        <v>10</v>
      </c>
      <c r="F6588" s="29"/>
      <c r="G6588" s="30">
        <f t="shared" si="122"/>
        <v>151.33111111111111</v>
      </c>
    </row>
    <row r="6589" spans="1:7" hidden="1" x14ac:dyDescent="0.25">
      <c r="A6589" s="28">
        <v>44075</v>
      </c>
      <c r="B6589" s="27" t="s">
        <v>200</v>
      </c>
      <c r="C6589" s="27" t="s">
        <v>183</v>
      </c>
      <c r="D6589" s="27" t="s">
        <v>7</v>
      </c>
      <c r="E6589" s="27" t="s">
        <v>11</v>
      </c>
      <c r="F6589" s="29"/>
      <c r="G6589" s="30">
        <f t="shared" si="122"/>
        <v>151.33111111111111</v>
      </c>
    </row>
    <row r="6590" spans="1:7" hidden="1" x14ac:dyDescent="0.25">
      <c r="A6590" s="28">
        <v>44075</v>
      </c>
      <c r="B6590" s="27" t="s">
        <v>200</v>
      </c>
      <c r="C6590" s="27" t="s">
        <v>183</v>
      </c>
      <c r="D6590" s="27" t="s">
        <v>7</v>
      </c>
      <c r="E6590" s="27" t="s">
        <v>12</v>
      </c>
      <c r="F6590" s="29"/>
      <c r="G6590" s="30">
        <f t="shared" si="122"/>
        <v>151.33111111111111</v>
      </c>
    </row>
    <row r="6591" spans="1:7" hidden="1" x14ac:dyDescent="0.25">
      <c r="A6591" s="28">
        <v>44075</v>
      </c>
      <c r="B6591" s="27" t="s">
        <v>200</v>
      </c>
      <c r="C6591" s="27" t="s">
        <v>183</v>
      </c>
      <c r="D6591" s="27" t="s">
        <v>7</v>
      </c>
      <c r="E6591" s="27" t="s">
        <v>13</v>
      </c>
      <c r="F6591" s="29"/>
      <c r="G6591" s="30">
        <f t="shared" si="122"/>
        <v>151.33111111111111</v>
      </c>
    </row>
    <row r="6592" spans="1:7" hidden="1" x14ac:dyDescent="0.25">
      <c r="A6592" s="28">
        <v>44075</v>
      </c>
      <c r="B6592" s="27" t="s">
        <v>200</v>
      </c>
      <c r="C6592" s="27" t="s">
        <v>183</v>
      </c>
      <c r="D6592" s="27" t="s">
        <v>7</v>
      </c>
      <c r="E6592" s="27" t="s">
        <v>14</v>
      </c>
      <c r="F6592" s="29"/>
      <c r="G6592" s="30">
        <f t="shared" si="122"/>
        <v>151.33111111111111</v>
      </c>
    </row>
    <row r="6593" spans="1:7" hidden="1" x14ac:dyDescent="0.25">
      <c r="A6593" s="28">
        <v>44075</v>
      </c>
      <c r="B6593" s="27" t="s">
        <v>200</v>
      </c>
      <c r="C6593" s="27" t="s">
        <v>183</v>
      </c>
      <c r="D6593" s="27" t="s">
        <v>7</v>
      </c>
      <c r="E6593" s="27" t="s">
        <v>15</v>
      </c>
      <c r="F6593" s="29"/>
      <c r="G6593" s="30">
        <f t="shared" si="122"/>
        <v>151.33111111111111</v>
      </c>
    </row>
    <row r="6594" spans="1:7" hidden="1" x14ac:dyDescent="0.25">
      <c r="A6594" s="28">
        <v>44075</v>
      </c>
      <c r="B6594" s="27" t="s">
        <v>200</v>
      </c>
      <c r="C6594" s="27" t="s">
        <v>183</v>
      </c>
      <c r="D6594" s="27" t="s">
        <v>7</v>
      </c>
      <c r="E6594" s="27" t="s">
        <v>16</v>
      </c>
      <c r="F6594" s="29"/>
      <c r="G6594" s="30">
        <f t="shared" si="122"/>
        <v>151.33111111111111</v>
      </c>
    </row>
    <row r="6595" spans="1:7" hidden="1" x14ac:dyDescent="0.25">
      <c r="A6595" s="28">
        <v>44075</v>
      </c>
      <c r="B6595" s="27" t="s">
        <v>200</v>
      </c>
      <c r="C6595" s="27" t="s">
        <v>183</v>
      </c>
      <c r="D6595" s="27" t="s">
        <v>7</v>
      </c>
      <c r="E6595" s="27" t="s">
        <v>17</v>
      </c>
      <c r="F6595" s="29"/>
      <c r="G6595" s="30">
        <f t="shared" si="122"/>
        <v>151.33111111111111</v>
      </c>
    </row>
    <row r="6596" spans="1:7" hidden="1" x14ac:dyDescent="0.25">
      <c r="A6596" s="28">
        <v>44075</v>
      </c>
      <c r="B6596" s="27" t="s">
        <v>200</v>
      </c>
      <c r="C6596" s="27" t="s">
        <v>183</v>
      </c>
      <c r="D6596" s="27" t="s">
        <v>7</v>
      </c>
      <c r="E6596" s="27" t="s">
        <v>18</v>
      </c>
      <c r="F6596" s="29"/>
      <c r="G6596" s="30">
        <f t="shared" si="122"/>
        <v>151.33111111111111</v>
      </c>
    </row>
    <row r="6597" spans="1:7" hidden="1" x14ac:dyDescent="0.25">
      <c r="A6597" s="28">
        <v>44075</v>
      </c>
      <c r="B6597" s="27" t="s">
        <v>200</v>
      </c>
      <c r="C6597" s="27" t="s">
        <v>183</v>
      </c>
      <c r="D6597" s="27" t="s">
        <v>7</v>
      </c>
      <c r="E6597" s="27" t="s">
        <v>19</v>
      </c>
      <c r="F6597" s="29"/>
      <c r="G6597" s="30">
        <f t="shared" si="122"/>
        <v>151.33111111111111</v>
      </c>
    </row>
    <row r="6598" spans="1:7" hidden="1" x14ac:dyDescent="0.25">
      <c r="A6598" s="28">
        <v>44075</v>
      </c>
      <c r="B6598" s="27" t="s">
        <v>200</v>
      </c>
      <c r="C6598" s="27" t="s">
        <v>183</v>
      </c>
      <c r="D6598" s="27" t="s">
        <v>7</v>
      </c>
      <c r="E6598" s="27" t="s">
        <v>20</v>
      </c>
      <c r="F6598" s="29"/>
      <c r="G6598" s="30">
        <f t="shared" si="122"/>
        <v>151.33111111111111</v>
      </c>
    </row>
    <row r="6599" spans="1:7" hidden="1" x14ac:dyDescent="0.25">
      <c r="A6599" s="28">
        <v>44075</v>
      </c>
      <c r="B6599" s="27" t="s">
        <v>200</v>
      </c>
      <c r="C6599" s="27" t="s">
        <v>183</v>
      </c>
      <c r="D6599" s="27" t="s">
        <v>7</v>
      </c>
      <c r="E6599" s="27" t="s">
        <v>38</v>
      </c>
      <c r="F6599" s="29"/>
      <c r="G6599" s="30">
        <f t="shared" si="122"/>
        <v>151.33111111111111</v>
      </c>
    </row>
    <row r="6600" spans="1:7" hidden="1" x14ac:dyDescent="0.25">
      <c r="A6600" s="28">
        <v>44075</v>
      </c>
      <c r="B6600" s="27" t="s">
        <v>200</v>
      </c>
      <c r="C6600" s="27" t="s">
        <v>183</v>
      </c>
      <c r="D6600" s="27" t="s">
        <v>7</v>
      </c>
      <c r="E6600" s="27" t="s">
        <v>23</v>
      </c>
      <c r="F6600" s="29"/>
      <c r="G6600" s="30">
        <f t="shared" si="122"/>
        <v>151.33111111111111</v>
      </c>
    </row>
    <row r="6601" spans="1:7" hidden="1" x14ac:dyDescent="0.25">
      <c r="A6601" s="28">
        <v>44075</v>
      </c>
      <c r="B6601" s="27" t="s">
        <v>200</v>
      </c>
      <c r="C6601" s="27" t="s">
        <v>183</v>
      </c>
      <c r="D6601" s="27" t="s">
        <v>7</v>
      </c>
      <c r="E6601" s="27" t="s">
        <v>37</v>
      </c>
      <c r="F6601" s="29"/>
      <c r="G6601" s="30">
        <f t="shared" si="122"/>
        <v>151.33111111111111</v>
      </c>
    </row>
    <row r="6602" spans="1:7" hidden="1" x14ac:dyDescent="0.25">
      <c r="A6602" s="28">
        <v>44075</v>
      </c>
      <c r="B6602" s="27" t="s">
        <v>200</v>
      </c>
      <c r="C6602" s="27" t="s">
        <v>56</v>
      </c>
      <c r="D6602" s="27" t="s">
        <v>6</v>
      </c>
      <c r="E6602" s="27" t="s">
        <v>8</v>
      </c>
      <c r="F6602" s="29"/>
      <c r="G6602" s="30">
        <f t="shared" ref="G6602:G6619" si="123">34267.3368444444/18</f>
        <v>1903.7409358024665</v>
      </c>
    </row>
    <row r="6603" spans="1:7" hidden="1" x14ac:dyDescent="0.25">
      <c r="A6603" s="28">
        <v>44075</v>
      </c>
      <c r="B6603" s="27" t="s">
        <v>200</v>
      </c>
      <c r="C6603" s="27" t="s">
        <v>56</v>
      </c>
      <c r="D6603" s="27" t="s">
        <v>6</v>
      </c>
      <c r="E6603" s="27" t="s">
        <v>9</v>
      </c>
      <c r="F6603" s="29"/>
      <c r="G6603" s="30">
        <f t="shared" si="123"/>
        <v>1903.7409358024665</v>
      </c>
    </row>
    <row r="6604" spans="1:7" hidden="1" x14ac:dyDescent="0.25">
      <c r="A6604" s="28">
        <v>44075</v>
      </c>
      <c r="B6604" s="27" t="s">
        <v>200</v>
      </c>
      <c r="C6604" s="27" t="s">
        <v>56</v>
      </c>
      <c r="D6604" s="27" t="s">
        <v>6</v>
      </c>
      <c r="E6604" s="27" t="s">
        <v>22</v>
      </c>
      <c r="F6604" s="29"/>
      <c r="G6604" s="30">
        <f t="shared" si="123"/>
        <v>1903.7409358024665</v>
      </c>
    </row>
    <row r="6605" spans="1:7" hidden="1" x14ac:dyDescent="0.25">
      <c r="A6605" s="28">
        <v>44075</v>
      </c>
      <c r="B6605" s="27" t="s">
        <v>200</v>
      </c>
      <c r="C6605" s="27" t="s">
        <v>56</v>
      </c>
      <c r="D6605" s="27" t="s">
        <v>6</v>
      </c>
      <c r="E6605" s="27" t="s">
        <v>64</v>
      </c>
      <c r="F6605" s="29"/>
      <c r="G6605" s="30">
        <f t="shared" si="123"/>
        <v>1903.7409358024665</v>
      </c>
    </row>
    <row r="6606" spans="1:7" hidden="1" x14ac:dyDescent="0.25">
      <c r="A6606" s="28">
        <v>44075</v>
      </c>
      <c r="B6606" s="27" t="s">
        <v>200</v>
      </c>
      <c r="C6606" s="27" t="s">
        <v>56</v>
      </c>
      <c r="D6606" s="27" t="s">
        <v>6</v>
      </c>
      <c r="E6606" s="27" t="s">
        <v>21</v>
      </c>
      <c r="F6606" s="29"/>
      <c r="G6606" s="30">
        <f t="shared" si="123"/>
        <v>1903.7409358024665</v>
      </c>
    </row>
    <row r="6607" spans="1:7" hidden="1" x14ac:dyDescent="0.25">
      <c r="A6607" s="28">
        <v>44075</v>
      </c>
      <c r="B6607" s="27" t="s">
        <v>200</v>
      </c>
      <c r="C6607" s="27" t="s">
        <v>56</v>
      </c>
      <c r="D6607" s="27" t="s">
        <v>6</v>
      </c>
      <c r="E6607" s="27" t="s">
        <v>10</v>
      </c>
      <c r="F6607" s="29"/>
      <c r="G6607" s="30">
        <f t="shared" si="123"/>
        <v>1903.7409358024665</v>
      </c>
    </row>
    <row r="6608" spans="1:7" hidden="1" x14ac:dyDescent="0.25">
      <c r="A6608" s="28">
        <v>44075</v>
      </c>
      <c r="B6608" s="27" t="s">
        <v>200</v>
      </c>
      <c r="C6608" s="27" t="s">
        <v>56</v>
      </c>
      <c r="D6608" s="27" t="s">
        <v>6</v>
      </c>
      <c r="E6608" s="27" t="s">
        <v>11</v>
      </c>
      <c r="F6608" s="29"/>
      <c r="G6608" s="30">
        <f t="shared" si="123"/>
        <v>1903.7409358024665</v>
      </c>
    </row>
    <row r="6609" spans="1:7" hidden="1" x14ac:dyDescent="0.25">
      <c r="A6609" s="28">
        <v>44075</v>
      </c>
      <c r="B6609" s="27" t="s">
        <v>200</v>
      </c>
      <c r="C6609" s="27" t="s">
        <v>56</v>
      </c>
      <c r="D6609" s="27" t="s">
        <v>6</v>
      </c>
      <c r="E6609" s="27" t="s">
        <v>12</v>
      </c>
      <c r="F6609" s="29"/>
      <c r="G6609" s="30">
        <f t="shared" si="123"/>
        <v>1903.7409358024665</v>
      </c>
    </row>
    <row r="6610" spans="1:7" hidden="1" x14ac:dyDescent="0.25">
      <c r="A6610" s="28">
        <v>44075</v>
      </c>
      <c r="B6610" s="27" t="s">
        <v>200</v>
      </c>
      <c r="C6610" s="27" t="s">
        <v>56</v>
      </c>
      <c r="D6610" s="27" t="s">
        <v>6</v>
      </c>
      <c r="E6610" s="27" t="s">
        <v>13</v>
      </c>
      <c r="F6610" s="29"/>
      <c r="G6610" s="30">
        <f t="shared" si="123"/>
        <v>1903.7409358024665</v>
      </c>
    </row>
    <row r="6611" spans="1:7" hidden="1" x14ac:dyDescent="0.25">
      <c r="A6611" s="28">
        <v>44075</v>
      </c>
      <c r="B6611" s="27" t="s">
        <v>200</v>
      </c>
      <c r="C6611" s="27" t="s">
        <v>56</v>
      </c>
      <c r="D6611" s="27" t="s">
        <v>6</v>
      </c>
      <c r="E6611" s="27" t="s">
        <v>14</v>
      </c>
      <c r="F6611" s="29"/>
      <c r="G6611" s="30">
        <f t="shared" si="123"/>
        <v>1903.7409358024665</v>
      </c>
    </row>
    <row r="6612" spans="1:7" hidden="1" x14ac:dyDescent="0.25">
      <c r="A6612" s="28">
        <v>44075</v>
      </c>
      <c r="B6612" s="27" t="s">
        <v>200</v>
      </c>
      <c r="C6612" s="27" t="s">
        <v>56</v>
      </c>
      <c r="D6612" s="27" t="s">
        <v>6</v>
      </c>
      <c r="E6612" s="27" t="s">
        <v>15</v>
      </c>
      <c r="F6612" s="29"/>
      <c r="G6612" s="30">
        <f t="shared" si="123"/>
        <v>1903.7409358024665</v>
      </c>
    </row>
    <row r="6613" spans="1:7" hidden="1" x14ac:dyDescent="0.25">
      <c r="A6613" s="28">
        <v>44075</v>
      </c>
      <c r="B6613" s="27" t="s">
        <v>200</v>
      </c>
      <c r="C6613" s="27" t="s">
        <v>56</v>
      </c>
      <c r="D6613" s="27" t="s">
        <v>6</v>
      </c>
      <c r="E6613" s="27" t="s">
        <v>16</v>
      </c>
      <c r="F6613" s="29"/>
      <c r="G6613" s="30">
        <f t="shared" si="123"/>
        <v>1903.7409358024665</v>
      </c>
    </row>
    <row r="6614" spans="1:7" hidden="1" x14ac:dyDescent="0.25">
      <c r="A6614" s="28">
        <v>44075</v>
      </c>
      <c r="B6614" s="27" t="s">
        <v>200</v>
      </c>
      <c r="C6614" s="27" t="s">
        <v>56</v>
      </c>
      <c r="D6614" s="27" t="s">
        <v>6</v>
      </c>
      <c r="E6614" s="27" t="s">
        <v>17</v>
      </c>
      <c r="F6614" s="29"/>
      <c r="G6614" s="30">
        <f t="shared" si="123"/>
        <v>1903.7409358024665</v>
      </c>
    </row>
    <row r="6615" spans="1:7" hidden="1" x14ac:dyDescent="0.25">
      <c r="A6615" s="28">
        <v>44075</v>
      </c>
      <c r="B6615" s="27" t="s">
        <v>200</v>
      </c>
      <c r="C6615" s="27" t="s">
        <v>56</v>
      </c>
      <c r="D6615" s="27" t="s">
        <v>6</v>
      </c>
      <c r="E6615" s="27" t="s">
        <v>18</v>
      </c>
      <c r="F6615" s="29"/>
      <c r="G6615" s="30">
        <f t="shared" si="123"/>
        <v>1903.7409358024665</v>
      </c>
    </row>
    <row r="6616" spans="1:7" hidden="1" x14ac:dyDescent="0.25">
      <c r="A6616" s="28">
        <v>44075</v>
      </c>
      <c r="B6616" s="27" t="s">
        <v>200</v>
      </c>
      <c r="C6616" s="27" t="s">
        <v>56</v>
      </c>
      <c r="D6616" s="27" t="s">
        <v>6</v>
      </c>
      <c r="E6616" s="27" t="s">
        <v>19</v>
      </c>
      <c r="F6616" s="29"/>
      <c r="G6616" s="30">
        <f t="shared" si="123"/>
        <v>1903.7409358024665</v>
      </c>
    </row>
    <row r="6617" spans="1:7" hidden="1" x14ac:dyDescent="0.25">
      <c r="A6617" s="28">
        <v>44075</v>
      </c>
      <c r="B6617" s="27" t="s">
        <v>200</v>
      </c>
      <c r="C6617" s="27" t="s">
        <v>56</v>
      </c>
      <c r="D6617" s="27" t="s">
        <v>6</v>
      </c>
      <c r="E6617" s="27" t="s">
        <v>20</v>
      </c>
      <c r="F6617" s="29"/>
      <c r="G6617" s="30">
        <f t="shared" si="123"/>
        <v>1903.7409358024665</v>
      </c>
    </row>
    <row r="6618" spans="1:7" hidden="1" x14ac:dyDescent="0.25">
      <c r="A6618" s="28">
        <v>44075</v>
      </c>
      <c r="B6618" s="27" t="s">
        <v>200</v>
      </c>
      <c r="C6618" s="27" t="s">
        <v>56</v>
      </c>
      <c r="D6618" s="27" t="s">
        <v>6</v>
      </c>
      <c r="E6618" s="27" t="s">
        <v>38</v>
      </c>
      <c r="F6618" s="29"/>
      <c r="G6618" s="30">
        <f t="shared" si="123"/>
        <v>1903.7409358024665</v>
      </c>
    </row>
    <row r="6619" spans="1:7" hidden="1" x14ac:dyDescent="0.25">
      <c r="A6619" s="28">
        <v>44075</v>
      </c>
      <c r="B6619" s="27" t="s">
        <v>200</v>
      </c>
      <c r="C6619" s="27" t="s">
        <v>56</v>
      </c>
      <c r="D6619" s="27" t="s">
        <v>6</v>
      </c>
      <c r="E6619" s="27" t="s">
        <v>23</v>
      </c>
      <c r="F6619" s="29"/>
      <c r="G6619" s="30">
        <f t="shared" si="123"/>
        <v>1903.7409358024665</v>
      </c>
    </row>
    <row r="6620" spans="1:7" hidden="1" x14ac:dyDescent="0.25">
      <c r="A6620" s="28">
        <v>44075</v>
      </c>
      <c r="B6620" s="27" t="s">
        <v>200</v>
      </c>
      <c r="C6620" s="27" t="s">
        <v>182</v>
      </c>
      <c r="D6620" s="27" t="s">
        <v>7</v>
      </c>
      <c r="E6620" s="27" t="s">
        <v>8</v>
      </c>
      <c r="F6620" s="29"/>
      <c r="G6620" s="30">
        <f t="shared" ref="G6620:G6637" si="124">2552.62/18</f>
        <v>141.8122222222222</v>
      </c>
    </row>
    <row r="6621" spans="1:7" hidden="1" x14ac:dyDescent="0.25">
      <c r="A6621" s="28">
        <v>44075</v>
      </c>
      <c r="B6621" s="27" t="s">
        <v>200</v>
      </c>
      <c r="C6621" s="27" t="s">
        <v>182</v>
      </c>
      <c r="D6621" s="27" t="s">
        <v>7</v>
      </c>
      <c r="E6621" s="27" t="s">
        <v>9</v>
      </c>
      <c r="F6621" s="29"/>
      <c r="G6621" s="30">
        <f t="shared" si="124"/>
        <v>141.8122222222222</v>
      </c>
    </row>
    <row r="6622" spans="1:7" hidden="1" x14ac:dyDescent="0.25">
      <c r="A6622" s="28">
        <v>44075</v>
      </c>
      <c r="B6622" s="27" t="s">
        <v>200</v>
      </c>
      <c r="C6622" s="27" t="s">
        <v>182</v>
      </c>
      <c r="D6622" s="27" t="s">
        <v>7</v>
      </c>
      <c r="E6622" s="27" t="s">
        <v>22</v>
      </c>
      <c r="F6622" s="29"/>
      <c r="G6622" s="30">
        <f t="shared" si="124"/>
        <v>141.8122222222222</v>
      </c>
    </row>
    <row r="6623" spans="1:7" hidden="1" x14ac:dyDescent="0.25">
      <c r="A6623" s="28">
        <v>44075</v>
      </c>
      <c r="B6623" s="27" t="s">
        <v>200</v>
      </c>
      <c r="C6623" s="27" t="s">
        <v>182</v>
      </c>
      <c r="D6623" s="27" t="s">
        <v>7</v>
      </c>
      <c r="E6623" s="27" t="s">
        <v>64</v>
      </c>
      <c r="F6623" s="29"/>
      <c r="G6623" s="30">
        <f t="shared" si="124"/>
        <v>141.8122222222222</v>
      </c>
    </row>
    <row r="6624" spans="1:7" hidden="1" x14ac:dyDescent="0.25">
      <c r="A6624" s="28">
        <v>44075</v>
      </c>
      <c r="B6624" s="27" t="s">
        <v>200</v>
      </c>
      <c r="C6624" s="27" t="s">
        <v>182</v>
      </c>
      <c r="D6624" s="27" t="s">
        <v>7</v>
      </c>
      <c r="E6624" s="27" t="s">
        <v>10</v>
      </c>
      <c r="F6624" s="29"/>
      <c r="G6624" s="30">
        <f t="shared" si="124"/>
        <v>141.8122222222222</v>
      </c>
    </row>
    <row r="6625" spans="1:7" hidden="1" x14ac:dyDescent="0.25">
      <c r="A6625" s="28">
        <v>44075</v>
      </c>
      <c r="B6625" s="27" t="s">
        <v>200</v>
      </c>
      <c r="C6625" s="27" t="s">
        <v>182</v>
      </c>
      <c r="D6625" s="27" t="s">
        <v>7</v>
      </c>
      <c r="E6625" s="27" t="s">
        <v>11</v>
      </c>
      <c r="F6625" s="29"/>
      <c r="G6625" s="30">
        <f t="shared" si="124"/>
        <v>141.8122222222222</v>
      </c>
    </row>
    <row r="6626" spans="1:7" hidden="1" x14ac:dyDescent="0.25">
      <c r="A6626" s="28">
        <v>44075</v>
      </c>
      <c r="B6626" s="27" t="s">
        <v>200</v>
      </c>
      <c r="C6626" s="27" t="s">
        <v>182</v>
      </c>
      <c r="D6626" s="27" t="s">
        <v>7</v>
      </c>
      <c r="E6626" s="27" t="s">
        <v>12</v>
      </c>
      <c r="F6626" s="29"/>
      <c r="G6626" s="30">
        <f t="shared" si="124"/>
        <v>141.8122222222222</v>
      </c>
    </row>
    <row r="6627" spans="1:7" hidden="1" x14ac:dyDescent="0.25">
      <c r="A6627" s="28">
        <v>44075</v>
      </c>
      <c r="B6627" s="27" t="s">
        <v>200</v>
      </c>
      <c r="C6627" s="27" t="s">
        <v>182</v>
      </c>
      <c r="D6627" s="27" t="s">
        <v>7</v>
      </c>
      <c r="E6627" s="27" t="s">
        <v>13</v>
      </c>
      <c r="F6627" s="29"/>
      <c r="G6627" s="30">
        <f t="shared" si="124"/>
        <v>141.8122222222222</v>
      </c>
    </row>
    <row r="6628" spans="1:7" hidden="1" x14ac:dyDescent="0.25">
      <c r="A6628" s="28">
        <v>44075</v>
      </c>
      <c r="B6628" s="27" t="s">
        <v>200</v>
      </c>
      <c r="C6628" s="27" t="s">
        <v>182</v>
      </c>
      <c r="D6628" s="27" t="s">
        <v>7</v>
      </c>
      <c r="E6628" s="27" t="s">
        <v>14</v>
      </c>
      <c r="F6628" s="29"/>
      <c r="G6628" s="30">
        <f t="shared" si="124"/>
        <v>141.8122222222222</v>
      </c>
    </row>
    <row r="6629" spans="1:7" hidden="1" x14ac:dyDescent="0.25">
      <c r="A6629" s="28">
        <v>44075</v>
      </c>
      <c r="B6629" s="27" t="s">
        <v>200</v>
      </c>
      <c r="C6629" s="27" t="s">
        <v>182</v>
      </c>
      <c r="D6629" s="27" t="s">
        <v>7</v>
      </c>
      <c r="E6629" s="27" t="s">
        <v>15</v>
      </c>
      <c r="F6629" s="29"/>
      <c r="G6629" s="30">
        <f t="shared" si="124"/>
        <v>141.8122222222222</v>
      </c>
    </row>
    <row r="6630" spans="1:7" hidden="1" x14ac:dyDescent="0.25">
      <c r="A6630" s="28">
        <v>44075</v>
      </c>
      <c r="B6630" s="27" t="s">
        <v>200</v>
      </c>
      <c r="C6630" s="27" t="s">
        <v>182</v>
      </c>
      <c r="D6630" s="27" t="s">
        <v>7</v>
      </c>
      <c r="E6630" s="27" t="s">
        <v>16</v>
      </c>
      <c r="F6630" s="29"/>
      <c r="G6630" s="30">
        <f t="shared" si="124"/>
        <v>141.8122222222222</v>
      </c>
    </row>
    <row r="6631" spans="1:7" hidden="1" x14ac:dyDescent="0.25">
      <c r="A6631" s="28">
        <v>44075</v>
      </c>
      <c r="B6631" s="27" t="s">
        <v>200</v>
      </c>
      <c r="C6631" s="27" t="s">
        <v>182</v>
      </c>
      <c r="D6631" s="27" t="s">
        <v>7</v>
      </c>
      <c r="E6631" s="27" t="s">
        <v>17</v>
      </c>
      <c r="F6631" s="29"/>
      <c r="G6631" s="30">
        <f t="shared" si="124"/>
        <v>141.8122222222222</v>
      </c>
    </row>
    <row r="6632" spans="1:7" hidden="1" x14ac:dyDescent="0.25">
      <c r="A6632" s="28">
        <v>44075</v>
      </c>
      <c r="B6632" s="27" t="s">
        <v>200</v>
      </c>
      <c r="C6632" s="27" t="s">
        <v>182</v>
      </c>
      <c r="D6632" s="27" t="s">
        <v>7</v>
      </c>
      <c r="E6632" s="27" t="s">
        <v>18</v>
      </c>
      <c r="F6632" s="29"/>
      <c r="G6632" s="30">
        <f t="shared" si="124"/>
        <v>141.8122222222222</v>
      </c>
    </row>
    <row r="6633" spans="1:7" hidden="1" x14ac:dyDescent="0.25">
      <c r="A6633" s="28">
        <v>44075</v>
      </c>
      <c r="B6633" s="27" t="s">
        <v>200</v>
      </c>
      <c r="C6633" s="27" t="s">
        <v>182</v>
      </c>
      <c r="D6633" s="27" t="s">
        <v>7</v>
      </c>
      <c r="E6633" s="27" t="s">
        <v>19</v>
      </c>
      <c r="F6633" s="29"/>
      <c r="G6633" s="30">
        <f t="shared" si="124"/>
        <v>141.8122222222222</v>
      </c>
    </row>
    <row r="6634" spans="1:7" hidden="1" x14ac:dyDescent="0.25">
      <c r="A6634" s="28">
        <v>44075</v>
      </c>
      <c r="B6634" s="27" t="s">
        <v>200</v>
      </c>
      <c r="C6634" s="27" t="s">
        <v>182</v>
      </c>
      <c r="D6634" s="27" t="s">
        <v>7</v>
      </c>
      <c r="E6634" s="27" t="s">
        <v>20</v>
      </c>
      <c r="F6634" s="29"/>
      <c r="G6634" s="30">
        <f t="shared" si="124"/>
        <v>141.8122222222222</v>
      </c>
    </row>
    <row r="6635" spans="1:7" hidden="1" x14ac:dyDescent="0.25">
      <c r="A6635" s="28">
        <v>44075</v>
      </c>
      <c r="B6635" s="27" t="s">
        <v>200</v>
      </c>
      <c r="C6635" s="27" t="s">
        <v>182</v>
      </c>
      <c r="D6635" s="27" t="s">
        <v>7</v>
      </c>
      <c r="E6635" s="27" t="s">
        <v>38</v>
      </c>
      <c r="F6635" s="29"/>
      <c r="G6635" s="30">
        <f t="shared" si="124"/>
        <v>141.8122222222222</v>
      </c>
    </row>
    <row r="6636" spans="1:7" hidden="1" x14ac:dyDescent="0.25">
      <c r="A6636" s="28">
        <v>44075</v>
      </c>
      <c r="B6636" s="27" t="s">
        <v>200</v>
      </c>
      <c r="C6636" s="27" t="s">
        <v>182</v>
      </c>
      <c r="D6636" s="27" t="s">
        <v>7</v>
      </c>
      <c r="E6636" s="27" t="s">
        <v>23</v>
      </c>
      <c r="F6636" s="29"/>
      <c r="G6636" s="30">
        <f t="shared" si="124"/>
        <v>141.8122222222222</v>
      </c>
    </row>
    <row r="6637" spans="1:7" hidden="1" x14ac:dyDescent="0.25">
      <c r="A6637" s="28">
        <v>44075</v>
      </c>
      <c r="B6637" s="27" t="s">
        <v>200</v>
      </c>
      <c r="C6637" s="27" t="s">
        <v>182</v>
      </c>
      <c r="D6637" s="27" t="s">
        <v>7</v>
      </c>
      <c r="E6637" s="27" t="s">
        <v>37</v>
      </c>
      <c r="F6637" s="29"/>
      <c r="G6637" s="30">
        <f t="shared" si="124"/>
        <v>141.8122222222222</v>
      </c>
    </row>
    <row r="6638" spans="1:7" hidden="1" x14ac:dyDescent="0.25">
      <c r="A6638" s="28">
        <v>44075</v>
      </c>
      <c r="B6638" s="27" t="s">
        <v>35</v>
      </c>
      <c r="C6638" s="27" t="s">
        <v>50</v>
      </c>
      <c r="D6638" s="27" t="s">
        <v>6</v>
      </c>
      <c r="E6638" s="27" t="s">
        <v>8</v>
      </c>
      <c r="F6638" s="29"/>
      <c r="G6638" s="30">
        <v>737.22944444444443</v>
      </c>
    </row>
    <row r="6639" spans="1:7" hidden="1" x14ac:dyDescent="0.25">
      <c r="A6639" s="28">
        <v>44075</v>
      </c>
      <c r="B6639" s="27" t="s">
        <v>35</v>
      </c>
      <c r="C6639" s="27" t="s">
        <v>50</v>
      </c>
      <c r="D6639" s="27" t="s">
        <v>6</v>
      </c>
      <c r="E6639" s="27" t="s">
        <v>9</v>
      </c>
      <c r="F6639" s="29"/>
      <c r="G6639" s="30">
        <v>737.22944444444443</v>
      </c>
    </row>
    <row r="6640" spans="1:7" hidden="1" x14ac:dyDescent="0.25">
      <c r="A6640" s="28">
        <v>44075</v>
      </c>
      <c r="B6640" s="27" t="s">
        <v>35</v>
      </c>
      <c r="C6640" s="27" t="s">
        <v>50</v>
      </c>
      <c r="D6640" s="27" t="s">
        <v>6</v>
      </c>
      <c r="E6640" s="27" t="s">
        <v>22</v>
      </c>
      <c r="F6640" s="29"/>
      <c r="G6640" s="30">
        <v>737.22944444444443</v>
      </c>
    </row>
    <row r="6641" spans="1:7" hidden="1" x14ac:dyDescent="0.25">
      <c r="A6641" s="28">
        <v>44075</v>
      </c>
      <c r="B6641" s="27" t="s">
        <v>35</v>
      </c>
      <c r="C6641" s="27" t="s">
        <v>50</v>
      </c>
      <c r="D6641" s="27" t="s">
        <v>6</v>
      </c>
      <c r="E6641" s="27" t="s">
        <v>64</v>
      </c>
      <c r="F6641" s="29"/>
      <c r="G6641" s="30">
        <v>737.22944444444443</v>
      </c>
    </row>
    <row r="6642" spans="1:7" hidden="1" x14ac:dyDescent="0.25">
      <c r="A6642" s="28">
        <v>44075</v>
      </c>
      <c r="B6642" s="27" t="s">
        <v>35</v>
      </c>
      <c r="C6642" s="27" t="s">
        <v>50</v>
      </c>
      <c r="D6642" s="27" t="s">
        <v>6</v>
      </c>
      <c r="E6642" s="27" t="s">
        <v>21</v>
      </c>
      <c r="F6642" s="29"/>
      <c r="G6642" s="30">
        <v>737.22944444444443</v>
      </c>
    </row>
    <row r="6643" spans="1:7" hidden="1" x14ac:dyDescent="0.25">
      <c r="A6643" s="28">
        <v>44075</v>
      </c>
      <c r="B6643" s="27" t="s">
        <v>35</v>
      </c>
      <c r="C6643" s="27" t="s">
        <v>50</v>
      </c>
      <c r="D6643" s="27" t="s">
        <v>6</v>
      </c>
      <c r="E6643" s="27" t="s">
        <v>10</v>
      </c>
      <c r="F6643" s="29"/>
      <c r="G6643" s="30">
        <v>737.22944444444443</v>
      </c>
    </row>
    <row r="6644" spans="1:7" hidden="1" x14ac:dyDescent="0.25">
      <c r="A6644" s="28">
        <v>44075</v>
      </c>
      <c r="B6644" s="27" t="s">
        <v>35</v>
      </c>
      <c r="C6644" s="27" t="s">
        <v>50</v>
      </c>
      <c r="D6644" s="27" t="s">
        <v>6</v>
      </c>
      <c r="E6644" s="27" t="s">
        <v>11</v>
      </c>
      <c r="F6644" s="29"/>
      <c r="G6644" s="30">
        <v>737.22944444444443</v>
      </c>
    </row>
    <row r="6645" spans="1:7" hidden="1" x14ac:dyDescent="0.25">
      <c r="A6645" s="28">
        <v>44075</v>
      </c>
      <c r="B6645" s="27" t="s">
        <v>35</v>
      </c>
      <c r="C6645" s="27" t="s">
        <v>50</v>
      </c>
      <c r="D6645" s="27" t="s">
        <v>6</v>
      </c>
      <c r="E6645" s="27" t="s">
        <v>12</v>
      </c>
      <c r="F6645" s="29"/>
      <c r="G6645" s="30">
        <v>737.22944444444443</v>
      </c>
    </row>
    <row r="6646" spans="1:7" hidden="1" x14ac:dyDescent="0.25">
      <c r="A6646" s="28">
        <v>44075</v>
      </c>
      <c r="B6646" s="27" t="s">
        <v>35</v>
      </c>
      <c r="C6646" s="27" t="s">
        <v>50</v>
      </c>
      <c r="D6646" s="27" t="s">
        <v>6</v>
      </c>
      <c r="E6646" s="27" t="s">
        <v>13</v>
      </c>
      <c r="F6646" s="29"/>
      <c r="G6646" s="30">
        <v>737.22944444444443</v>
      </c>
    </row>
    <row r="6647" spans="1:7" hidden="1" x14ac:dyDescent="0.25">
      <c r="A6647" s="28">
        <v>44075</v>
      </c>
      <c r="B6647" s="27" t="s">
        <v>35</v>
      </c>
      <c r="C6647" s="27" t="s">
        <v>50</v>
      </c>
      <c r="D6647" s="27" t="s">
        <v>6</v>
      </c>
      <c r="E6647" s="27" t="s">
        <v>14</v>
      </c>
      <c r="F6647" s="29"/>
      <c r="G6647" s="30">
        <v>737.22944444444443</v>
      </c>
    </row>
    <row r="6648" spans="1:7" hidden="1" x14ac:dyDescent="0.25">
      <c r="A6648" s="28">
        <v>44075</v>
      </c>
      <c r="B6648" s="27" t="s">
        <v>35</v>
      </c>
      <c r="C6648" s="27" t="s">
        <v>50</v>
      </c>
      <c r="D6648" s="27" t="s">
        <v>6</v>
      </c>
      <c r="E6648" s="27" t="s">
        <v>15</v>
      </c>
      <c r="F6648" s="29"/>
      <c r="G6648" s="30">
        <v>737.22944444444443</v>
      </c>
    </row>
    <row r="6649" spans="1:7" hidden="1" x14ac:dyDescent="0.25">
      <c r="A6649" s="28">
        <v>44075</v>
      </c>
      <c r="B6649" s="27" t="s">
        <v>35</v>
      </c>
      <c r="C6649" s="27" t="s">
        <v>50</v>
      </c>
      <c r="D6649" s="27" t="s">
        <v>6</v>
      </c>
      <c r="E6649" s="27" t="s">
        <v>16</v>
      </c>
      <c r="F6649" s="29"/>
      <c r="G6649" s="30">
        <v>737.22944444444443</v>
      </c>
    </row>
    <row r="6650" spans="1:7" hidden="1" x14ac:dyDescent="0.25">
      <c r="A6650" s="28">
        <v>44075</v>
      </c>
      <c r="B6650" s="27" t="s">
        <v>35</v>
      </c>
      <c r="C6650" s="27" t="s">
        <v>50</v>
      </c>
      <c r="D6650" s="27" t="s">
        <v>6</v>
      </c>
      <c r="E6650" s="27" t="s">
        <v>17</v>
      </c>
      <c r="F6650" s="29"/>
      <c r="G6650" s="30">
        <v>737.22944444444443</v>
      </c>
    </row>
    <row r="6651" spans="1:7" hidden="1" x14ac:dyDescent="0.25">
      <c r="A6651" s="28">
        <v>44075</v>
      </c>
      <c r="B6651" s="27" t="s">
        <v>35</v>
      </c>
      <c r="C6651" s="27" t="s">
        <v>50</v>
      </c>
      <c r="D6651" s="27" t="s">
        <v>6</v>
      </c>
      <c r="E6651" s="27" t="s">
        <v>18</v>
      </c>
      <c r="F6651" s="29"/>
      <c r="G6651" s="30">
        <v>737.22944444444443</v>
      </c>
    </row>
    <row r="6652" spans="1:7" hidden="1" x14ac:dyDescent="0.25">
      <c r="A6652" s="28">
        <v>44075</v>
      </c>
      <c r="B6652" s="27" t="s">
        <v>35</v>
      </c>
      <c r="C6652" s="27" t="s">
        <v>50</v>
      </c>
      <c r="D6652" s="27" t="s">
        <v>6</v>
      </c>
      <c r="E6652" s="27" t="s">
        <v>19</v>
      </c>
      <c r="F6652" s="29"/>
      <c r="G6652" s="30">
        <v>737.22944444444443</v>
      </c>
    </row>
    <row r="6653" spans="1:7" hidden="1" x14ac:dyDescent="0.25">
      <c r="A6653" s="28">
        <v>44075</v>
      </c>
      <c r="B6653" s="27" t="s">
        <v>35</v>
      </c>
      <c r="C6653" s="27" t="s">
        <v>50</v>
      </c>
      <c r="D6653" s="27" t="s">
        <v>6</v>
      </c>
      <c r="E6653" s="27" t="s">
        <v>20</v>
      </c>
      <c r="F6653" s="29"/>
      <c r="G6653" s="30">
        <v>737.22944444444443</v>
      </c>
    </row>
    <row r="6654" spans="1:7" hidden="1" x14ac:dyDescent="0.25">
      <c r="A6654" s="28">
        <v>44075</v>
      </c>
      <c r="B6654" s="27" t="s">
        <v>35</v>
      </c>
      <c r="C6654" s="27" t="s">
        <v>50</v>
      </c>
      <c r="D6654" s="27" t="s">
        <v>6</v>
      </c>
      <c r="E6654" s="27" t="s">
        <v>38</v>
      </c>
      <c r="F6654" s="29"/>
      <c r="G6654" s="30">
        <v>737.22944444444443</v>
      </c>
    </row>
    <row r="6655" spans="1:7" hidden="1" x14ac:dyDescent="0.25">
      <c r="A6655" s="28">
        <v>44075</v>
      </c>
      <c r="B6655" s="27" t="s">
        <v>35</v>
      </c>
      <c r="C6655" s="27" t="s">
        <v>50</v>
      </c>
      <c r="D6655" s="27" t="s">
        <v>6</v>
      </c>
      <c r="E6655" s="27" t="s">
        <v>23</v>
      </c>
      <c r="F6655" s="29"/>
      <c r="G6655" s="30">
        <v>737.22944444444443</v>
      </c>
    </row>
    <row r="6656" spans="1:7" hidden="1" x14ac:dyDescent="0.25">
      <c r="A6656" s="28">
        <v>44075</v>
      </c>
      <c r="B6656" s="27" t="s">
        <v>34</v>
      </c>
      <c r="C6656" s="27" t="s">
        <v>50</v>
      </c>
      <c r="D6656" s="27" t="s">
        <v>6</v>
      </c>
      <c r="E6656" s="27" t="s">
        <v>8</v>
      </c>
      <c r="F6656" s="29"/>
      <c r="G6656" s="30">
        <v>730.85299999999995</v>
      </c>
    </row>
    <row r="6657" spans="1:7" hidden="1" x14ac:dyDescent="0.25">
      <c r="A6657" s="28">
        <v>44075</v>
      </c>
      <c r="B6657" s="27" t="s">
        <v>34</v>
      </c>
      <c r="C6657" s="27" t="s">
        <v>50</v>
      </c>
      <c r="D6657" s="27" t="s">
        <v>6</v>
      </c>
      <c r="E6657" s="27" t="s">
        <v>9</v>
      </c>
      <c r="F6657" s="29"/>
      <c r="G6657" s="30">
        <v>809.49900000000002</v>
      </c>
    </row>
    <row r="6658" spans="1:7" hidden="1" x14ac:dyDescent="0.25">
      <c r="A6658" s="28">
        <v>44075</v>
      </c>
      <c r="B6658" s="27" t="s">
        <v>34</v>
      </c>
      <c r="C6658" s="27" t="s">
        <v>50</v>
      </c>
      <c r="D6658" s="27" t="s">
        <v>6</v>
      </c>
      <c r="E6658" s="27" t="s">
        <v>22</v>
      </c>
      <c r="F6658" s="29"/>
      <c r="G6658" s="30">
        <v>1078.788</v>
      </c>
    </row>
    <row r="6659" spans="1:7" hidden="1" x14ac:dyDescent="0.25">
      <c r="A6659" s="28">
        <v>44075</v>
      </c>
      <c r="B6659" s="27" t="s">
        <v>34</v>
      </c>
      <c r="C6659" s="27" t="s">
        <v>50</v>
      </c>
      <c r="D6659" s="27" t="s">
        <v>6</v>
      </c>
      <c r="E6659" s="27" t="s">
        <v>64</v>
      </c>
      <c r="F6659" s="29"/>
      <c r="G6659" s="30">
        <v>770.21699999999998</v>
      </c>
    </row>
    <row r="6660" spans="1:7" hidden="1" x14ac:dyDescent="0.25">
      <c r="A6660" s="28">
        <v>44075</v>
      </c>
      <c r="B6660" s="27" t="s">
        <v>34</v>
      </c>
      <c r="C6660" s="27" t="s">
        <v>50</v>
      </c>
      <c r="D6660" s="27" t="s">
        <v>6</v>
      </c>
      <c r="E6660" s="27" t="s">
        <v>21</v>
      </c>
      <c r="F6660" s="29"/>
      <c r="G6660" s="30">
        <v>777.58799999999997</v>
      </c>
    </row>
    <row r="6661" spans="1:7" hidden="1" x14ac:dyDescent="0.25">
      <c r="A6661" s="28">
        <v>44075</v>
      </c>
      <c r="B6661" s="27" t="s">
        <v>34</v>
      </c>
      <c r="C6661" s="27" t="s">
        <v>50</v>
      </c>
      <c r="D6661" s="27" t="s">
        <v>6</v>
      </c>
      <c r="E6661" s="27" t="s">
        <v>10</v>
      </c>
      <c r="F6661" s="29"/>
      <c r="G6661" s="30">
        <v>1036.6759999999999</v>
      </c>
    </row>
    <row r="6662" spans="1:7" hidden="1" x14ac:dyDescent="0.25">
      <c r="A6662" s="28">
        <v>44075</v>
      </c>
      <c r="B6662" s="27" t="s">
        <v>34</v>
      </c>
      <c r="C6662" s="27" t="s">
        <v>50</v>
      </c>
      <c r="D6662" s="27" t="s">
        <v>6</v>
      </c>
      <c r="E6662" s="27" t="s">
        <v>11</v>
      </c>
      <c r="F6662" s="29"/>
      <c r="G6662" s="30">
        <v>414.69799999999998</v>
      </c>
    </row>
    <row r="6663" spans="1:7" hidden="1" x14ac:dyDescent="0.25">
      <c r="A6663" s="28">
        <v>44075</v>
      </c>
      <c r="B6663" s="27" t="s">
        <v>34</v>
      </c>
      <c r="C6663" s="27" t="s">
        <v>50</v>
      </c>
      <c r="D6663" s="27" t="s">
        <v>6</v>
      </c>
      <c r="E6663" s="27" t="s">
        <v>12</v>
      </c>
      <c r="F6663" s="29"/>
      <c r="G6663" s="30">
        <v>455.96400000000006</v>
      </c>
    </row>
    <row r="6664" spans="1:7" hidden="1" x14ac:dyDescent="0.25">
      <c r="A6664" s="28">
        <v>44075</v>
      </c>
      <c r="B6664" s="27" t="s">
        <v>34</v>
      </c>
      <c r="C6664" s="27" t="s">
        <v>50</v>
      </c>
      <c r="D6664" s="27" t="s">
        <v>6</v>
      </c>
      <c r="E6664" s="27" t="s">
        <v>13</v>
      </c>
      <c r="F6664" s="29"/>
      <c r="G6664" s="30">
        <v>661.88400000000001</v>
      </c>
    </row>
    <row r="6665" spans="1:7" hidden="1" x14ac:dyDescent="0.25">
      <c r="A6665" s="28">
        <v>44075</v>
      </c>
      <c r="B6665" s="27" t="s">
        <v>34</v>
      </c>
      <c r="C6665" s="27" t="s">
        <v>50</v>
      </c>
      <c r="D6665" s="27" t="s">
        <v>6</v>
      </c>
      <c r="E6665" s="27" t="s">
        <v>14</v>
      </c>
      <c r="F6665" s="29"/>
      <c r="G6665" s="30">
        <v>191.779</v>
      </c>
    </row>
    <row r="6666" spans="1:7" hidden="1" x14ac:dyDescent="0.25">
      <c r="A6666" s="28">
        <v>44075</v>
      </c>
      <c r="B6666" s="27" t="s">
        <v>34</v>
      </c>
      <c r="C6666" s="27" t="s">
        <v>50</v>
      </c>
      <c r="D6666" s="27" t="s">
        <v>6</v>
      </c>
      <c r="E6666" s="27" t="s">
        <v>15</v>
      </c>
      <c r="F6666" s="29"/>
      <c r="G6666" s="30">
        <v>526.94200000000001</v>
      </c>
    </row>
    <row r="6667" spans="1:7" hidden="1" x14ac:dyDescent="0.25">
      <c r="A6667" s="28">
        <v>44075</v>
      </c>
      <c r="B6667" s="27" t="s">
        <v>34</v>
      </c>
      <c r="C6667" s="27" t="s">
        <v>50</v>
      </c>
      <c r="D6667" s="27" t="s">
        <v>6</v>
      </c>
      <c r="E6667" s="27" t="s">
        <v>16</v>
      </c>
      <c r="F6667" s="29"/>
      <c r="G6667" s="30">
        <v>651.45799999999997</v>
      </c>
    </row>
    <row r="6668" spans="1:7" hidden="1" x14ac:dyDescent="0.25">
      <c r="A6668" s="28">
        <v>44075</v>
      </c>
      <c r="B6668" s="27" t="s">
        <v>34</v>
      </c>
      <c r="C6668" s="27" t="s">
        <v>50</v>
      </c>
      <c r="D6668" s="27" t="s">
        <v>6</v>
      </c>
      <c r="E6668" s="27" t="s">
        <v>17</v>
      </c>
      <c r="F6668" s="29"/>
      <c r="G6668" s="30">
        <v>1174.4879999999998</v>
      </c>
    </row>
    <row r="6669" spans="1:7" hidden="1" x14ac:dyDescent="0.25">
      <c r="A6669" s="28">
        <v>44075</v>
      </c>
      <c r="B6669" s="27" t="s">
        <v>34</v>
      </c>
      <c r="C6669" s="27" t="s">
        <v>50</v>
      </c>
      <c r="D6669" s="27" t="s">
        <v>6</v>
      </c>
      <c r="E6669" s="27" t="s">
        <v>18</v>
      </c>
      <c r="F6669" s="29"/>
      <c r="G6669" s="30">
        <v>506.59399999999994</v>
      </c>
    </row>
    <row r="6670" spans="1:7" hidden="1" x14ac:dyDescent="0.25">
      <c r="A6670" s="28">
        <v>44075</v>
      </c>
      <c r="B6670" s="27" t="s">
        <v>34</v>
      </c>
      <c r="C6670" s="27" t="s">
        <v>50</v>
      </c>
      <c r="D6670" s="27" t="s">
        <v>6</v>
      </c>
      <c r="E6670" s="27" t="s">
        <v>19</v>
      </c>
      <c r="F6670" s="29"/>
      <c r="G6670" s="30">
        <v>716.14</v>
      </c>
    </row>
    <row r="6671" spans="1:7" hidden="1" x14ac:dyDescent="0.25">
      <c r="A6671" s="28">
        <v>44075</v>
      </c>
      <c r="B6671" s="27" t="s">
        <v>34</v>
      </c>
      <c r="C6671" s="27" t="s">
        <v>50</v>
      </c>
      <c r="D6671" s="27" t="s">
        <v>6</v>
      </c>
      <c r="E6671" s="27" t="s">
        <v>20</v>
      </c>
      <c r="F6671" s="29"/>
      <c r="G6671" s="30">
        <v>520.13300000000004</v>
      </c>
    </row>
    <row r="6672" spans="1:7" hidden="1" x14ac:dyDescent="0.25">
      <c r="A6672" s="28">
        <v>44075</v>
      </c>
      <c r="B6672" s="27" t="s">
        <v>34</v>
      </c>
      <c r="C6672" s="27" t="s">
        <v>50</v>
      </c>
      <c r="D6672" s="27" t="s">
        <v>6</v>
      </c>
      <c r="E6672" s="27" t="s">
        <v>38</v>
      </c>
      <c r="F6672" s="29"/>
      <c r="G6672" s="30">
        <v>204.74299999999999</v>
      </c>
    </row>
    <row r="6673" spans="1:7" hidden="1" x14ac:dyDescent="0.25">
      <c r="A6673" s="28">
        <v>44075</v>
      </c>
      <c r="B6673" s="27" t="s">
        <v>34</v>
      </c>
      <c r="C6673" s="27" t="s">
        <v>50</v>
      </c>
      <c r="D6673" s="27" t="s">
        <v>6</v>
      </c>
      <c r="E6673" s="27" t="s">
        <v>23</v>
      </c>
      <c r="F6673" s="29"/>
      <c r="G6673" s="30">
        <v>803.31400000000008</v>
      </c>
    </row>
    <row r="6674" spans="1:7" hidden="1" x14ac:dyDescent="0.25">
      <c r="A6674" s="28">
        <v>44105</v>
      </c>
      <c r="B6674" s="27" t="s">
        <v>33</v>
      </c>
      <c r="C6674" s="27" t="s">
        <v>50</v>
      </c>
      <c r="D6674" s="27" t="s">
        <v>7</v>
      </c>
      <c r="E6674" s="27" t="s">
        <v>8</v>
      </c>
      <c r="F6674" s="29"/>
      <c r="G6674" s="30">
        <v>3817.2294444444447</v>
      </c>
    </row>
    <row r="6675" spans="1:7" hidden="1" x14ac:dyDescent="0.25">
      <c r="A6675" s="28">
        <v>44105</v>
      </c>
      <c r="B6675" s="27" t="s">
        <v>33</v>
      </c>
      <c r="C6675" s="27" t="s">
        <v>50</v>
      </c>
      <c r="D6675" s="27" t="s">
        <v>7</v>
      </c>
      <c r="E6675" s="27" t="s">
        <v>9</v>
      </c>
      <c r="F6675" s="29"/>
      <c r="G6675" s="30">
        <v>3817.2294444444447</v>
      </c>
    </row>
    <row r="6676" spans="1:7" hidden="1" x14ac:dyDescent="0.25">
      <c r="A6676" s="28">
        <v>44105</v>
      </c>
      <c r="B6676" s="27" t="s">
        <v>33</v>
      </c>
      <c r="C6676" s="27" t="s">
        <v>50</v>
      </c>
      <c r="D6676" s="27" t="s">
        <v>7</v>
      </c>
      <c r="E6676" s="27" t="s">
        <v>22</v>
      </c>
      <c r="F6676" s="29"/>
      <c r="G6676" s="30">
        <v>3817.2294444444447</v>
      </c>
    </row>
    <row r="6677" spans="1:7" hidden="1" x14ac:dyDescent="0.25">
      <c r="A6677" s="28">
        <v>44105</v>
      </c>
      <c r="B6677" s="27" t="s">
        <v>33</v>
      </c>
      <c r="C6677" s="27" t="s">
        <v>50</v>
      </c>
      <c r="D6677" s="27" t="s">
        <v>7</v>
      </c>
      <c r="E6677" s="27" t="s">
        <v>64</v>
      </c>
      <c r="F6677" s="29"/>
      <c r="G6677" s="30">
        <v>3817.2294444444447</v>
      </c>
    </row>
    <row r="6678" spans="1:7" hidden="1" x14ac:dyDescent="0.25">
      <c r="A6678" s="28">
        <v>44105</v>
      </c>
      <c r="B6678" s="27" t="s">
        <v>33</v>
      </c>
      <c r="C6678" s="27" t="s">
        <v>50</v>
      </c>
      <c r="D6678" s="27" t="s">
        <v>7</v>
      </c>
      <c r="E6678" s="27" t="s">
        <v>21</v>
      </c>
      <c r="F6678" s="29"/>
      <c r="G6678" s="30">
        <v>3817.2294444444447</v>
      </c>
    </row>
    <row r="6679" spans="1:7" hidden="1" x14ac:dyDescent="0.25">
      <c r="A6679" s="28">
        <v>44105</v>
      </c>
      <c r="B6679" s="27" t="s">
        <v>33</v>
      </c>
      <c r="C6679" s="27" t="s">
        <v>50</v>
      </c>
      <c r="D6679" s="27" t="s">
        <v>7</v>
      </c>
      <c r="E6679" s="27" t="s">
        <v>10</v>
      </c>
      <c r="F6679" s="29"/>
      <c r="G6679" s="30">
        <v>3817.2294444444447</v>
      </c>
    </row>
    <row r="6680" spans="1:7" hidden="1" x14ac:dyDescent="0.25">
      <c r="A6680" s="28">
        <v>44105</v>
      </c>
      <c r="B6680" s="27" t="s">
        <v>33</v>
      </c>
      <c r="C6680" s="27" t="s">
        <v>50</v>
      </c>
      <c r="D6680" s="27" t="s">
        <v>7</v>
      </c>
      <c r="E6680" s="27" t="s">
        <v>11</v>
      </c>
      <c r="F6680" s="29"/>
      <c r="G6680" s="30">
        <v>3817.2294444444447</v>
      </c>
    </row>
    <row r="6681" spans="1:7" hidden="1" x14ac:dyDescent="0.25">
      <c r="A6681" s="28">
        <v>44105</v>
      </c>
      <c r="B6681" s="27" t="s">
        <v>33</v>
      </c>
      <c r="C6681" s="27" t="s">
        <v>50</v>
      </c>
      <c r="D6681" s="27" t="s">
        <v>7</v>
      </c>
      <c r="E6681" s="27" t="s">
        <v>12</v>
      </c>
      <c r="F6681" s="29"/>
      <c r="G6681" s="30">
        <v>3817.2294444444447</v>
      </c>
    </row>
    <row r="6682" spans="1:7" hidden="1" x14ac:dyDescent="0.25">
      <c r="A6682" s="28">
        <v>44105</v>
      </c>
      <c r="B6682" s="27" t="s">
        <v>33</v>
      </c>
      <c r="C6682" s="27" t="s">
        <v>50</v>
      </c>
      <c r="D6682" s="27" t="s">
        <v>7</v>
      </c>
      <c r="E6682" s="27" t="s">
        <v>13</v>
      </c>
      <c r="F6682" s="29"/>
      <c r="G6682" s="30">
        <v>3817.2294444444447</v>
      </c>
    </row>
    <row r="6683" spans="1:7" hidden="1" x14ac:dyDescent="0.25">
      <c r="A6683" s="28">
        <v>44105</v>
      </c>
      <c r="B6683" s="27" t="s">
        <v>33</v>
      </c>
      <c r="C6683" s="27" t="s">
        <v>50</v>
      </c>
      <c r="D6683" s="27" t="s">
        <v>7</v>
      </c>
      <c r="E6683" s="27" t="s">
        <v>14</v>
      </c>
      <c r="F6683" s="29"/>
      <c r="G6683" s="30">
        <v>3817.2294444444447</v>
      </c>
    </row>
    <row r="6684" spans="1:7" hidden="1" x14ac:dyDescent="0.25">
      <c r="A6684" s="28">
        <v>44105</v>
      </c>
      <c r="B6684" s="27" t="s">
        <v>33</v>
      </c>
      <c r="C6684" s="27" t="s">
        <v>50</v>
      </c>
      <c r="D6684" s="27" t="s">
        <v>7</v>
      </c>
      <c r="E6684" s="27" t="s">
        <v>15</v>
      </c>
      <c r="F6684" s="29"/>
      <c r="G6684" s="30">
        <v>3817.2294444444447</v>
      </c>
    </row>
    <row r="6685" spans="1:7" hidden="1" x14ac:dyDescent="0.25">
      <c r="A6685" s="28">
        <v>44105</v>
      </c>
      <c r="B6685" s="27" t="s">
        <v>33</v>
      </c>
      <c r="C6685" s="27" t="s">
        <v>50</v>
      </c>
      <c r="D6685" s="27" t="s">
        <v>7</v>
      </c>
      <c r="E6685" s="27" t="s">
        <v>16</v>
      </c>
      <c r="F6685" s="29"/>
      <c r="G6685" s="30">
        <v>3817.2294444444447</v>
      </c>
    </row>
    <row r="6686" spans="1:7" hidden="1" x14ac:dyDescent="0.25">
      <c r="A6686" s="28">
        <v>44105</v>
      </c>
      <c r="B6686" s="27" t="s">
        <v>33</v>
      </c>
      <c r="C6686" s="27" t="s">
        <v>50</v>
      </c>
      <c r="D6686" s="27" t="s">
        <v>7</v>
      </c>
      <c r="E6686" s="27" t="s">
        <v>17</v>
      </c>
      <c r="F6686" s="29"/>
      <c r="G6686" s="30">
        <v>3817.2294444444447</v>
      </c>
    </row>
    <row r="6687" spans="1:7" hidden="1" x14ac:dyDescent="0.25">
      <c r="A6687" s="28">
        <v>44105</v>
      </c>
      <c r="B6687" s="27" t="s">
        <v>33</v>
      </c>
      <c r="C6687" s="27" t="s">
        <v>50</v>
      </c>
      <c r="D6687" s="27" t="s">
        <v>7</v>
      </c>
      <c r="E6687" s="27" t="s">
        <v>18</v>
      </c>
      <c r="F6687" s="29"/>
      <c r="G6687" s="30">
        <v>3817.2294444444447</v>
      </c>
    </row>
    <row r="6688" spans="1:7" hidden="1" x14ac:dyDescent="0.25">
      <c r="A6688" s="28">
        <v>44105</v>
      </c>
      <c r="B6688" s="27" t="s">
        <v>33</v>
      </c>
      <c r="C6688" s="27" t="s">
        <v>50</v>
      </c>
      <c r="D6688" s="27" t="s">
        <v>7</v>
      </c>
      <c r="E6688" s="27" t="s">
        <v>19</v>
      </c>
      <c r="F6688" s="29"/>
      <c r="G6688" s="30">
        <v>3817.2294444444447</v>
      </c>
    </row>
    <row r="6689" spans="1:7" hidden="1" x14ac:dyDescent="0.25">
      <c r="A6689" s="28">
        <v>44105</v>
      </c>
      <c r="B6689" s="27" t="s">
        <v>33</v>
      </c>
      <c r="C6689" s="27" t="s">
        <v>50</v>
      </c>
      <c r="D6689" s="27" t="s">
        <v>7</v>
      </c>
      <c r="E6689" s="27" t="s">
        <v>20</v>
      </c>
      <c r="F6689" s="29"/>
      <c r="G6689" s="30">
        <v>3817.2294444444447</v>
      </c>
    </row>
    <row r="6690" spans="1:7" hidden="1" x14ac:dyDescent="0.25">
      <c r="A6690" s="28">
        <v>44105</v>
      </c>
      <c r="B6690" s="27" t="s">
        <v>33</v>
      </c>
      <c r="C6690" s="27" t="s">
        <v>50</v>
      </c>
      <c r="D6690" s="27" t="s">
        <v>7</v>
      </c>
      <c r="E6690" s="27" t="s">
        <v>38</v>
      </c>
      <c r="F6690" s="29"/>
      <c r="G6690" s="30">
        <v>3817.2294444444447</v>
      </c>
    </row>
    <row r="6691" spans="1:7" hidden="1" x14ac:dyDescent="0.25">
      <c r="A6691" s="28">
        <v>44105</v>
      </c>
      <c r="B6691" s="27" t="s">
        <v>33</v>
      </c>
      <c r="C6691" s="27" t="s">
        <v>50</v>
      </c>
      <c r="D6691" s="27" t="s">
        <v>7</v>
      </c>
      <c r="E6691" s="27" t="s">
        <v>23</v>
      </c>
      <c r="F6691" s="29"/>
      <c r="G6691" s="30">
        <v>3817.2294444444447</v>
      </c>
    </row>
    <row r="6692" spans="1:7" hidden="1" x14ac:dyDescent="0.25">
      <c r="A6692" s="28">
        <v>44105</v>
      </c>
      <c r="B6692" s="27" t="s">
        <v>4</v>
      </c>
      <c r="C6692" s="27" t="s">
        <v>50</v>
      </c>
      <c r="D6692" s="27" t="s">
        <v>7</v>
      </c>
      <c r="E6692" s="27" t="s">
        <v>8</v>
      </c>
      <c r="F6692" s="29"/>
      <c r="G6692" s="30">
        <v>3893.83</v>
      </c>
    </row>
    <row r="6693" spans="1:7" hidden="1" x14ac:dyDescent="0.25">
      <c r="A6693" s="28">
        <v>44105</v>
      </c>
      <c r="B6693" s="27" t="s">
        <v>4</v>
      </c>
      <c r="C6693" s="27" t="s">
        <v>50</v>
      </c>
      <c r="D6693" s="27" t="s">
        <v>7</v>
      </c>
      <c r="E6693" s="27" t="s">
        <v>9</v>
      </c>
      <c r="F6693" s="29"/>
      <c r="G6693" s="30">
        <v>4327.4799999999996</v>
      </c>
    </row>
    <row r="6694" spans="1:7" hidden="1" x14ac:dyDescent="0.25">
      <c r="A6694" s="28">
        <v>44105</v>
      </c>
      <c r="B6694" s="27" t="s">
        <v>4</v>
      </c>
      <c r="C6694" s="27" t="s">
        <v>50</v>
      </c>
      <c r="D6694" s="27" t="s">
        <v>7</v>
      </c>
      <c r="E6694" s="27" t="s">
        <v>22</v>
      </c>
      <c r="F6694" s="29"/>
      <c r="G6694" s="30">
        <v>2460.12</v>
      </c>
    </row>
    <row r="6695" spans="1:7" hidden="1" x14ac:dyDescent="0.25">
      <c r="A6695" s="28">
        <v>44105</v>
      </c>
      <c r="B6695" s="27" t="s">
        <v>4</v>
      </c>
      <c r="C6695" s="27" t="s">
        <v>50</v>
      </c>
      <c r="D6695" s="27" t="s">
        <v>7</v>
      </c>
      <c r="E6695" s="27" t="s">
        <v>64</v>
      </c>
      <c r="F6695" s="29"/>
      <c r="G6695" s="30">
        <v>256.52999999999997</v>
      </c>
    </row>
    <row r="6696" spans="1:7" hidden="1" x14ac:dyDescent="0.25">
      <c r="A6696" s="28">
        <v>44105</v>
      </c>
      <c r="B6696" s="27" t="s">
        <v>4</v>
      </c>
      <c r="C6696" s="27" t="s">
        <v>50</v>
      </c>
      <c r="D6696" s="27" t="s">
        <v>7</v>
      </c>
      <c r="E6696" s="27" t="s">
        <v>21</v>
      </c>
      <c r="F6696" s="29"/>
      <c r="G6696" s="30">
        <v>3776.51</v>
      </c>
    </row>
    <row r="6697" spans="1:7" hidden="1" x14ac:dyDescent="0.25">
      <c r="A6697" s="28">
        <v>44105</v>
      </c>
      <c r="B6697" s="27" t="s">
        <v>4</v>
      </c>
      <c r="C6697" s="27" t="s">
        <v>50</v>
      </c>
      <c r="D6697" s="27" t="s">
        <v>7</v>
      </c>
      <c r="E6697" s="27" t="s">
        <v>10</v>
      </c>
      <c r="F6697" s="29"/>
      <c r="G6697" s="30">
        <v>4710.3599999999997</v>
      </c>
    </row>
    <row r="6698" spans="1:7" hidden="1" x14ac:dyDescent="0.25">
      <c r="A6698" s="28">
        <v>44105</v>
      </c>
      <c r="B6698" s="27" t="s">
        <v>4</v>
      </c>
      <c r="C6698" s="27" t="s">
        <v>50</v>
      </c>
      <c r="D6698" s="27" t="s">
        <v>7</v>
      </c>
      <c r="E6698" s="27" t="s">
        <v>11</v>
      </c>
      <c r="F6698" s="29"/>
      <c r="G6698" s="30">
        <v>2303.23</v>
      </c>
    </row>
    <row r="6699" spans="1:7" hidden="1" x14ac:dyDescent="0.25">
      <c r="A6699" s="28">
        <v>44105</v>
      </c>
      <c r="B6699" s="27" t="s">
        <v>4</v>
      </c>
      <c r="C6699" s="27" t="s">
        <v>50</v>
      </c>
      <c r="D6699" s="27" t="s">
        <v>7</v>
      </c>
      <c r="E6699" s="27" t="s">
        <v>12</v>
      </c>
      <c r="F6699" s="29"/>
      <c r="G6699" s="30">
        <v>373.45299999999997</v>
      </c>
    </row>
    <row r="6700" spans="1:7" hidden="1" x14ac:dyDescent="0.25">
      <c r="A6700" s="28">
        <v>44105</v>
      </c>
      <c r="B6700" s="27" t="s">
        <v>4</v>
      </c>
      <c r="C6700" s="27" t="s">
        <v>50</v>
      </c>
      <c r="D6700" s="27" t="s">
        <v>7</v>
      </c>
      <c r="E6700" s="27" t="s">
        <v>13</v>
      </c>
      <c r="F6700" s="29"/>
      <c r="G6700" s="30">
        <v>5929.87</v>
      </c>
    </row>
    <row r="6701" spans="1:7" hidden="1" x14ac:dyDescent="0.25">
      <c r="A6701" s="28">
        <v>44105</v>
      </c>
      <c r="B6701" s="27" t="s">
        <v>4</v>
      </c>
      <c r="C6701" s="27" t="s">
        <v>50</v>
      </c>
      <c r="D6701" s="27" t="s">
        <v>7</v>
      </c>
      <c r="E6701" s="27" t="s">
        <v>14</v>
      </c>
      <c r="F6701" s="29"/>
      <c r="G6701" s="30">
        <v>909.81000000000006</v>
      </c>
    </row>
    <row r="6702" spans="1:7" hidden="1" x14ac:dyDescent="0.25">
      <c r="A6702" s="28">
        <v>44105</v>
      </c>
      <c r="B6702" s="27" t="s">
        <v>4</v>
      </c>
      <c r="C6702" s="27" t="s">
        <v>50</v>
      </c>
      <c r="D6702" s="27" t="s">
        <v>7</v>
      </c>
      <c r="E6702" s="27" t="s">
        <v>15</v>
      </c>
      <c r="F6702" s="29"/>
      <c r="G6702" s="30">
        <v>4249.99</v>
      </c>
    </row>
    <row r="6703" spans="1:7" hidden="1" x14ac:dyDescent="0.25">
      <c r="A6703" s="28">
        <v>44105</v>
      </c>
      <c r="B6703" s="27" t="s">
        <v>4</v>
      </c>
      <c r="C6703" s="27" t="s">
        <v>50</v>
      </c>
      <c r="D6703" s="27" t="s">
        <v>7</v>
      </c>
      <c r="E6703" s="27" t="s">
        <v>16</v>
      </c>
      <c r="F6703" s="29"/>
      <c r="G6703" s="30">
        <v>2189.88</v>
      </c>
    </row>
    <row r="6704" spans="1:7" hidden="1" x14ac:dyDescent="0.25">
      <c r="A6704" s="28">
        <v>44105</v>
      </c>
      <c r="B6704" s="27" t="s">
        <v>4</v>
      </c>
      <c r="C6704" s="27" t="s">
        <v>50</v>
      </c>
      <c r="D6704" s="27" t="s">
        <v>7</v>
      </c>
      <c r="E6704" s="27" t="s">
        <v>17</v>
      </c>
      <c r="F6704" s="29"/>
      <c r="G6704" s="30">
        <v>2746.54</v>
      </c>
    </row>
    <row r="6705" spans="1:7" hidden="1" x14ac:dyDescent="0.25">
      <c r="A6705" s="28">
        <v>44105</v>
      </c>
      <c r="B6705" s="27" t="s">
        <v>4</v>
      </c>
      <c r="C6705" s="27" t="s">
        <v>50</v>
      </c>
      <c r="D6705" s="27" t="s">
        <v>7</v>
      </c>
      <c r="E6705" s="27" t="s">
        <v>18</v>
      </c>
      <c r="F6705" s="29"/>
      <c r="G6705" s="30">
        <v>1401.1299999999999</v>
      </c>
    </row>
    <row r="6706" spans="1:7" hidden="1" x14ac:dyDescent="0.25">
      <c r="A6706" s="28">
        <v>44105</v>
      </c>
      <c r="B6706" s="27" t="s">
        <v>4</v>
      </c>
      <c r="C6706" s="27" t="s">
        <v>50</v>
      </c>
      <c r="D6706" s="27" t="s">
        <v>7</v>
      </c>
      <c r="E6706" s="27" t="s">
        <v>19</v>
      </c>
      <c r="F6706" s="29"/>
      <c r="G6706" s="30">
        <v>5255.53</v>
      </c>
    </row>
    <row r="6707" spans="1:7" hidden="1" x14ac:dyDescent="0.25">
      <c r="A6707" s="28">
        <v>44105</v>
      </c>
      <c r="B6707" s="27" t="s">
        <v>4</v>
      </c>
      <c r="C6707" s="27" t="s">
        <v>50</v>
      </c>
      <c r="D6707" s="27" t="s">
        <v>7</v>
      </c>
      <c r="E6707" s="27" t="s">
        <v>20</v>
      </c>
      <c r="F6707" s="29"/>
      <c r="G6707" s="30">
        <v>796.22</v>
      </c>
    </row>
    <row r="6708" spans="1:7" hidden="1" x14ac:dyDescent="0.25">
      <c r="A6708" s="28">
        <v>44105</v>
      </c>
      <c r="B6708" s="27" t="s">
        <v>4</v>
      </c>
      <c r="C6708" s="27" t="s">
        <v>50</v>
      </c>
      <c r="D6708" s="27" t="s">
        <v>7</v>
      </c>
      <c r="E6708" s="27" t="s">
        <v>23</v>
      </c>
      <c r="F6708" s="29"/>
      <c r="G6708" s="30">
        <v>4300</v>
      </c>
    </row>
    <row r="6709" spans="1:7" hidden="1" x14ac:dyDescent="0.25">
      <c r="A6709" s="28">
        <v>44105</v>
      </c>
      <c r="B6709" s="27" t="s">
        <v>4</v>
      </c>
      <c r="C6709" s="27" t="s">
        <v>50</v>
      </c>
      <c r="D6709" s="27" t="s">
        <v>7</v>
      </c>
      <c r="E6709" s="27" t="s">
        <v>37</v>
      </c>
      <c r="F6709" s="29"/>
      <c r="G6709" s="30">
        <v>450</v>
      </c>
    </row>
    <row r="6710" spans="1:7" hidden="1" x14ac:dyDescent="0.25">
      <c r="A6710" s="28">
        <v>44105</v>
      </c>
      <c r="B6710" s="27" t="s">
        <v>26</v>
      </c>
      <c r="C6710" s="27" t="s">
        <v>50</v>
      </c>
      <c r="D6710" s="27" t="s">
        <v>6</v>
      </c>
      <c r="E6710" s="27" t="s">
        <v>8</v>
      </c>
      <c r="F6710" s="29"/>
      <c r="G6710" s="30">
        <v>1194.25</v>
      </c>
    </row>
    <row r="6711" spans="1:7" hidden="1" x14ac:dyDescent="0.25">
      <c r="A6711" s="28">
        <v>44105</v>
      </c>
      <c r="B6711" s="27" t="s">
        <v>26</v>
      </c>
      <c r="C6711" s="27" t="s">
        <v>50</v>
      </c>
      <c r="D6711" s="27" t="s">
        <v>6</v>
      </c>
      <c r="E6711" s="27" t="s">
        <v>9</v>
      </c>
      <c r="F6711" s="29"/>
      <c r="G6711" s="30">
        <v>1550.9166666666667</v>
      </c>
    </row>
    <row r="6712" spans="1:7" hidden="1" x14ac:dyDescent="0.25">
      <c r="A6712" s="28">
        <v>44105</v>
      </c>
      <c r="B6712" s="27" t="s">
        <v>26</v>
      </c>
      <c r="C6712" s="27" t="s">
        <v>50</v>
      </c>
      <c r="D6712" s="27" t="s">
        <v>6</v>
      </c>
      <c r="E6712" s="27" t="s">
        <v>22</v>
      </c>
      <c r="F6712" s="29"/>
      <c r="G6712" s="30">
        <v>1270.3500000000001</v>
      </c>
    </row>
    <row r="6713" spans="1:7" hidden="1" x14ac:dyDescent="0.25">
      <c r="A6713" s="28">
        <v>44105</v>
      </c>
      <c r="B6713" s="27" t="s">
        <v>26</v>
      </c>
      <c r="C6713" s="27" t="s">
        <v>50</v>
      </c>
      <c r="D6713" s="27" t="s">
        <v>6</v>
      </c>
      <c r="E6713" s="27" t="s">
        <v>64</v>
      </c>
      <c r="F6713" s="29"/>
      <c r="G6713" s="30">
        <v>1359.4166666666667</v>
      </c>
    </row>
    <row r="6714" spans="1:7" hidden="1" x14ac:dyDescent="0.25">
      <c r="A6714" s="28">
        <v>44105</v>
      </c>
      <c r="B6714" s="27" t="s">
        <v>26</v>
      </c>
      <c r="C6714" s="27" t="s">
        <v>50</v>
      </c>
      <c r="D6714" s="27" t="s">
        <v>6</v>
      </c>
      <c r="E6714" s="27" t="s">
        <v>21</v>
      </c>
      <c r="F6714" s="29"/>
      <c r="G6714" s="30">
        <v>1359.4166666666667</v>
      </c>
    </row>
    <row r="6715" spans="1:7" hidden="1" x14ac:dyDescent="0.25">
      <c r="A6715" s="28">
        <v>44105</v>
      </c>
      <c r="B6715" s="27" t="s">
        <v>26</v>
      </c>
      <c r="C6715" s="27" t="s">
        <v>50</v>
      </c>
      <c r="D6715" s="27" t="s">
        <v>6</v>
      </c>
      <c r="E6715" s="27" t="s">
        <v>10</v>
      </c>
      <c r="F6715" s="29"/>
      <c r="G6715" s="30">
        <v>1998.9666666666669</v>
      </c>
    </row>
    <row r="6716" spans="1:7" hidden="1" x14ac:dyDescent="0.25">
      <c r="A6716" s="28">
        <v>44105</v>
      </c>
      <c r="B6716" s="27" t="s">
        <v>26</v>
      </c>
      <c r="C6716" s="27" t="s">
        <v>50</v>
      </c>
      <c r="D6716" s="27" t="s">
        <v>6</v>
      </c>
      <c r="E6716" s="27" t="s">
        <v>11</v>
      </c>
      <c r="F6716" s="29"/>
      <c r="G6716" s="30">
        <v>1340.7166666666667</v>
      </c>
    </row>
    <row r="6717" spans="1:7" hidden="1" x14ac:dyDescent="0.25">
      <c r="A6717" s="28">
        <v>44105</v>
      </c>
      <c r="B6717" s="27" t="s">
        <v>26</v>
      </c>
      <c r="C6717" s="27" t="s">
        <v>50</v>
      </c>
      <c r="D6717" s="27" t="s">
        <v>6</v>
      </c>
      <c r="E6717" s="27" t="s">
        <v>12</v>
      </c>
      <c r="F6717" s="29"/>
      <c r="G6717" s="30">
        <v>1350.1166666666668</v>
      </c>
    </row>
    <row r="6718" spans="1:7" hidden="1" x14ac:dyDescent="0.25">
      <c r="A6718" s="28">
        <v>44105</v>
      </c>
      <c r="B6718" s="27" t="s">
        <v>26</v>
      </c>
      <c r="C6718" s="27" t="s">
        <v>50</v>
      </c>
      <c r="D6718" s="27" t="s">
        <v>6</v>
      </c>
      <c r="E6718" s="27" t="s">
        <v>13</v>
      </c>
      <c r="F6718" s="29"/>
      <c r="G6718" s="30">
        <v>1901.5</v>
      </c>
    </row>
    <row r="6719" spans="1:7" hidden="1" x14ac:dyDescent="0.25">
      <c r="A6719" s="28">
        <v>44105</v>
      </c>
      <c r="B6719" s="27" t="s">
        <v>26</v>
      </c>
      <c r="C6719" s="27" t="s">
        <v>50</v>
      </c>
      <c r="D6719" s="27" t="s">
        <v>6</v>
      </c>
      <c r="E6719" s="27" t="s">
        <v>14</v>
      </c>
      <c r="F6719" s="29"/>
      <c r="G6719" s="30">
        <v>701.7833333333333</v>
      </c>
    </row>
    <row r="6720" spans="1:7" hidden="1" x14ac:dyDescent="0.25">
      <c r="A6720" s="28">
        <v>44105</v>
      </c>
      <c r="B6720" s="27" t="s">
        <v>26</v>
      </c>
      <c r="C6720" s="27" t="s">
        <v>50</v>
      </c>
      <c r="D6720" s="27" t="s">
        <v>6</v>
      </c>
      <c r="E6720" s="27" t="s">
        <v>15</v>
      </c>
      <c r="F6720" s="29"/>
      <c r="G6720" s="30">
        <v>1820.5500000000002</v>
      </c>
    </row>
    <row r="6721" spans="1:7" hidden="1" x14ac:dyDescent="0.25">
      <c r="A6721" s="28">
        <v>44105</v>
      </c>
      <c r="B6721" s="27" t="s">
        <v>26</v>
      </c>
      <c r="C6721" s="27" t="s">
        <v>50</v>
      </c>
      <c r="D6721" s="27" t="s">
        <v>6</v>
      </c>
      <c r="E6721" s="27" t="s">
        <v>16</v>
      </c>
      <c r="F6721" s="29"/>
      <c r="G6721" s="30">
        <v>1992.5833333333333</v>
      </c>
    </row>
    <row r="6722" spans="1:7" hidden="1" x14ac:dyDescent="0.25">
      <c r="A6722" s="28">
        <v>44105</v>
      </c>
      <c r="B6722" s="27" t="s">
        <v>26</v>
      </c>
      <c r="C6722" s="27" t="s">
        <v>50</v>
      </c>
      <c r="D6722" s="27" t="s">
        <v>6</v>
      </c>
      <c r="E6722" s="27" t="s">
        <v>17</v>
      </c>
      <c r="F6722" s="29"/>
      <c r="G6722" s="30">
        <v>2822.1166666666668</v>
      </c>
    </row>
    <row r="6723" spans="1:7" hidden="1" x14ac:dyDescent="0.25">
      <c r="A6723" s="28">
        <v>44105</v>
      </c>
      <c r="B6723" s="27" t="s">
        <v>26</v>
      </c>
      <c r="C6723" s="27" t="s">
        <v>50</v>
      </c>
      <c r="D6723" s="27" t="s">
        <v>6</v>
      </c>
      <c r="E6723" s="27" t="s">
        <v>18</v>
      </c>
      <c r="F6723" s="29"/>
      <c r="G6723" s="30">
        <v>1488.6666666666667</v>
      </c>
    </row>
    <row r="6724" spans="1:7" hidden="1" x14ac:dyDescent="0.25">
      <c r="A6724" s="28">
        <v>44105</v>
      </c>
      <c r="B6724" s="27" t="s">
        <v>26</v>
      </c>
      <c r="C6724" s="27" t="s">
        <v>50</v>
      </c>
      <c r="D6724" s="27" t="s">
        <v>6</v>
      </c>
      <c r="E6724" s="27" t="s">
        <v>19</v>
      </c>
      <c r="F6724" s="29"/>
      <c r="G6724" s="30">
        <v>2454.8833333333337</v>
      </c>
    </row>
    <row r="6725" spans="1:7" hidden="1" x14ac:dyDescent="0.25">
      <c r="A6725" s="28">
        <v>44105</v>
      </c>
      <c r="B6725" s="27" t="s">
        <v>26</v>
      </c>
      <c r="C6725" s="27" t="s">
        <v>50</v>
      </c>
      <c r="D6725" s="27" t="s">
        <v>6</v>
      </c>
      <c r="E6725" s="27" t="s">
        <v>20</v>
      </c>
      <c r="F6725" s="29"/>
      <c r="G6725" s="30">
        <v>1590.3833333333334</v>
      </c>
    </row>
    <row r="6726" spans="1:7" hidden="1" x14ac:dyDescent="0.25">
      <c r="A6726" s="28">
        <v>44105</v>
      </c>
      <c r="B6726" s="27" t="s">
        <v>26</v>
      </c>
      <c r="C6726" s="27" t="s">
        <v>50</v>
      </c>
      <c r="D6726" s="27" t="s">
        <v>6</v>
      </c>
      <c r="E6726" s="27" t="s">
        <v>38</v>
      </c>
      <c r="F6726" s="29"/>
      <c r="G6726" s="30">
        <v>602</v>
      </c>
    </row>
    <row r="6727" spans="1:7" hidden="1" x14ac:dyDescent="0.25">
      <c r="A6727" s="28">
        <v>44105</v>
      </c>
      <c r="B6727" s="27" t="s">
        <v>26</v>
      </c>
      <c r="C6727" s="27" t="s">
        <v>50</v>
      </c>
      <c r="D6727" s="27" t="s">
        <v>6</v>
      </c>
      <c r="E6727" s="27" t="s">
        <v>23</v>
      </c>
      <c r="F6727" s="29"/>
      <c r="G6727" s="30">
        <v>2997.5</v>
      </c>
    </row>
    <row r="6728" spans="1:7" hidden="1" x14ac:dyDescent="0.25">
      <c r="A6728" s="28">
        <v>44105</v>
      </c>
      <c r="B6728" s="27" t="s">
        <v>26</v>
      </c>
      <c r="C6728" s="27" t="s">
        <v>50</v>
      </c>
      <c r="D6728" s="27" t="s">
        <v>6</v>
      </c>
      <c r="E6728" s="27" t="s">
        <v>37</v>
      </c>
      <c r="F6728" s="29"/>
      <c r="G6728" s="30">
        <v>250</v>
      </c>
    </row>
    <row r="6729" spans="1:7" hidden="1" x14ac:dyDescent="0.25">
      <c r="A6729" s="28">
        <v>44105</v>
      </c>
      <c r="B6729" s="27" t="s">
        <v>3</v>
      </c>
      <c r="C6729" s="27" t="s">
        <v>50</v>
      </c>
      <c r="D6729" s="27" t="s">
        <v>7</v>
      </c>
      <c r="E6729" s="27" t="s">
        <v>8</v>
      </c>
      <c r="F6729" s="29"/>
      <c r="G6729" s="30">
        <v>547.9955555555556</v>
      </c>
    </row>
    <row r="6730" spans="1:7" hidden="1" x14ac:dyDescent="0.25">
      <c r="A6730" s="28">
        <v>44105</v>
      </c>
      <c r="B6730" s="27" t="s">
        <v>3</v>
      </c>
      <c r="C6730" s="27" t="s">
        <v>50</v>
      </c>
      <c r="D6730" s="27" t="s">
        <v>7</v>
      </c>
      <c r="E6730" s="27" t="s">
        <v>9</v>
      </c>
      <c r="F6730" s="29"/>
      <c r="G6730" s="30">
        <v>547.9955555555556</v>
      </c>
    </row>
    <row r="6731" spans="1:7" hidden="1" x14ac:dyDescent="0.25">
      <c r="A6731" s="28">
        <v>44105</v>
      </c>
      <c r="B6731" s="27" t="s">
        <v>3</v>
      </c>
      <c r="C6731" s="27" t="s">
        <v>50</v>
      </c>
      <c r="D6731" s="27" t="s">
        <v>7</v>
      </c>
      <c r="E6731" s="27" t="s">
        <v>22</v>
      </c>
      <c r="F6731" s="29"/>
      <c r="G6731" s="30">
        <v>547.9955555555556</v>
      </c>
    </row>
    <row r="6732" spans="1:7" hidden="1" x14ac:dyDescent="0.25">
      <c r="A6732" s="28">
        <v>44105</v>
      </c>
      <c r="B6732" s="27" t="s">
        <v>3</v>
      </c>
      <c r="C6732" s="27" t="s">
        <v>50</v>
      </c>
      <c r="D6732" s="27" t="s">
        <v>7</v>
      </c>
      <c r="E6732" s="27" t="s">
        <v>64</v>
      </c>
      <c r="F6732" s="29"/>
      <c r="G6732" s="30">
        <v>547.9955555555556</v>
      </c>
    </row>
    <row r="6733" spans="1:7" hidden="1" x14ac:dyDescent="0.25">
      <c r="A6733" s="28">
        <v>44105</v>
      </c>
      <c r="B6733" s="27" t="s">
        <v>3</v>
      </c>
      <c r="C6733" s="27" t="s">
        <v>50</v>
      </c>
      <c r="D6733" s="27" t="s">
        <v>7</v>
      </c>
      <c r="E6733" s="27" t="s">
        <v>21</v>
      </c>
      <c r="F6733" s="29"/>
      <c r="G6733" s="30">
        <v>547.9955555555556</v>
      </c>
    </row>
    <row r="6734" spans="1:7" hidden="1" x14ac:dyDescent="0.25">
      <c r="A6734" s="28">
        <v>44105</v>
      </c>
      <c r="B6734" s="27" t="s">
        <v>3</v>
      </c>
      <c r="C6734" s="27" t="s">
        <v>50</v>
      </c>
      <c r="D6734" s="27" t="s">
        <v>7</v>
      </c>
      <c r="E6734" s="27" t="s">
        <v>10</v>
      </c>
      <c r="F6734" s="29"/>
      <c r="G6734" s="30">
        <v>547.9955555555556</v>
      </c>
    </row>
    <row r="6735" spans="1:7" hidden="1" x14ac:dyDescent="0.25">
      <c r="A6735" s="28">
        <v>44105</v>
      </c>
      <c r="B6735" s="27" t="s">
        <v>3</v>
      </c>
      <c r="C6735" s="27" t="s">
        <v>50</v>
      </c>
      <c r="D6735" s="27" t="s">
        <v>7</v>
      </c>
      <c r="E6735" s="27" t="s">
        <v>11</v>
      </c>
      <c r="F6735" s="29"/>
      <c r="G6735" s="30">
        <v>547.9955555555556</v>
      </c>
    </row>
    <row r="6736" spans="1:7" hidden="1" x14ac:dyDescent="0.25">
      <c r="A6736" s="28">
        <v>44105</v>
      </c>
      <c r="B6736" s="27" t="s">
        <v>3</v>
      </c>
      <c r="C6736" s="27" t="s">
        <v>50</v>
      </c>
      <c r="D6736" s="27" t="s">
        <v>7</v>
      </c>
      <c r="E6736" s="27" t="s">
        <v>12</v>
      </c>
      <c r="F6736" s="29"/>
      <c r="G6736" s="30">
        <v>547.9955555555556</v>
      </c>
    </row>
    <row r="6737" spans="1:7" hidden="1" x14ac:dyDescent="0.25">
      <c r="A6737" s="28">
        <v>44105</v>
      </c>
      <c r="B6737" s="27" t="s">
        <v>3</v>
      </c>
      <c r="C6737" s="27" t="s">
        <v>50</v>
      </c>
      <c r="D6737" s="27" t="s">
        <v>7</v>
      </c>
      <c r="E6737" s="27" t="s">
        <v>13</v>
      </c>
      <c r="F6737" s="29"/>
      <c r="G6737" s="30">
        <v>547.9955555555556</v>
      </c>
    </row>
    <row r="6738" spans="1:7" hidden="1" x14ac:dyDescent="0.25">
      <c r="A6738" s="28">
        <v>44105</v>
      </c>
      <c r="B6738" s="27" t="s">
        <v>3</v>
      </c>
      <c r="C6738" s="27" t="s">
        <v>50</v>
      </c>
      <c r="D6738" s="27" t="s">
        <v>7</v>
      </c>
      <c r="E6738" s="27" t="s">
        <v>14</v>
      </c>
      <c r="F6738" s="29"/>
      <c r="G6738" s="30">
        <v>547.9955555555556</v>
      </c>
    </row>
    <row r="6739" spans="1:7" hidden="1" x14ac:dyDescent="0.25">
      <c r="A6739" s="28">
        <v>44105</v>
      </c>
      <c r="B6739" s="27" t="s">
        <v>3</v>
      </c>
      <c r="C6739" s="27" t="s">
        <v>50</v>
      </c>
      <c r="D6739" s="27" t="s">
        <v>7</v>
      </c>
      <c r="E6739" s="27" t="s">
        <v>15</v>
      </c>
      <c r="F6739" s="29"/>
      <c r="G6739" s="30">
        <v>547.9955555555556</v>
      </c>
    </row>
    <row r="6740" spans="1:7" hidden="1" x14ac:dyDescent="0.25">
      <c r="A6740" s="28">
        <v>44105</v>
      </c>
      <c r="B6740" s="27" t="s">
        <v>3</v>
      </c>
      <c r="C6740" s="27" t="s">
        <v>50</v>
      </c>
      <c r="D6740" s="27" t="s">
        <v>7</v>
      </c>
      <c r="E6740" s="27" t="s">
        <v>16</v>
      </c>
      <c r="F6740" s="29"/>
      <c r="G6740" s="30">
        <v>547.9955555555556</v>
      </c>
    </row>
    <row r="6741" spans="1:7" hidden="1" x14ac:dyDescent="0.25">
      <c r="A6741" s="28">
        <v>44105</v>
      </c>
      <c r="B6741" s="27" t="s">
        <v>3</v>
      </c>
      <c r="C6741" s="27" t="s">
        <v>50</v>
      </c>
      <c r="D6741" s="27" t="s">
        <v>7</v>
      </c>
      <c r="E6741" s="27" t="s">
        <v>17</v>
      </c>
      <c r="F6741" s="29"/>
      <c r="G6741" s="30">
        <v>547.9955555555556</v>
      </c>
    </row>
    <row r="6742" spans="1:7" hidden="1" x14ac:dyDescent="0.25">
      <c r="A6742" s="28">
        <v>44105</v>
      </c>
      <c r="B6742" s="27" t="s">
        <v>3</v>
      </c>
      <c r="C6742" s="27" t="s">
        <v>50</v>
      </c>
      <c r="D6742" s="27" t="s">
        <v>7</v>
      </c>
      <c r="E6742" s="27" t="s">
        <v>18</v>
      </c>
      <c r="F6742" s="29"/>
      <c r="G6742" s="30">
        <v>547.9955555555556</v>
      </c>
    </row>
    <row r="6743" spans="1:7" hidden="1" x14ac:dyDescent="0.25">
      <c r="A6743" s="28">
        <v>44105</v>
      </c>
      <c r="B6743" s="27" t="s">
        <v>3</v>
      </c>
      <c r="C6743" s="27" t="s">
        <v>50</v>
      </c>
      <c r="D6743" s="27" t="s">
        <v>7</v>
      </c>
      <c r="E6743" s="27" t="s">
        <v>19</v>
      </c>
      <c r="F6743" s="29"/>
      <c r="G6743" s="30">
        <v>547.9955555555556</v>
      </c>
    </row>
    <row r="6744" spans="1:7" hidden="1" x14ac:dyDescent="0.25">
      <c r="A6744" s="28">
        <v>44105</v>
      </c>
      <c r="B6744" s="27" t="s">
        <v>3</v>
      </c>
      <c r="C6744" s="27" t="s">
        <v>50</v>
      </c>
      <c r="D6744" s="27" t="s">
        <v>7</v>
      </c>
      <c r="E6744" s="27" t="s">
        <v>20</v>
      </c>
      <c r="F6744" s="29"/>
      <c r="G6744" s="30">
        <v>547.9955555555556</v>
      </c>
    </row>
    <row r="6745" spans="1:7" hidden="1" x14ac:dyDescent="0.25">
      <c r="A6745" s="28">
        <v>44105</v>
      </c>
      <c r="B6745" s="27" t="s">
        <v>3</v>
      </c>
      <c r="C6745" s="27" t="s">
        <v>50</v>
      </c>
      <c r="D6745" s="27" t="s">
        <v>7</v>
      </c>
      <c r="E6745" s="27" t="s">
        <v>38</v>
      </c>
      <c r="F6745" s="29"/>
      <c r="G6745" s="30">
        <v>547.9955555555556</v>
      </c>
    </row>
    <row r="6746" spans="1:7" hidden="1" x14ac:dyDescent="0.25">
      <c r="A6746" s="28">
        <v>44105</v>
      </c>
      <c r="B6746" s="27" t="s">
        <v>3</v>
      </c>
      <c r="C6746" s="27" t="s">
        <v>50</v>
      </c>
      <c r="D6746" s="27" t="s">
        <v>7</v>
      </c>
      <c r="E6746" s="27" t="s">
        <v>23</v>
      </c>
      <c r="F6746" s="29"/>
      <c r="G6746" s="30">
        <v>547.9955555555556</v>
      </c>
    </row>
    <row r="6747" spans="1:7" hidden="1" x14ac:dyDescent="0.25">
      <c r="A6747" s="28">
        <v>44105</v>
      </c>
      <c r="B6747" s="27" t="s">
        <v>179</v>
      </c>
      <c r="C6747" s="27" t="s">
        <v>50</v>
      </c>
      <c r="D6747" s="27" t="s">
        <v>6</v>
      </c>
      <c r="E6747" s="27" t="s">
        <v>8</v>
      </c>
      <c r="F6747" s="29"/>
      <c r="G6747" s="30">
        <v>54.554166666666667</v>
      </c>
    </row>
    <row r="6748" spans="1:7" hidden="1" x14ac:dyDescent="0.25">
      <c r="A6748" s="28">
        <v>44105</v>
      </c>
      <c r="B6748" s="27" t="s">
        <v>179</v>
      </c>
      <c r="C6748" s="27" t="s">
        <v>50</v>
      </c>
      <c r="D6748" s="27" t="s">
        <v>6</v>
      </c>
      <c r="E6748" s="27" t="s">
        <v>9</v>
      </c>
      <c r="F6748" s="29"/>
      <c r="G6748" s="30">
        <v>73.436666666666667</v>
      </c>
    </row>
    <row r="6749" spans="1:7" hidden="1" x14ac:dyDescent="0.25">
      <c r="A6749" s="28">
        <v>44105</v>
      </c>
      <c r="B6749" s="27" t="s">
        <v>179</v>
      </c>
      <c r="C6749" s="27" t="s">
        <v>50</v>
      </c>
      <c r="D6749" s="27" t="s">
        <v>6</v>
      </c>
      <c r="E6749" s="27" t="s">
        <v>22</v>
      </c>
      <c r="F6749" s="29"/>
      <c r="G6749" s="30">
        <v>98.38666666666667</v>
      </c>
    </row>
    <row r="6750" spans="1:7" hidden="1" x14ac:dyDescent="0.25">
      <c r="A6750" s="28">
        <v>44105</v>
      </c>
      <c r="B6750" s="27" t="s">
        <v>179</v>
      </c>
      <c r="C6750" s="27" t="s">
        <v>50</v>
      </c>
      <c r="D6750" s="27" t="s">
        <v>6</v>
      </c>
      <c r="E6750" s="27" t="s">
        <v>64</v>
      </c>
      <c r="F6750" s="29"/>
      <c r="G6750" s="30">
        <v>58.149166666666666</v>
      </c>
    </row>
    <row r="6751" spans="1:7" hidden="1" x14ac:dyDescent="0.25">
      <c r="A6751" s="28">
        <v>44105</v>
      </c>
      <c r="B6751" s="27" t="s">
        <v>179</v>
      </c>
      <c r="C6751" s="27" t="s">
        <v>50</v>
      </c>
      <c r="D6751" s="27" t="s">
        <v>6</v>
      </c>
      <c r="E6751" s="27" t="s">
        <v>21</v>
      </c>
      <c r="F6751" s="29"/>
      <c r="G6751" s="30">
        <v>67.641666666666666</v>
      </c>
    </row>
    <row r="6752" spans="1:7" hidden="1" x14ac:dyDescent="0.25">
      <c r="A6752" s="28">
        <v>44105</v>
      </c>
      <c r="B6752" s="27" t="s">
        <v>179</v>
      </c>
      <c r="C6752" s="27" t="s">
        <v>50</v>
      </c>
      <c r="D6752" s="27" t="s">
        <v>6</v>
      </c>
      <c r="E6752" s="27" t="s">
        <v>10</v>
      </c>
      <c r="F6752" s="29"/>
      <c r="G6752" s="30">
        <v>88.40666666666668</v>
      </c>
    </row>
    <row r="6753" spans="1:7" hidden="1" x14ac:dyDescent="0.25">
      <c r="A6753" s="28">
        <v>44105</v>
      </c>
      <c r="B6753" s="27" t="s">
        <v>179</v>
      </c>
      <c r="C6753" s="27" t="s">
        <v>50</v>
      </c>
      <c r="D6753" s="27" t="s">
        <v>6</v>
      </c>
      <c r="E6753" s="27" t="s">
        <v>11</v>
      </c>
      <c r="F6753" s="29"/>
      <c r="G6753" s="30">
        <v>66.776666666666671</v>
      </c>
    </row>
    <row r="6754" spans="1:7" hidden="1" x14ac:dyDescent="0.25">
      <c r="A6754" s="28">
        <v>44105</v>
      </c>
      <c r="B6754" s="27" t="s">
        <v>179</v>
      </c>
      <c r="C6754" s="27" t="s">
        <v>50</v>
      </c>
      <c r="D6754" s="27" t="s">
        <v>6</v>
      </c>
      <c r="E6754" s="27" t="s">
        <v>12</v>
      </c>
      <c r="F6754" s="29"/>
      <c r="G6754" s="30">
        <v>68.674166666666665</v>
      </c>
    </row>
    <row r="6755" spans="1:7" hidden="1" x14ac:dyDescent="0.25">
      <c r="A6755" s="28">
        <v>44105</v>
      </c>
      <c r="B6755" s="27" t="s">
        <v>179</v>
      </c>
      <c r="C6755" s="27" t="s">
        <v>50</v>
      </c>
      <c r="D6755" s="27" t="s">
        <v>6</v>
      </c>
      <c r="E6755" s="27" t="s">
        <v>13</v>
      </c>
      <c r="F6755" s="29"/>
      <c r="G6755" s="30">
        <v>94.161666666666676</v>
      </c>
    </row>
    <row r="6756" spans="1:7" hidden="1" x14ac:dyDescent="0.25">
      <c r="A6756" s="28">
        <v>44105</v>
      </c>
      <c r="B6756" s="27" t="s">
        <v>179</v>
      </c>
      <c r="C6756" s="27" t="s">
        <v>50</v>
      </c>
      <c r="D6756" s="27" t="s">
        <v>6</v>
      </c>
      <c r="E6756" s="27" t="s">
        <v>14</v>
      </c>
      <c r="F6756" s="29"/>
      <c r="G6756" s="30">
        <v>84.979166666666671</v>
      </c>
    </row>
    <row r="6757" spans="1:7" hidden="1" x14ac:dyDescent="0.25">
      <c r="A6757" s="28">
        <v>44105</v>
      </c>
      <c r="B6757" s="27" t="s">
        <v>179</v>
      </c>
      <c r="C6757" s="27" t="s">
        <v>50</v>
      </c>
      <c r="D6757" s="27" t="s">
        <v>6</v>
      </c>
      <c r="E6757" s="27" t="s">
        <v>15</v>
      </c>
      <c r="F6757" s="29"/>
      <c r="G6757" s="30">
        <v>90.716666666666654</v>
      </c>
    </row>
    <row r="6758" spans="1:7" hidden="1" x14ac:dyDescent="0.25">
      <c r="A6758" s="28">
        <v>44105</v>
      </c>
      <c r="B6758" s="27" t="s">
        <v>179</v>
      </c>
      <c r="C6758" s="27" t="s">
        <v>50</v>
      </c>
      <c r="D6758" s="27" t="s">
        <v>6</v>
      </c>
      <c r="E6758" s="27" t="s">
        <v>16</v>
      </c>
      <c r="F6758" s="29"/>
      <c r="G6758" s="30">
        <v>92.149166666666659</v>
      </c>
    </row>
    <row r="6759" spans="1:7" hidden="1" x14ac:dyDescent="0.25">
      <c r="A6759" s="28">
        <v>44105</v>
      </c>
      <c r="B6759" s="27" t="s">
        <v>179</v>
      </c>
      <c r="C6759" s="27" t="s">
        <v>50</v>
      </c>
      <c r="D6759" s="27" t="s">
        <v>6</v>
      </c>
      <c r="E6759" s="27" t="s">
        <v>17</v>
      </c>
      <c r="F6759" s="29"/>
      <c r="G6759" s="30">
        <v>142.66166666666666</v>
      </c>
    </row>
    <row r="6760" spans="1:7" hidden="1" x14ac:dyDescent="0.25">
      <c r="A6760" s="28">
        <v>44105</v>
      </c>
      <c r="B6760" s="27" t="s">
        <v>179</v>
      </c>
      <c r="C6760" s="27" t="s">
        <v>50</v>
      </c>
      <c r="D6760" s="27" t="s">
        <v>6</v>
      </c>
      <c r="E6760" s="27" t="s">
        <v>18</v>
      </c>
      <c r="F6760" s="29"/>
      <c r="G6760" s="30">
        <v>190.84666666666666</v>
      </c>
    </row>
    <row r="6761" spans="1:7" hidden="1" x14ac:dyDescent="0.25">
      <c r="A6761" s="28">
        <v>44105</v>
      </c>
      <c r="B6761" s="27" t="s">
        <v>179</v>
      </c>
      <c r="C6761" s="27" t="s">
        <v>50</v>
      </c>
      <c r="D6761" s="27" t="s">
        <v>6</v>
      </c>
      <c r="E6761" s="27" t="s">
        <v>19</v>
      </c>
      <c r="F6761" s="29"/>
      <c r="G6761" s="30">
        <v>129.04666666666665</v>
      </c>
    </row>
    <row r="6762" spans="1:7" hidden="1" x14ac:dyDescent="0.25">
      <c r="A6762" s="28">
        <v>44105</v>
      </c>
      <c r="B6762" s="27" t="s">
        <v>179</v>
      </c>
      <c r="C6762" s="27" t="s">
        <v>50</v>
      </c>
      <c r="D6762" s="27" t="s">
        <v>6</v>
      </c>
      <c r="E6762" s="27" t="s">
        <v>20</v>
      </c>
      <c r="F6762" s="29"/>
      <c r="G6762" s="30">
        <v>235.09666666666666</v>
      </c>
    </row>
    <row r="6763" spans="1:7" hidden="1" x14ac:dyDescent="0.25">
      <c r="A6763" s="28">
        <v>44105</v>
      </c>
      <c r="B6763" s="27" t="s">
        <v>179</v>
      </c>
      <c r="C6763" s="27" t="s">
        <v>50</v>
      </c>
      <c r="D6763" s="27" t="s">
        <v>6</v>
      </c>
      <c r="E6763" s="27" t="s">
        <v>38</v>
      </c>
      <c r="F6763" s="29"/>
      <c r="G6763" s="30">
        <v>108.04666666666667</v>
      </c>
    </row>
    <row r="6764" spans="1:7" hidden="1" x14ac:dyDescent="0.25">
      <c r="A6764" s="28">
        <v>44105</v>
      </c>
      <c r="B6764" s="27" t="s">
        <v>179</v>
      </c>
      <c r="C6764" s="27" t="s">
        <v>50</v>
      </c>
      <c r="D6764" s="27" t="s">
        <v>6</v>
      </c>
      <c r="E6764" s="27" t="s">
        <v>23</v>
      </c>
      <c r="F6764" s="29"/>
      <c r="G6764" s="30">
        <v>149.57916666666668</v>
      </c>
    </row>
    <row r="6765" spans="1:7" hidden="1" x14ac:dyDescent="0.25">
      <c r="A6765" s="28">
        <v>44105</v>
      </c>
      <c r="B6765" s="27" t="s">
        <v>32</v>
      </c>
      <c r="C6765" s="27" t="s">
        <v>50</v>
      </c>
      <c r="D6765" s="27" t="s">
        <v>7</v>
      </c>
      <c r="E6765" s="27" t="s">
        <v>10</v>
      </c>
      <c r="F6765" s="29"/>
      <c r="G6765" s="30">
        <v>30</v>
      </c>
    </row>
    <row r="6766" spans="1:7" hidden="1" x14ac:dyDescent="0.25">
      <c r="A6766" s="28">
        <v>44105</v>
      </c>
      <c r="B6766" s="27" t="s">
        <v>32</v>
      </c>
      <c r="C6766" s="27" t="s">
        <v>50</v>
      </c>
      <c r="D6766" s="27" t="s">
        <v>7</v>
      </c>
      <c r="E6766" s="27" t="s">
        <v>17</v>
      </c>
      <c r="F6766" s="29"/>
      <c r="G6766" s="30">
        <v>30</v>
      </c>
    </row>
    <row r="6767" spans="1:7" hidden="1" x14ac:dyDescent="0.25">
      <c r="A6767" s="28">
        <v>44105</v>
      </c>
      <c r="B6767" s="27" t="s">
        <v>5</v>
      </c>
      <c r="C6767" s="27" t="s">
        <v>51</v>
      </c>
      <c r="D6767" s="27" t="s">
        <v>51</v>
      </c>
      <c r="E6767" s="27" t="s">
        <v>8</v>
      </c>
      <c r="F6767" s="29">
        <v>4675</v>
      </c>
      <c r="G6767" s="30">
        <v>3.5949054374081375</v>
      </c>
    </row>
    <row r="6768" spans="1:7" hidden="1" x14ac:dyDescent="0.25">
      <c r="A6768" s="28">
        <v>44105</v>
      </c>
      <c r="B6768" s="27" t="s">
        <v>5</v>
      </c>
      <c r="C6768" s="27" t="s">
        <v>51</v>
      </c>
      <c r="D6768" s="27" t="s">
        <v>51</v>
      </c>
      <c r="E6768" s="27" t="s">
        <v>9</v>
      </c>
      <c r="F6768" s="29">
        <v>4401</v>
      </c>
      <c r="G6768" s="30">
        <v>3.8878409649056369</v>
      </c>
    </row>
    <row r="6769" spans="1:7" hidden="1" x14ac:dyDescent="0.25">
      <c r="A6769" s="28">
        <v>44105</v>
      </c>
      <c r="B6769" s="27" t="s">
        <v>5</v>
      </c>
      <c r="C6769" s="27" t="s">
        <v>51</v>
      </c>
      <c r="D6769" s="27" t="s">
        <v>51</v>
      </c>
      <c r="E6769" s="27" t="s">
        <v>22</v>
      </c>
      <c r="F6769" s="29">
        <v>3705</v>
      </c>
      <c r="G6769" s="30">
        <v>4.0762484264191752</v>
      </c>
    </row>
    <row r="6770" spans="1:7" hidden="1" x14ac:dyDescent="0.25">
      <c r="A6770" s="28">
        <v>44105</v>
      </c>
      <c r="B6770" s="27" t="s">
        <v>5</v>
      </c>
      <c r="C6770" s="27" t="s">
        <v>51</v>
      </c>
      <c r="D6770" s="27" t="s">
        <v>51</v>
      </c>
      <c r="E6770" s="27" t="s">
        <v>64</v>
      </c>
      <c r="F6770" s="29">
        <v>2378</v>
      </c>
      <c r="G6770" s="30">
        <v>6.245558699137808</v>
      </c>
    </row>
    <row r="6771" spans="1:7" hidden="1" x14ac:dyDescent="0.25">
      <c r="A6771" s="28">
        <v>44105</v>
      </c>
      <c r="B6771" s="27" t="s">
        <v>5</v>
      </c>
      <c r="C6771" s="27" t="s">
        <v>51</v>
      </c>
      <c r="D6771" s="27" t="s">
        <v>51</v>
      </c>
      <c r="E6771" s="27" t="s">
        <v>21</v>
      </c>
      <c r="F6771" s="29">
        <v>4318</v>
      </c>
      <c r="G6771" s="30">
        <v>4.5564455966997937</v>
      </c>
    </row>
    <row r="6772" spans="1:7" hidden="1" x14ac:dyDescent="0.25">
      <c r="A6772" s="28">
        <v>44105</v>
      </c>
      <c r="B6772" s="27" t="s">
        <v>5</v>
      </c>
      <c r="C6772" s="27" t="s">
        <v>51</v>
      </c>
      <c r="D6772" s="27" t="s">
        <v>51</v>
      </c>
      <c r="E6772" s="27" t="s">
        <v>10</v>
      </c>
      <c r="F6772" s="29">
        <v>4454</v>
      </c>
      <c r="G6772" s="30">
        <v>4.0701403427368001</v>
      </c>
    </row>
    <row r="6773" spans="1:7" hidden="1" x14ac:dyDescent="0.25">
      <c r="A6773" s="28">
        <v>44105</v>
      </c>
      <c r="B6773" s="27" t="s">
        <v>5</v>
      </c>
      <c r="C6773" s="27" t="s">
        <v>51</v>
      </c>
      <c r="D6773" s="27" t="s">
        <v>51</v>
      </c>
      <c r="E6773" s="27" t="s">
        <v>11</v>
      </c>
      <c r="F6773" s="29">
        <v>3291</v>
      </c>
      <c r="G6773" s="30">
        <v>4.2455931590852956</v>
      </c>
    </row>
    <row r="6774" spans="1:7" hidden="1" x14ac:dyDescent="0.25">
      <c r="A6774" s="28">
        <v>44105</v>
      </c>
      <c r="B6774" s="27" t="s">
        <v>5</v>
      </c>
      <c r="C6774" s="27" t="s">
        <v>51</v>
      </c>
      <c r="D6774" s="27" t="s">
        <v>51</v>
      </c>
      <c r="E6774" s="27" t="s">
        <v>12</v>
      </c>
      <c r="F6774" s="29">
        <v>3203</v>
      </c>
      <c r="G6774" s="30">
        <v>3.9071537891194841</v>
      </c>
    </row>
    <row r="6775" spans="1:7" hidden="1" x14ac:dyDescent="0.25">
      <c r="A6775" s="28">
        <v>44105</v>
      </c>
      <c r="B6775" s="27" t="s">
        <v>5</v>
      </c>
      <c r="C6775" s="27" t="s">
        <v>51</v>
      </c>
      <c r="D6775" s="27" t="s">
        <v>51</v>
      </c>
      <c r="E6775" s="27" t="s">
        <v>13</v>
      </c>
      <c r="F6775" s="29">
        <v>7968</v>
      </c>
      <c r="G6775" s="30">
        <v>2.4681352183588157</v>
      </c>
    </row>
    <row r="6776" spans="1:7" hidden="1" x14ac:dyDescent="0.25">
      <c r="A6776" s="28">
        <v>44105</v>
      </c>
      <c r="B6776" s="27" t="s">
        <v>5</v>
      </c>
      <c r="C6776" s="27" t="s">
        <v>51</v>
      </c>
      <c r="D6776" s="27" t="s">
        <v>51</v>
      </c>
      <c r="E6776" s="27" t="s">
        <v>14</v>
      </c>
      <c r="F6776" s="29">
        <v>3183</v>
      </c>
      <c r="G6776" s="30">
        <v>3.5956918797412429</v>
      </c>
    </row>
    <row r="6777" spans="1:7" hidden="1" x14ac:dyDescent="0.25">
      <c r="A6777" s="28">
        <v>44105</v>
      </c>
      <c r="B6777" s="27" t="s">
        <v>5</v>
      </c>
      <c r="C6777" s="27" t="s">
        <v>51</v>
      </c>
      <c r="D6777" s="27" t="s">
        <v>51</v>
      </c>
      <c r="E6777" s="27" t="s">
        <v>15</v>
      </c>
      <c r="F6777" s="29">
        <v>5756</v>
      </c>
      <c r="G6777" s="30">
        <v>2.9794830472347189</v>
      </c>
    </row>
    <row r="6778" spans="1:7" hidden="1" x14ac:dyDescent="0.25">
      <c r="A6778" s="28">
        <v>44105</v>
      </c>
      <c r="B6778" s="27" t="s">
        <v>5</v>
      </c>
      <c r="C6778" s="27" t="s">
        <v>51</v>
      </c>
      <c r="D6778" s="27" t="s">
        <v>51</v>
      </c>
      <c r="E6778" s="27" t="s">
        <v>16</v>
      </c>
      <c r="F6778" s="29">
        <v>3018</v>
      </c>
      <c r="G6778" s="30">
        <v>5.0680504483818343</v>
      </c>
    </row>
    <row r="6779" spans="1:7" hidden="1" x14ac:dyDescent="0.25">
      <c r="A6779" s="28">
        <v>44105</v>
      </c>
      <c r="B6779" s="27" t="s">
        <v>5</v>
      </c>
      <c r="C6779" s="27" t="s">
        <v>51</v>
      </c>
      <c r="D6779" s="27" t="s">
        <v>51</v>
      </c>
      <c r="E6779" s="27" t="s">
        <v>17</v>
      </c>
      <c r="F6779" s="29">
        <v>4301</v>
      </c>
      <c r="G6779" s="30">
        <v>4.022604530702095</v>
      </c>
    </row>
    <row r="6780" spans="1:7" hidden="1" x14ac:dyDescent="0.25">
      <c r="A6780" s="28">
        <v>44105</v>
      </c>
      <c r="B6780" s="27" t="s">
        <v>5</v>
      </c>
      <c r="C6780" s="27" t="s">
        <v>51</v>
      </c>
      <c r="D6780" s="27" t="s">
        <v>51</v>
      </c>
      <c r="E6780" s="27" t="s">
        <v>18</v>
      </c>
      <c r="F6780" s="29">
        <v>4837</v>
      </c>
      <c r="G6780" s="30">
        <v>3.1269553621148871</v>
      </c>
    </row>
    <row r="6781" spans="1:7" hidden="1" x14ac:dyDescent="0.25">
      <c r="A6781" s="28">
        <v>44105</v>
      </c>
      <c r="B6781" s="27" t="s">
        <v>5</v>
      </c>
      <c r="C6781" s="27" t="s">
        <v>51</v>
      </c>
      <c r="D6781" s="27" t="s">
        <v>51</v>
      </c>
      <c r="E6781" s="27" t="s">
        <v>19</v>
      </c>
      <c r="F6781" s="29">
        <v>7940</v>
      </c>
      <c r="G6781" s="30">
        <v>2.4120951830247321</v>
      </c>
    </row>
    <row r="6782" spans="1:7" hidden="1" x14ac:dyDescent="0.25">
      <c r="A6782" s="28">
        <v>44105</v>
      </c>
      <c r="B6782" s="27" t="s">
        <v>5</v>
      </c>
      <c r="C6782" s="27" t="s">
        <v>51</v>
      </c>
      <c r="D6782" s="27" t="s">
        <v>51</v>
      </c>
      <c r="E6782" s="27" t="s">
        <v>20</v>
      </c>
      <c r="F6782" s="29">
        <v>4729</v>
      </c>
      <c r="G6782" s="30">
        <v>2.7902259998342935</v>
      </c>
    </row>
    <row r="6783" spans="1:7" hidden="1" x14ac:dyDescent="0.25">
      <c r="A6783" s="28">
        <v>44105</v>
      </c>
      <c r="B6783" s="27" t="s">
        <v>5</v>
      </c>
      <c r="C6783" s="27" t="s">
        <v>51</v>
      </c>
      <c r="D6783" s="27" t="s">
        <v>51</v>
      </c>
      <c r="E6783" s="27" t="s">
        <v>38</v>
      </c>
      <c r="F6783" s="29">
        <v>3606</v>
      </c>
      <c r="G6783" s="30">
        <v>2.8838423238721695</v>
      </c>
    </row>
    <row r="6784" spans="1:7" hidden="1" x14ac:dyDescent="0.25">
      <c r="A6784" s="28">
        <v>44105</v>
      </c>
      <c r="B6784" s="27" t="s">
        <v>5</v>
      </c>
      <c r="C6784" s="27" t="s">
        <v>51</v>
      </c>
      <c r="D6784" s="27" t="s">
        <v>51</v>
      </c>
      <c r="E6784" s="27" t="s">
        <v>23</v>
      </c>
      <c r="F6784" s="29">
        <v>5973</v>
      </c>
      <c r="G6784" s="30">
        <v>3.1195980110301424</v>
      </c>
    </row>
    <row r="6785" spans="1:7" hidden="1" x14ac:dyDescent="0.25">
      <c r="A6785" s="28">
        <v>44105</v>
      </c>
      <c r="B6785" s="27" t="s">
        <v>180</v>
      </c>
      <c r="C6785" s="27" t="s">
        <v>50</v>
      </c>
      <c r="D6785" s="27" t="s">
        <v>7</v>
      </c>
      <c r="E6785" s="27" t="s">
        <v>8</v>
      </c>
      <c r="F6785" s="29"/>
      <c r="G6785" s="30">
        <v>295</v>
      </c>
    </row>
    <row r="6786" spans="1:7" hidden="1" x14ac:dyDescent="0.25">
      <c r="A6786" s="28">
        <v>44105</v>
      </c>
      <c r="B6786" s="27" t="s">
        <v>180</v>
      </c>
      <c r="C6786" s="27" t="s">
        <v>50</v>
      </c>
      <c r="D6786" s="27" t="s">
        <v>7</v>
      </c>
      <c r="E6786" s="27" t="s">
        <v>64</v>
      </c>
      <c r="F6786" s="29"/>
      <c r="G6786" s="30">
        <v>600</v>
      </c>
    </row>
    <row r="6787" spans="1:7" hidden="1" x14ac:dyDescent="0.25">
      <c r="A6787" s="28">
        <v>44105</v>
      </c>
      <c r="B6787" s="27" t="s">
        <v>180</v>
      </c>
      <c r="C6787" s="27" t="s">
        <v>50</v>
      </c>
      <c r="D6787" s="27" t="s">
        <v>7</v>
      </c>
      <c r="E6787" s="27" t="s">
        <v>21</v>
      </c>
      <c r="F6787" s="29"/>
      <c r="G6787" s="30">
        <v>3041.15</v>
      </c>
    </row>
    <row r="6788" spans="1:7" hidden="1" x14ac:dyDescent="0.25">
      <c r="A6788" s="28">
        <v>44105</v>
      </c>
      <c r="B6788" s="27" t="s">
        <v>180</v>
      </c>
      <c r="C6788" s="27" t="s">
        <v>50</v>
      </c>
      <c r="D6788" s="27" t="s">
        <v>7</v>
      </c>
      <c r="E6788" s="27" t="s">
        <v>15</v>
      </c>
      <c r="F6788" s="29"/>
      <c r="G6788" s="30">
        <v>205</v>
      </c>
    </row>
    <row r="6789" spans="1:7" hidden="1" x14ac:dyDescent="0.25">
      <c r="A6789" s="28">
        <v>44105</v>
      </c>
      <c r="B6789" s="27" t="s">
        <v>180</v>
      </c>
      <c r="C6789" s="27" t="s">
        <v>50</v>
      </c>
      <c r="D6789" s="27" t="s">
        <v>7</v>
      </c>
      <c r="E6789" s="27" t="s">
        <v>37</v>
      </c>
      <c r="F6789" s="29"/>
      <c r="G6789" s="30">
        <v>220</v>
      </c>
    </row>
    <row r="6790" spans="1:7" hidden="1" x14ac:dyDescent="0.25">
      <c r="A6790" s="28">
        <v>44105</v>
      </c>
      <c r="B6790" s="27" t="s">
        <v>181</v>
      </c>
      <c r="C6790" s="27" t="s">
        <v>50</v>
      </c>
      <c r="D6790" s="27" t="s">
        <v>6</v>
      </c>
      <c r="E6790" s="27" t="s">
        <v>8</v>
      </c>
      <c r="F6790" s="29"/>
      <c r="G6790" s="30">
        <v>525</v>
      </c>
    </row>
    <row r="6791" spans="1:7" hidden="1" x14ac:dyDescent="0.25">
      <c r="A6791" s="28">
        <v>44105</v>
      </c>
      <c r="B6791" s="27" t="s">
        <v>181</v>
      </c>
      <c r="C6791" s="27" t="s">
        <v>50</v>
      </c>
      <c r="D6791" s="27" t="s">
        <v>6</v>
      </c>
      <c r="E6791" s="27" t="s">
        <v>9</v>
      </c>
      <c r="F6791" s="29"/>
      <c r="G6791" s="30">
        <v>204</v>
      </c>
    </row>
    <row r="6792" spans="1:7" hidden="1" x14ac:dyDescent="0.25">
      <c r="A6792" s="28">
        <v>44105</v>
      </c>
      <c r="B6792" s="27" t="s">
        <v>181</v>
      </c>
      <c r="C6792" s="27" t="s">
        <v>50</v>
      </c>
      <c r="D6792" s="27" t="s">
        <v>6</v>
      </c>
      <c r="E6792" s="27" t="s">
        <v>64</v>
      </c>
      <c r="F6792" s="29"/>
      <c r="G6792" s="30">
        <v>2235</v>
      </c>
    </row>
    <row r="6793" spans="1:7" hidden="1" x14ac:dyDescent="0.25">
      <c r="A6793" s="28">
        <v>44105</v>
      </c>
      <c r="B6793" s="27" t="s">
        <v>181</v>
      </c>
      <c r="C6793" s="27" t="s">
        <v>50</v>
      </c>
      <c r="D6793" s="27" t="s">
        <v>6</v>
      </c>
      <c r="E6793" s="27" t="s">
        <v>21</v>
      </c>
      <c r="F6793" s="29"/>
      <c r="G6793" s="30">
        <v>650</v>
      </c>
    </row>
    <row r="6794" spans="1:7" hidden="1" x14ac:dyDescent="0.25">
      <c r="A6794" s="28">
        <v>44105</v>
      </c>
      <c r="B6794" s="27" t="s">
        <v>181</v>
      </c>
      <c r="C6794" s="27" t="s">
        <v>50</v>
      </c>
      <c r="D6794" s="27" t="s">
        <v>6</v>
      </c>
      <c r="E6794" s="27" t="s">
        <v>12</v>
      </c>
      <c r="F6794" s="29"/>
      <c r="G6794" s="30">
        <v>49.99</v>
      </c>
    </row>
    <row r="6795" spans="1:7" hidden="1" x14ac:dyDescent="0.25">
      <c r="A6795" s="28">
        <v>44105</v>
      </c>
      <c r="B6795" s="27" t="s">
        <v>181</v>
      </c>
      <c r="C6795" s="27" t="s">
        <v>50</v>
      </c>
      <c r="D6795" s="27" t="s">
        <v>6</v>
      </c>
      <c r="E6795" s="27" t="s">
        <v>15</v>
      </c>
      <c r="F6795" s="29"/>
      <c r="G6795" s="30">
        <v>70</v>
      </c>
    </row>
    <row r="6796" spans="1:7" hidden="1" x14ac:dyDescent="0.25">
      <c r="A6796" s="28">
        <v>44105</v>
      </c>
      <c r="B6796" s="27" t="s">
        <v>181</v>
      </c>
      <c r="C6796" s="27" t="s">
        <v>50</v>
      </c>
      <c r="D6796" s="27" t="s">
        <v>6</v>
      </c>
      <c r="E6796" s="27" t="s">
        <v>16</v>
      </c>
      <c r="F6796" s="29"/>
      <c r="G6796" s="30">
        <v>600</v>
      </c>
    </row>
    <row r="6797" spans="1:7" hidden="1" x14ac:dyDescent="0.25">
      <c r="A6797" s="28">
        <v>44105</v>
      </c>
      <c r="B6797" s="27" t="s">
        <v>181</v>
      </c>
      <c r="C6797" s="27" t="s">
        <v>50</v>
      </c>
      <c r="D6797" s="27" t="s">
        <v>6</v>
      </c>
      <c r="E6797" s="27" t="s">
        <v>18</v>
      </c>
      <c r="F6797" s="29"/>
      <c r="G6797" s="30">
        <v>1944</v>
      </c>
    </row>
    <row r="6798" spans="1:7" hidden="1" x14ac:dyDescent="0.25">
      <c r="A6798" s="28">
        <v>44105</v>
      </c>
      <c r="B6798" s="27" t="s">
        <v>181</v>
      </c>
      <c r="C6798" s="27" t="s">
        <v>50</v>
      </c>
      <c r="D6798" s="27" t="s">
        <v>6</v>
      </c>
      <c r="E6798" s="27" t="s">
        <v>23</v>
      </c>
      <c r="F6798" s="29"/>
      <c r="G6798" s="30">
        <v>89</v>
      </c>
    </row>
    <row r="6799" spans="1:7" hidden="1" x14ac:dyDescent="0.25">
      <c r="A6799" s="28">
        <v>44105</v>
      </c>
      <c r="B6799" s="27" t="s">
        <v>2</v>
      </c>
      <c r="C6799" s="27" t="s">
        <v>50</v>
      </c>
      <c r="D6799" s="27" t="s">
        <v>7</v>
      </c>
      <c r="E6799" s="27" t="s">
        <v>8</v>
      </c>
      <c r="F6799" s="29"/>
      <c r="G6799" s="30">
        <v>381.48</v>
      </c>
    </row>
    <row r="6800" spans="1:7" hidden="1" x14ac:dyDescent="0.25">
      <c r="A6800" s="28">
        <v>44105</v>
      </c>
      <c r="B6800" s="27" t="s">
        <v>2</v>
      </c>
      <c r="C6800" s="27" t="s">
        <v>50</v>
      </c>
      <c r="D6800" s="27" t="s">
        <v>7</v>
      </c>
      <c r="E6800" s="27" t="s">
        <v>9</v>
      </c>
      <c r="F6800" s="29"/>
      <c r="G6800" s="30">
        <v>688.81</v>
      </c>
    </row>
    <row r="6801" spans="1:7" hidden="1" x14ac:dyDescent="0.25">
      <c r="A6801" s="28">
        <v>44105</v>
      </c>
      <c r="B6801" s="27" t="s">
        <v>2</v>
      </c>
      <c r="C6801" s="27" t="s">
        <v>50</v>
      </c>
      <c r="D6801" s="27" t="s">
        <v>7</v>
      </c>
      <c r="E6801" s="27" t="s">
        <v>22</v>
      </c>
      <c r="F6801" s="29"/>
      <c r="G6801" s="30">
        <v>641.11</v>
      </c>
    </row>
    <row r="6802" spans="1:7" hidden="1" x14ac:dyDescent="0.25">
      <c r="A6802" s="28">
        <v>44105</v>
      </c>
      <c r="B6802" s="27" t="s">
        <v>2</v>
      </c>
      <c r="C6802" s="27" t="s">
        <v>50</v>
      </c>
      <c r="D6802" s="27" t="s">
        <v>7</v>
      </c>
      <c r="E6802" s="27" t="s">
        <v>64</v>
      </c>
      <c r="F6802" s="29"/>
      <c r="G6802" s="30">
        <v>113.38</v>
      </c>
    </row>
    <row r="6803" spans="1:7" hidden="1" x14ac:dyDescent="0.25">
      <c r="A6803" s="28">
        <v>44105</v>
      </c>
      <c r="B6803" s="27" t="s">
        <v>2</v>
      </c>
      <c r="C6803" s="27" t="s">
        <v>50</v>
      </c>
      <c r="D6803" s="27" t="s">
        <v>7</v>
      </c>
      <c r="E6803" s="27" t="s">
        <v>21</v>
      </c>
      <c r="F6803" s="29"/>
      <c r="G6803" s="30">
        <v>503.61</v>
      </c>
    </row>
    <row r="6804" spans="1:7" hidden="1" x14ac:dyDescent="0.25">
      <c r="A6804" s="28">
        <v>44105</v>
      </c>
      <c r="B6804" s="27" t="s">
        <v>2</v>
      </c>
      <c r="C6804" s="27" t="s">
        <v>50</v>
      </c>
      <c r="D6804" s="27" t="s">
        <v>7</v>
      </c>
      <c r="E6804" s="27" t="s">
        <v>10</v>
      </c>
      <c r="F6804" s="29"/>
      <c r="G6804" s="30">
        <v>532.78</v>
      </c>
    </row>
    <row r="6805" spans="1:7" hidden="1" x14ac:dyDescent="0.25">
      <c r="A6805" s="28">
        <v>44105</v>
      </c>
      <c r="B6805" s="27" t="s">
        <v>2</v>
      </c>
      <c r="C6805" s="27" t="s">
        <v>50</v>
      </c>
      <c r="D6805" s="27" t="s">
        <v>7</v>
      </c>
      <c r="E6805" s="27" t="s">
        <v>11</v>
      </c>
      <c r="F6805" s="29"/>
      <c r="G6805" s="30">
        <v>293.08</v>
      </c>
    </row>
    <row r="6806" spans="1:7" hidden="1" x14ac:dyDescent="0.25">
      <c r="A6806" s="28">
        <v>44105</v>
      </c>
      <c r="B6806" s="27" t="s">
        <v>2</v>
      </c>
      <c r="C6806" s="27" t="s">
        <v>50</v>
      </c>
      <c r="D6806" s="27" t="s">
        <v>7</v>
      </c>
      <c r="E6806" s="27" t="s">
        <v>12</v>
      </c>
      <c r="F6806" s="29"/>
      <c r="G6806" s="30">
        <v>737.48</v>
      </c>
    </row>
    <row r="6807" spans="1:7" hidden="1" x14ac:dyDescent="0.25">
      <c r="A6807" s="28">
        <v>44105</v>
      </c>
      <c r="B6807" s="27" t="s">
        <v>2</v>
      </c>
      <c r="C6807" s="27" t="s">
        <v>50</v>
      </c>
      <c r="D6807" s="27" t="s">
        <v>7</v>
      </c>
      <c r="E6807" s="27" t="s">
        <v>13</v>
      </c>
      <c r="F6807" s="29"/>
      <c r="G6807" s="30">
        <v>1619.44</v>
      </c>
    </row>
    <row r="6808" spans="1:7" hidden="1" x14ac:dyDescent="0.25">
      <c r="A6808" s="28">
        <v>44105</v>
      </c>
      <c r="B6808" s="27" t="s">
        <v>2</v>
      </c>
      <c r="C6808" s="27" t="s">
        <v>50</v>
      </c>
      <c r="D6808" s="27" t="s">
        <v>7</v>
      </c>
      <c r="E6808" s="27" t="s">
        <v>14</v>
      </c>
      <c r="F6808" s="29"/>
      <c r="G6808" s="30">
        <v>77.8</v>
      </c>
    </row>
    <row r="6809" spans="1:7" hidden="1" x14ac:dyDescent="0.25">
      <c r="A6809" s="28">
        <v>44105</v>
      </c>
      <c r="B6809" s="27" t="s">
        <v>2</v>
      </c>
      <c r="C6809" s="27" t="s">
        <v>50</v>
      </c>
      <c r="D6809" s="27" t="s">
        <v>7</v>
      </c>
      <c r="E6809" s="27" t="s">
        <v>15</v>
      </c>
      <c r="F6809" s="29"/>
      <c r="G6809" s="30">
        <v>502.27</v>
      </c>
    </row>
    <row r="6810" spans="1:7" hidden="1" x14ac:dyDescent="0.25">
      <c r="A6810" s="28">
        <v>44105</v>
      </c>
      <c r="B6810" s="27" t="s">
        <v>2</v>
      </c>
      <c r="C6810" s="27" t="s">
        <v>50</v>
      </c>
      <c r="D6810" s="27" t="s">
        <v>7</v>
      </c>
      <c r="E6810" s="27" t="s">
        <v>16</v>
      </c>
      <c r="F6810" s="29"/>
      <c r="G6810" s="30">
        <v>84.87</v>
      </c>
    </row>
    <row r="6811" spans="1:7" hidden="1" x14ac:dyDescent="0.25">
      <c r="A6811" s="28">
        <v>44105</v>
      </c>
      <c r="B6811" s="27" t="s">
        <v>2</v>
      </c>
      <c r="C6811" s="27" t="s">
        <v>50</v>
      </c>
      <c r="D6811" s="27" t="s">
        <v>7</v>
      </c>
      <c r="E6811" s="27" t="s">
        <v>17</v>
      </c>
      <c r="F6811" s="29"/>
      <c r="G6811" s="30">
        <v>831.67</v>
      </c>
    </row>
    <row r="6812" spans="1:7" hidden="1" x14ac:dyDescent="0.25">
      <c r="A6812" s="28">
        <v>44105</v>
      </c>
      <c r="B6812" s="27" t="s">
        <v>2</v>
      </c>
      <c r="C6812" s="27" t="s">
        <v>50</v>
      </c>
      <c r="D6812" s="27" t="s">
        <v>7</v>
      </c>
      <c r="E6812" s="27" t="s">
        <v>18</v>
      </c>
      <c r="F6812" s="29"/>
      <c r="G6812" s="30">
        <v>28.1</v>
      </c>
    </row>
    <row r="6813" spans="1:7" hidden="1" x14ac:dyDescent="0.25">
      <c r="A6813" s="28">
        <v>44105</v>
      </c>
      <c r="B6813" s="27" t="s">
        <v>2</v>
      </c>
      <c r="C6813" s="27" t="s">
        <v>50</v>
      </c>
      <c r="D6813" s="27" t="s">
        <v>7</v>
      </c>
      <c r="E6813" s="27" t="s">
        <v>19</v>
      </c>
      <c r="F6813" s="29"/>
      <c r="G6813" s="30">
        <v>900</v>
      </c>
    </row>
    <row r="6814" spans="1:7" hidden="1" x14ac:dyDescent="0.25">
      <c r="A6814" s="28">
        <v>44105</v>
      </c>
      <c r="B6814" s="27" t="s">
        <v>2</v>
      </c>
      <c r="C6814" s="27" t="s">
        <v>50</v>
      </c>
      <c r="D6814" s="27" t="s">
        <v>7</v>
      </c>
      <c r="E6814" s="27" t="s">
        <v>20</v>
      </c>
      <c r="F6814" s="29"/>
      <c r="G6814" s="30">
        <v>593.9</v>
      </c>
    </row>
    <row r="6815" spans="1:7" hidden="1" x14ac:dyDescent="0.25">
      <c r="A6815" s="28">
        <v>44105</v>
      </c>
      <c r="B6815" s="27" t="s">
        <v>2</v>
      </c>
      <c r="C6815" s="27" t="s">
        <v>50</v>
      </c>
      <c r="D6815" s="27" t="s">
        <v>7</v>
      </c>
      <c r="E6815" s="27" t="s">
        <v>38</v>
      </c>
      <c r="F6815" s="29"/>
      <c r="G6815" s="30">
        <v>28.1</v>
      </c>
    </row>
    <row r="6816" spans="1:7" hidden="1" x14ac:dyDescent="0.25">
      <c r="A6816" s="28">
        <v>44105</v>
      </c>
      <c r="B6816" s="27" t="s">
        <v>2</v>
      </c>
      <c r="C6816" s="27" t="s">
        <v>50</v>
      </c>
      <c r="D6816" s="27" t="s">
        <v>7</v>
      </c>
      <c r="E6816" s="27" t="s">
        <v>23</v>
      </c>
      <c r="F6816" s="29"/>
      <c r="G6816" s="30">
        <v>740.22</v>
      </c>
    </row>
    <row r="6817" spans="1:7" hidden="1" x14ac:dyDescent="0.25">
      <c r="A6817" s="28">
        <v>44105</v>
      </c>
      <c r="B6817" s="27" t="s">
        <v>36</v>
      </c>
      <c r="C6817" s="27" t="s">
        <v>50</v>
      </c>
      <c r="D6817" s="27" t="s">
        <v>6</v>
      </c>
      <c r="E6817" s="27" t="s">
        <v>8</v>
      </c>
      <c r="F6817" s="29"/>
      <c r="G6817" s="30">
        <v>330.97</v>
      </c>
    </row>
    <row r="6818" spans="1:7" hidden="1" x14ac:dyDescent="0.25">
      <c r="A6818" s="28">
        <v>44105</v>
      </c>
      <c r="B6818" s="27" t="s">
        <v>36</v>
      </c>
      <c r="C6818" s="27" t="s">
        <v>50</v>
      </c>
      <c r="D6818" s="27" t="s">
        <v>6</v>
      </c>
      <c r="E6818" s="27" t="s">
        <v>9</v>
      </c>
      <c r="F6818" s="29"/>
      <c r="G6818" s="30">
        <v>56</v>
      </c>
    </row>
    <row r="6819" spans="1:7" hidden="1" x14ac:dyDescent="0.25">
      <c r="A6819" s="28">
        <v>44105</v>
      </c>
      <c r="B6819" s="27" t="s">
        <v>36</v>
      </c>
      <c r="C6819" s="27" t="s">
        <v>50</v>
      </c>
      <c r="D6819" s="27" t="s">
        <v>6</v>
      </c>
      <c r="E6819" s="27" t="s">
        <v>22</v>
      </c>
      <c r="F6819" s="29"/>
      <c r="G6819" s="30">
        <v>153.5</v>
      </c>
    </row>
    <row r="6820" spans="1:7" hidden="1" x14ac:dyDescent="0.25">
      <c r="A6820" s="28">
        <v>44105</v>
      </c>
      <c r="B6820" s="27" t="s">
        <v>36</v>
      </c>
      <c r="C6820" s="27" t="s">
        <v>50</v>
      </c>
      <c r="D6820" s="27" t="s">
        <v>6</v>
      </c>
      <c r="E6820" s="27" t="s">
        <v>64</v>
      </c>
      <c r="F6820" s="29"/>
      <c r="G6820" s="30">
        <v>59</v>
      </c>
    </row>
    <row r="6821" spans="1:7" hidden="1" x14ac:dyDescent="0.25">
      <c r="A6821" s="28">
        <v>44105</v>
      </c>
      <c r="B6821" s="27" t="s">
        <v>36</v>
      </c>
      <c r="C6821" s="27" t="s">
        <v>50</v>
      </c>
      <c r="D6821" s="27" t="s">
        <v>6</v>
      </c>
      <c r="E6821" s="27" t="s">
        <v>21</v>
      </c>
      <c r="F6821" s="29"/>
      <c r="G6821" s="30">
        <v>98.57</v>
      </c>
    </row>
    <row r="6822" spans="1:7" hidden="1" x14ac:dyDescent="0.25">
      <c r="A6822" s="28">
        <v>44105</v>
      </c>
      <c r="B6822" s="27" t="s">
        <v>36</v>
      </c>
      <c r="C6822" s="27" t="s">
        <v>50</v>
      </c>
      <c r="D6822" s="27" t="s">
        <v>6</v>
      </c>
      <c r="E6822" s="27" t="s">
        <v>10</v>
      </c>
      <c r="F6822" s="29"/>
      <c r="G6822" s="30">
        <v>330.97</v>
      </c>
    </row>
    <row r="6823" spans="1:7" hidden="1" x14ac:dyDescent="0.25">
      <c r="A6823" s="28">
        <v>44105</v>
      </c>
      <c r="B6823" s="27" t="s">
        <v>36</v>
      </c>
      <c r="C6823" s="27" t="s">
        <v>50</v>
      </c>
      <c r="D6823" s="27" t="s">
        <v>6</v>
      </c>
      <c r="E6823" s="27" t="s">
        <v>11</v>
      </c>
      <c r="F6823" s="29"/>
      <c r="G6823" s="30">
        <v>153.5</v>
      </c>
    </row>
    <row r="6824" spans="1:7" hidden="1" x14ac:dyDescent="0.25">
      <c r="A6824" s="28">
        <v>44105</v>
      </c>
      <c r="B6824" s="27" t="s">
        <v>36</v>
      </c>
      <c r="C6824" s="27" t="s">
        <v>50</v>
      </c>
      <c r="D6824" s="27" t="s">
        <v>6</v>
      </c>
      <c r="E6824" s="27" t="s">
        <v>12</v>
      </c>
      <c r="F6824" s="29"/>
      <c r="G6824" s="30">
        <v>78.69</v>
      </c>
    </row>
    <row r="6825" spans="1:7" hidden="1" x14ac:dyDescent="0.25">
      <c r="A6825" s="28">
        <v>44105</v>
      </c>
      <c r="B6825" s="27" t="s">
        <v>36</v>
      </c>
      <c r="C6825" s="27" t="s">
        <v>50</v>
      </c>
      <c r="D6825" s="27" t="s">
        <v>6</v>
      </c>
      <c r="E6825" s="27" t="s">
        <v>13</v>
      </c>
      <c r="F6825" s="29"/>
      <c r="G6825" s="30">
        <v>59</v>
      </c>
    </row>
    <row r="6826" spans="1:7" hidden="1" x14ac:dyDescent="0.25">
      <c r="A6826" s="28">
        <v>44105</v>
      </c>
      <c r="B6826" s="27" t="s">
        <v>36</v>
      </c>
      <c r="C6826" s="27" t="s">
        <v>50</v>
      </c>
      <c r="D6826" s="27" t="s">
        <v>6</v>
      </c>
      <c r="E6826" s="27" t="s">
        <v>14</v>
      </c>
      <c r="F6826" s="29"/>
      <c r="G6826" s="30">
        <v>78.69</v>
      </c>
    </row>
    <row r="6827" spans="1:7" hidden="1" x14ac:dyDescent="0.25">
      <c r="A6827" s="28">
        <v>44105</v>
      </c>
      <c r="B6827" s="27" t="s">
        <v>36</v>
      </c>
      <c r="C6827" s="27" t="s">
        <v>50</v>
      </c>
      <c r="D6827" s="27" t="s">
        <v>6</v>
      </c>
      <c r="E6827" s="27" t="s">
        <v>15</v>
      </c>
      <c r="F6827" s="29"/>
      <c r="G6827" s="30">
        <v>284.19</v>
      </c>
    </row>
    <row r="6828" spans="1:7" hidden="1" x14ac:dyDescent="0.25">
      <c r="A6828" s="28">
        <v>44105</v>
      </c>
      <c r="B6828" s="27" t="s">
        <v>36</v>
      </c>
      <c r="C6828" s="27" t="s">
        <v>50</v>
      </c>
      <c r="D6828" s="27" t="s">
        <v>6</v>
      </c>
      <c r="E6828" s="27" t="s">
        <v>16</v>
      </c>
      <c r="F6828" s="29"/>
      <c r="G6828" s="30">
        <v>284.19</v>
      </c>
    </row>
    <row r="6829" spans="1:7" hidden="1" x14ac:dyDescent="0.25">
      <c r="A6829" s="28">
        <v>44105</v>
      </c>
      <c r="B6829" s="27" t="s">
        <v>36</v>
      </c>
      <c r="C6829" s="27" t="s">
        <v>50</v>
      </c>
      <c r="D6829" s="27" t="s">
        <v>6</v>
      </c>
      <c r="E6829" s="27" t="s">
        <v>17</v>
      </c>
      <c r="F6829" s="29"/>
      <c r="G6829" s="30">
        <v>153.5</v>
      </c>
    </row>
    <row r="6830" spans="1:7" hidden="1" x14ac:dyDescent="0.25">
      <c r="A6830" s="28">
        <v>44105</v>
      </c>
      <c r="B6830" s="27" t="s">
        <v>36</v>
      </c>
      <c r="C6830" s="27" t="s">
        <v>50</v>
      </c>
      <c r="D6830" s="27" t="s">
        <v>6</v>
      </c>
      <c r="E6830" s="27" t="s">
        <v>18</v>
      </c>
      <c r="F6830" s="29"/>
      <c r="G6830" s="30">
        <v>165.5</v>
      </c>
    </row>
    <row r="6831" spans="1:7" hidden="1" x14ac:dyDescent="0.25">
      <c r="A6831" s="28">
        <v>44105</v>
      </c>
      <c r="B6831" s="27" t="s">
        <v>36</v>
      </c>
      <c r="C6831" s="27" t="s">
        <v>50</v>
      </c>
      <c r="D6831" s="27" t="s">
        <v>6</v>
      </c>
      <c r="E6831" s="27" t="s">
        <v>19</v>
      </c>
      <c r="F6831" s="29"/>
      <c r="G6831" s="30">
        <v>296.19</v>
      </c>
    </row>
    <row r="6832" spans="1:7" hidden="1" x14ac:dyDescent="0.25">
      <c r="A6832" s="28">
        <v>44105</v>
      </c>
      <c r="B6832" s="27" t="s">
        <v>36</v>
      </c>
      <c r="C6832" s="27" t="s">
        <v>50</v>
      </c>
      <c r="D6832" s="27" t="s">
        <v>6</v>
      </c>
      <c r="E6832" s="27" t="s">
        <v>20</v>
      </c>
      <c r="F6832" s="29"/>
      <c r="G6832" s="30">
        <v>59</v>
      </c>
    </row>
    <row r="6833" spans="1:7" hidden="1" x14ac:dyDescent="0.25">
      <c r="A6833" s="28">
        <v>44105</v>
      </c>
      <c r="B6833" s="27" t="s">
        <v>36</v>
      </c>
      <c r="C6833" s="27" t="s">
        <v>50</v>
      </c>
      <c r="D6833" s="27" t="s">
        <v>6</v>
      </c>
      <c r="E6833" s="27" t="s">
        <v>38</v>
      </c>
      <c r="F6833" s="29"/>
      <c r="G6833" s="30">
        <v>56</v>
      </c>
    </row>
    <row r="6834" spans="1:7" hidden="1" x14ac:dyDescent="0.25">
      <c r="A6834" s="28">
        <v>44105</v>
      </c>
      <c r="B6834" s="27" t="s">
        <v>36</v>
      </c>
      <c r="C6834" s="27" t="s">
        <v>50</v>
      </c>
      <c r="D6834" s="27" t="s">
        <v>6</v>
      </c>
      <c r="E6834" s="27" t="s">
        <v>23</v>
      </c>
      <c r="F6834" s="29"/>
      <c r="G6834" s="30">
        <v>153.5</v>
      </c>
    </row>
    <row r="6835" spans="1:7" hidden="1" x14ac:dyDescent="0.25">
      <c r="A6835" s="28">
        <v>44105</v>
      </c>
      <c r="B6835" s="27" t="s">
        <v>200</v>
      </c>
      <c r="C6835" s="27" t="s">
        <v>53</v>
      </c>
      <c r="D6835" s="27" t="s">
        <v>6</v>
      </c>
      <c r="E6835" s="27" t="s">
        <v>8</v>
      </c>
      <c r="F6835" s="29"/>
      <c r="G6835" s="30">
        <f t="shared" ref="G6835:G6852" si="125">11801.6333333333/18</f>
        <v>655.64629629629451</v>
      </c>
    </row>
    <row r="6836" spans="1:7" hidden="1" x14ac:dyDescent="0.25">
      <c r="A6836" s="28">
        <v>44105</v>
      </c>
      <c r="B6836" s="27" t="s">
        <v>200</v>
      </c>
      <c r="C6836" s="27" t="s">
        <v>53</v>
      </c>
      <c r="D6836" s="27" t="s">
        <v>6</v>
      </c>
      <c r="E6836" s="27" t="s">
        <v>9</v>
      </c>
      <c r="F6836" s="29"/>
      <c r="G6836" s="30">
        <f t="shared" si="125"/>
        <v>655.64629629629451</v>
      </c>
    </row>
    <row r="6837" spans="1:7" hidden="1" x14ac:dyDescent="0.25">
      <c r="A6837" s="28">
        <v>44105</v>
      </c>
      <c r="B6837" s="27" t="s">
        <v>200</v>
      </c>
      <c r="C6837" s="27" t="s">
        <v>53</v>
      </c>
      <c r="D6837" s="27" t="s">
        <v>6</v>
      </c>
      <c r="E6837" s="27" t="s">
        <v>22</v>
      </c>
      <c r="F6837" s="29"/>
      <c r="G6837" s="30">
        <f t="shared" si="125"/>
        <v>655.64629629629451</v>
      </c>
    </row>
    <row r="6838" spans="1:7" hidden="1" x14ac:dyDescent="0.25">
      <c r="A6838" s="28">
        <v>44105</v>
      </c>
      <c r="B6838" s="27" t="s">
        <v>200</v>
      </c>
      <c r="C6838" s="27" t="s">
        <v>53</v>
      </c>
      <c r="D6838" s="27" t="s">
        <v>6</v>
      </c>
      <c r="E6838" s="27" t="s">
        <v>64</v>
      </c>
      <c r="F6838" s="29"/>
      <c r="G6838" s="30">
        <f t="shared" si="125"/>
        <v>655.64629629629451</v>
      </c>
    </row>
    <row r="6839" spans="1:7" hidden="1" x14ac:dyDescent="0.25">
      <c r="A6839" s="28">
        <v>44105</v>
      </c>
      <c r="B6839" s="27" t="s">
        <v>200</v>
      </c>
      <c r="C6839" s="27" t="s">
        <v>53</v>
      </c>
      <c r="D6839" s="27" t="s">
        <v>6</v>
      </c>
      <c r="E6839" s="27" t="s">
        <v>21</v>
      </c>
      <c r="F6839" s="29"/>
      <c r="G6839" s="30">
        <f t="shared" si="125"/>
        <v>655.64629629629451</v>
      </c>
    </row>
    <row r="6840" spans="1:7" hidden="1" x14ac:dyDescent="0.25">
      <c r="A6840" s="28">
        <v>44105</v>
      </c>
      <c r="B6840" s="27" t="s">
        <v>200</v>
      </c>
      <c r="C6840" s="27" t="s">
        <v>53</v>
      </c>
      <c r="D6840" s="27" t="s">
        <v>6</v>
      </c>
      <c r="E6840" s="27" t="s">
        <v>10</v>
      </c>
      <c r="F6840" s="29"/>
      <c r="G6840" s="30">
        <f t="shared" si="125"/>
        <v>655.64629629629451</v>
      </c>
    </row>
    <row r="6841" spans="1:7" hidden="1" x14ac:dyDescent="0.25">
      <c r="A6841" s="28">
        <v>44105</v>
      </c>
      <c r="B6841" s="27" t="s">
        <v>200</v>
      </c>
      <c r="C6841" s="27" t="s">
        <v>53</v>
      </c>
      <c r="D6841" s="27" t="s">
        <v>6</v>
      </c>
      <c r="E6841" s="27" t="s">
        <v>11</v>
      </c>
      <c r="F6841" s="29"/>
      <c r="G6841" s="30">
        <f t="shared" si="125"/>
        <v>655.64629629629451</v>
      </c>
    </row>
    <row r="6842" spans="1:7" hidden="1" x14ac:dyDescent="0.25">
      <c r="A6842" s="28">
        <v>44105</v>
      </c>
      <c r="B6842" s="27" t="s">
        <v>200</v>
      </c>
      <c r="C6842" s="27" t="s">
        <v>53</v>
      </c>
      <c r="D6842" s="27" t="s">
        <v>6</v>
      </c>
      <c r="E6842" s="27" t="s">
        <v>12</v>
      </c>
      <c r="F6842" s="29"/>
      <c r="G6842" s="30">
        <f t="shared" si="125"/>
        <v>655.64629629629451</v>
      </c>
    </row>
    <row r="6843" spans="1:7" hidden="1" x14ac:dyDescent="0.25">
      <c r="A6843" s="28">
        <v>44105</v>
      </c>
      <c r="B6843" s="27" t="s">
        <v>200</v>
      </c>
      <c r="C6843" s="27" t="s">
        <v>53</v>
      </c>
      <c r="D6843" s="27" t="s">
        <v>6</v>
      </c>
      <c r="E6843" s="27" t="s">
        <v>13</v>
      </c>
      <c r="F6843" s="29"/>
      <c r="G6843" s="30">
        <f t="shared" si="125"/>
        <v>655.64629629629451</v>
      </c>
    </row>
    <row r="6844" spans="1:7" hidden="1" x14ac:dyDescent="0.25">
      <c r="A6844" s="28">
        <v>44105</v>
      </c>
      <c r="B6844" s="27" t="s">
        <v>200</v>
      </c>
      <c r="C6844" s="27" t="s">
        <v>53</v>
      </c>
      <c r="D6844" s="27" t="s">
        <v>6</v>
      </c>
      <c r="E6844" s="27" t="s">
        <v>14</v>
      </c>
      <c r="F6844" s="29"/>
      <c r="G6844" s="30">
        <f t="shared" si="125"/>
        <v>655.64629629629451</v>
      </c>
    </row>
    <row r="6845" spans="1:7" hidden="1" x14ac:dyDescent="0.25">
      <c r="A6845" s="28">
        <v>44105</v>
      </c>
      <c r="B6845" s="27" t="s">
        <v>200</v>
      </c>
      <c r="C6845" s="27" t="s">
        <v>53</v>
      </c>
      <c r="D6845" s="27" t="s">
        <v>6</v>
      </c>
      <c r="E6845" s="27" t="s">
        <v>15</v>
      </c>
      <c r="F6845" s="29"/>
      <c r="G6845" s="30">
        <f t="shared" si="125"/>
        <v>655.64629629629451</v>
      </c>
    </row>
    <row r="6846" spans="1:7" hidden="1" x14ac:dyDescent="0.25">
      <c r="A6846" s="28">
        <v>44105</v>
      </c>
      <c r="B6846" s="27" t="s">
        <v>200</v>
      </c>
      <c r="C6846" s="27" t="s">
        <v>53</v>
      </c>
      <c r="D6846" s="27" t="s">
        <v>6</v>
      </c>
      <c r="E6846" s="27" t="s">
        <v>16</v>
      </c>
      <c r="F6846" s="29"/>
      <c r="G6846" s="30">
        <f t="shared" si="125"/>
        <v>655.64629629629451</v>
      </c>
    </row>
    <row r="6847" spans="1:7" hidden="1" x14ac:dyDescent="0.25">
      <c r="A6847" s="28">
        <v>44105</v>
      </c>
      <c r="B6847" s="27" t="s">
        <v>200</v>
      </c>
      <c r="C6847" s="27" t="s">
        <v>53</v>
      </c>
      <c r="D6847" s="27" t="s">
        <v>6</v>
      </c>
      <c r="E6847" s="27" t="s">
        <v>17</v>
      </c>
      <c r="F6847" s="29"/>
      <c r="G6847" s="30">
        <f t="shared" si="125"/>
        <v>655.64629629629451</v>
      </c>
    </row>
    <row r="6848" spans="1:7" hidden="1" x14ac:dyDescent="0.25">
      <c r="A6848" s="28">
        <v>44105</v>
      </c>
      <c r="B6848" s="27" t="s">
        <v>200</v>
      </c>
      <c r="C6848" s="27" t="s">
        <v>53</v>
      </c>
      <c r="D6848" s="27" t="s">
        <v>6</v>
      </c>
      <c r="E6848" s="27" t="s">
        <v>18</v>
      </c>
      <c r="F6848" s="29"/>
      <c r="G6848" s="30">
        <f t="shared" si="125"/>
        <v>655.64629629629451</v>
      </c>
    </row>
    <row r="6849" spans="1:7" hidden="1" x14ac:dyDescent="0.25">
      <c r="A6849" s="28">
        <v>44105</v>
      </c>
      <c r="B6849" s="27" t="s">
        <v>200</v>
      </c>
      <c r="C6849" s="27" t="s">
        <v>53</v>
      </c>
      <c r="D6849" s="27" t="s">
        <v>6</v>
      </c>
      <c r="E6849" s="27" t="s">
        <v>19</v>
      </c>
      <c r="F6849" s="29"/>
      <c r="G6849" s="30">
        <f t="shared" si="125"/>
        <v>655.64629629629451</v>
      </c>
    </row>
    <row r="6850" spans="1:7" hidden="1" x14ac:dyDescent="0.25">
      <c r="A6850" s="28">
        <v>44105</v>
      </c>
      <c r="B6850" s="27" t="s">
        <v>200</v>
      </c>
      <c r="C6850" s="27" t="s">
        <v>53</v>
      </c>
      <c r="D6850" s="27" t="s">
        <v>6</v>
      </c>
      <c r="E6850" s="27" t="s">
        <v>20</v>
      </c>
      <c r="F6850" s="29"/>
      <c r="G6850" s="30">
        <f t="shared" si="125"/>
        <v>655.64629629629451</v>
      </c>
    </row>
    <row r="6851" spans="1:7" hidden="1" x14ac:dyDescent="0.25">
      <c r="A6851" s="28">
        <v>44105</v>
      </c>
      <c r="B6851" s="27" t="s">
        <v>200</v>
      </c>
      <c r="C6851" s="27" t="s">
        <v>53</v>
      </c>
      <c r="D6851" s="27" t="s">
        <v>6</v>
      </c>
      <c r="E6851" s="27" t="s">
        <v>38</v>
      </c>
      <c r="F6851" s="29"/>
      <c r="G6851" s="30">
        <f t="shared" si="125"/>
        <v>655.64629629629451</v>
      </c>
    </row>
    <row r="6852" spans="1:7" hidden="1" x14ac:dyDescent="0.25">
      <c r="A6852" s="28">
        <v>44105</v>
      </c>
      <c r="B6852" s="27" t="s">
        <v>200</v>
      </c>
      <c r="C6852" s="27" t="s">
        <v>53</v>
      </c>
      <c r="D6852" s="27" t="s">
        <v>6</v>
      </c>
      <c r="E6852" s="27" t="s">
        <v>23</v>
      </c>
      <c r="F6852" s="29"/>
      <c r="G6852" s="30">
        <f t="shared" si="125"/>
        <v>655.64629629629451</v>
      </c>
    </row>
    <row r="6853" spans="1:7" hidden="1" x14ac:dyDescent="0.25">
      <c r="A6853" s="28">
        <v>44105</v>
      </c>
      <c r="B6853" s="27" t="s">
        <v>200</v>
      </c>
      <c r="C6853" s="27" t="s">
        <v>55</v>
      </c>
      <c r="D6853" s="27" t="s">
        <v>6</v>
      </c>
      <c r="E6853" s="27" t="s">
        <v>8</v>
      </c>
      <c r="F6853" s="29"/>
      <c r="G6853" s="30">
        <f t="shared" ref="G6853:G6870" si="126">25005.3792444444/18</f>
        <v>1389.1877358024667</v>
      </c>
    </row>
    <row r="6854" spans="1:7" hidden="1" x14ac:dyDescent="0.25">
      <c r="A6854" s="28">
        <v>44105</v>
      </c>
      <c r="B6854" s="27" t="s">
        <v>200</v>
      </c>
      <c r="C6854" s="27" t="s">
        <v>55</v>
      </c>
      <c r="D6854" s="27" t="s">
        <v>6</v>
      </c>
      <c r="E6854" s="27" t="s">
        <v>9</v>
      </c>
      <c r="F6854" s="29"/>
      <c r="G6854" s="30">
        <f t="shared" si="126"/>
        <v>1389.1877358024667</v>
      </c>
    </row>
    <row r="6855" spans="1:7" hidden="1" x14ac:dyDescent="0.25">
      <c r="A6855" s="28">
        <v>44105</v>
      </c>
      <c r="B6855" s="27" t="s">
        <v>200</v>
      </c>
      <c r="C6855" s="27" t="s">
        <v>55</v>
      </c>
      <c r="D6855" s="27" t="s">
        <v>6</v>
      </c>
      <c r="E6855" s="27" t="s">
        <v>22</v>
      </c>
      <c r="F6855" s="29"/>
      <c r="G6855" s="30">
        <f t="shared" si="126"/>
        <v>1389.1877358024667</v>
      </c>
    </row>
    <row r="6856" spans="1:7" hidden="1" x14ac:dyDescent="0.25">
      <c r="A6856" s="28">
        <v>44105</v>
      </c>
      <c r="B6856" s="27" t="s">
        <v>200</v>
      </c>
      <c r="C6856" s="27" t="s">
        <v>55</v>
      </c>
      <c r="D6856" s="27" t="s">
        <v>6</v>
      </c>
      <c r="E6856" s="27" t="s">
        <v>64</v>
      </c>
      <c r="F6856" s="29"/>
      <c r="G6856" s="30">
        <f t="shared" si="126"/>
        <v>1389.1877358024667</v>
      </c>
    </row>
    <row r="6857" spans="1:7" hidden="1" x14ac:dyDescent="0.25">
      <c r="A6857" s="28">
        <v>44105</v>
      </c>
      <c r="B6857" s="27" t="s">
        <v>200</v>
      </c>
      <c r="C6857" s="27" t="s">
        <v>55</v>
      </c>
      <c r="D6857" s="27" t="s">
        <v>6</v>
      </c>
      <c r="E6857" s="27" t="s">
        <v>21</v>
      </c>
      <c r="F6857" s="29"/>
      <c r="G6857" s="30">
        <f t="shared" si="126"/>
        <v>1389.1877358024667</v>
      </c>
    </row>
    <row r="6858" spans="1:7" hidden="1" x14ac:dyDescent="0.25">
      <c r="A6858" s="28">
        <v>44105</v>
      </c>
      <c r="B6858" s="27" t="s">
        <v>200</v>
      </c>
      <c r="C6858" s="27" t="s">
        <v>55</v>
      </c>
      <c r="D6858" s="27" t="s">
        <v>6</v>
      </c>
      <c r="E6858" s="27" t="s">
        <v>10</v>
      </c>
      <c r="F6858" s="29"/>
      <c r="G6858" s="30">
        <f t="shared" si="126"/>
        <v>1389.1877358024667</v>
      </c>
    </row>
    <row r="6859" spans="1:7" hidden="1" x14ac:dyDescent="0.25">
      <c r="A6859" s="28">
        <v>44105</v>
      </c>
      <c r="B6859" s="27" t="s">
        <v>200</v>
      </c>
      <c r="C6859" s="27" t="s">
        <v>55</v>
      </c>
      <c r="D6859" s="27" t="s">
        <v>6</v>
      </c>
      <c r="E6859" s="27" t="s">
        <v>11</v>
      </c>
      <c r="F6859" s="29"/>
      <c r="G6859" s="30">
        <f t="shared" si="126"/>
        <v>1389.1877358024667</v>
      </c>
    </row>
    <row r="6860" spans="1:7" hidden="1" x14ac:dyDescent="0.25">
      <c r="A6860" s="28">
        <v>44105</v>
      </c>
      <c r="B6860" s="27" t="s">
        <v>200</v>
      </c>
      <c r="C6860" s="27" t="s">
        <v>55</v>
      </c>
      <c r="D6860" s="27" t="s">
        <v>6</v>
      </c>
      <c r="E6860" s="27" t="s">
        <v>12</v>
      </c>
      <c r="F6860" s="29"/>
      <c r="G6860" s="30">
        <f t="shared" si="126"/>
        <v>1389.1877358024667</v>
      </c>
    </row>
    <row r="6861" spans="1:7" hidden="1" x14ac:dyDescent="0.25">
      <c r="A6861" s="28">
        <v>44105</v>
      </c>
      <c r="B6861" s="27" t="s">
        <v>200</v>
      </c>
      <c r="C6861" s="27" t="s">
        <v>55</v>
      </c>
      <c r="D6861" s="27" t="s">
        <v>6</v>
      </c>
      <c r="E6861" s="27" t="s">
        <v>13</v>
      </c>
      <c r="F6861" s="29"/>
      <c r="G6861" s="30">
        <f t="shared" si="126"/>
        <v>1389.1877358024667</v>
      </c>
    </row>
    <row r="6862" spans="1:7" hidden="1" x14ac:dyDescent="0.25">
      <c r="A6862" s="28">
        <v>44105</v>
      </c>
      <c r="B6862" s="27" t="s">
        <v>200</v>
      </c>
      <c r="C6862" s="27" t="s">
        <v>55</v>
      </c>
      <c r="D6862" s="27" t="s">
        <v>6</v>
      </c>
      <c r="E6862" s="27" t="s">
        <v>14</v>
      </c>
      <c r="F6862" s="29"/>
      <c r="G6862" s="30">
        <f t="shared" si="126"/>
        <v>1389.1877358024667</v>
      </c>
    </row>
    <row r="6863" spans="1:7" hidden="1" x14ac:dyDescent="0.25">
      <c r="A6863" s="28">
        <v>44105</v>
      </c>
      <c r="B6863" s="27" t="s">
        <v>200</v>
      </c>
      <c r="C6863" s="27" t="s">
        <v>55</v>
      </c>
      <c r="D6863" s="27" t="s">
        <v>6</v>
      </c>
      <c r="E6863" s="27" t="s">
        <v>15</v>
      </c>
      <c r="F6863" s="29"/>
      <c r="G6863" s="30">
        <f t="shared" si="126"/>
        <v>1389.1877358024667</v>
      </c>
    </row>
    <row r="6864" spans="1:7" hidden="1" x14ac:dyDescent="0.25">
      <c r="A6864" s="28">
        <v>44105</v>
      </c>
      <c r="B6864" s="27" t="s">
        <v>200</v>
      </c>
      <c r="C6864" s="27" t="s">
        <v>55</v>
      </c>
      <c r="D6864" s="27" t="s">
        <v>6</v>
      </c>
      <c r="E6864" s="27" t="s">
        <v>16</v>
      </c>
      <c r="F6864" s="29"/>
      <c r="G6864" s="30">
        <f t="shared" si="126"/>
        <v>1389.1877358024667</v>
      </c>
    </row>
    <row r="6865" spans="1:7" hidden="1" x14ac:dyDescent="0.25">
      <c r="A6865" s="28">
        <v>44105</v>
      </c>
      <c r="B6865" s="27" t="s">
        <v>200</v>
      </c>
      <c r="C6865" s="27" t="s">
        <v>55</v>
      </c>
      <c r="D6865" s="27" t="s">
        <v>6</v>
      </c>
      <c r="E6865" s="27" t="s">
        <v>17</v>
      </c>
      <c r="F6865" s="29"/>
      <c r="G6865" s="30">
        <f t="shared" si="126"/>
        <v>1389.1877358024667</v>
      </c>
    </row>
    <row r="6866" spans="1:7" hidden="1" x14ac:dyDescent="0.25">
      <c r="A6866" s="28">
        <v>44105</v>
      </c>
      <c r="B6866" s="27" t="s">
        <v>200</v>
      </c>
      <c r="C6866" s="27" t="s">
        <v>55</v>
      </c>
      <c r="D6866" s="27" t="s">
        <v>6</v>
      </c>
      <c r="E6866" s="27" t="s">
        <v>18</v>
      </c>
      <c r="F6866" s="29"/>
      <c r="G6866" s="30">
        <f t="shared" si="126"/>
        <v>1389.1877358024667</v>
      </c>
    </row>
    <row r="6867" spans="1:7" hidden="1" x14ac:dyDescent="0.25">
      <c r="A6867" s="28">
        <v>44105</v>
      </c>
      <c r="B6867" s="27" t="s">
        <v>200</v>
      </c>
      <c r="C6867" s="27" t="s">
        <v>55</v>
      </c>
      <c r="D6867" s="27" t="s">
        <v>6</v>
      </c>
      <c r="E6867" s="27" t="s">
        <v>19</v>
      </c>
      <c r="F6867" s="29"/>
      <c r="G6867" s="30">
        <f t="shared" si="126"/>
        <v>1389.1877358024667</v>
      </c>
    </row>
    <row r="6868" spans="1:7" hidden="1" x14ac:dyDescent="0.25">
      <c r="A6868" s="28">
        <v>44105</v>
      </c>
      <c r="B6868" s="27" t="s">
        <v>200</v>
      </c>
      <c r="C6868" s="27" t="s">
        <v>55</v>
      </c>
      <c r="D6868" s="27" t="s">
        <v>6</v>
      </c>
      <c r="E6868" s="27" t="s">
        <v>20</v>
      </c>
      <c r="F6868" s="29"/>
      <c r="G6868" s="30">
        <f t="shared" si="126"/>
        <v>1389.1877358024667</v>
      </c>
    </row>
    <row r="6869" spans="1:7" hidden="1" x14ac:dyDescent="0.25">
      <c r="A6869" s="28">
        <v>44105</v>
      </c>
      <c r="B6869" s="27" t="s">
        <v>200</v>
      </c>
      <c r="C6869" s="27" t="s">
        <v>55</v>
      </c>
      <c r="D6869" s="27" t="s">
        <v>6</v>
      </c>
      <c r="E6869" s="27" t="s">
        <v>38</v>
      </c>
      <c r="F6869" s="29"/>
      <c r="G6869" s="30">
        <f t="shared" si="126"/>
        <v>1389.1877358024667</v>
      </c>
    </row>
    <row r="6870" spans="1:7" hidden="1" x14ac:dyDescent="0.25">
      <c r="A6870" s="28">
        <v>44105</v>
      </c>
      <c r="B6870" s="27" t="s">
        <v>200</v>
      </c>
      <c r="C6870" s="27" t="s">
        <v>55</v>
      </c>
      <c r="D6870" s="27" t="s">
        <v>6</v>
      </c>
      <c r="E6870" s="27" t="s">
        <v>23</v>
      </c>
      <c r="F6870" s="29"/>
      <c r="G6870" s="30">
        <f t="shared" si="126"/>
        <v>1389.1877358024667</v>
      </c>
    </row>
    <row r="6871" spans="1:7" hidden="1" x14ac:dyDescent="0.25">
      <c r="A6871" s="28">
        <v>44105</v>
      </c>
      <c r="B6871" s="27" t="s">
        <v>200</v>
      </c>
      <c r="C6871" s="27" t="s">
        <v>183</v>
      </c>
      <c r="D6871" s="27" t="s">
        <v>7</v>
      </c>
      <c r="E6871" s="27" t="s">
        <v>8</v>
      </c>
      <c r="F6871" s="29"/>
      <c r="G6871" s="30">
        <f t="shared" ref="G6871:G6888" si="127">2832.7/18</f>
        <v>157.37222222222221</v>
      </c>
    </row>
    <row r="6872" spans="1:7" hidden="1" x14ac:dyDescent="0.25">
      <c r="A6872" s="28">
        <v>44105</v>
      </c>
      <c r="B6872" s="27" t="s">
        <v>200</v>
      </c>
      <c r="C6872" s="27" t="s">
        <v>183</v>
      </c>
      <c r="D6872" s="27" t="s">
        <v>7</v>
      </c>
      <c r="E6872" s="27" t="s">
        <v>9</v>
      </c>
      <c r="F6872" s="29"/>
      <c r="G6872" s="30">
        <f t="shared" si="127"/>
        <v>157.37222222222221</v>
      </c>
    </row>
    <row r="6873" spans="1:7" hidden="1" x14ac:dyDescent="0.25">
      <c r="A6873" s="28">
        <v>44105</v>
      </c>
      <c r="B6873" s="27" t="s">
        <v>200</v>
      </c>
      <c r="C6873" s="27" t="s">
        <v>183</v>
      </c>
      <c r="D6873" s="27" t="s">
        <v>7</v>
      </c>
      <c r="E6873" s="27" t="s">
        <v>22</v>
      </c>
      <c r="F6873" s="29"/>
      <c r="G6873" s="30">
        <f t="shared" si="127"/>
        <v>157.37222222222221</v>
      </c>
    </row>
    <row r="6874" spans="1:7" hidden="1" x14ac:dyDescent="0.25">
      <c r="A6874" s="28">
        <v>44105</v>
      </c>
      <c r="B6874" s="27" t="s">
        <v>200</v>
      </c>
      <c r="C6874" s="27" t="s">
        <v>183</v>
      </c>
      <c r="D6874" s="27" t="s">
        <v>7</v>
      </c>
      <c r="E6874" s="27" t="s">
        <v>64</v>
      </c>
      <c r="F6874" s="29"/>
      <c r="G6874" s="30">
        <f t="shared" si="127"/>
        <v>157.37222222222221</v>
      </c>
    </row>
    <row r="6875" spans="1:7" hidden="1" x14ac:dyDescent="0.25">
      <c r="A6875" s="28">
        <v>44105</v>
      </c>
      <c r="B6875" s="27" t="s">
        <v>200</v>
      </c>
      <c r="C6875" s="27" t="s">
        <v>183</v>
      </c>
      <c r="D6875" s="27" t="s">
        <v>7</v>
      </c>
      <c r="E6875" s="27" t="s">
        <v>21</v>
      </c>
      <c r="F6875" s="29"/>
      <c r="G6875" s="30">
        <f t="shared" si="127"/>
        <v>157.37222222222221</v>
      </c>
    </row>
    <row r="6876" spans="1:7" hidden="1" x14ac:dyDescent="0.25">
      <c r="A6876" s="28">
        <v>44105</v>
      </c>
      <c r="B6876" s="27" t="s">
        <v>200</v>
      </c>
      <c r="C6876" s="27" t="s">
        <v>183</v>
      </c>
      <c r="D6876" s="27" t="s">
        <v>7</v>
      </c>
      <c r="E6876" s="27" t="s">
        <v>10</v>
      </c>
      <c r="F6876" s="29"/>
      <c r="G6876" s="30">
        <f t="shared" si="127"/>
        <v>157.37222222222221</v>
      </c>
    </row>
    <row r="6877" spans="1:7" hidden="1" x14ac:dyDescent="0.25">
      <c r="A6877" s="28">
        <v>44105</v>
      </c>
      <c r="B6877" s="27" t="s">
        <v>200</v>
      </c>
      <c r="C6877" s="27" t="s">
        <v>183</v>
      </c>
      <c r="D6877" s="27" t="s">
        <v>7</v>
      </c>
      <c r="E6877" s="27" t="s">
        <v>11</v>
      </c>
      <c r="F6877" s="29"/>
      <c r="G6877" s="30">
        <f t="shared" si="127"/>
        <v>157.37222222222221</v>
      </c>
    </row>
    <row r="6878" spans="1:7" hidden="1" x14ac:dyDescent="0.25">
      <c r="A6878" s="28">
        <v>44105</v>
      </c>
      <c r="B6878" s="27" t="s">
        <v>200</v>
      </c>
      <c r="C6878" s="27" t="s">
        <v>183</v>
      </c>
      <c r="D6878" s="27" t="s">
        <v>7</v>
      </c>
      <c r="E6878" s="27" t="s">
        <v>12</v>
      </c>
      <c r="F6878" s="29"/>
      <c r="G6878" s="30">
        <f t="shared" si="127"/>
        <v>157.37222222222221</v>
      </c>
    </row>
    <row r="6879" spans="1:7" hidden="1" x14ac:dyDescent="0.25">
      <c r="A6879" s="28">
        <v>44105</v>
      </c>
      <c r="B6879" s="27" t="s">
        <v>200</v>
      </c>
      <c r="C6879" s="27" t="s">
        <v>183</v>
      </c>
      <c r="D6879" s="27" t="s">
        <v>7</v>
      </c>
      <c r="E6879" s="27" t="s">
        <v>13</v>
      </c>
      <c r="F6879" s="29"/>
      <c r="G6879" s="30">
        <f t="shared" si="127"/>
        <v>157.37222222222221</v>
      </c>
    </row>
    <row r="6880" spans="1:7" hidden="1" x14ac:dyDescent="0.25">
      <c r="A6880" s="28">
        <v>44105</v>
      </c>
      <c r="B6880" s="27" t="s">
        <v>200</v>
      </c>
      <c r="C6880" s="27" t="s">
        <v>183</v>
      </c>
      <c r="D6880" s="27" t="s">
        <v>7</v>
      </c>
      <c r="E6880" s="27" t="s">
        <v>14</v>
      </c>
      <c r="F6880" s="29"/>
      <c r="G6880" s="30">
        <f t="shared" si="127"/>
        <v>157.37222222222221</v>
      </c>
    </row>
    <row r="6881" spans="1:7" hidden="1" x14ac:dyDescent="0.25">
      <c r="A6881" s="28">
        <v>44105</v>
      </c>
      <c r="B6881" s="27" t="s">
        <v>200</v>
      </c>
      <c r="C6881" s="27" t="s">
        <v>183</v>
      </c>
      <c r="D6881" s="27" t="s">
        <v>7</v>
      </c>
      <c r="E6881" s="27" t="s">
        <v>15</v>
      </c>
      <c r="F6881" s="29"/>
      <c r="G6881" s="30">
        <f t="shared" si="127"/>
        <v>157.37222222222221</v>
      </c>
    </row>
    <row r="6882" spans="1:7" hidden="1" x14ac:dyDescent="0.25">
      <c r="A6882" s="28">
        <v>44105</v>
      </c>
      <c r="B6882" s="27" t="s">
        <v>200</v>
      </c>
      <c r="C6882" s="27" t="s">
        <v>183</v>
      </c>
      <c r="D6882" s="27" t="s">
        <v>7</v>
      </c>
      <c r="E6882" s="27" t="s">
        <v>16</v>
      </c>
      <c r="F6882" s="29"/>
      <c r="G6882" s="30">
        <f t="shared" si="127"/>
        <v>157.37222222222221</v>
      </c>
    </row>
    <row r="6883" spans="1:7" hidden="1" x14ac:dyDescent="0.25">
      <c r="A6883" s="28">
        <v>44105</v>
      </c>
      <c r="B6883" s="27" t="s">
        <v>200</v>
      </c>
      <c r="C6883" s="27" t="s">
        <v>183</v>
      </c>
      <c r="D6883" s="27" t="s">
        <v>7</v>
      </c>
      <c r="E6883" s="27" t="s">
        <v>17</v>
      </c>
      <c r="F6883" s="29"/>
      <c r="G6883" s="30">
        <f t="shared" si="127"/>
        <v>157.37222222222221</v>
      </c>
    </row>
    <row r="6884" spans="1:7" hidden="1" x14ac:dyDescent="0.25">
      <c r="A6884" s="28">
        <v>44105</v>
      </c>
      <c r="B6884" s="27" t="s">
        <v>200</v>
      </c>
      <c r="C6884" s="27" t="s">
        <v>183</v>
      </c>
      <c r="D6884" s="27" t="s">
        <v>7</v>
      </c>
      <c r="E6884" s="27" t="s">
        <v>18</v>
      </c>
      <c r="F6884" s="29"/>
      <c r="G6884" s="30">
        <f t="shared" si="127"/>
        <v>157.37222222222221</v>
      </c>
    </row>
    <row r="6885" spans="1:7" hidden="1" x14ac:dyDescent="0.25">
      <c r="A6885" s="28">
        <v>44105</v>
      </c>
      <c r="B6885" s="27" t="s">
        <v>200</v>
      </c>
      <c r="C6885" s="27" t="s">
        <v>183</v>
      </c>
      <c r="D6885" s="27" t="s">
        <v>7</v>
      </c>
      <c r="E6885" s="27" t="s">
        <v>19</v>
      </c>
      <c r="F6885" s="29"/>
      <c r="G6885" s="30">
        <f t="shared" si="127"/>
        <v>157.37222222222221</v>
      </c>
    </row>
    <row r="6886" spans="1:7" hidden="1" x14ac:dyDescent="0.25">
      <c r="A6886" s="28">
        <v>44105</v>
      </c>
      <c r="B6886" s="27" t="s">
        <v>200</v>
      </c>
      <c r="C6886" s="27" t="s">
        <v>183</v>
      </c>
      <c r="D6886" s="27" t="s">
        <v>7</v>
      </c>
      <c r="E6886" s="27" t="s">
        <v>20</v>
      </c>
      <c r="F6886" s="29"/>
      <c r="G6886" s="30">
        <f t="shared" si="127"/>
        <v>157.37222222222221</v>
      </c>
    </row>
    <row r="6887" spans="1:7" hidden="1" x14ac:dyDescent="0.25">
      <c r="A6887" s="28">
        <v>44105</v>
      </c>
      <c r="B6887" s="27" t="s">
        <v>200</v>
      </c>
      <c r="C6887" s="27" t="s">
        <v>183</v>
      </c>
      <c r="D6887" s="27" t="s">
        <v>7</v>
      </c>
      <c r="E6887" s="27" t="s">
        <v>23</v>
      </c>
      <c r="F6887" s="29"/>
      <c r="G6887" s="30">
        <f t="shared" si="127"/>
        <v>157.37222222222221</v>
      </c>
    </row>
    <row r="6888" spans="1:7" hidden="1" x14ac:dyDescent="0.25">
      <c r="A6888" s="28">
        <v>44105</v>
      </c>
      <c r="B6888" s="27" t="s">
        <v>200</v>
      </c>
      <c r="C6888" s="27" t="s">
        <v>183</v>
      </c>
      <c r="D6888" s="27" t="s">
        <v>7</v>
      </c>
      <c r="E6888" s="27" t="s">
        <v>37</v>
      </c>
      <c r="F6888" s="29"/>
      <c r="G6888" s="30">
        <f t="shared" si="127"/>
        <v>157.37222222222221</v>
      </c>
    </row>
    <row r="6889" spans="1:7" hidden="1" x14ac:dyDescent="0.25">
      <c r="A6889" s="28">
        <v>44105</v>
      </c>
      <c r="B6889" s="27" t="s">
        <v>200</v>
      </c>
      <c r="C6889" s="27" t="s">
        <v>56</v>
      </c>
      <c r="D6889" s="27" t="s">
        <v>6</v>
      </c>
      <c r="E6889" s="27" t="s">
        <v>8</v>
      </c>
      <c r="F6889" s="29"/>
      <c r="G6889" s="30">
        <f t="shared" ref="G6889:G6906" si="128">40075.2128444445/18</f>
        <v>2226.4007135802499</v>
      </c>
    </row>
    <row r="6890" spans="1:7" hidden="1" x14ac:dyDescent="0.25">
      <c r="A6890" s="28">
        <v>44105</v>
      </c>
      <c r="B6890" s="27" t="s">
        <v>200</v>
      </c>
      <c r="C6890" s="27" t="s">
        <v>56</v>
      </c>
      <c r="D6890" s="27" t="s">
        <v>6</v>
      </c>
      <c r="E6890" s="27" t="s">
        <v>9</v>
      </c>
      <c r="F6890" s="29"/>
      <c r="G6890" s="30">
        <f t="shared" si="128"/>
        <v>2226.4007135802499</v>
      </c>
    </row>
    <row r="6891" spans="1:7" hidden="1" x14ac:dyDescent="0.25">
      <c r="A6891" s="28">
        <v>44105</v>
      </c>
      <c r="B6891" s="27" t="s">
        <v>200</v>
      </c>
      <c r="C6891" s="27" t="s">
        <v>56</v>
      </c>
      <c r="D6891" s="27" t="s">
        <v>6</v>
      </c>
      <c r="E6891" s="27" t="s">
        <v>22</v>
      </c>
      <c r="F6891" s="29"/>
      <c r="G6891" s="30">
        <f t="shared" si="128"/>
        <v>2226.4007135802499</v>
      </c>
    </row>
    <row r="6892" spans="1:7" hidden="1" x14ac:dyDescent="0.25">
      <c r="A6892" s="28">
        <v>44105</v>
      </c>
      <c r="B6892" s="27" t="s">
        <v>200</v>
      </c>
      <c r="C6892" s="27" t="s">
        <v>56</v>
      </c>
      <c r="D6892" s="27" t="s">
        <v>6</v>
      </c>
      <c r="E6892" s="27" t="s">
        <v>64</v>
      </c>
      <c r="F6892" s="29"/>
      <c r="G6892" s="30">
        <f t="shared" si="128"/>
        <v>2226.4007135802499</v>
      </c>
    </row>
    <row r="6893" spans="1:7" hidden="1" x14ac:dyDescent="0.25">
      <c r="A6893" s="28">
        <v>44105</v>
      </c>
      <c r="B6893" s="27" t="s">
        <v>200</v>
      </c>
      <c r="C6893" s="27" t="s">
        <v>56</v>
      </c>
      <c r="D6893" s="27" t="s">
        <v>6</v>
      </c>
      <c r="E6893" s="27" t="s">
        <v>21</v>
      </c>
      <c r="F6893" s="29"/>
      <c r="G6893" s="30">
        <f t="shared" si="128"/>
        <v>2226.4007135802499</v>
      </c>
    </row>
    <row r="6894" spans="1:7" hidden="1" x14ac:dyDescent="0.25">
      <c r="A6894" s="28">
        <v>44105</v>
      </c>
      <c r="B6894" s="27" t="s">
        <v>200</v>
      </c>
      <c r="C6894" s="27" t="s">
        <v>56</v>
      </c>
      <c r="D6894" s="27" t="s">
        <v>6</v>
      </c>
      <c r="E6894" s="27" t="s">
        <v>10</v>
      </c>
      <c r="F6894" s="29"/>
      <c r="G6894" s="30">
        <f t="shared" si="128"/>
        <v>2226.4007135802499</v>
      </c>
    </row>
    <row r="6895" spans="1:7" hidden="1" x14ac:dyDescent="0.25">
      <c r="A6895" s="28">
        <v>44105</v>
      </c>
      <c r="B6895" s="27" t="s">
        <v>200</v>
      </c>
      <c r="C6895" s="27" t="s">
        <v>56</v>
      </c>
      <c r="D6895" s="27" t="s">
        <v>6</v>
      </c>
      <c r="E6895" s="27" t="s">
        <v>11</v>
      </c>
      <c r="F6895" s="29"/>
      <c r="G6895" s="30">
        <f t="shared" si="128"/>
        <v>2226.4007135802499</v>
      </c>
    </row>
    <row r="6896" spans="1:7" hidden="1" x14ac:dyDescent="0.25">
      <c r="A6896" s="28">
        <v>44105</v>
      </c>
      <c r="B6896" s="27" t="s">
        <v>200</v>
      </c>
      <c r="C6896" s="27" t="s">
        <v>56</v>
      </c>
      <c r="D6896" s="27" t="s">
        <v>6</v>
      </c>
      <c r="E6896" s="27" t="s">
        <v>12</v>
      </c>
      <c r="F6896" s="29"/>
      <c r="G6896" s="30">
        <f t="shared" si="128"/>
        <v>2226.4007135802499</v>
      </c>
    </row>
    <row r="6897" spans="1:7" hidden="1" x14ac:dyDescent="0.25">
      <c r="A6897" s="28">
        <v>44105</v>
      </c>
      <c r="B6897" s="27" t="s">
        <v>200</v>
      </c>
      <c r="C6897" s="27" t="s">
        <v>56</v>
      </c>
      <c r="D6897" s="27" t="s">
        <v>6</v>
      </c>
      <c r="E6897" s="27" t="s">
        <v>13</v>
      </c>
      <c r="F6897" s="29"/>
      <c r="G6897" s="30">
        <f t="shared" si="128"/>
        <v>2226.4007135802499</v>
      </c>
    </row>
    <row r="6898" spans="1:7" hidden="1" x14ac:dyDescent="0.25">
      <c r="A6898" s="28">
        <v>44105</v>
      </c>
      <c r="B6898" s="27" t="s">
        <v>200</v>
      </c>
      <c r="C6898" s="27" t="s">
        <v>56</v>
      </c>
      <c r="D6898" s="27" t="s">
        <v>6</v>
      </c>
      <c r="E6898" s="27" t="s">
        <v>14</v>
      </c>
      <c r="F6898" s="29"/>
      <c r="G6898" s="30">
        <f t="shared" si="128"/>
        <v>2226.4007135802499</v>
      </c>
    </row>
    <row r="6899" spans="1:7" hidden="1" x14ac:dyDescent="0.25">
      <c r="A6899" s="28">
        <v>44105</v>
      </c>
      <c r="B6899" s="27" t="s">
        <v>200</v>
      </c>
      <c r="C6899" s="27" t="s">
        <v>56</v>
      </c>
      <c r="D6899" s="27" t="s">
        <v>6</v>
      </c>
      <c r="E6899" s="27" t="s">
        <v>15</v>
      </c>
      <c r="F6899" s="29"/>
      <c r="G6899" s="30">
        <f t="shared" si="128"/>
        <v>2226.4007135802499</v>
      </c>
    </row>
    <row r="6900" spans="1:7" hidden="1" x14ac:dyDescent="0.25">
      <c r="A6900" s="28">
        <v>44105</v>
      </c>
      <c r="B6900" s="27" t="s">
        <v>200</v>
      </c>
      <c r="C6900" s="27" t="s">
        <v>56</v>
      </c>
      <c r="D6900" s="27" t="s">
        <v>6</v>
      </c>
      <c r="E6900" s="27" t="s">
        <v>16</v>
      </c>
      <c r="F6900" s="29"/>
      <c r="G6900" s="30">
        <f t="shared" si="128"/>
        <v>2226.4007135802499</v>
      </c>
    </row>
    <row r="6901" spans="1:7" hidden="1" x14ac:dyDescent="0.25">
      <c r="A6901" s="28">
        <v>44105</v>
      </c>
      <c r="B6901" s="27" t="s">
        <v>200</v>
      </c>
      <c r="C6901" s="27" t="s">
        <v>56</v>
      </c>
      <c r="D6901" s="27" t="s">
        <v>6</v>
      </c>
      <c r="E6901" s="27" t="s">
        <v>17</v>
      </c>
      <c r="F6901" s="29"/>
      <c r="G6901" s="30">
        <f t="shared" si="128"/>
        <v>2226.4007135802499</v>
      </c>
    </row>
    <row r="6902" spans="1:7" hidden="1" x14ac:dyDescent="0.25">
      <c r="A6902" s="28">
        <v>44105</v>
      </c>
      <c r="B6902" s="27" t="s">
        <v>200</v>
      </c>
      <c r="C6902" s="27" t="s">
        <v>56</v>
      </c>
      <c r="D6902" s="27" t="s">
        <v>6</v>
      </c>
      <c r="E6902" s="27" t="s">
        <v>18</v>
      </c>
      <c r="F6902" s="29"/>
      <c r="G6902" s="30">
        <f t="shared" si="128"/>
        <v>2226.4007135802499</v>
      </c>
    </row>
    <row r="6903" spans="1:7" hidden="1" x14ac:dyDescent="0.25">
      <c r="A6903" s="28">
        <v>44105</v>
      </c>
      <c r="B6903" s="27" t="s">
        <v>200</v>
      </c>
      <c r="C6903" s="27" t="s">
        <v>56</v>
      </c>
      <c r="D6903" s="27" t="s">
        <v>6</v>
      </c>
      <c r="E6903" s="27" t="s">
        <v>19</v>
      </c>
      <c r="F6903" s="29"/>
      <c r="G6903" s="30">
        <f t="shared" si="128"/>
        <v>2226.4007135802499</v>
      </c>
    </row>
    <row r="6904" spans="1:7" hidden="1" x14ac:dyDescent="0.25">
      <c r="A6904" s="28">
        <v>44105</v>
      </c>
      <c r="B6904" s="27" t="s">
        <v>200</v>
      </c>
      <c r="C6904" s="27" t="s">
        <v>56</v>
      </c>
      <c r="D6904" s="27" t="s">
        <v>6</v>
      </c>
      <c r="E6904" s="27" t="s">
        <v>20</v>
      </c>
      <c r="F6904" s="29"/>
      <c r="G6904" s="30">
        <f t="shared" si="128"/>
        <v>2226.4007135802499</v>
      </c>
    </row>
    <row r="6905" spans="1:7" hidden="1" x14ac:dyDescent="0.25">
      <c r="A6905" s="28">
        <v>44105</v>
      </c>
      <c r="B6905" s="27" t="s">
        <v>200</v>
      </c>
      <c r="C6905" s="27" t="s">
        <v>56</v>
      </c>
      <c r="D6905" s="27" t="s">
        <v>6</v>
      </c>
      <c r="E6905" s="27" t="s">
        <v>38</v>
      </c>
      <c r="F6905" s="29"/>
      <c r="G6905" s="30">
        <f t="shared" si="128"/>
        <v>2226.4007135802499</v>
      </c>
    </row>
    <row r="6906" spans="1:7" hidden="1" x14ac:dyDescent="0.25">
      <c r="A6906" s="28">
        <v>44105</v>
      </c>
      <c r="B6906" s="27" t="s">
        <v>200</v>
      </c>
      <c r="C6906" s="27" t="s">
        <v>56</v>
      </c>
      <c r="D6906" s="27" t="s">
        <v>6</v>
      </c>
      <c r="E6906" s="27" t="s">
        <v>23</v>
      </c>
      <c r="F6906" s="29"/>
      <c r="G6906" s="30">
        <f t="shared" si="128"/>
        <v>2226.4007135802499</v>
      </c>
    </row>
    <row r="6907" spans="1:7" hidden="1" x14ac:dyDescent="0.25">
      <c r="A6907" s="28">
        <v>44105</v>
      </c>
      <c r="B6907" s="27" t="s">
        <v>200</v>
      </c>
      <c r="C6907" s="27" t="s">
        <v>182</v>
      </c>
      <c r="D6907" s="27" t="s">
        <v>7</v>
      </c>
      <c r="E6907" s="27" t="s">
        <v>8</v>
      </c>
      <c r="F6907" s="29"/>
      <c r="G6907" s="30">
        <f t="shared" ref="G6907:G6924" si="129">2789.38/18</f>
        <v>154.96555555555557</v>
      </c>
    </row>
    <row r="6908" spans="1:7" hidden="1" x14ac:dyDescent="0.25">
      <c r="A6908" s="28">
        <v>44105</v>
      </c>
      <c r="B6908" s="27" t="s">
        <v>200</v>
      </c>
      <c r="C6908" s="27" t="s">
        <v>182</v>
      </c>
      <c r="D6908" s="27" t="s">
        <v>7</v>
      </c>
      <c r="E6908" s="27" t="s">
        <v>9</v>
      </c>
      <c r="F6908" s="29"/>
      <c r="G6908" s="30">
        <f t="shared" si="129"/>
        <v>154.96555555555557</v>
      </c>
    </row>
    <row r="6909" spans="1:7" hidden="1" x14ac:dyDescent="0.25">
      <c r="A6909" s="28">
        <v>44105</v>
      </c>
      <c r="B6909" s="27" t="s">
        <v>200</v>
      </c>
      <c r="C6909" s="27" t="s">
        <v>182</v>
      </c>
      <c r="D6909" s="27" t="s">
        <v>7</v>
      </c>
      <c r="E6909" s="27" t="s">
        <v>22</v>
      </c>
      <c r="F6909" s="29"/>
      <c r="G6909" s="30">
        <f t="shared" si="129"/>
        <v>154.96555555555557</v>
      </c>
    </row>
    <row r="6910" spans="1:7" hidden="1" x14ac:dyDescent="0.25">
      <c r="A6910" s="28">
        <v>44105</v>
      </c>
      <c r="B6910" s="27" t="s">
        <v>200</v>
      </c>
      <c r="C6910" s="27" t="s">
        <v>182</v>
      </c>
      <c r="D6910" s="27" t="s">
        <v>7</v>
      </c>
      <c r="E6910" s="27" t="s">
        <v>64</v>
      </c>
      <c r="F6910" s="29"/>
      <c r="G6910" s="30">
        <f t="shared" si="129"/>
        <v>154.96555555555557</v>
      </c>
    </row>
    <row r="6911" spans="1:7" hidden="1" x14ac:dyDescent="0.25">
      <c r="A6911" s="28">
        <v>44105</v>
      </c>
      <c r="B6911" s="27" t="s">
        <v>200</v>
      </c>
      <c r="C6911" s="27" t="s">
        <v>182</v>
      </c>
      <c r="D6911" s="27" t="s">
        <v>7</v>
      </c>
      <c r="E6911" s="27" t="s">
        <v>21</v>
      </c>
      <c r="F6911" s="29"/>
      <c r="G6911" s="30">
        <f t="shared" si="129"/>
        <v>154.96555555555557</v>
      </c>
    </row>
    <row r="6912" spans="1:7" hidden="1" x14ac:dyDescent="0.25">
      <c r="A6912" s="28">
        <v>44105</v>
      </c>
      <c r="B6912" s="27" t="s">
        <v>200</v>
      </c>
      <c r="C6912" s="27" t="s">
        <v>182</v>
      </c>
      <c r="D6912" s="27" t="s">
        <v>7</v>
      </c>
      <c r="E6912" s="27" t="s">
        <v>10</v>
      </c>
      <c r="F6912" s="29"/>
      <c r="G6912" s="30">
        <f t="shared" si="129"/>
        <v>154.96555555555557</v>
      </c>
    </row>
    <row r="6913" spans="1:7" hidden="1" x14ac:dyDescent="0.25">
      <c r="A6913" s="28">
        <v>44105</v>
      </c>
      <c r="B6913" s="27" t="s">
        <v>200</v>
      </c>
      <c r="C6913" s="27" t="s">
        <v>182</v>
      </c>
      <c r="D6913" s="27" t="s">
        <v>7</v>
      </c>
      <c r="E6913" s="27" t="s">
        <v>11</v>
      </c>
      <c r="F6913" s="29"/>
      <c r="G6913" s="30">
        <f t="shared" si="129"/>
        <v>154.96555555555557</v>
      </c>
    </row>
    <row r="6914" spans="1:7" hidden="1" x14ac:dyDescent="0.25">
      <c r="A6914" s="28">
        <v>44105</v>
      </c>
      <c r="B6914" s="27" t="s">
        <v>200</v>
      </c>
      <c r="C6914" s="27" t="s">
        <v>182</v>
      </c>
      <c r="D6914" s="27" t="s">
        <v>7</v>
      </c>
      <c r="E6914" s="27" t="s">
        <v>12</v>
      </c>
      <c r="F6914" s="29"/>
      <c r="G6914" s="30">
        <f t="shared" si="129"/>
        <v>154.96555555555557</v>
      </c>
    </row>
    <row r="6915" spans="1:7" hidden="1" x14ac:dyDescent="0.25">
      <c r="A6915" s="28">
        <v>44105</v>
      </c>
      <c r="B6915" s="27" t="s">
        <v>200</v>
      </c>
      <c r="C6915" s="27" t="s">
        <v>182</v>
      </c>
      <c r="D6915" s="27" t="s">
        <v>7</v>
      </c>
      <c r="E6915" s="27" t="s">
        <v>13</v>
      </c>
      <c r="F6915" s="29"/>
      <c r="G6915" s="30">
        <f t="shared" si="129"/>
        <v>154.96555555555557</v>
      </c>
    </row>
    <row r="6916" spans="1:7" hidden="1" x14ac:dyDescent="0.25">
      <c r="A6916" s="28">
        <v>44105</v>
      </c>
      <c r="B6916" s="27" t="s">
        <v>200</v>
      </c>
      <c r="C6916" s="27" t="s">
        <v>182</v>
      </c>
      <c r="D6916" s="27" t="s">
        <v>7</v>
      </c>
      <c r="E6916" s="27" t="s">
        <v>14</v>
      </c>
      <c r="F6916" s="29"/>
      <c r="G6916" s="30">
        <f t="shared" si="129"/>
        <v>154.96555555555557</v>
      </c>
    </row>
    <row r="6917" spans="1:7" hidden="1" x14ac:dyDescent="0.25">
      <c r="A6917" s="28">
        <v>44105</v>
      </c>
      <c r="B6917" s="27" t="s">
        <v>200</v>
      </c>
      <c r="C6917" s="27" t="s">
        <v>182</v>
      </c>
      <c r="D6917" s="27" t="s">
        <v>7</v>
      </c>
      <c r="E6917" s="27" t="s">
        <v>15</v>
      </c>
      <c r="F6917" s="29"/>
      <c r="G6917" s="30">
        <f t="shared" si="129"/>
        <v>154.96555555555557</v>
      </c>
    </row>
    <row r="6918" spans="1:7" hidden="1" x14ac:dyDescent="0.25">
      <c r="A6918" s="28">
        <v>44105</v>
      </c>
      <c r="B6918" s="27" t="s">
        <v>200</v>
      </c>
      <c r="C6918" s="27" t="s">
        <v>182</v>
      </c>
      <c r="D6918" s="27" t="s">
        <v>7</v>
      </c>
      <c r="E6918" s="27" t="s">
        <v>16</v>
      </c>
      <c r="F6918" s="29"/>
      <c r="G6918" s="30">
        <f t="shared" si="129"/>
        <v>154.96555555555557</v>
      </c>
    </row>
    <row r="6919" spans="1:7" hidden="1" x14ac:dyDescent="0.25">
      <c r="A6919" s="28">
        <v>44105</v>
      </c>
      <c r="B6919" s="27" t="s">
        <v>200</v>
      </c>
      <c r="C6919" s="27" t="s">
        <v>182</v>
      </c>
      <c r="D6919" s="27" t="s">
        <v>7</v>
      </c>
      <c r="E6919" s="27" t="s">
        <v>17</v>
      </c>
      <c r="F6919" s="29"/>
      <c r="G6919" s="30">
        <f t="shared" si="129"/>
        <v>154.96555555555557</v>
      </c>
    </row>
    <row r="6920" spans="1:7" hidden="1" x14ac:dyDescent="0.25">
      <c r="A6920" s="28">
        <v>44105</v>
      </c>
      <c r="B6920" s="27" t="s">
        <v>200</v>
      </c>
      <c r="C6920" s="27" t="s">
        <v>182</v>
      </c>
      <c r="D6920" s="27" t="s">
        <v>7</v>
      </c>
      <c r="E6920" s="27" t="s">
        <v>18</v>
      </c>
      <c r="F6920" s="29"/>
      <c r="G6920" s="30">
        <f t="shared" si="129"/>
        <v>154.96555555555557</v>
      </c>
    </row>
    <row r="6921" spans="1:7" hidden="1" x14ac:dyDescent="0.25">
      <c r="A6921" s="28">
        <v>44105</v>
      </c>
      <c r="B6921" s="27" t="s">
        <v>200</v>
      </c>
      <c r="C6921" s="27" t="s">
        <v>182</v>
      </c>
      <c r="D6921" s="27" t="s">
        <v>7</v>
      </c>
      <c r="E6921" s="27" t="s">
        <v>19</v>
      </c>
      <c r="F6921" s="29"/>
      <c r="G6921" s="30">
        <f t="shared" si="129"/>
        <v>154.96555555555557</v>
      </c>
    </row>
    <row r="6922" spans="1:7" hidden="1" x14ac:dyDescent="0.25">
      <c r="A6922" s="28">
        <v>44105</v>
      </c>
      <c r="B6922" s="27" t="s">
        <v>200</v>
      </c>
      <c r="C6922" s="27" t="s">
        <v>182</v>
      </c>
      <c r="D6922" s="27" t="s">
        <v>7</v>
      </c>
      <c r="E6922" s="27" t="s">
        <v>20</v>
      </c>
      <c r="F6922" s="29"/>
      <c r="G6922" s="30">
        <f t="shared" si="129"/>
        <v>154.96555555555557</v>
      </c>
    </row>
    <row r="6923" spans="1:7" hidden="1" x14ac:dyDescent="0.25">
      <c r="A6923" s="28">
        <v>44105</v>
      </c>
      <c r="B6923" s="27" t="s">
        <v>200</v>
      </c>
      <c r="C6923" s="27" t="s">
        <v>182</v>
      </c>
      <c r="D6923" s="27" t="s">
        <v>7</v>
      </c>
      <c r="E6923" s="27" t="s">
        <v>23</v>
      </c>
      <c r="F6923" s="29"/>
      <c r="G6923" s="30">
        <f t="shared" si="129"/>
        <v>154.96555555555557</v>
      </c>
    </row>
    <row r="6924" spans="1:7" hidden="1" x14ac:dyDescent="0.25">
      <c r="A6924" s="28">
        <v>44105</v>
      </c>
      <c r="B6924" s="27" t="s">
        <v>200</v>
      </c>
      <c r="C6924" s="27" t="s">
        <v>182</v>
      </c>
      <c r="D6924" s="27" t="s">
        <v>7</v>
      </c>
      <c r="E6924" s="27" t="s">
        <v>37</v>
      </c>
      <c r="F6924" s="29"/>
      <c r="G6924" s="30">
        <f t="shared" si="129"/>
        <v>154.96555555555557</v>
      </c>
    </row>
    <row r="6925" spans="1:7" hidden="1" x14ac:dyDescent="0.25">
      <c r="A6925" s="28">
        <v>44105</v>
      </c>
      <c r="B6925" s="27" t="s">
        <v>35</v>
      </c>
      <c r="C6925" s="27" t="s">
        <v>50</v>
      </c>
      <c r="D6925" s="27" t="s">
        <v>6</v>
      </c>
      <c r="E6925" s="27" t="s">
        <v>8</v>
      </c>
      <c r="F6925" s="29"/>
      <c r="G6925" s="30">
        <v>692.68888888888887</v>
      </c>
    </row>
    <row r="6926" spans="1:7" hidden="1" x14ac:dyDescent="0.25">
      <c r="A6926" s="28">
        <v>44105</v>
      </c>
      <c r="B6926" s="27" t="s">
        <v>35</v>
      </c>
      <c r="C6926" s="27" t="s">
        <v>50</v>
      </c>
      <c r="D6926" s="27" t="s">
        <v>6</v>
      </c>
      <c r="E6926" s="27" t="s">
        <v>9</v>
      </c>
      <c r="F6926" s="29"/>
      <c r="G6926" s="30">
        <v>692.68888888888887</v>
      </c>
    </row>
    <row r="6927" spans="1:7" hidden="1" x14ac:dyDescent="0.25">
      <c r="A6927" s="28">
        <v>44105</v>
      </c>
      <c r="B6927" s="27" t="s">
        <v>35</v>
      </c>
      <c r="C6927" s="27" t="s">
        <v>50</v>
      </c>
      <c r="D6927" s="27" t="s">
        <v>6</v>
      </c>
      <c r="E6927" s="27" t="s">
        <v>22</v>
      </c>
      <c r="F6927" s="29"/>
      <c r="G6927" s="30">
        <v>692.68888888888887</v>
      </c>
    </row>
    <row r="6928" spans="1:7" hidden="1" x14ac:dyDescent="0.25">
      <c r="A6928" s="28">
        <v>44105</v>
      </c>
      <c r="B6928" s="27" t="s">
        <v>35</v>
      </c>
      <c r="C6928" s="27" t="s">
        <v>50</v>
      </c>
      <c r="D6928" s="27" t="s">
        <v>6</v>
      </c>
      <c r="E6928" s="27" t="s">
        <v>64</v>
      </c>
      <c r="F6928" s="29"/>
      <c r="G6928" s="30">
        <v>692.68888888888887</v>
      </c>
    </row>
    <row r="6929" spans="1:7" hidden="1" x14ac:dyDescent="0.25">
      <c r="A6929" s="28">
        <v>44105</v>
      </c>
      <c r="B6929" s="27" t="s">
        <v>35</v>
      </c>
      <c r="C6929" s="27" t="s">
        <v>50</v>
      </c>
      <c r="D6929" s="27" t="s">
        <v>6</v>
      </c>
      <c r="E6929" s="27" t="s">
        <v>21</v>
      </c>
      <c r="F6929" s="29"/>
      <c r="G6929" s="30">
        <v>692.68888888888887</v>
      </c>
    </row>
    <row r="6930" spans="1:7" hidden="1" x14ac:dyDescent="0.25">
      <c r="A6930" s="28">
        <v>44105</v>
      </c>
      <c r="B6930" s="27" t="s">
        <v>35</v>
      </c>
      <c r="C6930" s="27" t="s">
        <v>50</v>
      </c>
      <c r="D6930" s="27" t="s">
        <v>6</v>
      </c>
      <c r="E6930" s="27" t="s">
        <v>10</v>
      </c>
      <c r="F6930" s="29"/>
      <c r="G6930" s="30">
        <v>692.68888888888887</v>
      </c>
    </row>
    <row r="6931" spans="1:7" hidden="1" x14ac:dyDescent="0.25">
      <c r="A6931" s="28">
        <v>44105</v>
      </c>
      <c r="B6931" s="27" t="s">
        <v>35</v>
      </c>
      <c r="C6931" s="27" t="s">
        <v>50</v>
      </c>
      <c r="D6931" s="27" t="s">
        <v>6</v>
      </c>
      <c r="E6931" s="27" t="s">
        <v>11</v>
      </c>
      <c r="F6931" s="29"/>
      <c r="G6931" s="30">
        <v>692.68888888888887</v>
      </c>
    </row>
    <row r="6932" spans="1:7" hidden="1" x14ac:dyDescent="0.25">
      <c r="A6932" s="28">
        <v>44105</v>
      </c>
      <c r="B6932" s="27" t="s">
        <v>35</v>
      </c>
      <c r="C6932" s="27" t="s">
        <v>50</v>
      </c>
      <c r="D6932" s="27" t="s">
        <v>6</v>
      </c>
      <c r="E6932" s="27" t="s">
        <v>12</v>
      </c>
      <c r="F6932" s="29"/>
      <c r="G6932" s="30">
        <v>692.68888888888887</v>
      </c>
    </row>
    <row r="6933" spans="1:7" hidden="1" x14ac:dyDescent="0.25">
      <c r="A6933" s="28">
        <v>44105</v>
      </c>
      <c r="B6933" s="27" t="s">
        <v>35</v>
      </c>
      <c r="C6933" s="27" t="s">
        <v>50</v>
      </c>
      <c r="D6933" s="27" t="s">
        <v>6</v>
      </c>
      <c r="E6933" s="27" t="s">
        <v>13</v>
      </c>
      <c r="F6933" s="29"/>
      <c r="G6933" s="30">
        <v>692.68888888888887</v>
      </c>
    </row>
    <row r="6934" spans="1:7" hidden="1" x14ac:dyDescent="0.25">
      <c r="A6934" s="28">
        <v>44105</v>
      </c>
      <c r="B6934" s="27" t="s">
        <v>35</v>
      </c>
      <c r="C6934" s="27" t="s">
        <v>50</v>
      </c>
      <c r="D6934" s="27" t="s">
        <v>6</v>
      </c>
      <c r="E6934" s="27" t="s">
        <v>14</v>
      </c>
      <c r="F6934" s="29"/>
      <c r="G6934" s="30">
        <v>692.68888888888887</v>
      </c>
    </row>
    <row r="6935" spans="1:7" hidden="1" x14ac:dyDescent="0.25">
      <c r="A6935" s="28">
        <v>44105</v>
      </c>
      <c r="B6935" s="27" t="s">
        <v>35</v>
      </c>
      <c r="C6935" s="27" t="s">
        <v>50</v>
      </c>
      <c r="D6935" s="27" t="s">
        <v>6</v>
      </c>
      <c r="E6935" s="27" t="s">
        <v>15</v>
      </c>
      <c r="F6935" s="29"/>
      <c r="G6935" s="30">
        <v>692.68888888888887</v>
      </c>
    </row>
    <row r="6936" spans="1:7" hidden="1" x14ac:dyDescent="0.25">
      <c r="A6936" s="28">
        <v>44105</v>
      </c>
      <c r="B6936" s="27" t="s">
        <v>35</v>
      </c>
      <c r="C6936" s="27" t="s">
        <v>50</v>
      </c>
      <c r="D6936" s="27" t="s">
        <v>6</v>
      </c>
      <c r="E6936" s="27" t="s">
        <v>16</v>
      </c>
      <c r="F6936" s="29"/>
      <c r="G6936" s="30">
        <v>692.68888888888887</v>
      </c>
    </row>
    <row r="6937" spans="1:7" hidden="1" x14ac:dyDescent="0.25">
      <c r="A6937" s="28">
        <v>44105</v>
      </c>
      <c r="B6937" s="27" t="s">
        <v>35</v>
      </c>
      <c r="C6937" s="27" t="s">
        <v>50</v>
      </c>
      <c r="D6937" s="27" t="s">
        <v>6</v>
      </c>
      <c r="E6937" s="27" t="s">
        <v>17</v>
      </c>
      <c r="F6937" s="29"/>
      <c r="G6937" s="30">
        <v>692.68888888888887</v>
      </c>
    </row>
    <row r="6938" spans="1:7" hidden="1" x14ac:dyDescent="0.25">
      <c r="A6938" s="28">
        <v>44105</v>
      </c>
      <c r="B6938" s="27" t="s">
        <v>35</v>
      </c>
      <c r="C6938" s="27" t="s">
        <v>50</v>
      </c>
      <c r="D6938" s="27" t="s">
        <v>6</v>
      </c>
      <c r="E6938" s="27" t="s">
        <v>18</v>
      </c>
      <c r="F6938" s="29"/>
      <c r="G6938" s="30">
        <v>692.68888888888887</v>
      </c>
    </row>
    <row r="6939" spans="1:7" hidden="1" x14ac:dyDescent="0.25">
      <c r="A6939" s="28">
        <v>44105</v>
      </c>
      <c r="B6939" s="27" t="s">
        <v>35</v>
      </c>
      <c r="C6939" s="27" t="s">
        <v>50</v>
      </c>
      <c r="D6939" s="27" t="s">
        <v>6</v>
      </c>
      <c r="E6939" s="27" t="s">
        <v>19</v>
      </c>
      <c r="F6939" s="29"/>
      <c r="G6939" s="30">
        <v>692.68888888888887</v>
      </c>
    </row>
    <row r="6940" spans="1:7" hidden="1" x14ac:dyDescent="0.25">
      <c r="A6940" s="28">
        <v>44105</v>
      </c>
      <c r="B6940" s="27" t="s">
        <v>35</v>
      </c>
      <c r="C6940" s="27" t="s">
        <v>50</v>
      </c>
      <c r="D6940" s="27" t="s">
        <v>6</v>
      </c>
      <c r="E6940" s="27" t="s">
        <v>20</v>
      </c>
      <c r="F6940" s="29"/>
      <c r="G6940" s="30">
        <v>692.68888888888887</v>
      </c>
    </row>
    <row r="6941" spans="1:7" hidden="1" x14ac:dyDescent="0.25">
      <c r="A6941" s="28">
        <v>44105</v>
      </c>
      <c r="B6941" s="27" t="s">
        <v>35</v>
      </c>
      <c r="C6941" s="27" t="s">
        <v>50</v>
      </c>
      <c r="D6941" s="27" t="s">
        <v>6</v>
      </c>
      <c r="E6941" s="27" t="s">
        <v>38</v>
      </c>
      <c r="F6941" s="29"/>
      <c r="G6941" s="30">
        <v>692.68888888888887</v>
      </c>
    </row>
    <row r="6942" spans="1:7" hidden="1" x14ac:dyDescent="0.25">
      <c r="A6942" s="28">
        <v>44105</v>
      </c>
      <c r="B6942" s="27" t="s">
        <v>35</v>
      </c>
      <c r="C6942" s="27" t="s">
        <v>50</v>
      </c>
      <c r="D6942" s="27" t="s">
        <v>6</v>
      </c>
      <c r="E6942" s="27" t="s">
        <v>23</v>
      </c>
      <c r="F6942" s="29"/>
      <c r="G6942" s="30">
        <v>692.68888888888887</v>
      </c>
    </row>
    <row r="6943" spans="1:7" hidden="1" x14ac:dyDescent="0.25">
      <c r="A6943" s="28">
        <v>44105</v>
      </c>
      <c r="B6943" s="27" t="s">
        <v>34</v>
      </c>
      <c r="C6943" s="27" t="s">
        <v>50</v>
      </c>
      <c r="D6943" s="27" t="s">
        <v>6</v>
      </c>
      <c r="E6943" s="27" t="s">
        <v>8</v>
      </c>
      <c r="F6943" s="29"/>
      <c r="G6943" s="30">
        <v>730.85299999999995</v>
      </c>
    </row>
    <row r="6944" spans="1:7" hidden="1" x14ac:dyDescent="0.25">
      <c r="A6944" s="28">
        <v>44105</v>
      </c>
      <c r="B6944" s="27" t="s">
        <v>34</v>
      </c>
      <c r="C6944" s="27" t="s">
        <v>50</v>
      </c>
      <c r="D6944" s="27" t="s">
        <v>6</v>
      </c>
      <c r="E6944" s="27" t="s">
        <v>9</v>
      </c>
      <c r="F6944" s="29"/>
      <c r="G6944" s="30">
        <v>809.49900000000002</v>
      </c>
    </row>
    <row r="6945" spans="1:7" hidden="1" x14ac:dyDescent="0.25">
      <c r="A6945" s="28">
        <v>44105</v>
      </c>
      <c r="B6945" s="27" t="s">
        <v>34</v>
      </c>
      <c r="C6945" s="27" t="s">
        <v>50</v>
      </c>
      <c r="D6945" s="27" t="s">
        <v>6</v>
      </c>
      <c r="E6945" s="27" t="s">
        <v>22</v>
      </c>
      <c r="F6945" s="29"/>
      <c r="G6945" s="30">
        <v>1078.788</v>
      </c>
    </row>
    <row r="6946" spans="1:7" hidden="1" x14ac:dyDescent="0.25">
      <c r="A6946" s="28">
        <v>44105</v>
      </c>
      <c r="B6946" s="27" t="s">
        <v>34</v>
      </c>
      <c r="C6946" s="27" t="s">
        <v>50</v>
      </c>
      <c r="D6946" s="27" t="s">
        <v>6</v>
      </c>
      <c r="E6946" s="27" t="s">
        <v>64</v>
      </c>
      <c r="F6946" s="29"/>
      <c r="G6946" s="30">
        <v>770.21699999999998</v>
      </c>
    </row>
    <row r="6947" spans="1:7" hidden="1" x14ac:dyDescent="0.25">
      <c r="A6947" s="28">
        <v>44105</v>
      </c>
      <c r="B6947" s="27" t="s">
        <v>34</v>
      </c>
      <c r="C6947" s="27" t="s">
        <v>50</v>
      </c>
      <c r="D6947" s="27" t="s">
        <v>6</v>
      </c>
      <c r="E6947" s="27" t="s">
        <v>21</v>
      </c>
      <c r="F6947" s="29"/>
      <c r="G6947" s="30">
        <v>777.58799999999997</v>
      </c>
    </row>
    <row r="6948" spans="1:7" hidden="1" x14ac:dyDescent="0.25">
      <c r="A6948" s="28">
        <v>44105</v>
      </c>
      <c r="B6948" s="27" t="s">
        <v>34</v>
      </c>
      <c r="C6948" s="27" t="s">
        <v>50</v>
      </c>
      <c r="D6948" s="27" t="s">
        <v>6</v>
      </c>
      <c r="E6948" s="27" t="s">
        <v>10</v>
      </c>
      <c r="F6948" s="29"/>
      <c r="G6948" s="30">
        <v>1036.6759999999999</v>
      </c>
    </row>
    <row r="6949" spans="1:7" hidden="1" x14ac:dyDescent="0.25">
      <c r="A6949" s="28">
        <v>44105</v>
      </c>
      <c r="B6949" s="27" t="s">
        <v>34</v>
      </c>
      <c r="C6949" s="27" t="s">
        <v>50</v>
      </c>
      <c r="D6949" s="27" t="s">
        <v>6</v>
      </c>
      <c r="E6949" s="27" t="s">
        <v>11</v>
      </c>
      <c r="F6949" s="29"/>
      <c r="G6949" s="30">
        <v>414.69799999999998</v>
      </c>
    </row>
    <row r="6950" spans="1:7" hidden="1" x14ac:dyDescent="0.25">
      <c r="A6950" s="28">
        <v>44105</v>
      </c>
      <c r="B6950" s="27" t="s">
        <v>34</v>
      </c>
      <c r="C6950" s="27" t="s">
        <v>50</v>
      </c>
      <c r="D6950" s="27" t="s">
        <v>6</v>
      </c>
      <c r="E6950" s="27" t="s">
        <v>12</v>
      </c>
      <c r="F6950" s="29"/>
      <c r="G6950" s="30">
        <v>455.96400000000006</v>
      </c>
    </row>
    <row r="6951" spans="1:7" hidden="1" x14ac:dyDescent="0.25">
      <c r="A6951" s="28">
        <v>44105</v>
      </c>
      <c r="B6951" s="27" t="s">
        <v>34</v>
      </c>
      <c r="C6951" s="27" t="s">
        <v>50</v>
      </c>
      <c r="D6951" s="27" t="s">
        <v>6</v>
      </c>
      <c r="E6951" s="27" t="s">
        <v>13</v>
      </c>
      <c r="F6951" s="29"/>
      <c r="G6951" s="30">
        <v>661.88400000000001</v>
      </c>
    </row>
    <row r="6952" spans="1:7" hidden="1" x14ac:dyDescent="0.25">
      <c r="A6952" s="28">
        <v>44105</v>
      </c>
      <c r="B6952" s="27" t="s">
        <v>34</v>
      </c>
      <c r="C6952" s="27" t="s">
        <v>50</v>
      </c>
      <c r="D6952" s="27" t="s">
        <v>6</v>
      </c>
      <c r="E6952" s="27" t="s">
        <v>14</v>
      </c>
      <c r="F6952" s="29"/>
      <c r="G6952" s="30">
        <v>191.779</v>
      </c>
    </row>
    <row r="6953" spans="1:7" hidden="1" x14ac:dyDescent="0.25">
      <c r="A6953" s="28">
        <v>44105</v>
      </c>
      <c r="B6953" s="27" t="s">
        <v>34</v>
      </c>
      <c r="C6953" s="27" t="s">
        <v>50</v>
      </c>
      <c r="D6953" s="27" t="s">
        <v>6</v>
      </c>
      <c r="E6953" s="27" t="s">
        <v>15</v>
      </c>
      <c r="F6953" s="29"/>
      <c r="G6953" s="30">
        <v>526.94200000000001</v>
      </c>
    </row>
    <row r="6954" spans="1:7" hidden="1" x14ac:dyDescent="0.25">
      <c r="A6954" s="28">
        <v>44105</v>
      </c>
      <c r="B6954" s="27" t="s">
        <v>34</v>
      </c>
      <c r="C6954" s="27" t="s">
        <v>50</v>
      </c>
      <c r="D6954" s="27" t="s">
        <v>6</v>
      </c>
      <c r="E6954" s="27" t="s">
        <v>16</v>
      </c>
      <c r="F6954" s="29"/>
      <c r="G6954" s="30">
        <v>651.45799999999997</v>
      </c>
    </row>
    <row r="6955" spans="1:7" hidden="1" x14ac:dyDescent="0.25">
      <c r="A6955" s="28">
        <v>44105</v>
      </c>
      <c r="B6955" s="27" t="s">
        <v>34</v>
      </c>
      <c r="C6955" s="27" t="s">
        <v>50</v>
      </c>
      <c r="D6955" s="27" t="s">
        <v>6</v>
      </c>
      <c r="E6955" s="27" t="s">
        <v>17</v>
      </c>
      <c r="F6955" s="29"/>
      <c r="G6955" s="30">
        <v>1174.4879999999998</v>
      </c>
    </row>
    <row r="6956" spans="1:7" hidden="1" x14ac:dyDescent="0.25">
      <c r="A6956" s="28">
        <v>44105</v>
      </c>
      <c r="B6956" s="27" t="s">
        <v>34</v>
      </c>
      <c r="C6956" s="27" t="s">
        <v>50</v>
      </c>
      <c r="D6956" s="27" t="s">
        <v>6</v>
      </c>
      <c r="E6956" s="27" t="s">
        <v>18</v>
      </c>
      <c r="F6956" s="29"/>
      <c r="G6956" s="30">
        <v>506.59399999999994</v>
      </c>
    </row>
    <row r="6957" spans="1:7" hidden="1" x14ac:dyDescent="0.25">
      <c r="A6957" s="28">
        <v>44105</v>
      </c>
      <c r="B6957" s="27" t="s">
        <v>34</v>
      </c>
      <c r="C6957" s="27" t="s">
        <v>50</v>
      </c>
      <c r="D6957" s="27" t="s">
        <v>6</v>
      </c>
      <c r="E6957" s="27" t="s">
        <v>19</v>
      </c>
      <c r="F6957" s="29"/>
      <c r="G6957" s="30">
        <v>716.14</v>
      </c>
    </row>
    <row r="6958" spans="1:7" hidden="1" x14ac:dyDescent="0.25">
      <c r="A6958" s="28">
        <v>44105</v>
      </c>
      <c r="B6958" s="27" t="s">
        <v>34</v>
      </c>
      <c r="C6958" s="27" t="s">
        <v>50</v>
      </c>
      <c r="D6958" s="27" t="s">
        <v>6</v>
      </c>
      <c r="E6958" s="27" t="s">
        <v>20</v>
      </c>
      <c r="F6958" s="29"/>
      <c r="G6958" s="30">
        <v>520.13300000000004</v>
      </c>
    </row>
    <row r="6959" spans="1:7" hidden="1" x14ac:dyDescent="0.25">
      <c r="A6959" s="28">
        <v>44105</v>
      </c>
      <c r="B6959" s="27" t="s">
        <v>34</v>
      </c>
      <c r="C6959" s="27" t="s">
        <v>50</v>
      </c>
      <c r="D6959" s="27" t="s">
        <v>6</v>
      </c>
      <c r="E6959" s="27" t="s">
        <v>38</v>
      </c>
      <c r="F6959" s="29"/>
      <c r="G6959" s="30">
        <v>204.74299999999999</v>
      </c>
    </row>
    <row r="6960" spans="1:7" hidden="1" x14ac:dyDescent="0.25">
      <c r="A6960" s="28">
        <v>44105</v>
      </c>
      <c r="B6960" s="27" t="s">
        <v>34</v>
      </c>
      <c r="C6960" s="27" t="s">
        <v>50</v>
      </c>
      <c r="D6960" s="27" t="s">
        <v>6</v>
      </c>
      <c r="E6960" s="27" t="s">
        <v>23</v>
      </c>
      <c r="F6960" s="29"/>
      <c r="G6960" s="30">
        <v>803.31400000000008</v>
      </c>
    </row>
    <row r="6961" spans="1:7" hidden="1" x14ac:dyDescent="0.25">
      <c r="A6961" s="28">
        <v>44136</v>
      </c>
      <c r="B6961" s="27" t="s">
        <v>33</v>
      </c>
      <c r="C6961" s="27" t="s">
        <v>50</v>
      </c>
      <c r="D6961" s="27" t="s">
        <v>7</v>
      </c>
      <c r="E6961" s="27" t="s">
        <v>8</v>
      </c>
      <c r="F6961" s="29"/>
      <c r="G6961" s="30">
        <v>2655.8494444444445</v>
      </c>
    </row>
    <row r="6962" spans="1:7" hidden="1" x14ac:dyDescent="0.25">
      <c r="A6962" s="28">
        <v>44136</v>
      </c>
      <c r="B6962" s="27" t="s">
        <v>33</v>
      </c>
      <c r="C6962" s="27" t="s">
        <v>50</v>
      </c>
      <c r="D6962" s="27" t="s">
        <v>7</v>
      </c>
      <c r="E6962" s="27" t="s">
        <v>9</v>
      </c>
      <c r="F6962" s="29"/>
      <c r="G6962" s="30">
        <v>2655.8494444444445</v>
      </c>
    </row>
    <row r="6963" spans="1:7" hidden="1" x14ac:dyDescent="0.25">
      <c r="A6963" s="28">
        <v>44136</v>
      </c>
      <c r="B6963" s="27" t="s">
        <v>33</v>
      </c>
      <c r="C6963" s="27" t="s">
        <v>50</v>
      </c>
      <c r="D6963" s="27" t="s">
        <v>7</v>
      </c>
      <c r="E6963" s="27" t="s">
        <v>22</v>
      </c>
      <c r="F6963" s="29"/>
      <c r="G6963" s="30">
        <v>2655.8494444444445</v>
      </c>
    </row>
    <row r="6964" spans="1:7" hidden="1" x14ac:dyDescent="0.25">
      <c r="A6964" s="28">
        <v>44136</v>
      </c>
      <c r="B6964" s="27" t="s">
        <v>33</v>
      </c>
      <c r="C6964" s="27" t="s">
        <v>50</v>
      </c>
      <c r="D6964" s="27" t="s">
        <v>7</v>
      </c>
      <c r="E6964" s="27" t="s">
        <v>64</v>
      </c>
      <c r="F6964" s="29"/>
      <c r="G6964" s="30">
        <v>2655.8494444444445</v>
      </c>
    </row>
    <row r="6965" spans="1:7" hidden="1" x14ac:dyDescent="0.25">
      <c r="A6965" s="28">
        <v>44136</v>
      </c>
      <c r="B6965" s="27" t="s">
        <v>33</v>
      </c>
      <c r="C6965" s="27" t="s">
        <v>50</v>
      </c>
      <c r="D6965" s="27" t="s">
        <v>7</v>
      </c>
      <c r="E6965" s="27" t="s">
        <v>21</v>
      </c>
      <c r="F6965" s="29"/>
      <c r="G6965" s="30">
        <v>2655.8494444444445</v>
      </c>
    </row>
    <row r="6966" spans="1:7" hidden="1" x14ac:dyDescent="0.25">
      <c r="A6966" s="28">
        <v>44136</v>
      </c>
      <c r="B6966" s="27" t="s">
        <v>33</v>
      </c>
      <c r="C6966" s="27" t="s">
        <v>50</v>
      </c>
      <c r="D6966" s="27" t="s">
        <v>7</v>
      </c>
      <c r="E6966" s="27" t="s">
        <v>10</v>
      </c>
      <c r="F6966" s="29"/>
      <c r="G6966" s="30">
        <v>2655.8494444444445</v>
      </c>
    </row>
    <row r="6967" spans="1:7" hidden="1" x14ac:dyDescent="0.25">
      <c r="A6967" s="28">
        <v>44136</v>
      </c>
      <c r="B6967" s="27" t="s">
        <v>33</v>
      </c>
      <c r="C6967" s="27" t="s">
        <v>50</v>
      </c>
      <c r="D6967" s="27" t="s">
        <v>7</v>
      </c>
      <c r="E6967" s="27" t="s">
        <v>11</v>
      </c>
      <c r="F6967" s="29"/>
      <c r="G6967" s="30">
        <v>2655.8494444444445</v>
      </c>
    </row>
    <row r="6968" spans="1:7" hidden="1" x14ac:dyDescent="0.25">
      <c r="A6968" s="28">
        <v>44136</v>
      </c>
      <c r="B6968" s="27" t="s">
        <v>33</v>
      </c>
      <c r="C6968" s="27" t="s">
        <v>50</v>
      </c>
      <c r="D6968" s="27" t="s">
        <v>7</v>
      </c>
      <c r="E6968" s="27" t="s">
        <v>12</v>
      </c>
      <c r="F6968" s="29"/>
      <c r="G6968" s="30">
        <v>2655.8494444444445</v>
      </c>
    </row>
    <row r="6969" spans="1:7" hidden="1" x14ac:dyDescent="0.25">
      <c r="A6969" s="28">
        <v>44136</v>
      </c>
      <c r="B6969" s="27" t="s">
        <v>33</v>
      </c>
      <c r="C6969" s="27" t="s">
        <v>50</v>
      </c>
      <c r="D6969" s="27" t="s">
        <v>7</v>
      </c>
      <c r="E6969" s="27" t="s">
        <v>13</v>
      </c>
      <c r="F6969" s="29"/>
      <c r="G6969" s="30">
        <v>2655.8494444444445</v>
      </c>
    </row>
    <row r="6970" spans="1:7" hidden="1" x14ac:dyDescent="0.25">
      <c r="A6970" s="28">
        <v>44136</v>
      </c>
      <c r="B6970" s="27" t="s">
        <v>33</v>
      </c>
      <c r="C6970" s="27" t="s">
        <v>50</v>
      </c>
      <c r="D6970" s="27" t="s">
        <v>7</v>
      </c>
      <c r="E6970" s="27" t="s">
        <v>14</v>
      </c>
      <c r="F6970" s="29"/>
      <c r="G6970" s="30">
        <v>2655.8494444444445</v>
      </c>
    </row>
    <row r="6971" spans="1:7" hidden="1" x14ac:dyDescent="0.25">
      <c r="A6971" s="28">
        <v>44136</v>
      </c>
      <c r="B6971" s="27" t="s">
        <v>33</v>
      </c>
      <c r="C6971" s="27" t="s">
        <v>50</v>
      </c>
      <c r="D6971" s="27" t="s">
        <v>7</v>
      </c>
      <c r="E6971" s="27" t="s">
        <v>15</v>
      </c>
      <c r="F6971" s="29"/>
      <c r="G6971" s="30">
        <v>2655.8494444444445</v>
      </c>
    </row>
    <row r="6972" spans="1:7" hidden="1" x14ac:dyDescent="0.25">
      <c r="A6972" s="28">
        <v>44136</v>
      </c>
      <c r="B6972" s="27" t="s">
        <v>33</v>
      </c>
      <c r="C6972" s="27" t="s">
        <v>50</v>
      </c>
      <c r="D6972" s="27" t="s">
        <v>7</v>
      </c>
      <c r="E6972" s="27" t="s">
        <v>16</v>
      </c>
      <c r="F6972" s="29"/>
      <c r="G6972" s="30">
        <v>2655.8494444444445</v>
      </c>
    </row>
    <row r="6973" spans="1:7" hidden="1" x14ac:dyDescent="0.25">
      <c r="A6973" s="28">
        <v>44136</v>
      </c>
      <c r="B6973" s="27" t="s">
        <v>33</v>
      </c>
      <c r="C6973" s="27" t="s">
        <v>50</v>
      </c>
      <c r="D6973" s="27" t="s">
        <v>7</v>
      </c>
      <c r="E6973" s="27" t="s">
        <v>17</v>
      </c>
      <c r="F6973" s="29"/>
      <c r="G6973" s="30">
        <v>2655.8494444444445</v>
      </c>
    </row>
    <row r="6974" spans="1:7" hidden="1" x14ac:dyDescent="0.25">
      <c r="A6974" s="28">
        <v>44136</v>
      </c>
      <c r="B6974" s="27" t="s">
        <v>33</v>
      </c>
      <c r="C6974" s="27" t="s">
        <v>50</v>
      </c>
      <c r="D6974" s="27" t="s">
        <v>7</v>
      </c>
      <c r="E6974" s="27" t="s">
        <v>18</v>
      </c>
      <c r="F6974" s="29"/>
      <c r="G6974" s="30">
        <v>2655.8494444444445</v>
      </c>
    </row>
    <row r="6975" spans="1:7" hidden="1" x14ac:dyDescent="0.25">
      <c r="A6975" s="28">
        <v>44136</v>
      </c>
      <c r="B6975" s="27" t="s">
        <v>33</v>
      </c>
      <c r="C6975" s="27" t="s">
        <v>50</v>
      </c>
      <c r="D6975" s="27" t="s">
        <v>7</v>
      </c>
      <c r="E6975" s="27" t="s">
        <v>19</v>
      </c>
      <c r="F6975" s="29"/>
      <c r="G6975" s="30">
        <v>2655.8494444444445</v>
      </c>
    </row>
    <row r="6976" spans="1:7" hidden="1" x14ac:dyDescent="0.25">
      <c r="A6976" s="28">
        <v>44136</v>
      </c>
      <c r="B6976" s="27" t="s">
        <v>33</v>
      </c>
      <c r="C6976" s="27" t="s">
        <v>50</v>
      </c>
      <c r="D6976" s="27" t="s">
        <v>7</v>
      </c>
      <c r="E6976" s="27" t="s">
        <v>20</v>
      </c>
      <c r="F6976" s="29"/>
      <c r="G6976" s="30">
        <v>2655.8494444444445</v>
      </c>
    </row>
    <row r="6977" spans="1:7" hidden="1" x14ac:dyDescent="0.25">
      <c r="A6977" s="28">
        <v>44136</v>
      </c>
      <c r="B6977" s="27" t="s">
        <v>33</v>
      </c>
      <c r="C6977" s="27" t="s">
        <v>50</v>
      </c>
      <c r="D6977" s="27" t="s">
        <v>7</v>
      </c>
      <c r="E6977" s="27" t="s">
        <v>38</v>
      </c>
      <c r="F6977" s="29"/>
      <c r="G6977" s="30">
        <v>2655.8494444444445</v>
      </c>
    </row>
    <row r="6978" spans="1:7" hidden="1" x14ac:dyDescent="0.25">
      <c r="A6978" s="28">
        <v>44136</v>
      </c>
      <c r="B6978" s="27" t="s">
        <v>33</v>
      </c>
      <c r="C6978" s="27" t="s">
        <v>50</v>
      </c>
      <c r="D6978" s="27" t="s">
        <v>7</v>
      </c>
      <c r="E6978" s="27" t="s">
        <v>23</v>
      </c>
      <c r="F6978" s="29"/>
      <c r="G6978" s="30">
        <v>2655.8494444444445</v>
      </c>
    </row>
    <row r="6979" spans="1:7" hidden="1" x14ac:dyDescent="0.25">
      <c r="A6979" s="28">
        <v>44136</v>
      </c>
      <c r="B6979" s="27" t="s">
        <v>4</v>
      </c>
      <c r="C6979" s="27" t="s">
        <v>50</v>
      </c>
      <c r="D6979" s="27" t="s">
        <v>7</v>
      </c>
      <c r="E6979" s="27" t="s">
        <v>9</v>
      </c>
      <c r="F6979" s="29"/>
      <c r="G6979" s="30">
        <v>4213.1899999999996</v>
      </c>
    </row>
    <row r="6980" spans="1:7" hidden="1" x14ac:dyDescent="0.25">
      <c r="A6980" s="28">
        <v>44136</v>
      </c>
      <c r="B6980" s="27" t="s">
        <v>4</v>
      </c>
      <c r="C6980" s="27" t="s">
        <v>50</v>
      </c>
      <c r="D6980" s="27" t="s">
        <v>7</v>
      </c>
      <c r="E6980" s="27" t="s">
        <v>22</v>
      </c>
      <c r="F6980" s="29"/>
      <c r="G6980" s="30">
        <v>3008.5</v>
      </c>
    </row>
    <row r="6981" spans="1:7" hidden="1" x14ac:dyDescent="0.25">
      <c r="A6981" s="28">
        <v>44136</v>
      </c>
      <c r="B6981" s="27" t="s">
        <v>4</v>
      </c>
      <c r="C6981" s="27" t="s">
        <v>50</v>
      </c>
      <c r="D6981" s="27" t="s">
        <v>7</v>
      </c>
      <c r="E6981" s="27" t="s">
        <v>21</v>
      </c>
      <c r="F6981" s="29"/>
      <c r="G6981" s="30">
        <v>4304.63</v>
      </c>
    </row>
    <row r="6982" spans="1:7" hidden="1" x14ac:dyDescent="0.25">
      <c r="A6982" s="28">
        <v>44136</v>
      </c>
      <c r="B6982" s="27" t="s">
        <v>4</v>
      </c>
      <c r="C6982" s="27" t="s">
        <v>50</v>
      </c>
      <c r="D6982" s="27" t="s">
        <v>7</v>
      </c>
      <c r="E6982" s="27" t="s">
        <v>10</v>
      </c>
      <c r="F6982" s="29"/>
      <c r="G6982" s="30">
        <v>3885.15</v>
      </c>
    </row>
    <row r="6983" spans="1:7" hidden="1" x14ac:dyDescent="0.25">
      <c r="A6983" s="28">
        <v>44136</v>
      </c>
      <c r="B6983" s="27" t="s">
        <v>4</v>
      </c>
      <c r="C6983" s="27" t="s">
        <v>50</v>
      </c>
      <c r="D6983" s="27" t="s">
        <v>7</v>
      </c>
      <c r="E6983" s="27" t="s">
        <v>11</v>
      </c>
      <c r="F6983" s="29"/>
      <c r="G6983" s="30">
        <v>1106.01</v>
      </c>
    </row>
    <row r="6984" spans="1:7" hidden="1" x14ac:dyDescent="0.25">
      <c r="A6984" s="28">
        <v>44136</v>
      </c>
      <c r="B6984" s="27" t="s">
        <v>4</v>
      </c>
      <c r="C6984" s="27" t="s">
        <v>50</v>
      </c>
      <c r="D6984" s="27" t="s">
        <v>7</v>
      </c>
      <c r="E6984" s="27" t="s">
        <v>12</v>
      </c>
      <c r="F6984" s="29"/>
      <c r="G6984" s="30">
        <v>197.37</v>
      </c>
    </row>
    <row r="6985" spans="1:7" hidden="1" x14ac:dyDescent="0.25">
      <c r="A6985" s="28">
        <v>44136</v>
      </c>
      <c r="B6985" s="27" t="s">
        <v>4</v>
      </c>
      <c r="C6985" s="27" t="s">
        <v>50</v>
      </c>
      <c r="D6985" s="27" t="s">
        <v>7</v>
      </c>
      <c r="E6985" s="27" t="s">
        <v>13</v>
      </c>
      <c r="F6985" s="29"/>
      <c r="G6985" s="30">
        <v>6119.59</v>
      </c>
    </row>
    <row r="6986" spans="1:7" hidden="1" x14ac:dyDescent="0.25">
      <c r="A6986" s="28">
        <v>44136</v>
      </c>
      <c r="B6986" s="27" t="s">
        <v>4</v>
      </c>
      <c r="C6986" s="27" t="s">
        <v>50</v>
      </c>
      <c r="D6986" s="27" t="s">
        <v>7</v>
      </c>
      <c r="E6986" s="27" t="s">
        <v>14</v>
      </c>
      <c r="F6986" s="29"/>
      <c r="G6986" s="30">
        <v>827.05</v>
      </c>
    </row>
    <row r="6987" spans="1:7" hidden="1" x14ac:dyDescent="0.25">
      <c r="A6987" s="28">
        <v>44136</v>
      </c>
      <c r="B6987" s="27" t="s">
        <v>4</v>
      </c>
      <c r="C6987" s="27" t="s">
        <v>50</v>
      </c>
      <c r="D6987" s="27" t="s">
        <v>7</v>
      </c>
      <c r="E6987" s="27" t="s">
        <v>15</v>
      </c>
      <c r="F6987" s="29"/>
      <c r="G6987" s="30">
        <v>1962.46</v>
      </c>
    </row>
    <row r="6988" spans="1:7" hidden="1" x14ac:dyDescent="0.25">
      <c r="A6988" s="28">
        <v>44136</v>
      </c>
      <c r="B6988" s="27" t="s">
        <v>4</v>
      </c>
      <c r="C6988" s="27" t="s">
        <v>50</v>
      </c>
      <c r="D6988" s="27" t="s">
        <v>7</v>
      </c>
      <c r="E6988" s="27" t="s">
        <v>16</v>
      </c>
      <c r="F6988" s="29"/>
      <c r="G6988" s="30">
        <v>4105.5600000000004</v>
      </c>
    </row>
    <row r="6989" spans="1:7" hidden="1" x14ac:dyDescent="0.25">
      <c r="A6989" s="28">
        <v>44136</v>
      </c>
      <c r="B6989" s="27" t="s">
        <v>4</v>
      </c>
      <c r="C6989" s="27" t="s">
        <v>50</v>
      </c>
      <c r="D6989" s="27" t="s">
        <v>7</v>
      </c>
      <c r="E6989" s="27" t="s">
        <v>17</v>
      </c>
      <c r="F6989" s="29"/>
      <c r="G6989" s="30">
        <v>5211.32</v>
      </c>
    </row>
    <row r="6990" spans="1:7" hidden="1" x14ac:dyDescent="0.25">
      <c r="A6990" s="28">
        <v>44136</v>
      </c>
      <c r="B6990" s="27" t="s">
        <v>4</v>
      </c>
      <c r="C6990" s="27" t="s">
        <v>50</v>
      </c>
      <c r="D6990" s="27" t="s">
        <v>7</v>
      </c>
      <c r="E6990" s="27" t="s">
        <v>18</v>
      </c>
      <c r="F6990" s="29"/>
      <c r="G6990" s="30">
        <v>2394.7699999999995</v>
      </c>
    </row>
    <row r="6991" spans="1:7" hidden="1" x14ac:dyDescent="0.25">
      <c r="A6991" s="28">
        <v>44136</v>
      </c>
      <c r="B6991" s="27" t="s">
        <v>4</v>
      </c>
      <c r="C6991" s="27" t="s">
        <v>50</v>
      </c>
      <c r="D6991" s="27" t="s">
        <v>7</v>
      </c>
      <c r="E6991" s="27" t="s">
        <v>19</v>
      </c>
      <c r="F6991" s="29"/>
      <c r="G6991" s="30">
        <v>55</v>
      </c>
    </row>
    <row r="6992" spans="1:7" hidden="1" x14ac:dyDescent="0.25">
      <c r="A6992" s="28">
        <v>44136</v>
      </c>
      <c r="B6992" s="27" t="s">
        <v>4</v>
      </c>
      <c r="C6992" s="27" t="s">
        <v>50</v>
      </c>
      <c r="D6992" s="27" t="s">
        <v>7</v>
      </c>
      <c r="E6992" s="27" t="s">
        <v>20</v>
      </c>
      <c r="F6992" s="29"/>
      <c r="G6992" s="30">
        <v>325.05</v>
      </c>
    </row>
    <row r="6993" spans="1:7" hidden="1" x14ac:dyDescent="0.25">
      <c r="A6993" s="28">
        <v>44136</v>
      </c>
      <c r="B6993" s="27" t="s">
        <v>4</v>
      </c>
      <c r="C6993" s="27" t="s">
        <v>50</v>
      </c>
      <c r="D6993" s="27" t="s">
        <v>7</v>
      </c>
      <c r="E6993" s="27" t="s">
        <v>23</v>
      </c>
      <c r="F6993" s="29"/>
      <c r="G6993" s="30">
        <v>3943.8599999999997</v>
      </c>
    </row>
    <row r="6994" spans="1:7" hidden="1" x14ac:dyDescent="0.25">
      <c r="A6994" s="28">
        <v>44136</v>
      </c>
      <c r="B6994" s="27" t="s">
        <v>26</v>
      </c>
      <c r="C6994" s="27" t="s">
        <v>50</v>
      </c>
      <c r="D6994" s="27" t="s">
        <v>6</v>
      </c>
      <c r="E6994" s="27" t="s">
        <v>8</v>
      </c>
      <c r="F6994" s="29"/>
      <c r="G6994" s="30">
        <v>1194.25</v>
      </c>
    </row>
    <row r="6995" spans="1:7" hidden="1" x14ac:dyDescent="0.25">
      <c r="A6995" s="28">
        <v>44136</v>
      </c>
      <c r="B6995" s="27" t="s">
        <v>26</v>
      </c>
      <c r="C6995" s="27" t="s">
        <v>50</v>
      </c>
      <c r="D6995" s="27" t="s">
        <v>6</v>
      </c>
      <c r="E6995" s="27" t="s">
        <v>9</v>
      </c>
      <c r="F6995" s="29"/>
      <c r="G6995" s="30">
        <v>1550.9166666666667</v>
      </c>
    </row>
    <row r="6996" spans="1:7" hidden="1" x14ac:dyDescent="0.25">
      <c r="A6996" s="28">
        <v>44136</v>
      </c>
      <c r="B6996" s="27" t="s">
        <v>26</v>
      </c>
      <c r="C6996" s="27" t="s">
        <v>50</v>
      </c>
      <c r="D6996" s="27" t="s">
        <v>6</v>
      </c>
      <c r="E6996" s="27" t="s">
        <v>22</v>
      </c>
      <c r="F6996" s="29"/>
      <c r="G6996" s="30">
        <v>1270.3500000000001</v>
      </c>
    </row>
    <row r="6997" spans="1:7" hidden="1" x14ac:dyDescent="0.25">
      <c r="A6997" s="28">
        <v>44136</v>
      </c>
      <c r="B6997" s="27" t="s">
        <v>26</v>
      </c>
      <c r="C6997" s="27" t="s">
        <v>50</v>
      </c>
      <c r="D6997" s="27" t="s">
        <v>6</v>
      </c>
      <c r="E6997" s="27" t="s">
        <v>64</v>
      </c>
      <c r="F6997" s="29"/>
      <c r="G6997" s="30">
        <v>1359.4166666666667</v>
      </c>
    </row>
    <row r="6998" spans="1:7" hidden="1" x14ac:dyDescent="0.25">
      <c r="A6998" s="28">
        <v>44136</v>
      </c>
      <c r="B6998" s="27" t="s">
        <v>26</v>
      </c>
      <c r="C6998" s="27" t="s">
        <v>50</v>
      </c>
      <c r="D6998" s="27" t="s">
        <v>6</v>
      </c>
      <c r="E6998" s="27" t="s">
        <v>21</v>
      </c>
      <c r="F6998" s="29"/>
      <c r="G6998" s="30">
        <v>1359.4166666666667</v>
      </c>
    </row>
    <row r="6999" spans="1:7" hidden="1" x14ac:dyDescent="0.25">
      <c r="A6999" s="28">
        <v>44136</v>
      </c>
      <c r="B6999" s="27" t="s">
        <v>26</v>
      </c>
      <c r="C6999" s="27" t="s">
        <v>50</v>
      </c>
      <c r="D6999" s="27" t="s">
        <v>6</v>
      </c>
      <c r="E6999" s="27" t="s">
        <v>10</v>
      </c>
      <c r="F6999" s="29"/>
      <c r="G6999" s="30">
        <v>1998.9666666666669</v>
      </c>
    </row>
    <row r="7000" spans="1:7" hidden="1" x14ac:dyDescent="0.25">
      <c r="A7000" s="28">
        <v>44136</v>
      </c>
      <c r="B7000" s="27" t="s">
        <v>26</v>
      </c>
      <c r="C7000" s="27" t="s">
        <v>50</v>
      </c>
      <c r="D7000" s="27" t="s">
        <v>6</v>
      </c>
      <c r="E7000" s="27" t="s">
        <v>11</v>
      </c>
      <c r="F7000" s="29"/>
      <c r="G7000" s="30">
        <v>1340.7166666666667</v>
      </c>
    </row>
    <row r="7001" spans="1:7" hidden="1" x14ac:dyDescent="0.25">
      <c r="A7001" s="28">
        <v>44136</v>
      </c>
      <c r="B7001" s="27" t="s">
        <v>26</v>
      </c>
      <c r="C7001" s="27" t="s">
        <v>50</v>
      </c>
      <c r="D7001" s="27" t="s">
        <v>6</v>
      </c>
      <c r="E7001" s="27" t="s">
        <v>12</v>
      </c>
      <c r="F7001" s="29"/>
      <c r="G7001" s="30">
        <v>1350.1166666666668</v>
      </c>
    </row>
    <row r="7002" spans="1:7" hidden="1" x14ac:dyDescent="0.25">
      <c r="A7002" s="28">
        <v>44136</v>
      </c>
      <c r="B7002" s="27" t="s">
        <v>26</v>
      </c>
      <c r="C7002" s="27" t="s">
        <v>50</v>
      </c>
      <c r="D7002" s="27" t="s">
        <v>6</v>
      </c>
      <c r="E7002" s="27" t="s">
        <v>13</v>
      </c>
      <c r="F7002" s="29"/>
      <c r="G7002" s="30">
        <v>1901.5</v>
      </c>
    </row>
    <row r="7003" spans="1:7" hidden="1" x14ac:dyDescent="0.25">
      <c r="A7003" s="28">
        <v>44136</v>
      </c>
      <c r="B7003" s="27" t="s">
        <v>26</v>
      </c>
      <c r="C7003" s="27" t="s">
        <v>50</v>
      </c>
      <c r="D7003" s="27" t="s">
        <v>6</v>
      </c>
      <c r="E7003" s="27" t="s">
        <v>14</v>
      </c>
      <c r="F7003" s="29"/>
      <c r="G7003" s="30">
        <v>701.7833333333333</v>
      </c>
    </row>
    <row r="7004" spans="1:7" hidden="1" x14ac:dyDescent="0.25">
      <c r="A7004" s="28">
        <v>44136</v>
      </c>
      <c r="B7004" s="27" t="s">
        <v>26</v>
      </c>
      <c r="C7004" s="27" t="s">
        <v>50</v>
      </c>
      <c r="D7004" s="27" t="s">
        <v>6</v>
      </c>
      <c r="E7004" s="27" t="s">
        <v>15</v>
      </c>
      <c r="F7004" s="29"/>
      <c r="G7004" s="30">
        <v>1820.5500000000002</v>
      </c>
    </row>
    <row r="7005" spans="1:7" hidden="1" x14ac:dyDescent="0.25">
      <c r="A7005" s="28">
        <v>44136</v>
      </c>
      <c r="B7005" s="27" t="s">
        <v>26</v>
      </c>
      <c r="C7005" s="27" t="s">
        <v>50</v>
      </c>
      <c r="D7005" s="27" t="s">
        <v>6</v>
      </c>
      <c r="E7005" s="27" t="s">
        <v>16</v>
      </c>
      <c r="F7005" s="29"/>
      <c r="G7005" s="30">
        <v>1992.5833333333333</v>
      </c>
    </row>
    <row r="7006" spans="1:7" hidden="1" x14ac:dyDescent="0.25">
      <c r="A7006" s="28">
        <v>44136</v>
      </c>
      <c r="B7006" s="27" t="s">
        <v>26</v>
      </c>
      <c r="C7006" s="27" t="s">
        <v>50</v>
      </c>
      <c r="D7006" s="27" t="s">
        <v>6</v>
      </c>
      <c r="E7006" s="27" t="s">
        <v>17</v>
      </c>
      <c r="F7006" s="29"/>
      <c r="G7006" s="30">
        <v>2822.1166666666668</v>
      </c>
    </row>
    <row r="7007" spans="1:7" hidden="1" x14ac:dyDescent="0.25">
      <c r="A7007" s="28">
        <v>44136</v>
      </c>
      <c r="B7007" s="27" t="s">
        <v>26</v>
      </c>
      <c r="C7007" s="27" t="s">
        <v>50</v>
      </c>
      <c r="D7007" s="27" t="s">
        <v>6</v>
      </c>
      <c r="E7007" s="27" t="s">
        <v>18</v>
      </c>
      <c r="F7007" s="29"/>
      <c r="G7007" s="30">
        <v>1488.6666666666667</v>
      </c>
    </row>
    <row r="7008" spans="1:7" hidden="1" x14ac:dyDescent="0.25">
      <c r="A7008" s="28">
        <v>44136</v>
      </c>
      <c r="B7008" s="27" t="s">
        <v>26</v>
      </c>
      <c r="C7008" s="27" t="s">
        <v>50</v>
      </c>
      <c r="D7008" s="27" t="s">
        <v>6</v>
      </c>
      <c r="E7008" s="27" t="s">
        <v>19</v>
      </c>
      <c r="F7008" s="29"/>
      <c r="G7008" s="30">
        <v>2454.8833333333337</v>
      </c>
    </row>
    <row r="7009" spans="1:7" hidden="1" x14ac:dyDescent="0.25">
      <c r="A7009" s="28">
        <v>44136</v>
      </c>
      <c r="B7009" s="27" t="s">
        <v>26</v>
      </c>
      <c r="C7009" s="27" t="s">
        <v>50</v>
      </c>
      <c r="D7009" s="27" t="s">
        <v>6</v>
      </c>
      <c r="E7009" s="27" t="s">
        <v>20</v>
      </c>
      <c r="F7009" s="29"/>
      <c r="G7009" s="30">
        <v>1590.3833333333334</v>
      </c>
    </row>
    <row r="7010" spans="1:7" hidden="1" x14ac:dyDescent="0.25">
      <c r="A7010" s="28">
        <v>44136</v>
      </c>
      <c r="B7010" s="27" t="s">
        <v>26</v>
      </c>
      <c r="C7010" s="27" t="s">
        <v>50</v>
      </c>
      <c r="D7010" s="27" t="s">
        <v>6</v>
      </c>
      <c r="E7010" s="27" t="s">
        <v>38</v>
      </c>
      <c r="F7010" s="29"/>
      <c r="G7010" s="30">
        <v>602</v>
      </c>
    </row>
    <row r="7011" spans="1:7" hidden="1" x14ac:dyDescent="0.25">
      <c r="A7011" s="28">
        <v>44136</v>
      </c>
      <c r="B7011" s="27" t="s">
        <v>26</v>
      </c>
      <c r="C7011" s="27" t="s">
        <v>50</v>
      </c>
      <c r="D7011" s="27" t="s">
        <v>6</v>
      </c>
      <c r="E7011" s="27" t="s">
        <v>23</v>
      </c>
      <c r="F7011" s="29"/>
      <c r="G7011" s="30">
        <v>2997.5</v>
      </c>
    </row>
    <row r="7012" spans="1:7" hidden="1" x14ac:dyDescent="0.25">
      <c r="A7012" s="28">
        <v>44136</v>
      </c>
      <c r="B7012" s="27" t="s">
        <v>26</v>
      </c>
      <c r="C7012" s="27" t="s">
        <v>50</v>
      </c>
      <c r="D7012" s="27" t="s">
        <v>6</v>
      </c>
      <c r="E7012" s="27" t="s">
        <v>37</v>
      </c>
      <c r="F7012" s="29"/>
      <c r="G7012" s="30">
        <v>250</v>
      </c>
    </row>
    <row r="7013" spans="1:7" hidden="1" x14ac:dyDescent="0.25">
      <c r="A7013" s="28">
        <v>44136</v>
      </c>
      <c r="B7013" s="27" t="s">
        <v>3</v>
      </c>
      <c r="C7013" s="27" t="s">
        <v>50</v>
      </c>
      <c r="D7013" s="27" t="s">
        <v>7</v>
      </c>
      <c r="E7013" s="27" t="s">
        <v>8</v>
      </c>
      <c r="F7013" s="29"/>
      <c r="G7013" s="30">
        <v>586.67999999999995</v>
      </c>
    </row>
    <row r="7014" spans="1:7" hidden="1" x14ac:dyDescent="0.25">
      <c r="A7014" s="28">
        <v>44136</v>
      </c>
      <c r="B7014" s="27" t="s">
        <v>3</v>
      </c>
      <c r="C7014" s="27" t="s">
        <v>50</v>
      </c>
      <c r="D7014" s="27" t="s">
        <v>7</v>
      </c>
      <c r="E7014" s="27" t="s">
        <v>9</v>
      </c>
      <c r="F7014" s="29"/>
      <c r="G7014" s="30">
        <v>586.67999999999995</v>
      </c>
    </row>
    <row r="7015" spans="1:7" hidden="1" x14ac:dyDescent="0.25">
      <c r="A7015" s="28">
        <v>44136</v>
      </c>
      <c r="B7015" s="27" t="s">
        <v>3</v>
      </c>
      <c r="C7015" s="27" t="s">
        <v>50</v>
      </c>
      <c r="D7015" s="27" t="s">
        <v>7</v>
      </c>
      <c r="E7015" s="27" t="s">
        <v>22</v>
      </c>
      <c r="F7015" s="29"/>
      <c r="G7015" s="30">
        <v>586.67999999999995</v>
      </c>
    </row>
    <row r="7016" spans="1:7" hidden="1" x14ac:dyDescent="0.25">
      <c r="A7016" s="28">
        <v>44136</v>
      </c>
      <c r="B7016" s="27" t="s">
        <v>3</v>
      </c>
      <c r="C7016" s="27" t="s">
        <v>50</v>
      </c>
      <c r="D7016" s="27" t="s">
        <v>7</v>
      </c>
      <c r="E7016" s="27" t="s">
        <v>64</v>
      </c>
      <c r="F7016" s="29"/>
      <c r="G7016" s="30">
        <v>586.67999999999995</v>
      </c>
    </row>
    <row r="7017" spans="1:7" hidden="1" x14ac:dyDescent="0.25">
      <c r="A7017" s="28">
        <v>44136</v>
      </c>
      <c r="B7017" s="27" t="s">
        <v>3</v>
      </c>
      <c r="C7017" s="27" t="s">
        <v>50</v>
      </c>
      <c r="D7017" s="27" t="s">
        <v>7</v>
      </c>
      <c r="E7017" s="27" t="s">
        <v>21</v>
      </c>
      <c r="F7017" s="29"/>
      <c r="G7017" s="30">
        <v>586.67999999999995</v>
      </c>
    </row>
    <row r="7018" spans="1:7" hidden="1" x14ac:dyDescent="0.25">
      <c r="A7018" s="28">
        <v>44136</v>
      </c>
      <c r="B7018" s="27" t="s">
        <v>3</v>
      </c>
      <c r="C7018" s="27" t="s">
        <v>50</v>
      </c>
      <c r="D7018" s="27" t="s">
        <v>7</v>
      </c>
      <c r="E7018" s="27" t="s">
        <v>10</v>
      </c>
      <c r="F7018" s="29"/>
      <c r="G7018" s="30">
        <v>586.67999999999995</v>
      </c>
    </row>
    <row r="7019" spans="1:7" hidden="1" x14ac:dyDescent="0.25">
      <c r="A7019" s="28">
        <v>44136</v>
      </c>
      <c r="B7019" s="27" t="s">
        <v>3</v>
      </c>
      <c r="C7019" s="27" t="s">
        <v>50</v>
      </c>
      <c r="D7019" s="27" t="s">
        <v>7</v>
      </c>
      <c r="E7019" s="27" t="s">
        <v>11</v>
      </c>
      <c r="F7019" s="29"/>
      <c r="G7019" s="30">
        <v>586.67999999999995</v>
      </c>
    </row>
    <row r="7020" spans="1:7" hidden="1" x14ac:dyDescent="0.25">
      <c r="A7020" s="28">
        <v>44136</v>
      </c>
      <c r="B7020" s="27" t="s">
        <v>3</v>
      </c>
      <c r="C7020" s="27" t="s">
        <v>50</v>
      </c>
      <c r="D7020" s="27" t="s">
        <v>7</v>
      </c>
      <c r="E7020" s="27" t="s">
        <v>12</v>
      </c>
      <c r="F7020" s="29"/>
      <c r="G7020" s="30">
        <v>586.67999999999995</v>
      </c>
    </row>
    <row r="7021" spans="1:7" hidden="1" x14ac:dyDescent="0.25">
      <c r="A7021" s="28">
        <v>44136</v>
      </c>
      <c r="B7021" s="27" t="s">
        <v>3</v>
      </c>
      <c r="C7021" s="27" t="s">
        <v>50</v>
      </c>
      <c r="D7021" s="27" t="s">
        <v>7</v>
      </c>
      <c r="E7021" s="27" t="s">
        <v>13</v>
      </c>
      <c r="F7021" s="29"/>
      <c r="G7021" s="30">
        <v>586.67999999999995</v>
      </c>
    </row>
    <row r="7022" spans="1:7" hidden="1" x14ac:dyDescent="0.25">
      <c r="A7022" s="28">
        <v>44136</v>
      </c>
      <c r="B7022" s="27" t="s">
        <v>3</v>
      </c>
      <c r="C7022" s="27" t="s">
        <v>50</v>
      </c>
      <c r="D7022" s="27" t="s">
        <v>7</v>
      </c>
      <c r="E7022" s="27" t="s">
        <v>14</v>
      </c>
      <c r="F7022" s="29"/>
      <c r="G7022" s="30">
        <v>586.67999999999995</v>
      </c>
    </row>
    <row r="7023" spans="1:7" hidden="1" x14ac:dyDescent="0.25">
      <c r="A7023" s="28">
        <v>44136</v>
      </c>
      <c r="B7023" s="27" t="s">
        <v>3</v>
      </c>
      <c r="C7023" s="27" t="s">
        <v>50</v>
      </c>
      <c r="D7023" s="27" t="s">
        <v>7</v>
      </c>
      <c r="E7023" s="27" t="s">
        <v>15</v>
      </c>
      <c r="F7023" s="29"/>
      <c r="G7023" s="30">
        <v>586.67999999999995</v>
      </c>
    </row>
    <row r="7024" spans="1:7" hidden="1" x14ac:dyDescent="0.25">
      <c r="A7024" s="28">
        <v>44136</v>
      </c>
      <c r="B7024" s="27" t="s">
        <v>3</v>
      </c>
      <c r="C7024" s="27" t="s">
        <v>50</v>
      </c>
      <c r="D7024" s="27" t="s">
        <v>7</v>
      </c>
      <c r="E7024" s="27" t="s">
        <v>16</v>
      </c>
      <c r="F7024" s="29"/>
      <c r="G7024" s="30">
        <v>586.67999999999995</v>
      </c>
    </row>
    <row r="7025" spans="1:7" hidden="1" x14ac:dyDescent="0.25">
      <c r="A7025" s="28">
        <v>44136</v>
      </c>
      <c r="B7025" s="27" t="s">
        <v>3</v>
      </c>
      <c r="C7025" s="27" t="s">
        <v>50</v>
      </c>
      <c r="D7025" s="27" t="s">
        <v>7</v>
      </c>
      <c r="E7025" s="27" t="s">
        <v>17</v>
      </c>
      <c r="F7025" s="29"/>
      <c r="G7025" s="30">
        <v>586.67999999999995</v>
      </c>
    </row>
    <row r="7026" spans="1:7" hidden="1" x14ac:dyDescent="0.25">
      <c r="A7026" s="28">
        <v>44136</v>
      </c>
      <c r="B7026" s="27" t="s">
        <v>3</v>
      </c>
      <c r="C7026" s="27" t="s">
        <v>50</v>
      </c>
      <c r="D7026" s="27" t="s">
        <v>7</v>
      </c>
      <c r="E7026" s="27" t="s">
        <v>18</v>
      </c>
      <c r="F7026" s="29"/>
      <c r="G7026" s="30">
        <v>586.67999999999995</v>
      </c>
    </row>
    <row r="7027" spans="1:7" hidden="1" x14ac:dyDescent="0.25">
      <c r="A7027" s="28">
        <v>44136</v>
      </c>
      <c r="B7027" s="27" t="s">
        <v>3</v>
      </c>
      <c r="C7027" s="27" t="s">
        <v>50</v>
      </c>
      <c r="D7027" s="27" t="s">
        <v>7</v>
      </c>
      <c r="E7027" s="27" t="s">
        <v>19</v>
      </c>
      <c r="F7027" s="29"/>
      <c r="G7027" s="30">
        <v>586.67999999999995</v>
      </c>
    </row>
    <row r="7028" spans="1:7" hidden="1" x14ac:dyDescent="0.25">
      <c r="A7028" s="28">
        <v>44136</v>
      </c>
      <c r="B7028" s="27" t="s">
        <v>3</v>
      </c>
      <c r="C7028" s="27" t="s">
        <v>50</v>
      </c>
      <c r="D7028" s="27" t="s">
        <v>7</v>
      </c>
      <c r="E7028" s="27" t="s">
        <v>20</v>
      </c>
      <c r="F7028" s="29"/>
      <c r="G7028" s="30">
        <v>586.67999999999995</v>
      </c>
    </row>
    <row r="7029" spans="1:7" hidden="1" x14ac:dyDescent="0.25">
      <c r="A7029" s="28">
        <v>44136</v>
      </c>
      <c r="B7029" s="27" t="s">
        <v>3</v>
      </c>
      <c r="C7029" s="27" t="s">
        <v>50</v>
      </c>
      <c r="D7029" s="27" t="s">
        <v>7</v>
      </c>
      <c r="E7029" s="27" t="s">
        <v>38</v>
      </c>
      <c r="F7029" s="29"/>
      <c r="G7029" s="30">
        <v>586.67999999999995</v>
      </c>
    </row>
    <row r="7030" spans="1:7" hidden="1" x14ac:dyDescent="0.25">
      <c r="A7030" s="28">
        <v>44136</v>
      </c>
      <c r="B7030" s="27" t="s">
        <v>3</v>
      </c>
      <c r="C7030" s="27" t="s">
        <v>50</v>
      </c>
      <c r="D7030" s="27" t="s">
        <v>7</v>
      </c>
      <c r="E7030" s="27" t="s">
        <v>23</v>
      </c>
      <c r="F7030" s="29"/>
      <c r="G7030" s="30">
        <v>586.67999999999995</v>
      </c>
    </row>
    <row r="7031" spans="1:7" hidden="1" x14ac:dyDescent="0.25">
      <c r="A7031" s="28">
        <v>44136</v>
      </c>
      <c r="B7031" s="27" t="s">
        <v>179</v>
      </c>
      <c r="C7031" s="27" t="s">
        <v>50</v>
      </c>
      <c r="D7031" s="27" t="s">
        <v>6</v>
      </c>
      <c r="E7031" s="27" t="s">
        <v>8</v>
      </c>
      <c r="F7031" s="29"/>
      <c r="G7031" s="30">
        <v>54.554166666666667</v>
      </c>
    </row>
    <row r="7032" spans="1:7" hidden="1" x14ac:dyDescent="0.25">
      <c r="A7032" s="28">
        <v>44136</v>
      </c>
      <c r="B7032" s="27" t="s">
        <v>179</v>
      </c>
      <c r="C7032" s="27" t="s">
        <v>50</v>
      </c>
      <c r="D7032" s="27" t="s">
        <v>6</v>
      </c>
      <c r="E7032" s="27" t="s">
        <v>9</v>
      </c>
      <c r="F7032" s="29"/>
      <c r="G7032" s="30">
        <v>73.436666666666667</v>
      </c>
    </row>
    <row r="7033" spans="1:7" hidden="1" x14ac:dyDescent="0.25">
      <c r="A7033" s="28">
        <v>44136</v>
      </c>
      <c r="B7033" s="27" t="s">
        <v>179</v>
      </c>
      <c r="C7033" s="27" t="s">
        <v>50</v>
      </c>
      <c r="D7033" s="27" t="s">
        <v>6</v>
      </c>
      <c r="E7033" s="27" t="s">
        <v>22</v>
      </c>
      <c r="F7033" s="29"/>
      <c r="G7033" s="30">
        <v>98.38666666666667</v>
      </c>
    </row>
    <row r="7034" spans="1:7" hidden="1" x14ac:dyDescent="0.25">
      <c r="A7034" s="28">
        <v>44136</v>
      </c>
      <c r="B7034" s="27" t="s">
        <v>179</v>
      </c>
      <c r="C7034" s="27" t="s">
        <v>50</v>
      </c>
      <c r="D7034" s="27" t="s">
        <v>6</v>
      </c>
      <c r="E7034" s="27" t="s">
        <v>64</v>
      </c>
      <c r="F7034" s="29"/>
      <c r="G7034" s="30">
        <v>58.149166666666666</v>
      </c>
    </row>
    <row r="7035" spans="1:7" hidden="1" x14ac:dyDescent="0.25">
      <c r="A7035" s="28">
        <v>44136</v>
      </c>
      <c r="B7035" s="27" t="s">
        <v>179</v>
      </c>
      <c r="C7035" s="27" t="s">
        <v>50</v>
      </c>
      <c r="D7035" s="27" t="s">
        <v>6</v>
      </c>
      <c r="E7035" s="27" t="s">
        <v>21</v>
      </c>
      <c r="F7035" s="29"/>
      <c r="G7035" s="30">
        <v>67.641666666666666</v>
      </c>
    </row>
    <row r="7036" spans="1:7" hidden="1" x14ac:dyDescent="0.25">
      <c r="A7036" s="28">
        <v>44136</v>
      </c>
      <c r="B7036" s="27" t="s">
        <v>179</v>
      </c>
      <c r="C7036" s="27" t="s">
        <v>50</v>
      </c>
      <c r="D7036" s="27" t="s">
        <v>6</v>
      </c>
      <c r="E7036" s="27" t="s">
        <v>10</v>
      </c>
      <c r="F7036" s="29"/>
      <c r="G7036" s="30">
        <v>88.40666666666668</v>
      </c>
    </row>
    <row r="7037" spans="1:7" hidden="1" x14ac:dyDescent="0.25">
      <c r="A7037" s="28">
        <v>44136</v>
      </c>
      <c r="B7037" s="27" t="s">
        <v>179</v>
      </c>
      <c r="C7037" s="27" t="s">
        <v>50</v>
      </c>
      <c r="D7037" s="27" t="s">
        <v>6</v>
      </c>
      <c r="E7037" s="27" t="s">
        <v>11</v>
      </c>
      <c r="F7037" s="29"/>
      <c r="G7037" s="30">
        <v>66.776666666666671</v>
      </c>
    </row>
    <row r="7038" spans="1:7" hidden="1" x14ac:dyDescent="0.25">
      <c r="A7038" s="28">
        <v>44136</v>
      </c>
      <c r="B7038" s="27" t="s">
        <v>179</v>
      </c>
      <c r="C7038" s="27" t="s">
        <v>50</v>
      </c>
      <c r="D7038" s="27" t="s">
        <v>6</v>
      </c>
      <c r="E7038" s="27" t="s">
        <v>12</v>
      </c>
      <c r="F7038" s="29"/>
      <c r="G7038" s="30">
        <v>68.674166666666665</v>
      </c>
    </row>
    <row r="7039" spans="1:7" hidden="1" x14ac:dyDescent="0.25">
      <c r="A7039" s="28">
        <v>44136</v>
      </c>
      <c r="B7039" s="27" t="s">
        <v>179</v>
      </c>
      <c r="C7039" s="27" t="s">
        <v>50</v>
      </c>
      <c r="D7039" s="27" t="s">
        <v>6</v>
      </c>
      <c r="E7039" s="27" t="s">
        <v>13</v>
      </c>
      <c r="F7039" s="29"/>
      <c r="G7039" s="30">
        <v>94.161666666666676</v>
      </c>
    </row>
    <row r="7040" spans="1:7" hidden="1" x14ac:dyDescent="0.25">
      <c r="A7040" s="28">
        <v>44136</v>
      </c>
      <c r="B7040" s="27" t="s">
        <v>179</v>
      </c>
      <c r="C7040" s="27" t="s">
        <v>50</v>
      </c>
      <c r="D7040" s="27" t="s">
        <v>6</v>
      </c>
      <c r="E7040" s="27" t="s">
        <v>14</v>
      </c>
      <c r="F7040" s="29"/>
      <c r="G7040" s="30">
        <v>84.979166666666671</v>
      </c>
    </row>
    <row r="7041" spans="1:7" hidden="1" x14ac:dyDescent="0.25">
      <c r="A7041" s="28">
        <v>44136</v>
      </c>
      <c r="B7041" s="27" t="s">
        <v>179</v>
      </c>
      <c r="C7041" s="27" t="s">
        <v>50</v>
      </c>
      <c r="D7041" s="27" t="s">
        <v>6</v>
      </c>
      <c r="E7041" s="27" t="s">
        <v>15</v>
      </c>
      <c r="F7041" s="29"/>
      <c r="G7041" s="30">
        <v>90.716666666666654</v>
      </c>
    </row>
    <row r="7042" spans="1:7" hidden="1" x14ac:dyDescent="0.25">
      <c r="A7042" s="28">
        <v>44136</v>
      </c>
      <c r="B7042" s="27" t="s">
        <v>179</v>
      </c>
      <c r="C7042" s="27" t="s">
        <v>50</v>
      </c>
      <c r="D7042" s="27" t="s">
        <v>6</v>
      </c>
      <c r="E7042" s="27" t="s">
        <v>16</v>
      </c>
      <c r="F7042" s="29"/>
      <c r="G7042" s="30">
        <v>92.149166666666659</v>
      </c>
    </row>
    <row r="7043" spans="1:7" hidden="1" x14ac:dyDescent="0.25">
      <c r="A7043" s="28">
        <v>44136</v>
      </c>
      <c r="B7043" s="27" t="s">
        <v>179</v>
      </c>
      <c r="C7043" s="27" t="s">
        <v>50</v>
      </c>
      <c r="D7043" s="27" t="s">
        <v>6</v>
      </c>
      <c r="E7043" s="27" t="s">
        <v>17</v>
      </c>
      <c r="F7043" s="29"/>
      <c r="G7043" s="30">
        <v>142.66166666666666</v>
      </c>
    </row>
    <row r="7044" spans="1:7" hidden="1" x14ac:dyDescent="0.25">
      <c r="A7044" s="28">
        <v>44136</v>
      </c>
      <c r="B7044" s="27" t="s">
        <v>179</v>
      </c>
      <c r="C7044" s="27" t="s">
        <v>50</v>
      </c>
      <c r="D7044" s="27" t="s">
        <v>6</v>
      </c>
      <c r="E7044" s="27" t="s">
        <v>18</v>
      </c>
      <c r="F7044" s="29"/>
      <c r="G7044" s="30">
        <v>190.84666666666666</v>
      </c>
    </row>
    <row r="7045" spans="1:7" hidden="1" x14ac:dyDescent="0.25">
      <c r="A7045" s="28">
        <v>44136</v>
      </c>
      <c r="B7045" s="27" t="s">
        <v>179</v>
      </c>
      <c r="C7045" s="27" t="s">
        <v>50</v>
      </c>
      <c r="D7045" s="27" t="s">
        <v>6</v>
      </c>
      <c r="E7045" s="27" t="s">
        <v>19</v>
      </c>
      <c r="F7045" s="29"/>
      <c r="G7045" s="30">
        <v>129.04666666666665</v>
      </c>
    </row>
    <row r="7046" spans="1:7" hidden="1" x14ac:dyDescent="0.25">
      <c r="A7046" s="28">
        <v>44136</v>
      </c>
      <c r="B7046" s="27" t="s">
        <v>179</v>
      </c>
      <c r="C7046" s="27" t="s">
        <v>50</v>
      </c>
      <c r="D7046" s="27" t="s">
        <v>6</v>
      </c>
      <c r="E7046" s="27" t="s">
        <v>20</v>
      </c>
      <c r="F7046" s="29"/>
      <c r="G7046" s="30">
        <v>235.09666666666666</v>
      </c>
    </row>
    <row r="7047" spans="1:7" hidden="1" x14ac:dyDescent="0.25">
      <c r="A7047" s="28">
        <v>44136</v>
      </c>
      <c r="B7047" s="27" t="s">
        <v>179</v>
      </c>
      <c r="C7047" s="27" t="s">
        <v>50</v>
      </c>
      <c r="D7047" s="27" t="s">
        <v>6</v>
      </c>
      <c r="E7047" s="27" t="s">
        <v>38</v>
      </c>
      <c r="F7047" s="29"/>
      <c r="G7047" s="30">
        <v>108.04666666666667</v>
      </c>
    </row>
    <row r="7048" spans="1:7" hidden="1" x14ac:dyDescent="0.25">
      <c r="A7048" s="28">
        <v>44136</v>
      </c>
      <c r="B7048" s="27" t="s">
        <v>179</v>
      </c>
      <c r="C7048" s="27" t="s">
        <v>50</v>
      </c>
      <c r="D7048" s="27" t="s">
        <v>6</v>
      </c>
      <c r="E7048" s="27" t="s">
        <v>23</v>
      </c>
      <c r="F7048" s="29"/>
      <c r="G7048" s="30">
        <v>149.57916666666668</v>
      </c>
    </row>
    <row r="7049" spans="1:7" hidden="1" x14ac:dyDescent="0.25">
      <c r="A7049" s="28">
        <v>44136</v>
      </c>
      <c r="B7049" s="27" t="s">
        <v>32</v>
      </c>
      <c r="C7049" s="27" t="s">
        <v>50</v>
      </c>
      <c r="D7049" s="27" t="s">
        <v>7</v>
      </c>
      <c r="E7049" s="27" t="s">
        <v>10</v>
      </c>
      <c r="F7049" s="29"/>
      <c r="G7049" s="30">
        <v>30</v>
      </c>
    </row>
    <row r="7050" spans="1:7" hidden="1" x14ac:dyDescent="0.25">
      <c r="A7050" s="28">
        <v>44136</v>
      </c>
      <c r="B7050" s="27" t="s">
        <v>32</v>
      </c>
      <c r="C7050" s="27" t="s">
        <v>50</v>
      </c>
      <c r="D7050" s="27" t="s">
        <v>7</v>
      </c>
      <c r="E7050" s="27" t="s">
        <v>17</v>
      </c>
      <c r="F7050" s="29"/>
      <c r="G7050" s="30">
        <v>30</v>
      </c>
    </row>
    <row r="7051" spans="1:7" hidden="1" x14ac:dyDescent="0.25">
      <c r="A7051" s="28">
        <v>44136</v>
      </c>
      <c r="B7051" s="27" t="s">
        <v>5</v>
      </c>
      <c r="C7051" s="27" t="s">
        <v>51</v>
      </c>
      <c r="D7051" s="27" t="s">
        <v>51</v>
      </c>
      <c r="E7051" s="27" t="s">
        <v>8</v>
      </c>
      <c r="F7051" s="29">
        <v>312</v>
      </c>
      <c r="G7051" s="30">
        <v>137.86865164379969</v>
      </c>
    </row>
    <row r="7052" spans="1:7" hidden="1" x14ac:dyDescent="0.25">
      <c r="A7052" s="28">
        <v>44136</v>
      </c>
      <c r="B7052" s="27" t="s">
        <v>5</v>
      </c>
      <c r="C7052" s="27" t="s">
        <v>51</v>
      </c>
      <c r="D7052" s="27" t="s">
        <v>51</v>
      </c>
      <c r="E7052" s="27" t="s">
        <v>9</v>
      </c>
      <c r="F7052" s="29">
        <v>4980</v>
      </c>
      <c r="G7052" s="30">
        <v>3.4487037107494305</v>
      </c>
    </row>
    <row r="7053" spans="1:7" hidden="1" x14ac:dyDescent="0.25">
      <c r="A7053" s="28">
        <v>44136</v>
      </c>
      <c r="B7053" s="27" t="s">
        <v>5</v>
      </c>
      <c r="C7053" s="27" t="s">
        <v>51</v>
      </c>
      <c r="D7053" s="27" t="s">
        <v>51</v>
      </c>
      <c r="E7053" s="27" t="s">
        <v>22</v>
      </c>
      <c r="F7053" s="29">
        <v>3177</v>
      </c>
      <c r="G7053" s="30">
        <v>4.6602854305525643</v>
      </c>
    </row>
    <row r="7054" spans="1:7" hidden="1" x14ac:dyDescent="0.25">
      <c r="A7054" s="28">
        <v>44136</v>
      </c>
      <c r="B7054" s="27" t="s">
        <v>5</v>
      </c>
      <c r="C7054" s="27" t="s">
        <v>51</v>
      </c>
      <c r="D7054" s="27" t="s">
        <v>51</v>
      </c>
      <c r="E7054" s="27" t="s">
        <v>64</v>
      </c>
      <c r="F7054" s="29">
        <v>2162</v>
      </c>
      <c r="G7054" s="30">
        <v>4.9530781588955426</v>
      </c>
    </row>
    <row r="7055" spans="1:7" hidden="1" x14ac:dyDescent="0.25">
      <c r="A7055" s="28">
        <v>44136</v>
      </c>
      <c r="B7055" s="27" t="s">
        <v>5</v>
      </c>
      <c r="C7055" s="27" t="s">
        <v>51</v>
      </c>
      <c r="D7055" s="27" t="s">
        <v>51</v>
      </c>
      <c r="E7055" s="27" t="s">
        <v>21</v>
      </c>
      <c r="F7055" s="29">
        <v>5776</v>
      </c>
      <c r="G7055" s="30">
        <v>2.8040492519965659</v>
      </c>
    </row>
    <row r="7056" spans="1:7" hidden="1" x14ac:dyDescent="0.25">
      <c r="A7056" s="28">
        <v>44136</v>
      </c>
      <c r="B7056" s="27" t="s">
        <v>5</v>
      </c>
      <c r="C7056" s="27" t="s">
        <v>51</v>
      </c>
      <c r="D7056" s="27" t="s">
        <v>51</v>
      </c>
      <c r="E7056" s="27" t="s">
        <v>10</v>
      </c>
      <c r="F7056" s="29">
        <v>4780</v>
      </c>
      <c r="G7056" s="30">
        <v>3.6556446609899922</v>
      </c>
    </row>
    <row r="7057" spans="1:7" hidden="1" x14ac:dyDescent="0.25">
      <c r="A7057" s="28">
        <v>44136</v>
      </c>
      <c r="B7057" s="27" t="s">
        <v>5</v>
      </c>
      <c r="C7057" s="27" t="s">
        <v>51</v>
      </c>
      <c r="D7057" s="27" t="s">
        <v>51</v>
      </c>
      <c r="E7057" s="27" t="s">
        <v>11</v>
      </c>
      <c r="F7057" s="29">
        <v>3081</v>
      </c>
      <c r="G7057" s="30">
        <v>3.8560186561285827</v>
      </c>
    </row>
    <row r="7058" spans="1:7" hidden="1" x14ac:dyDescent="0.25">
      <c r="A7058" s="28">
        <v>44136</v>
      </c>
      <c r="B7058" s="27" t="s">
        <v>5</v>
      </c>
      <c r="C7058" s="27" t="s">
        <v>51</v>
      </c>
      <c r="D7058" s="27" t="s">
        <v>51</v>
      </c>
      <c r="E7058" s="27" t="s">
        <v>12</v>
      </c>
      <c r="F7058" s="29">
        <v>2897</v>
      </c>
      <c r="G7058" s="30">
        <v>3.8676517015989518</v>
      </c>
    </row>
    <row r="7059" spans="1:7" hidden="1" x14ac:dyDescent="0.25">
      <c r="A7059" s="28">
        <v>44136</v>
      </c>
      <c r="B7059" s="27" t="s">
        <v>5</v>
      </c>
      <c r="C7059" s="27" t="s">
        <v>51</v>
      </c>
      <c r="D7059" s="27" t="s">
        <v>51</v>
      </c>
      <c r="E7059" s="27" t="s">
        <v>13</v>
      </c>
      <c r="F7059" s="29">
        <v>7199</v>
      </c>
      <c r="G7059" s="30">
        <v>2.6654143371114736</v>
      </c>
    </row>
    <row r="7060" spans="1:7" hidden="1" x14ac:dyDescent="0.25">
      <c r="A7060" s="28">
        <v>44136</v>
      </c>
      <c r="B7060" s="27" t="s">
        <v>5</v>
      </c>
      <c r="C7060" s="27" t="s">
        <v>51</v>
      </c>
      <c r="D7060" s="27" t="s">
        <v>51</v>
      </c>
      <c r="E7060" s="27" t="s">
        <v>14</v>
      </c>
      <c r="F7060" s="29">
        <v>2207</v>
      </c>
      <c r="G7060" s="30">
        <v>4.9097297898499459</v>
      </c>
    </row>
    <row r="7061" spans="1:7" hidden="1" x14ac:dyDescent="0.25">
      <c r="A7061" s="28">
        <v>44136</v>
      </c>
      <c r="B7061" s="27" t="s">
        <v>5</v>
      </c>
      <c r="C7061" s="27" t="s">
        <v>51</v>
      </c>
      <c r="D7061" s="27" t="s">
        <v>51</v>
      </c>
      <c r="E7061" s="27" t="s">
        <v>15</v>
      </c>
      <c r="F7061" s="29">
        <v>6052</v>
      </c>
      <c r="G7061" s="30">
        <v>2.269897688840961</v>
      </c>
    </row>
    <row r="7062" spans="1:7" hidden="1" x14ac:dyDescent="0.25">
      <c r="A7062" s="28">
        <v>44136</v>
      </c>
      <c r="B7062" s="27" t="s">
        <v>5</v>
      </c>
      <c r="C7062" s="27" t="s">
        <v>51</v>
      </c>
      <c r="D7062" s="27" t="s">
        <v>51</v>
      </c>
      <c r="E7062" s="27" t="s">
        <v>16</v>
      </c>
      <c r="F7062" s="29">
        <v>7312</v>
      </c>
      <c r="G7062" s="30">
        <v>2.2559494866245666</v>
      </c>
    </row>
    <row r="7063" spans="1:7" hidden="1" x14ac:dyDescent="0.25">
      <c r="A7063" s="28">
        <v>44136</v>
      </c>
      <c r="B7063" s="27" t="s">
        <v>5</v>
      </c>
      <c r="C7063" s="27" t="s">
        <v>51</v>
      </c>
      <c r="D7063" s="27" t="s">
        <v>51</v>
      </c>
      <c r="E7063" s="27" t="s">
        <v>17</v>
      </c>
      <c r="F7063" s="29">
        <v>6121</v>
      </c>
      <c r="G7063" s="30">
        <v>3.146879346435576</v>
      </c>
    </row>
    <row r="7064" spans="1:7" hidden="1" x14ac:dyDescent="0.25">
      <c r="A7064" s="28">
        <v>44136</v>
      </c>
      <c r="B7064" s="27" t="s">
        <v>5</v>
      </c>
      <c r="C7064" s="27" t="s">
        <v>51</v>
      </c>
      <c r="D7064" s="27" t="s">
        <v>51</v>
      </c>
      <c r="E7064" s="27" t="s">
        <v>18</v>
      </c>
      <c r="F7064" s="29">
        <v>5680</v>
      </c>
      <c r="G7064" s="30">
        <v>2.3315791337204512</v>
      </c>
    </row>
    <row r="7065" spans="1:7" hidden="1" x14ac:dyDescent="0.25">
      <c r="A7065" s="28">
        <v>44136</v>
      </c>
      <c r="B7065" s="27" t="s">
        <v>5</v>
      </c>
      <c r="C7065" s="27" t="s">
        <v>51</v>
      </c>
      <c r="D7065" s="27" t="s">
        <v>51</v>
      </c>
      <c r="E7065" s="27" t="s">
        <v>19</v>
      </c>
      <c r="F7065" s="29">
        <v>8952</v>
      </c>
      <c r="G7065" s="30">
        <v>1.6334374604779749</v>
      </c>
    </row>
    <row r="7066" spans="1:7" hidden="1" x14ac:dyDescent="0.25">
      <c r="A7066" s="28">
        <v>44136</v>
      </c>
      <c r="B7066" s="27" t="s">
        <v>5</v>
      </c>
      <c r="C7066" s="27" t="s">
        <v>51</v>
      </c>
      <c r="D7066" s="27" t="s">
        <v>51</v>
      </c>
      <c r="E7066" s="27" t="s">
        <v>20</v>
      </c>
      <c r="F7066" s="29">
        <v>4040</v>
      </c>
      <c r="G7066" s="30">
        <v>2.8537017688610966</v>
      </c>
    </row>
    <row r="7067" spans="1:7" hidden="1" x14ac:dyDescent="0.25">
      <c r="A7067" s="28">
        <v>44136</v>
      </c>
      <c r="B7067" s="27" t="s">
        <v>5</v>
      </c>
      <c r="C7067" s="27" t="s">
        <v>51</v>
      </c>
      <c r="D7067" s="27" t="s">
        <v>51</v>
      </c>
      <c r="E7067" s="27" t="s">
        <v>38</v>
      </c>
      <c r="F7067" s="29">
        <v>3842</v>
      </c>
      <c r="G7067" s="30">
        <v>2.4562680408291251</v>
      </c>
    </row>
    <row r="7068" spans="1:7" hidden="1" x14ac:dyDescent="0.25">
      <c r="A7068" s="28">
        <v>44136</v>
      </c>
      <c r="B7068" s="27" t="s">
        <v>5</v>
      </c>
      <c r="C7068" s="27" t="s">
        <v>51</v>
      </c>
      <c r="D7068" s="27" t="s">
        <v>51</v>
      </c>
      <c r="E7068" s="27" t="s">
        <v>23</v>
      </c>
      <c r="F7068" s="29">
        <v>4759</v>
      </c>
      <c r="G7068" s="30">
        <v>4.0930815954749935</v>
      </c>
    </row>
    <row r="7069" spans="1:7" hidden="1" x14ac:dyDescent="0.25">
      <c r="A7069" s="28">
        <v>44136</v>
      </c>
      <c r="B7069" s="27" t="s">
        <v>180</v>
      </c>
      <c r="C7069" s="27" t="s">
        <v>50</v>
      </c>
      <c r="D7069" s="27" t="s">
        <v>7</v>
      </c>
      <c r="E7069" s="27" t="s">
        <v>8</v>
      </c>
      <c r="F7069" s="29"/>
      <c r="G7069" s="30">
        <v>32095.72</v>
      </c>
    </row>
    <row r="7070" spans="1:7" hidden="1" x14ac:dyDescent="0.25">
      <c r="A7070" s="28">
        <v>44136</v>
      </c>
      <c r="B7070" s="27" t="s">
        <v>180</v>
      </c>
      <c r="C7070" s="27" t="s">
        <v>50</v>
      </c>
      <c r="D7070" s="27" t="s">
        <v>7</v>
      </c>
      <c r="E7070" s="27" t="s">
        <v>19</v>
      </c>
      <c r="F7070" s="29"/>
      <c r="G7070" s="30">
        <v>971.49</v>
      </c>
    </row>
    <row r="7071" spans="1:7" hidden="1" x14ac:dyDescent="0.25">
      <c r="A7071" s="28">
        <v>44136</v>
      </c>
      <c r="B7071" s="27" t="s">
        <v>180</v>
      </c>
      <c r="C7071" s="27" t="s">
        <v>50</v>
      </c>
      <c r="D7071" s="27" t="s">
        <v>7</v>
      </c>
      <c r="E7071" s="27" t="s">
        <v>37</v>
      </c>
      <c r="F7071" s="29"/>
      <c r="G7071" s="30">
        <v>62.48</v>
      </c>
    </row>
    <row r="7072" spans="1:7" hidden="1" x14ac:dyDescent="0.25">
      <c r="A7072" s="28">
        <v>44136</v>
      </c>
      <c r="B7072" s="27" t="s">
        <v>181</v>
      </c>
      <c r="C7072" s="27" t="s">
        <v>50</v>
      </c>
      <c r="D7072" s="27" t="s">
        <v>6</v>
      </c>
      <c r="E7072" s="27" t="s">
        <v>9</v>
      </c>
      <c r="F7072" s="29"/>
      <c r="G7072" s="30">
        <v>1114</v>
      </c>
    </row>
    <row r="7073" spans="1:7" hidden="1" x14ac:dyDescent="0.25">
      <c r="A7073" s="28">
        <v>44136</v>
      </c>
      <c r="B7073" s="27" t="s">
        <v>181</v>
      </c>
      <c r="C7073" s="27" t="s">
        <v>50</v>
      </c>
      <c r="D7073" s="27" t="s">
        <v>6</v>
      </c>
      <c r="E7073" s="27" t="s">
        <v>21</v>
      </c>
      <c r="F7073" s="29"/>
      <c r="G7073" s="30">
        <v>532.34</v>
      </c>
    </row>
    <row r="7074" spans="1:7" hidden="1" x14ac:dyDescent="0.25">
      <c r="A7074" s="28">
        <v>44136</v>
      </c>
      <c r="B7074" s="27" t="s">
        <v>181</v>
      </c>
      <c r="C7074" s="27" t="s">
        <v>50</v>
      </c>
      <c r="D7074" s="27" t="s">
        <v>6</v>
      </c>
      <c r="E7074" s="27" t="s">
        <v>10</v>
      </c>
      <c r="F7074" s="29"/>
      <c r="G7074" s="30">
        <v>590</v>
      </c>
    </row>
    <row r="7075" spans="1:7" hidden="1" x14ac:dyDescent="0.25">
      <c r="A7075" s="28">
        <v>44136</v>
      </c>
      <c r="B7075" s="27" t="s">
        <v>181</v>
      </c>
      <c r="C7075" s="27" t="s">
        <v>50</v>
      </c>
      <c r="D7075" s="27" t="s">
        <v>6</v>
      </c>
      <c r="E7075" s="27" t="s">
        <v>11</v>
      </c>
      <c r="F7075" s="29"/>
      <c r="G7075" s="30">
        <v>46.92</v>
      </c>
    </row>
    <row r="7076" spans="1:7" hidden="1" x14ac:dyDescent="0.25">
      <c r="A7076" s="28">
        <v>44136</v>
      </c>
      <c r="B7076" s="27" t="s">
        <v>181</v>
      </c>
      <c r="C7076" s="27" t="s">
        <v>50</v>
      </c>
      <c r="D7076" s="27" t="s">
        <v>6</v>
      </c>
      <c r="E7076" s="27" t="s">
        <v>12</v>
      </c>
      <c r="F7076" s="29"/>
      <c r="G7076" s="30">
        <v>150</v>
      </c>
    </row>
    <row r="7077" spans="1:7" hidden="1" x14ac:dyDescent="0.25">
      <c r="A7077" s="28">
        <v>44136</v>
      </c>
      <c r="B7077" s="27" t="s">
        <v>181</v>
      </c>
      <c r="C7077" s="27" t="s">
        <v>50</v>
      </c>
      <c r="D7077" s="27" t="s">
        <v>6</v>
      </c>
      <c r="E7077" s="27" t="s">
        <v>13</v>
      </c>
      <c r="F7077" s="29"/>
      <c r="G7077" s="30">
        <v>380</v>
      </c>
    </row>
    <row r="7078" spans="1:7" hidden="1" x14ac:dyDescent="0.25">
      <c r="A7078" s="28">
        <v>44136</v>
      </c>
      <c r="B7078" s="27" t="s">
        <v>181</v>
      </c>
      <c r="C7078" s="27" t="s">
        <v>50</v>
      </c>
      <c r="D7078" s="27" t="s">
        <v>6</v>
      </c>
      <c r="E7078" s="27" t="s">
        <v>14</v>
      </c>
      <c r="F7078" s="29"/>
      <c r="G7078" s="30">
        <v>454</v>
      </c>
    </row>
    <row r="7079" spans="1:7" hidden="1" x14ac:dyDescent="0.25">
      <c r="A7079" s="28">
        <v>44136</v>
      </c>
      <c r="B7079" s="27" t="s">
        <v>181</v>
      </c>
      <c r="C7079" s="27" t="s">
        <v>50</v>
      </c>
      <c r="D7079" s="27" t="s">
        <v>6</v>
      </c>
      <c r="E7079" s="27" t="s">
        <v>16</v>
      </c>
      <c r="F7079" s="29"/>
      <c r="G7079" s="30">
        <v>525.20000000000005</v>
      </c>
    </row>
    <row r="7080" spans="1:7" hidden="1" x14ac:dyDescent="0.25">
      <c r="A7080" s="28">
        <v>44136</v>
      </c>
      <c r="B7080" s="27" t="s">
        <v>181</v>
      </c>
      <c r="C7080" s="27" t="s">
        <v>50</v>
      </c>
      <c r="D7080" s="27" t="s">
        <v>6</v>
      </c>
      <c r="E7080" s="27" t="s">
        <v>17</v>
      </c>
      <c r="F7080" s="29"/>
      <c r="G7080" s="30">
        <v>45.4</v>
      </c>
    </row>
    <row r="7081" spans="1:7" hidden="1" x14ac:dyDescent="0.25">
      <c r="A7081" s="28">
        <v>44136</v>
      </c>
      <c r="B7081" s="27" t="s">
        <v>181</v>
      </c>
      <c r="C7081" s="27" t="s">
        <v>50</v>
      </c>
      <c r="D7081" s="27" t="s">
        <v>6</v>
      </c>
      <c r="E7081" s="27" t="s">
        <v>19</v>
      </c>
      <c r="F7081" s="29"/>
      <c r="G7081" s="30">
        <v>669.09</v>
      </c>
    </row>
    <row r="7082" spans="1:7" hidden="1" x14ac:dyDescent="0.25">
      <c r="A7082" s="28">
        <v>44136</v>
      </c>
      <c r="B7082" s="27" t="s">
        <v>181</v>
      </c>
      <c r="C7082" s="27" t="s">
        <v>50</v>
      </c>
      <c r="D7082" s="27" t="s">
        <v>6</v>
      </c>
      <c r="E7082" s="27" t="s">
        <v>23</v>
      </c>
      <c r="F7082" s="29"/>
      <c r="G7082" s="30">
        <v>2397</v>
      </c>
    </row>
    <row r="7083" spans="1:7" hidden="1" x14ac:dyDescent="0.25">
      <c r="A7083" s="28">
        <v>44136</v>
      </c>
      <c r="B7083" s="27" t="s">
        <v>2</v>
      </c>
      <c r="C7083" s="27" t="s">
        <v>50</v>
      </c>
      <c r="D7083" s="27" t="s">
        <v>7</v>
      </c>
      <c r="E7083" s="27" t="s">
        <v>8</v>
      </c>
      <c r="F7083" s="29"/>
      <c r="G7083" s="30">
        <v>170.58</v>
      </c>
    </row>
    <row r="7084" spans="1:7" hidden="1" x14ac:dyDescent="0.25">
      <c r="A7084" s="28">
        <v>44136</v>
      </c>
      <c r="B7084" s="27" t="s">
        <v>2</v>
      </c>
      <c r="C7084" s="27" t="s">
        <v>50</v>
      </c>
      <c r="D7084" s="27" t="s">
        <v>7</v>
      </c>
      <c r="E7084" s="27" t="s">
        <v>9</v>
      </c>
      <c r="F7084" s="29"/>
      <c r="G7084" s="30">
        <v>919.41</v>
      </c>
    </row>
    <row r="7085" spans="1:7" hidden="1" x14ac:dyDescent="0.25">
      <c r="A7085" s="28">
        <v>44136</v>
      </c>
      <c r="B7085" s="27" t="s">
        <v>2</v>
      </c>
      <c r="C7085" s="27" t="s">
        <v>50</v>
      </c>
      <c r="D7085" s="27" t="s">
        <v>7</v>
      </c>
      <c r="E7085" s="27" t="s">
        <v>22</v>
      </c>
      <c r="F7085" s="29"/>
      <c r="G7085" s="30">
        <v>758.11</v>
      </c>
    </row>
    <row r="7086" spans="1:7" hidden="1" x14ac:dyDescent="0.25">
      <c r="A7086" s="28">
        <v>44136</v>
      </c>
      <c r="B7086" s="27" t="s">
        <v>2</v>
      </c>
      <c r="C7086" s="27" t="s">
        <v>50</v>
      </c>
      <c r="D7086" s="27" t="s">
        <v>7</v>
      </c>
      <c r="E7086" s="27" t="s">
        <v>64</v>
      </c>
      <c r="F7086" s="29"/>
      <c r="G7086" s="30">
        <v>23.68</v>
      </c>
    </row>
    <row r="7087" spans="1:7" hidden="1" x14ac:dyDescent="0.25">
      <c r="A7087" s="28">
        <v>44136</v>
      </c>
      <c r="B7087" s="27" t="s">
        <v>2</v>
      </c>
      <c r="C7087" s="27" t="s">
        <v>50</v>
      </c>
      <c r="D7087" s="27" t="s">
        <v>7</v>
      </c>
      <c r="E7087" s="27" t="s">
        <v>21</v>
      </c>
      <c r="F7087" s="29"/>
      <c r="G7087" s="30">
        <v>617.91</v>
      </c>
    </row>
    <row r="7088" spans="1:7" hidden="1" x14ac:dyDescent="0.25">
      <c r="A7088" s="28">
        <v>44136</v>
      </c>
      <c r="B7088" s="27" t="s">
        <v>2</v>
      </c>
      <c r="C7088" s="27" t="s">
        <v>50</v>
      </c>
      <c r="D7088" s="27" t="s">
        <v>7</v>
      </c>
      <c r="E7088" s="27" t="s">
        <v>10</v>
      </c>
      <c r="F7088" s="29"/>
      <c r="G7088" s="30">
        <v>1075.72</v>
      </c>
    </row>
    <row r="7089" spans="1:7" hidden="1" x14ac:dyDescent="0.25">
      <c r="A7089" s="28">
        <v>44136</v>
      </c>
      <c r="B7089" s="27" t="s">
        <v>2</v>
      </c>
      <c r="C7089" s="27" t="s">
        <v>50</v>
      </c>
      <c r="D7089" s="27" t="s">
        <v>7</v>
      </c>
      <c r="E7089" s="27" t="s">
        <v>11</v>
      </c>
      <c r="F7089" s="29"/>
      <c r="G7089" s="30">
        <v>313.68</v>
      </c>
    </row>
    <row r="7090" spans="1:7" hidden="1" x14ac:dyDescent="0.25">
      <c r="A7090" s="28">
        <v>44136</v>
      </c>
      <c r="B7090" s="27" t="s">
        <v>2</v>
      </c>
      <c r="C7090" s="27" t="s">
        <v>50</v>
      </c>
      <c r="D7090" s="27" t="s">
        <v>7</v>
      </c>
      <c r="E7090" s="27" t="s">
        <v>12</v>
      </c>
      <c r="F7090" s="29"/>
      <c r="G7090" s="30">
        <v>465.68</v>
      </c>
    </row>
    <row r="7091" spans="1:7" hidden="1" x14ac:dyDescent="0.25">
      <c r="A7091" s="28">
        <v>44136</v>
      </c>
      <c r="B7091" s="27" t="s">
        <v>2</v>
      </c>
      <c r="C7091" s="27" t="s">
        <v>50</v>
      </c>
      <c r="D7091" s="27" t="s">
        <v>7</v>
      </c>
      <c r="E7091" s="27" t="s">
        <v>13</v>
      </c>
      <c r="F7091" s="29"/>
      <c r="G7091" s="30">
        <v>1534.09</v>
      </c>
    </row>
    <row r="7092" spans="1:7" hidden="1" x14ac:dyDescent="0.25">
      <c r="A7092" s="28">
        <v>44136</v>
      </c>
      <c r="B7092" s="27" t="s">
        <v>2</v>
      </c>
      <c r="C7092" s="27" t="s">
        <v>50</v>
      </c>
      <c r="D7092" s="27" t="s">
        <v>7</v>
      </c>
      <c r="E7092" s="27" t="s">
        <v>14</v>
      </c>
      <c r="F7092" s="29"/>
      <c r="G7092" s="30">
        <v>59.4</v>
      </c>
    </row>
    <row r="7093" spans="1:7" hidden="1" x14ac:dyDescent="0.25">
      <c r="A7093" s="28">
        <v>44136</v>
      </c>
      <c r="B7093" s="27" t="s">
        <v>2</v>
      </c>
      <c r="C7093" s="27" t="s">
        <v>50</v>
      </c>
      <c r="D7093" s="27" t="s">
        <v>7</v>
      </c>
      <c r="E7093" s="27" t="s">
        <v>15</v>
      </c>
      <c r="F7093" s="29"/>
      <c r="G7093" s="30">
        <v>614.47</v>
      </c>
    </row>
    <row r="7094" spans="1:7" hidden="1" x14ac:dyDescent="0.25">
      <c r="A7094" s="28">
        <v>44136</v>
      </c>
      <c r="B7094" s="27" t="s">
        <v>2</v>
      </c>
      <c r="C7094" s="27" t="s">
        <v>50</v>
      </c>
      <c r="D7094" s="27" t="s">
        <v>7</v>
      </c>
      <c r="E7094" s="27" t="s">
        <v>16</v>
      </c>
      <c r="F7094" s="29"/>
      <c r="G7094" s="30">
        <v>406.27</v>
      </c>
    </row>
    <row r="7095" spans="1:7" hidden="1" x14ac:dyDescent="0.25">
      <c r="A7095" s="28">
        <v>44136</v>
      </c>
      <c r="B7095" s="27" t="s">
        <v>2</v>
      </c>
      <c r="C7095" s="27" t="s">
        <v>50</v>
      </c>
      <c r="D7095" s="27" t="s">
        <v>7</v>
      </c>
      <c r="E7095" s="27" t="s">
        <v>17</v>
      </c>
      <c r="F7095" s="29"/>
      <c r="G7095" s="30">
        <v>1244.47</v>
      </c>
    </row>
    <row r="7096" spans="1:7" hidden="1" x14ac:dyDescent="0.25">
      <c r="A7096" s="28">
        <v>44136</v>
      </c>
      <c r="B7096" s="27" t="s">
        <v>2</v>
      </c>
      <c r="C7096" s="27" t="s">
        <v>50</v>
      </c>
      <c r="D7096" s="27" t="s">
        <v>7</v>
      </c>
      <c r="E7096" s="27" t="s">
        <v>18</v>
      </c>
      <c r="F7096" s="29"/>
      <c r="G7096" s="30">
        <v>58.9</v>
      </c>
    </row>
    <row r="7097" spans="1:7" hidden="1" x14ac:dyDescent="0.25">
      <c r="A7097" s="28">
        <v>44136</v>
      </c>
      <c r="B7097" s="27" t="s">
        <v>2</v>
      </c>
      <c r="C7097" s="27" t="s">
        <v>50</v>
      </c>
      <c r="D7097" s="27" t="s">
        <v>7</v>
      </c>
      <c r="E7097" s="27" t="s">
        <v>19</v>
      </c>
      <c r="F7097" s="29"/>
      <c r="G7097" s="30">
        <v>892.6</v>
      </c>
    </row>
    <row r="7098" spans="1:7" hidden="1" x14ac:dyDescent="0.25">
      <c r="A7098" s="28">
        <v>44136</v>
      </c>
      <c r="B7098" s="27" t="s">
        <v>2</v>
      </c>
      <c r="C7098" s="27" t="s">
        <v>50</v>
      </c>
      <c r="D7098" s="27" t="s">
        <v>7</v>
      </c>
      <c r="E7098" s="27" t="s">
        <v>20</v>
      </c>
      <c r="F7098" s="29"/>
      <c r="G7098" s="30">
        <v>361.2</v>
      </c>
    </row>
    <row r="7099" spans="1:7" hidden="1" x14ac:dyDescent="0.25">
      <c r="A7099" s="28">
        <v>44136</v>
      </c>
      <c r="B7099" s="27" t="s">
        <v>2</v>
      </c>
      <c r="C7099" s="27" t="s">
        <v>50</v>
      </c>
      <c r="D7099" s="27" t="s">
        <v>7</v>
      </c>
      <c r="E7099" s="27" t="s">
        <v>38</v>
      </c>
      <c r="F7099" s="29"/>
      <c r="G7099" s="30">
        <v>28.1</v>
      </c>
    </row>
    <row r="7100" spans="1:7" hidden="1" x14ac:dyDescent="0.25">
      <c r="A7100" s="28">
        <v>44136</v>
      </c>
      <c r="B7100" s="27" t="s">
        <v>2</v>
      </c>
      <c r="C7100" s="27" t="s">
        <v>50</v>
      </c>
      <c r="D7100" s="27" t="s">
        <v>7</v>
      </c>
      <c r="E7100" s="27" t="s">
        <v>23</v>
      </c>
      <c r="F7100" s="29"/>
      <c r="G7100" s="30">
        <v>596.13</v>
      </c>
    </row>
    <row r="7101" spans="1:7" hidden="1" x14ac:dyDescent="0.25">
      <c r="A7101" s="28">
        <v>44136</v>
      </c>
      <c r="B7101" s="27" t="s">
        <v>36</v>
      </c>
      <c r="C7101" s="27" t="s">
        <v>50</v>
      </c>
      <c r="D7101" s="27" t="s">
        <v>6</v>
      </c>
      <c r="E7101" s="27" t="s">
        <v>8</v>
      </c>
      <c r="F7101" s="29"/>
      <c r="G7101" s="30">
        <v>330.97</v>
      </c>
    </row>
    <row r="7102" spans="1:7" hidden="1" x14ac:dyDescent="0.25">
      <c r="A7102" s="28">
        <v>44136</v>
      </c>
      <c r="B7102" s="27" t="s">
        <v>36</v>
      </c>
      <c r="C7102" s="27" t="s">
        <v>50</v>
      </c>
      <c r="D7102" s="27" t="s">
        <v>6</v>
      </c>
      <c r="E7102" s="27" t="s">
        <v>9</v>
      </c>
      <c r="F7102" s="29"/>
      <c r="G7102" s="30">
        <v>56</v>
      </c>
    </row>
    <row r="7103" spans="1:7" hidden="1" x14ac:dyDescent="0.25">
      <c r="A7103" s="28">
        <v>44136</v>
      </c>
      <c r="B7103" s="27" t="s">
        <v>36</v>
      </c>
      <c r="C7103" s="27" t="s">
        <v>50</v>
      </c>
      <c r="D7103" s="27" t="s">
        <v>6</v>
      </c>
      <c r="E7103" s="27" t="s">
        <v>22</v>
      </c>
      <c r="F7103" s="29"/>
      <c r="G7103" s="30">
        <v>153.5</v>
      </c>
    </row>
    <row r="7104" spans="1:7" hidden="1" x14ac:dyDescent="0.25">
      <c r="A7104" s="28">
        <v>44136</v>
      </c>
      <c r="B7104" s="27" t="s">
        <v>36</v>
      </c>
      <c r="C7104" s="27" t="s">
        <v>50</v>
      </c>
      <c r="D7104" s="27" t="s">
        <v>6</v>
      </c>
      <c r="E7104" s="27" t="s">
        <v>64</v>
      </c>
      <c r="F7104" s="29"/>
      <c r="G7104" s="30">
        <v>59</v>
      </c>
    </row>
    <row r="7105" spans="1:7" hidden="1" x14ac:dyDescent="0.25">
      <c r="A7105" s="28">
        <v>44136</v>
      </c>
      <c r="B7105" s="27" t="s">
        <v>36</v>
      </c>
      <c r="C7105" s="27" t="s">
        <v>50</v>
      </c>
      <c r="D7105" s="27" t="s">
        <v>6</v>
      </c>
      <c r="E7105" s="27" t="s">
        <v>21</v>
      </c>
      <c r="F7105" s="29"/>
      <c r="G7105" s="30">
        <v>98.57</v>
      </c>
    </row>
    <row r="7106" spans="1:7" hidden="1" x14ac:dyDescent="0.25">
      <c r="A7106" s="28">
        <v>44136</v>
      </c>
      <c r="B7106" s="27" t="s">
        <v>36</v>
      </c>
      <c r="C7106" s="27" t="s">
        <v>50</v>
      </c>
      <c r="D7106" s="27" t="s">
        <v>6</v>
      </c>
      <c r="E7106" s="27" t="s">
        <v>10</v>
      </c>
      <c r="F7106" s="29"/>
      <c r="G7106" s="30">
        <v>330.97</v>
      </c>
    </row>
    <row r="7107" spans="1:7" hidden="1" x14ac:dyDescent="0.25">
      <c r="A7107" s="28">
        <v>44136</v>
      </c>
      <c r="B7107" s="27" t="s">
        <v>36</v>
      </c>
      <c r="C7107" s="27" t="s">
        <v>50</v>
      </c>
      <c r="D7107" s="27" t="s">
        <v>6</v>
      </c>
      <c r="E7107" s="27" t="s">
        <v>11</v>
      </c>
      <c r="F7107" s="29"/>
      <c r="G7107" s="30">
        <v>153.5</v>
      </c>
    </row>
    <row r="7108" spans="1:7" hidden="1" x14ac:dyDescent="0.25">
      <c r="A7108" s="28">
        <v>44136</v>
      </c>
      <c r="B7108" s="27" t="s">
        <v>36</v>
      </c>
      <c r="C7108" s="27" t="s">
        <v>50</v>
      </c>
      <c r="D7108" s="27" t="s">
        <v>6</v>
      </c>
      <c r="E7108" s="27" t="s">
        <v>12</v>
      </c>
      <c r="F7108" s="29"/>
      <c r="G7108" s="30">
        <v>78.69</v>
      </c>
    </row>
    <row r="7109" spans="1:7" hidden="1" x14ac:dyDescent="0.25">
      <c r="A7109" s="28">
        <v>44136</v>
      </c>
      <c r="B7109" s="27" t="s">
        <v>36</v>
      </c>
      <c r="C7109" s="27" t="s">
        <v>50</v>
      </c>
      <c r="D7109" s="27" t="s">
        <v>6</v>
      </c>
      <c r="E7109" s="27" t="s">
        <v>13</v>
      </c>
      <c r="F7109" s="29"/>
      <c r="G7109" s="30">
        <v>59</v>
      </c>
    </row>
    <row r="7110" spans="1:7" hidden="1" x14ac:dyDescent="0.25">
      <c r="A7110" s="28">
        <v>44136</v>
      </c>
      <c r="B7110" s="27" t="s">
        <v>36</v>
      </c>
      <c r="C7110" s="27" t="s">
        <v>50</v>
      </c>
      <c r="D7110" s="27" t="s">
        <v>6</v>
      </c>
      <c r="E7110" s="27" t="s">
        <v>14</v>
      </c>
      <c r="F7110" s="29"/>
      <c r="G7110" s="30">
        <v>78.69</v>
      </c>
    </row>
    <row r="7111" spans="1:7" hidden="1" x14ac:dyDescent="0.25">
      <c r="A7111" s="28">
        <v>44136</v>
      </c>
      <c r="B7111" s="27" t="s">
        <v>36</v>
      </c>
      <c r="C7111" s="27" t="s">
        <v>50</v>
      </c>
      <c r="D7111" s="27" t="s">
        <v>6</v>
      </c>
      <c r="E7111" s="27" t="s">
        <v>15</v>
      </c>
      <c r="F7111" s="29"/>
      <c r="G7111" s="30">
        <v>284.19</v>
      </c>
    </row>
    <row r="7112" spans="1:7" hidden="1" x14ac:dyDescent="0.25">
      <c r="A7112" s="28">
        <v>44136</v>
      </c>
      <c r="B7112" s="27" t="s">
        <v>36</v>
      </c>
      <c r="C7112" s="27" t="s">
        <v>50</v>
      </c>
      <c r="D7112" s="27" t="s">
        <v>6</v>
      </c>
      <c r="E7112" s="27" t="s">
        <v>16</v>
      </c>
      <c r="F7112" s="29"/>
      <c r="G7112" s="30">
        <v>284.19</v>
      </c>
    </row>
    <row r="7113" spans="1:7" hidden="1" x14ac:dyDescent="0.25">
      <c r="A7113" s="28">
        <v>44136</v>
      </c>
      <c r="B7113" s="27" t="s">
        <v>36</v>
      </c>
      <c r="C7113" s="27" t="s">
        <v>50</v>
      </c>
      <c r="D7113" s="27" t="s">
        <v>6</v>
      </c>
      <c r="E7113" s="27" t="s">
        <v>17</v>
      </c>
      <c r="F7113" s="29"/>
      <c r="G7113" s="30">
        <v>153.5</v>
      </c>
    </row>
    <row r="7114" spans="1:7" hidden="1" x14ac:dyDescent="0.25">
      <c r="A7114" s="28">
        <v>44136</v>
      </c>
      <c r="B7114" s="27" t="s">
        <v>36</v>
      </c>
      <c r="C7114" s="27" t="s">
        <v>50</v>
      </c>
      <c r="D7114" s="27" t="s">
        <v>6</v>
      </c>
      <c r="E7114" s="27" t="s">
        <v>18</v>
      </c>
      <c r="F7114" s="29"/>
      <c r="G7114" s="30">
        <v>165.5</v>
      </c>
    </row>
    <row r="7115" spans="1:7" hidden="1" x14ac:dyDescent="0.25">
      <c r="A7115" s="28">
        <v>44136</v>
      </c>
      <c r="B7115" s="27" t="s">
        <v>36</v>
      </c>
      <c r="C7115" s="27" t="s">
        <v>50</v>
      </c>
      <c r="D7115" s="27" t="s">
        <v>6</v>
      </c>
      <c r="E7115" s="27" t="s">
        <v>19</v>
      </c>
      <c r="F7115" s="29"/>
      <c r="G7115" s="30">
        <v>296.19</v>
      </c>
    </row>
    <row r="7116" spans="1:7" hidden="1" x14ac:dyDescent="0.25">
      <c r="A7116" s="28">
        <v>44136</v>
      </c>
      <c r="B7116" s="27" t="s">
        <v>36</v>
      </c>
      <c r="C7116" s="27" t="s">
        <v>50</v>
      </c>
      <c r="D7116" s="27" t="s">
        <v>6</v>
      </c>
      <c r="E7116" s="27" t="s">
        <v>20</v>
      </c>
      <c r="F7116" s="29"/>
      <c r="G7116" s="30">
        <v>59</v>
      </c>
    </row>
    <row r="7117" spans="1:7" hidden="1" x14ac:dyDescent="0.25">
      <c r="A7117" s="28">
        <v>44136</v>
      </c>
      <c r="B7117" s="27" t="s">
        <v>36</v>
      </c>
      <c r="C7117" s="27" t="s">
        <v>50</v>
      </c>
      <c r="D7117" s="27" t="s">
        <v>6</v>
      </c>
      <c r="E7117" s="27" t="s">
        <v>38</v>
      </c>
      <c r="F7117" s="29"/>
      <c r="G7117" s="30">
        <v>56</v>
      </c>
    </row>
    <row r="7118" spans="1:7" hidden="1" x14ac:dyDescent="0.25">
      <c r="A7118" s="28">
        <v>44136</v>
      </c>
      <c r="B7118" s="27" t="s">
        <v>36</v>
      </c>
      <c r="C7118" s="27" t="s">
        <v>50</v>
      </c>
      <c r="D7118" s="27" t="s">
        <v>6</v>
      </c>
      <c r="E7118" s="27" t="s">
        <v>23</v>
      </c>
      <c r="F7118" s="29"/>
      <c r="G7118" s="30">
        <v>153.5</v>
      </c>
    </row>
    <row r="7119" spans="1:7" hidden="1" x14ac:dyDescent="0.25">
      <c r="A7119" s="28">
        <v>44136</v>
      </c>
      <c r="B7119" s="27" t="s">
        <v>200</v>
      </c>
      <c r="C7119" s="27" t="s">
        <v>53</v>
      </c>
      <c r="D7119" s="27" t="s">
        <v>6</v>
      </c>
      <c r="E7119" s="27" t="s">
        <v>8</v>
      </c>
      <c r="F7119" s="29"/>
      <c r="G7119" s="30">
        <f t="shared" ref="G7119:G7136" si="130">11982.2964888889/18</f>
        <v>665.68313827160557</v>
      </c>
    </row>
    <row r="7120" spans="1:7" hidden="1" x14ac:dyDescent="0.25">
      <c r="A7120" s="28">
        <v>44136</v>
      </c>
      <c r="B7120" s="27" t="s">
        <v>200</v>
      </c>
      <c r="C7120" s="27" t="s">
        <v>53</v>
      </c>
      <c r="D7120" s="27" t="s">
        <v>6</v>
      </c>
      <c r="E7120" s="27" t="s">
        <v>9</v>
      </c>
      <c r="F7120" s="29"/>
      <c r="G7120" s="30">
        <f t="shared" si="130"/>
        <v>665.68313827160557</v>
      </c>
    </row>
    <row r="7121" spans="1:7" hidden="1" x14ac:dyDescent="0.25">
      <c r="A7121" s="28">
        <v>44136</v>
      </c>
      <c r="B7121" s="27" t="s">
        <v>200</v>
      </c>
      <c r="C7121" s="27" t="s">
        <v>53</v>
      </c>
      <c r="D7121" s="27" t="s">
        <v>6</v>
      </c>
      <c r="E7121" s="27" t="s">
        <v>22</v>
      </c>
      <c r="F7121" s="29"/>
      <c r="G7121" s="30">
        <f t="shared" si="130"/>
        <v>665.68313827160557</v>
      </c>
    </row>
    <row r="7122" spans="1:7" hidden="1" x14ac:dyDescent="0.25">
      <c r="A7122" s="28">
        <v>44136</v>
      </c>
      <c r="B7122" s="27" t="s">
        <v>200</v>
      </c>
      <c r="C7122" s="27" t="s">
        <v>53</v>
      </c>
      <c r="D7122" s="27" t="s">
        <v>6</v>
      </c>
      <c r="E7122" s="27" t="s">
        <v>64</v>
      </c>
      <c r="F7122" s="29"/>
      <c r="G7122" s="30">
        <f t="shared" si="130"/>
        <v>665.68313827160557</v>
      </c>
    </row>
    <row r="7123" spans="1:7" hidden="1" x14ac:dyDescent="0.25">
      <c r="A7123" s="28">
        <v>44136</v>
      </c>
      <c r="B7123" s="27" t="s">
        <v>200</v>
      </c>
      <c r="C7123" s="27" t="s">
        <v>53</v>
      </c>
      <c r="D7123" s="27" t="s">
        <v>6</v>
      </c>
      <c r="E7123" s="27" t="s">
        <v>21</v>
      </c>
      <c r="F7123" s="29"/>
      <c r="G7123" s="30">
        <f t="shared" si="130"/>
        <v>665.68313827160557</v>
      </c>
    </row>
    <row r="7124" spans="1:7" hidden="1" x14ac:dyDescent="0.25">
      <c r="A7124" s="28">
        <v>44136</v>
      </c>
      <c r="B7124" s="27" t="s">
        <v>200</v>
      </c>
      <c r="C7124" s="27" t="s">
        <v>53</v>
      </c>
      <c r="D7124" s="27" t="s">
        <v>6</v>
      </c>
      <c r="E7124" s="27" t="s">
        <v>10</v>
      </c>
      <c r="F7124" s="29"/>
      <c r="G7124" s="30">
        <f t="shared" si="130"/>
        <v>665.68313827160557</v>
      </c>
    </row>
    <row r="7125" spans="1:7" hidden="1" x14ac:dyDescent="0.25">
      <c r="A7125" s="28">
        <v>44136</v>
      </c>
      <c r="B7125" s="27" t="s">
        <v>200</v>
      </c>
      <c r="C7125" s="27" t="s">
        <v>53</v>
      </c>
      <c r="D7125" s="27" t="s">
        <v>6</v>
      </c>
      <c r="E7125" s="27" t="s">
        <v>11</v>
      </c>
      <c r="F7125" s="29"/>
      <c r="G7125" s="30">
        <f t="shared" si="130"/>
        <v>665.68313827160557</v>
      </c>
    </row>
    <row r="7126" spans="1:7" hidden="1" x14ac:dyDescent="0.25">
      <c r="A7126" s="28">
        <v>44136</v>
      </c>
      <c r="B7126" s="27" t="s">
        <v>200</v>
      </c>
      <c r="C7126" s="27" t="s">
        <v>53</v>
      </c>
      <c r="D7126" s="27" t="s">
        <v>6</v>
      </c>
      <c r="E7126" s="27" t="s">
        <v>12</v>
      </c>
      <c r="F7126" s="29"/>
      <c r="G7126" s="30">
        <f t="shared" si="130"/>
        <v>665.68313827160557</v>
      </c>
    </row>
    <row r="7127" spans="1:7" hidden="1" x14ac:dyDescent="0.25">
      <c r="A7127" s="28">
        <v>44136</v>
      </c>
      <c r="B7127" s="27" t="s">
        <v>200</v>
      </c>
      <c r="C7127" s="27" t="s">
        <v>53</v>
      </c>
      <c r="D7127" s="27" t="s">
        <v>6</v>
      </c>
      <c r="E7127" s="27" t="s">
        <v>13</v>
      </c>
      <c r="F7127" s="29"/>
      <c r="G7127" s="30">
        <f t="shared" si="130"/>
        <v>665.68313827160557</v>
      </c>
    </row>
    <row r="7128" spans="1:7" hidden="1" x14ac:dyDescent="0.25">
      <c r="A7128" s="28">
        <v>44136</v>
      </c>
      <c r="B7128" s="27" t="s">
        <v>200</v>
      </c>
      <c r="C7128" s="27" t="s">
        <v>53</v>
      </c>
      <c r="D7128" s="27" t="s">
        <v>6</v>
      </c>
      <c r="E7128" s="27" t="s">
        <v>14</v>
      </c>
      <c r="F7128" s="29"/>
      <c r="G7128" s="30">
        <f t="shared" si="130"/>
        <v>665.68313827160557</v>
      </c>
    </row>
    <row r="7129" spans="1:7" hidden="1" x14ac:dyDescent="0.25">
      <c r="A7129" s="28">
        <v>44136</v>
      </c>
      <c r="B7129" s="27" t="s">
        <v>200</v>
      </c>
      <c r="C7129" s="27" t="s">
        <v>53</v>
      </c>
      <c r="D7129" s="27" t="s">
        <v>6</v>
      </c>
      <c r="E7129" s="27" t="s">
        <v>15</v>
      </c>
      <c r="F7129" s="29"/>
      <c r="G7129" s="30">
        <f t="shared" si="130"/>
        <v>665.68313827160557</v>
      </c>
    </row>
    <row r="7130" spans="1:7" hidden="1" x14ac:dyDescent="0.25">
      <c r="A7130" s="28">
        <v>44136</v>
      </c>
      <c r="B7130" s="27" t="s">
        <v>200</v>
      </c>
      <c r="C7130" s="27" t="s">
        <v>53</v>
      </c>
      <c r="D7130" s="27" t="s">
        <v>6</v>
      </c>
      <c r="E7130" s="27" t="s">
        <v>16</v>
      </c>
      <c r="F7130" s="29"/>
      <c r="G7130" s="30">
        <f t="shared" si="130"/>
        <v>665.68313827160557</v>
      </c>
    </row>
    <row r="7131" spans="1:7" hidden="1" x14ac:dyDescent="0.25">
      <c r="A7131" s="28">
        <v>44136</v>
      </c>
      <c r="B7131" s="27" t="s">
        <v>200</v>
      </c>
      <c r="C7131" s="27" t="s">
        <v>53</v>
      </c>
      <c r="D7131" s="27" t="s">
        <v>6</v>
      </c>
      <c r="E7131" s="27" t="s">
        <v>17</v>
      </c>
      <c r="F7131" s="29"/>
      <c r="G7131" s="30">
        <f t="shared" si="130"/>
        <v>665.68313827160557</v>
      </c>
    </row>
    <row r="7132" spans="1:7" hidden="1" x14ac:dyDescent="0.25">
      <c r="A7132" s="28">
        <v>44136</v>
      </c>
      <c r="B7132" s="27" t="s">
        <v>200</v>
      </c>
      <c r="C7132" s="27" t="s">
        <v>53</v>
      </c>
      <c r="D7132" s="27" t="s">
        <v>6</v>
      </c>
      <c r="E7132" s="27" t="s">
        <v>18</v>
      </c>
      <c r="F7132" s="29"/>
      <c r="G7132" s="30">
        <f t="shared" si="130"/>
        <v>665.68313827160557</v>
      </c>
    </row>
    <row r="7133" spans="1:7" hidden="1" x14ac:dyDescent="0.25">
      <c r="A7133" s="28">
        <v>44136</v>
      </c>
      <c r="B7133" s="27" t="s">
        <v>200</v>
      </c>
      <c r="C7133" s="27" t="s">
        <v>53</v>
      </c>
      <c r="D7133" s="27" t="s">
        <v>6</v>
      </c>
      <c r="E7133" s="27" t="s">
        <v>19</v>
      </c>
      <c r="F7133" s="29"/>
      <c r="G7133" s="30">
        <f t="shared" si="130"/>
        <v>665.68313827160557</v>
      </c>
    </row>
    <row r="7134" spans="1:7" hidden="1" x14ac:dyDescent="0.25">
      <c r="A7134" s="28">
        <v>44136</v>
      </c>
      <c r="B7134" s="27" t="s">
        <v>200</v>
      </c>
      <c r="C7134" s="27" t="s">
        <v>53</v>
      </c>
      <c r="D7134" s="27" t="s">
        <v>6</v>
      </c>
      <c r="E7134" s="27" t="s">
        <v>20</v>
      </c>
      <c r="F7134" s="29"/>
      <c r="G7134" s="30">
        <f t="shared" si="130"/>
        <v>665.68313827160557</v>
      </c>
    </row>
    <row r="7135" spans="1:7" hidden="1" x14ac:dyDescent="0.25">
      <c r="A7135" s="28">
        <v>44136</v>
      </c>
      <c r="B7135" s="27" t="s">
        <v>200</v>
      </c>
      <c r="C7135" s="27" t="s">
        <v>53</v>
      </c>
      <c r="D7135" s="27" t="s">
        <v>6</v>
      </c>
      <c r="E7135" s="27" t="s">
        <v>38</v>
      </c>
      <c r="F7135" s="29"/>
      <c r="G7135" s="30">
        <f t="shared" si="130"/>
        <v>665.68313827160557</v>
      </c>
    </row>
    <row r="7136" spans="1:7" hidden="1" x14ac:dyDescent="0.25">
      <c r="A7136" s="28">
        <v>44136</v>
      </c>
      <c r="B7136" s="27" t="s">
        <v>200</v>
      </c>
      <c r="C7136" s="27" t="s">
        <v>53</v>
      </c>
      <c r="D7136" s="27" t="s">
        <v>6</v>
      </c>
      <c r="E7136" s="27" t="s">
        <v>23</v>
      </c>
      <c r="F7136" s="29"/>
      <c r="G7136" s="30">
        <f t="shared" si="130"/>
        <v>665.68313827160557</v>
      </c>
    </row>
    <row r="7137" spans="1:7" hidden="1" x14ac:dyDescent="0.25">
      <c r="A7137" s="28">
        <v>44136</v>
      </c>
      <c r="B7137" s="27" t="s">
        <v>200</v>
      </c>
      <c r="C7137" s="27" t="s">
        <v>54</v>
      </c>
      <c r="D7137" s="27" t="s">
        <v>7</v>
      </c>
      <c r="E7137" s="27" t="s">
        <v>9</v>
      </c>
      <c r="F7137" s="29"/>
      <c r="G7137" s="30">
        <f t="shared" ref="G7137:G7151" si="131">341.59/15</f>
        <v>22.772666666666666</v>
      </c>
    </row>
    <row r="7138" spans="1:7" hidden="1" x14ac:dyDescent="0.25">
      <c r="A7138" s="28">
        <v>44136</v>
      </c>
      <c r="B7138" s="27" t="s">
        <v>200</v>
      </c>
      <c r="C7138" s="27" t="s">
        <v>54</v>
      </c>
      <c r="D7138" s="27" t="s">
        <v>7</v>
      </c>
      <c r="E7138" s="27" t="s">
        <v>22</v>
      </c>
      <c r="F7138" s="29"/>
      <c r="G7138" s="30">
        <f t="shared" si="131"/>
        <v>22.772666666666666</v>
      </c>
    </row>
    <row r="7139" spans="1:7" hidden="1" x14ac:dyDescent="0.25">
      <c r="A7139" s="28">
        <v>44136</v>
      </c>
      <c r="B7139" s="27" t="s">
        <v>200</v>
      </c>
      <c r="C7139" s="27" t="s">
        <v>54</v>
      </c>
      <c r="D7139" s="27" t="s">
        <v>7</v>
      </c>
      <c r="E7139" s="27" t="s">
        <v>21</v>
      </c>
      <c r="F7139" s="29"/>
      <c r="G7139" s="30">
        <f t="shared" si="131"/>
        <v>22.772666666666666</v>
      </c>
    </row>
    <row r="7140" spans="1:7" hidden="1" x14ac:dyDescent="0.25">
      <c r="A7140" s="28">
        <v>44136</v>
      </c>
      <c r="B7140" s="27" t="s">
        <v>200</v>
      </c>
      <c r="C7140" s="27" t="s">
        <v>54</v>
      </c>
      <c r="D7140" s="27" t="s">
        <v>7</v>
      </c>
      <c r="E7140" s="27" t="s">
        <v>10</v>
      </c>
      <c r="F7140" s="29"/>
      <c r="G7140" s="30">
        <f t="shared" si="131"/>
        <v>22.772666666666666</v>
      </c>
    </row>
    <row r="7141" spans="1:7" hidden="1" x14ac:dyDescent="0.25">
      <c r="A7141" s="28">
        <v>44136</v>
      </c>
      <c r="B7141" s="27" t="s">
        <v>200</v>
      </c>
      <c r="C7141" s="27" t="s">
        <v>54</v>
      </c>
      <c r="D7141" s="27" t="s">
        <v>7</v>
      </c>
      <c r="E7141" s="27" t="s">
        <v>11</v>
      </c>
      <c r="F7141" s="29"/>
      <c r="G7141" s="30">
        <f t="shared" si="131"/>
        <v>22.772666666666666</v>
      </c>
    </row>
    <row r="7142" spans="1:7" hidden="1" x14ac:dyDescent="0.25">
      <c r="A7142" s="28">
        <v>44136</v>
      </c>
      <c r="B7142" s="27" t="s">
        <v>200</v>
      </c>
      <c r="C7142" s="27" t="s">
        <v>54</v>
      </c>
      <c r="D7142" s="27" t="s">
        <v>7</v>
      </c>
      <c r="E7142" s="27" t="s">
        <v>12</v>
      </c>
      <c r="F7142" s="29"/>
      <c r="G7142" s="30">
        <f t="shared" si="131"/>
        <v>22.772666666666666</v>
      </c>
    </row>
    <row r="7143" spans="1:7" hidden="1" x14ac:dyDescent="0.25">
      <c r="A7143" s="28">
        <v>44136</v>
      </c>
      <c r="B7143" s="27" t="s">
        <v>200</v>
      </c>
      <c r="C7143" s="27" t="s">
        <v>54</v>
      </c>
      <c r="D7143" s="27" t="s">
        <v>7</v>
      </c>
      <c r="E7143" s="27" t="s">
        <v>13</v>
      </c>
      <c r="F7143" s="29"/>
      <c r="G7143" s="30">
        <f t="shared" si="131"/>
        <v>22.772666666666666</v>
      </c>
    </row>
    <row r="7144" spans="1:7" hidden="1" x14ac:dyDescent="0.25">
      <c r="A7144" s="28">
        <v>44136</v>
      </c>
      <c r="B7144" s="27" t="s">
        <v>200</v>
      </c>
      <c r="C7144" s="27" t="s">
        <v>54</v>
      </c>
      <c r="D7144" s="27" t="s">
        <v>7</v>
      </c>
      <c r="E7144" s="27" t="s">
        <v>14</v>
      </c>
      <c r="F7144" s="29"/>
      <c r="G7144" s="30">
        <f t="shared" si="131"/>
        <v>22.772666666666666</v>
      </c>
    </row>
    <row r="7145" spans="1:7" hidden="1" x14ac:dyDescent="0.25">
      <c r="A7145" s="28">
        <v>44136</v>
      </c>
      <c r="B7145" s="27" t="s">
        <v>200</v>
      </c>
      <c r="C7145" s="27" t="s">
        <v>54</v>
      </c>
      <c r="D7145" s="27" t="s">
        <v>7</v>
      </c>
      <c r="E7145" s="27" t="s">
        <v>15</v>
      </c>
      <c r="F7145" s="29"/>
      <c r="G7145" s="30">
        <f t="shared" si="131"/>
        <v>22.772666666666666</v>
      </c>
    </row>
    <row r="7146" spans="1:7" hidden="1" x14ac:dyDescent="0.25">
      <c r="A7146" s="28">
        <v>44136</v>
      </c>
      <c r="B7146" s="27" t="s">
        <v>200</v>
      </c>
      <c r="C7146" s="27" t="s">
        <v>54</v>
      </c>
      <c r="D7146" s="27" t="s">
        <v>7</v>
      </c>
      <c r="E7146" s="27" t="s">
        <v>16</v>
      </c>
      <c r="F7146" s="29"/>
      <c r="G7146" s="30">
        <f t="shared" si="131"/>
        <v>22.772666666666666</v>
      </c>
    </row>
    <row r="7147" spans="1:7" hidden="1" x14ac:dyDescent="0.25">
      <c r="A7147" s="28">
        <v>44136</v>
      </c>
      <c r="B7147" s="27" t="s">
        <v>200</v>
      </c>
      <c r="C7147" s="27" t="s">
        <v>54</v>
      </c>
      <c r="D7147" s="27" t="s">
        <v>7</v>
      </c>
      <c r="E7147" s="27" t="s">
        <v>17</v>
      </c>
      <c r="F7147" s="29"/>
      <c r="G7147" s="30">
        <f t="shared" si="131"/>
        <v>22.772666666666666</v>
      </c>
    </row>
    <row r="7148" spans="1:7" hidden="1" x14ac:dyDescent="0.25">
      <c r="A7148" s="28">
        <v>44136</v>
      </c>
      <c r="B7148" s="27" t="s">
        <v>200</v>
      </c>
      <c r="C7148" s="27" t="s">
        <v>54</v>
      </c>
      <c r="D7148" s="27" t="s">
        <v>7</v>
      </c>
      <c r="E7148" s="27" t="s">
        <v>18</v>
      </c>
      <c r="F7148" s="29"/>
      <c r="G7148" s="30">
        <f t="shared" si="131"/>
        <v>22.772666666666666</v>
      </c>
    </row>
    <row r="7149" spans="1:7" hidden="1" x14ac:dyDescent="0.25">
      <c r="A7149" s="28">
        <v>44136</v>
      </c>
      <c r="B7149" s="27" t="s">
        <v>200</v>
      </c>
      <c r="C7149" s="27" t="s">
        <v>54</v>
      </c>
      <c r="D7149" s="27" t="s">
        <v>7</v>
      </c>
      <c r="E7149" s="27" t="s">
        <v>19</v>
      </c>
      <c r="F7149" s="29"/>
      <c r="G7149" s="30">
        <f t="shared" si="131"/>
        <v>22.772666666666666</v>
      </c>
    </row>
    <row r="7150" spans="1:7" hidden="1" x14ac:dyDescent="0.25">
      <c r="A7150" s="28">
        <v>44136</v>
      </c>
      <c r="B7150" s="27" t="s">
        <v>200</v>
      </c>
      <c r="C7150" s="27" t="s">
        <v>54</v>
      </c>
      <c r="D7150" s="27" t="s">
        <v>7</v>
      </c>
      <c r="E7150" s="27" t="s">
        <v>20</v>
      </c>
      <c r="F7150" s="29"/>
      <c r="G7150" s="30">
        <f t="shared" si="131"/>
        <v>22.772666666666666</v>
      </c>
    </row>
    <row r="7151" spans="1:7" hidden="1" x14ac:dyDescent="0.25">
      <c r="A7151" s="28">
        <v>44136</v>
      </c>
      <c r="B7151" s="27" t="s">
        <v>200</v>
      </c>
      <c r="C7151" s="27" t="s">
        <v>54</v>
      </c>
      <c r="D7151" s="27" t="s">
        <v>7</v>
      </c>
      <c r="E7151" s="27" t="s">
        <v>23</v>
      </c>
      <c r="F7151" s="29"/>
      <c r="G7151" s="30">
        <f t="shared" si="131"/>
        <v>22.772666666666666</v>
      </c>
    </row>
    <row r="7152" spans="1:7" hidden="1" x14ac:dyDescent="0.25">
      <c r="A7152" s="28">
        <v>44136</v>
      </c>
      <c r="B7152" s="27" t="s">
        <v>200</v>
      </c>
      <c r="C7152" s="27" t="s">
        <v>55</v>
      </c>
      <c r="D7152" s="27" t="s">
        <v>6</v>
      </c>
      <c r="E7152" s="27" t="s">
        <v>8</v>
      </c>
      <c r="F7152" s="29"/>
      <c r="G7152" s="30">
        <f t="shared" ref="G7152:G7169" si="132">23719.8283999999/18</f>
        <v>1317.768244444439</v>
      </c>
    </row>
    <row r="7153" spans="1:7" hidden="1" x14ac:dyDescent="0.25">
      <c r="A7153" s="28">
        <v>44136</v>
      </c>
      <c r="B7153" s="27" t="s">
        <v>200</v>
      </c>
      <c r="C7153" s="27" t="s">
        <v>55</v>
      </c>
      <c r="D7153" s="27" t="s">
        <v>6</v>
      </c>
      <c r="E7153" s="27" t="s">
        <v>9</v>
      </c>
      <c r="F7153" s="29"/>
      <c r="G7153" s="30">
        <f t="shared" si="132"/>
        <v>1317.768244444439</v>
      </c>
    </row>
    <row r="7154" spans="1:7" hidden="1" x14ac:dyDescent="0.25">
      <c r="A7154" s="28">
        <v>44136</v>
      </c>
      <c r="B7154" s="27" t="s">
        <v>200</v>
      </c>
      <c r="C7154" s="27" t="s">
        <v>55</v>
      </c>
      <c r="D7154" s="27" t="s">
        <v>6</v>
      </c>
      <c r="E7154" s="27" t="s">
        <v>22</v>
      </c>
      <c r="F7154" s="29"/>
      <c r="G7154" s="30">
        <f t="shared" si="132"/>
        <v>1317.768244444439</v>
      </c>
    </row>
    <row r="7155" spans="1:7" hidden="1" x14ac:dyDescent="0.25">
      <c r="A7155" s="28">
        <v>44136</v>
      </c>
      <c r="B7155" s="27" t="s">
        <v>200</v>
      </c>
      <c r="C7155" s="27" t="s">
        <v>55</v>
      </c>
      <c r="D7155" s="27" t="s">
        <v>6</v>
      </c>
      <c r="E7155" s="27" t="s">
        <v>64</v>
      </c>
      <c r="F7155" s="29"/>
      <c r="G7155" s="30">
        <f t="shared" si="132"/>
        <v>1317.768244444439</v>
      </c>
    </row>
    <row r="7156" spans="1:7" hidden="1" x14ac:dyDescent="0.25">
      <c r="A7156" s="28">
        <v>44136</v>
      </c>
      <c r="B7156" s="27" t="s">
        <v>200</v>
      </c>
      <c r="C7156" s="27" t="s">
        <v>55</v>
      </c>
      <c r="D7156" s="27" t="s">
        <v>6</v>
      </c>
      <c r="E7156" s="27" t="s">
        <v>21</v>
      </c>
      <c r="F7156" s="29"/>
      <c r="G7156" s="30">
        <f t="shared" si="132"/>
        <v>1317.768244444439</v>
      </c>
    </row>
    <row r="7157" spans="1:7" hidden="1" x14ac:dyDescent="0.25">
      <c r="A7157" s="28">
        <v>44136</v>
      </c>
      <c r="B7157" s="27" t="s">
        <v>200</v>
      </c>
      <c r="C7157" s="27" t="s">
        <v>55</v>
      </c>
      <c r="D7157" s="27" t="s">
        <v>6</v>
      </c>
      <c r="E7157" s="27" t="s">
        <v>10</v>
      </c>
      <c r="F7157" s="29"/>
      <c r="G7157" s="30">
        <f t="shared" si="132"/>
        <v>1317.768244444439</v>
      </c>
    </row>
    <row r="7158" spans="1:7" hidden="1" x14ac:dyDescent="0.25">
      <c r="A7158" s="28">
        <v>44136</v>
      </c>
      <c r="B7158" s="27" t="s">
        <v>200</v>
      </c>
      <c r="C7158" s="27" t="s">
        <v>55</v>
      </c>
      <c r="D7158" s="27" t="s">
        <v>6</v>
      </c>
      <c r="E7158" s="27" t="s">
        <v>11</v>
      </c>
      <c r="F7158" s="29"/>
      <c r="G7158" s="30">
        <f t="shared" si="132"/>
        <v>1317.768244444439</v>
      </c>
    </row>
    <row r="7159" spans="1:7" hidden="1" x14ac:dyDescent="0.25">
      <c r="A7159" s="28">
        <v>44136</v>
      </c>
      <c r="B7159" s="27" t="s">
        <v>200</v>
      </c>
      <c r="C7159" s="27" t="s">
        <v>55</v>
      </c>
      <c r="D7159" s="27" t="s">
        <v>6</v>
      </c>
      <c r="E7159" s="27" t="s">
        <v>12</v>
      </c>
      <c r="F7159" s="29"/>
      <c r="G7159" s="30">
        <f t="shared" si="132"/>
        <v>1317.768244444439</v>
      </c>
    </row>
    <row r="7160" spans="1:7" hidden="1" x14ac:dyDescent="0.25">
      <c r="A7160" s="28">
        <v>44136</v>
      </c>
      <c r="B7160" s="27" t="s">
        <v>200</v>
      </c>
      <c r="C7160" s="27" t="s">
        <v>55</v>
      </c>
      <c r="D7160" s="27" t="s">
        <v>6</v>
      </c>
      <c r="E7160" s="27" t="s">
        <v>13</v>
      </c>
      <c r="F7160" s="29"/>
      <c r="G7160" s="30">
        <f t="shared" si="132"/>
        <v>1317.768244444439</v>
      </c>
    </row>
    <row r="7161" spans="1:7" hidden="1" x14ac:dyDescent="0.25">
      <c r="A7161" s="28">
        <v>44136</v>
      </c>
      <c r="B7161" s="27" t="s">
        <v>200</v>
      </c>
      <c r="C7161" s="27" t="s">
        <v>55</v>
      </c>
      <c r="D7161" s="27" t="s">
        <v>6</v>
      </c>
      <c r="E7161" s="27" t="s">
        <v>14</v>
      </c>
      <c r="F7161" s="29"/>
      <c r="G7161" s="30">
        <f t="shared" si="132"/>
        <v>1317.768244444439</v>
      </c>
    </row>
    <row r="7162" spans="1:7" hidden="1" x14ac:dyDescent="0.25">
      <c r="A7162" s="28">
        <v>44136</v>
      </c>
      <c r="B7162" s="27" t="s">
        <v>200</v>
      </c>
      <c r="C7162" s="27" t="s">
        <v>55</v>
      </c>
      <c r="D7162" s="27" t="s">
        <v>6</v>
      </c>
      <c r="E7162" s="27" t="s">
        <v>15</v>
      </c>
      <c r="F7162" s="29"/>
      <c r="G7162" s="30">
        <f t="shared" si="132"/>
        <v>1317.768244444439</v>
      </c>
    </row>
    <row r="7163" spans="1:7" hidden="1" x14ac:dyDescent="0.25">
      <c r="A7163" s="28">
        <v>44136</v>
      </c>
      <c r="B7163" s="27" t="s">
        <v>200</v>
      </c>
      <c r="C7163" s="27" t="s">
        <v>55</v>
      </c>
      <c r="D7163" s="27" t="s">
        <v>6</v>
      </c>
      <c r="E7163" s="27" t="s">
        <v>16</v>
      </c>
      <c r="F7163" s="29"/>
      <c r="G7163" s="30">
        <f t="shared" si="132"/>
        <v>1317.768244444439</v>
      </c>
    </row>
    <row r="7164" spans="1:7" hidden="1" x14ac:dyDescent="0.25">
      <c r="A7164" s="28">
        <v>44136</v>
      </c>
      <c r="B7164" s="27" t="s">
        <v>200</v>
      </c>
      <c r="C7164" s="27" t="s">
        <v>55</v>
      </c>
      <c r="D7164" s="27" t="s">
        <v>6</v>
      </c>
      <c r="E7164" s="27" t="s">
        <v>17</v>
      </c>
      <c r="F7164" s="29"/>
      <c r="G7164" s="30">
        <f t="shared" si="132"/>
        <v>1317.768244444439</v>
      </c>
    </row>
    <row r="7165" spans="1:7" hidden="1" x14ac:dyDescent="0.25">
      <c r="A7165" s="28">
        <v>44136</v>
      </c>
      <c r="B7165" s="27" t="s">
        <v>200</v>
      </c>
      <c r="C7165" s="27" t="s">
        <v>55</v>
      </c>
      <c r="D7165" s="27" t="s">
        <v>6</v>
      </c>
      <c r="E7165" s="27" t="s">
        <v>18</v>
      </c>
      <c r="F7165" s="29"/>
      <c r="G7165" s="30">
        <f t="shared" si="132"/>
        <v>1317.768244444439</v>
      </c>
    </row>
    <row r="7166" spans="1:7" hidden="1" x14ac:dyDescent="0.25">
      <c r="A7166" s="28">
        <v>44136</v>
      </c>
      <c r="B7166" s="27" t="s">
        <v>200</v>
      </c>
      <c r="C7166" s="27" t="s">
        <v>55</v>
      </c>
      <c r="D7166" s="27" t="s">
        <v>6</v>
      </c>
      <c r="E7166" s="27" t="s">
        <v>19</v>
      </c>
      <c r="F7166" s="29"/>
      <c r="G7166" s="30">
        <f t="shared" si="132"/>
        <v>1317.768244444439</v>
      </c>
    </row>
    <row r="7167" spans="1:7" hidden="1" x14ac:dyDescent="0.25">
      <c r="A7167" s="28">
        <v>44136</v>
      </c>
      <c r="B7167" s="27" t="s">
        <v>200</v>
      </c>
      <c r="C7167" s="27" t="s">
        <v>55</v>
      </c>
      <c r="D7167" s="27" t="s">
        <v>6</v>
      </c>
      <c r="E7167" s="27" t="s">
        <v>20</v>
      </c>
      <c r="F7167" s="29"/>
      <c r="G7167" s="30">
        <f t="shared" si="132"/>
        <v>1317.768244444439</v>
      </c>
    </row>
    <row r="7168" spans="1:7" hidden="1" x14ac:dyDescent="0.25">
      <c r="A7168" s="28">
        <v>44136</v>
      </c>
      <c r="B7168" s="27" t="s">
        <v>200</v>
      </c>
      <c r="C7168" s="27" t="s">
        <v>55</v>
      </c>
      <c r="D7168" s="27" t="s">
        <v>6</v>
      </c>
      <c r="E7168" s="27" t="s">
        <v>38</v>
      </c>
      <c r="F7168" s="29"/>
      <c r="G7168" s="30">
        <f t="shared" si="132"/>
        <v>1317.768244444439</v>
      </c>
    </row>
    <row r="7169" spans="1:7" hidden="1" x14ac:dyDescent="0.25">
      <c r="A7169" s="28">
        <v>44136</v>
      </c>
      <c r="B7169" s="27" t="s">
        <v>200</v>
      </c>
      <c r="C7169" s="27" t="s">
        <v>55</v>
      </c>
      <c r="D7169" s="27" t="s">
        <v>6</v>
      </c>
      <c r="E7169" s="27" t="s">
        <v>23</v>
      </c>
      <c r="F7169" s="29"/>
      <c r="G7169" s="30">
        <f t="shared" si="132"/>
        <v>1317.768244444439</v>
      </c>
    </row>
    <row r="7170" spans="1:7" hidden="1" x14ac:dyDescent="0.25">
      <c r="A7170" s="28">
        <v>44136</v>
      </c>
      <c r="B7170" s="27" t="s">
        <v>200</v>
      </c>
      <c r="C7170" s="27" t="s">
        <v>183</v>
      </c>
      <c r="D7170" s="27" t="s">
        <v>7</v>
      </c>
      <c r="E7170" s="27" t="s">
        <v>9</v>
      </c>
      <c r="F7170" s="29"/>
      <c r="G7170" s="30">
        <f t="shared" ref="G7170:G7184" si="133">2353.97/15</f>
        <v>156.93133333333333</v>
      </c>
    </row>
    <row r="7171" spans="1:7" hidden="1" x14ac:dyDescent="0.25">
      <c r="A7171" s="28">
        <v>44136</v>
      </c>
      <c r="B7171" s="27" t="s">
        <v>200</v>
      </c>
      <c r="C7171" s="27" t="s">
        <v>183</v>
      </c>
      <c r="D7171" s="27" t="s">
        <v>7</v>
      </c>
      <c r="E7171" s="27" t="s">
        <v>22</v>
      </c>
      <c r="F7171" s="29"/>
      <c r="G7171" s="30">
        <f t="shared" si="133"/>
        <v>156.93133333333333</v>
      </c>
    </row>
    <row r="7172" spans="1:7" hidden="1" x14ac:dyDescent="0.25">
      <c r="A7172" s="28">
        <v>44136</v>
      </c>
      <c r="B7172" s="27" t="s">
        <v>200</v>
      </c>
      <c r="C7172" s="27" t="s">
        <v>183</v>
      </c>
      <c r="D7172" s="27" t="s">
        <v>7</v>
      </c>
      <c r="E7172" s="27" t="s">
        <v>21</v>
      </c>
      <c r="F7172" s="29"/>
      <c r="G7172" s="30">
        <f t="shared" si="133"/>
        <v>156.93133333333333</v>
      </c>
    </row>
    <row r="7173" spans="1:7" hidden="1" x14ac:dyDescent="0.25">
      <c r="A7173" s="28">
        <v>44136</v>
      </c>
      <c r="B7173" s="27" t="s">
        <v>200</v>
      </c>
      <c r="C7173" s="27" t="s">
        <v>183</v>
      </c>
      <c r="D7173" s="27" t="s">
        <v>7</v>
      </c>
      <c r="E7173" s="27" t="s">
        <v>10</v>
      </c>
      <c r="F7173" s="29"/>
      <c r="G7173" s="30">
        <f t="shared" si="133"/>
        <v>156.93133333333333</v>
      </c>
    </row>
    <row r="7174" spans="1:7" hidden="1" x14ac:dyDescent="0.25">
      <c r="A7174" s="28">
        <v>44136</v>
      </c>
      <c r="B7174" s="27" t="s">
        <v>200</v>
      </c>
      <c r="C7174" s="27" t="s">
        <v>183</v>
      </c>
      <c r="D7174" s="27" t="s">
        <v>7</v>
      </c>
      <c r="E7174" s="27" t="s">
        <v>11</v>
      </c>
      <c r="F7174" s="29"/>
      <c r="G7174" s="30">
        <f t="shared" si="133"/>
        <v>156.93133333333333</v>
      </c>
    </row>
    <row r="7175" spans="1:7" hidden="1" x14ac:dyDescent="0.25">
      <c r="A7175" s="28">
        <v>44136</v>
      </c>
      <c r="B7175" s="27" t="s">
        <v>200</v>
      </c>
      <c r="C7175" s="27" t="s">
        <v>183</v>
      </c>
      <c r="D7175" s="27" t="s">
        <v>7</v>
      </c>
      <c r="E7175" s="27" t="s">
        <v>12</v>
      </c>
      <c r="F7175" s="29"/>
      <c r="G7175" s="30">
        <f t="shared" si="133"/>
        <v>156.93133333333333</v>
      </c>
    </row>
    <row r="7176" spans="1:7" hidden="1" x14ac:dyDescent="0.25">
      <c r="A7176" s="28">
        <v>44136</v>
      </c>
      <c r="B7176" s="27" t="s">
        <v>200</v>
      </c>
      <c r="C7176" s="27" t="s">
        <v>183</v>
      </c>
      <c r="D7176" s="27" t="s">
        <v>7</v>
      </c>
      <c r="E7176" s="27" t="s">
        <v>13</v>
      </c>
      <c r="F7176" s="29"/>
      <c r="G7176" s="30">
        <f t="shared" si="133"/>
        <v>156.93133333333333</v>
      </c>
    </row>
    <row r="7177" spans="1:7" hidden="1" x14ac:dyDescent="0.25">
      <c r="A7177" s="28">
        <v>44136</v>
      </c>
      <c r="B7177" s="27" t="s">
        <v>200</v>
      </c>
      <c r="C7177" s="27" t="s">
        <v>183</v>
      </c>
      <c r="D7177" s="27" t="s">
        <v>7</v>
      </c>
      <c r="E7177" s="27" t="s">
        <v>14</v>
      </c>
      <c r="F7177" s="29"/>
      <c r="G7177" s="30">
        <f t="shared" si="133"/>
        <v>156.93133333333333</v>
      </c>
    </row>
    <row r="7178" spans="1:7" hidden="1" x14ac:dyDescent="0.25">
      <c r="A7178" s="28">
        <v>44136</v>
      </c>
      <c r="B7178" s="27" t="s">
        <v>200</v>
      </c>
      <c r="C7178" s="27" t="s">
        <v>183</v>
      </c>
      <c r="D7178" s="27" t="s">
        <v>7</v>
      </c>
      <c r="E7178" s="27" t="s">
        <v>15</v>
      </c>
      <c r="F7178" s="29"/>
      <c r="G7178" s="30">
        <f t="shared" si="133"/>
        <v>156.93133333333333</v>
      </c>
    </row>
    <row r="7179" spans="1:7" hidden="1" x14ac:dyDescent="0.25">
      <c r="A7179" s="28">
        <v>44136</v>
      </c>
      <c r="B7179" s="27" t="s">
        <v>200</v>
      </c>
      <c r="C7179" s="27" t="s">
        <v>183</v>
      </c>
      <c r="D7179" s="27" t="s">
        <v>7</v>
      </c>
      <c r="E7179" s="27" t="s">
        <v>16</v>
      </c>
      <c r="F7179" s="29"/>
      <c r="G7179" s="30">
        <f t="shared" si="133"/>
        <v>156.93133333333333</v>
      </c>
    </row>
    <row r="7180" spans="1:7" hidden="1" x14ac:dyDescent="0.25">
      <c r="A7180" s="28">
        <v>44136</v>
      </c>
      <c r="B7180" s="27" t="s">
        <v>200</v>
      </c>
      <c r="C7180" s="27" t="s">
        <v>183</v>
      </c>
      <c r="D7180" s="27" t="s">
        <v>7</v>
      </c>
      <c r="E7180" s="27" t="s">
        <v>17</v>
      </c>
      <c r="F7180" s="29"/>
      <c r="G7180" s="30">
        <f t="shared" si="133"/>
        <v>156.93133333333333</v>
      </c>
    </row>
    <row r="7181" spans="1:7" hidden="1" x14ac:dyDescent="0.25">
      <c r="A7181" s="28">
        <v>44136</v>
      </c>
      <c r="B7181" s="27" t="s">
        <v>200</v>
      </c>
      <c r="C7181" s="27" t="s">
        <v>183</v>
      </c>
      <c r="D7181" s="27" t="s">
        <v>7</v>
      </c>
      <c r="E7181" s="27" t="s">
        <v>18</v>
      </c>
      <c r="F7181" s="29"/>
      <c r="G7181" s="30">
        <f t="shared" si="133"/>
        <v>156.93133333333333</v>
      </c>
    </row>
    <row r="7182" spans="1:7" hidden="1" x14ac:dyDescent="0.25">
      <c r="A7182" s="28">
        <v>44136</v>
      </c>
      <c r="B7182" s="27" t="s">
        <v>200</v>
      </c>
      <c r="C7182" s="27" t="s">
        <v>183</v>
      </c>
      <c r="D7182" s="27" t="s">
        <v>7</v>
      </c>
      <c r="E7182" s="27" t="s">
        <v>19</v>
      </c>
      <c r="F7182" s="29"/>
      <c r="G7182" s="30">
        <f t="shared" si="133"/>
        <v>156.93133333333333</v>
      </c>
    </row>
    <row r="7183" spans="1:7" hidden="1" x14ac:dyDescent="0.25">
      <c r="A7183" s="28">
        <v>44136</v>
      </c>
      <c r="B7183" s="27" t="s">
        <v>200</v>
      </c>
      <c r="C7183" s="27" t="s">
        <v>183</v>
      </c>
      <c r="D7183" s="27" t="s">
        <v>7</v>
      </c>
      <c r="E7183" s="27" t="s">
        <v>20</v>
      </c>
      <c r="F7183" s="29"/>
      <c r="G7183" s="30">
        <f t="shared" si="133"/>
        <v>156.93133333333333</v>
      </c>
    </row>
    <row r="7184" spans="1:7" hidden="1" x14ac:dyDescent="0.25">
      <c r="A7184" s="28">
        <v>44136</v>
      </c>
      <c r="B7184" s="27" t="s">
        <v>200</v>
      </c>
      <c r="C7184" s="27" t="s">
        <v>183</v>
      </c>
      <c r="D7184" s="27" t="s">
        <v>7</v>
      </c>
      <c r="E7184" s="27" t="s">
        <v>23</v>
      </c>
      <c r="F7184" s="29"/>
      <c r="G7184" s="30">
        <f t="shared" si="133"/>
        <v>156.93133333333333</v>
      </c>
    </row>
    <row r="7185" spans="1:7" hidden="1" x14ac:dyDescent="0.25">
      <c r="A7185" s="28">
        <v>44136</v>
      </c>
      <c r="B7185" s="27" t="s">
        <v>200</v>
      </c>
      <c r="C7185" s="27" t="s">
        <v>56</v>
      </c>
      <c r="D7185" s="27" t="s">
        <v>6</v>
      </c>
      <c r="E7185" s="27" t="s">
        <v>8</v>
      </c>
      <c r="F7185" s="29"/>
      <c r="G7185" s="30">
        <f t="shared" ref="G7185:G7202" si="134">43151.7097777777/18</f>
        <v>2397.317209876539</v>
      </c>
    </row>
    <row r="7186" spans="1:7" hidden="1" x14ac:dyDescent="0.25">
      <c r="A7186" s="28">
        <v>44136</v>
      </c>
      <c r="B7186" s="27" t="s">
        <v>200</v>
      </c>
      <c r="C7186" s="27" t="s">
        <v>56</v>
      </c>
      <c r="D7186" s="27" t="s">
        <v>6</v>
      </c>
      <c r="E7186" s="27" t="s">
        <v>9</v>
      </c>
      <c r="F7186" s="29"/>
      <c r="G7186" s="30">
        <f t="shared" si="134"/>
        <v>2397.317209876539</v>
      </c>
    </row>
    <row r="7187" spans="1:7" hidden="1" x14ac:dyDescent="0.25">
      <c r="A7187" s="28">
        <v>44136</v>
      </c>
      <c r="B7187" s="27" t="s">
        <v>200</v>
      </c>
      <c r="C7187" s="27" t="s">
        <v>56</v>
      </c>
      <c r="D7187" s="27" t="s">
        <v>6</v>
      </c>
      <c r="E7187" s="27" t="s">
        <v>22</v>
      </c>
      <c r="F7187" s="29"/>
      <c r="G7187" s="30">
        <f t="shared" si="134"/>
        <v>2397.317209876539</v>
      </c>
    </row>
    <row r="7188" spans="1:7" hidden="1" x14ac:dyDescent="0.25">
      <c r="A7188" s="28">
        <v>44136</v>
      </c>
      <c r="B7188" s="27" t="s">
        <v>200</v>
      </c>
      <c r="C7188" s="27" t="s">
        <v>56</v>
      </c>
      <c r="D7188" s="27" t="s">
        <v>6</v>
      </c>
      <c r="E7188" s="27" t="s">
        <v>64</v>
      </c>
      <c r="F7188" s="29"/>
      <c r="G7188" s="30">
        <f t="shared" si="134"/>
        <v>2397.317209876539</v>
      </c>
    </row>
    <row r="7189" spans="1:7" hidden="1" x14ac:dyDescent="0.25">
      <c r="A7189" s="28">
        <v>44136</v>
      </c>
      <c r="B7189" s="27" t="s">
        <v>200</v>
      </c>
      <c r="C7189" s="27" t="s">
        <v>56</v>
      </c>
      <c r="D7189" s="27" t="s">
        <v>6</v>
      </c>
      <c r="E7189" s="27" t="s">
        <v>21</v>
      </c>
      <c r="F7189" s="29"/>
      <c r="G7189" s="30">
        <f t="shared" si="134"/>
        <v>2397.317209876539</v>
      </c>
    </row>
    <row r="7190" spans="1:7" hidden="1" x14ac:dyDescent="0.25">
      <c r="A7190" s="28">
        <v>44136</v>
      </c>
      <c r="B7190" s="27" t="s">
        <v>200</v>
      </c>
      <c r="C7190" s="27" t="s">
        <v>56</v>
      </c>
      <c r="D7190" s="27" t="s">
        <v>6</v>
      </c>
      <c r="E7190" s="27" t="s">
        <v>10</v>
      </c>
      <c r="F7190" s="29"/>
      <c r="G7190" s="30">
        <f t="shared" si="134"/>
        <v>2397.317209876539</v>
      </c>
    </row>
    <row r="7191" spans="1:7" hidden="1" x14ac:dyDescent="0.25">
      <c r="A7191" s="28">
        <v>44136</v>
      </c>
      <c r="B7191" s="27" t="s">
        <v>200</v>
      </c>
      <c r="C7191" s="27" t="s">
        <v>56</v>
      </c>
      <c r="D7191" s="27" t="s">
        <v>6</v>
      </c>
      <c r="E7191" s="27" t="s">
        <v>11</v>
      </c>
      <c r="F7191" s="29"/>
      <c r="G7191" s="30">
        <f t="shared" si="134"/>
        <v>2397.317209876539</v>
      </c>
    </row>
    <row r="7192" spans="1:7" hidden="1" x14ac:dyDescent="0.25">
      <c r="A7192" s="28">
        <v>44136</v>
      </c>
      <c r="B7192" s="27" t="s">
        <v>200</v>
      </c>
      <c r="C7192" s="27" t="s">
        <v>56</v>
      </c>
      <c r="D7192" s="27" t="s">
        <v>6</v>
      </c>
      <c r="E7192" s="27" t="s">
        <v>12</v>
      </c>
      <c r="F7192" s="29"/>
      <c r="G7192" s="30">
        <f t="shared" si="134"/>
        <v>2397.317209876539</v>
      </c>
    </row>
    <row r="7193" spans="1:7" hidden="1" x14ac:dyDescent="0.25">
      <c r="A7193" s="28">
        <v>44136</v>
      </c>
      <c r="B7193" s="27" t="s">
        <v>200</v>
      </c>
      <c r="C7193" s="27" t="s">
        <v>56</v>
      </c>
      <c r="D7193" s="27" t="s">
        <v>6</v>
      </c>
      <c r="E7193" s="27" t="s">
        <v>13</v>
      </c>
      <c r="F7193" s="29"/>
      <c r="G7193" s="30">
        <f t="shared" si="134"/>
        <v>2397.317209876539</v>
      </c>
    </row>
    <row r="7194" spans="1:7" hidden="1" x14ac:dyDescent="0.25">
      <c r="A7194" s="28">
        <v>44136</v>
      </c>
      <c r="B7194" s="27" t="s">
        <v>200</v>
      </c>
      <c r="C7194" s="27" t="s">
        <v>56</v>
      </c>
      <c r="D7194" s="27" t="s">
        <v>6</v>
      </c>
      <c r="E7194" s="27" t="s">
        <v>14</v>
      </c>
      <c r="F7194" s="29"/>
      <c r="G7194" s="30">
        <f t="shared" si="134"/>
        <v>2397.317209876539</v>
      </c>
    </row>
    <row r="7195" spans="1:7" hidden="1" x14ac:dyDescent="0.25">
      <c r="A7195" s="28">
        <v>44136</v>
      </c>
      <c r="B7195" s="27" t="s">
        <v>200</v>
      </c>
      <c r="C7195" s="27" t="s">
        <v>56</v>
      </c>
      <c r="D7195" s="27" t="s">
        <v>6</v>
      </c>
      <c r="E7195" s="27" t="s">
        <v>15</v>
      </c>
      <c r="F7195" s="29"/>
      <c r="G7195" s="30">
        <f t="shared" si="134"/>
        <v>2397.317209876539</v>
      </c>
    </row>
    <row r="7196" spans="1:7" hidden="1" x14ac:dyDescent="0.25">
      <c r="A7196" s="28">
        <v>44136</v>
      </c>
      <c r="B7196" s="27" t="s">
        <v>200</v>
      </c>
      <c r="C7196" s="27" t="s">
        <v>56</v>
      </c>
      <c r="D7196" s="27" t="s">
        <v>6</v>
      </c>
      <c r="E7196" s="27" t="s">
        <v>16</v>
      </c>
      <c r="F7196" s="29"/>
      <c r="G7196" s="30">
        <f t="shared" si="134"/>
        <v>2397.317209876539</v>
      </c>
    </row>
    <row r="7197" spans="1:7" hidden="1" x14ac:dyDescent="0.25">
      <c r="A7197" s="28">
        <v>44136</v>
      </c>
      <c r="B7197" s="27" t="s">
        <v>200</v>
      </c>
      <c r="C7197" s="27" t="s">
        <v>56</v>
      </c>
      <c r="D7197" s="27" t="s">
        <v>6</v>
      </c>
      <c r="E7197" s="27" t="s">
        <v>17</v>
      </c>
      <c r="F7197" s="29"/>
      <c r="G7197" s="30">
        <f t="shared" si="134"/>
        <v>2397.317209876539</v>
      </c>
    </row>
    <row r="7198" spans="1:7" hidden="1" x14ac:dyDescent="0.25">
      <c r="A7198" s="28">
        <v>44136</v>
      </c>
      <c r="B7198" s="27" t="s">
        <v>200</v>
      </c>
      <c r="C7198" s="27" t="s">
        <v>56</v>
      </c>
      <c r="D7198" s="27" t="s">
        <v>6</v>
      </c>
      <c r="E7198" s="27" t="s">
        <v>18</v>
      </c>
      <c r="F7198" s="29"/>
      <c r="G7198" s="30">
        <f t="shared" si="134"/>
        <v>2397.317209876539</v>
      </c>
    </row>
    <row r="7199" spans="1:7" hidden="1" x14ac:dyDescent="0.25">
      <c r="A7199" s="28">
        <v>44136</v>
      </c>
      <c r="B7199" s="27" t="s">
        <v>200</v>
      </c>
      <c r="C7199" s="27" t="s">
        <v>56</v>
      </c>
      <c r="D7199" s="27" t="s">
        <v>6</v>
      </c>
      <c r="E7199" s="27" t="s">
        <v>19</v>
      </c>
      <c r="F7199" s="29"/>
      <c r="G7199" s="30">
        <f t="shared" si="134"/>
        <v>2397.317209876539</v>
      </c>
    </row>
    <row r="7200" spans="1:7" hidden="1" x14ac:dyDescent="0.25">
      <c r="A7200" s="28">
        <v>44136</v>
      </c>
      <c r="B7200" s="27" t="s">
        <v>200</v>
      </c>
      <c r="C7200" s="27" t="s">
        <v>56</v>
      </c>
      <c r="D7200" s="27" t="s">
        <v>6</v>
      </c>
      <c r="E7200" s="27" t="s">
        <v>20</v>
      </c>
      <c r="F7200" s="29"/>
      <c r="G7200" s="30">
        <f t="shared" si="134"/>
        <v>2397.317209876539</v>
      </c>
    </row>
    <row r="7201" spans="1:7" hidden="1" x14ac:dyDescent="0.25">
      <c r="A7201" s="28">
        <v>44136</v>
      </c>
      <c r="B7201" s="27" t="s">
        <v>200</v>
      </c>
      <c r="C7201" s="27" t="s">
        <v>56</v>
      </c>
      <c r="D7201" s="27" t="s">
        <v>6</v>
      </c>
      <c r="E7201" s="27" t="s">
        <v>38</v>
      </c>
      <c r="F7201" s="29"/>
      <c r="G7201" s="30">
        <f t="shared" si="134"/>
        <v>2397.317209876539</v>
      </c>
    </row>
    <row r="7202" spans="1:7" hidden="1" x14ac:dyDescent="0.25">
      <c r="A7202" s="28">
        <v>44136</v>
      </c>
      <c r="B7202" s="27" t="s">
        <v>200</v>
      </c>
      <c r="C7202" s="27" t="s">
        <v>56</v>
      </c>
      <c r="D7202" s="27" t="s">
        <v>6</v>
      </c>
      <c r="E7202" s="27" t="s">
        <v>23</v>
      </c>
      <c r="F7202" s="29"/>
      <c r="G7202" s="30">
        <f t="shared" si="134"/>
        <v>2397.317209876539</v>
      </c>
    </row>
    <row r="7203" spans="1:7" hidden="1" x14ac:dyDescent="0.25">
      <c r="A7203" s="28">
        <v>44136</v>
      </c>
      <c r="B7203" s="27" t="s">
        <v>200</v>
      </c>
      <c r="C7203" s="27" t="s">
        <v>182</v>
      </c>
      <c r="D7203" s="27" t="s">
        <v>7</v>
      </c>
      <c r="E7203" s="27" t="s">
        <v>9</v>
      </c>
      <c r="F7203" s="29"/>
      <c r="G7203" s="30">
        <f t="shared" ref="G7203:G7217" si="135">2885.96/15</f>
        <v>192.39733333333334</v>
      </c>
    </row>
    <row r="7204" spans="1:7" hidden="1" x14ac:dyDescent="0.25">
      <c r="A7204" s="28">
        <v>44136</v>
      </c>
      <c r="B7204" s="27" t="s">
        <v>200</v>
      </c>
      <c r="C7204" s="27" t="s">
        <v>182</v>
      </c>
      <c r="D7204" s="27" t="s">
        <v>7</v>
      </c>
      <c r="E7204" s="27" t="s">
        <v>22</v>
      </c>
      <c r="F7204" s="29"/>
      <c r="G7204" s="30">
        <f t="shared" si="135"/>
        <v>192.39733333333334</v>
      </c>
    </row>
    <row r="7205" spans="1:7" hidden="1" x14ac:dyDescent="0.25">
      <c r="A7205" s="28">
        <v>44136</v>
      </c>
      <c r="B7205" s="27" t="s">
        <v>200</v>
      </c>
      <c r="C7205" s="27" t="s">
        <v>182</v>
      </c>
      <c r="D7205" s="27" t="s">
        <v>7</v>
      </c>
      <c r="E7205" s="27" t="s">
        <v>21</v>
      </c>
      <c r="F7205" s="29"/>
      <c r="G7205" s="30">
        <f t="shared" si="135"/>
        <v>192.39733333333334</v>
      </c>
    </row>
    <row r="7206" spans="1:7" hidden="1" x14ac:dyDescent="0.25">
      <c r="A7206" s="28">
        <v>44136</v>
      </c>
      <c r="B7206" s="27" t="s">
        <v>200</v>
      </c>
      <c r="C7206" s="27" t="s">
        <v>182</v>
      </c>
      <c r="D7206" s="27" t="s">
        <v>7</v>
      </c>
      <c r="E7206" s="27" t="s">
        <v>10</v>
      </c>
      <c r="F7206" s="29"/>
      <c r="G7206" s="30">
        <f t="shared" si="135"/>
        <v>192.39733333333334</v>
      </c>
    </row>
    <row r="7207" spans="1:7" hidden="1" x14ac:dyDescent="0.25">
      <c r="A7207" s="28">
        <v>44136</v>
      </c>
      <c r="B7207" s="27" t="s">
        <v>200</v>
      </c>
      <c r="C7207" s="27" t="s">
        <v>182</v>
      </c>
      <c r="D7207" s="27" t="s">
        <v>7</v>
      </c>
      <c r="E7207" s="27" t="s">
        <v>11</v>
      </c>
      <c r="F7207" s="29"/>
      <c r="G7207" s="30">
        <f t="shared" si="135"/>
        <v>192.39733333333334</v>
      </c>
    </row>
    <row r="7208" spans="1:7" hidden="1" x14ac:dyDescent="0.25">
      <c r="A7208" s="28">
        <v>44136</v>
      </c>
      <c r="B7208" s="27" t="s">
        <v>200</v>
      </c>
      <c r="C7208" s="27" t="s">
        <v>182</v>
      </c>
      <c r="D7208" s="27" t="s">
        <v>7</v>
      </c>
      <c r="E7208" s="27" t="s">
        <v>12</v>
      </c>
      <c r="F7208" s="29"/>
      <c r="G7208" s="30">
        <f t="shared" si="135"/>
        <v>192.39733333333334</v>
      </c>
    </row>
    <row r="7209" spans="1:7" hidden="1" x14ac:dyDescent="0.25">
      <c r="A7209" s="28">
        <v>44136</v>
      </c>
      <c r="B7209" s="27" t="s">
        <v>200</v>
      </c>
      <c r="C7209" s="27" t="s">
        <v>182</v>
      </c>
      <c r="D7209" s="27" t="s">
        <v>7</v>
      </c>
      <c r="E7209" s="27" t="s">
        <v>13</v>
      </c>
      <c r="F7209" s="29"/>
      <c r="G7209" s="30">
        <f t="shared" si="135"/>
        <v>192.39733333333334</v>
      </c>
    </row>
    <row r="7210" spans="1:7" hidden="1" x14ac:dyDescent="0.25">
      <c r="A7210" s="28">
        <v>44136</v>
      </c>
      <c r="B7210" s="27" t="s">
        <v>200</v>
      </c>
      <c r="C7210" s="27" t="s">
        <v>182</v>
      </c>
      <c r="D7210" s="27" t="s">
        <v>7</v>
      </c>
      <c r="E7210" s="27" t="s">
        <v>14</v>
      </c>
      <c r="F7210" s="29"/>
      <c r="G7210" s="30">
        <f t="shared" si="135"/>
        <v>192.39733333333334</v>
      </c>
    </row>
    <row r="7211" spans="1:7" hidden="1" x14ac:dyDescent="0.25">
      <c r="A7211" s="28">
        <v>44136</v>
      </c>
      <c r="B7211" s="27" t="s">
        <v>200</v>
      </c>
      <c r="C7211" s="27" t="s">
        <v>182</v>
      </c>
      <c r="D7211" s="27" t="s">
        <v>7</v>
      </c>
      <c r="E7211" s="27" t="s">
        <v>15</v>
      </c>
      <c r="F7211" s="29"/>
      <c r="G7211" s="30">
        <f t="shared" si="135"/>
        <v>192.39733333333334</v>
      </c>
    </row>
    <row r="7212" spans="1:7" hidden="1" x14ac:dyDescent="0.25">
      <c r="A7212" s="28">
        <v>44136</v>
      </c>
      <c r="B7212" s="27" t="s">
        <v>200</v>
      </c>
      <c r="C7212" s="27" t="s">
        <v>182</v>
      </c>
      <c r="D7212" s="27" t="s">
        <v>7</v>
      </c>
      <c r="E7212" s="27" t="s">
        <v>16</v>
      </c>
      <c r="F7212" s="29"/>
      <c r="G7212" s="30">
        <f t="shared" si="135"/>
        <v>192.39733333333334</v>
      </c>
    </row>
    <row r="7213" spans="1:7" hidden="1" x14ac:dyDescent="0.25">
      <c r="A7213" s="28">
        <v>44136</v>
      </c>
      <c r="B7213" s="27" t="s">
        <v>200</v>
      </c>
      <c r="C7213" s="27" t="s">
        <v>182</v>
      </c>
      <c r="D7213" s="27" t="s">
        <v>7</v>
      </c>
      <c r="E7213" s="27" t="s">
        <v>17</v>
      </c>
      <c r="F7213" s="29"/>
      <c r="G7213" s="30">
        <f t="shared" si="135"/>
        <v>192.39733333333334</v>
      </c>
    </row>
    <row r="7214" spans="1:7" hidden="1" x14ac:dyDescent="0.25">
      <c r="A7214" s="28">
        <v>44136</v>
      </c>
      <c r="B7214" s="27" t="s">
        <v>200</v>
      </c>
      <c r="C7214" s="27" t="s">
        <v>182</v>
      </c>
      <c r="D7214" s="27" t="s">
        <v>7</v>
      </c>
      <c r="E7214" s="27" t="s">
        <v>18</v>
      </c>
      <c r="F7214" s="29"/>
      <c r="G7214" s="30">
        <f t="shared" si="135"/>
        <v>192.39733333333334</v>
      </c>
    </row>
    <row r="7215" spans="1:7" hidden="1" x14ac:dyDescent="0.25">
      <c r="A7215" s="28">
        <v>44136</v>
      </c>
      <c r="B7215" s="27" t="s">
        <v>200</v>
      </c>
      <c r="C7215" s="27" t="s">
        <v>182</v>
      </c>
      <c r="D7215" s="27" t="s">
        <v>7</v>
      </c>
      <c r="E7215" s="27" t="s">
        <v>19</v>
      </c>
      <c r="F7215" s="29"/>
      <c r="G7215" s="30">
        <f t="shared" si="135"/>
        <v>192.39733333333334</v>
      </c>
    </row>
    <row r="7216" spans="1:7" hidden="1" x14ac:dyDescent="0.25">
      <c r="A7216" s="28">
        <v>44136</v>
      </c>
      <c r="B7216" s="27" t="s">
        <v>200</v>
      </c>
      <c r="C7216" s="27" t="s">
        <v>182</v>
      </c>
      <c r="D7216" s="27" t="s">
        <v>7</v>
      </c>
      <c r="E7216" s="27" t="s">
        <v>20</v>
      </c>
      <c r="F7216" s="29"/>
      <c r="G7216" s="30">
        <f t="shared" si="135"/>
        <v>192.39733333333334</v>
      </c>
    </row>
    <row r="7217" spans="1:7" hidden="1" x14ac:dyDescent="0.25">
      <c r="A7217" s="28">
        <v>44136</v>
      </c>
      <c r="B7217" s="27" t="s">
        <v>200</v>
      </c>
      <c r="C7217" s="27" t="s">
        <v>182</v>
      </c>
      <c r="D7217" s="27" t="s">
        <v>7</v>
      </c>
      <c r="E7217" s="27" t="s">
        <v>23</v>
      </c>
      <c r="F7217" s="29"/>
      <c r="G7217" s="30">
        <f t="shared" si="135"/>
        <v>192.39733333333334</v>
      </c>
    </row>
    <row r="7218" spans="1:7" hidden="1" x14ac:dyDescent="0.25">
      <c r="A7218" s="28">
        <v>44136</v>
      </c>
      <c r="B7218" s="27" t="s">
        <v>35</v>
      </c>
      <c r="C7218" s="27" t="s">
        <v>50</v>
      </c>
      <c r="D7218" s="27" t="s">
        <v>6</v>
      </c>
      <c r="E7218" s="27" t="s">
        <v>8</v>
      </c>
      <c r="F7218" s="29"/>
      <c r="G7218" s="30">
        <v>751.59666666666669</v>
      </c>
    </row>
    <row r="7219" spans="1:7" hidden="1" x14ac:dyDescent="0.25">
      <c r="A7219" s="28">
        <v>44136</v>
      </c>
      <c r="B7219" s="27" t="s">
        <v>35</v>
      </c>
      <c r="C7219" s="27" t="s">
        <v>50</v>
      </c>
      <c r="D7219" s="27" t="s">
        <v>6</v>
      </c>
      <c r="E7219" s="27" t="s">
        <v>9</v>
      </c>
      <c r="F7219" s="29"/>
      <c r="G7219" s="30">
        <v>751.59666666666669</v>
      </c>
    </row>
    <row r="7220" spans="1:7" hidden="1" x14ac:dyDescent="0.25">
      <c r="A7220" s="28">
        <v>44136</v>
      </c>
      <c r="B7220" s="27" t="s">
        <v>35</v>
      </c>
      <c r="C7220" s="27" t="s">
        <v>50</v>
      </c>
      <c r="D7220" s="27" t="s">
        <v>6</v>
      </c>
      <c r="E7220" s="27" t="s">
        <v>22</v>
      </c>
      <c r="F7220" s="29"/>
      <c r="G7220" s="30">
        <v>751.59666666666669</v>
      </c>
    </row>
    <row r="7221" spans="1:7" hidden="1" x14ac:dyDescent="0.25">
      <c r="A7221" s="28">
        <v>44136</v>
      </c>
      <c r="B7221" s="27" t="s">
        <v>35</v>
      </c>
      <c r="C7221" s="27" t="s">
        <v>50</v>
      </c>
      <c r="D7221" s="27" t="s">
        <v>6</v>
      </c>
      <c r="E7221" s="27" t="s">
        <v>64</v>
      </c>
      <c r="F7221" s="29"/>
      <c r="G7221" s="30">
        <v>751.59666666666669</v>
      </c>
    </row>
    <row r="7222" spans="1:7" hidden="1" x14ac:dyDescent="0.25">
      <c r="A7222" s="28">
        <v>44136</v>
      </c>
      <c r="B7222" s="27" t="s">
        <v>35</v>
      </c>
      <c r="C7222" s="27" t="s">
        <v>50</v>
      </c>
      <c r="D7222" s="27" t="s">
        <v>6</v>
      </c>
      <c r="E7222" s="27" t="s">
        <v>21</v>
      </c>
      <c r="F7222" s="29"/>
      <c r="G7222" s="30">
        <v>751.59666666666669</v>
      </c>
    </row>
    <row r="7223" spans="1:7" hidden="1" x14ac:dyDescent="0.25">
      <c r="A7223" s="28">
        <v>44136</v>
      </c>
      <c r="B7223" s="27" t="s">
        <v>35</v>
      </c>
      <c r="C7223" s="27" t="s">
        <v>50</v>
      </c>
      <c r="D7223" s="27" t="s">
        <v>6</v>
      </c>
      <c r="E7223" s="27" t="s">
        <v>10</v>
      </c>
      <c r="F7223" s="29"/>
      <c r="G7223" s="30">
        <v>751.59666666666669</v>
      </c>
    </row>
    <row r="7224" spans="1:7" hidden="1" x14ac:dyDescent="0.25">
      <c r="A7224" s="28">
        <v>44136</v>
      </c>
      <c r="B7224" s="27" t="s">
        <v>35</v>
      </c>
      <c r="C7224" s="27" t="s">
        <v>50</v>
      </c>
      <c r="D7224" s="27" t="s">
        <v>6</v>
      </c>
      <c r="E7224" s="27" t="s">
        <v>11</v>
      </c>
      <c r="F7224" s="29"/>
      <c r="G7224" s="30">
        <v>751.59666666666669</v>
      </c>
    </row>
    <row r="7225" spans="1:7" hidden="1" x14ac:dyDescent="0.25">
      <c r="A7225" s="28">
        <v>44136</v>
      </c>
      <c r="B7225" s="27" t="s">
        <v>35</v>
      </c>
      <c r="C7225" s="27" t="s">
        <v>50</v>
      </c>
      <c r="D7225" s="27" t="s">
        <v>6</v>
      </c>
      <c r="E7225" s="27" t="s">
        <v>12</v>
      </c>
      <c r="F7225" s="29"/>
      <c r="G7225" s="30">
        <v>751.59666666666669</v>
      </c>
    </row>
    <row r="7226" spans="1:7" hidden="1" x14ac:dyDescent="0.25">
      <c r="A7226" s="28">
        <v>44136</v>
      </c>
      <c r="B7226" s="27" t="s">
        <v>35</v>
      </c>
      <c r="C7226" s="27" t="s">
        <v>50</v>
      </c>
      <c r="D7226" s="27" t="s">
        <v>6</v>
      </c>
      <c r="E7226" s="27" t="s">
        <v>13</v>
      </c>
      <c r="F7226" s="29"/>
      <c r="G7226" s="30">
        <v>751.59666666666669</v>
      </c>
    </row>
    <row r="7227" spans="1:7" hidden="1" x14ac:dyDescent="0.25">
      <c r="A7227" s="28">
        <v>44136</v>
      </c>
      <c r="B7227" s="27" t="s">
        <v>35</v>
      </c>
      <c r="C7227" s="27" t="s">
        <v>50</v>
      </c>
      <c r="D7227" s="27" t="s">
        <v>6</v>
      </c>
      <c r="E7227" s="27" t="s">
        <v>14</v>
      </c>
      <c r="F7227" s="29"/>
      <c r="G7227" s="30">
        <v>751.59666666666669</v>
      </c>
    </row>
    <row r="7228" spans="1:7" hidden="1" x14ac:dyDescent="0.25">
      <c r="A7228" s="28">
        <v>44136</v>
      </c>
      <c r="B7228" s="27" t="s">
        <v>35</v>
      </c>
      <c r="C7228" s="27" t="s">
        <v>50</v>
      </c>
      <c r="D7228" s="27" t="s">
        <v>6</v>
      </c>
      <c r="E7228" s="27" t="s">
        <v>15</v>
      </c>
      <c r="F7228" s="29"/>
      <c r="G7228" s="30">
        <v>751.59666666666669</v>
      </c>
    </row>
    <row r="7229" spans="1:7" hidden="1" x14ac:dyDescent="0.25">
      <c r="A7229" s="28">
        <v>44136</v>
      </c>
      <c r="B7229" s="27" t="s">
        <v>35</v>
      </c>
      <c r="C7229" s="27" t="s">
        <v>50</v>
      </c>
      <c r="D7229" s="27" t="s">
        <v>6</v>
      </c>
      <c r="E7229" s="27" t="s">
        <v>16</v>
      </c>
      <c r="F7229" s="29"/>
      <c r="G7229" s="30">
        <v>751.59666666666669</v>
      </c>
    </row>
    <row r="7230" spans="1:7" hidden="1" x14ac:dyDescent="0.25">
      <c r="A7230" s="28">
        <v>44136</v>
      </c>
      <c r="B7230" s="27" t="s">
        <v>35</v>
      </c>
      <c r="C7230" s="27" t="s">
        <v>50</v>
      </c>
      <c r="D7230" s="27" t="s">
        <v>6</v>
      </c>
      <c r="E7230" s="27" t="s">
        <v>17</v>
      </c>
      <c r="F7230" s="29"/>
      <c r="G7230" s="30">
        <v>751.59666666666669</v>
      </c>
    </row>
    <row r="7231" spans="1:7" hidden="1" x14ac:dyDescent="0.25">
      <c r="A7231" s="28">
        <v>44136</v>
      </c>
      <c r="B7231" s="27" t="s">
        <v>35</v>
      </c>
      <c r="C7231" s="27" t="s">
        <v>50</v>
      </c>
      <c r="D7231" s="27" t="s">
        <v>6</v>
      </c>
      <c r="E7231" s="27" t="s">
        <v>18</v>
      </c>
      <c r="F7231" s="29"/>
      <c r="G7231" s="30">
        <v>751.59666666666669</v>
      </c>
    </row>
    <row r="7232" spans="1:7" hidden="1" x14ac:dyDescent="0.25">
      <c r="A7232" s="28">
        <v>44136</v>
      </c>
      <c r="B7232" s="27" t="s">
        <v>35</v>
      </c>
      <c r="C7232" s="27" t="s">
        <v>50</v>
      </c>
      <c r="D7232" s="27" t="s">
        <v>6</v>
      </c>
      <c r="E7232" s="27" t="s">
        <v>19</v>
      </c>
      <c r="F7232" s="29"/>
      <c r="G7232" s="30">
        <v>751.59666666666669</v>
      </c>
    </row>
    <row r="7233" spans="1:7" hidden="1" x14ac:dyDescent="0.25">
      <c r="A7233" s="28">
        <v>44136</v>
      </c>
      <c r="B7233" s="27" t="s">
        <v>35</v>
      </c>
      <c r="C7233" s="27" t="s">
        <v>50</v>
      </c>
      <c r="D7233" s="27" t="s">
        <v>6</v>
      </c>
      <c r="E7233" s="27" t="s">
        <v>20</v>
      </c>
      <c r="F7233" s="29"/>
      <c r="G7233" s="30">
        <v>751.59666666666669</v>
      </c>
    </row>
    <row r="7234" spans="1:7" hidden="1" x14ac:dyDescent="0.25">
      <c r="A7234" s="28">
        <v>44136</v>
      </c>
      <c r="B7234" s="27" t="s">
        <v>35</v>
      </c>
      <c r="C7234" s="27" t="s">
        <v>50</v>
      </c>
      <c r="D7234" s="27" t="s">
        <v>6</v>
      </c>
      <c r="E7234" s="27" t="s">
        <v>38</v>
      </c>
      <c r="F7234" s="29"/>
      <c r="G7234" s="30">
        <v>751.59666666666669</v>
      </c>
    </row>
    <row r="7235" spans="1:7" hidden="1" x14ac:dyDescent="0.25">
      <c r="A7235" s="28">
        <v>44136</v>
      </c>
      <c r="B7235" s="27" t="s">
        <v>35</v>
      </c>
      <c r="C7235" s="27" t="s">
        <v>50</v>
      </c>
      <c r="D7235" s="27" t="s">
        <v>6</v>
      </c>
      <c r="E7235" s="27" t="s">
        <v>23</v>
      </c>
      <c r="F7235" s="29"/>
      <c r="G7235" s="30">
        <v>751.59666666666669</v>
      </c>
    </row>
    <row r="7236" spans="1:7" hidden="1" x14ac:dyDescent="0.25">
      <c r="A7236" s="28">
        <v>44136</v>
      </c>
      <c r="B7236" s="27" t="s">
        <v>34</v>
      </c>
      <c r="C7236" s="27" t="s">
        <v>50</v>
      </c>
      <c r="D7236" s="27" t="s">
        <v>6</v>
      </c>
      <c r="E7236" s="27" t="s">
        <v>8</v>
      </c>
      <c r="F7236" s="29"/>
      <c r="G7236" s="30">
        <v>730.85299999999995</v>
      </c>
    </row>
    <row r="7237" spans="1:7" hidden="1" x14ac:dyDescent="0.25">
      <c r="A7237" s="28">
        <v>44136</v>
      </c>
      <c r="B7237" s="27" t="s">
        <v>34</v>
      </c>
      <c r="C7237" s="27" t="s">
        <v>50</v>
      </c>
      <c r="D7237" s="27" t="s">
        <v>6</v>
      </c>
      <c r="E7237" s="27" t="s">
        <v>9</v>
      </c>
      <c r="F7237" s="29"/>
      <c r="G7237" s="30">
        <v>809.49900000000002</v>
      </c>
    </row>
    <row r="7238" spans="1:7" hidden="1" x14ac:dyDescent="0.25">
      <c r="A7238" s="28">
        <v>44136</v>
      </c>
      <c r="B7238" s="27" t="s">
        <v>34</v>
      </c>
      <c r="C7238" s="27" t="s">
        <v>50</v>
      </c>
      <c r="D7238" s="27" t="s">
        <v>6</v>
      </c>
      <c r="E7238" s="27" t="s">
        <v>22</v>
      </c>
      <c r="F7238" s="29"/>
      <c r="G7238" s="30">
        <v>1078.788</v>
      </c>
    </row>
    <row r="7239" spans="1:7" hidden="1" x14ac:dyDescent="0.25">
      <c r="A7239" s="28">
        <v>44136</v>
      </c>
      <c r="B7239" s="27" t="s">
        <v>34</v>
      </c>
      <c r="C7239" s="27" t="s">
        <v>50</v>
      </c>
      <c r="D7239" s="27" t="s">
        <v>6</v>
      </c>
      <c r="E7239" s="27" t="s">
        <v>64</v>
      </c>
      <c r="F7239" s="29"/>
      <c r="G7239" s="30">
        <v>770.21699999999998</v>
      </c>
    </row>
    <row r="7240" spans="1:7" hidden="1" x14ac:dyDescent="0.25">
      <c r="A7240" s="28">
        <v>44136</v>
      </c>
      <c r="B7240" s="27" t="s">
        <v>34</v>
      </c>
      <c r="C7240" s="27" t="s">
        <v>50</v>
      </c>
      <c r="D7240" s="27" t="s">
        <v>6</v>
      </c>
      <c r="E7240" s="27" t="s">
        <v>21</v>
      </c>
      <c r="F7240" s="29"/>
      <c r="G7240" s="30">
        <v>777.58799999999997</v>
      </c>
    </row>
    <row r="7241" spans="1:7" hidden="1" x14ac:dyDescent="0.25">
      <c r="A7241" s="28">
        <v>44136</v>
      </c>
      <c r="B7241" s="27" t="s">
        <v>34</v>
      </c>
      <c r="C7241" s="27" t="s">
        <v>50</v>
      </c>
      <c r="D7241" s="27" t="s">
        <v>6</v>
      </c>
      <c r="E7241" s="27" t="s">
        <v>10</v>
      </c>
      <c r="F7241" s="29"/>
      <c r="G7241" s="30">
        <v>1036.6759999999999</v>
      </c>
    </row>
    <row r="7242" spans="1:7" hidden="1" x14ac:dyDescent="0.25">
      <c r="A7242" s="28">
        <v>44136</v>
      </c>
      <c r="B7242" s="27" t="s">
        <v>34</v>
      </c>
      <c r="C7242" s="27" t="s">
        <v>50</v>
      </c>
      <c r="D7242" s="27" t="s">
        <v>6</v>
      </c>
      <c r="E7242" s="27" t="s">
        <v>11</v>
      </c>
      <c r="F7242" s="29"/>
      <c r="G7242" s="30">
        <v>414.69799999999998</v>
      </c>
    </row>
    <row r="7243" spans="1:7" hidden="1" x14ac:dyDescent="0.25">
      <c r="A7243" s="28">
        <v>44136</v>
      </c>
      <c r="B7243" s="27" t="s">
        <v>34</v>
      </c>
      <c r="C7243" s="27" t="s">
        <v>50</v>
      </c>
      <c r="D7243" s="27" t="s">
        <v>6</v>
      </c>
      <c r="E7243" s="27" t="s">
        <v>12</v>
      </c>
      <c r="F7243" s="29"/>
      <c r="G7243" s="30">
        <v>455.96400000000006</v>
      </c>
    </row>
    <row r="7244" spans="1:7" hidden="1" x14ac:dyDescent="0.25">
      <c r="A7244" s="28">
        <v>44136</v>
      </c>
      <c r="B7244" s="27" t="s">
        <v>34</v>
      </c>
      <c r="C7244" s="27" t="s">
        <v>50</v>
      </c>
      <c r="D7244" s="27" t="s">
        <v>6</v>
      </c>
      <c r="E7244" s="27" t="s">
        <v>13</v>
      </c>
      <c r="F7244" s="29"/>
      <c r="G7244" s="30">
        <v>661.88400000000001</v>
      </c>
    </row>
    <row r="7245" spans="1:7" hidden="1" x14ac:dyDescent="0.25">
      <c r="A7245" s="28">
        <v>44136</v>
      </c>
      <c r="B7245" s="27" t="s">
        <v>34</v>
      </c>
      <c r="C7245" s="27" t="s">
        <v>50</v>
      </c>
      <c r="D7245" s="27" t="s">
        <v>6</v>
      </c>
      <c r="E7245" s="27" t="s">
        <v>14</v>
      </c>
      <c r="F7245" s="29"/>
      <c r="G7245" s="30">
        <v>191.779</v>
      </c>
    </row>
    <row r="7246" spans="1:7" hidden="1" x14ac:dyDescent="0.25">
      <c r="A7246" s="28">
        <v>44136</v>
      </c>
      <c r="B7246" s="27" t="s">
        <v>34</v>
      </c>
      <c r="C7246" s="27" t="s">
        <v>50</v>
      </c>
      <c r="D7246" s="27" t="s">
        <v>6</v>
      </c>
      <c r="E7246" s="27" t="s">
        <v>15</v>
      </c>
      <c r="F7246" s="29"/>
      <c r="G7246" s="30">
        <v>526.94200000000001</v>
      </c>
    </row>
    <row r="7247" spans="1:7" hidden="1" x14ac:dyDescent="0.25">
      <c r="A7247" s="28">
        <v>44136</v>
      </c>
      <c r="B7247" s="27" t="s">
        <v>34</v>
      </c>
      <c r="C7247" s="27" t="s">
        <v>50</v>
      </c>
      <c r="D7247" s="27" t="s">
        <v>6</v>
      </c>
      <c r="E7247" s="27" t="s">
        <v>16</v>
      </c>
      <c r="F7247" s="29"/>
      <c r="G7247" s="30">
        <v>651.45799999999997</v>
      </c>
    </row>
    <row r="7248" spans="1:7" hidden="1" x14ac:dyDescent="0.25">
      <c r="A7248" s="28">
        <v>44136</v>
      </c>
      <c r="B7248" s="27" t="s">
        <v>34</v>
      </c>
      <c r="C7248" s="27" t="s">
        <v>50</v>
      </c>
      <c r="D7248" s="27" t="s">
        <v>6</v>
      </c>
      <c r="E7248" s="27" t="s">
        <v>17</v>
      </c>
      <c r="F7248" s="29"/>
      <c r="G7248" s="30">
        <v>1174.4879999999998</v>
      </c>
    </row>
    <row r="7249" spans="1:7" hidden="1" x14ac:dyDescent="0.25">
      <c r="A7249" s="28">
        <v>44136</v>
      </c>
      <c r="B7249" s="27" t="s">
        <v>34</v>
      </c>
      <c r="C7249" s="27" t="s">
        <v>50</v>
      </c>
      <c r="D7249" s="27" t="s">
        <v>6</v>
      </c>
      <c r="E7249" s="27" t="s">
        <v>18</v>
      </c>
      <c r="F7249" s="29"/>
      <c r="G7249" s="30">
        <v>506.59399999999994</v>
      </c>
    </row>
    <row r="7250" spans="1:7" hidden="1" x14ac:dyDescent="0.25">
      <c r="A7250" s="28">
        <v>44136</v>
      </c>
      <c r="B7250" s="27" t="s">
        <v>34</v>
      </c>
      <c r="C7250" s="27" t="s">
        <v>50</v>
      </c>
      <c r="D7250" s="27" t="s">
        <v>6</v>
      </c>
      <c r="E7250" s="27" t="s">
        <v>19</v>
      </c>
      <c r="F7250" s="29"/>
      <c r="G7250" s="30">
        <v>716.14</v>
      </c>
    </row>
    <row r="7251" spans="1:7" hidden="1" x14ac:dyDescent="0.25">
      <c r="A7251" s="28">
        <v>44136</v>
      </c>
      <c r="B7251" s="27" t="s">
        <v>34</v>
      </c>
      <c r="C7251" s="27" t="s">
        <v>50</v>
      </c>
      <c r="D7251" s="27" t="s">
        <v>6</v>
      </c>
      <c r="E7251" s="27" t="s">
        <v>20</v>
      </c>
      <c r="F7251" s="29"/>
      <c r="G7251" s="30">
        <v>520.13300000000004</v>
      </c>
    </row>
    <row r="7252" spans="1:7" hidden="1" x14ac:dyDescent="0.25">
      <c r="A7252" s="28">
        <v>44136</v>
      </c>
      <c r="B7252" s="27" t="s">
        <v>34</v>
      </c>
      <c r="C7252" s="27" t="s">
        <v>50</v>
      </c>
      <c r="D7252" s="27" t="s">
        <v>6</v>
      </c>
      <c r="E7252" s="27" t="s">
        <v>38</v>
      </c>
      <c r="F7252" s="29"/>
      <c r="G7252" s="30">
        <v>204.74299999999999</v>
      </c>
    </row>
    <row r="7253" spans="1:7" hidden="1" x14ac:dyDescent="0.25">
      <c r="A7253" s="28">
        <v>44136</v>
      </c>
      <c r="B7253" s="27" t="s">
        <v>34</v>
      </c>
      <c r="C7253" s="27" t="s">
        <v>50</v>
      </c>
      <c r="D7253" s="27" t="s">
        <v>6</v>
      </c>
      <c r="E7253" s="27" t="s">
        <v>23</v>
      </c>
      <c r="F7253" s="29"/>
      <c r="G7253" s="30">
        <v>803.31400000000008</v>
      </c>
    </row>
    <row r="7254" spans="1:7" hidden="1" x14ac:dyDescent="0.25">
      <c r="A7254" s="28">
        <v>44166</v>
      </c>
      <c r="B7254" s="27" t="s">
        <v>33</v>
      </c>
      <c r="C7254" s="27" t="s">
        <v>50</v>
      </c>
      <c r="D7254" s="27" t="s">
        <v>7</v>
      </c>
      <c r="E7254" s="27" t="s">
        <v>8</v>
      </c>
      <c r="F7254" s="29"/>
      <c r="G7254" s="30">
        <v>3794.0333333333338</v>
      </c>
    </row>
    <row r="7255" spans="1:7" hidden="1" x14ac:dyDescent="0.25">
      <c r="A7255" s="28">
        <v>44166</v>
      </c>
      <c r="B7255" s="27" t="s">
        <v>33</v>
      </c>
      <c r="C7255" s="27" t="s">
        <v>50</v>
      </c>
      <c r="D7255" s="27" t="s">
        <v>7</v>
      </c>
      <c r="E7255" s="27" t="s">
        <v>9</v>
      </c>
      <c r="F7255" s="29"/>
      <c r="G7255" s="30">
        <v>3794.0333333333338</v>
      </c>
    </row>
    <row r="7256" spans="1:7" hidden="1" x14ac:dyDescent="0.25">
      <c r="A7256" s="28">
        <v>44166</v>
      </c>
      <c r="B7256" s="27" t="s">
        <v>33</v>
      </c>
      <c r="C7256" s="27" t="s">
        <v>50</v>
      </c>
      <c r="D7256" s="27" t="s">
        <v>7</v>
      </c>
      <c r="E7256" s="27" t="s">
        <v>22</v>
      </c>
      <c r="F7256" s="29"/>
      <c r="G7256" s="30">
        <v>3794.0333333333338</v>
      </c>
    </row>
    <row r="7257" spans="1:7" hidden="1" x14ac:dyDescent="0.25">
      <c r="A7257" s="28">
        <v>44166</v>
      </c>
      <c r="B7257" s="27" t="s">
        <v>33</v>
      </c>
      <c r="C7257" s="27" t="s">
        <v>50</v>
      </c>
      <c r="D7257" s="27" t="s">
        <v>7</v>
      </c>
      <c r="E7257" s="27" t="s">
        <v>64</v>
      </c>
      <c r="F7257" s="29"/>
      <c r="G7257" s="30">
        <v>3794.0333333333338</v>
      </c>
    </row>
    <row r="7258" spans="1:7" hidden="1" x14ac:dyDescent="0.25">
      <c r="A7258" s="28">
        <v>44166</v>
      </c>
      <c r="B7258" s="27" t="s">
        <v>33</v>
      </c>
      <c r="C7258" s="27" t="s">
        <v>50</v>
      </c>
      <c r="D7258" s="27" t="s">
        <v>7</v>
      </c>
      <c r="E7258" s="27" t="s">
        <v>21</v>
      </c>
      <c r="F7258" s="29"/>
      <c r="G7258" s="30">
        <v>3794.0333333333338</v>
      </c>
    </row>
    <row r="7259" spans="1:7" hidden="1" x14ac:dyDescent="0.25">
      <c r="A7259" s="28">
        <v>44166</v>
      </c>
      <c r="B7259" s="27" t="s">
        <v>33</v>
      </c>
      <c r="C7259" s="27" t="s">
        <v>50</v>
      </c>
      <c r="D7259" s="27" t="s">
        <v>7</v>
      </c>
      <c r="E7259" s="27" t="s">
        <v>10</v>
      </c>
      <c r="F7259" s="29"/>
      <c r="G7259" s="30">
        <v>3794.0333333333338</v>
      </c>
    </row>
    <row r="7260" spans="1:7" hidden="1" x14ac:dyDescent="0.25">
      <c r="A7260" s="28">
        <v>44166</v>
      </c>
      <c r="B7260" s="27" t="s">
        <v>33</v>
      </c>
      <c r="C7260" s="27" t="s">
        <v>50</v>
      </c>
      <c r="D7260" s="27" t="s">
        <v>7</v>
      </c>
      <c r="E7260" s="27" t="s">
        <v>11</v>
      </c>
      <c r="F7260" s="29"/>
      <c r="G7260" s="30">
        <v>3794.0333333333338</v>
      </c>
    </row>
    <row r="7261" spans="1:7" hidden="1" x14ac:dyDescent="0.25">
      <c r="A7261" s="28">
        <v>44166</v>
      </c>
      <c r="B7261" s="27" t="s">
        <v>33</v>
      </c>
      <c r="C7261" s="27" t="s">
        <v>50</v>
      </c>
      <c r="D7261" s="27" t="s">
        <v>7</v>
      </c>
      <c r="E7261" s="27" t="s">
        <v>12</v>
      </c>
      <c r="F7261" s="29"/>
      <c r="G7261" s="30">
        <v>3794.0333333333338</v>
      </c>
    </row>
    <row r="7262" spans="1:7" hidden="1" x14ac:dyDescent="0.25">
      <c r="A7262" s="28">
        <v>44166</v>
      </c>
      <c r="B7262" s="27" t="s">
        <v>33</v>
      </c>
      <c r="C7262" s="27" t="s">
        <v>50</v>
      </c>
      <c r="D7262" s="27" t="s">
        <v>7</v>
      </c>
      <c r="E7262" s="27" t="s">
        <v>13</v>
      </c>
      <c r="F7262" s="29"/>
      <c r="G7262" s="30">
        <v>3794.0333333333338</v>
      </c>
    </row>
    <row r="7263" spans="1:7" hidden="1" x14ac:dyDescent="0.25">
      <c r="A7263" s="28">
        <v>44166</v>
      </c>
      <c r="B7263" s="27" t="s">
        <v>33</v>
      </c>
      <c r="C7263" s="27" t="s">
        <v>50</v>
      </c>
      <c r="D7263" s="27" t="s">
        <v>7</v>
      </c>
      <c r="E7263" s="27" t="s">
        <v>14</v>
      </c>
      <c r="F7263" s="29"/>
      <c r="G7263" s="30">
        <v>3794.0333333333338</v>
      </c>
    </row>
    <row r="7264" spans="1:7" hidden="1" x14ac:dyDescent="0.25">
      <c r="A7264" s="28">
        <v>44166</v>
      </c>
      <c r="B7264" s="27" t="s">
        <v>33</v>
      </c>
      <c r="C7264" s="27" t="s">
        <v>50</v>
      </c>
      <c r="D7264" s="27" t="s">
        <v>7</v>
      </c>
      <c r="E7264" s="27" t="s">
        <v>15</v>
      </c>
      <c r="F7264" s="29"/>
      <c r="G7264" s="30">
        <v>3794.0333333333338</v>
      </c>
    </row>
    <row r="7265" spans="1:7" hidden="1" x14ac:dyDescent="0.25">
      <c r="A7265" s="28">
        <v>44166</v>
      </c>
      <c r="B7265" s="27" t="s">
        <v>33</v>
      </c>
      <c r="C7265" s="27" t="s">
        <v>50</v>
      </c>
      <c r="D7265" s="27" t="s">
        <v>7</v>
      </c>
      <c r="E7265" s="27" t="s">
        <v>16</v>
      </c>
      <c r="F7265" s="29"/>
      <c r="G7265" s="30">
        <v>3794.0333333333338</v>
      </c>
    </row>
    <row r="7266" spans="1:7" hidden="1" x14ac:dyDescent="0.25">
      <c r="A7266" s="28">
        <v>44166</v>
      </c>
      <c r="B7266" s="27" t="s">
        <v>33</v>
      </c>
      <c r="C7266" s="27" t="s">
        <v>50</v>
      </c>
      <c r="D7266" s="27" t="s">
        <v>7</v>
      </c>
      <c r="E7266" s="27" t="s">
        <v>17</v>
      </c>
      <c r="F7266" s="29"/>
      <c r="G7266" s="30">
        <v>3794.0333333333338</v>
      </c>
    </row>
    <row r="7267" spans="1:7" hidden="1" x14ac:dyDescent="0.25">
      <c r="A7267" s="28">
        <v>44166</v>
      </c>
      <c r="B7267" s="27" t="s">
        <v>33</v>
      </c>
      <c r="C7267" s="27" t="s">
        <v>50</v>
      </c>
      <c r="D7267" s="27" t="s">
        <v>7</v>
      </c>
      <c r="E7267" s="27" t="s">
        <v>18</v>
      </c>
      <c r="F7267" s="29"/>
      <c r="G7267" s="30">
        <v>3794.0333333333338</v>
      </c>
    </row>
    <row r="7268" spans="1:7" hidden="1" x14ac:dyDescent="0.25">
      <c r="A7268" s="28">
        <v>44166</v>
      </c>
      <c r="B7268" s="27" t="s">
        <v>33</v>
      </c>
      <c r="C7268" s="27" t="s">
        <v>50</v>
      </c>
      <c r="D7268" s="27" t="s">
        <v>7</v>
      </c>
      <c r="E7268" s="27" t="s">
        <v>19</v>
      </c>
      <c r="F7268" s="29"/>
      <c r="G7268" s="30">
        <v>3794.0333333333338</v>
      </c>
    </row>
    <row r="7269" spans="1:7" hidden="1" x14ac:dyDescent="0.25">
      <c r="A7269" s="28">
        <v>44166</v>
      </c>
      <c r="B7269" s="27" t="s">
        <v>33</v>
      </c>
      <c r="C7269" s="27" t="s">
        <v>50</v>
      </c>
      <c r="D7269" s="27" t="s">
        <v>7</v>
      </c>
      <c r="E7269" s="27" t="s">
        <v>20</v>
      </c>
      <c r="F7269" s="29"/>
      <c r="G7269" s="30">
        <v>3794.0333333333338</v>
      </c>
    </row>
    <row r="7270" spans="1:7" hidden="1" x14ac:dyDescent="0.25">
      <c r="A7270" s="28">
        <v>44166</v>
      </c>
      <c r="B7270" s="27" t="s">
        <v>33</v>
      </c>
      <c r="C7270" s="27" t="s">
        <v>50</v>
      </c>
      <c r="D7270" s="27" t="s">
        <v>7</v>
      </c>
      <c r="E7270" s="27" t="s">
        <v>38</v>
      </c>
      <c r="F7270" s="29"/>
      <c r="G7270" s="30">
        <v>3794.0333333333338</v>
      </c>
    </row>
    <row r="7271" spans="1:7" hidden="1" x14ac:dyDescent="0.25">
      <c r="A7271" s="28">
        <v>44166</v>
      </c>
      <c r="B7271" s="27" t="s">
        <v>33</v>
      </c>
      <c r="C7271" s="27" t="s">
        <v>50</v>
      </c>
      <c r="D7271" s="27" t="s">
        <v>7</v>
      </c>
      <c r="E7271" s="27" t="s">
        <v>23</v>
      </c>
      <c r="F7271" s="29"/>
      <c r="G7271" s="30">
        <v>3794.0333333333338</v>
      </c>
    </row>
    <row r="7272" spans="1:7" hidden="1" x14ac:dyDescent="0.25">
      <c r="A7272" s="28">
        <v>44166</v>
      </c>
      <c r="B7272" s="27" t="s">
        <v>4</v>
      </c>
      <c r="C7272" s="27" t="s">
        <v>50</v>
      </c>
      <c r="D7272" s="27" t="s">
        <v>7</v>
      </c>
      <c r="E7272" s="27" t="s">
        <v>8</v>
      </c>
      <c r="F7272" s="29"/>
      <c r="G7272" s="30">
        <v>2721</v>
      </c>
    </row>
    <row r="7273" spans="1:7" hidden="1" x14ac:dyDescent="0.25">
      <c r="A7273" s="28">
        <v>44166</v>
      </c>
      <c r="B7273" s="27" t="s">
        <v>4</v>
      </c>
      <c r="C7273" s="27" t="s">
        <v>50</v>
      </c>
      <c r="D7273" s="27" t="s">
        <v>7</v>
      </c>
      <c r="E7273" s="27" t="s">
        <v>9</v>
      </c>
      <c r="F7273" s="29"/>
      <c r="G7273" s="30">
        <v>3525.69</v>
      </c>
    </row>
    <row r="7274" spans="1:7" hidden="1" x14ac:dyDescent="0.25">
      <c r="A7274" s="28">
        <v>44166</v>
      </c>
      <c r="B7274" s="27" t="s">
        <v>4</v>
      </c>
      <c r="C7274" s="27" t="s">
        <v>50</v>
      </c>
      <c r="D7274" s="27" t="s">
        <v>7</v>
      </c>
      <c r="E7274" s="27" t="s">
        <v>22</v>
      </c>
      <c r="F7274" s="29"/>
      <c r="G7274" s="30">
        <v>885.61</v>
      </c>
    </row>
    <row r="7275" spans="1:7" hidden="1" x14ac:dyDescent="0.25">
      <c r="A7275" s="28">
        <v>44166</v>
      </c>
      <c r="B7275" s="27" t="s">
        <v>4</v>
      </c>
      <c r="C7275" s="27" t="s">
        <v>50</v>
      </c>
      <c r="D7275" s="27" t="s">
        <v>7</v>
      </c>
      <c r="E7275" s="27" t="s">
        <v>21</v>
      </c>
      <c r="F7275" s="29"/>
      <c r="G7275" s="30">
        <v>2788.13</v>
      </c>
    </row>
    <row r="7276" spans="1:7" hidden="1" x14ac:dyDescent="0.25">
      <c r="A7276" s="28">
        <v>44166</v>
      </c>
      <c r="B7276" s="27" t="s">
        <v>4</v>
      </c>
      <c r="C7276" s="27" t="s">
        <v>50</v>
      </c>
      <c r="D7276" s="27" t="s">
        <v>7</v>
      </c>
      <c r="E7276" s="27" t="s">
        <v>10</v>
      </c>
      <c r="F7276" s="29"/>
      <c r="G7276" s="30">
        <v>2365.94</v>
      </c>
    </row>
    <row r="7277" spans="1:7" hidden="1" x14ac:dyDescent="0.25">
      <c r="A7277" s="28">
        <v>44166</v>
      </c>
      <c r="B7277" s="27" t="s">
        <v>4</v>
      </c>
      <c r="C7277" s="27" t="s">
        <v>50</v>
      </c>
      <c r="D7277" s="27" t="s">
        <v>7</v>
      </c>
      <c r="E7277" s="27" t="s">
        <v>11</v>
      </c>
      <c r="F7277" s="29"/>
      <c r="G7277" s="30">
        <v>1914.45</v>
      </c>
    </row>
    <row r="7278" spans="1:7" hidden="1" x14ac:dyDescent="0.25">
      <c r="A7278" s="28">
        <v>44166</v>
      </c>
      <c r="B7278" s="27" t="s">
        <v>4</v>
      </c>
      <c r="C7278" s="27" t="s">
        <v>50</v>
      </c>
      <c r="D7278" s="27" t="s">
        <v>7</v>
      </c>
      <c r="E7278" s="27" t="s">
        <v>13</v>
      </c>
      <c r="F7278" s="29"/>
      <c r="G7278" s="30">
        <v>6186.28</v>
      </c>
    </row>
    <row r="7279" spans="1:7" hidden="1" x14ac:dyDescent="0.25">
      <c r="A7279" s="28">
        <v>44166</v>
      </c>
      <c r="B7279" s="27" t="s">
        <v>4</v>
      </c>
      <c r="C7279" s="27" t="s">
        <v>50</v>
      </c>
      <c r="D7279" s="27" t="s">
        <v>7</v>
      </c>
      <c r="E7279" s="27" t="s">
        <v>14</v>
      </c>
      <c r="F7279" s="29"/>
      <c r="G7279" s="30">
        <v>671.25</v>
      </c>
    </row>
    <row r="7280" spans="1:7" hidden="1" x14ac:dyDescent="0.25">
      <c r="A7280" s="28">
        <v>44166</v>
      </c>
      <c r="B7280" s="27" t="s">
        <v>4</v>
      </c>
      <c r="C7280" s="27" t="s">
        <v>50</v>
      </c>
      <c r="D7280" s="27" t="s">
        <v>7</v>
      </c>
      <c r="E7280" s="27" t="s">
        <v>15</v>
      </c>
      <c r="F7280" s="29"/>
      <c r="G7280" s="30">
        <v>596.85</v>
      </c>
    </row>
    <row r="7281" spans="1:7" hidden="1" x14ac:dyDescent="0.25">
      <c r="A7281" s="28">
        <v>44166</v>
      </c>
      <c r="B7281" s="27" t="s">
        <v>4</v>
      </c>
      <c r="C7281" s="27" t="s">
        <v>50</v>
      </c>
      <c r="D7281" s="27" t="s">
        <v>7</v>
      </c>
      <c r="E7281" s="27" t="s">
        <v>16</v>
      </c>
      <c r="F7281" s="29"/>
      <c r="G7281" s="30">
        <v>2283.92</v>
      </c>
    </row>
    <row r="7282" spans="1:7" hidden="1" x14ac:dyDescent="0.25">
      <c r="A7282" s="28">
        <v>44166</v>
      </c>
      <c r="B7282" s="27" t="s">
        <v>4</v>
      </c>
      <c r="C7282" s="27" t="s">
        <v>50</v>
      </c>
      <c r="D7282" s="27" t="s">
        <v>7</v>
      </c>
      <c r="E7282" s="27" t="s">
        <v>17</v>
      </c>
      <c r="F7282" s="29"/>
      <c r="G7282" s="30">
        <v>4066.32</v>
      </c>
    </row>
    <row r="7283" spans="1:7" hidden="1" x14ac:dyDescent="0.25">
      <c r="A7283" s="28">
        <v>44166</v>
      </c>
      <c r="B7283" s="27" t="s">
        <v>4</v>
      </c>
      <c r="C7283" s="27" t="s">
        <v>50</v>
      </c>
      <c r="D7283" s="27" t="s">
        <v>7</v>
      </c>
      <c r="E7283" s="27" t="s">
        <v>18</v>
      </c>
      <c r="F7283" s="29"/>
      <c r="G7283" s="30">
        <v>1287.96</v>
      </c>
    </row>
    <row r="7284" spans="1:7" hidden="1" x14ac:dyDescent="0.25">
      <c r="A7284" s="28">
        <v>44166</v>
      </c>
      <c r="B7284" s="27" t="s">
        <v>4</v>
      </c>
      <c r="C7284" s="27" t="s">
        <v>50</v>
      </c>
      <c r="D7284" s="27" t="s">
        <v>7</v>
      </c>
      <c r="E7284" s="27" t="s">
        <v>19</v>
      </c>
      <c r="F7284" s="29"/>
      <c r="G7284" s="30">
        <v>1429.49</v>
      </c>
    </row>
    <row r="7285" spans="1:7" hidden="1" x14ac:dyDescent="0.25">
      <c r="A7285" s="28">
        <v>44166</v>
      </c>
      <c r="B7285" s="27" t="s">
        <v>4</v>
      </c>
      <c r="C7285" s="27" t="s">
        <v>50</v>
      </c>
      <c r="D7285" s="27" t="s">
        <v>7</v>
      </c>
      <c r="E7285" s="27" t="s">
        <v>20</v>
      </c>
      <c r="F7285" s="29"/>
      <c r="G7285" s="30">
        <v>654.85</v>
      </c>
    </row>
    <row r="7286" spans="1:7" hidden="1" x14ac:dyDescent="0.25">
      <c r="A7286" s="28">
        <v>44166</v>
      </c>
      <c r="B7286" s="27" t="s">
        <v>4</v>
      </c>
      <c r="C7286" s="27" t="s">
        <v>50</v>
      </c>
      <c r="D7286" s="27" t="s">
        <v>7</v>
      </c>
      <c r="E7286" s="27" t="s">
        <v>38</v>
      </c>
      <c r="F7286" s="29"/>
      <c r="G7286" s="30">
        <v>905.73</v>
      </c>
    </row>
    <row r="7287" spans="1:7" hidden="1" x14ac:dyDescent="0.25">
      <c r="A7287" s="28">
        <v>44166</v>
      </c>
      <c r="B7287" s="27" t="s">
        <v>4</v>
      </c>
      <c r="C7287" s="27" t="s">
        <v>50</v>
      </c>
      <c r="D7287" s="27" t="s">
        <v>7</v>
      </c>
      <c r="E7287" s="27" t="s">
        <v>23</v>
      </c>
      <c r="F7287" s="29"/>
      <c r="G7287" s="30">
        <v>3899.16</v>
      </c>
    </row>
    <row r="7288" spans="1:7" hidden="1" x14ac:dyDescent="0.25">
      <c r="A7288" s="28">
        <v>44166</v>
      </c>
      <c r="B7288" s="27" t="s">
        <v>26</v>
      </c>
      <c r="C7288" s="27" t="s">
        <v>50</v>
      </c>
      <c r="D7288" s="27" t="s">
        <v>6</v>
      </c>
      <c r="E7288" s="27" t="s">
        <v>8</v>
      </c>
      <c r="F7288" s="29"/>
      <c r="G7288" s="30">
        <v>1194.25</v>
      </c>
    </row>
    <row r="7289" spans="1:7" hidden="1" x14ac:dyDescent="0.25">
      <c r="A7289" s="28">
        <v>44166</v>
      </c>
      <c r="B7289" s="27" t="s">
        <v>26</v>
      </c>
      <c r="C7289" s="27" t="s">
        <v>50</v>
      </c>
      <c r="D7289" s="27" t="s">
        <v>6</v>
      </c>
      <c r="E7289" s="27" t="s">
        <v>9</v>
      </c>
      <c r="F7289" s="29"/>
      <c r="G7289" s="30">
        <v>1550.9166666666667</v>
      </c>
    </row>
    <row r="7290" spans="1:7" hidden="1" x14ac:dyDescent="0.25">
      <c r="A7290" s="28">
        <v>44166</v>
      </c>
      <c r="B7290" s="27" t="s">
        <v>26</v>
      </c>
      <c r="C7290" s="27" t="s">
        <v>50</v>
      </c>
      <c r="D7290" s="27" t="s">
        <v>6</v>
      </c>
      <c r="E7290" s="27" t="s">
        <v>22</v>
      </c>
      <c r="F7290" s="29"/>
      <c r="G7290" s="30">
        <v>1270.3500000000001</v>
      </c>
    </row>
    <row r="7291" spans="1:7" hidden="1" x14ac:dyDescent="0.25">
      <c r="A7291" s="28">
        <v>44166</v>
      </c>
      <c r="B7291" s="27" t="s">
        <v>26</v>
      </c>
      <c r="C7291" s="27" t="s">
        <v>50</v>
      </c>
      <c r="D7291" s="27" t="s">
        <v>6</v>
      </c>
      <c r="E7291" s="27" t="s">
        <v>64</v>
      </c>
      <c r="F7291" s="29"/>
      <c r="G7291" s="30">
        <v>1359.4166666666667</v>
      </c>
    </row>
    <row r="7292" spans="1:7" hidden="1" x14ac:dyDescent="0.25">
      <c r="A7292" s="28">
        <v>44166</v>
      </c>
      <c r="B7292" s="27" t="s">
        <v>26</v>
      </c>
      <c r="C7292" s="27" t="s">
        <v>50</v>
      </c>
      <c r="D7292" s="27" t="s">
        <v>6</v>
      </c>
      <c r="E7292" s="27" t="s">
        <v>21</v>
      </c>
      <c r="F7292" s="29"/>
      <c r="G7292" s="30">
        <v>1359.4166666666667</v>
      </c>
    </row>
    <row r="7293" spans="1:7" hidden="1" x14ac:dyDescent="0.25">
      <c r="A7293" s="28">
        <v>44166</v>
      </c>
      <c r="B7293" s="27" t="s">
        <v>26</v>
      </c>
      <c r="C7293" s="27" t="s">
        <v>50</v>
      </c>
      <c r="D7293" s="27" t="s">
        <v>6</v>
      </c>
      <c r="E7293" s="27" t="s">
        <v>10</v>
      </c>
      <c r="F7293" s="29"/>
      <c r="G7293" s="30">
        <v>1998.9666666666669</v>
      </c>
    </row>
    <row r="7294" spans="1:7" hidden="1" x14ac:dyDescent="0.25">
      <c r="A7294" s="28">
        <v>44166</v>
      </c>
      <c r="B7294" s="27" t="s">
        <v>26</v>
      </c>
      <c r="C7294" s="27" t="s">
        <v>50</v>
      </c>
      <c r="D7294" s="27" t="s">
        <v>6</v>
      </c>
      <c r="E7294" s="27" t="s">
        <v>11</v>
      </c>
      <c r="F7294" s="29"/>
      <c r="G7294" s="30">
        <v>1340.7166666666667</v>
      </c>
    </row>
    <row r="7295" spans="1:7" hidden="1" x14ac:dyDescent="0.25">
      <c r="A7295" s="28">
        <v>44166</v>
      </c>
      <c r="B7295" s="27" t="s">
        <v>26</v>
      </c>
      <c r="C7295" s="27" t="s">
        <v>50</v>
      </c>
      <c r="D7295" s="27" t="s">
        <v>6</v>
      </c>
      <c r="E7295" s="27" t="s">
        <v>12</v>
      </c>
      <c r="F7295" s="29"/>
      <c r="G7295" s="30">
        <v>1350.1166666666668</v>
      </c>
    </row>
    <row r="7296" spans="1:7" hidden="1" x14ac:dyDescent="0.25">
      <c r="A7296" s="28">
        <v>44166</v>
      </c>
      <c r="B7296" s="27" t="s">
        <v>26</v>
      </c>
      <c r="C7296" s="27" t="s">
        <v>50</v>
      </c>
      <c r="D7296" s="27" t="s">
        <v>6</v>
      </c>
      <c r="E7296" s="27" t="s">
        <v>13</v>
      </c>
      <c r="F7296" s="29"/>
      <c r="G7296" s="30">
        <v>1901.5</v>
      </c>
    </row>
    <row r="7297" spans="1:7" hidden="1" x14ac:dyDescent="0.25">
      <c r="A7297" s="28">
        <v>44166</v>
      </c>
      <c r="B7297" s="27" t="s">
        <v>26</v>
      </c>
      <c r="C7297" s="27" t="s">
        <v>50</v>
      </c>
      <c r="D7297" s="27" t="s">
        <v>6</v>
      </c>
      <c r="E7297" s="27" t="s">
        <v>14</v>
      </c>
      <c r="F7297" s="29"/>
      <c r="G7297" s="30">
        <v>701.7833333333333</v>
      </c>
    </row>
    <row r="7298" spans="1:7" hidden="1" x14ac:dyDescent="0.25">
      <c r="A7298" s="28">
        <v>44166</v>
      </c>
      <c r="B7298" s="27" t="s">
        <v>26</v>
      </c>
      <c r="C7298" s="27" t="s">
        <v>50</v>
      </c>
      <c r="D7298" s="27" t="s">
        <v>6</v>
      </c>
      <c r="E7298" s="27" t="s">
        <v>15</v>
      </c>
      <c r="F7298" s="29"/>
      <c r="G7298" s="30">
        <v>1820.5500000000002</v>
      </c>
    </row>
    <row r="7299" spans="1:7" hidden="1" x14ac:dyDescent="0.25">
      <c r="A7299" s="28">
        <v>44166</v>
      </c>
      <c r="B7299" s="27" t="s">
        <v>26</v>
      </c>
      <c r="C7299" s="27" t="s">
        <v>50</v>
      </c>
      <c r="D7299" s="27" t="s">
        <v>6</v>
      </c>
      <c r="E7299" s="27" t="s">
        <v>16</v>
      </c>
      <c r="F7299" s="29"/>
      <c r="G7299" s="30">
        <v>1992.5833333333333</v>
      </c>
    </row>
    <row r="7300" spans="1:7" hidden="1" x14ac:dyDescent="0.25">
      <c r="A7300" s="28">
        <v>44166</v>
      </c>
      <c r="B7300" s="27" t="s">
        <v>26</v>
      </c>
      <c r="C7300" s="27" t="s">
        <v>50</v>
      </c>
      <c r="D7300" s="27" t="s">
        <v>6</v>
      </c>
      <c r="E7300" s="27" t="s">
        <v>17</v>
      </c>
      <c r="F7300" s="29"/>
      <c r="G7300" s="30">
        <v>2822.1166666666668</v>
      </c>
    </row>
    <row r="7301" spans="1:7" hidden="1" x14ac:dyDescent="0.25">
      <c r="A7301" s="28">
        <v>44166</v>
      </c>
      <c r="B7301" s="27" t="s">
        <v>26</v>
      </c>
      <c r="C7301" s="27" t="s">
        <v>50</v>
      </c>
      <c r="D7301" s="27" t="s">
        <v>6</v>
      </c>
      <c r="E7301" s="27" t="s">
        <v>18</v>
      </c>
      <c r="F7301" s="29"/>
      <c r="G7301" s="30">
        <v>1488.6666666666667</v>
      </c>
    </row>
    <row r="7302" spans="1:7" hidden="1" x14ac:dyDescent="0.25">
      <c r="A7302" s="28">
        <v>44166</v>
      </c>
      <c r="B7302" s="27" t="s">
        <v>26</v>
      </c>
      <c r="C7302" s="27" t="s">
        <v>50</v>
      </c>
      <c r="D7302" s="27" t="s">
        <v>6</v>
      </c>
      <c r="E7302" s="27" t="s">
        <v>19</v>
      </c>
      <c r="F7302" s="29"/>
      <c r="G7302" s="30">
        <v>2454.8833333333337</v>
      </c>
    </row>
    <row r="7303" spans="1:7" hidden="1" x14ac:dyDescent="0.25">
      <c r="A7303" s="28">
        <v>44166</v>
      </c>
      <c r="B7303" s="27" t="s">
        <v>26</v>
      </c>
      <c r="C7303" s="27" t="s">
        <v>50</v>
      </c>
      <c r="D7303" s="27" t="s">
        <v>6</v>
      </c>
      <c r="E7303" s="27" t="s">
        <v>20</v>
      </c>
      <c r="F7303" s="29"/>
      <c r="G7303" s="30">
        <v>1590.3833333333334</v>
      </c>
    </row>
    <row r="7304" spans="1:7" hidden="1" x14ac:dyDescent="0.25">
      <c r="A7304" s="28">
        <v>44166</v>
      </c>
      <c r="B7304" s="27" t="s">
        <v>26</v>
      </c>
      <c r="C7304" s="27" t="s">
        <v>50</v>
      </c>
      <c r="D7304" s="27" t="s">
        <v>6</v>
      </c>
      <c r="E7304" s="27" t="s">
        <v>38</v>
      </c>
      <c r="F7304" s="29"/>
      <c r="G7304" s="30">
        <v>602</v>
      </c>
    </row>
    <row r="7305" spans="1:7" hidden="1" x14ac:dyDescent="0.25">
      <c r="A7305" s="28">
        <v>44166</v>
      </c>
      <c r="B7305" s="27" t="s">
        <v>26</v>
      </c>
      <c r="C7305" s="27" t="s">
        <v>50</v>
      </c>
      <c r="D7305" s="27" t="s">
        <v>6</v>
      </c>
      <c r="E7305" s="27" t="s">
        <v>23</v>
      </c>
      <c r="F7305" s="29"/>
      <c r="G7305" s="30">
        <v>2997.5</v>
      </c>
    </row>
    <row r="7306" spans="1:7" hidden="1" x14ac:dyDescent="0.25">
      <c r="A7306" s="28">
        <v>44166</v>
      </c>
      <c r="B7306" s="27" t="s">
        <v>26</v>
      </c>
      <c r="C7306" s="27" t="s">
        <v>50</v>
      </c>
      <c r="D7306" s="27" t="s">
        <v>6</v>
      </c>
      <c r="E7306" s="27" t="s">
        <v>37</v>
      </c>
      <c r="F7306" s="29"/>
      <c r="G7306" s="30">
        <v>250</v>
      </c>
    </row>
    <row r="7307" spans="1:7" hidden="1" x14ac:dyDescent="0.25">
      <c r="A7307" s="28">
        <v>44166</v>
      </c>
      <c r="B7307" s="27" t="s">
        <v>3</v>
      </c>
      <c r="C7307" s="27" t="s">
        <v>50</v>
      </c>
      <c r="D7307" s="27" t="s">
        <v>7</v>
      </c>
      <c r="E7307" s="27" t="s">
        <v>8</v>
      </c>
      <c r="F7307" s="29"/>
      <c r="G7307" s="30">
        <v>644.84444444444443</v>
      </c>
    </row>
    <row r="7308" spans="1:7" hidden="1" x14ac:dyDescent="0.25">
      <c r="A7308" s="28">
        <v>44166</v>
      </c>
      <c r="B7308" s="27" t="s">
        <v>3</v>
      </c>
      <c r="C7308" s="27" t="s">
        <v>50</v>
      </c>
      <c r="D7308" s="27" t="s">
        <v>7</v>
      </c>
      <c r="E7308" s="27" t="s">
        <v>9</v>
      </c>
      <c r="F7308" s="29"/>
      <c r="G7308" s="30">
        <v>644.84444444444443</v>
      </c>
    </row>
    <row r="7309" spans="1:7" hidden="1" x14ac:dyDescent="0.25">
      <c r="A7309" s="28">
        <v>44166</v>
      </c>
      <c r="B7309" s="27" t="s">
        <v>3</v>
      </c>
      <c r="C7309" s="27" t="s">
        <v>50</v>
      </c>
      <c r="D7309" s="27" t="s">
        <v>7</v>
      </c>
      <c r="E7309" s="27" t="s">
        <v>22</v>
      </c>
      <c r="F7309" s="29"/>
      <c r="G7309" s="30">
        <v>644.84444444444443</v>
      </c>
    </row>
    <row r="7310" spans="1:7" hidden="1" x14ac:dyDescent="0.25">
      <c r="A7310" s="28">
        <v>44166</v>
      </c>
      <c r="B7310" s="27" t="s">
        <v>3</v>
      </c>
      <c r="C7310" s="27" t="s">
        <v>50</v>
      </c>
      <c r="D7310" s="27" t="s">
        <v>7</v>
      </c>
      <c r="E7310" s="27" t="s">
        <v>64</v>
      </c>
      <c r="F7310" s="29"/>
      <c r="G7310" s="30">
        <v>644.84444444444443</v>
      </c>
    </row>
    <row r="7311" spans="1:7" hidden="1" x14ac:dyDescent="0.25">
      <c r="A7311" s="28">
        <v>44166</v>
      </c>
      <c r="B7311" s="27" t="s">
        <v>3</v>
      </c>
      <c r="C7311" s="27" t="s">
        <v>50</v>
      </c>
      <c r="D7311" s="27" t="s">
        <v>7</v>
      </c>
      <c r="E7311" s="27" t="s">
        <v>21</v>
      </c>
      <c r="F7311" s="29"/>
      <c r="G7311" s="30">
        <v>644.84444444444443</v>
      </c>
    </row>
    <row r="7312" spans="1:7" hidden="1" x14ac:dyDescent="0.25">
      <c r="A7312" s="28">
        <v>44166</v>
      </c>
      <c r="B7312" s="27" t="s">
        <v>3</v>
      </c>
      <c r="C7312" s="27" t="s">
        <v>50</v>
      </c>
      <c r="D7312" s="27" t="s">
        <v>7</v>
      </c>
      <c r="E7312" s="27" t="s">
        <v>10</v>
      </c>
      <c r="F7312" s="29"/>
      <c r="G7312" s="30">
        <v>644.84444444444443</v>
      </c>
    </row>
    <row r="7313" spans="1:7" hidden="1" x14ac:dyDescent="0.25">
      <c r="A7313" s="28">
        <v>44166</v>
      </c>
      <c r="B7313" s="27" t="s">
        <v>3</v>
      </c>
      <c r="C7313" s="27" t="s">
        <v>50</v>
      </c>
      <c r="D7313" s="27" t="s">
        <v>7</v>
      </c>
      <c r="E7313" s="27" t="s">
        <v>11</v>
      </c>
      <c r="F7313" s="29"/>
      <c r="G7313" s="30">
        <v>644.84444444444443</v>
      </c>
    </row>
    <row r="7314" spans="1:7" hidden="1" x14ac:dyDescent="0.25">
      <c r="A7314" s="28">
        <v>44166</v>
      </c>
      <c r="B7314" s="27" t="s">
        <v>3</v>
      </c>
      <c r="C7314" s="27" t="s">
        <v>50</v>
      </c>
      <c r="D7314" s="27" t="s">
        <v>7</v>
      </c>
      <c r="E7314" s="27" t="s">
        <v>12</v>
      </c>
      <c r="F7314" s="29"/>
      <c r="G7314" s="30">
        <v>644.84444444444443</v>
      </c>
    </row>
    <row r="7315" spans="1:7" hidden="1" x14ac:dyDescent="0.25">
      <c r="A7315" s="28">
        <v>44166</v>
      </c>
      <c r="B7315" s="27" t="s">
        <v>3</v>
      </c>
      <c r="C7315" s="27" t="s">
        <v>50</v>
      </c>
      <c r="D7315" s="27" t="s">
        <v>7</v>
      </c>
      <c r="E7315" s="27" t="s">
        <v>13</v>
      </c>
      <c r="F7315" s="29"/>
      <c r="G7315" s="30">
        <v>644.84444444444443</v>
      </c>
    </row>
    <row r="7316" spans="1:7" hidden="1" x14ac:dyDescent="0.25">
      <c r="A7316" s="28">
        <v>44166</v>
      </c>
      <c r="B7316" s="27" t="s">
        <v>3</v>
      </c>
      <c r="C7316" s="27" t="s">
        <v>50</v>
      </c>
      <c r="D7316" s="27" t="s">
        <v>7</v>
      </c>
      <c r="E7316" s="27" t="s">
        <v>14</v>
      </c>
      <c r="F7316" s="29"/>
      <c r="G7316" s="30">
        <v>644.84444444444443</v>
      </c>
    </row>
    <row r="7317" spans="1:7" hidden="1" x14ac:dyDescent="0.25">
      <c r="A7317" s="28">
        <v>44166</v>
      </c>
      <c r="B7317" s="27" t="s">
        <v>3</v>
      </c>
      <c r="C7317" s="27" t="s">
        <v>50</v>
      </c>
      <c r="D7317" s="27" t="s">
        <v>7</v>
      </c>
      <c r="E7317" s="27" t="s">
        <v>15</v>
      </c>
      <c r="F7317" s="29"/>
      <c r="G7317" s="30">
        <v>644.84444444444443</v>
      </c>
    </row>
    <row r="7318" spans="1:7" hidden="1" x14ac:dyDescent="0.25">
      <c r="A7318" s="28">
        <v>44166</v>
      </c>
      <c r="B7318" s="27" t="s">
        <v>3</v>
      </c>
      <c r="C7318" s="27" t="s">
        <v>50</v>
      </c>
      <c r="D7318" s="27" t="s">
        <v>7</v>
      </c>
      <c r="E7318" s="27" t="s">
        <v>16</v>
      </c>
      <c r="F7318" s="29"/>
      <c r="G7318" s="30">
        <v>644.84444444444443</v>
      </c>
    </row>
    <row r="7319" spans="1:7" hidden="1" x14ac:dyDescent="0.25">
      <c r="A7319" s="28">
        <v>44166</v>
      </c>
      <c r="B7319" s="27" t="s">
        <v>3</v>
      </c>
      <c r="C7319" s="27" t="s">
        <v>50</v>
      </c>
      <c r="D7319" s="27" t="s">
        <v>7</v>
      </c>
      <c r="E7319" s="27" t="s">
        <v>17</v>
      </c>
      <c r="F7319" s="29"/>
      <c r="G7319" s="30">
        <v>644.84444444444443</v>
      </c>
    </row>
    <row r="7320" spans="1:7" hidden="1" x14ac:dyDescent="0.25">
      <c r="A7320" s="28">
        <v>44166</v>
      </c>
      <c r="B7320" s="27" t="s">
        <v>3</v>
      </c>
      <c r="C7320" s="27" t="s">
        <v>50</v>
      </c>
      <c r="D7320" s="27" t="s">
        <v>7</v>
      </c>
      <c r="E7320" s="27" t="s">
        <v>18</v>
      </c>
      <c r="F7320" s="29"/>
      <c r="G7320" s="30">
        <v>644.84444444444443</v>
      </c>
    </row>
    <row r="7321" spans="1:7" hidden="1" x14ac:dyDescent="0.25">
      <c r="A7321" s="28">
        <v>44166</v>
      </c>
      <c r="B7321" s="27" t="s">
        <v>3</v>
      </c>
      <c r="C7321" s="27" t="s">
        <v>50</v>
      </c>
      <c r="D7321" s="27" t="s">
        <v>7</v>
      </c>
      <c r="E7321" s="27" t="s">
        <v>19</v>
      </c>
      <c r="F7321" s="29"/>
      <c r="G7321" s="30">
        <v>644.84444444444443</v>
      </c>
    </row>
    <row r="7322" spans="1:7" hidden="1" x14ac:dyDescent="0.25">
      <c r="A7322" s="28">
        <v>44166</v>
      </c>
      <c r="B7322" s="27" t="s">
        <v>3</v>
      </c>
      <c r="C7322" s="27" t="s">
        <v>50</v>
      </c>
      <c r="D7322" s="27" t="s">
        <v>7</v>
      </c>
      <c r="E7322" s="27" t="s">
        <v>20</v>
      </c>
      <c r="F7322" s="29"/>
      <c r="G7322" s="30">
        <v>644.84444444444443</v>
      </c>
    </row>
    <row r="7323" spans="1:7" hidden="1" x14ac:dyDescent="0.25">
      <c r="A7323" s="28">
        <v>44166</v>
      </c>
      <c r="B7323" s="27" t="s">
        <v>3</v>
      </c>
      <c r="C7323" s="27" t="s">
        <v>50</v>
      </c>
      <c r="D7323" s="27" t="s">
        <v>7</v>
      </c>
      <c r="E7323" s="27" t="s">
        <v>38</v>
      </c>
      <c r="F7323" s="29"/>
      <c r="G7323" s="30">
        <v>644.84444444444443</v>
      </c>
    </row>
    <row r="7324" spans="1:7" hidden="1" x14ac:dyDescent="0.25">
      <c r="A7324" s="28">
        <v>44166</v>
      </c>
      <c r="B7324" s="27" t="s">
        <v>3</v>
      </c>
      <c r="C7324" s="27" t="s">
        <v>50</v>
      </c>
      <c r="D7324" s="27" t="s">
        <v>7</v>
      </c>
      <c r="E7324" s="27" t="s">
        <v>23</v>
      </c>
      <c r="F7324" s="29"/>
      <c r="G7324" s="30">
        <v>644.84444444444443</v>
      </c>
    </row>
    <row r="7325" spans="1:7" hidden="1" x14ac:dyDescent="0.25">
      <c r="A7325" s="28">
        <v>44166</v>
      </c>
      <c r="B7325" s="27" t="s">
        <v>179</v>
      </c>
      <c r="C7325" s="27" t="s">
        <v>50</v>
      </c>
      <c r="D7325" s="27" t="s">
        <v>6</v>
      </c>
      <c r="E7325" s="27" t="s">
        <v>8</v>
      </c>
      <c r="F7325" s="29"/>
      <c r="G7325" s="30">
        <v>54.554166666666667</v>
      </c>
    </row>
    <row r="7326" spans="1:7" hidden="1" x14ac:dyDescent="0.25">
      <c r="A7326" s="28">
        <v>44166</v>
      </c>
      <c r="B7326" s="27" t="s">
        <v>179</v>
      </c>
      <c r="C7326" s="27" t="s">
        <v>50</v>
      </c>
      <c r="D7326" s="27" t="s">
        <v>6</v>
      </c>
      <c r="E7326" s="27" t="s">
        <v>9</v>
      </c>
      <c r="F7326" s="29"/>
      <c r="G7326" s="30">
        <v>73.436666666666667</v>
      </c>
    </row>
    <row r="7327" spans="1:7" hidden="1" x14ac:dyDescent="0.25">
      <c r="A7327" s="28">
        <v>44166</v>
      </c>
      <c r="B7327" s="27" t="s">
        <v>179</v>
      </c>
      <c r="C7327" s="27" t="s">
        <v>50</v>
      </c>
      <c r="D7327" s="27" t="s">
        <v>6</v>
      </c>
      <c r="E7327" s="27" t="s">
        <v>22</v>
      </c>
      <c r="F7327" s="29"/>
      <c r="G7327" s="30">
        <v>98.38666666666667</v>
      </c>
    </row>
    <row r="7328" spans="1:7" hidden="1" x14ac:dyDescent="0.25">
      <c r="A7328" s="28">
        <v>44166</v>
      </c>
      <c r="B7328" s="27" t="s">
        <v>179</v>
      </c>
      <c r="C7328" s="27" t="s">
        <v>50</v>
      </c>
      <c r="D7328" s="27" t="s">
        <v>6</v>
      </c>
      <c r="E7328" s="27" t="s">
        <v>64</v>
      </c>
      <c r="F7328" s="29"/>
      <c r="G7328" s="30">
        <v>58.149166666666666</v>
      </c>
    </row>
    <row r="7329" spans="1:7" hidden="1" x14ac:dyDescent="0.25">
      <c r="A7329" s="28">
        <v>44166</v>
      </c>
      <c r="B7329" s="27" t="s">
        <v>179</v>
      </c>
      <c r="C7329" s="27" t="s">
        <v>50</v>
      </c>
      <c r="D7329" s="27" t="s">
        <v>6</v>
      </c>
      <c r="E7329" s="27" t="s">
        <v>21</v>
      </c>
      <c r="F7329" s="29"/>
      <c r="G7329" s="30">
        <v>67.641666666666666</v>
      </c>
    </row>
    <row r="7330" spans="1:7" hidden="1" x14ac:dyDescent="0.25">
      <c r="A7330" s="28">
        <v>44166</v>
      </c>
      <c r="B7330" s="27" t="s">
        <v>179</v>
      </c>
      <c r="C7330" s="27" t="s">
        <v>50</v>
      </c>
      <c r="D7330" s="27" t="s">
        <v>6</v>
      </c>
      <c r="E7330" s="27" t="s">
        <v>10</v>
      </c>
      <c r="F7330" s="29"/>
      <c r="G7330" s="30">
        <v>88.40666666666668</v>
      </c>
    </row>
    <row r="7331" spans="1:7" hidden="1" x14ac:dyDescent="0.25">
      <c r="A7331" s="28">
        <v>44166</v>
      </c>
      <c r="B7331" s="27" t="s">
        <v>179</v>
      </c>
      <c r="C7331" s="27" t="s">
        <v>50</v>
      </c>
      <c r="D7331" s="27" t="s">
        <v>6</v>
      </c>
      <c r="E7331" s="27" t="s">
        <v>11</v>
      </c>
      <c r="F7331" s="29"/>
      <c r="G7331" s="30">
        <v>66.776666666666671</v>
      </c>
    </row>
    <row r="7332" spans="1:7" hidden="1" x14ac:dyDescent="0.25">
      <c r="A7332" s="28">
        <v>44166</v>
      </c>
      <c r="B7332" s="27" t="s">
        <v>179</v>
      </c>
      <c r="C7332" s="27" t="s">
        <v>50</v>
      </c>
      <c r="D7332" s="27" t="s">
        <v>6</v>
      </c>
      <c r="E7332" s="27" t="s">
        <v>12</v>
      </c>
      <c r="F7332" s="29"/>
      <c r="G7332" s="30">
        <v>68.674166666666665</v>
      </c>
    </row>
    <row r="7333" spans="1:7" hidden="1" x14ac:dyDescent="0.25">
      <c r="A7333" s="28">
        <v>44166</v>
      </c>
      <c r="B7333" s="27" t="s">
        <v>179</v>
      </c>
      <c r="C7333" s="27" t="s">
        <v>50</v>
      </c>
      <c r="D7333" s="27" t="s">
        <v>6</v>
      </c>
      <c r="E7333" s="27" t="s">
        <v>13</v>
      </c>
      <c r="F7333" s="29"/>
      <c r="G7333" s="30">
        <v>94.161666666666676</v>
      </c>
    </row>
    <row r="7334" spans="1:7" hidden="1" x14ac:dyDescent="0.25">
      <c r="A7334" s="28">
        <v>44166</v>
      </c>
      <c r="B7334" s="27" t="s">
        <v>179</v>
      </c>
      <c r="C7334" s="27" t="s">
        <v>50</v>
      </c>
      <c r="D7334" s="27" t="s">
        <v>6</v>
      </c>
      <c r="E7334" s="27" t="s">
        <v>14</v>
      </c>
      <c r="F7334" s="29"/>
      <c r="G7334" s="30">
        <v>84.979166666666671</v>
      </c>
    </row>
    <row r="7335" spans="1:7" hidden="1" x14ac:dyDescent="0.25">
      <c r="A7335" s="28">
        <v>44166</v>
      </c>
      <c r="B7335" s="27" t="s">
        <v>179</v>
      </c>
      <c r="C7335" s="27" t="s">
        <v>50</v>
      </c>
      <c r="D7335" s="27" t="s">
        <v>6</v>
      </c>
      <c r="E7335" s="27" t="s">
        <v>15</v>
      </c>
      <c r="F7335" s="29"/>
      <c r="G7335" s="30">
        <v>90.716666666666654</v>
      </c>
    </row>
    <row r="7336" spans="1:7" hidden="1" x14ac:dyDescent="0.25">
      <c r="A7336" s="28">
        <v>44166</v>
      </c>
      <c r="B7336" s="27" t="s">
        <v>179</v>
      </c>
      <c r="C7336" s="27" t="s">
        <v>50</v>
      </c>
      <c r="D7336" s="27" t="s">
        <v>6</v>
      </c>
      <c r="E7336" s="27" t="s">
        <v>16</v>
      </c>
      <c r="F7336" s="29"/>
      <c r="G7336" s="30">
        <v>92.149166666666659</v>
      </c>
    </row>
    <row r="7337" spans="1:7" hidden="1" x14ac:dyDescent="0.25">
      <c r="A7337" s="28">
        <v>44166</v>
      </c>
      <c r="B7337" s="27" t="s">
        <v>179</v>
      </c>
      <c r="C7337" s="27" t="s">
        <v>50</v>
      </c>
      <c r="D7337" s="27" t="s">
        <v>6</v>
      </c>
      <c r="E7337" s="27" t="s">
        <v>17</v>
      </c>
      <c r="F7337" s="29"/>
      <c r="G7337" s="30">
        <v>142.66166666666666</v>
      </c>
    </row>
    <row r="7338" spans="1:7" hidden="1" x14ac:dyDescent="0.25">
      <c r="A7338" s="28">
        <v>44166</v>
      </c>
      <c r="B7338" s="27" t="s">
        <v>179</v>
      </c>
      <c r="C7338" s="27" t="s">
        <v>50</v>
      </c>
      <c r="D7338" s="27" t="s">
        <v>6</v>
      </c>
      <c r="E7338" s="27" t="s">
        <v>18</v>
      </c>
      <c r="F7338" s="29"/>
      <c r="G7338" s="30">
        <v>190.84666666666666</v>
      </c>
    </row>
    <row r="7339" spans="1:7" hidden="1" x14ac:dyDescent="0.25">
      <c r="A7339" s="28">
        <v>44166</v>
      </c>
      <c r="B7339" s="27" t="s">
        <v>179</v>
      </c>
      <c r="C7339" s="27" t="s">
        <v>50</v>
      </c>
      <c r="D7339" s="27" t="s">
        <v>6</v>
      </c>
      <c r="E7339" s="27" t="s">
        <v>19</v>
      </c>
      <c r="F7339" s="29"/>
      <c r="G7339" s="30">
        <v>129.04666666666665</v>
      </c>
    </row>
    <row r="7340" spans="1:7" hidden="1" x14ac:dyDescent="0.25">
      <c r="A7340" s="28">
        <v>44166</v>
      </c>
      <c r="B7340" s="27" t="s">
        <v>179</v>
      </c>
      <c r="C7340" s="27" t="s">
        <v>50</v>
      </c>
      <c r="D7340" s="27" t="s">
        <v>6</v>
      </c>
      <c r="E7340" s="27" t="s">
        <v>20</v>
      </c>
      <c r="F7340" s="29"/>
      <c r="G7340" s="30">
        <v>235.09666666666666</v>
      </c>
    </row>
    <row r="7341" spans="1:7" hidden="1" x14ac:dyDescent="0.25">
      <c r="A7341" s="28">
        <v>44166</v>
      </c>
      <c r="B7341" s="27" t="s">
        <v>179</v>
      </c>
      <c r="C7341" s="27" t="s">
        <v>50</v>
      </c>
      <c r="D7341" s="27" t="s">
        <v>6</v>
      </c>
      <c r="E7341" s="27" t="s">
        <v>38</v>
      </c>
      <c r="F7341" s="29"/>
      <c r="G7341" s="30">
        <v>108.04666666666667</v>
      </c>
    </row>
    <row r="7342" spans="1:7" hidden="1" x14ac:dyDescent="0.25">
      <c r="A7342" s="28">
        <v>44166</v>
      </c>
      <c r="B7342" s="27" t="s">
        <v>179</v>
      </c>
      <c r="C7342" s="27" t="s">
        <v>50</v>
      </c>
      <c r="D7342" s="27" t="s">
        <v>6</v>
      </c>
      <c r="E7342" s="27" t="s">
        <v>23</v>
      </c>
      <c r="F7342" s="29"/>
      <c r="G7342" s="30">
        <v>149.57916666666668</v>
      </c>
    </row>
    <row r="7343" spans="1:7" hidden="1" x14ac:dyDescent="0.25">
      <c r="A7343" s="28">
        <v>44166</v>
      </c>
      <c r="B7343" s="27" t="s">
        <v>32</v>
      </c>
      <c r="C7343" s="27" t="s">
        <v>50</v>
      </c>
      <c r="D7343" s="27" t="s">
        <v>7</v>
      </c>
      <c r="E7343" s="27" t="s">
        <v>10</v>
      </c>
      <c r="F7343" s="29"/>
      <c r="G7343" s="30">
        <v>30</v>
      </c>
    </row>
    <row r="7344" spans="1:7" hidden="1" x14ac:dyDescent="0.25">
      <c r="A7344" s="28">
        <v>44166</v>
      </c>
      <c r="B7344" s="27" t="s">
        <v>32</v>
      </c>
      <c r="C7344" s="27" t="s">
        <v>50</v>
      </c>
      <c r="D7344" s="27" t="s">
        <v>7</v>
      </c>
      <c r="E7344" s="27" t="s">
        <v>17</v>
      </c>
      <c r="F7344" s="29"/>
      <c r="G7344" s="30">
        <v>30</v>
      </c>
    </row>
    <row r="7345" spans="1:7" hidden="1" x14ac:dyDescent="0.25">
      <c r="A7345" s="28">
        <v>44166</v>
      </c>
      <c r="B7345" s="27" t="s">
        <v>5</v>
      </c>
      <c r="C7345" s="27" t="s">
        <v>51</v>
      </c>
      <c r="D7345" s="27" t="s">
        <v>51</v>
      </c>
      <c r="E7345" s="27" t="s">
        <v>8</v>
      </c>
      <c r="F7345" s="29">
        <v>3597</v>
      </c>
      <c r="G7345" s="30">
        <v>5.1475939541885953</v>
      </c>
    </row>
    <row r="7346" spans="1:7" hidden="1" x14ac:dyDescent="0.25">
      <c r="A7346" s="28">
        <v>44166</v>
      </c>
      <c r="B7346" s="27" t="s">
        <v>5</v>
      </c>
      <c r="C7346" s="27" t="s">
        <v>51</v>
      </c>
      <c r="D7346" s="27" t="s">
        <v>51</v>
      </c>
      <c r="E7346" s="27" t="s">
        <v>9</v>
      </c>
      <c r="F7346" s="29">
        <v>3803</v>
      </c>
      <c r="G7346" s="30">
        <v>4.174320436466747</v>
      </c>
    </row>
    <row r="7347" spans="1:7" hidden="1" x14ac:dyDescent="0.25">
      <c r="A7347" s="28">
        <v>44166</v>
      </c>
      <c r="B7347" s="27" t="s">
        <v>5</v>
      </c>
      <c r="C7347" s="27" t="s">
        <v>51</v>
      </c>
      <c r="D7347" s="27" t="s">
        <v>51</v>
      </c>
      <c r="E7347" s="27" t="s">
        <v>22</v>
      </c>
      <c r="F7347" s="29">
        <v>3783</v>
      </c>
      <c r="G7347" s="30">
        <v>3.5614943043130785</v>
      </c>
    </row>
    <row r="7348" spans="1:7" hidden="1" x14ac:dyDescent="0.25">
      <c r="A7348" s="28">
        <v>44166</v>
      </c>
      <c r="B7348" s="27" t="s">
        <v>5</v>
      </c>
      <c r="C7348" s="27" t="s">
        <v>51</v>
      </c>
      <c r="D7348" s="27" t="s">
        <v>51</v>
      </c>
      <c r="E7348" s="27" t="s">
        <v>64</v>
      </c>
      <c r="F7348" s="29">
        <v>2378</v>
      </c>
      <c r="G7348" s="30">
        <v>4.8521661563847944</v>
      </c>
    </row>
    <row r="7349" spans="1:7" hidden="1" x14ac:dyDescent="0.25">
      <c r="A7349" s="28">
        <v>44166</v>
      </c>
      <c r="B7349" s="27" t="s">
        <v>5</v>
      </c>
      <c r="C7349" s="27" t="s">
        <v>51</v>
      </c>
      <c r="D7349" s="27" t="s">
        <v>51</v>
      </c>
      <c r="E7349" s="27" t="s">
        <v>21</v>
      </c>
      <c r="F7349" s="29">
        <v>4196</v>
      </c>
      <c r="G7349" s="30">
        <v>3.5936688798577316</v>
      </c>
    </row>
    <row r="7350" spans="1:7" hidden="1" x14ac:dyDescent="0.25">
      <c r="A7350" s="28">
        <v>44166</v>
      </c>
      <c r="B7350" s="27" t="s">
        <v>5</v>
      </c>
      <c r="C7350" s="27" t="s">
        <v>51</v>
      </c>
      <c r="D7350" s="27" t="s">
        <v>51</v>
      </c>
      <c r="E7350" s="27" t="s">
        <v>10</v>
      </c>
      <c r="F7350" s="29">
        <v>3798</v>
      </c>
      <c r="G7350" s="30">
        <v>4.2298650921229708</v>
      </c>
    </row>
    <row r="7351" spans="1:7" hidden="1" x14ac:dyDescent="0.25">
      <c r="A7351" s="28">
        <v>44166</v>
      </c>
      <c r="B7351" s="27" t="s">
        <v>5</v>
      </c>
      <c r="C7351" s="27" t="s">
        <v>51</v>
      </c>
      <c r="D7351" s="27" t="s">
        <v>51</v>
      </c>
      <c r="E7351" s="27" t="s">
        <v>11</v>
      </c>
      <c r="F7351" s="29">
        <v>2983</v>
      </c>
      <c r="G7351" s="30">
        <v>4.4982935366688048</v>
      </c>
    </row>
    <row r="7352" spans="1:7" hidden="1" x14ac:dyDescent="0.25">
      <c r="A7352" s="28">
        <v>44166</v>
      </c>
      <c r="B7352" s="27" t="s">
        <v>5</v>
      </c>
      <c r="C7352" s="27" t="s">
        <v>51</v>
      </c>
      <c r="D7352" s="27" t="s">
        <v>51</v>
      </c>
      <c r="E7352" s="27" t="s">
        <v>12</v>
      </c>
      <c r="F7352" s="29">
        <v>2917</v>
      </c>
      <c r="G7352" s="30">
        <v>3.9972962358186632</v>
      </c>
    </row>
    <row r="7353" spans="1:7" hidden="1" x14ac:dyDescent="0.25">
      <c r="A7353" s="28">
        <v>44166</v>
      </c>
      <c r="B7353" s="27" t="s">
        <v>5</v>
      </c>
      <c r="C7353" s="27" t="s">
        <v>51</v>
      </c>
      <c r="D7353" s="27" t="s">
        <v>51</v>
      </c>
      <c r="E7353" s="27" t="s">
        <v>13</v>
      </c>
      <c r="F7353" s="29">
        <v>7495</v>
      </c>
      <c r="G7353" s="30">
        <v>2.6413480924905106</v>
      </c>
    </row>
    <row r="7354" spans="1:7" hidden="1" x14ac:dyDescent="0.25">
      <c r="A7354" s="28">
        <v>44166</v>
      </c>
      <c r="B7354" s="27" t="s">
        <v>5</v>
      </c>
      <c r="C7354" s="27" t="s">
        <v>51</v>
      </c>
      <c r="D7354" s="27" t="s">
        <v>51</v>
      </c>
      <c r="E7354" s="27" t="s">
        <v>14</v>
      </c>
      <c r="F7354" s="29">
        <v>2898</v>
      </c>
      <c r="G7354" s="30">
        <v>3.8126879870771941</v>
      </c>
    </row>
    <row r="7355" spans="1:7" hidden="1" x14ac:dyDescent="0.25">
      <c r="A7355" s="28">
        <v>44166</v>
      </c>
      <c r="B7355" s="27" t="s">
        <v>5</v>
      </c>
      <c r="C7355" s="27" t="s">
        <v>51</v>
      </c>
      <c r="D7355" s="27" t="s">
        <v>51</v>
      </c>
      <c r="E7355" s="27" t="s">
        <v>15</v>
      </c>
      <c r="F7355" s="29">
        <v>4048</v>
      </c>
      <c r="G7355" s="30">
        <v>3.2403920338973258</v>
      </c>
    </row>
    <row r="7356" spans="1:7" hidden="1" x14ac:dyDescent="0.25">
      <c r="A7356" s="28">
        <v>44166</v>
      </c>
      <c r="B7356" s="27" t="s">
        <v>5</v>
      </c>
      <c r="C7356" s="27" t="s">
        <v>51</v>
      </c>
      <c r="D7356" s="27" t="s">
        <v>51</v>
      </c>
      <c r="E7356" s="27" t="s">
        <v>16</v>
      </c>
      <c r="F7356" s="29">
        <v>3181</v>
      </c>
      <c r="G7356" s="30">
        <v>4.73849694641613</v>
      </c>
    </row>
    <row r="7357" spans="1:7" hidden="1" x14ac:dyDescent="0.25">
      <c r="A7357" s="28">
        <v>44166</v>
      </c>
      <c r="B7357" s="27" t="s">
        <v>5</v>
      </c>
      <c r="C7357" s="27" t="s">
        <v>51</v>
      </c>
      <c r="D7357" s="27" t="s">
        <v>51</v>
      </c>
      <c r="E7357" s="27" t="s">
        <v>17</v>
      </c>
      <c r="F7357" s="29">
        <v>4028</v>
      </c>
      <c r="G7357" s="30">
        <v>4.5869822790176373</v>
      </c>
    </row>
    <row r="7358" spans="1:7" hidden="1" x14ac:dyDescent="0.25">
      <c r="A7358" s="28">
        <v>44166</v>
      </c>
      <c r="B7358" s="27" t="s">
        <v>5</v>
      </c>
      <c r="C7358" s="27" t="s">
        <v>51</v>
      </c>
      <c r="D7358" s="27" t="s">
        <v>51</v>
      </c>
      <c r="E7358" s="27" t="s">
        <v>18</v>
      </c>
      <c r="F7358" s="29">
        <v>5048</v>
      </c>
      <c r="G7358" s="30">
        <v>2.5682162479958479</v>
      </c>
    </row>
    <row r="7359" spans="1:7" hidden="1" x14ac:dyDescent="0.25">
      <c r="A7359" s="28">
        <v>44166</v>
      </c>
      <c r="B7359" s="27" t="s">
        <v>5</v>
      </c>
      <c r="C7359" s="27" t="s">
        <v>51</v>
      </c>
      <c r="D7359" s="27" t="s">
        <v>51</v>
      </c>
      <c r="E7359" s="27" t="s">
        <v>19</v>
      </c>
      <c r="F7359" s="29">
        <v>5286</v>
      </c>
      <c r="G7359" s="30">
        <v>2.865338306195556</v>
      </c>
    </row>
    <row r="7360" spans="1:7" hidden="1" x14ac:dyDescent="0.25">
      <c r="A7360" s="28">
        <v>44166</v>
      </c>
      <c r="B7360" s="27" t="s">
        <v>5</v>
      </c>
      <c r="C7360" s="27" t="s">
        <v>51</v>
      </c>
      <c r="D7360" s="27" t="s">
        <v>51</v>
      </c>
      <c r="E7360" s="27" t="s">
        <v>20</v>
      </c>
      <c r="F7360" s="29">
        <v>5259</v>
      </c>
      <c r="G7360" s="30">
        <v>2.4642272839988033</v>
      </c>
    </row>
    <row r="7361" spans="1:7" hidden="1" x14ac:dyDescent="0.25">
      <c r="A7361" s="28">
        <v>44166</v>
      </c>
      <c r="B7361" s="27" t="s">
        <v>5</v>
      </c>
      <c r="C7361" s="27" t="s">
        <v>51</v>
      </c>
      <c r="D7361" s="27" t="s">
        <v>51</v>
      </c>
      <c r="E7361" s="27" t="s">
        <v>38</v>
      </c>
      <c r="F7361" s="29">
        <v>5504</v>
      </c>
      <c r="G7361" s="30">
        <v>2.0820472298721611</v>
      </c>
    </row>
    <row r="7362" spans="1:7" hidden="1" x14ac:dyDescent="0.25">
      <c r="A7362" s="28">
        <v>44166</v>
      </c>
      <c r="B7362" s="27" t="s">
        <v>5</v>
      </c>
      <c r="C7362" s="27" t="s">
        <v>51</v>
      </c>
      <c r="D7362" s="27" t="s">
        <v>51</v>
      </c>
      <c r="E7362" s="27" t="s">
        <v>23</v>
      </c>
      <c r="F7362" s="29">
        <v>6218</v>
      </c>
      <c r="G7362" s="30">
        <v>2.9178146434892849</v>
      </c>
    </row>
    <row r="7363" spans="1:7" hidden="1" x14ac:dyDescent="0.25">
      <c r="A7363" s="28">
        <v>44166</v>
      </c>
      <c r="B7363" s="27" t="s">
        <v>180</v>
      </c>
      <c r="C7363" s="27" t="s">
        <v>50</v>
      </c>
      <c r="D7363" s="27" t="s">
        <v>7</v>
      </c>
      <c r="E7363" s="27" t="s">
        <v>8</v>
      </c>
      <c r="F7363" s="29"/>
      <c r="G7363" s="30">
        <v>3195</v>
      </c>
    </row>
    <row r="7364" spans="1:7" hidden="1" x14ac:dyDescent="0.25">
      <c r="A7364" s="28">
        <v>44166</v>
      </c>
      <c r="B7364" s="27" t="s">
        <v>180</v>
      </c>
      <c r="C7364" s="27" t="s">
        <v>50</v>
      </c>
      <c r="D7364" s="27" t="s">
        <v>7</v>
      </c>
      <c r="E7364" s="27" t="s">
        <v>10</v>
      </c>
      <c r="F7364" s="29"/>
      <c r="G7364" s="30">
        <v>230</v>
      </c>
    </row>
    <row r="7365" spans="1:7" hidden="1" x14ac:dyDescent="0.25">
      <c r="A7365" s="28">
        <v>44166</v>
      </c>
      <c r="B7365" s="27" t="s">
        <v>180</v>
      </c>
      <c r="C7365" s="27" t="s">
        <v>50</v>
      </c>
      <c r="D7365" s="27" t="s">
        <v>7</v>
      </c>
      <c r="E7365" s="27" t="s">
        <v>12</v>
      </c>
      <c r="F7365" s="29"/>
      <c r="G7365" s="30">
        <v>270</v>
      </c>
    </row>
    <row r="7366" spans="1:7" hidden="1" x14ac:dyDescent="0.25">
      <c r="A7366" s="28">
        <v>44166</v>
      </c>
      <c r="B7366" s="27" t="s">
        <v>180</v>
      </c>
      <c r="C7366" s="27" t="s">
        <v>50</v>
      </c>
      <c r="D7366" s="27" t="s">
        <v>7</v>
      </c>
      <c r="E7366" s="27" t="s">
        <v>16</v>
      </c>
      <c r="F7366" s="29"/>
      <c r="G7366" s="30">
        <v>260</v>
      </c>
    </row>
    <row r="7367" spans="1:7" hidden="1" x14ac:dyDescent="0.25">
      <c r="A7367" s="28">
        <v>44166</v>
      </c>
      <c r="B7367" s="27" t="s">
        <v>180</v>
      </c>
      <c r="C7367" s="27" t="s">
        <v>50</v>
      </c>
      <c r="D7367" s="27" t="s">
        <v>7</v>
      </c>
      <c r="E7367" s="27" t="s">
        <v>17</v>
      </c>
      <c r="F7367" s="29"/>
      <c r="G7367" s="30">
        <v>144.52000000000001</v>
      </c>
    </row>
    <row r="7368" spans="1:7" hidden="1" x14ac:dyDescent="0.25">
      <c r="A7368" s="28">
        <v>44166</v>
      </c>
      <c r="B7368" s="27" t="s">
        <v>181</v>
      </c>
      <c r="C7368" s="27" t="s">
        <v>50</v>
      </c>
      <c r="D7368" s="27" t="s">
        <v>6</v>
      </c>
      <c r="E7368" s="27" t="s">
        <v>8</v>
      </c>
      <c r="F7368" s="29"/>
      <c r="G7368" s="30">
        <v>517</v>
      </c>
    </row>
    <row r="7369" spans="1:7" hidden="1" x14ac:dyDescent="0.25">
      <c r="A7369" s="28">
        <v>44166</v>
      </c>
      <c r="B7369" s="27" t="s">
        <v>181</v>
      </c>
      <c r="C7369" s="27" t="s">
        <v>50</v>
      </c>
      <c r="D7369" s="27" t="s">
        <v>6</v>
      </c>
      <c r="E7369" s="27" t="s">
        <v>12</v>
      </c>
      <c r="F7369" s="29"/>
      <c r="G7369" s="30">
        <v>145</v>
      </c>
    </row>
    <row r="7370" spans="1:7" hidden="1" x14ac:dyDescent="0.25">
      <c r="A7370" s="28">
        <v>44166</v>
      </c>
      <c r="B7370" s="27" t="s">
        <v>181</v>
      </c>
      <c r="C7370" s="27" t="s">
        <v>50</v>
      </c>
      <c r="D7370" s="27" t="s">
        <v>6</v>
      </c>
      <c r="E7370" s="27" t="s">
        <v>16</v>
      </c>
      <c r="F7370" s="29"/>
      <c r="G7370" s="30">
        <v>120</v>
      </c>
    </row>
    <row r="7371" spans="1:7" hidden="1" x14ac:dyDescent="0.25">
      <c r="A7371" s="28">
        <v>44166</v>
      </c>
      <c r="B7371" s="27" t="s">
        <v>2</v>
      </c>
      <c r="C7371" s="27" t="s">
        <v>50</v>
      </c>
      <c r="D7371" s="27" t="s">
        <v>7</v>
      </c>
      <c r="E7371" s="27" t="s">
        <v>8</v>
      </c>
      <c r="F7371" s="29"/>
      <c r="G7371" s="30">
        <v>504.28</v>
      </c>
    </row>
    <row r="7372" spans="1:7" hidden="1" x14ac:dyDescent="0.25">
      <c r="A7372" s="28">
        <v>44166</v>
      </c>
      <c r="B7372" s="27" t="s">
        <v>2</v>
      </c>
      <c r="C7372" s="27" t="s">
        <v>50</v>
      </c>
      <c r="D7372" s="27" t="s">
        <v>7</v>
      </c>
      <c r="E7372" s="27" t="s">
        <v>9</v>
      </c>
      <c r="F7372" s="29"/>
      <c r="G7372" s="30">
        <v>591.41</v>
      </c>
    </row>
    <row r="7373" spans="1:7" hidden="1" x14ac:dyDescent="0.25">
      <c r="A7373" s="28">
        <v>44166</v>
      </c>
      <c r="B7373" s="27" t="s">
        <v>2</v>
      </c>
      <c r="C7373" s="27" t="s">
        <v>50</v>
      </c>
      <c r="D7373" s="27" t="s">
        <v>7</v>
      </c>
      <c r="E7373" s="27" t="s">
        <v>22</v>
      </c>
      <c r="F7373" s="29"/>
      <c r="G7373" s="30">
        <v>718.51</v>
      </c>
    </row>
    <row r="7374" spans="1:7" hidden="1" x14ac:dyDescent="0.25">
      <c r="A7374" s="28">
        <v>44166</v>
      </c>
      <c r="B7374" s="27" t="s">
        <v>2</v>
      </c>
      <c r="C7374" s="27" t="s">
        <v>50</v>
      </c>
      <c r="D7374" s="27" t="s">
        <v>7</v>
      </c>
      <c r="E7374" s="27" t="s">
        <v>64</v>
      </c>
      <c r="F7374" s="29"/>
      <c r="G7374" s="30">
        <v>23.68</v>
      </c>
    </row>
    <row r="7375" spans="1:7" hidden="1" x14ac:dyDescent="0.25">
      <c r="A7375" s="28">
        <v>44166</v>
      </c>
      <c r="B7375" s="27" t="s">
        <v>2</v>
      </c>
      <c r="C7375" s="27" t="s">
        <v>50</v>
      </c>
      <c r="D7375" s="27" t="s">
        <v>7</v>
      </c>
      <c r="E7375" s="27" t="s">
        <v>21</v>
      </c>
      <c r="F7375" s="29"/>
      <c r="G7375" s="30">
        <v>719.7</v>
      </c>
    </row>
    <row r="7376" spans="1:7" hidden="1" x14ac:dyDescent="0.25">
      <c r="A7376" s="28">
        <v>44166</v>
      </c>
      <c r="B7376" s="27" t="s">
        <v>2</v>
      </c>
      <c r="C7376" s="27" t="s">
        <v>50</v>
      </c>
      <c r="D7376" s="27" t="s">
        <v>7</v>
      </c>
      <c r="E7376" s="27" t="s">
        <v>10</v>
      </c>
      <c r="F7376" s="29"/>
      <c r="G7376" s="30">
        <v>716.08</v>
      </c>
    </row>
    <row r="7377" spans="1:7" hidden="1" x14ac:dyDescent="0.25">
      <c r="A7377" s="28">
        <v>44166</v>
      </c>
      <c r="B7377" s="27" t="s">
        <v>2</v>
      </c>
      <c r="C7377" s="27" t="s">
        <v>50</v>
      </c>
      <c r="D7377" s="27" t="s">
        <v>7</v>
      </c>
      <c r="E7377" s="27" t="s">
        <v>11</v>
      </c>
      <c r="F7377" s="29"/>
      <c r="G7377" s="30">
        <v>260.27999999999997</v>
      </c>
    </row>
    <row r="7378" spans="1:7" hidden="1" x14ac:dyDescent="0.25">
      <c r="A7378" s="28">
        <v>44166</v>
      </c>
      <c r="B7378" s="27" t="s">
        <v>2</v>
      </c>
      <c r="C7378" s="27" t="s">
        <v>50</v>
      </c>
      <c r="D7378" s="27" t="s">
        <v>7</v>
      </c>
      <c r="E7378" s="27" t="s">
        <v>12</v>
      </c>
      <c r="F7378" s="29"/>
      <c r="G7378" s="30">
        <v>23.68</v>
      </c>
    </row>
    <row r="7379" spans="1:7" hidden="1" x14ac:dyDescent="0.25">
      <c r="A7379" s="28">
        <v>44166</v>
      </c>
      <c r="B7379" s="27" t="s">
        <v>2</v>
      </c>
      <c r="C7379" s="27" t="s">
        <v>50</v>
      </c>
      <c r="D7379" s="27" t="s">
        <v>7</v>
      </c>
      <c r="E7379" s="27" t="s">
        <v>13</v>
      </c>
      <c r="F7379" s="29"/>
      <c r="G7379" s="30">
        <v>1626.09</v>
      </c>
    </row>
    <row r="7380" spans="1:7" hidden="1" x14ac:dyDescent="0.25">
      <c r="A7380" s="28">
        <v>44166</v>
      </c>
      <c r="B7380" s="27" t="s">
        <v>2</v>
      </c>
      <c r="C7380" s="27" t="s">
        <v>50</v>
      </c>
      <c r="D7380" s="27" t="s">
        <v>7</v>
      </c>
      <c r="E7380" s="27" t="s">
        <v>14</v>
      </c>
      <c r="F7380" s="29"/>
      <c r="G7380" s="30">
        <v>52.7</v>
      </c>
    </row>
    <row r="7381" spans="1:7" hidden="1" x14ac:dyDescent="0.25">
      <c r="A7381" s="28">
        <v>44166</v>
      </c>
      <c r="B7381" s="27" t="s">
        <v>2</v>
      </c>
      <c r="C7381" s="27" t="s">
        <v>50</v>
      </c>
      <c r="D7381" s="27" t="s">
        <v>7</v>
      </c>
      <c r="E7381" s="27" t="s">
        <v>15</v>
      </c>
      <c r="F7381" s="29"/>
      <c r="G7381" s="30">
        <v>529.87</v>
      </c>
    </row>
    <row r="7382" spans="1:7" hidden="1" x14ac:dyDescent="0.25">
      <c r="A7382" s="28">
        <v>44166</v>
      </c>
      <c r="B7382" s="27" t="s">
        <v>2</v>
      </c>
      <c r="C7382" s="27" t="s">
        <v>50</v>
      </c>
      <c r="D7382" s="27" t="s">
        <v>7</v>
      </c>
      <c r="E7382" s="27" t="s">
        <v>16</v>
      </c>
      <c r="F7382" s="29"/>
      <c r="G7382" s="30">
        <v>120.87</v>
      </c>
    </row>
    <row r="7383" spans="1:7" hidden="1" x14ac:dyDescent="0.25">
      <c r="A7383" s="28">
        <v>44166</v>
      </c>
      <c r="B7383" s="27" t="s">
        <v>2</v>
      </c>
      <c r="C7383" s="27" t="s">
        <v>50</v>
      </c>
      <c r="D7383" s="27" t="s">
        <v>7</v>
      </c>
      <c r="E7383" s="27" t="s">
        <v>17</v>
      </c>
      <c r="F7383" s="29"/>
      <c r="G7383" s="30">
        <v>674.77</v>
      </c>
    </row>
    <row r="7384" spans="1:7" hidden="1" x14ac:dyDescent="0.25">
      <c r="A7384" s="28">
        <v>44166</v>
      </c>
      <c r="B7384" s="27" t="s">
        <v>2</v>
      </c>
      <c r="C7384" s="27" t="s">
        <v>50</v>
      </c>
      <c r="D7384" s="27" t="s">
        <v>7</v>
      </c>
      <c r="E7384" s="27" t="s">
        <v>18</v>
      </c>
      <c r="F7384" s="29"/>
      <c r="G7384" s="30">
        <v>56.8</v>
      </c>
    </row>
    <row r="7385" spans="1:7" hidden="1" x14ac:dyDescent="0.25">
      <c r="A7385" s="28">
        <v>44166</v>
      </c>
      <c r="B7385" s="27" t="s">
        <v>2</v>
      </c>
      <c r="C7385" s="27" t="s">
        <v>50</v>
      </c>
      <c r="D7385" s="27" t="s">
        <v>7</v>
      </c>
      <c r="E7385" s="27" t="s">
        <v>19</v>
      </c>
      <c r="F7385" s="29"/>
      <c r="G7385" s="30">
        <v>852.44</v>
      </c>
    </row>
    <row r="7386" spans="1:7" hidden="1" x14ac:dyDescent="0.25">
      <c r="A7386" s="28">
        <v>44166</v>
      </c>
      <c r="B7386" s="27" t="s">
        <v>2</v>
      </c>
      <c r="C7386" s="27" t="s">
        <v>50</v>
      </c>
      <c r="D7386" s="27" t="s">
        <v>7</v>
      </c>
      <c r="E7386" s="27" t="s">
        <v>20</v>
      </c>
      <c r="F7386" s="29"/>
      <c r="G7386" s="30">
        <v>631.91999999999996</v>
      </c>
    </row>
    <row r="7387" spans="1:7" hidden="1" x14ac:dyDescent="0.25">
      <c r="A7387" s="28">
        <v>44166</v>
      </c>
      <c r="B7387" s="27" t="s">
        <v>2</v>
      </c>
      <c r="C7387" s="27" t="s">
        <v>50</v>
      </c>
      <c r="D7387" s="27" t="s">
        <v>7</v>
      </c>
      <c r="E7387" s="27" t="s">
        <v>38</v>
      </c>
      <c r="F7387" s="29"/>
      <c r="G7387" s="30">
        <v>315.08</v>
      </c>
    </row>
    <row r="7388" spans="1:7" hidden="1" x14ac:dyDescent="0.25">
      <c r="A7388" s="28">
        <v>44166</v>
      </c>
      <c r="B7388" s="27" t="s">
        <v>2</v>
      </c>
      <c r="C7388" s="27" t="s">
        <v>50</v>
      </c>
      <c r="D7388" s="27" t="s">
        <v>7</v>
      </c>
      <c r="E7388" s="27" t="s">
        <v>23</v>
      </c>
      <c r="F7388" s="29"/>
      <c r="G7388" s="30">
        <v>871.93</v>
      </c>
    </row>
    <row r="7389" spans="1:7" hidden="1" x14ac:dyDescent="0.25">
      <c r="A7389" s="28">
        <v>44166</v>
      </c>
      <c r="B7389" s="27" t="s">
        <v>36</v>
      </c>
      <c r="C7389" s="27" t="s">
        <v>50</v>
      </c>
      <c r="D7389" s="27" t="s">
        <v>6</v>
      </c>
      <c r="E7389" s="27" t="s">
        <v>8</v>
      </c>
      <c r="F7389" s="29"/>
      <c r="G7389" s="30">
        <v>330.97</v>
      </c>
    </row>
    <row r="7390" spans="1:7" hidden="1" x14ac:dyDescent="0.25">
      <c r="A7390" s="28">
        <v>44166</v>
      </c>
      <c r="B7390" s="27" t="s">
        <v>36</v>
      </c>
      <c r="C7390" s="27" t="s">
        <v>50</v>
      </c>
      <c r="D7390" s="27" t="s">
        <v>6</v>
      </c>
      <c r="E7390" s="27" t="s">
        <v>9</v>
      </c>
      <c r="F7390" s="29"/>
      <c r="G7390" s="30">
        <v>56</v>
      </c>
    </row>
    <row r="7391" spans="1:7" hidden="1" x14ac:dyDescent="0.25">
      <c r="A7391" s="28">
        <v>44166</v>
      </c>
      <c r="B7391" s="27" t="s">
        <v>36</v>
      </c>
      <c r="C7391" s="27" t="s">
        <v>50</v>
      </c>
      <c r="D7391" s="27" t="s">
        <v>6</v>
      </c>
      <c r="E7391" s="27" t="s">
        <v>22</v>
      </c>
      <c r="F7391" s="29"/>
      <c r="G7391" s="30">
        <v>153.5</v>
      </c>
    </row>
    <row r="7392" spans="1:7" hidden="1" x14ac:dyDescent="0.25">
      <c r="A7392" s="28">
        <v>44166</v>
      </c>
      <c r="B7392" s="27" t="s">
        <v>36</v>
      </c>
      <c r="C7392" s="27" t="s">
        <v>50</v>
      </c>
      <c r="D7392" s="27" t="s">
        <v>6</v>
      </c>
      <c r="E7392" s="27" t="s">
        <v>64</v>
      </c>
      <c r="F7392" s="29"/>
      <c r="G7392" s="30">
        <v>59</v>
      </c>
    </row>
    <row r="7393" spans="1:7" hidden="1" x14ac:dyDescent="0.25">
      <c r="A7393" s="28">
        <v>44166</v>
      </c>
      <c r="B7393" s="27" t="s">
        <v>36</v>
      </c>
      <c r="C7393" s="27" t="s">
        <v>50</v>
      </c>
      <c r="D7393" s="27" t="s">
        <v>6</v>
      </c>
      <c r="E7393" s="27" t="s">
        <v>21</v>
      </c>
      <c r="F7393" s="29"/>
      <c r="G7393" s="30">
        <v>98.57</v>
      </c>
    </row>
    <row r="7394" spans="1:7" hidden="1" x14ac:dyDescent="0.25">
      <c r="A7394" s="28">
        <v>44166</v>
      </c>
      <c r="B7394" s="27" t="s">
        <v>36</v>
      </c>
      <c r="C7394" s="27" t="s">
        <v>50</v>
      </c>
      <c r="D7394" s="27" t="s">
        <v>6</v>
      </c>
      <c r="E7394" s="27" t="s">
        <v>10</v>
      </c>
      <c r="F7394" s="29"/>
      <c r="G7394" s="30">
        <v>330.97</v>
      </c>
    </row>
    <row r="7395" spans="1:7" hidden="1" x14ac:dyDescent="0.25">
      <c r="A7395" s="28">
        <v>44166</v>
      </c>
      <c r="B7395" s="27" t="s">
        <v>36</v>
      </c>
      <c r="C7395" s="27" t="s">
        <v>50</v>
      </c>
      <c r="D7395" s="27" t="s">
        <v>6</v>
      </c>
      <c r="E7395" s="27" t="s">
        <v>11</v>
      </c>
      <c r="F7395" s="29"/>
      <c r="G7395" s="30">
        <v>153.5</v>
      </c>
    </row>
    <row r="7396" spans="1:7" hidden="1" x14ac:dyDescent="0.25">
      <c r="A7396" s="28">
        <v>44166</v>
      </c>
      <c r="B7396" s="27" t="s">
        <v>36</v>
      </c>
      <c r="C7396" s="27" t="s">
        <v>50</v>
      </c>
      <c r="D7396" s="27" t="s">
        <v>6</v>
      </c>
      <c r="E7396" s="27" t="s">
        <v>12</v>
      </c>
      <c r="F7396" s="29"/>
      <c r="G7396" s="30">
        <v>78.69</v>
      </c>
    </row>
    <row r="7397" spans="1:7" hidden="1" x14ac:dyDescent="0.25">
      <c r="A7397" s="28">
        <v>44166</v>
      </c>
      <c r="B7397" s="27" t="s">
        <v>36</v>
      </c>
      <c r="C7397" s="27" t="s">
        <v>50</v>
      </c>
      <c r="D7397" s="27" t="s">
        <v>6</v>
      </c>
      <c r="E7397" s="27" t="s">
        <v>13</v>
      </c>
      <c r="F7397" s="29"/>
      <c r="G7397" s="30">
        <v>59</v>
      </c>
    </row>
    <row r="7398" spans="1:7" hidden="1" x14ac:dyDescent="0.25">
      <c r="A7398" s="28">
        <v>44166</v>
      </c>
      <c r="B7398" s="27" t="s">
        <v>36</v>
      </c>
      <c r="C7398" s="27" t="s">
        <v>50</v>
      </c>
      <c r="D7398" s="27" t="s">
        <v>6</v>
      </c>
      <c r="E7398" s="27" t="s">
        <v>14</v>
      </c>
      <c r="F7398" s="29"/>
      <c r="G7398" s="30">
        <v>78.69</v>
      </c>
    </row>
    <row r="7399" spans="1:7" hidden="1" x14ac:dyDescent="0.25">
      <c r="A7399" s="28">
        <v>44166</v>
      </c>
      <c r="B7399" s="27" t="s">
        <v>36</v>
      </c>
      <c r="C7399" s="27" t="s">
        <v>50</v>
      </c>
      <c r="D7399" s="27" t="s">
        <v>6</v>
      </c>
      <c r="E7399" s="27" t="s">
        <v>15</v>
      </c>
      <c r="F7399" s="29"/>
      <c r="G7399" s="30">
        <v>284.19</v>
      </c>
    </row>
    <row r="7400" spans="1:7" hidden="1" x14ac:dyDescent="0.25">
      <c r="A7400" s="28">
        <v>44166</v>
      </c>
      <c r="B7400" s="27" t="s">
        <v>36</v>
      </c>
      <c r="C7400" s="27" t="s">
        <v>50</v>
      </c>
      <c r="D7400" s="27" t="s">
        <v>6</v>
      </c>
      <c r="E7400" s="27" t="s">
        <v>16</v>
      </c>
      <c r="F7400" s="29"/>
      <c r="G7400" s="30">
        <v>284.19</v>
      </c>
    </row>
    <row r="7401" spans="1:7" hidden="1" x14ac:dyDescent="0.25">
      <c r="A7401" s="28">
        <v>44166</v>
      </c>
      <c r="B7401" s="27" t="s">
        <v>36</v>
      </c>
      <c r="C7401" s="27" t="s">
        <v>50</v>
      </c>
      <c r="D7401" s="27" t="s">
        <v>6</v>
      </c>
      <c r="E7401" s="27" t="s">
        <v>17</v>
      </c>
      <c r="F7401" s="29"/>
      <c r="G7401" s="30">
        <v>153.5</v>
      </c>
    </row>
    <row r="7402" spans="1:7" hidden="1" x14ac:dyDescent="0.25">
      <c r="A7402" s="28">
        <v>44166</v>
      </c>
      <c r="B7402" s="27" t="s">
        <v>36</v>
      </c>
      <c r="C7402" s="27" t="s">
        <v>50</v>
      </c>
      <c r="D7402" s="27" t="s">
        <v>6</v>
      </c>
      <c r="E7402" s="27" t="s">
        <v>18</v>
      </c>
      <c r="F7402" s="29"/>
      <c r="G7402" s="30">
        <v>165.5</v>
      </c>
    </row>
    <row r="7403" spans="1:7" hidden="1" x14ac:dyDescent="0.25">
      <c r="A7403" s="28">
        <v>44166</v>
      </c>
      <c r="B7403" s="27" t="s">
        <v>36</v>
      </c>
      <c r="C7403" s="27" t="s">
        <v>50</v>
      </c>
      <c r="D7403" s="27" t="s">
        <v>6</v>
      </c>
      <c r="E7403" s="27" t="s">
        <v>19</v>
      </c>
      <c r="F7403" s="29"/>
      <c r="G7403" s="30">
        <v>296.19</v>
      </c>
    </row>
    <row r="7404" spans="1:7" hidden="1" x14ac:dyDescent="0.25">
      <c r="A7404" s="28">
        <v>44166</v>
      </c>
      <c r="B7404" s="27" t="s">
        <v>36</v>
      </c>
      <c r="C7404" s="27" t="s">
        <v>50</v>
      </c>
      <c r="D7404" s="27" t="s">
        <v>6</v>
      </c>
      <c r="E7404" s="27" t="s">
        <v>20</v>
      </c>
      <c r="F7404" s="29"/>
      <c r="G7404" s="30">
        <v>59</v>
      </c>
    </row>
    <row r="7405" spans="1:7" hidden="1" x14ac:dyDescent="0.25">
      <c r="A7405" s="28">
        <v>44166</v>
      </c>
      <c r="B7405" s="27" t="s">
        <v>36</v>
      </c>
      <c r="C7405" s="27" t="s">
        <v>50</v>
      </c>
      <c r="D7405" s="27" t="s">
        <v>6</v>
      </c>
      <c r="E7405" s="27" t="s">
        <v>38</v>
      </c>
      <c r="F7405" s="29"/>
      <c r="G7405" s="30">
        <v>56</v>
      </c>
    </row>
    <row r="7406" spans="1:7" hidden="1" x14ac:dyDescent="0.25">
      <c r="A7406" s="28">
        <v>44166</v>
      </c>
      <c r="B7406" s="27" t="s">
        <v>36</v>
      </c>
      <c r="C7406" s="27" t="s">
        <v>50</v>
      </c>
      <c r="D7406" s="27" t="s">
        <v>6</v>
      </c>
      <c r="E7406" s="27" t="s">
        <v>23</v>
      </c>
      <c r="F7406" s="29"/>
      <c r="G7406" s="30">
        <v>153.5</v>
      </c>
    </row>
    <row r="7407" spans="1:7" hidden="1" x14ac:dyDescent="0.25">
      <c r="A7407" s="28">
        <v>44166</v>
      </c>
      <c r="B7407" s="27" t="s">
        <v>200</v>
      </c>
      <c r="C7407" s="27" t="s">
        <v>53</v>
      </c>
      <c r="D7407" s="27" t="s">
        <v>6</v>
      </c>
      <c r="E7407" s="27" t="s">
        <v>8</v>
      </c>
      <c r="F7407" s="29"/>
      <c r="G7407" s="30">
        <f t="shared" ref="G7407:G7424" si="136">11937.7217333333/18</f>
        <v>663.20676296296108</v>
      </c>
    </row>
    <row r="7408" spans="1:7" hidden="1" x14ac:dyDescent="0.25">
      <c r="A7408" s="28">
        <v>44166</v>
      </c>
      <c r="B7408" s="27" t="s">
        <v>200</v>
      </c>
      <c r="C7408" s="27" t="s">
        <v>53</v>
      </c>
      <c r="D7408" s="27" t="s">
        <v>6</v>
      </c>
      <c r="E7408" s="27" t="s">
        <v>9</v>
      </c>
      <c r="F7408" s="29"/>
      <c r="G7408" s="30">
        <f t="shared" si="136"/>
        <v>663.20676296296108</v>
      </c>
    </row>
    <row r="7409" spans="1:7" hidden="1" x14ac:dyDescent="0.25">
      <c r="A7409" s="28">
        <v>44166</v>
      </c>
      <c r="B7409" s="27" t="s">
        <v>200</v>
      </c>
      <c r="C7409" s="27" t="s">
        <v>53</v>
      </c>
      <c r="D7409" s="27" t="s">
        <v>6</v>
      </c>
      <c r="E7409" s="27" t="s">
        <v>22</v>
      </c>
      <c r="F7409" s="29"/>
      <c r="G7409" s="30">
        <f t="shared" si="136"/>
        <v>663.20676296296108</v>
      </c>
    </row>
    <row r="7410" spans="1:7" hidden="1" x14ac:dyDescent="0.25">
      <c r="A7410" s="28">
        <v>44166</v>
      </c>
      <c r="B7410" s="27" t="s">
        <v>200</v>
      </c>
      <c r="C7410" s="27" t="s">
        <v>53</v>
      </c>
      <c r="D7410" s="27" t="s">
        <v>6</v>
      </c>
      <c r="E7410" s="27" t="s">
        <v>64</v>
      </c>
      <c r="F7410" s="29"/>
      <c r="G7410" s="30">
        <f t="shared" si="136"/>
        <v>663.20676296296108</v>
      </c>
    </row>
    <row r="7411" spans="1:7" hidden="1" x14ac:dyDescent="0.25">
      <c r="A7411" s="28">
        <v>44166</v>
      </c>
      <c r="B7411" s="27" t="s">
        <v>200</v>
      </c>
      <c r="C7411" s="27" t="s">
        <v>53</v>
      </c>
      <c r="D7411" s="27" t="s">
        <v>6</v>
      </c>
      <c r="E7411" s="27" t="s">
        <v>21</v>
      </c>
      <c r="F7411" s="29"/>
      <c r="G7411" s="30">
        <f t="shared" si="136"/>
        <v>663.20676296296108</v>
      </c>
    </row>
    <row r="7412" spans="1:7" hidden="1" x14ac:dyDescent="0.25">
      <c r="A7412" s="28">
        <v>44166</v>
      </c>
      <c r="B7412" s="27" t="s">
        <v>200</v>
      </c>
      <c r="C7412" s="27" t="s">
        <v>53</v>
      </c>
      <c r="D7412" s="27" t="s">
        <v>6</v>
      </c>
      <c r="E7412" s="27" t="s">
        <v>10</v>
      </c>
      <c r="F7412" s="29"/>
      <c r="G7412" s="30">
        <f t="shared" si="136"/>
        <v>663.20676296296108</v>
      </c>
    </row>
    <row r="7413" spans="1:7" hidden="1" x14ac:dyDescent="0.25">
      <c r="A7413" s="28">
        <v>44166</v>
      </c>
      <c r="B7413" s="27" t="s">
        <v>200</v>
      </c>
      <c r="C7413" s="27" t="s">
        <v>53</v>
      </c>
      <c r="D7413" s="27" t="s">
        <v>6</v>
      </c>
      <c r="E7413" s="27" t="s">
        <v>11</v>
      </c>
      <c r="F7413" s="29"/>
      <c r="G7413" s="30">
        <f t="shared" si="136"/>
        <v>663.20676296296108</v>
      </c>
    </row>
    <row r="7414" spans="1:7" hidden="1" x14ac:dyDescent="0.25">
      <c r="A7414" s="28">
        <v>44166</v>
      </c>
      <c r="B7414" s="27" t="s">
        <v>200</v>
      </c>
      <c r="C7414" s="27" t="s">
        <v>53</v>
      </c>
      <c r="D7414" s="27" t="s">
        <v>6</v>
      </c>
      <c r="E7414" s="27" t="s">
        <v>12</v>
      </c>
      <c r="F7414" s="29"/>
      <c r="G7414" s="30">
        <f t="shared" si="136"/>
        <v>663.20676296296108</v>
      </c>
    </row>
    <row r="7415" spans="1:7" hidden="1" x14ac:dyDescent="0.25">
      <c r="A7415" s="28">
        <v>44166</v>
      </c>
      <c r="B7415" s="27" t="s">
        <v>200</v>
      </c>
      <c r="C7415" s="27" t="s">
        <v>53</v>
      </c>
      <c r="D7415" s="27" t="s">
        <v>6</v>
      </c>
      <c r="E7415" s="27" t="s">
        <v>13</v>
      </c>
      <c r="F7415" s="29"/>
      <c r="G7415" s="30">
        <f t="shared" si="136"/>
        <v>663.20676296296108</v>
      </c>
    </row>
    <row r="7416" spans="1:7" hidden="1" x14ac:dyDescent="0.25">
      <c r="A7416" s="28">
        <v>44166</v>
      </c>
      <c r="B7416" s="27" t="s">
        <v>200</v>
      </c>
      <c r="C7416" s="27" t="s">
        <v>53</v>
      </c>
      <c r="D7416" s="27" t="s">
        <v>6</v>
      </c>
      <c r="E7416" s="27" t="s">
        <v>14</v>
      </c>
      <c r="F7416" s="29"/>
      <c r="G7416" s="30">
        <f t="shared" si="136"/>
        <v>663.20676296296108</v>
      </c>
    </row>
    <row r="7417" spans="1:7" hidden="1" x14ac:dyDescent="0.25">
      <c r="A7417" s="28">
        <v>44166</v>
      </c>
      <c r="B7417" s="27" t="s">
        <v>200</v>
      </c>
      <c r="C7417" s="27" t="s">
        <v>53</v>
      </c>
      <c r="D7417" s="27" t="s">
        <v>6</v>
      </c>
      <c r="E7417" s="27" t="s">
        <v>15</v>
      </c>
      <c r="F7417" s="29"/>
      <c r="G7417" s="30">
        <f t="shared" si="136"/>
        <v>663.20676296296108</v>
      </c>
    </row>
    <row r="7418" spans="1:7" hidden="1" x14ac:dyDescent="0.25">
      <c r="A7418" s="28">
        <v>44166</v>
      </c>
      <c r="B7418" s="27" t="s">
        <v>200</v>
      </c>
      <c r="C7418" s="27" t="s">
        <v>53</v>
      </c>
      <c r="D7418" s="27" t="s">
        <v>6</v>
      </c>
      <c r="E7418" s="27" t="s">
        <v>16</v>
      </c>
      <c r="F7418" s="29"/>
      <c r="G7418" s="30">
        <f t="shared" si="136"/>
        <v>663.20676296296108</v>
      </c>
    </row>
    <row r="7419" spans="1:7" hidden="1" x14ac:dyDescent="0.25">
      <c r="A7419" s="28">
        <v>44166</v>
      </c>
      <c r="B7419" s="27" t="s">
        <v>200</v>
      </c>
      <c r="C7419" s="27" t="s">
        <v>53</v>
      </c>
      <c r="D7419" s="27" t="s">
        <v>6</v>
      </c>
      <c r="E7419" s="27" t="s">
        <v>17</v>
      </c>
      <c r="F7419" s="29"/>
      <c r="G7419" s="30">
        <f t="shared" si="136"/>
        <v>663.20676296296108</v>
      </c>
    </row>
    <row r="7420" spans="1:7" hidden="1" x14ac:dyDescent="0.25">
      <c r="A7420" s="28">
        <v>44166</v>
      </c>
      <c r="B7420" s="27" t="s">
        <v>200</v>
      </c>
      <c r="C7420" s="27" t="s">
        <v>53</v>
      </c>
      <c r="D7420" s="27" t="s">
        <v>6</v>
      </c>
      <c r="E7420" s="27" t="s">
        <v>18</v>
      </c>
      <c r="F7420" s="29"/>
      <c r="G7420" s="30">
        <f t="shared" si="136"/>
        <v>663.20676296296108</v>
      </c>
    </row>
    <row r="7421" spans="1:7" hidden="1" x14ac:dyDescent="0.25">
      <c r="A7421" s="28">
        <v>44166</v>
      </c>
      <c r="B7421" s="27" t="s">
        <v>200</v>
      </c>
      <c r="C7421" s="27" t="s">
        <v>53</v>
      </c>
      <c r="D7421" s="27" t="s">
        <v>6</v>
      </c>
      <c r="E7421" s="27" t="s">
        <v>19</v>
      </c>
      <c r="F7421" s="29"/>
      <c r="G7421" s="30">
        <f t="shared" si="136"/>
        <v>663.20676296296108</v>
      </c>
    </row>
    <row r="7422" spans="1:7" hidden="1" x14ac:dyDescent="0.25">
      <c r="A7422" s="28">
        <v>44166</v>
      </c>
      <c r="B7422" s="27" t="s">
        <v>200</v>
      </c>
      <c r="C7422" s="27" t="s">
        <v>53</v>
      </c>
      <c r="D7422" s="27" t="s">
        <v>6</v>
      </c>
      <c r="E7422" s="27" t="s">
        <v>20</v>
      </c>
      <c r="F7422" s="29"/>
      <c r="G7422" s="30">
        <f t="shared" si="136"/>
        <v>663.20676296296108</v>
      </c>
    </row>
    <row r="7423" spans="1:7" hidden="1" x14ac:dyDescent="0.25">
      <c r="A7423" s="28">
        <v>44166</v>
      </c>
      <c r="B7423" s="27" t="s">
        <v>200</v>
      </c>
      <c r="C7423" s="27" t="s">
        <v>53</v>
      </c>
      <c r="D7423" s="27" t="s">
        <v>6</v>
      </c>
      <c r="E7423" s="27" t="s">
        <v>38</v>
      </c>
      <c r="F7423" s="29"/>
      <c r="G7423" s="30">
        <f t="shared" si="136"/>
        <v>663.20676296296108</v>
      </c>
    </row>
    <row r="7424" spans="1:7" hidden="1" x14ac:dyDescent="0.25">
      <c r="A7424" s="28">
        <v>44166</v>
      </c>
      <c r="B7424" s="27" t="s">
        <v>200</v>
      </c>
      <c r="C7424" s="27" t="s">
        <v>53</v>
      </c>
      <c r="D7424" s="27" t="s">
        <v>6</v>
      </c>
      <c r="E7424" s="27" t="s">
        <v>23</v>
      </c>
      <c r="F7424" s="29"/>
      <c r="G7424" s="30">
        <f t="shared" si="136"/>
        <v>663.20676296296108</v>
      </c>
    </row>
    <row r="7425" spans="1:7" hidden="1" x14ac:dyDescent="0.25">
      <c r="A7425" s="28">
        <v>44166</v>
      </c>
      <c r="B7425" s="27" t="s">
        <v>200</v>
      </c>
      <c r="C7425" s="27" t="s">
        <v>54</v>
      </c>
      <c r="D7425" s="27" t="s">
        <v>7</v>
      </c>
      <c r="E7425" s="27" t="s">
        <v>8</v>
      </c>
      <c r="F7425" s="29"/>
      <c r="G7425" s="30">
        <f t="shared" ref="G7425:G7440" si="137">257.31/16</f>
        <v>16.081875</v>
      </c>
    </row>
    <row r="7426" spans="1:7" hidden="1" x14ac:dyDescent="0.25">
      <c r="A7426" s="28">
        <v>44166</v>
      </c>
      <c r="B7426" s="27" t="s">
        <v>200</v>
      </c>
      <c r="C7426" s="27" t="s">
        <v>54</v>
      </c>
      <c r="D7426" s="27" t="s">
        <v>7</v>
      </c>
      <c r="E7426" s="27" t="s">
        <v>9</v>
      </c>
      <c r="F7426" s="29"/>
      <c r="G7426" s="30">
        <f t="shared" si="137"/>
        <v>16.081875</v>
      </c>
    </row>
    <row r="7427" spans="1:7" hidden="1" x14ac:dyDescent="0.25">
      <c r="A7427" s="28">
        <v>44166</v>
      </c>
      <c r="B7427" s="27" t="s">
        <v>200</v>
      </c>
      <c r="C7427" s="27" t="s">
        <v>54</v>
      </c>
      <c r="D7427" s="27" t="s">
        <v>7</v>
      </c>
      <c r="E7427" s="27" t="s">
        <v>22</v>
      </c>
      <c r="F7427" s="29"/>
      <c r="G7427" s="30">
        <f t="shared" si="137"/>
        <v>16.081875</v>
      </c>
    </row>
    <row r="7428" spans="1:7" hidden="1" x14ac:dyDescent="0.25">
      <c r="A7428" s="28">
        <v>44166</v>
      </c>
      <c r="B7428" s="27" t="s">
        <v>200</v>
      </c>
      <c r="C7428" s="27" t="s">
        <v>54</v>
      </c>
      <c r="D7428" s="27" t="s">
        <v>7</v>
      </c>
      <c r="E7428" s="27" t="s">
        <v>21</v>
      </c>
      <c r="F7428" s="29"/>
      <c r="G7428" s="30">
        <f t="shared" si="137"/>
        <v>16.081875</v>
      </c>
    </row>
    <row r="7429" spans="1:7" hidden="1" x14ac:dyDescent="0.25">
      <c r="A7429" s="28">
        <v>44166</v>
      </c>
      <c r="B7429" s="27" t="s">
        <v>200</v>
      </c>
      <c r="C7429" s="27" t="s">
        <v>54</v>
      </c>
      <c r="D7429" s="27" t="s">
        <v>7</v>
      </c>
      <c r="E7429" s="27" t="s">
        <v>10</v>
      </c>
      <c r="F7429" s="29"/>
      <c r="G7429" s="30">
        <f t="shared" si="137"/>
        <v>16.081875</v>
      </c>
    </row>
    <row r="7430" spans="1:7" hidden="1" x14ac:dyDescent="0.25">
      <c r="A7430" s="28">
        <v>44166</v>
      </c>
      <c r="B7430" s="27" t="s">
        <v>200</v>
      </c>
      <c r="C7430" s="27" t="s">
        <v>54</v>
      </c>
      <c r="D7430" s="27" t="s">
        <v>7</v>
      </c>
      <c r="E7430" s="27" t="s">
        <v>11</v>
      </c>
      <c r="F7430" s="29"/>
      <c r="G7430" s="30">
        <f t="shared" si="137"/>
        <v>16.081875</v>
      </c>
    </row>
    <row r="7431" spans="1:7" hidden="1" x14ac:dyDescent="0.25">
      <c r="A7431" s="28">
        <v>44166</v>
      </c>
      <c r="B7431" s="27" t="s">
        <v>200</v>
      </c>
      <c r="C7431" s="27" t="s">
        <v>54</v>
      </c>
      <c r="D7431" s="27" t="s">
        <v>7</v>
      </c>
      <c r="E7431" s="27" t="s">
        <v>13</v>
      </c>
      <c r="F7431" s="29"/>
      <c r="G7431" s="30">
        <f t="shared" si="137"/>
        <v>16.081875</v>
      </c>
    </row>
    <row r="7432" spans="1:7" hidden="1" x14ac:dyDescent="0.25">
      <c r="A7432" s="28">
        <v>44166</v>
      </c>
      <c r="B7432" s="27" t="s">
        <v>200</v>
      </c>
      <c r="C7432" s="27" t="s">
        <v>54</v>
      </c>
      <c r="D7432" s="27" t="s">
        <v>7</v>
      </c>
      <c r="E7432" s="27" t="s">
        <v>14</v>
      </c>
      <c r="F7432" s="29"/>
      <c r="G7432" s="30">
        <f t="shared" si="137"/>
        <v>16.081875</v>
      </c>
    </row>
    <row r="7433" spans="1:7" hidden="1" x14ac:dyDescent="0.25">
      <c r="A7433" s="28">
        <v>44166</v>
      </c>
      <c r="B7433" s="27" t="s">
        <v>200</v>
      </c>
      <c r="C7433" s="27" t="s">
        <v>54</v>
      </c>
      <c r="D7433" s="27" t="s">
        <v>7</v>
      </c>
      <c r="E7433" s="27" t="s">
        <v>15</v>
      </c>
      <c r="F7433" s="29"/>
      <c r="G7433" s="30">
        <f t="shared" si="137"/>
        <v>16.081875</v>
      </c>
    </row>
    <row r="7434" spans="1:7" hidden="1" x14ac:dyDescent="0.25">
      <c r="A7434" s="28">
        <v>44166</v>
      </c>
      <c r="B7434" s="27" t="s">
        <v>200</v>
      </c>
      <c r="C7434" s="27" t="s">
        <v>54</v>
      </c>
      <c r="D7434" s="27" t="s">
        <v>7</v>
      </c>
      <c r="E7434" s="27" t="s">
        <v>16</v>
      </c>
      <c r="F7434" s="29"/>
      <c r="G7434" s="30">
        <f t="shared" si="137"/>
        <v>16.081875</v>
      </c>
    </row>
    <row r="7435" spans="1:7" hidden="1" x14ac:dyDescent="0.25">
      <c r="A7435" s="28">
        <v>44166</v>
      </c>
      <c r="B7435" s="27" t="s">
        <v>200</v>
      </c>
      <c r="C7435" s="27" t="s">
        <v>54</v>
      </c>
      <c r="D7435" s="27" t="s">
        <v>7</v>
      </c>
      <c r="E7435" s="27" t="s">
        <v>17</v>
      </c>
      <c r="F7435" s="29"/>
      <c r="G7435" s="30">
        <f t="shared" si="137"/>
        <v>16.081875</v>
      </c>
    </row>
    <row r="7436" spans="1:7" hidden="1" x14ac:dyDescent="0.25">
      <c r="A7436" s="28">
        <v>44166</v>
      </c>
      <c r="B7436" s="27" t="s">
        <v>200</v>
      </c>
      <c r="C7436" s="27" t="s">
        <v>54</v>
      </c>
      <c r="D7436" s="27" t="s">
        <v>7</v>
      </c>
      <c r="E7436" s="27" t="s">
        <v>18</v>
      </c>
      <c r="F7436" s="29"/>
      <c r="G7436" s="30">
        <f t="shared" si="137"/>
        <v>16.081875</v>
      </c>
    </row>
    <row r="7437" spans="1:7" hidden="1" x14ac:dyDescent="0.25">
      <c r="A7437" s="28">
        <v>44166</v>
      </c>
      <c r="B7437" s="27" t="s">
        <v>200</v>
      </c>
      <c r="C7437" s="27" t="s">
        <v>54</v>
      </c>
      <c r="D7437" s="27" t="s">
        <v>7</v>
      </c>
      <c r="E7437" s="27" t="s">
        <v>19</v>
      </c>
      <c r="F7437" s="29"/>
      <c r="G7437" s="30">
        <f t="shared" si="137"/>
        <v>16.081875</v>
      </c>
    </row>
    <row r="7438" spans="1:7" hidden="1" x14ac:dyDescent="0.25">
      <c r="A7438" s="28">
        <v>44166</v>
      </c>
      <c r="B7438" s="27" t="s">
        <v>200</v>
      </c>
      <c r="C7438" s="27" t="s">
        <v>54</v>
      </c>
      <c r="D7438" s="27" t="s">
        <v>7</v>
      </c>
      <c r="E7438" s="27" t="s">
        <v>20</v>
      </c>
      <c r="F7438" s="29"/>
      <c r="G7438" s="30">
        <f t="shared" si="137"/>
        <v>16.081875</v>
      </c>
    </row>
    <row r="7439" spans="1:7" hidden="1" x14ac:dyDescent="0.25">
      <c r="A7439" s="28">
        <v>44166</v>
      </c>
      <c r="B7439" s="27" t="s">
        <v>200</v>
      </c>
      <c r="C7439" s="27" t="s">
        <v>54</v>
      </c>
      <c r="D7439" s="27" t="s">
        <v>7</v>
      </c>
      <c r="E7439" s="27" t="s">
        <v>38</v>
      </c>
      <c r="F7439" s="29"/>
      <c r="G7439" s="30">
        <f t="shared" si="137"/>
        <v>16.081875</v>
      </c>
    </row>
    <row r="7440" spans="1:7" hidden="1" x14ac:dyDescent="0.25">
      <c r="A7440" s="28">
        <v>44166</v>
      </c>
      <c r="B7440" s="27" t="s">
        <v>200</v>
      </c>
      <c r="C7440" s="27" t="s">
        <v>54</v>
      </c>
      <c r="D7440" s="27" t="s">
        <v>7</v>
      </c>
      <c r="E7440" s="27" t="s">
        <v>23</v>
      </c>
      <c r="F7440" s="29"/>
      <c r="G7440" s="30">
        <f t="shared" si="137"/>
        <v>16.081875</v>
      </c>
    </row>
    <row r="7441" spans="1:7" hidden="1" x14ac:dyDescent="0.25">
      <c r="A7441" s="28">
        <v>44166</v>
      </c>
      <c r="B7441" s="27" t="s">
        <v>200</v>
      </c>
      <c r="C7441" s="27" t="s">
        <v>55</v>
      </c>
      <c r="D7441" s="27" t="s">
        <v>6</v>
      </c>
      <c r="E7441" s="27" t="s">
        <v>8</v>
      </c>
      <c r="F7441" s="29"/>
      <c r="G7441" s="30">
        <f t="shared" ref="G7441:G7458" si="138">19805.9148888889/18</f>
        <v>1100.3286049382723</v>
      </c>
    </row>
    <row r="7442" spans="1:7" hidden="1" x14ac:dyDescent="0.25">
      <c r="A7442" s="28">
        <v>44166</v>
      </c>
      <c r="B7442" s="27" t="s">
        <v>200</v>
      </c>
      <c r="C7442" s="27" t="s">
        <v>55</v>
      </c>
      <c r="D7442" s="27" t="s">
        <v>6</v>
      </c>
      <c r="E7442" s="27" t="s">
        <v>9</v>
      </c>
      <c r="F7442" s="29"/>
      <c r="G7442" s="30">
        <f t="shared" si="138"/>
        <v>1100.3286049382723</v>
      </c>
    </row>
    <row r="7443" spans="1:7" hidden="1" x14ac:dyDescent="0.25">
      <c r="A7443" s="28">
        <v>44166</v>
      </c>
      <c r="B7443" s="27" t="s">
        <v>200</v>
      </c>
      <c r="C7443" s="27" t="s">
        <v>55</v>
      </c>
      <c r="D7443" s="27" t="s">
        <v>6</v>
      </c>
      <c r="E7443" s="27" t="s">
        <v>22</v>
      </c>
      <c r="F7443" s="29"/>
      <c r="G7443" s="30">
        <f t="shared" si="138"/>
        <v>1100.3286049382723</v>
      </c>
    </row>
    <row r="7444" spans="1:7" hidden="1" x14ac:dyDescent="0.25">
      <c r="A7444" s="28">
        <v>44166</v>
      </c>
      <c r="B7444" s="27" t="s">
        <v>200</v>
      </c>
      <c r="C7444" s="27" t="s">
        <v>55</v>
      </c>
      <c r="D7444" s="27" t="s">
        <v>6</v>
      </c>
      <c r="E7444" s="27" t="s">
        <v>64</v>
      </c>
      <c r="F7444" s="29"/>
      <c r="G7444" s="30">
        <f t="shared" si="138"/>
        <v>1100.3286049382723</v>
      </c>
    </row>
    <row r="7445" spans="1:7" hidden="1" x14ac:dyDescent="0.25">
      <c r="A7445" s="28">
        <v>44166</v>
      </c>
      <c r="B7445" s="27" t="s">
        <v>200</v>
      </c>
      <c r="C7445" s="27" t="s">
        <v>55</v>
      </c>
      <c r="D7445" s="27" t="s">
        <v>6</v>
      </c>
      <c r="E7445" s="27" t="s">
        <v>21</v>
      </c>
      <c r="F7445" s="29"/>
      <c r="G7445" s="30">
        <f t="shared" si="138"/>
        <v>1100.3286049382723</v>
      </c>
    </row>
    <row r="7446" spans="1:7" hidden="1" x14ac:dyDescent="0.25">
      <c r="A7446" s="28">
        <v>44166</v>
      </c>
      <c r="B7446" s="27" t="s">
        <v>200</v>
      </c>
      <c r="C7446" s="27" t="s">
        <v>55</v>
      </c>
      <c r="D7446" s="27" t="s">
        <v>6</v>
      </c>
      <c r="E7446" s="27" t="s">
        <v>10</v>
      </c>
      <c r="F7446" s="29"/>
      <c r="G7446" s="30">
        <f t="shared" si="138"/>
        <v>1100.3286049382723</v>
      </c>
    </row>
    <row r="7447" spans="1:7" hidden="1" x14ac:dyDescent="0.25">
      <c r="A7447" s="28">
        <v>44166</v>
      </c>
      <c r="B7447" s="27" t="s">
        <v>200</v>
      </c>
      <c r="C7447" s="27" t="s">
        <v>55</v>
      </c>
      <c r="D7447" s="27" t="s">
        <v>6</v>
      </c>
      <c r="E7447" s="27" t="s">
        <v>11</v>
      </c>
      <c r="F7447" s="29"/>
      <c r="G7447" s="30">
        <f t="shared" si="138"/>
        <v>1100.3286049382723</v>
      </c>
    </row>
    <row r="7448" spans="1:7" hidden="1" x14ac:dyDescent="0.25">
      <c r="A7448" s="28">
        <v>44166</v>
      </c>
      <c r="B7448" s="27" t="s">
        <v>200</v>
      </c>
      <c r="C7448" s="27" t="s">
        <v>55</v>
      </c>
      <c r="D7448" s="27" t="s">
        <v>6</v>
      </c>
      <c r="E7448" s="27" t="s">
        <v>12</v>
      </c>
      <c r="F7448" s="29"/>
      <c r="G7448" s="30">
        <f t="shared" si="138"/>
        <v>1100.3286049382723</v>
      </c>
    </row>
    <row r="7449" spans="1:7" hidden="1" x14ac:dyDescent="0.25">
      <c r="A7449" s="28">
        <v>44166</v>
      </c>
      <c r="B7449" s="27" t="s">
        <v>200</v>
      </c>
      <c r="C7449" s="27" t="s">
        <v>55</v>
      </c>
      <c r="D7449" s="27" t="s">
        <v>6</v>
      </c>
      <c r="E7449" s="27" t="s">
        <v>13</v>
      </c>
      <c r="F7449" s="29"/>
      <c r="G7449" s="30">
        <f t="shared" si="138"/>
        <v>1100.3286049382723</v>
      </c>
    </row>
    <row r="7450" spans="1:7" hidden="1" x14ac:dyDescent="0.25">
      <c r="A7450" s="28">
        <v>44166</v>
      </c>
      <c r="B7450" s="27" t="s">
        <v>200</v>
      </c>
      <c r="C7450" s="27" t="s">
        <v>55</v>
      </c>
      <c r="D7450" s="27" t="s">
        <v>6</v>
      </c>
      <c r="E7450" s="27" t="s">
        <v>14</v>
      </c>
      <c r="F7450" s="29"/>
      <c r="G7450" s="30">
        <f t="shared" si="138"/>
        <v>1100.3286049382723</v>
      </c>
    </row>
    <row r="7451" spans="1:7" hidden="1" x14ac:dyDescent="0.25">
      <c r="A7451" s="28">
        <v>44166</v>
      </c>
      <c r="B7451" s="27" t="s">
        <v>200</v>
      </c>
      <c r="C7451" s="27" t="s">
        <v>55</v>
      </c>
      <c r="D7451" s="27" t="s">
        <v>6</v>
      </c>
      <c r="E7451" s="27" t="s">
        <v>15</v>
      </c>
      <c r="F7451" s="29"/>
      <c r="G7451" s="30">
        <f t="shared" si="138"/>
        <v>1100.3286049382723</v>
      </c>
    </row>
    <row r="7452" spans="1:7" hidden="1" x14ac:dyDescent="0.25">
      <c r="A7452" s="28">
        <v>44166</v>
      </c>
      <c r="B7452" s="27" t="s">
        <v>200</v>
      </c>
      <c r="C7452" s="27" t="s">
        <v>55</v>
      </c>
      <c r="D7452" s="27" t="s">
        <v>6</v>
      </c>
      <c r="E7452" s="27" t="s">
        <v>16</v>
      </c>
      <c r="F7452" s="29"/>
      <c r="G7452" s="30">
        <f t="shared" si="138"/>
        <v>1100.3286049382723</v>
      </c>
    </row>
    <row r="7453" spans="1:7" hidden="1" x14ac:dyDescent="0.25">
      <c r="A7453" s="28">
        <v>44166</v>
      </c>
      <c r="B7453" s="27" t="s">
        <v>200</v>
      </c>
      <c r="C7453" s="27" t="s">
        <v>55</v>
      </c>
      <c r="D7453" s="27" t="s">
        <v>6</v>
      </c>
      <c r="E7453" s="27" t="s">
        <v>17</v>
      </c>
      <c r="F7453" s="29"/>
      <c r="G7453" s="30">
        <f t="shared" si="138"/>
        <v>1100.3286049382723</v>
      </c>
    </row>
    <row r="7454" spans="1:7" hidden="1" x14ac:dyDescent="0.25">
      <c r="A7454" s="28">
        <v>44166</v>
      </c>
      <c r="B7454" s="27" t="s">
        <v>200</v>
      </c>
      <c r="C7454" s="27" t="s">
        <v>55</v>
      </c>
      <c r="D7454" s="27" t="s">
        <v>6</v>
      </c>
      <c r="E7454" s="27" t="s">
        <v>18</v>
      </c>
      <c r="F7454" s="29"/>
      <c r="G7454" s="30">
        <f t="shared" si="138"/>
        <v>1100.3286049382723</v>
      </c>
    </row>
    <row r="7455" spans="1:7" hidden="1" x14ac:dyDescent="0.25">
      <c r="A7455" s="28">
        <v>44166</v>
      </c>
      <c r="B7455" s="27" t="s">
        <v>200</v>
      </c>
      <c r="C7455" s="27" t="s">
        <v>55</v>
      </c>
      <c r="D7455" s="27" t="s">
        <v>6</v>
      </c>
      <c r="E7455" s="27" t="s">
        <v>19</v>
      </c>
      <c r="F7455" s="29"/>
      <c r="G7455" s="30">
        <f t="shared" si="138"/>
        <v>1100.3286049382723</v>
      </c>
    </row>
    <row r="7456" spans="1:7" hidden="1" x14ac:dyDescent="0.25">
      <c r="A7456" s="28">
        <v>44166</v>
      </c>
      <c r="B7456" s="27" t="s">
        <v>200</v>
      </c>
      <c r="C7456" s="27" t="s">
        <v>55</v>
      </c>
      <c r="D7456" s="27" t="s">
        <v>6</v>
      </c>
      <c r="E7456" s="27" t="s">
        <v>20</v>
      </c>
      <c r="F7456" s="29"/>
      <c r="G7456" s="30">
        <f t="shared" si="138"/>
        <v>1100.3286049382723</v>
      </c>
    </row>
    <row r="7457" spans="1:7" hidden="1" x14ac:dyDescent="0.25">
      <c r="A7457" s="28">
        <v>44166</v>
      </c>
      <c r="B7457" s="27" t="s">
        <v>200</v>
      </c>
      <c r="C7457" s="27" t="s">
        <v>55</v>
      </c>
      <c r="D7457" s="27" t="s">
        <v>6</v>
      </c>
      <c r="E7457" s="27" t="s">
        <v>38</v>
      </c>
      <c r="F7457" s="29"/>
      <c r="G7457" s="30">
        <f t="shared" si="138"/>
        <v>1100.3286049382723</v>
      </c>
    </row>
    <row r="7458" spans="1:7" hidden="1" x14ac:dyDescent="0.25">
      <c r="A7458" s="28">
        <v>44166</v>
      </c>
      <c r="B7458" s="27" t="s">
        <v>200</v>
      </c>
      <c r="C7458" s="27" t="s">
        <v>55</v>
      </c>
      <c r="D7458" s="27" t="s">
        <v>6</v>
      </c>
      <c r="E7458" s="27" t="s">
        <v>23</v>
      </c>
      <c r="F7458" s="29"/>
      <c r="G7458" s="30">
        <f t="shared" si="138"/>
        <v>1100.3286049382723</v>
      </c>
    </row>
    <row r="7459" spans="1:7" hidden="1" x14ac:dyDescent="0.25">
      <c r="A7459" s="28">
        <v>44166</v>
      </c>
      <c r="B7459" s="27" t="s">
        <v>200</v>
      </c>
      <c r="C7459" s="27" t="s">
        <v>183</v>
      </c>
      <c r="D7459" s="27" t="s">
        <v>7</v>
      </c>
      <c r="E7459" s="27" t="s">
        <v>8</v>
      </c>
      <c r="F7459" s="29"/>
      <c r="G7459" s="30">
        <f t="shared" ref="G7459:G7474" si="139">2269.61/16</f>
        <v>141.85062500000001</v>
      </c>
    </row>
    <row r="7460" spans="1:7" hidden="1" x14ac:dyDescent="0.25">
      <c r="A7460" s="28">
        <v>44166</v>
      </c>
      <c r="B7460" s="27" t="s">
        <v>200</v>
      </c>
      <c r="C7460" s="27" t="s">
        <v>183</v>
      </c>
      <c r="D7460" s="27" t="s">
        <v>7</v>
      </c>
      <c r="E7460" s="27" t="s">
        <v>9</v>
      </c>
      <c r="F7460" s="29"/>
      <c r="G7460" s="30">
        <f t="shared" si="139"/>
        <v>141.85062500000001</v>
      </c>
    </row>
    <row r="7461" spans="1:7" hidden="1" x14ac:dyDescent="0.25">
      <c r="A7461" s="28">
        <v>44166</v>
      </c>
      <c r="B7461" s="27" t="s">
        <v>200</v>
      </c>
      <c r="C7461" s="27" t="s">
        <v>183</v>
      </c>
      <c r="D7461" s="27" t="s">
        <v>7</v>
      </c>
      <c r="E7461" s="27" t="s">
        <v>22</v>
      </c>
      <c r="F7461" s="29"/>
      <c r="G7461" s="30">
        <f t="shared" si="139"/>
        <v>141.85062500000001</v>
      </c>
    </row>
    <row r="7462" spans="1:7" hidden="1" x14ac:dyDescent="0.25">
      <c r="A7462" s="28">
        <v>44166</v>
      </c>
      <c r="B7462" s="27" t="s">
        <v>200</v>
      </c>
      <c r="C7462" s="27" t="s">
        <v>183</v>
      </c>
      <c r="D7462" s="27" t="s">
        <v>7</v>
      </c>
      <c r="E7462" s="27" t="s">
        <v>21</v>
      </c>
      <c r="F7462" s="29"/>
      <c r="G7462" s="30">
        <f t="shared" si="139"/>
        <v>141.85062500000001</v>
      </c>
    </row>
    <row r="7463" spans="1:7" hidden="1" x14ac:dyDescent="0.25">
      <c r="A7463" s="28">
        <v>44166</v>
      </c>
      <c r="B7463" s="27" t="s">
        <v>200</v>
      </c>
      <c r="C7463" s="27" t="s">
        <v>183</v>
      </c>
      <c r="D7463" s="27" t="s">
        <v>7</v>
      </c>
      <c r="E7463" s="27" t="s">
        <v>10</v>
      </c>
      <c r="F7463" s="29"/>
      <c r="G7463" s="30">
        <f t="shared" si="139"/>
        <v>141.85062500000001</v>
      </c>
    </row>
    <row r="7464" spans="1:7" hidden="1" x14ac:dyDescent="0.25">
      <c r="A7464" s="28">
        <v>44166</v>
      </c>
      <c r="B7464" s="27" t="s">
        <v>200</v>
      </c>
      <c r="C7464" s="27" t="s">
        <v>183</v>
      </c>
      <c r="D7464" s="27" t="s">
        <v>7</v>
      </c>
      <c r="E7464" s="27" t="s">
        <v>11</v>
      </c>
      <c r="F7464" s="29"/>
      <c r="G7464" s="30">
        <f t="shared" si="139"/>
        <v>141.85062500000001</v>
      </c>
    </row>
    <row r="7465" spans="1:7" hidden="1" x14ac:dyDescent="0.25">
      <c r="A7465" s="28">
        <v>44166</v>
      </c>
      <c r="B7465" s="27" t="s">
        <v>200</v>
      </c>
      <c r="C7465" s="27" t="s">
        <v>183</v>
      </c>
      <c r="D7465" s="27" t="s">
        <v>7</v>
      </c>
      <c r="E7465" s="27" t="s">
        <v>13</v>
      </c>
      <c r="F7465" s="29"/>
      <c r="G7465" s="30">
        <f t="shared" si="139"/>
        <v>141.85062500000001</v>
      </c>
    </row>
    <row r="7466" spans="1:7" hidden="1" x14ac:dyDescent="0.25">
      <c r="A7466" s="28">
        <v>44166</v>
      </c>
      <c r="B7466" s="27" t="s">
        <v>200</v>
      </c>
      <c r="C7466" s="27" t="s">
        <v>183</v>
      </c>
      <c r="D7466" s="27" t="s">
        <v>7</v>
      </c>
      <c r="E7466" s="27" t="s">
        <v>14</v>
      </c>
      <c r="F7466" s="29"/>
      <c r="G7466" s="30">
        <f t="shared" si="139"/>
        <v>141.85062500000001</v>
      </c>
    </row>
    <row r="7467" spans="1:7" hidden="1" x14ac:dyDescent="0.25">
      <c r="A7467" s="28">
        <v>44166</v>
      </c>
      <c r="B7467" s="27" t="s">
        <v>200</v>
      </c>
      <c r="C7467" s="27" t="s">
        <v>183</v>
      </c>
      <c r="D7467" s="27" t="s">
        <v>7</v>
      </c>
      <c r="E7467" s="27" t="s">
        <v>15</v>
      </c>
      <c r="F7467" s="29"/>
      <c r="G7467" s="30">
        <f t="shared" si="139"/>
        <v>141.85062500000001</v>
      </c>
    </row>
    <row r="7468" spans="1:7" hidden="1" x14ac:dyDescent="0.25">
      <c r="A7468" s="28">
        <v>44166</v>
      </c>
      <c r="B7468" s="27" t="s">
        <v>200</v>
      </c>
      <c r="C7468" s="27" t="s">
        <v>183</v>
      </c>
      <c r="D7468" s="27" t="s">
        <v>7</v>
      </c>
      <c r="E7468" s="27" t="s">
        <v>16</v>
      </c>
      <c r="F7468" s="29"/>
      <c r="G7468" s="30">
        <f t="shared" si="139"/>
        <v>141.85062500000001</v>
      </c>
    </row>
    <row r="7469" spans="1:7" hidden="1" x14ac:dyDescent="0.25">
      <c r="A7469" s="28">
        <v>44166</v>
      </c>
      <c r="B7469" s="27" t="s">
        <v>200</v>
      </c>
      <c r="C7469" s="27" t="s">
        <v>183</v>
      </c>
      <c r="D7469" s="27" t="s">
        <v>7</v>
      </c>
      <c r="E7469" s="27" t="s">
        <v>17</v>
      </c>
      <c r="F7469" s="29"/>
      <c r="G7469" s="30">
        <f t="shared" si="139"/>
        <v>141.85062500000001</v>
      </c>
    </row>
    <row r="7470" spans="1:7" hidden="1" x14ac:dyDescent="0.25">
      <c r="A7470" s="28">
        <v>44166</v>
      </c>
      <c r="B7470" s="27" t="s">
        <v>200</v>
      </c>
      <c r="C7470" s="27" t="s">
        <v>183</v>
      </c>
      <c r="D7470" s="27" t="s">
        <v>7</v>
      </c>
      <c r="E7470" s="27" t="s">
        <v>18</v>
      </c>
      <c r="F7470" s="29"/>
      <c r="G7470" s="30">
        <f t="shared" si="139"/>
        <v>141.85062500000001</v>
      </c>
    </row>
    <row r="7471" spans="1:7" hidden="1" x14ac:dyDescent="0.25">
      <c r="A7471" s="28">
        <v>44166</v>
      </c>
      <c r="B7471" s="27" t="s">
        <v>200</v>
      </c>
      <c r="C7471" s="27" t="s">
        <v>183</v>
      </c>
      <c r="D7471" s="27" t="s">
        <v>7</v>
      </c>
      <c r="E7471" s="27" t="s">
        <v>19</v>
      </c>
      <c r="F7471" s="29"/>
      <c r="G7471" s="30">
        <f t="shared" si="139"/>
        <v>141.85062500000001</v>
      </c>
    </row>
    <row r="7472" spans="1:7" hidden="1" x14ac:dyDescent="0.25">
      <c r="A7472" s="28">
        <v>44166</v>
      </c>
      <c r="B7472" s="27" t="s">
        <v>200</v>
      </c>
      <c r="C7472" s="27" t="s">
        <v>183</v>
      </c>
      <c r="D7472" s="27" t="s">
        <v>7</v>
      </c>
      <c r="E7472" s="27" t="s">
        <v>20</v>
      </c>
      <c r="F7472" s="29"/>
      <c r="G7472" s="30">
        <f t="shared" si="139"/>
        <v>141.85062500000001</v>
      </c>
    </row>
    <row r="7473" spans="1:7" hidden="1" x14ac:dyDescent="0.25">
      <c r="A7473" s="28">
        <v>44166</v>
      </c>
      <c r="B7473" s="27" t="s">
        <v>200</v>
      </c>
      <c r="C7473" s="27" t="s">
        <v>183</v>
      </c>
      <c r="D7473" s="27" t="s">
        <v>7</v>
      </c>
      <c r="E7473" s="27" t="s">
        <v>38</v>
      </c>
      <c r="F7473" s="29"/>
      <c r="G7473" s="30">
        <f t="shared" si="139"/>
        <v>141.85062500000001</v>
      </c>
    </row>
    <row r="7474" spans="1:7" hidden="1" x14ac:dyDescent="0.25">
      <c r="A7474" s="28">
        <v>44166</v>
      </c>
      <c r="B7474" s="27" t="s">
        <v>200</v>
      </c>
      <c r="C7474" s="27" t="s">
        <v>183</v>
      </c>
      <c r="D7474" s="27" t="s">
        <v>7</v>
      </c>
      <c r="E7474" s="27" t="s">
        <v>23</v>
      </c>
      <c r="F7474" s="29"/>
      <c r="G7474" s="30">
        <f t="shared" si="139"/>
        <v>141.85062500000001</v>
      </c>
    </row>
    <row r="7475" spans="1:7" hidden="1" x14ac:dyDescent="0.25">
      <c r="A7475" s="28">
        <v>44166</v>
      </c>
      <c r="B7475" s="27" t="s">
        <v>200</v>
      </c>
      <c r="C7475" s="27" t="s">
        <v>56</v>
      </c>
      <c r="D7475" s="27" t="s">
        <v>6</v>
      </c>
      <c r="E7475" s="27" t="s">
        <v>8</v>
      </c>
      <c r="F7475" s="29"/>
      <c r="G7475" s="30">
        <f t="shared" ref="G7475:G7492" si="140">43237.7602666667/18</f>
        <v>2402.0977925925945</v>
      </c>
    </row>
    <row r="7476" spans="1:7" hidden="1" x14ac:dyDescent="0.25">
      <c r="A7476" s="28">
        <v>44166</v>
      </c>
      <c r="B7476" s="27" t="s">
        <v>200</v>
      </c>
      <c r="C7476" s="27" t="s">
        <v>56</v>
      </c>
      <c r="D7476" s="27" t="s">
        <v>6</v>
      </c>
      <c r="E7476" s="27" t="s">
        <v>9</v>
      </c>
      <c r="F7476" s="29"/>
      <c r="G7476" s="30">
        <f t="shared" si="140"/>
        <v>2402.0977925925945</v>
      </c>
    </row>
    <row r="7477" spans="1:7" hidden="1" x14ac:dyDescent="0.25">
      <c r="A7477" s="28">
        <v>44166</v>
      </c>
      <c r="B7477" s="27" t="s">
        <v>200</v>
      </c>
      <c r="C7477" s="27" t="s">
        <v>56</v>
      </c>
      <c r="D7477" s="27" t="s">
        <v>6</v>
      </c>
      <c r="E7477" s="27" t="s">
        <v>22</v>
      </c>
      <c r="F7477" s="29"/>
      <c r="G7477" s="30">
        <f t="shared" si="140"/>
        <v>2402.0977925925945</v>
      </c>
    </row>
    <row r="7478" spans="1:7" hidden="1" x14ac:dyDescent="0.25">
      <c r="A7478" s="28">
        <v>44166</v>
      </c>
      <c r="B7478" s="27" t="s">
        <v>200</v>
      </c>
      <c r="C7478" s="27" t="s">
        <v>56</v>
      </c>
      <c r="D7478" s="27" t="s">
        <v>6</v>
      </c>
      <c r="E7478" s="27" t="s">
        <v>64</v>
      </c>
      <c r="F7478" s="29"/>
      <c r="G7478" s="30">
        <f t="shared" si="140"/>
        <v>2402.0977925925945</v>
      </c>
    </row>
    <row r="7479" spans="1:7" hidden="1" x14ac:dyDescent="0.25">
      <c r="A7479" s="28">
        <v>44166</v>
      </c>
      <c r="B7479" s="27" t="s">
        <v>200</v>
      </c>
      <c r="C7479" s="27" t="s">
        <v>56</v>
      </c>
      <c r="D7479" s="27" t="s">
        <v>6</v>
      </c>
      <c r="E7479" s="27" t="s">
        <v>21</v>
      </c>
      <c r="F7479" s="29"/>
      <c r="G7479" s="30">
        <f t="shared" si="140"/>
        <v>2402.0977925925945</v>
      </c>
    </row>
    <row r="7480" spans="1:7" hidden="1" x14ac:dyDescent="0.25">
      <c r="A7480" s="28">
        <v>44166</v>
      </c>
      <c r="B7480" s="27" t="s">
        <v>200</v>
      </c>
      <c r="C7480" s="27" t="s">
        <v>56</v>
      </c>
      <c r="D7480" s="27" t="s">
        <v>6</v>
      </c>
      <c r="E7480" s="27" t="s">
        <v>10</v>
      </c>
      <c r="F7480" s="29"/>
      <c r="G7480" s="30">
        <f t="shared" si="140"/>
        <v>2402.0977925925945</v>
      </c>
    </row>
    <row r="7481" spans="1:7" hidden="1" x14ac:dyDescent="0.25">
      <c r="A7481" s="28">
        <v>44166</v>
      </c>
      <c r="B7481" s="27" t="s">
        <v>200</v>
      </c>
      <c r="C7481" s="27" t="s">
        <v>56</v>
      </c>
      <c r="D7481" s="27" t="s">
        <v>6</v>
      </c>
      <c r="E7481" s="27" t="s">
        <v>11</v>
      </c>
      <c r="F7481" s="29"/>
      <c r="G7481" s="30">
        <f t="shared" si="140"/>
        <v>2402.0977925925945</v>
      </c>
    </row>
    <row r="7482" spans="1:7" hidden="1" x14ac:dyDescent="0.25">
      <c r="A7482" s="28">
        <v>44166</v>
      </c>
      <c r="B7482" s="27" t="s">
        <v>200</v>
      </c>
      <c r="C7482" s="27" t="s">
        <v>56</v>
      </c>
      <c r="D7482" s="27" t="s">
        <v>6</v>
      </c>
      <c r="E7482" s="27" t="s">
        <v>12</v>
      </c>
      <c r="F7482" s="29"/>
      <c r="G7482" s="30">
        <f t="shared" si="140"/>
        <v>2402.0977925925945</v>
      </c>
    </row>
    <row r="7483" spans="1:7" hidden="1" x14ac:dyDescent="0.25">
      <c r="A7483" s="28">
        <v>44166</v>
      </c>
      <c r="B7483" s="27" t="s">
        <v>200</v>
      </c>
      <c r="C7483" s="27" t="s">
        <v>56</v>
      </c>
      <c r="D7483" s="27" t="s">
        <v>6</v>
      </c>
      <c r="E7483" s="27" t="s">
        <v>13</v>
      </c>
      <c r="F7483" s="29"/>
      <c r="G7483" s="30">
        <f t="shared" si="140"/>
        <v>2402.0977925925945</v>
      </c>
    </row>
    <row r="7484" spans="1:7" hidden="1" x14ac:dyDescent="0.25">
      <c r="A7484" s="28">
        <v>44166</v>
      </c>
      <c r="B7484" s="27" t="s">
        <v>200</v>
      </c>
      <c r="C7484" s="27" t="s">
        <v>56</v>
      </c>
      <c r="D7484" s="27" t="s">
        <v>6</v>
      </c>
      <c r="E7484" s="27" t="s">
        <v>14</v>
      </c>
      <c r="F7484" s="29"/>
      <c r="G7484" s="30">
        <f t="shared" si="140"/>
        <v>2402.0977925925945</v>
      </c>
    </row>
    <row r="7485" spans="1:7" hidden="1" x14ac:dyDescent="0.25">
      <c r="A7485" s="28">
        <v>44166</v>
      </c>
      <c r="B7485" s="27" t="s">
        <v>200</v>
      </c>
      <c r="C7485" s="27" t="s">
        <v>56</v>
      </c>
      <c r="D7485" s="27" t="s">
        <v>6</v>
      </c>
      <c r="E7485" s="27" t="s">
        <v>15</v>
      </c>
      <c r="F7485" s="29"/>
      <c r="G7485" s="30">
        <f t="shared" si="140"/>
        <v>2402.0977925925945</v>
      </c>
    </row>
    <row r="7486" spans="1:7" hidden="1" x14ac:dyDescent="0.25">
      <c r="A7486" s="28">
        <v>44166</v>
      </c>
      <c r="B7486" s="27" t="s">
        <v>200</v>
      </c>
      <c r="C7486" s="27" t="s">
        <v>56</v>
      </c>
      <c r="D7486" s="27" t="s">
        <v>6</v>
      </c>
      <c r="E7486" s="27" t="s">
        <v>16</v>
      </c>
      <c r="F7486" s="29"/>
      <c r="G7486" s="30">
        <f t="shared" si="140"/>
        <v>2402.0977925925945</v>
      </c>
    </row>
    <row r="7487" spans="1:7" hidden="1" x14ac:dyDescent="0.25">
      <c r="A7487" s="28">
        <v>44166</v>
      </c>
      <c r="B7487" s="27" t="s">
        <v>200</v>
      </c>
      <c r="C7487" s="27" t="s">
        <v>56</v>
      </c>
      <c r="D7487" s="27" t="s">
        <v>6</v>
      </c>
      <c r="E7487" s="27" t="s">
        <v>17</v>
      </c>
      <c r="F7487" s="29"/>
      <c r="G7487" s="30">
        <f t="shared" si="140"/>
        <v>2402.0977925925945</v>
      </c>
    </row>
    <row r="7488" spans="1:7" hidden="1" x14ac:dyDescent="0.25">
      <c r="A7488" s="28">
        <v>44166</v>
      </c>
      <c r="B7488" s="27" t="s">
        <v>200</v>
      </c>
      <c r="C7488" s="27" t="s">
        <v>56</v>
      </c>
      <c r="D7488" s="27" t="s">
        <v>6</v>
      </c>
      <c r="E7488" s="27" t="s">
        <v>18</v>
      </c>
      <c r="F7488" s="29"/>
      <c r="G7488" s="30">
        <f t="shared" si="140"/>
        <v>2402.0977925925945</v>
      </c>
    </row>
    <row r="7489" spans="1:7" hidden="1" x14ac:dyDescent="0.25">
      <c r="A7489" s="28">
        <v>44166</v>
      </c>
      <c r="B7489" s="27" t="s">
        <v>200</v>
      </c>
      <c r="C7489" s="27" t="s">
        <v>56</v>
      </c>
      <c r="D7489" s="27" t="s">
        <v>6</v>
      </c>
      <c r="E7489" s="27" t="s">
        <v>19</v>
      </c>
      <c r="F7489" s="29"/>
      <c r="G7489" s="30">
        <f t="shared" si="140"/>
        <v>2402.0977925925945</v>
      </c>
    </row>
    <row r="7490" spans="1:7" hidden="1" x14ac:dyDescent="0.25">
      <c r="A7490" s="28">
        <v>44166</v>
      </c>
      <c r="B7490" s="27" t="s">
        <v>200</v>
      </c>
      <c r="C7490" s="27" t="s">
        <v>56</v>
      </c>
      <c r="D7490" s="27" t="s">
        <v>6</v>
      </c>
      <c r="E7490" s="27" t="s">
        <v>20</v>
      </c>
      <c r="F7490" s="29"/>
      <c r="G7490" s="30">
        <f t="shared" si="140"/>
        <v>2402.0977925925945</v>
      </c>
    </row>
    <row r="7491" spans="1:7" hidden="1" x14ac:dyDescent="0.25">
      <c r="A7491" s="28">
        <v>44166</v>
      </c>
      <c r="B7491" s="27" t="s">
        <v>200</v>
      </c>
      <c r="C7491" s="27" t="s">
        <v>56</v>
      </c>
      <c r="D7491" s="27" t="s">
        <v>6</v>
      </c>
      <c r="E7491" s="27" t="s">
        <v>38</v>
      </c>
      <c r="F7491" s="29"/>
      <c r="G7491" s="30">
        <f t="shared" si="140"/>
        <v>2402.0977925925945</v>
      </c>
    </row>
    <row r="7492" spans="1:7" hidden="1" x14ac:dyDescent="0.25">
      <c r="A7492" s="28">
        <v>44166</v>
      </c>
      <c r="B7492" s="27" t="s">
        <v>200</v>
      </c>
      <c r="C7492" s="27" t="s">
        <v>56</v>
      </c>
      <c r="D7492" s="27" t="s">
        <v>6</v>
      </c>
      <c r="E7492" s="27" t="s">
        <v>23</v>
      </c>
      <c r="F7492" s="29"/>
      <c r="G7492" s="30">
        <f t="shared" si="140"/>
        <v>2402.0977925925945</v>
      </c>
    </row>
    <row r="7493" spans="1:7" hidden="1" x14ac:dyDescent="0.25">
      <c r="A7493" s="28">
        <v>44166</v>
      </c>
      <c r="B7493" s="27" t="s">
        <v>200</v>
      </c>
      <c r="C7493" s="27" t="s">
        <v>182</v>
      </c>
      <c r="D7493" s="27" t="s">
        <v>7</v>
      </c>
      <c r="E7493" s="27" t="s">
        <v>8</v>
      </c>
      <c r="F7493" s="29"/>
      <c r="G7493" s="30">
        <f t="shared" ref="G7493:G7508" si="141">2885.96/16</f>
        <v>180.3725</v>
      </c>
    </row>
    <row r="7494" spans="1:7" hidden="1" x14ac:dyDescent="0.25">
      <c r="A7494" s="28">
        <v>44166</v>
      </c>
      <c r="B7494" s="27" t="s">
        <v>200</v>
      </c>
      <c r="C7494" s="27" t="s">
        <v>182</v>
      </c>
      <c r="D7494" s="27" t="s">
        <v>7</v>
      </c>
      <c r="E7494" s="27" t="s">
        <v>9</v>
      </c>
      <c r="F7494" s="29"/>
      <c r="G7494" s="30">
        <f t="shared" si="141"/>
        <v>180.3725</v>
      </c>
    </row>
    <row r="7495" spans="1:7" hidden="1" x14ac:dyDescent="0.25">
      <c r="A7495" s="28">
        <v>44166</v>
      </c>
      <c r="B7495" s="27" t="s">
        <v>200</v>
      </c>
      <c r="C7495" s="27" t="s">
        <v>182</v>
      </c>
      <c r="D7495" s="27" t="s">
        <v>7</v>
      </c>
      <c r="E7495" s="27" t="s">
        <v>22</v>
      </c>
      <c r="F7495" s="29"/>
      <c r="G7495" s="30">
        <f t="shared" si="141"/>
        <v>180.3725</v>
      </c>
    </row>
    <row r="7496" spans="1:7" hidden="1" x14ac:dyDescent="0.25">
      <c r="A7496" s="28">
        <v>44166</v>
      </c>
      <c r="B7496" s="27" t="s">
        <v>200</v>
      </c>
      <c r="C7496" s="27" t="s">
        <v>182</v>
      </c>
      <c r="D7496" s="27" t="s">
        <v>7</v>
      </c>
      <c r="E7496" s="27" t="s">
        <v>21</v>
      </c>
      <c r="F7496" s="29"/>
      <c r="G7496" s="30">
        <f t="shared" si="141"/>
        <v>180.3725</v>
      </c>
    </row>
    <row r="7497" spans="1:7" hidden="1" x14ac:dyDescent="0.25">
      <c r="A7497" s="28">
        <v>44166</v>
      </c>
      <c r="B7497" s="27" t="s">
        <v>200</v>
      </c>
      <c r="C7497" s="27" t="s">
        <v>182</v>
      </c>
      <c r="D7497" s="27" t="s">
        <v>7</v>
      </c>
      <c r="E7497" s="27" t="s">
        <v>10</v>
      </c>
      <c r="F7497" s="29"/>
      <c r="G7497" s="30">
        <f t="shared" si="141"/>
        <v>180.3725</v>
      </c>
    </row>
    <row r="7498" spans="1:7" hidden="1" x14ac:dyDescent="0.25">
      <c r="A7498" s="28">
        <v>44166</v>
      </c>
      <c r="B7498" s="27" t="s">
        <v>200</v>
      </c>
      <c r="C7498" s="27" t="s">
        <v>182</v>
      </c>
      <c r="D7498" s="27" t="s">
        <v>7</v>
      </c>
      <c r="E7498" s="27" t="s">
        <v>11</v>
      </c>
      <c r="F7498" s="29"/>
      <c r="G7498" s="30">
        <f t="shared" si="141"/>
        <v>180.3725</v>
      </c>
    </row>
    <row r="7499" spans="1:7" hidden="1" x14ac:dyDescent="0.25">
      <c r="A7499" s="28">
        <v>44166</v>
      </c>
      <c r="B7499" s="27" t="s">
        <v>200</v>
      </c>
      <c r="C7499" s="27" t="s">
        <v>182</v>
      </c>
      <c r="D7499" s="27" t="s">
        <v>7</v>
      </c>
      <c r="E7499" s="27" t="s">
        <v>13</v>
      </c>
      <c r="F7499" s="29"/>
      <c r="G7499" s="30">
        <f t="shared" si="141"/>
        <v>180.3725</v>
      </c>
    </row>
    <row r="7500" spans="1:7" hidden="1" x14ac:dyDescent="0.25">
      <c r="A7500" s="28">
        <v>44166</v>
      </c>
      <c r="B7500" s="27" t="s">
        <v>200</v>
      </c>
      <c r="C7500" s="27" t="s">
        <v>182</v>
      </c>
      <c r="D7500" s="27" t="s">
        <v>7</v>
      </c>
      <c r="E7500" s="27" t="s">
        <v>14</v>
      </c>
      <c r="F7500" s="29"/>
      <c r="G7500" s="30">
        <f t="shared" si="141"/>
        <v>180.3725</v>
      </c>
    </row>
    <row r="7501" spans="1:7" hidden="1" x14ac:dyDescent="0.25">
      <c r="A7501" s="28">
        <v>44166</v>
      </c>
      <c r="B7501" s="27" t="s">
        <v>200</v>
      </c>
      <c r="C7501" s="27" t="s">
        <v>182</v>
      </c>
      <c r="D7501" s="27" t="s">
        <v>7</v>
      </c>
      <c r="E7501" s="27" t="s">
        <v>15</v>
      </c>
      <c r="F7501" s="29"/>
      <c r="G7501" s="30">
        <f t="shared" si="141"/>
        <v>180.3725</v>
      </c>
    </row>
    <row r="7502" spans="1:7" hidden="1" x14ac:dyDescent="0.25">
      <c r="A7502" s="28">
        <v>44166</v>
      </c>
      <c r="B7502" s="27" t="s">
        <v>200</v>
      </c>
      <c r="C7502" s="27" t="s">
        <v>182</v>
      </c>
      <c r="D7502" s="27" t="s">
        <v>7</v>
      </c>
      <c r="E7502" s="27" t="s">
        <v>16</v>
      </c>
      <c r="F7502" s="29"/>
      <c r="G7502" s="30">
        <f t="shared" si="141"/>
        <v>180.3725</v>
      </c>
    </row>
    <row r="7503" spans="1:7" hidden="1" x14ac:dyDescent="0.25">
      <c r="A7503" s="28">
        <v>44166</v>
      </c>
      <c r="B7503" s="27" t="s">
        <v>200</v>
      </c>
      <c r="C7503" s="27" t="s">
        <v>182</v>
      </c>
      <c r="D7503" s="27" t="s">
        <v>7</v>
      </c>
      <c r="E7503" s="27" t="s">
        <v>17</v>
      </c>
      <c r="F7503" s="29"/>
      <c r="G7503" s="30">
        <f t="shared" si="141"/>
        <v>180.3725</v>
      </c>
    </row>
    <row r="7504" spans="1:7" hidden="1" x14ac:dyDescent="0.25">
      <c r="A7504" s="28">
        <v>44166</v>
      </c>
      <c r="B7504" s="27" t="s">
        <v>200</v>
      </c>
      <c r="C7504" s="27" t="s">
        <v>182</v>
      </c>
      <c r="D7504" s="27" t="s">
        <v>7</v>
      </c>
      <c r="E7504" s="27" t="s">
        <v>18</v>
      </c>
      <c r="F7504" s="29"/>
      <c r="G7504" s="30">
        <f t="shared" si="141"/>
        <v>180.3725</v>
      </c>
    </row>
    <row r="7505" spans="1:7" hidden="1" x14ac:dyDescent="0.25">
      <c r="A7505" s="28">
        <v>44166</v>
      </c>
      <c r="B7505" s="27" t="s">
        <v>200</v>
      </c>
      <c r="C7505" s="27" t="s">
        <v>182</v>
      </c>
      <c r="D7505" s="27" t="s">
        <v>7</v>
      </c>
      <c r="E7505" s="27" t="s">
        <v>19</v>
      </c>
      <c r="F7505" s="29"/>
      <c r="G7505" s="30">
        <f t="shared" si="141"/>
        <v>180.3725</v>
      </c>
    </row>
    <row r="7506" spans="1:7" hidden="1" x14ac:dyDescent="0.25">
      <c r="A7506" s="28">
        <v>44166</v>
      </c>
      <c r="B7506" s="27" t="s">
        <v>200</v>
      </c>
      <c r="C7506" s="27" t="s">
        <v>182</v>
      </c>
      <c r="D7506" s="27" t="s">
        <v>7</v>
      </c>
      <c r="E7506" s="27" t="s">
        <v>20</v>
      </c>
      <c r="F7506" s="29"/>
      <c r="G7506" s="30">
        <f t="shared" si="141"/>
        <v>180.3725</v>
      </c>
    </row>
    <row r="7507" spans="1:7" hidden="1" x14ac:dyDescent="0.25">
      <c r="A7507" s="28">
        <v>44166</v>
      </c>
      <c r="B7507" s="27" t="s">
        <v>200</v>
      </c>
      <c r="C7507" s="27" t="s">
        <v>182</v>
      </c>
      <c r="D7507" s="27" t="s">
        <v>7</v>
      </c>
      <c r="E7507" s="27" t="s">
        <v>38</v>
      </c>
      <c r="F7507" s="29"/>
      <c r="G7507" s="30">
        <f t="shared" si="141"/>
        <v>180.3725</v>
      </c>
    </row>
    <row r="7508" spans="1:7" hidden="1" x14ac:dyDescent="0.25">
      <c r="A7508" s="28">
        <v>44166</v>
      </c>
      <c r="B7508" s="27" t="s">
        <v>200</v>
      </c>
      <c r="C7508" s="27" t="s">
        <v>182</v>
      </c>
      <c r="D7508" s="27" t="s">
        <v>7</v>
      </c>
      <c r="E7508" s="27" t="s">
        <v>23</v>
      </c>
      <c r="F7508" s="29"/>
      <c r="G7508" s="30">
        <f t="shared" si="141"/>
        <v>180.3725</v>
      </c>
    </row>
    <row r="7509" spans="1:7" hidden="1" x14ac:dyDescent="0.25">
      <c r="A7509" s="28">
        <v>44166</v>
      </c>
      <c r="B7509" s="27" t="s">
        <v>35</v>
      </c>
      <c r="C7509" s="27" t="s">
        <v>50</v>
      </c>
      <c r="D7509" s="27" t="s">
        <v>6</v>
      </c>
      <c r="E7509" s="27" t="s">
        <v>8</v>
      </c>
      <c r="F7509" s="29"/>
      <c r="G7509" s="30">
        <v>597.83277777777778</v>
      </c>
    </row>
    <row r="7510" spans="1:7" hidden="1" x14ac:dyDescent="0.25">
      <c r="A7510" s="28">
        <v>44166</v>
      </c>
      <c r="B7510" s="27" t="s">
        <v>35</v>
      </c>
      <c r="C7510" s="27" t="s">
        <v>50</v>
      </c>
      <c r="D7510" s="27" t="s">
        <v>6</v>
      </c>
      <c r="E7510" s="27" t="s">
        <v>9</v>
      </c>
      <c r="F7510" s="29"/>
      <c r="G7510" s="30">
        <v>597.83277777777778</v>
      </c>
    </row>
    <row r="7511" spans="1:7" hidden="1" x14ac:dyDescent="0.25">
      <c r="A7511" s="28">
        <v>44166</v>
      </c>
      <c r="B7511" s="27" t="s">
        <v>35</v>
      </c>
      <c r="C7511" s="27" t="s">
        <v>50</v>
      </c>
      <c r="D7511" s="27" t="s">
        <v>6</v>
      </c>
      <c r="E7511" s="27" t="s">
        <v>22</v>
      </c>
      <c r="F7511" s="29"/>
      <c r="G7511" s="30">
        <v>597.83277777777778</v>
      </c>
    </row>
    <row r="7512" spans="1:7" hidden="1" x14ac:dyDescent="0.25">
      <c r="A7512" s="28">
        <v>44166</v>
      </c>
      <c r="B7512" s="27" t="s">
        <v>35</v>
      </c>
      <c r="C7512" s="27" t="s">
        <v>50</v>
      </c>
      <c r="D7512" s="27" t="s">
        <v>6</v>
      </c>
      <c r="E7512" s="27" t="s">
        <v>64</v>
      </c>
      <c r="F7512" s="29"/>
      <c r="G7512" s="30">
        <v>597.83277777777778</v>
      </c>
    </row>
    <row r="7513" spans="1:7" hidden="1" x14ac:dyDescent="0.25">
      <c r="A7513" s="28">
        <v>44166</v>
      </c>
      <c r="B7513" s="27" t="s">
        <v>35</v>
      </c>
      <c r="C7513" s="27" t="s">
        <v>50</v>
      </c>
      <c r="D7513" s="27" t="s">
        <v>6</v>
      </c>
      <c r="E7513" s="27" t="s">
        <v>21</v>
      </c>
      <c r="F7513" s="29"/>
      <c r="G7513" s="30">
        <v>597.83277777777778</v>
      </c>
    </row>
    <row r="7514" spans="1:7" hidden="1" x14ac:dyDescent="0.25">
      <c r="A7514" s="28">
        <v>44166</v>
      </c>
      <c r="B7514" s="27" t="s">
        <v>35</v>
      </c>
      <c r="C7514" s="27" t="s">
        <v>50</v>
      </c>
      <c r="D7514" s="27" t="s">
        <v>6</v>
      </c>
      <c r="E7514" s="27" t="s">
        <v>10</v>
      </c>
      <c r="F7514" s="29"/>
      <c r="G7514" s="30">
        <v>597.83277777777778</v>
      </c>
    </row>
    <row r="7515" spans="1:7" hidden="1" x14ac:dyDescent="0.25">
      <c r="A7515" s="28">
        <v>44166</v>
      </c>
      <c r="B7515" s="27" t="s">
        <v>35</v>
      </c>
      <c r="C7515" s="27" t="s">
        <v>50</v>
      </c>
      <c r="D7515" s="27" t="s">
        <v>6</v>
      </c>
      <c r="E7515" s="27" t="s">
        <v>11</v>
      </c>
      <c r="F7515" s="29"/>
      <c r="G7515" s="30">
        <v>597.83277777777778</v>
      </c>
    </row>
    <row r="7516" spans="1:7" hidden="1" x14ac:dyDescent="0.25">
      <c r="A7516" s="28">
        <v>44166</v>
      </c>
      <c r="B7516" s="27" t="s">
        <v>35</v>
      </c>
      <c r="C7516" s="27" t="s">
        <v>50</v>
      </c>
      <c r="D7516" s="27" t="s">
        <v>6</v>
      </c>
      <c r="E7516" s="27" t="s">
        <v>12</v>
      </c>
      <c r="F7516" s="29"/>
      <c r="G7516" s="30">
        <v>597.83277777777778</v>
      </c>
    </row>
    <row r="7517" spans="1:7" hidden="1" x14ac:dyDescent="0.25">
      <c r="A7517" s="28">
        <v>44166</v>
      </c>
      <c r="B7517" s="27" t="s">
        <v>35</v>
      </c>
      <c r="C7517" s="27" t="s">
        <v>50</v>
      </c>
      <c r="D7517" s="27" t="s">
        <v>6</v>
      </c>
      <c r="E7517" s="27" t="s">
        <v>13</v>
      </c>
      <c r="F7517" s="29"/>
      <c r="G7517" s="30">
        <v>597.83277777777778</v>
      </c>
    </row>
    <row r="7518" spans="1:7" hidden="1" x14ac:dyDescent="0.25">
      <c r="A7518" s="28">
        <v>44166</v>
      </c>
      <c r="B7518" s="27" t="s">
        <v>35</v>
      </c>
      <c r="C7518" s="27" t="s">
        <v>50</v>
      </c>
      <c r="D7518" s="27" t="s">
        <v>6</v>
      </c>
      <c r="E7518" s="27" t="s">
        <v>14</v>
      </c>
      <c r="F7518" s="29"/>
      <c r="G7518" s="30">
        <v>597.83277777777778</v>
      </c>
    </row>
    <row r="7519" spans="1:7" hidden="1" x14ac:dyDescent="0.25">
      <c r="A7519" s="28">
        <v>44166</v>
      </c>
      <c r="B7519" s="27" t="s">
        <v>35</v>
      </c>
      <c r="C7519" s="27" t="s">
        <v>50</v>
      </c>
      <c r="D7519" s="27" t="s">
        <v>6</v>
      </c>
      <c r="E7519" s="27" t="s">
        <v>15</v>
      </c>
      <c r="F7519" s="29"/>
      <c r="G7519" s="30">
        <v>597.83277777777778</v>
      </c>
    </row>
    <row r="7520" spans="1:7" hidden="1" x14ac:dyDescent="0.25">
      <c r="A7520" s="28">
        <v>44166</v>
      </c>
      <c r="B7520" s="27" t="s">
        <v>35</v>
      </c>
      <c r="C7520" s="27" t="s">
        <v>50</v>
      </c>
      <c r="D7520" s="27" t="s">
        <v>6</v>
      </c>
      <c r="E7520" s="27" t="s">
        <v>16</v>
      </c>
      <c r="F7520" s="29"/>
      <c r="G7520" s="30">
        <v>597.83277777777778</v>
      </c>
    </row>
    <row r="7521" spans="1:7" hidden="1" x14ac:dyDescent="0.25">
      <c r="A7521" s="28">
        <v>44166</v>
      </c>
      <c r="B7521" s="27" t="s">
        <v>35</v>
      </c>
      <c r="C7521" s="27" t="s">
        <v>50</v>
      </c>
      <c r="D7521" s="27" t="s">
        <v>6</v>
      </c>
      <c r="E7521" s="27" t="s">
        <v>17</v>
      </c>
      <c r="F7521" s="29"/>
      <c r="G7521" s="30">
        <v>597.83277777777778</v>
      </c>
    </row>
    <row r="7522" spans="1:7" hidden="1" x14ac:dyDescent="0.25">
      <c r="A7522" s="28">
        <v>44166</v>
      </c>
      <c r="B7522" s="27" t="s">
        <v>35</v>
      </c>
      <c r="C7522" s="27" t="s">
        <v>50</v>
      </c>
      <c r="D7522" s="27" t="s">
        <v>6</v>
      </c>
      <c r="E7522" s="27" t="s">
        <v>18</v>
      </c>
      <c r="F7522" s="29"/>
      <c r="G7522" s="30">
        <v>597.83277777777778</v>
      </c>
    </row>
    <row r="7523" spans="1:7" hidden="1" x14ac:dyDescent="0.25">
      <c r="A7523" s="28">
        <v>44166</v>
      </c>
      <c r="B7523" s="27" t="s">
        <v>35</v>
      </c>
      <c r="C7523" s="27" t="s">
        <v>50</v>
      </c>
      <c r="D7523" s="27" t="s">
        <v>6</v>
      </c>
      <c r="E7523" s="27" t="s">
        <v>19</v>
      </c>
      <c r="F7523" s="29"/>
      <c r="G7523" s="30">
        <v>597.83277777777778</v>
      </c>
    </row>
    <row r="7524" spans="1:7" hidden="1" x14ac:dyDescent="0.25">
      <c r="A7524" s="28">
        <v>44166</v>
      </c>
      <c r="B7524" s="27" t="s">
        <v>35</v>
      </c>
      <c r="C7524" s="27" t="s">
        <v>50</v>
      </c>
      <c r="D7524" s="27" t="s">
        <v>6</v>
      </c>
      <c r="E7524" s="27" t="s">
        <v>20</v>
      </c>
      <c r="F7524" s="29"/>
      <c r="G7524" s="30">
        <v>597.83277777777778</v>
      </c>
    </row>
    <row r="7525" spans="1:7" hidden="1" x14ac:dyDescent="0.25">
      <c r="A7525" s="28">
        <v>44166</v>
      </c>
      <c r="B7525" s="27" t="s">
        <v>35</v>
      </c>
      <c r="C7525" s="27" t="s">
        <v>50</v>
      </c>
      <c r="D7525" s="27" t="s">
        <v>6</v>
      </c>
      <c r="E7525" s="27" t="s">
        <v>38</v>
      </c>
      <c r="F7525" s="29"/>
      <c r="G7525" s="30">
        <v>597.83277777777778</v>
      </c>
    </row>
    <row r="7526" spans="1:7" hidden="1" x14ac:dyDescent="0.25">
      <c r="A7526" s="28">
        <v>44166</v>
      </c>
      <c r="B7526" s="27" t="s">
        <v>35</v>
      </c>
      <c r="C7526" s="27" t="s">
        <v>50</v>
      </c>
      <c r="D7526" s="27" t="s">
        <v>6</v>
      </c>
      <c r="E7526" s="27" t="s">
        <v>23</v>
      </c>
      <c r="F7526" s="29"/>
      <c r="G7526" s="30">
        <v>597.83277777777778</v>
      </c>
    </row>
    <row r="7527" spans="1:7" hidden="1" x14ac:dyDescent="0.25">
      <c r="A7527" s="28">
        <v>44166</v>
      </c>
      <c r="B7527" s="27" t="s">
        <v>34</v>
      </c>
      <c r="C7527" s="27" t="s">
        <v>50</v>
      </c>
      <c r="D7527" s="27" t="s">
        <v>6</v>
      </c>
      <c r="E7527" s="27" t="s">
        <v>8</v>
      </c>
      <c r="F7527" s="29"/>
      <c r="G7527" s="30">
        <v>730.85299999999995</v>
      </c>
    </row>
    <row r="7528" spans="1:7" hidden="1" x14ac:dyDescent="0.25">
      <c r="A7528" s="28">
        <v>44166</v>
      </c>
      <c r="B7528" s="27" t="s">
        <v>34</v>
      </c>
      <c r="C7528" s="27" t="s">
        <v>50</v>
      </c>
      <c r="D7528" s="27" t="s">
        <v>6</v>
      </c>
      <c r="E7528" s="27" t="s">
        <v>9</v>
      </c>
      <c r="F7528" s="29"/>
      <c r="G7528" s="30">
        <v>809.49900000000002</v>
      </c>
    </row>
    <row r="7529" spans="1:7" hidden="1" x14ac:dyDescent="0.25">
      <c r="A7529" s="28">
        <v>44166</v>
      </c>
      <c r="B7529" s="27" t="s">
        <v>34</v>
      </c>
      <c r="C7529" s="27" t="s">
        <v>50</v>
      </c>
      <c r="D7529" s="27" t="s">
        <v>6</v>
      </c>
      <c r="E7529" s="27" t="s">
        <v>22</v>
      </c>
      <c r="F7529" s="29"/>
      <c r="G7529" s="30">
        <v>1078.788</v>
      </c>
    </row>
    <row r="7530" spans="1:7" hidden="1" x14ac:dyDescent="0.25">
      <c r="A7530" s="28">
        <v>44166</v>
      </c>
      <c r="B7530" s="27" t="s">
        <v>34</v>
      </c>
      <c r="C7530" s="27" t="s">
        <v>50</v>
      </c>
      <c r="D7530" s="27" t="s">
        <v>6</v>
      </c>
      <c r="E7530" s="27" t="s">
        <v>64</v>
      </c>
      <c r="F7530" s="29"/>
      <c r="G7530" s="30">
        <v>770.21699999999998</v>
      </c>
    </row>
    <row r="7531" spans="1:7" hidden="1" x14ac:dyDescent="0.25">
      <c r="A7531" s="28">
        <v>44166</v>
      </c>
      <c r="B7531" s="27" t="s">
        <v>34</v>
      </c>
      <c r="C7531" s="27" t="s">
        <v>50</v>
      </c>
      <c r="D7531" s="27" t="s">
        <v>6</v>
      </c>
      <c r="E7531" s="27" t="s">
        <v>21</v>
      </c>
      <c r="F7531" s="29"/>
      <c r="G7531" s="30">
        <v>777.58799999999997</v>
      </c>
    </row>
    <row r="7532" spans="1:7" hidden="1" x14ac:dyDescent="0.25">
      <c r="A7532" s="28">
        <v>44166</v>
      </c>
      <c r="B7532" s="27" t="s">
        <v>34</v>
      </c>
      <c r="C7532" s="27" t="s">
        <v>50</v>
      </c>
      <c r="D7532" s="27" t="s">
        <v>6</v>
      </c>
      <c r="E7532" s="27" t="s">
        <v>10</v>
      </c>
      <c r="F7532" s="29"/>
      <c r="G7532" s="30">
        <v>1036.6759999999999</v>
      </c>
    </row>
    <row r="7533" spans="1:7" hidden="1" x14ac:dyDescent="0.25">
      <c r="A7533" s="28">
        <v>44166</v>
      </c>
      <c r="B7533" s="27" t="s">
        <v>34</v>
      </c>
      <c r="C7533" s="27" t="s">
        <v>50</v>
      </c>
      <c r="D7533" s="27" t="s">
        <v>6</v>
      </c>
      <c r="E7533" s="27" t="s">
        <v>11</v>
      </c>
      <c r="F7533" s="29"/>
      <c r="G7533" s="30">
        <v>414.69799999999998</v>
      </c>
    </row>
    <row r="7534" spans="1:7" hidden="1" x14ac:dyDescent="0.25">
      <c r="A7534" s="28">
        <v>44166</v>
      </c>
      <c r="B7534" s="27" t="s">
        <v>34</v>
      </c>
      <c r="C7534" s="27" t="s">
        <v>50</v>
      </c>
      <c r="D7534" s="27" t="s">
        <v>6</v>
      </c>
      <c r="E7534" s="27" t="s">
        <v>12</v>
      </c>
      <c r="F7534" s="29"/>
      <c r="G7534" s="30">
        <v>455.96400000000006</v>
      </c>
    </row>
    <row r="7535" spans="1:7" hidden="1" x14ac:dyDescent="0.25">
      <c r="A7535" s="28">
        <v>44166</v>
      </c>
      <c r="B7535" s="27" t="s">
        <v>34</v>
      </c>
      <c r="C7535" s="27" t="s">
        <v>50</v>
      </c>
      <c r="D7535" s="27" t="s">
        <v>6</v>
      </c>
      <c r="E7535" s="27" t="s">
        <v>13</v>
      </c>
      <c r="F7535" s="29"/>
      <c r="G7535" s="30">
        <v>661.88400000000001</v>
      </c>
    </row>
    <row r="7536" spans="1:7" hidden="1" x14ac:dyDescent="0.25">
      <c r="A7536" s="28">
        <v>44166</v>
      </c>
      <c r="B7536" s="27" t="s">
        <v>34</v>
      </c>
      <c r="C7536" s="27" t="s">
        <v>50</v>
      </c>
      <c r="D7536" s="27" t="s">
        <v>6</v>
      </c>
      <c r="E7536" s="27" t="s">
        <v>14</v>
      </c>
      <c r="F7536" s="29"/>
      <c r="G7536" s="30">
        <v>191.779</v>
      </c>
    </row>
    <row r="7537" spans="1:7" hidden="1" x14ac:dyDescent="0.25">
      <c r="A7537" s="28">
        <v>44166</v>
      </c>
      <c r="B7537" s="27" t="s">
        <v>34</v>
      </c>
      <c r="C7537" s="27" t="s">
        <v>50</v>
      </c>
      <c r="D7537" s="27" t="s">
        <v>6</v>
      </c>
      <c r="E7537" s="27" t="s">
        <v>15</v>
      </c>
      <c r="F7537" s="29"/>
      <c r="G7537" s="30">
        <v>526.94200000000001</v>
      </c>
    </row>
    <row r="7538" spans="1:7" hidden="1" x14ac:dyDescent="0.25">
      <c r="A7538" s="28">
        <v>44166</v>
      </c>
      <c r="B7538" s="27" t="s">
        <v>34</v>
      </c>
      <c r="C7538" s="27" t="s">
        <v>50</v>
      </c>
      <c r="D7538" s="27" t="s">
        <v>6</v>
      </c>
      <c r="E7538" s="27" t="s">
        <v>16</v>
      </c>
      <c r="F7538" s="29"/>
      <c r="G7538" s="30">
        <v>651.45799999999997</v>
      </c>
    </row>
    <row r="7539" spans="1:7" hidden="1" x14ac:dyDescent="0.25">
      <c r="A7539" s="28">
        <v>44166</v>
      </c>
      <c r="B7539" s="27" t="s">
        <v>34</v>
      </c>
      <c r="C7539" s="27" t="s">
        <v>50</v>
      </c>
      <c r="D7539" s="27" t="s">
        <v>6</v>
      </c>
      <c r="E7539" s="27" t="s">
        <v>17</v>
      </c>
      <c r="F7539" s="29"/>
      <c r="G7539" s="30">
        <v>1174.4879999999998</v>
      </c>
    </row>
    <row r="7540" spans="1:7" hidden="1" x14ac:dyDescent="0.25">
      <c r="A7540" s="28">
        <v>44166</v>
      </c>
      <c r="B7540" s="27" t="s">
        <v>34</v>
      </c>
      <c r="C7540" s="27" t="s">
        <v>50</v>
      </c>
      <c r="D7540" s="27" t="s">
        <v>6</v>
      </c>
      <c r="E7540" s="27" t="s">
        <v>18</v>
      </c>
      <c r="F7540" s="29"/>
      <c r="G7540" s="30">
        <v>506.59399999999994</v>
      </c>
    </row>
    <row r="7541" spans="1:7" hidden="1" x14ac:dyDescent="0.25">
      <c r="A7541" s="28">
        <v>44166</v>
      </c>
      <c r="B7541" s="27" t="s">
        <v>34</v>
      </c>
      <c r="C7541" s="27" t="s">
        <v>50</v>
      </c>
      <c r="D7541" s="27" t="s">
        <v>6</v>
      </c>
      <c r="E7541" s="27" t="s">
        <v>19</v>
      </c>
      <c r="F7541" s="29"/>
      <c r="G7541" s="30">
        <v>716.14</v>
      </c>
    </row>
    <row r="7542" spans="1:7" hidden="1" x14ac:dyDescent="0.25">
      <c r="A7542" s="28">
        <v>44166</v>
      </c>
      <c r="B7542" s="27" t="s">
        <v>34</v>
      </c>
      <c r="C7542" s="27" t="s">
        <v>50</v>
      </c>
      <c r="D7542" s="27" t="s">
        <v>6</v>
      </c>
      <c r="E7542" s="27" t="s">
        <v>20</v>
      </c>
      <c r="F7542" s="29"/>
      <c r="G7542" s="30">
        <v>520.13300000000004</v>
      </c>
    </row>
    <row r="7543" spans="1:7" hidden="1" x14ac:dyDescent="0.25">
      <c r="A7543" s="28">
        <v>44166</v>
      </c>
      <c r="B7543" s="27" t="s">
        <v>34</v>
      </c>
      <c r="C7543" s="27" t="s">
        <v>50</v>
      </c>
      <c r="D7543" s="27" t="s">
        <v>6</v>
      </c>
      <c r="E7543" s="27" t="s">
        <v>38</v>
      </c>
      <c r="F7543" s="29"/>
      <c r="G7543" s="30">
        <v>204.74299999999999</v>
      </c>
    </row>
    <row r="7544" spans="1:7" hidden="1" x14ac:dyDescent="0.25">
      <c r="A7544" s="28">
        <v>44166</v>
      </c>
      <c r="B7544" s="27" t="s">
        <v>34</v>
      </c>
      <c r="C7544" s="27" t="s">
        <v>50</v>
      </c>
      <c r="D7544" s="27" t="s">
        <v>6</v>
      </c>
      <c r="E7544" s="27" t="s">
        <v>23</v>
      </c>
      <c r="F7544" s="29"/>
      <c r="G7544" s="30">
        <v>803.31400000000008</v>
      </c>
    </row>
    <row r="7545" spans="1:7" hidden="1" x14ac:dyDescent="0.25">
      <c r="A7545" s="28">
        <v>44197</v>
      </c>
      <c r="B7545" s="27" t="s">
        <v>33</v>
      </c>
      <c r="C7545" s="27" t="s">
        <v>50</v>
      </c>
      <c r="D7545" s="27" t="s">
        <v>7</v>
      </c>
      <c r="E7545" s="27" t="s">
        <v>8</v>
      </c>
      <c r="F7545" s="29"/>
      <c r="G7545" s="30">
        <v>2951.1828571428568</v>
      </c>
    </row>
    <row r="7546" spans="1:7" hidden="1" x14ac:dyDescent="0.25">
      <c r="A7546" s="28">
        <v>44197</v>
      </c>
      <c r="B7546" s="27" t="s">
        <v>33</v>
      </c>
      <c r="C7546" s="27" t="s">
        <v>50</v>
      </c>
      <c r="D7546" s="27" t="s">
        <v>7</v>
      </c>
      <c r="E7546" s="27" t="s">
        <v>9</v>
      </c>
      <c r="F7546" s="29"/>
      <c r="G7546" s="30">
        <v>2951.1828571428568</v>
      </c>
    </row>
    <row r="7547" spans="1:7" hidden="1" x14ac:dyDescent="0.25">
      <c r="A7547" s="28">
        <v>44197</v>
      </c>
      <c r="B7547" s="27" t="s">
        <v>33</v>
      </c>
      <c r="C7547" s="27" t="s">
        <v>50</v>
      </c>
      <c r="D7547" s="27" t="s">
        <v>7</v>
      </c>
      <c r="E7547" s="27" t="s">
        <v>22</v>
      </c>
      <c r="F7547" s="29"/>
      <c r="G7547" s="30">
        <v>2951.1828571428568</v>
      </c>
    </row>
    <row r="7548" spans="1:7" hidden="1" x14ac:dyDescent="0.25">
      <c r="A7548" s="28">
        <v>44197</v>
      </c>
      <c r="B7548" s="27" t="s">
        <v>33</v>
      </c>
      <c r="C7548" s="27" t="s">
        <v>50</v>
      </c>
      <c r="D7548" s="27" t="s">
        <v>7</v>
      </c>
      <c r="E7548" s="27" t="s">
        <v>39</v>
      </c>
      <c r="F7548" s="29"/>
      <c r="G7548" s="30">
        <v>2951.1828571428568</v>
      </c>
    </row>
    <row r="7549" spans="1:7" hidden="1" x14ac:dyDescent="0.25">
      <c r="A7549" s="28">
        <v>44197</v>
      </c>
      <c r="B7549" s="27" t="s">
        <v>33</v>
      </c>
      <c r="C7549" s="27" t="s">
        <v>50</v>
      </c>
      <c r="D7549" s="27" t="s">
        <v>7</v>
      </c>
      <c r="E7549" s="27" t="s">
        <v>64</v>
      </c>
      <c r="F7549" s="29"/>
      <c r="G7549" s="30">
        <v>2951.1828571428568</v>
      </c>
    </row>
    <row r="7550" spans="1:7" hidden="1" x14ac:dyDescent="0.25">
      <c r="A7550" s="28">
        <v>44197</v>
      </c>
      <c r="B7550" s="27" t="s">
        <v>33</v>
      </c>
      <c r="C7550" s="27" t="s">
        <v>50</v>
      </c>
      <c r="D7550" s="27" t="s">
        <v>7</v>
      </c>
      <c r="E7550" s="27" t="s">
        <v>21</v>
      </c>
      <c r="F7550" s="29"/>
      <c r="G7550" s="30">
        <v>2951.1828571428568</v>
      </c>
    </row>
    <row r="7551" spans="1:7" hidden="1" x14ac:dyDescent="0.25">
      <c r="A7551" s="28">
        <v>44197</v>
      </c>
      <c r="B7551" s="27" t="s">
        <v>33</v>
      </c>
      <c r="C7551" s="27" t="s">
        <v>50</v>
      </c>
      <c r="D7551" s="27" t="s">
        <v>7</v>
      </c>
      <c r="E7551" s="27" t="s">
        <v>41</v>
      </c>
      <c r="F7551" s="29"/>
      <c r="G7551" s="30">
        <v>2951.1828571428568</v>
      </c>
    </row>
    <row r="7552" spans="1:7" hidden="1" x14ac:dyDescent="0.25">
      <c r="A7552" s="28">
        <v>44197</v>
      </c>
      <c r="B7552" s="27" t="s">
        <v>33</v>
      </c>
      <c r="C7552" s="27" t="s">
        <v>50</v>
      </c>
      <c r="D7552" s="27" t="s">
        <v>7</v>
      </c>
      <c r="E7552" s="27" t="s">
        <v>10</v>
      </c>
      <c r="F7552" s="29"/>
      <c r="G7552" s="30">
        <v>2951.1828571428568</v>
      </c>
    </row>
    <row r="7553" spans="1:7" hidden="1" x14ac:dyDescent="0.25">
      <c r="A7553" s="28">
        <v>44197</v>
      </c>
      <c r="B7553" s="27" t="s">
        <v>33</v>
      </c>
      <c r="C7553" s="27" t="s">
        <v>50</v>
      </c>
      <c r="D7553" s="27" t="s">
        <v>7</v>
      </c>
      <c r="E7553" s="27" t="s">
        <v>11</v>
      </c>
      <c r="F7553" s="29"/>
      <c r="G7553" s="30">
        <v>2951.1828571428568</v>
      </c>
    </row>
    <row r="7554" spans="1:7" hidden="1" x14ac:dyDescent="0.25">
      <c r="A7554" s="28">
        <v>44197</v>
      </c>
      <c r="B7554" s="27" t="s">
        <v>33</v>
      </c>
      <c r="C7554" s="27" t="s">
        <v>50</v>
      </c>
      <c r="D7554" s="27" t="s">
        <v>7</v>
      </c>
      <c r="E7554" s="27" t="s">
        <v>12</v>
      </c>
      <c r="F7554" s="29"/>
      <c r="G7554" s="30">
        <v>2951.1828571428568</v>
      </c>
    </row>
    <row r="7555" spans="1:7" hidden="1" x14ac:dyDescent="0.25">
      <c r="A7555" s="28">
        <v>44197</v>
      </c>
      <c r="B7555" s="27" t="s">
        <v>33</v>
      </c>
      <c r="C7555" s="27" t="s">
        <v>50</v>
      </c>
      <c r="D7555" s="27" t="s">
        <v>7</v>
      </c>
      <c r="E7555" s="27" t="s">
        <v>13</v>
      </c>
      <c r="F7555" s="29"/>
      <c r="G7555" s="30">
        <v>2951.1828571428568</v>
      </c>
    </row>
    <row r="7556" spans="1:7" hidden="1" x14ac:dyDescent="0.25">
      <c r="A7556" s="28">
        <v>44197</v>
      </c>
      <c r="B7556" s="27" t="s">
        <v>33</v>
      </c>
      <c r="C7556" s="27" t="s">
        <v>50</v>
      </c>
      <c r="D7556" s="27" t="s">
        <v>7</v>
      </c>
      <c r="E7556" s="27" t="s">
        <v>14</v>
      </c>
      <c r="F7556" s="29"/>
      <c r="G7556" s="30">
        <v>2951.1828571428568</v>
      </c>
    </row>
    <row r="7557" spans="1:7" hidden="1" x14ac:dyDescent="0.25">
      <c r="A7557" s="28">
        <v>44197</v>
      </c>
      <c r="B7557" s="27" t="s">
        <v>33</v>
      </c>
      <c r="C7557" s="27" t="s">
        <v>50</v>
      </c>
      <c r="D7557" s="27" t="s">
        <v>7</v>
      </c>
      <c r="E7557" s="27" t="s">
        <v>15</v>
      </c>
      <c r="F7557" s="29"/>
      <c r="G7557" s="30">
        <v>2951.1828571428568</v>
      </c>
    </row>
    <row r="7558" spans="1:7" hidden="1" x14ac:dyDescent="0.25">
      <c r="A7558" s="28">
        <v>44197</v>
      </c>
      <c r="B7558" s="27" t="s">
        <v>33</v>
      </c>
      <c r="C7558" s="27" t="s">
        <v>50</v>
      </c>
      <c r="D7558" s="27" t="s">
        <v>7</v>
      </c>
      <c r="E7558" s="27" t="s">
        <v>16</v>
      </c>
      <c r="F7558" s="29"/>
      <c r="G7558" s="30">
        <v>2951.1828571428568</v>
      </c>
    </row>
    <row r="7559" spans="1:7" hidden="1" x14ac:dyDescent="0.25">
      <c r="A7559" s="28">
        <v>44197</v>
      </c>
      <c r="B7559" s="27" t="s">
        <v>33</v>
      </c>
      <c r="C7559" s="27" t="s">
        <v>50</v>
      </c>
      <c r="D7559" s="27" t="s">
        <v>7</v>
      </c>
      <c r="E7559" s="27" t="s">
        <v>17</v>
      </c>
      <c r="F7559" s="29"/>
      <c r="G7559" s="30">
        <v>2951.1828571428568</v>
      </c>
    </row>
    <row r="7560" spans="1:7" hidden="1" x14ac:dyDescent="0.25">
      <c r="A7560" s="28">
        <v>44197</v>
      </c>
      <c r="B7560" s="27" t="s">
        <v>33</v>
      </c>
      <c r="C7560" s="27" t="s">
        <v>50</v>
      </c>
      <c r="D7560" s="27" t="s">
        <v>7</v>
      </c>
      <c r="E7560" s="27" t="s">
        <v>18</v>
      </c>
      <c r="F7560" s="29"/>
      <c r="G7560" s="30">
        <v>2951.1828571428568</v>
      </c>
    </row>
    <row r="7561" spans="1:7" hidden="1" x14ac:dyDescent="0.25">
      <c r="A7561" s="28">
        <v>44197</v>
      </c>
      <c r="B7561" s="27" t="s">
        <v>33</v>
      </c>
      <c r="C7561" s="27" t="s">
        <v>50</v>
      </c>
      <c r="D7561" s="27" t="s">
        <v>7</v>
      </c>
      <c r="E7561" s="27" t="s">
        <v>19</v>
      </c>
      <c r="F7561" s="29"/>
      <c r="G7561" s="30">
        <v>2951.1828571428568</v>
      </c>
    </row>
    <row r="7562" spans="1:7" hidden="1" x14ac:dyDescent="0.25">
      <c r="A7562" s="28">
        <v>44197</v>
      </c>
      <c r="B7562" s="27" t="s">
        <v>33</v>
      </c>
      <c r="C7562" s="27" t="s">
        <v>50</v>
      </c>
      <c r="D7562" s="27" t="s">
        <v>7</v>
      </c>
      <c r="E7562" s="27" t="s">
        <v>20</v>
      </c>
      <c r="F7562" s="29"/>
      <c r="G7562" s="30">
        <v>2951.1828571428568</v>
      </c>
    </row>
    <row r="7563" spans="1:7" hidden="1" x14ac:dyDescent="0.25">
      <c r="A7563" s="28">
        <v>44197</v>
      </c>
      <c r="B7563" s="27" t="s">
        <v>33</v>
      </c>
      <c r="C7563" s="27" t="s">
        <v>50</v>
      </c>
      <c r="D7563" s="27" t="s">
        <v>7</v>
      </c>
      <c r="E7563" s="27" t="s">
        <v>38</v>
      </c>
      <c r="F7563" s="29"/>
      <c r="G7563" s="30">
        <v>2951.1828571428568</v>
      </c>
    </row>
    <row r="7564" spans="1:7" hidden="1" x14ac:dyDescent="0.25">
      <c r="A7564" s="28">
        <v>44197</v>
      </c>
      <c r="B7564" s="27" t="s">
        <v>33</v>
      </c>
      <c r="C7564" s="27" t="s">
        <v>50</v>
      </c>
      <c r="D7564" s="27" t="s">
        <v>7</v>
      </c>
      <c r="E7564" s="27" t="s">
        <v>23</v>
      </c>
      <c r="F7564" s="29"/>
      <c r="G7564" s="30">
        <v>2951.1828571428568</v>
      </c>
    </row>
    <row r="7565" spans="1:7" hidden="1" x14ac:dyDescent="0.25">
      <c r="A7565" s="28">
        <v>44197</v>
      </c>
      <c r="B7565" s="27" t="s">
        <v>33</v>
      </c>
      <c r="C7565" s="27" t="s">
        <v>50</v>
      </c>
      <c r="D7565" s="27" t="s">
        <v>7</v>
      </c>
      <c r="E7565" s="27" t="s">
        <v>40</v>
      </c>
      <c r="F7565" s="29"/>
      <c r="G7565" s="30">
        <v>2951.1828571428568</v>
      </c>
    </row>
    <row r="7566" spans="1:7" hidden="1" x14ac:dyDescent="0.25">
      <c r="A7566" s="28">
        <v>44197</v>
      </c>
      <c r="B7566" s="27" t="s">
        <v>4</v>
      </c>
      <c r="C7566" s="27" t="s">
        <v>50</v>
      </c>
      <c r="D7566" s="27" t="s">
        <v>7</v>
      </c>
      <c r="E7566" s="27" t="s">
        <v>8</v>
      </c>
      <c r="F7566" s="29"/>
      <c r="G7566" s="30">
        <v>3768.36</v>
      </c>
    </row>
    <row r="7567" spans="1:7" hidden="1" x14ac:dyDescent="0.25">
      <c r="A7567" s="28">
        <v>44197</v>
      </c>
      <c r="B7567" s="27" t="s">
        <v>4</v>
      </c>
      <c r="C7567" s="27" t="s">
        <v>50</v>
      </c>
      <c r="D7567" s="27" t="s">
        <v>7</v>
      </c>
      <c r="E7567" s="27" t="s">
        <v>9</v>
      </c>
      <c r="F7567" s="29"/>
      <c r="G7567" s="30">
        <v>3292.54</v>
      </c>
    </row>
    <row r="7568" spans="1:7" hidden="1" x14ac:dyDescent="0.25">
      <c r="A7568" s="28">
        <v>44197</v>
      </c>
      <c r="B7568" s="27" t="s">
        <v>4</v>
      </c>
      <c r="C7568" s="27" t="s">
        <v>50</v>
      </c>
      <c r="D7568" s="27" t="s">
        <v>7</v>
      </c>
      <c r="E7568" s="27" t="s">
        <v>22</v>
      </c>
      <c r="F7568" s="29"/>
      <c r="G7568" s="30">
        <v>4732.2</v>
      </c>
    </row>
    <row r="7569" spans="1:7" hidden="1" x14ac:dyDescent="0.25">
      <c r="A7569" s="28">
        <v>44197</v>
      </c>
      <c r="B7569" s="27" t="s">
        <v>4</v>
      </c>
      <c r="C7569" s="27" t="s">
        <v>50</v>
      </c>
      <c r="D7569" s="27" t="s">
        <v>7</v>
      </c>
      <c r="E7569" s="27" t="s">
        <v>21</v>
      </c>
      <c r="F7569" s="29"/>
      <c r="G7569" s="30">
        <v>3294.72</v>
      </c>
    </row>
    <row r="7570" spans="1:7" hidden="1" x14ac:dyDescent="0.25">
      <c r="A7570" s="28">
        <v>44197</v>
      </c>
      <c r="B7570" s="27" t="s">
        <v>4</v>
      </c>
      <c r="C7570" s="27" t="s">
        <v>50</v>
      </c>
      <c r="D7570" s="27" t="s">
        <v>7</v>
      </c>
      <c r="E7570" s="27" t="s">
        <v>41</v>
      </c>
      <c r="F7570" s="29"/>
      <c r="G7570" s="30">
        <v>1359.59</v>
      </c>
    </row>
    <row r="7571" spans="1:7" hidden="1" x14ac:dyDescent="0.25">
      <c r="A7571" s="28">
        <v>44197</v>
      </c>
      <c r="B7571" s="27" t="s">
        <v>4</v>
      </c>
      <c r="C7571" s="27" t="s">
        <v>50</v>
      </c>
      <c r="D7571" s="27" t="s">
        <v>7</v>
      </c>
      <c r="E7571" s="27" t="s">
        <v>10</v>
      </c>
      <c r="F7571" s="29"/>
      <c r="G7571" s="30">
        <v>5739.53</v>
      </c>
    </row>
    <row r="7572" spans="1:7" hidden="1" x14ac:dyDescent="0.25">
      <c r="A7572" s="28">
        <v>44197</v>
      </c>
      <c r="B7572" s="27" t="s">
        <v>4</v>
      </c>
      <c r="C7572" s="27" t="s">
        <v>50</v>
      </c>
      <c r="D7572" s="27" t="s">
        <v>7</v>
      </c>
      <c r="E7572" s="27" t="s">
        <v>11</v>
      </c>
      <c r="F7572" s="29"/>
      <c r="G7572" s="30">
        <v>249.06</v>
      </c>
    </row>
    <row r="7573" spans="1:7" hidden="1" x14ac:dyDescent="0.25">
      <c r="A7573" s="28">
        <v>44197</v>
      </c>
      <c r="B7573" s="27" t="s">
        <v>4</v>
      </c>
      <c r="C7573" s="27" t="s">
        <v>50</v>
      </c>
      <c r="D7573" s="27" t="s">
        <v>7</v>
      </c>
      <c r="E7573" s="27" t="s">
        <v>13</v>
      </c>
      <c r="F7573" s="29"/>
      <c r="G7573" s="30">
        <v>5065.97</v>
      </c>
    </row>
    <row r="7574" spans="1:7" hidden="1" x14ac:dyDescent="0.25">
      <c r="A7574" s="28">
        <v>44197</v>
      </c>
      <c r="B7574" s="27" t="s">
        <v>4</v>
      </c>
      <c r="C7574" s="27" t="s">
        <v>50</v>
      </c>
      <c r="D7574" s="27" t="s">
        <v>7</v>
      </c>
      <c r="E7574" s="27" t="s">
        <v>14</v>
      </c>
      <c r="F7574" s="29"/>
      <c r="G7574" s="30">
        <v>682.44</v>
      </c>
    </row>
    <row r="7575" spans="1:7" hidden="1" x14ac:dyDescent="0.25">
      <c r="A7575" s="28">
        <v>44197</v>
      </c>
      <c r="B7575" s="27" t="s">
        <v>4</v>
      </c>
      <c r="C7575" s="27" t="s">
        <v>50</v>
      </c>
      <c r="D7575" s="27" t="s">
        <v>7</v>
      </c>
      <c r="E7575" s="27" t="s">
        <v>15</v>
      </c>
      <c r="F7575" s="29"/>
      <c r="G7575" s="30">
        <v>3608.31</v>
      </c>
    </row>
    <row r="7576" spans="1:7" hidden="1" x14ac:dyDescent="0.25">
      <c r="A7576" s="28">
        <v>44197</v>
      </c>
      <c r="B7576" s="27" t="s">
        <v>4</v>
      </c>
      <c r="C7576" s="27" t="s">
        <v>50</v>
      </c>
      <c r="D7576" s="27" t="s">
        <v>7</v>
      </c>
      <c r="E7576" s="27" t="s">
        <v>16</v>
      </c>
      <c r="F7576" s="29"/>
      <c r="G7576" s="30">
        <v>5084.83</v>
      </c>
    </row>
    <row r="7577" spans="1:7" hidden="1" x14ac:dyDescent="0.25">
      <c r="A7577" s="28">
        <v>44197</v>
      </c>
      <c r="B7577" s="27" t="s">
        <v>4</v>
      </c>
      <c r="C7577" s="27" t="s">
        <v>50</v>
      </c>
      <c r="D7577" s="27" t="s">
        <v>7</v>
      </c>
      <c r="E7577" s="27" t="s">
        <v>17</v>
      </c>
      <c r="F7577" s="29"/>
      <c r="G7577" s="30">
        <v>4799.5200000000004</v>
      </c>
    </row>
    <row r="7578" spans="1:7" hidden="1" x14ac:dyDescent="0.25">
      <c r="A7578" s="28">
        <v>44197</v>
      </c>
      <c r="B7578" s="27" t="s">
        <v>4</v>
      </c>
      <c r="C7578" s="27" t="s">
        <v>50</v>
      </c>
      <c r="D7578" s="27" t="s">
        <v>7</v>
      </c>
      <c r="E7578" s="27" t="s">
        <v>18</v>
      </c>
      <c r="F7578" s="29"/>
      <c r="G7578" s="30">
        <v>3928.32</v>
      </c>
    </row>
    <row r="7579" spans="1:7" hidden="1" x14ac:dyDescent="0.25">
      <c r="A7579" s="28">
        <v>44197</v>
      </c>
      <c r="B7579" s="27" t="s">
        <v>4</v>
      </c>
      <c r="C7579" s="27" t="s">
        <v>50</v>
      </c>
      <c r="D7579" s="27" t="s">
        <v>7</v>
      </c>
      <c r="E7579" s="27" t="s">
        <v>19</v>
      </c>
      <c r="F7579" s="29"/>
      <c r="G7579" s="30">
        <v>6630.03</v>
      </c>
    </row>
    <row r="7580" spans="1:7" hidden="1" x14ac:dyDescent="0.25">
      <c r="A7580" s="28">
        <v>44197</v>
      </c>
      <c r="B7580" s="27" t="s">
        <v>4</v>
      </c>
      <c r="C7580" s="27" t="s">
        <v>50</v>
      </c>
      <c r="D7580" s="27" t="s">
        <v>7</v>
      </c>
      <c r="E7580" s="27" t="s">
        <v>20</v>
      </c>
      <c r="F7580" s="29"/>
      <c r="G7580" s="30">
        <v>1498.2</v>
      </c>
    </row>
    <row r="7581" spans="1:7" hidden="1" x14ac:dyDescent="0.25">
      <c r="A7581" s="28">
        <v>44197</v>
      </c>
      <c r="B7581" s="27" t="s">
        <v>4</v>
      </c>
      <c r="C7581" s="27" t="s">
        <v>50</v>
      </c>
      <c r="D7581" s="27" t="s">
        <v>7</v>
      </c>
      <c r="E7581" s="27" t="s">
        <v>38</v>
      </c>
      <c r="F7581" s="29"/>
      <c r="G7581" s="30">
        <v>1277.5</v>
      </c>
    </row>
    <row r="7582" spans="1:7" hidden="1" x14ac:dyDescent="0.25">
      <c r="A7582" s="28">
        <v>44197</v>
      </c>
      <c r="B7582" s="27" t="s">
        <v>4</v>
      </c>
      <c r="C7582" s="27" t="s">
        <v>50</v>
      </c>
      <c r="D7582" s="27" t="s">
        <v>7</v>
      </c>
      <c r="E7582" s="27" t="s">
        <v>23</v>
      </c>
      <c r="F7582" s="29"/>
      <c r="G7582" s="30">
        <v>5125.79</v>
      </c>
    </row>
    <row r="7583" spans="1:7" hidden="1" x14ac:dyDescent="0.25">
      <c r="A7583" s="28">
        <v>44197</v>
      </c>
      <c r="B7583" s="27" t="s">
        <v>26</v>
      </c>
      <c r="C7583" s="27" t="s">
        <v>50</v>
      </c>
      <c r="D7583" s="27" t="s">
        <v>6</v>
      </c>
      <c r="E7583" s="27" t="s">
        <v>8</v>
      </c>
      <c r="F7583" s="29"/>
      <c r="G7583" s="30">
        <v>719.18234681218985</v>
      </c>
    </row>
    <row r="7584" spans="1:7" hidden="1" x14ac:dyDescent="0.25">
      <c r="A7584" s="28">
        <v>44197</v>
      </c>
      <c r="B7584" s="27" t="s">
        <v>26</v>
      </c>
      <c r="C7584" s="27" t="s">
        <v>50</v>
      </c>
      <c r="D7584" s="27" t="s">
        <v>6</v>
      </c>
      <c r="E7584" s="27" t="s">
        <v>9</v>
      </c>
      <c r="F7584" s="29"/>
      <c r="G7584" s="30">
        <v>1595.1320615825009</v>
      </c>
    </row>
    <row r="7585" spans="1:7" hidden="1" x14ac:dyDescent="0.25">
      <c r="A7585" s="28">
        <v>44197</v>
      </c>
      <c r="B7585" s="27" t="s">
        <v>26</v>
      </c>
      <c r="C7585" s="27" t="s">
        <v>50</v>
      </c>
      <c r="D7585" s="27" t="s">
        <v>6</v>
      </c>
      <c r="E7585" s="27" t="s">
        <v>22</v>
      </c>
      <c r="F7585" s="29"/>
      <c r="G7585" s="30">
        <v>2121.8036778000037</v>
      </c>
    </row>
    <row r="7586" spans="1:7" hidden="1" x14ac:dyDescent="0.25">
      <c r="A7586" s="28">
        <v>44197</v>
      </c>
      <c r="B7586" s="27" t="s">
        <v>26</v>
      </c>
      <c r="C7586" s="27" t="s">
        <v>50</v>
      </c>
      <c r="D7586" s="27" t="s">
        <v>6</v>
      </c>
      <c r="E7586" s="27" t="s">
        <v>39</v>
      </c>
      <c r="F7586" s="29"/>
      <c r="G7586" s="30">
        <v>1858.2521149872089</v>
      </c>
    </row>
    <row r="7587" spans="1:7" hidden="1" x14ac:dyDescent="0.25">
      <c r="A7587" s="28">
        <v>44197</v>
      </c>
      <c r="B7587" s="27" t="s">
        <v>26</v>
      </c>
      <c r="C7587" s="27" t="s">
        <v>50</v>
      </c>
      <c r="D7587" s="27" t="s">
        <v>6</v>
      </c>
      <c r="E7587" s="27" t="s">
        <v>64</v>
      </c>
      <c r="F7587" s="29"/>
      <c r="G7587" s="30">
        <v>1276.3329108875935</v>
      </c>
    </row>
    <row r="7588" spans="1:7" hidden="1" x14ac:dyDescent="0.25">
      <c r="A7588" s="28">
        <v>44197</v>
      </c>
      <c r="B7588" s="27" t="s">
        <v>26</v>
      </c>
      <c r="C7588" s="27" t="s">
        <v>50</v>
      </c>
      <c r="D7588" s="27" t="s">
        <v>6</v>
      </c>
      <c r="E7588" s="27" t="s">
        <v>21</v>
      </c>
      <c r="F7588" s="29"/>
      <c r="G7588" s="30">
        <v>1372.0704648952321</v>
      </c>
    </row>
    <row r="7589" spans="1:7" hidden="1" x14ac:dyDescent="0.25">
      <c r="A7589" s="28">
        <v>44197</v>
      </c>
      <c r="B7589" s="27" t="s">
        <v>26</v>
      </c>
      <c r="C7589" s="27" t="s">
        <v>50</v>
      </c>
      <c r="D7589" s="27" t="s">
        <v>6</v>
      </c>
      <c r="E7589" s="27" t="s">
        <v>41</v>
      </c>
      <c r="F7589" s="29"/>
      <c r="G7589" s="30">
        <v>1581.4819806400055</v>
      </c>
    </row>
    <row r="7590" spans="1:7" hidden="1" x14ac:dyDescent="0.25">
      <c r="A7590" s="28">
        <v>44197</v>
      </c>
      <c r="B7590" s="27" t="s">
        <v>26</v>
      </c>
      <c r="C7590" s="27" t="s">
        <v>50</v>
      </c>
      <c r="D7590" s="27" t="s">
        <v>6</v>
      </c>
      <c r="E7590" s="27" t="s">
        <v>10</v>
      </c>
      <c r="F7590" s="29"/>
      <c r="G7590" s="30">
        <v>2188.8314725228997</v>
      </c>
    </row>
    <row r="7591" spans="1:7" hidden="1" x14ac:dyDescent="0.25">
      <c r="A7591" s="28">
        <v>44197</v>
      </c>
      <c r="B7591" s="27" t="s">
        <v>26</v>
      </c>
      <c r="C7591" s="27" t="s">
        <v>50</v>
      </c>
      <c r="D7591" s="27" t="s">
        <v>6</v>
      </c>
      <c r="E7591" s="27" t="s">
        <v>11</v>
      </c>
      <c r="F7591" s="29"/>
      <c r="G7591" s="30">
        <v>1627.7110218930932</v>
      </c>
    </row>
    <row r="7592" spans="1:7" hidden="1" x14ac:dyDescent="0.25">
      <c r="A7592" s="28">
        <v>44197</v>
      </c>
      <c r="B7592" s="27" t="s">
        <v>26</v>
      </c>
      <c r="C7592" s="27" t="s">
        <v>50</v>
      </c>
      <c r="D7592" s="27" t="s">
        <v>6</v>
      </c>
      <c r="E7592" s="27" t="s">
        <v>12</v>
      </c>
      <c r="F7592" s="29"/>
      <c r="G7592" s="30">
        <v>1714.4875638594519</v>
      </c>
    </row>
    <row r="7593" spans="1:7" hidden="1" x14ac:dyDescent="0.25">
      <c r="A7593" s="28">
        <v>44197</v>
      </c>
      <c r="B7593" s="27" t="s">
        <v>26</v>
      </c>
      <c r="C7593" s="27" t="s">
        <v>50</v>
      </c>
      <c r="D7593" s="27" t="s">
        <v>6</v>
      </c>
      <c r="E7593" s="27" t="s">
        <v>13</v>
      </c>
      <c r="F7593" s="29"/>
      <c r="G7593" s="30">
        <v>1743.4562287890469</v>
      </c>
    </row>
    <row r="7594" spans="1:7" hidden="1" x14ac:dyDescent="0.25">
      <c r="A7594" s="28">
        <v>44197</v>
      </c>
      <c r="B7594" s="27" t="s">
        <v>26</v>
      </c>
      <c r="C7594" s="27" t="s">
        <v>50</v>
      </c>
      <c r="D7594" s="27" t="s">
        <v>6</v>
      </c>
      <c r="E7594" s="27" t="s">
        <v>14</v>
      </c>
      <c r="F7594" s="29"/>
      <c r="G7594" s="30">
        <v>561.68141286032039</v>
      </c>
    </row>
    <row r="7595" spans="1:7" hidden="1" x14ac:dyDescent="0.25">
      <c r="A7595" s="28">
        <v>44197</v>
      </c>
      <c r="B7595" s="27" t="s">
        <v>26</v>
      </c>
      <c r="C7595" s="27" t="s">
        <v>50</v>
      </c>
      <c r="D7595" s="27" t="s">
        <v>6</v>
      </c>
      <c r="E7595" s="27" t="s">
        <v>15</v>
      </c>
      <c r="F7595" s="29"/>
      <c r="G7595" s="30">
        <v>1903.4886846016955</v>
      </c>
    </row>
    <row r="7596" spans="1:7" hidden="1" x14ac:dyDescent="0.25">
      <c r="A7596" s="28">
        <v>44197</v>
      </c>
      <c r="B7596" s="27" t="s">
        <v>26</v>
      </c>
      <c r="C7596" s="27" t="s">
        <v>50</v>
      </c>
      <c r="D7596" s="27" t="s">
        <v>6</v>
      </c>
      <c r="E7596" s="27" t="s">
        <v>16</v>
      </c>
      <c r="F7596" s="29"/>
      <c r="G7596" s="30">
        <v>2154.0949651718715</v>
      </c>
    </row>
    <row r="7597" spans="1:7" hidden="1" x14ac:dyDescent="0.25">
      <c r="A7597" s="28">
        <v>44197</v>
      </c>
      <c r="B7597" s="27" t="s">
        <v>26</v>
      </c>
      <c r="C7597" s="27" t="s">
        <v>50</v>
      </c>
      <c r="D7597" s="27" t="s">
        <v>6</v>
      </c>
      <c r="E7597" s="27" t="s">
        <v>17</v>
      </c>
      <c r="F7597" s="29"/>
      <c r="G7597" s="30">
        <v>3135.6350321011482</v>
      </c>
    </row>
    <row r="7598" spans="1:7" hidden="1" x14ac:dyDescent="0.25">
      <c r="A7598" s="28">
        <v>44197</v>
      </c>
      <c r="B7598" s="27" t="s">
        <v>26</v>
      </c>
      <c r="C7598" s="27" t="s">
        <v>50</v>
      </c>
      <c r="D7598" s="27" t="s">
        <v>6</v>
      </c>
      <c r="E7598" s="27" t="s">
        <v>18</v>
      </c>
      <c r="F7598" s="29"/>
      <c r="G7598" s="30">
        <v>1603.690331509566</v>
      </c>
    </row>
    <row r="7599" spans="1:7" hidden="1" x14ac:dyDescent="0.25">
      <c r="A7599" s="28">
        <v>44197</v>
      </c>
      <c r="B7599" s="27" t="s">
        <v>26</v>
      </c>
      <c r="C7599" s="27" t="s">
        <v>50</v>
      </c>
      <c r="D7599" s="27" t="s">
        <v>6</v>
      </c>
      <c r="E7599" s="27" t="s">
        <v>19</v>
      </c>
      <c r="F7599" s="29"/>
      <c r="G7599" s="30">
        <v>2421.1417541901737</v>
      </c>
    </row>
    <row r="7600" spans="1:7" hidden="1" x14ac:dyDescent="0.25">
      <c r="A7600" s="28">
        <v>44197</v>
      </c>
      <c r="B7600" s="27" t="s">
        <v>26</v>
      </c>
      <c r="C7600" s="27" t="s">
        <v>50</v>
      </c>
      <c r="D7600" s="27" t="s">
        <v>6</v>
      </c>
      <c r="E7600" s="27" t="s">
        <v>20</v>
      </c>
      <c r="F7600" s="29"/>
      <c r="G7600" s="30">
        <v>1946.4814052941281</v>
      </c>
    </row>
    <row r="7601" spans="1:7" hidden="1" x14ac:dyDescent="0.25">
      <c r="A7601" s="28">
        <v>44197</v>
      </c>
      <c r="B7601" s="27" t="s">
        <v>26</v>
      </c>
      <c r="C7601" s="27" t="s">
        <v>50</v>
      </c>
      <c r="D7601" s="27" t="s">
        <v>6</v>
      </c>
      <c r="E7601" s="27" t="s">
        <v>38</v>
      </c>
      <c r="F7601" s="29"/>
      <c r="G7601" s="30">
        <v>760.63601728244464</v>
      </c>
    </row>
    <row r="7602" spans="1:7" hidden="1" x14ac:dyDescent="0.25">
      <c r="A7602" s="28">
        <v>44197</v>
      </c>
      <c r="B7602" s="27" t="s">
        <v>26</v>
      </c>
      <c r="C7602" s="27" t="s">
        <v>50</v>
      </c>
      <c r="D7602" s="27" t="s">
        <v>6</v>
      </c>
      <c r="E7602" s="27" t="s">
        <v>23</v>
      </c>
      <c r="F7602" s="29"/>
      <c r="G7602" s="30">
        <v>2589.0564485238838</v>
      </c>
    </row>
    <row r="7603" spans="1:7" hidden="1" x14ac:dyDescent="0.25">
      <c r="A7603" s="28">
        <v>44197</v>
      </c>
      <c r="B7603" s="27" t="s">
        <v>26</v>
      </c>
      <c r="C7603" s="27" t="s">
        <v>50</v>
      </c>
      <c r="D7603" s="27" t="s">
        <v>6</v>
      </c>
      <c r="E7603" s="27" t="s">
        <v>40</v>
      </c>
      <c r="F7603" s="29"/>
      <c r="G7603" s="30">
        <v>834.25152230214019</v>
      </c>
    </row>
    <row r="7604" spans="1:7" hidden="1" x14ac:dyDescent="0.25">
      <c r="A7604" s="28">
        <v>44197</v>
      </c>
      <c r="B7604" s="27" t="s">
        <v>26</v>
      </c>
      <c r="C7604" s="27" t="s">
        <v>50</v>
      </c>
      <c r="D7604" s="27" t="s">
        <v>6</v>
      </c>
      <c r="E7604" s="27" t="s">
        <v>37</v>
      </c>
      <c r="F7604" s="29"/>
      <c r="G7604" s="30">
        <v>791.10058149340887</v>
      </c>
    </row>
    <row r="7605" spans="1:7" hidden="1" x14ac:dyDescent="0.25">
      <c r="A7605" s="28">
        <v>44197</v>
      </c>
      <c r="B7605" s="27" t="s">
        <v>3</v>
      </c>
      <c r="C7605" s="27" t="s">
        <v>50</v>
      </c>
      <c r="D7605" s="27" t="s">
        <v>7</v>
      </c>
      <c r="E7605" s="27" t="s">
        <v>8</v>
      </c>
      <c r="F7605" s="29"/>
      <c r="G7605" s="30">
        <v>567.34095238095233</v>
      </c>
    </row>
    <row r="7606" spans="1:7" hidden="1" x14ac:dyDescent="0.25">
      <c r="A7606" s="28">
        <v>44197</v>
      </c>
      <c r="B7606" s="27" t="s">
        <v>3</v>
      </c>
      <c r="C7606" s="27" t="s">
        <v>50</v>
      </c>
      <c r="D7606" s="27" t="s">
        <v>7</v>
      </c>
      <c r="E7606" s="27" t="s">
        <v>9</v>
      </c>
      <c r="F7606" s="29"/>
      <c r="G7606" s="30">
        <v>567.34095238095233</v>
      </c>
    </row>
    <row r="7607" spans="1:7" hidden="1" x14ac:dyDescent="0.25">
      <c r="A7607" s="28">
        <v>44197</v>
      </c>
      <c r="B7607" s="27" t="s">
        <v>3</v>
      </c>
      <c r="C7607" s="27" t="s">
        <v>50</v>
      </c>
      <c r="D7607" s="27" t="s">
        <v>7</v>
      </c>
      <c r="E7607" s="27" t="s">
        <v>22</v>
      </c>
      <c r="F7607" s="29"/>
      <c r="G7607" s="30">
        <v>567.34095238095233</v>
      </c>
    </row>
    <row r="7608" spans="1:7" hidden="1" x14ac:dyDescent="0.25">
      <c r="A7608" s="28">
        <v>44197</v>
      </c>
      <c r="B7608" s="27" t="s">
        <v>3</v>
      </c>
      <c r="C7608" s="27" t="s">
        <v>50</v>
      </c>
      <c r="D7608" s="27" t="s">
        <v>7</v>
      </c>
      <c r="E7608" s="27" t="s">
        <v>39</v>
      </c>
      <c r="F7608" s="29"/>
      <c r="G7608" s="30">
        <v>567.34095238095233</v>
      </c>
    </row>
    <row r="7609" spans="1:7" hidden="1" x14ac:dyDescent="0.25">
      <c r="A7609" s="28">
        <v>44197</v>
      </c>
      <c r="B7609" s="27" t="s">
        <v>3</v>
      </c>
      <c r="C7609" s="27" t="s">
        <v>50</v>
      </c>
      <c r="D7609" s="27" t="s">
        <v>7</v>
      </c>
      <c r="E7609" s="27" t="s">
        <v>64</v>
      </c>
      <c r="F7609" s="29"/>
      <c r="G7609" s="30">
        <v>567.34095238095233</v>
      </c>
    </row>
    <row r="7610" spans="1:7" hidden="1" x14ac:dyDescent="0.25">
      <c r="A7610" s="28">
        <v>44197</v>
      </c>
      <c r="B7610" s="27" t="s">
        <v>3</v>
      </c>
      <c r="C7610" s="27" t="s">
        <v>50</v>
      </c>
      <c r="D7610" s="27" t="s">
        <v>7</v>
      </c>
      <c r="E7610" s="27" t="s">
        <v>21</v>
      </c>
      <c r="F7610" s="29"/>
      <c r="G7610" s="30">
        <v>567.34095238095233</v>
      </c>
    </row>
    <row r="7611" spans="1:7" hidden="1" x14ac:dyDescent="0.25">
      <c r="A7611" s="28">
        <v>44197</v>
      </c>
      <c r="B7611" s="27" t="s">
        <v>3</v>
      </c>
      <c r="C7611" s="27" t="s">
        <v>50</v>
      </c>
      <c r="D7611" s="27" t="s">
        <v>7</v>
      </c>
      <c r="E7611" s="27" t="s">
        <v>41</v>
      </c>
      <c r="F7611" s="29"/>
      <c r="G7611" s="30">
        <v>567.34095238095233</v>
      </c>
    </row>
    <row r="7612" spans="1:7" hidden="1" x14ac:dyDescent="0.25">
      <c r="A7612" s="28">
        <v>44197</v>
      </c>
      <c r="B7612" s="27" t="s">
        <v>3</v>
      </c>
      <c r="C7612" s="27" t="s">
        <v>50</v>
      </c>
      <c r="D7612" s="27" t="s">
        <v>7</v>
      </c>
      <c r="E7612" s="27" t="s">
        <v>10</v>
      </c>
      <c r="F7612" s="29"/>
      <c r="G7612" s="30">
        <v>567.34095238095233</v>
      </c>
    </row>
    <row r="7613" spans="1:7" hidden="1" x14ac:dyDescent="0.25">
      <c r="A7613" s="28">
        <v>44197</v>
      </c>
      <c r="B7613" s="27" t="s">
        <v>3</v>
      </c>
      <c r="C7613" s="27" t="s">
        <v>50</v>
      </c>
      <c r="D7613" s="27" t="s">
        <v>7</v>
      </c>
      <c r="E7613" s="27" t="s">
        <v>11</v>
      </c>
      <c r="F7613" s="29"/>
      <c r="G7613" s="30">
        <v>567.34095238095233</v>
      </c>
    </row>
    <row r="7614" spans="1:7" hidden="1" x14ac:dyDescent="0.25">
      <c r="A7614" s="28">
        <v>44197</v>
      </c>
      <c r="B7614" s="27" t="s">
        <v>3</v>
      </c>
      <c r="C7614" s="27" t="s">
        <v>50</v>
      </c>
      <c r="D7614" s="27" t="s">
        <v>7</v>
      </c>
      <c r="E7614" s="27" t="s">
        <v>12</v>
      </c>
      <c r="F7614" s="29"/>
      <c r="G7614" s="30">
        <v>567.34095238095233</v>
      </c>
    </row>
    <row r="7615" spans="1:7" hidden="1" x14ac:dyDescent="0.25">
      <c r="A7615" s="28">
        <v>44197</v>
      </c>
      <c r="B7615" s="27" t="s">
        <v>3</v>
      </c>
      <c r="C7615" s="27" t="s">
        <v>50</v>
      </c>
      <c r="D7615" s="27" t="s">
        <v>7</v>
      </c>
      <c r="E7615" s="27" t="s">
        <v>13</v>
      </c>
      <c r="F7615" s="29"/>
      <c r="G7615" s="30">
        <v>567.34095238095233</v>
      </c>
    </row>
    <row r="7616" spans="1:7" hidden="1" x14ac:dyDescent="0.25">
      <c r="A7616" s="28">
        <v>44197</v>
      </c>
      <c r="B7616" s="27" t="s">
        <v>3</v>
      </c>
      <c r="C7616" s="27" t="s">
        <v>50</v>
      </c>
      <c r="D7616" s="27" t="s">
        <v>7</v>
      </c>
      <c r="E7616" s="27" t="s">
        <v>14</v>
      </c>
      <c r="F7616" s="29"/>
      <c r="G7616" s="30">
        <v>567.34095238095233</v>
      </c>
    </row>
    <row r="7617" spans="1:7" hidden="1" x14ac:dyDescent="0.25">
      <c r="A7617" s="28">
        <v>44197</v>
      </c>
      <c r="B7617" s="27" t="s">
        <v>3</v>
      </c>
      <c r="C7617" s="27" t="s">
        <v>50</v>
      </c>
      <c r="D7617" s="27" t="s">
        <v>7</v>
      </c>
      <c r="E7617" s="27" t="s">
        <v>15</v>
      </c>
      <c r="F7617" s="29"/>
      <c r="G7617" s="30">
        <v>567.34095238095233</v>
      </c>
    </row>
    <row r="7618" spans="1:7" hidden="1" x14ac:dyDescent="0.25">
      <c r="A7618" s="28">
        <v>44197</v>
      </c>
      <c r="B7618" s="27" t="s">
        <v>3</v>
      </c>
      <c r="C7618" s="27" t="s">
        <v>50</v>
      </c>
      <c r="D7618" s="27" t="s">
        <v>7</v>
      </c>
      <c r="E7618" s="27" t="s">
        <v>16</v>
      </c>
      <c r="F7618" s="29"/>
      <c r="G7618" s="30">
        <v>567.34095238095233</v>
      </c>
    </row>
    <row r="7619" spans="1:7" hidden="1" x14ac:dyDescent="0.25">
      <c r="A7619" s="28">
        <v>44197</v>
      </c>
      <c r="B7619" s="27" t="s">
        <v>3</v>
      </c>
      <c r="C7619" s="27" t="s">
        <v>50</v>
      </c>
      <c r="D7619" s="27" t="s">
        <v>7</v>
      </c>
      <c r="E7619" s="27" t="s">
        <v>17</v>
      </c>
      <c r="F7619" s="29"/>
      <c r="G7619" s="30">
        <v>567.34095238095233</v>
      </c>
    </row>
    <row r="7620" spans="1:7" hidden="1" x14ac:dyDescent="0.25">
      <c r="A7620" s="28">
        <v>44197</v>
      </c>
      <c r="B7620" s="27" t="s">
        <v>3</v>
      </c>
      <c r="C7620" s="27" t="s">
        <v>50</v>
      </c>
      <c r="D7620" s="27" t="s">
        <v>7</v>
      </c>
      <c r="E7620" s="27" t="s">
        <v>18</v>
      </c>
      <c r="F7620" s="29"/>
      <c r="G7620" s="30">
        <v>567.34095238095233</v>
      </c>
    </row>
    <row r="7621" spans="1:7" hidden="1" x14ac:dyDescent="0.25">
      <c r="A7621" s="28">
        <v>44197</v>
      </c>
      <c r="B7621" s="27" t="s">
        <v>3</v>
      </c>
      <c r="C7621" s="27" t="s">
        <v>50</v>
      </c>
      <c r="D7621" s="27" t="s">
        <v>7</v>
      </c>
      <c r="E7621" s="27" t="s">
        <v>19</v>
      </c>
      <c r="F7621" s="29"/>
      <c r="G7621" s="30">
        <v>567.34095238095233</v>
      </c>
    </row>
    <row r="7622" spans="1:7" hidden="1" x14ac:dyDescent="0.25">
      <c r="A7622" s="28">
        <v>44197</v>
      </c>
      <c r="B7622" s="27" t="s">
        <v>3</v>
      </c>
      <c r="C7622" s="27" t="s">
        <v>50</v>
      </c>
      <c r="D7622" s="27" t="s">
        <v>7</v>
      </c>
      <c r="E7622" s="27" t="s">
        <v>20</v>
      </c>
      <c r="F7622" s="29"/>
      <c r="G7622" s="30">
        <v>567.34095238095233</v>
      </c>
    </row>
    <row r="7623" spans="1:7" hidden="1" x14ac:dyDescent="0.25">
      <c r="A7623" s="28">
        <v>44197</v>
      </c>
      <c r="B7623" s="27" t="s">
        <v>3</v>
      </c>
      <c r="C7623" s="27" t="s">
        <v>50</v>
      </c>
      <c r="D7623" s="27" t="s">
        <v>7</v>
      </c>
      <c r="E7623" s="27" t="s">
        <v>38</v>
      </c>
      <c r="F7623" s="29"/>
      <c r="G7623" s="30">
        <v>567.34095238095233</v>
      </c>
    </row>
    <row r="7624" spans="1:7" hidden="1" x14ac:dyDescent="0.25">
      <c r="A7624" s="28">
        <v>44197</v>
      </c>
      <c r="B7624" s="27" t="s">
        <v>3</v>
      </c>
      <c r="C7624" s="27" t="s">
        <v>50</v>
      </c>
      <c r="D7624" s="27" t="s">
        <v>7</v>
      </c>
      <c r="E7624" s="27" t="s">
        <v>23</v>
      </c>
      <c r="F7624" s="29"/>
      <c r="G7624" s="30">
        <v>567.34095238095233</v>
      </c>
    </row>
    <row r="7625" spans="1:7" hidden="1" x14ac:dyDescent="0.25">
      <c r="A7625" s="28">
        <v>44197</v>
      </c>
      <c r="B7625" s="27" t="s">
        <v>3</v>
      </c>
      <c r="C7625" s="27" t="s">
        <v>50</v>
      </c>
      <c r="D7625" s="27" t="s">
        <v>7</v>
      </c>
      <c r="E7625" s="27" t="s">
        <v>40</v>
      </c>
      <c r="F7625" s="29"/>
      <c r="G7625" s="30">
        <v>567.34095238095233</v>
      </c>
    </row>
    <row r="7626" spans="1:7" hidden="1" x14ac:dyDescent="0.25">
      <c r="A7626" s="28">
        <v>44197</v>
      </c>
      <c r="B7626" s="27" t="s">
        <v>179</v>
      </c>
      <c r="C7626" s="27" t="s">
        <v>50</v>
      </c>
      <c r="D7626" s="27" t="s">
        <v>6</v>
      </c>
      <c r="E7626" s="27" t="s">
        <v>8</v>
      </c>
      <c r="F7626" s="29"/>
      <c r="G7626" s="30">
        <v>54.168999999999997</v>
      </c>
    </row>
    <row r="7627" spans="1:7" hidden="1" x14ac:dyDescent="0.25">
      <c r="A7627" s="28">
        <v>44197</v>
      </c>
      <c r="B7627" s="27" t="s">
        <v>179</v>
      </c>
      <c r="C7627" s="27" t="s">
        <v>50</v>
      </c>
      <c r="D7627" s="27" t="s">
        <v>6</v>
      </c>
      <c r="E7627" s="27" t="s">
        <v>9</v>
      </c>
      <c r="F7627" s="29"/>
      <c r="G7627" s="30">
        <v>71.931666000000007</v>
      </c>
    </row>
    <row r="7628" spans="1:7" hidden="1" x14ac:dyDescent="0.25">
      <c r="A7628" s="28">
        <v>44197</v>
      </c>
      <c r="B7628" s="27" t="s">
        <v>179</v>
      </c>
      <c r="C7628" s="27" t="s">
        <v>50</v>
      </c>
      <c r="D7628" s="27" t="s">
        <v>6</v>
      </c>
      <c r="E7628" s="27" t="s">
        <v>22</v>
      </c>
      <c r="F7628" s="29"/>
      <c r="G7628" s="30">
        <v>95.266666000000001</v>
      </c>
    </row>
    <row r="7629" spans="1:7" hidden="1" x14ac:dyDescent="0.25">
      <c r="A7629" s="28">
        <v>44197</v>
      </c>
      <c r="B7629" s="27" t="s">
        <v>179</v>
      </c>
      <c r="C7629" s="27" t="s">
        <v>50</v>
      </c>
      <c r="D7629" s="27" t="s">
        <v>6</v>
      </c>
      <c r="E7629" s="27" t="s">
        <v>39</v>
      </c>
      <c r="F7629" s="29"/>
      <c r="G7629" s="30">
        <v>72.42</v>
      </c>
    </row>
    <row r="7630" spans="1:7" hidden="1" x14ac:dyDescent="0.25">
      <c r="A7630" s="28">
        <v>44197</v>
      </c>
      <c r="B7630" s="27" t="s">
        <v>179</v>
      </c>
      <c r="C7630" s="27" t="s">
        <v>50</v>
      </c>
      <c r="D7630" s="27" t="s">
        <v>6</v>
      </c>
      <c r="E7630" s="27" t="s">
        <v>21</v>
      </c>
      <c r="F7630" s="29"/>
      <c r="G7630" s="30">
        <v>66.441665999999998</v>
      </c>
    </row>
    <row r="7631" spans="1:7" hidden="1" x14ac:dyDescent="0.25">
      <c r="A7631" s="28">
        <v>44197</v>
      </c>
      <c r="B7631" s="27" t="s">
        <v>179</v>
      </c>
      <c r="C7631" s="27" t="s">
        <v>50</v>
      </c>
      <c r="D7631" s="27" t="s">
        <v>6</v>
      </c>
      <c r="E7631" s="27" t="s">
        <v>41</v>
      </c>
      <c r="F7631" s="29"/>
      <c r="G7631" s="30">
        <v>71.509165999999993</v>
      </c>
    </row>
    <row r="7632" spans="1:7" hidden="1" x14ac:dyDescent="0.25">
      <c r="A7632" s="28">
        <v>44197</v>
      </c>
      <c r="B7632" s="27" t="s">
        <v>179</v>
      </c>
      <c r="C7632" s="27" t="s">
        <v>50</v>
      </c>
      <c r="D7632" s="27" t="s">
        <v>6</v>
      </c>
      <c r="E7632" s="27" t="s">
        <v>10</v>
      </c>
      <c r="F7632" s="29"/>
      <c r="G7632" s="30">
        <v>86.698999999999998</v>
      </c>
    </row>
    <row r="7633" spans="1:7" hidden="1" x14ac:dyDescent="0.25">
      <c r="A7633" s="28">
        <v>44197</v>
      </c>
      <c r="B7633" s="27" t="s">
        <v>179</v>
      </c>
      <c r="C7633" s="27" t="s">
        <v>50</v>
      </c>
      <c r="D7633" s="27" t="s">
        <v>6</v>
      </c>
      <c r="E7633" s="27" t="s">
        <v>11</v>
      </c>
      <c r="F7633" s="29"/>
      <c r="G7633" s="30">
        <v>65.566665999999998</v>
      </c>
    </row>
    <row r="7634" spans="1:7" hidden="1" x14ac:dyDescent="0.25">
      <c r="A7634" s="28">
        <v>44197</v>
      </c>
      <c r="B7634" s="27" t="s">
        <v>179</v>
      </c>
      <c r="C7634" s="27" t="s">
        <v>50</v>
      </c>
      <c r="D7634" s="27" t="s">
        <v>6</v>
      </c>
      <c r="E7634" s="27" t="s">
        <v>12</v>
      </c>
      <c r="F7634" s="29"/>
      <c r="G7634" s="30">
        <v>67.331665999999998</v>
      </c>
    </row>
    <row r="7635" spans="1:7" hidden="1" x14ac:dyDescent="0.25">
      <c r="A7635" s="28">
        <v>44197</v>
      </c>
      <c r="B7635" s="27" t="s">
        <v>179</v>
      </c>
      <c r="C7635" s="27" t="s">
        <v>50</v>
      </c>
      <c r="D7635" s="27" t="s">
        <v>6</v>
      </c>
      <c r="E7635" s="27" t="s">
        <v>13</v>
      </c>
      <c r="F7635" s="29"/>
      <c r="G7635" s="30">
        <v>93.319165999999996</v>
      </c>
    </row>
    <row r="7636" spans="1:7" hidden="1" x14ac:dyDescent="0.25">
      <c r="A7636" s="28">
        <v>44197</v>
      </c>
      <c r="B7636" s="27" t="s">
        <v>179</v>
      </c>
      <c r="C7636" s="27" t="s">
        <v>50</v>
      </c>
      <c r="D7636" s="27" t="s">
        <v>6</v>
      </c>
      <c r="E7636" s="27" t="s">
        <v>14</v>
      </c>
      <c r="F7636" s="29"/>
      <c r="G7636" s="30">
        <v>79.181666000000007</v>
      </c>
    </row>
    <row r="7637" spans="1:7" hidden="1" x14ac:dyDescent="0.25">
      <c r="A7637" s="28">
        <v>44197</v>
      </c>
      <c r="B7637" s="27" t="s">
        <v>179</v>
      </c>
      <c r="C7637" s="27" t="s">
        <v>50</v>
      </c>
      <c r="D7637" s="27" t="s">
        <v>6</v>
      </c>
      <c r="E7637" s="27" t="s">
        <v>15</v>
      </c>
      <c r="F7637" s="29"/>
      <c r="G7637" s="30">
        <v>90.084165999999996</v>
      </c>
    </row>
    <row r="7638" spans="1:7" hidden="1" x14ac:dyDescent="0.25">
      <c r="A7638" s="28">
        <v>44197</v>
      </c>
      <c r="B7638" s="27" t="s">
        <v>179</v>
      </c>
      <c r="C7638" s="27" t="s">
        <v>50</v>
      </c>
      <c r="D7638" s="27" t="s">
        <v>6</v>
      </c>
      <c r="E7638" s="27" t="s">
        <v>16</v>
      </c>
      <c r="F7638" s="29"/>
      <c r="G7638" s="30">
        <v>91.176665999999997</v>
      </c>
    </row>
    <row r="7639" spans="1:7" hidden="1" x14ac:dyDescent="0.25">
      <c r="A7639" s="28">
        <v>44197</v>
      </c>
      <c r="B7639" s="27" t="s">
        <v>179</v>
      </c>
      <c r="C7639" s="27" t="s">
        <v>50</v>
      </c>
      <c r="D7639" s="27" t="s">
        <v>6</v>
      </c>
      <c r="E7639" s="27" t="s">
        <v>17</v>
      </c>
      <c r="F7639" s="29"/>
      <c r="G7639" s="30">
        <v>142.004166</v>
      </c>
    </row>
    <row r="7640" spans="1:7" hidden="1" x14ac:dyDescent="0.25">
      <c r="A7640" s="28">
        <v>44197</v>
      </c>
      <c r="B7640" s="27" t="s">
        <v>179</v>
      </c>
      <c r="C7640" s="27" t="s">
        <v>50</v>
      </c>
      <c r="D7640" s="27" t="s">
        <v>6</v>
      </c>
      <c r="E7640" s="27" t="s">
        <v>18</v>
      </c>
      <c r="F7640" s="29"/>
      <c r="G7640" s="30">
        <v>183.16666599999999</v>
      </c>
    </row>
    <row r="7641" spans="1:7" hidden="1" x14ac:dyDescent="0.25">
      <c r="A7641" s="28">
        <v>44197</v>
      </c>
      <c r="B7641" s="27" t="s">
        <v>179</v>
      </c>
      <c r="C7641" s="27" t="s">
        <v>50</v>
      </c>
      <c r="D7641" s="27" t="s">
        <v>6</v>
      </c>
      <c r="E7641" s="27" t="s">
        <v>19</v>
      </c>
      <c r="F7641" s="29"/>
      <c r="G7641" s="30">
        <v>120.299166</v>
      </c>
    </row>
    <row r="7642" spans="1:7" hidden="1" x14ac:dyDescent="0.25">
      <c r="A7642" s="28">
        <v>44197</v>
      </c>
      <c r="B7642" s="27" t="s">
        <v>179</v>
      </c>
      <c r="C7642" s="27" t="s">
        <v>50</v>
      </c>
      <c r="D7642" s="27" t="s">
        <v>6</v>
      </c>
      <c r="E7642" s="27" t="s">
        <v>20</v>
      </c>
      <c r="F7642" s="29"/>
      <c r="G7642" s="30">
        <v>231.341666</v>
      </c>
    </row>
    <row r="7643" spans="1:7" hidden="1" x14ac:dyDescent="0.25">
      <c r="A7643" s="28">
        <v>44197</v>
      </c>
      <c r="B7643" s="27" t="s">
        <v>179</v>
      </c>
      <c r="C7643" s="27" t="s">
        <v>50</v>
      </c>
      <c r="D7643" s="27" t="s">
        <v>6</v>
      </c>
      <c r="E7643" s="27" t="s">
        <v>38</v>
      </c>
      <c r="F7643" s="29"/>
      <c r="G7643" s="30">
        <v>99.366665999999995</v>
      </c>
    </row>
    <row r="7644" spans="1:7" hidden="1" x14ac:dyDescent="0.25">
      <c r="A7644" s="28">
        <v>44197</v>
      </c>
      <c r="B7644" s="27" t="s">
        <v>179</v>
      </c>
      <c r="C7644" s="27" t="s">
        <v>50</v>
      </c>
      <c r="D7644" s="27" t="s">
        <v>6</v>
      </c>
      <c r="E7644" s="27" t="s">
        <v>23</v>
      </c>
      <c r="F7644" s="29"/>
      <c r="G7644" s="30">
        <v>131.48916600000001</v>
      </c>
    </row>
    <row r="7645" spans="1:7" hidden="1" x14ac:dyDescent="0.25">
      <c r="A7645" s="28">
        <v>44197</v>
      </c>
      <c r="B7645" s="27" t="s">
        <v>179</v>
      </c>
      <c r="C7645" s="27" t="s">
        <v>50</v>
      </c>
      <c r="D7645" s="27" t="s">
        <v>6</v>
      </c>
      <c r="E7645" s="27" t="s">
        <v>40</v>
      </c>
      <c r="F7645" s="29"/>
      <c r="G7645" s="30">
        <v>130.52416600000001</v>
      </c>
    </row>
    <row r="7646" spans="1:7" hidden="1" x14ac:dyDescent="0.25">
      <c r="A7646" s="28">
        <v>44197</v>
      </c>
      <c r="B7646" s="27" t="s">
        <v>32</v>
      </c>
      <c r="C7646" s="27" t="s">
        <v>50</v>
      </c>
      <c r="D7646" s="27" t="s">
        <v>7</v>
      </c>
      <c r="E7646" s="27" t="s">
        <v>10</v>
      </c>
      <c r="F7646" s="29"/>
      <c r="G7646" s="30">
        <v>30</v>
      </c>
    </row>
    <row r="7647" spans="1:7" hidden="1" x14ac:dyDescent="0.25">
      <c r="A7647" s="28">
        <v>44197</v>
      </c>
      <c r="B7647" s="27" t="s">
        <v>32</v>
      </c>
      <c r="C7647" s="27" t="s">
        <v>50</v>
      </c>
      <c r="D7647" s="27" t="s">
        <v>7</v>
      </c>
      <c r="E7647" s="27" t="s">
        <v>17</v>
      </c>
      <c r="F7647" s="29"/>
      <c r="G7647" s="30">
        <v>30</v>
      </c>
    </row>
    <row r="7648" spans="1:7" hidden="1" x14ac:dyDescent="0.25">
      <c r="A7648" s="28">
        <v>44197</v>
      </c>
      <c r="B7648" s="27" t="s">
        <v>5</v>
      </c>
      <c r="C7648" s="27" t="s">
        <v>51</v>
      </c>
      <c r="D7648" s="27" t="s">
        <v>51</v>
      </c>
      <c r="E7648" s="27" t="s">
        <v>8</v>
      </c>
      <c r="F7648" s="29">
        <v>3049</v>
      </c>
      <c r="G7648" s="30">
        <v>3.1461392225875149</v>
      </c>
    </row>
    <row r="7649" spans="1:7" hidden="1" x14ac:dyDescent="0.25">
      <c r="A7649" s="28">
        <v>44197</v>
      </c>
      <c r="B7649" s="27" t="s">
        <v>5</v>
      </c>
      <c r="C7649" s="27" t="s">
        <v>51</v>
      </c>
      <c r="D7649" s="27" t="s">
        <v>51</v>
      </c>
      <c r="E7649" s="27" t="s">
        <v>9</v>
      </c>
      <c r="F7649" s="29">
        <v>2997</v>
      </c>
      <c r="G7649" s="30">
        <v>3.439039329476024</v>
      </c>
    </row>
    <row r="7650" spans="1:7" hidden="1" x14ac:dyDescent="0.25">
      <c r="A7650" s="28">
        <v>44197</v>
      </c>
      <c r="B7650" s="27" t="s">
        <v>5</v>
      </c>
      <c r="C7650" s="27" t="s">
        <v>51</v>
      </c>
      <c r="D7650" s="27" t="s">
        <v>51</v>
      </c>
      <c r="E7650" s="27" t="s">
        <v>22</v>
      </c>
      <c r="F7650" s="29">
        <v>4063</v>
      </c>
      <c r="G7650" s="30">
        <v>2.9775799868710671</v>
      </c>
    </row>
    <row r="7651" spans="1:7" hidden="1" x14ac:dyDescent="0.25">
      <c r="A7651" s="28">
        <v>44197</v>
      </c>
      <c r="B7651" s="27" t="s">
        <v>5</v>
      </c>
      <c r="C7651" s="27" t="s">
        <v>51</v>
      </c>
      <c r="D7651" s="27" t="s">
        <v>51</v>
      </c>
      <c r="E7651" s="27" t="s">
        <v>21</v>
      </c>
      <c r="F7651" s="29">
        <v>3330</v>
      </c>
      <c r="G7651" s="30">
        <v>2.8016514335592717</v>
      </c>
    </row>
    <row r="7652" spans="1:7" hidden="1" x14ac:dyDescent="0.25">
      <c r="A7652" s="28">
        <v>44197</v>
      </c>
      <c r="B7652" s="27" t="s">
        <v>5</v>
      </c>
      <c r="C7652" s="27" t="s">
        <v>51</v>
      </c>
      <c r="D7652" s="27" t="s">
        <v>51</v>
      </c>
      <c r="E7652" s="27" t="s">
        <v>41</v>
      </c>
      <c r="F7652" s="29">
        <v>1133</v>
      </c>
      <c r="G7652" s="30">
        <v>6.7937937241810662</v>
      </c>
    </row>
    <row r="7653" spans="1:7" hidden="1" x14ac:dyDescent="0.25">
      <c r="A7653" s="28">
        <v>44197</v>
      </c>
      <c r="B7653" s="27" t="s">
        <v>5</v>
      </c>
      <c r="C7653" s="27" t="s">
        <v>51</v>
      </c>
      <c r="D7653" s="27" t="s">
        <v>51</v>
      </c>
      <c r="E7653" s="27" t="s">
        <v>10</v>
      </c>
      <c r="F7653" s="29">
        <v>4638</v>
      </c>
      <c r="G7653" s="30">
        <v>2.7676644276369213</v>
      </c>
    </row>
    <row r="7654" spans="1:7" hidden="1" x14ac:dyDescent="0.25">
      <c r="A7654" s="28">
        <v>44197</v>
      </c>
      <c r="B7654" s="27" t="s">
        <v>5</v>
      </c>
      <c r="C7654" s="27" t="s">
        <v>51</v>
      </c>
      <c r="D7654" s="27" t="s">
        <v>51</v>
      </c>
      <c r="E7654" s="27" t="s">
        <v>11</v>
      </c>
      <c r="F7654" s="29">
        <v>239</v>
      </c>
      <c r="G7654" s="30">
        <v>32.35650556799262</v>
      </c>
    </row>
    <row r="7655" spans="1:7" hidden="1" x14ac:dyDescent="0.25">
      <c r="A7655" s="28">
        <v>44197</v>
      </c>
      <c r="B7655" s="27" t="s">
        <v>5</v>
      </c>
      <c r="C7655" s="27" t="s">
        <v>51</v>
      </c>
      <c r="D7655" s="27" t="s">
        <v>51</v>
      </c>
      <c r="E7655" s="27" t="s">
        <v>13</v>
      </c>
      <c r="F7655" s="29">
        <v>5373</v>
      </c>
      <c r="G7655" s="30">
        <v>2.4147780639579732</v>
      </c>
    </row>
    <row r="7656" spans="1:7" hidden="1" x14ac:dyDescent="0.25">
      <c r="A7656" s="28">
        <v>44197</v>
      </c>
      <c r="B7656" s="27" t="s">
        <v>5</v>
      </c>
      <c r="C7656" s="27" t="s">
        <v>51</v>
      </c>
      <c r="D7656" s="27" t="s">
        <v>51</v>
      </c>
      <c r="E7656" s="27" t="s">
        <v>14</v>
      </c>
      <c r="F7656" s="29">
        <v>1188</v>
      </c>
      <c r="G7656" s="30">
        <v>4.8360187051493799</v>
      </c>
    </row>
    <row r="7657" spans="1:7" hidden="1" x14ac:dyDescent="0.25">
      <c r="A7657" s="28">
        <v>44197</v>
      </c>
      <c r="B7657" s="27" t="s">
        <v>5</v>
      </c>
      <c r="C7657" s="27" t="s">
        <v>51</v>
      </c>
      <c r="D7657" s="27" t="s">
        <v>51</v>
      </c>
      <c r="E7657" s="27" t="s">
        <v>15</v>
      </c>
      <c r="F7657" s="29">
        <v>3827</v>
      </c>
      <c r="G7657" s="30">
        <v>2.7906297343764925</v>
      </c>
    </row>
    <row r="7658" spans="1:7" hidden="1" x14ac:dyDescent="0.25">
      <c r="A7658" s="28">
        <v>44197</v>
      </c>
      <c r="B7658" s="27" t="s">
        <v>5</v>
      </c>
      <c r="C7658" s="27" t="s">
        <v>51</v>
      </c>
      <c r="D7658" s="27" t="s">
        <v>51</v>
      </c>
      <c r="E7658" s="27" t="s">
        <v>16</v>
      </c>
      <c r="F7658" s="29">
        <v>5393</v>
      </c>
      <c r="G7658" s="30">
        <v>2.2252732753623241</v>
      </c>
    </row>
    <row r="7659" spans="1:7" hidden="1" x14ac:dyDescent="0.25">
      <c r="A7659" s="28">
        <v>44197</v>
      </c>
      <c r="B7659" s="27" t="s">
        <v>5</v>
      </c>
      <c r="C7659" s="27" t="s">
        <v>51</v>
      </c>
      <c r="D7659" s="27" t="s">
        <v>51</v>
      </c>
      <c r="E7659" s="27" t="s">
        <v>17</v>
      </c>
      <c r="F7659" s="29">
        <v>4124</v>
      </c>
      <c r="G7659" s="30">
        <v>3.196514631658169</v>
      </c>
    </row>
    <row r="7660" spans="1:7" hidden="1" x14ac:dyDescent="0.25">
      <c r="A7660" s="28">
        <v>44197</v>
      </c>
      <c r="B7660" s="27" t="s">
        <v>5</v>
      </c>
      <c r="C7660" s="27" t="s">
        <v>51</v>
      </c>
      <c r="D7660" s="27" t="s">
        <v>51</v>
      </c>
      <c r="E7660" s="27" t="s">
        <v>18</v>
      </c>
      <c r="F7660" s="29">
        <v>5952</v>
      </c>
      <c r="G7660" s="30">
        <v>1.7072873219702134</v>
      </c>
    </row>
    <row r="7661" spans="1:7" hidden="1" x14ac:dyDescent="0.25">
      <c r="A7661" s="28">
        <v>44197</v>
      </c>
      <c r="B7661" s="27" t="s">
        <v>5</v>
      </c>
      <c r="C7661" s="27" t="s">
        <v>51</v>
      </c>
      <c r="D7661" s="27" t="s">
        <v>51</v>
      </c>
      <c r="E7661" s="27" t="s">
        <v>19</v>
      </c>
      <c r="F7661" s="29">
        <v>6697</v>
      </c>
      <c r="G7661" s="30">
        <v>2.1613391164771265</v>
      </c>
    </row>
    <row r="7662" spans="1:7" hidden="1" x14ac:dyDescent="0.25">
      <c r="A7662" s="28">
        <v>44197</v>
      </c>
      <c r="B7662" s="27" t="s">
        <v>5</v>
      </c>
      <c r="C7662" s="27" t="s">
        <v>51</v>
      </c>
      <c r="D7662" s="27" t="s">
        <v>51</v>
      </c>
      <c r="E7662" s="27" t="s">
        <v>20</v>
      </c>
      <c r="F7662" s="29">
        <v>2270</v>
      </c>
      <c r="G7662" s="30">
        <v>3.7932247639432912</v>
      </c>
    </row>
    <row r="7663" spans="1:7" hidden="1" x14ac:dyDescent="0.25">
      <c r="A7663" s="28">
        <v>44197</v>
      </c>
      <c r="B7663" s="27" t="s">
        <v>5</v>
      </c>
      <c r="C7663" s="27" t="s">
        <v>51</v>
      </c>
      <c r="D7663" s="27" t="s">
        <v>51</v>
      </c>
      <c r="E7663" s="27" t="s">
        <v>38</v>
      </c>
      <c r="F7663" s="29">
        <v>2348</v>
      </c>
      <c r="G7663" s="30">
        <v>3.4217205392417323</v>
      </c>
    </row>
    <row r="7664" spans="1:7" hidden="1" x14ac:dyDescent="0.25">
      <c r="A7664" s="28">
        <v>44197</v>
      </c>
      <c r="B7664" s="27" t="s">
        <v>5</v>
      </c>
      <c r="C7664" s="27" t="s">
        <v>51</v>
      </c>
      <c r="D7664" s="27" t="s">
        <v>51</v>
      </c>
      <c r="E7664" s="27" t="s">
        <v>23</v>
      </c>
      <c r="F7664" s="29">
        <v>5307</v>
      </c>
      <c r="G7664" s="30">
        <v>2.4027610245677455</v>
      </c>
    </row>
    <row r="7665" spans="1:7" hidden="1" x14ac:dyDescent="0.25">
      <c r="A7665" s="28">
        <v>44197</v>
      </c>
      <c r="B7665" s="27" t="s">
        <v>180</v>
      </c>
      <c r="C7665" s="27" t="s">
        <v>50</v>
      </c>
      <c r="D7665" s="27" t="s">
        <v>7</v>
      </c>
      <c r="E7665" s="27" t="s">
        <v>8</v>
      </c>
      <c r="F7665" s="29"/>
      <c r="G7665" s="30">
        <v>414</v>
      </c>
    </row>
    <row r="7666" spans="1:7" hidden="1" x14ac:dyDescent="0.25">
      <c r="A7666" s="28">
        <v>44197</v>
      </c>
      <c r="B7666" s="27" t="s">
        <v>180</v>
      </c>
      <c r="C7666" s="27" t="s">
        <v>50</v>
      </c>
      <c r="D7666" s="27" t="s">
        <v>7</v>
      </c>
      <c r="E7666" s="27" t="s">
        <v>22</v>
      </c>
      <c r="F7666" s="29"/>
      <c r="G7666" s="30">
        <v>73</v>
      </c>
    </row>
    <row r="7667" spans="1:7" hidden="1" x14ac:dyDescent="0.25">
      <c r="A7667" s="28">
        <v>44197</v>
      </c>
      <c r="B7667" s="27" t="s">
        <v>180</v>
      </c>
      <c r="C7667" s="27" t="s">
        <v>50</v>
      </c>
      <c r="D7667" s="27" t="s">
        <v>7</v>
      </c>
      <c r="E7667" s="27" t="s">
        <v>64</v>
      </c>
      <c r="F7667" s="29"/>
      <c r="G7667" s="30">
        <v>9528</v>
      </c>
    </row>
    <row r="7668" spans="1:7" hidden="1" x14ac:dyDescent="0.25">
      <c r="A7668" s="28">
        <v>44197</v>
      </c>
      <c r="B7668" s="27" t="s">
        <v>180</v>
      </c>
      <c r="C7668" s="27" t="s">
        <v>50</v>
      </c>
      <c r="D7668" s="27" t="s">
        <v>7</v>
      </c>
      <c r="E7668" s="27" t="s">
        <v>12</v>
      </c>
      <c r="F7668" s="29"/>
      <c r="G7668" s="30">
        <v>9884.08</v>
      </c>
    </row>
    <row r="7669" spans="1:7" hidden="1" x14ac:dyDescent="0.25">
      <c r="A7669" s="28">
        <v>44197</v>
      </c>
      <c r="B7669" s="27" t="s">
        <v>180</v>
      </c>
      <c r="C7669" s="27" t="s">
        <v>50</v>
      </c>
      <c r="D7669" s="27" t="s">
        <v>7</v>
      </c>
      <c r="E7669" s="27" t="s">
        <v>15</v>
      </c>
      <c r="F7669" s="29"/>
      <c r="G7669" s="30">
        <v>180</v>
      </c>
    </row>
    <row r="7670" spans="1:7" hidden="1" x14ac:dyDescent="0.25">
      <c r="A7670" s="28">
        <v>44197</v>
      </c>
      <c r="B7670" s="27" t="s">
        <v>180</v>
      </c>
      <c r="C7670" s="27" t="s">
        <v>50</v>
      </c>
      <c r="D7670" s="27" t="s">
        <v>7</v>
      </c>
      <c r="E7670" s="27" t="s">
        <v>16</v>
      </c>
      <c r="F7670" s="29"/>
      <c r="G7670" s="30">
        <v>239.74</v>
      </c>
    </row>
    <row r="7671" spans="1:7" hidden="1" x14ac:dyDescent="0.25">
      <c r="A7671" s="28">
        <v>44197</v>
      </c>
      <c r="B7671" s="27" t="s">
        <v>180</v>
      </c>
      <c r="C7671" s="27" t="s">
        <v>50</v>
      </c>
      <c r="D7671" s="27" t="s">
        <v>7</v>
      </c>
      <c r="E7671" s="27" t="s">
        <v>37</v>
      </c>
      <c r="F7671" s="29"/>
      <c r="G7671" s="30">
        <v>5025.08</v>
      </c>
    </row>
    <row r="7672" spans="1:7" hidden="1" x14ac:dyDescent="0.25">
      <c r="A7672" s="28">
        <v>44197</v>
      </c>
      <c r="B7672" s="27" t="s">
        <v>181</v>
      </c>
      <c r="C7672" s="27" t="s">
        <v>50</v>
      </c>
      <c r="D7672" s="27" t="s">
        <v>6</v>
      </c>
      <c r="E7672" s="27" t="s">
        <v>9</v>
      </c>
      <c r="F7672" s="29"/>
      <c r="G7672" s="30">
        <v>441.2</v>
      </c>
    </row>
    <row r="7673" spans="1:7" hidden="1" x14ac:dyDescent="0.25">
      <c r="A7673" s="28">
        <v>44197</v>
      </c>
      <c r="B7673" s="27" t="s">
        <v>181</v>
      </c>
      <c r="C7673" s="27" t="s">
        <v>50</v>
      </c>
      <c r="D7673" s="27" t="s">
        <v>6</v>
      </c>
      <c r="E7673" s="27" t="s">
        <v>22</v>
      </c>
      <c r="F7673" s="29"/>
      <c r="G7673" s="30">
        <v>55</v>
      </c>
    </row>
    <row r="7674" spans="1:7" hidden="1" x14ac:dyDescent="0.25">
      <c r="A7674" s="28">
        <v>44197</v>
      </c>
      <c r="B7674" s="27" t="s">
        <v>181</v>
      </c>
      <c r="C7674" s="27" t="s">
        <v>50</v>
      </c>
      <c r="D7674" s="27" t="s">
        <v>6</v>
      </c>
      <c r="E7674" s="27" t="s">
        <v>41</v>
      </c>
      <c r="F7674" s="29"/>
      <c r="G7674" s="30">
        <v>315</v>
      </c>
    </row>
    <row r="7675" spans="1:7" hidden="1" x14ac:dyDescent="0.25">
      <c r="A7675" s="28">
        <v>44197</v>
      </c>
      <c r="B7675" s="27" t="s">
        <v>181</v>
      </c>
      <c r="C7675" s="27" t="s">
        <v>50</v>
      </c>
      <c r="D7675" s="27" t="s">
        <v>6</v>
      </c>
      <c r="E7675" s="27" t="s">
        <v>10</v>
      </c>
      <c r="F7675" s="29"/>
      <c r="G7675" s="30">
        <v>41.5</v>
      </c>
    </row>
    <row r="7676" spans="1:7" hidden="1" x14ac:dyDescent="0.25">
      <c r="A7676" s="28">
        <v>44197</v>
      </c>
      <c r="B7676" s="27" t="s">
        <v>181</v>
      </c>
      <c r="C7676" s="27" t="s">
        <v>50</v>
      </c>
      <c r="D7676" s="27" t="s">
        <v>6</v>
      </c>
      <c r="E7676" s="29" t="s">
        <v>11</v>
      </c>
      <c r="F7676" s="29"/>
      <c r="G7676" s="30">
        <v>1155</v>
      </c>
    </row>
    <row r="7677" spans="1:7" hidden="1" x14ac:dyDescent="0.25">
      <c r="A7677" s="28">
        <v>44197</v>
      </c>
      <c r="B7677" s="27" t="s">
        <v>181</v>
      </c>
      <c r="C7677" s="27" t="s">
        <v>50</v>
      </c>
      <c r="D7677" s="27" t="s">
        <v>6</v>
      </c>
      <c r="E7677" s="27" t="s">
        <v>13</v>
      </c>
      <c r="F7677" s="29"/>
      <c r="G7677" s="30">
        <v>644.88</v>
      </c>
    </row>
    <row r="7678" spans="1:7" hidden="1" x14ac:dyDescent="0.25">
      <c r="A7678" s="28">
        <v>44197</v>
      </c>
      <c r="B7678" s="27" t="s">
        <v>181</v>
      </c>
      <c r="C7678" s="27" t="s">
        <v>50</v>
      </c>
      <c r="D7678" s="27" t="s">
        <v>6</v>
      </c>
      <c r="E7678" s="27" t="s">
        <v>14</v>
      </c>
      <c r="F7678" s="29"/>
      <c r="G7678" s="30">
        <v>50</v>
      </c>
    </row>
    <row r="7679" spans="1:7" hidden="1" x14ac:dyDescent="0.25">
      <c r="A7679" s="28">
        <v>44197</v>
      </c>
      <c r="B7679" s="27" t="s">
        <v>181</v>
      </c>
      <c r="C7679" s="27" t="s">
        <v>50</v>
      </c>
      <c r="D7679" s="27" t="s">
        <v>6</v>
      </c>
      <c r="E7679" s="27" t="s">
        <v>18</v>
      </c>
      <c r="F7679" s="29"/>
      <c r="G7679" s="30">
        <v>99.31</v>
      </c>
    </row>
    <row r="7680" spans="1:7" hidden="1" x14ac:dyDescent="0.25">
      <c r="A7680" s="28">
        <v>44197</v>
      </c>
      <c r="B7680" s="27" t="s">
        <v>181</v>
      </c>
      <c r="C7680" s="27" t="s">
        <v>50</v>
      </c>
      <c r="D7680" s="27" t="s">
        <v>6</v>
      </c>
      <c r="E7680" s="27" t="s">
        <v>20</v>
      </c>
      <c r="F7680" s="29"/>
      <c r="G7680" s="30">
        <v>415.31</v>
      </c>
    </row>
    <row r="7681" spans="1:7" hidden="1" x14ac:dyDescent="0.25">
      <c r="A7681" s="28">
        <v>44197</v>
      </c>
      <c r="B7681" s="27" t="s">
        <v>181</v>
      </c>
      <c r="C7681" s="27" t="s">
        <v>50</v>
      </c>
      <c r="D7681" s="27" t="s">
        <v>6</v>
      </c>
      <c r="E7681" s="27" t="s">
        <v>38</v>
      </c>
      <c r="F7681" s="29"/>
      <c r="G7681" s="30">
        <v>1303.21</v>
      </c>
    </row>
    <row r="7682" spans="1:7" hidden="1" x14ac:dyDescent="0.25">
      <c r="A7682" s="28">
        <v>44197</v>
      </c>
      <c r="B7682" s="27" t="s">
        <v>181</v>
      </c>
      <c r="C7682" s="27" t="s">
        <v>50</v>
      </c>
      <c r="D7682" s="27" t="s">
        <v>6</v>
      </c>
      <c r="E7682" s="27" t="s">
        <v>37</v>
      </c>
      <c r="F7682" s="29"/>
      <c r="G7682" s="30">
        <v>4760.74</v>
      </c>
    </row>
    <row r="7683" spans="1:7" hidden="1" x14ac:dyDescent="0.25">
      <c r="A7683" s="28">
        <v>44197</v>
      </c>
      <c r="B7683" s="27" t="s">
        <v>2</v>
      </c>
      <c r="C7683" s="27" t="s">
        <v>50</v>
      </c>
      <c r="D7683" s="27" t="s">
        <v>7</v>
      </c>
      <c r="E7683" s="27" t="s">
        <v>8</v>
      </c>
      <c r="F7683" s="29"/>
      <c r="G7683" s="30">
        <v>317.68</v>
      </c>
    </row>
    <row r="7684" spans="1:7" hidden="1" x14ac:dyDescent="0.25">
      <c r="A7684" s="28">
        <v>44197</v>
      </c>
      <c r="B7684" s="27" t="s">
        <v>2</v>
      </c>
      <c r="C7684" s="27" t="s">
        <v>50</v>
      </c>
      <c r="D7684" s="27" t="s">
        <v>7</v>
      </c>
      <c r="E7684" s="27" t="s">
        <v>9</v>
      </c>
      <c r="F7684" s="29"/>
      <c r="G7684" s="30">
        <v>586.80999999999995</v>
      </c>
    </row>
    <row r="7685" spans="1:7" hidden="1" x14ac:dyDescent="0.25">
      <c r="A7685" s="28">
        <v>44197</v>
      </c>
      <c r="B7685" s="27" t="s">
        <v>2</v>
      </c>
      <c r="C7685" s="27" t="s">
        <v>50</v>
      </c>
      <c r="D7685" s="27" t="s">
        <v>7</v>
      </c>
      <c r="E7685" s="27" t="s">
        <v>22</v>
      </c>
      <c r="F7685" s="29"/>
      <c r="G7685" s="30">
        <v>701.45</v>
      </c>
    </row>
    <row r="7686" spans="1:7" hidden="1" x14ac:dyDescent="0.25">
      <c r="A7686" s="28">
        <v>44197</v>
      </c>
      <c r="B7686" s="27" t="s">
        <v>2</v>
      </c>
      <c r="C7686" s="27" t="s">
        <v>50</v>
      </c>
      <c r="D7686" s="27" t="s">
        <v>7</v>
      </c>
      <c r="E7686" s="27" t="s">
        <v>39</v>
      </c>
      <c r="F7686" s="29"/>
      <c r="G7686" s="30">
        <v>9.1999999999999993</v>
      </c>
    </row>
    <row r="7687" spans="1:7" hidden="1" x14ac:dyDescent="0.25">
      <c r="A7687" s="28">
        <v>44197</v>
      </c>
      <c r="B7687" s="27" t="s">
        <v>2</v>
      </c>
      <c r="C7687" s="27" t="s">
        <v>50</v>
      </c>
      <c r="D7687" s="27" t="s">
        <v>7</v>
      </c>
      <c r="E7687" s="27" t="s">
        <v>64</v>
      </c>
      <c r="F7687" s="29"/>
      <c r="G7687" s="30">
        <v>23.68</v>
      </c>
    </row>
    <row r="7688" spans="1:7" hidden="1" x14ac:dyDescent="0.25">
      <c r="A7688" s="28">
        <v>44197</v>
      </c>
      <c r="B7688" s="27" t="s">
        <v>2</v>
      </c>
      <c r="C7688" s="27" t="s">
        <v>50</v>
      </c>
      <c r="D7688" s="27" t="s">
        <v>7</v>
      </c>
      <c r="E7688" s="27" t="s">
        <v>21</v>
      </c>
      <c r="F7688" s="29"/>
      <c r="G7688" s="30">
        <v>277.08</v>
      </c>
    </row>
    <row r="7689" spans="1:7" hidden="1" x14ac:dyDescent="0.25">
      <c r="A7689" s="28">
        <v>44197</v>
      </c>
      <c r="B7689" s="27" t="s">
        <v>2</v>
      </c>
      <c r="C7689" s="27" t="s">
        <v>50</v>
      </c>
      <c r="D7689" s="27" t="s">
        <v>7</v>
      </c>
      <c r="E7689" s="27" t="s">
        <v>41</v>
      </c>
      <c r="F7689" s="29"/>
      <c r="G7689" s="30">
        <v>50.6</v>
      </c>
    </row>
    <row r="7690" spans="1:7" hidden="1" x14ac:dyDescent="0.25">
      <c r="A7690" s="28">
        <v>44197</v>
      </c>
      <c r="B7690" s="27" t="s">
        <v>2</v>
      </c>
      <c r="C7690" s="27" t="s">
        <v>50</v>
      </c>
      <c r="D7690" s="27" t="s">
        <v>7</v>
      </c>
      <c r="E7690" s="27" t="s">
        <v>10</v>
      </c>
      <c r="F7690" s="29"/>
      <c r="G7690" s="30">
        <v>430.68</v>
      </c>
    </row>
    <row r="7691" spans="1:7" hidden="1" x14ac:dyDescent="0.25">
      <c r="A7691" s="28">
        <v>44197</v>
      </c>
      <c r="B7691" s="27" t="s">
        <v>2</v>
      </c>
      <c r="C7691" s="27" t="s">
        <v>50</v>
      </c>
      <c r="D7691" s="27" t="s">
        <v>7</v>
      </c>
      <c r="E7691" s="27" t="s">
        <v>11</v>
      </c>
      <c r="F7691" s="29"/>
      <c r="G7691" s="30">
        <v>316.68</v>
      </c>
    </row>
    <row r="7692" spans="1:7" hidden="1" x14ac:dyDescent="0.25">
      <c r="A7692" s="28">
        <v>44197</v>
      </c>
      <c r="B7692" s="27" t="s">
        <v>2</v>
      </c>
      <c r="C7692" s="27" t="s">
        <v>50</v>
      </c>
      <c r="D7692" s="27" t="s">
        <v>7</v>
      </c>
      <c r="E7692" s="27" t="s">
        <v>12</v>
      </c>
      <c r="F7692" s="29"/>
      <c r="G7692" s="30">
        <v>23.68</v>
      </c>
    </row>
    <row r="7693" spans="1:7" hidden="1" x14ac:dyDescent="0.25">
      <c r="A7693" s="28">
        <v>44197</v>
      </c>
      <c r="B7693" s="27" t="s">
        <v>2</v>
      </c>
      <c r="C7693" s="27" t="s">
        <v>50</v>
      </c>
      <c r="D7693" s="27" t="s">
        <v>7</v>
      </c>
      <c r="E7693" s="27" t="s">
        <v>13</v>
      </c>
      <c r="F7693" s="29"/>
      <c r="G7693" s="30">
        <v>1107.79</v>
      </c>
    </row>
    <row r="7694" spans="1:7" hidden="1" x14ac:dyDescent="0.25">
      <c r="A7694" s="28">
        <v>44197</v>
      </c>
      <c r="B7694" s="27" t="s">
        <v>2</v>
      </c>
      <c r="C7694" s="27" t="s">
        <v>50</v>
      </c>
      <c r="D7694" s="27" t="s">
        <v>7</v>
      </c>
      <c r="E7694" s="27" t="s">
        <v>14</v>
      </c>
      <c r="F7694" s="29"/>
      <c r="G7694" s="30">
        <v>52.7</v>
      </c>
    </row>
    <row r="7695" spans="1:7" hidden="1" x14ac:dyDescent="0.25">
      <c r="A7695" s="28">
        <v>44197</v>
      </c>
      <c r="B7695" s="27" t="s">
        <v>2</v>
      </c>
      <c r="C7695" s="27" t="s">
        <v>50</v>
      </c>
      <c r="D7695" s="27" t="s">
        <v>7</v>
      </c>
      <c r="E7695" s="27" t="s">
        <v>15</v>
      </c>
      <c r="F7695" s="29"/>
      <c r="G7695" s="30">
        <v>578.66999999999996</v>
      </c>
    </row>
    <row r="7696" spans="1:7" hidden="1" x14ac:dyDescent="0.25">
      <c r="A7696" s="28">
        <v>44197</v>
      </c>
      <c r="B7696" s="27" t="s">
        <v>2</v>
      </c>
      <c r="C7696" s="27" t="s">
        <v>50</v>
      </c>
      <c r="D7696" s="27" t="s">
        <v>7</v>
      </c>
      <c r="E7696" s="27" t="s">
        <v>16</v>
      </c>
      <c r="F7696" s="29"/>
      <c r="G7696" s="30">
        <v>111.87</v>
      </c>
    </row>
    <row r="7697" spans="1:7" hidden="1" x14ac:dyDescent="0.25">
      <c r="A7697" s="28">
        <v>44197</v>
      </c>
      <c r="B7697" s="27" t="s">
        <v>2</v>
      </c>
      <c r="C7697" s="27" t="s">
        <v>50</v>
      </c>
      <c r="D7697" s="27" t="s">
        <v>7</v>
      </c>
      <c r="E7697" s="27" t="s">
        <v>17</v>
      </c>
      <c r="F7697" s="29"/>
      <c r="G7697" s="30">
        <v>756.08</v>
      </c>
    </row>
    <row r="7698" spans="1:7" hidden="1" x14ac:dyDescent="0.25">
      <c r="A7698" s="28">
        <v>44197</v>
      </c>
      <c r="B7698" s="27" t="s">
        <v>2</v>
      </c>
      <c r="C7698" s="27" t="s">
        <v>50</v>
      </c>
      <c r="D7698" s="27" t="s">
        <v>7</v>
      </c>
      <c r="E7698" s="27" t="s">
        <v>18</v>
      </c>
      <c r="F7698" s="29"/>
      <c r="G7698" s="30">
        <v>28.1</v>
      </c>
    </row>
    <row r="7699" spans="1:7" hidden="1" x14ac:dyDescent="0.25">
      <c r="A7699" s="28">
        <v>44197</v>
      </c>
      <c r="B7699" s="27" t="s">
        <v>2</v>
      </c>
      <c r="C7699" s="27" t="s">
        <v>50</v>
      </c>
      <c r="D7699" s="27" t="s">
        <v>7</v>
      </c>
      <c r="E7699" s="27" t="s">
        <v>19</v>
      </c>
      <c r="F7699" s="29"/>
      <c r="G7699" s="30">
        <v>983.83</v>
      </c>
    </row>
    <row r="7700" spans="1:7" hidden="1" x14ac:dyDescent="0.25">
      <c r="A7700" s="28">
        <v>44197</v>
      </c>
      <c r="B7700" s="27" t="s">
        <v>2</v>
      </c>
      <c r="C7700" s="27" t="s">
        <v>50</v>
      </c>
      <c r="D7700" s="27" t="s">
        <v>7</v>
      </c>
      <c r="E7700" s="27" t="s">
        <v>20</v>
      </c>
      <c r="F7700" s="29"/>
      <c r="G7700" s="30">
        <v>200.1</v>
      </c>
    </row>
    <row r="7701" spans="1:7" hidden="1" x14ac:dyDescent="0.25">
      <c r="A7701" s="28">
        <v>44197</v>
      </c>
      <c r="B7701" s="27" t="s">
        <v>2</v>
      </c>
      <c r="C7701" s="27" t="s">
        <v>50</v>
      </c>
      <c r="D7701" s="27" t="s">
        <v>7</v>
      </c>
      <c r="E7701" s="27" t="s">
        <v>38</v>
      </c>
      <c r="F7701" s="29"/>
      <c r="G7701" s="30">
        <v>274.3</v>
      </c>
    </row>
    <row r="7702" spans="1:7" hidden="1" x14ac:dyDescent="0.25">
      <c r="A7702" s="28">
        <v>44197</v>
      </c>
      <c r="B7702" s="27" t="s">
        <v>2</v>
      </c>
      <c r="C7702" s="27" t="s">
        <v>50</v>
      </c>
      <c r="D7702" s="27" t="s">
        <v>7</v>
      </c>
      <c r="E7702" s="27" t="s">
        <v>23</v>
      </c>
      <c r="F7702" s="29"/>
      <c r="G7702" s="30">
        <v>585.92999999999995</v>
      </c>
    </row>
    <row r="7703" spans="1:7" hidden="1" x14ac:dyDescent="0.25">
      <c r="A7703" s="28">
        <v>44197</v>
      </c>
      <c r="B7703" s="27" t="s">
        <v>36</v>
      </c>
      <c r="C7703" s="27" t="s">
        <v>50</v>
      </c>
      <c r="D7703" s="27" t="s">
        <v>6</v>
      </c>
      <c r="E7703" s="27" t="s">
        <v>8</v>
      </c>
      <c r="F7703" s="29"/>
      <c r="G7703" s="30">
        <v>329.28238095238095</v>
      </c>
    </row>
    <row r="7704" spans="1:7" hidden="1" x14ac:dyDescent="0.25">
      <c r="A7704" s="28">
        <v>44197</v>
      </c>
      <c r="B7704" s="27" t="s">
        <v>36</v>
      </c>
      <c r="C7704" s="27" t="s">
        <v>50</v>
      </c>
      <c r="D7704" s="27" t="s">
        <v>6</v>
      </c>
      <c r="E7704" s="27" t="s">
        <v>9</v>
      </c>
      <c r="F7704" s="29"/>
      <c r="G7704" s="30">
        <v>329.28238095238095</v>
      </c>
    </row>
    <row r="7705" spans="1:7" hidden="1" x14ac:dyDescent="0.25">
      <c r="A7705" s="28">
        <v>44197</v>
      </c>
      <c r="B7705" s="27" t="s">
        <v>36</v>
      </c>
      <c r="C7705" s="27" t="s">
        <v>50</v>
      </c>
      <c r="D7705" s="27" t="s">
        <v>6</v>
      </c>
      <c r="E7705" s="27" t="s">
        <v>22</v>
      </c>
      <c r="F7705" s="29"/>
      <c r="G7705" s="30">
        <v>329.28238095238095</v>
      </c>
    </row>
    <row r="7706" spans="1:7" hidden="1" x14ac:dyDescent="0.25">
      <c r="A7706" s="28">
        <v>44197</v>
      </c>
      <c r="B7706" s="27" t="s">
        <v>36</v>
      </c>
      <c r="C7706" s="27" t="s">
        <v>50</v>
      </c>
      <c r="D7706" s="27" t="s">
        <v>6</v>
      </c>
      <c r="E7706" s="27" t="s">
        <v>39</v>
      </c>
      <c r="F7706" s="29"/>
      <c r="G7706" s="30">
        <v>329.28238095238095</v>
      </c>
    </row>
    <row r="7707" spans="1:7" hidden="1" x14ac:dyDescent="0.25">
      <c r="A7707" s="28">
        <v>44197</v>
      </c>
      <c r="B7707" s="27" t="s">
        <v>36</v>
      </c>
      <c r="C7707" s="27" t="s">
        <v>50</v>
      </c>
      <c r="D7707" s="27" t="s">
        <v>6</v>
      </c>
      <c r="E7707" s="27" t="s">
        <v>64</v>
      </c>
      <c r="F7707" s="29"/>
      <c r="G7707" s="30">
        <v>329.28238095238095</v>
      </c>
    </row>
    <row r="7708" spans="1:7" hidden="1" x14ac:dyDescent="0.25">
      <c r="A7708" s="28">
        <v>44197</v>
      </c>
      <c r="B7708" s="27" t="s">
        <v>36</v>
      </c>
      <c r="C7708" s="27" t="s">
        <v>50</v>
      </c>
      <c r="D7708" s="27" t="s">
        <v>6</v>
      </c>
      <c r="E7708" s="27" t="s">
        <v>21</v>
      </c>
      <c r="F7708" s="29"/>
      <c r="G7708" s="30">
        <v>329.28238095238095</v>
      </c>
    </row>
    <row r="7709" spans="1:7" hidden="1" x14ac:dyDescent="0.25">
      <c r="A7709" s="28">
        <v>44197</v>
      </c>
      <c r="B7709" s="27" t="s">
        <v>36</v>
      </c>
      <c r="C7709" s="27" t="s">
        <v>50</v>
      </c>
      <c r="D7709" s="27" t="s">
        <v>6</v>
      </c>
      <c r="E7709" s="27" t="s">
        <v>41</v>
      </c>
      <c r="F7709" s="29"/>
      <c r="G7709" s="30">
        <v>329.28238095238095</v>
      </c>
    </row>
    <row r="7710" spans="1:7" hidden="1" x14ac:dyDescent="0.25">
      <c r="A7710" s="28">
        <v>44197</v>
      </c>
      <c r="B7710" s="27" t="s">
        <v>36</v>
      </c>
      <c r="C7710" s="27" t="s">
        <v>50</v>
      </c>
      <c r="D7710" s="27" t="s">
        <v>6</v>
      </c>
      <c r="E7710" s="27" t="s">
        <v>10</v>
      </c>
      <c r="F7710" s="29"/>
      <c r="G7710" s="30">
        <v>329.28238095238095</v>
      </c>
    </row>
    <row r="7711" spans="1:7" hidden="1" x14ac:dyDescent="0.25">
      <c r="A7711" s="28">
        <v>44197</v>
      </c>
      <c r="B7711" s="27" t="s">
        <v>36</v>
      </c>
      <c r="C7711" s="27" t="s">
        <v>50</v>
      </c>
      <c r="D7711" s="27" t="s">
        <v>6</v>
      </c>
      <c r="E7711" s="27" t="s">
        <v>11</v>
      </c>
      <c r="F7711" s="29"/>
      <c r="G7711" s="30">
        <v>329.28238095238095</v>
      </c>
    </row>
    <row r="7712" spans="1:7" hidden="1" x14ac:dyDescent="0.25">
      <c r="A7712" s="28">
        <v>44197</v>
      </c>
      <c r="B7712" s="27" t="s">
        <v>36</v>
      </c>
      <c r="C7712" s="27" t="s">
        <v>50</v>
      </c>
      <c r="D7712" s="27" t="s">
        <v>6</v>
      </c>
      <c r="E7712" s="27" t="s">
        <v>12</v>
      </c>
      <c r="F7712" s="29"/>
      <c r="G7712" s="30">
        <v>329.28238095238095</v>
      </c>
    </row>
    <row r="7713" spans="1:7" hidden="1" x14ac:dyDescent="0.25">
      <c r="A7713" s="28">
        <v>44197</v>
      </c>
      <c r="B7713" s="27" t="s">
        <v>36</v>
      </c>
      <c r="C7713" s="27" t="s">
        <v>50</v>
      </c>
      <c r="D7713" s="27" t="s">
        <v>6</v>
      </c>
      <c r="E7713" s="27" t="s">
        <v>13</v>
      </c>
      <c r="F7713" s="29"/>
      <c r="G7713" s="30">
        <v>329.28238095238095</v>
      </c>
    </row>
    <row r="7714" spans="1:7" hidden="1" x14ac:dyDescent="0.25">
      <c r="A7714" s="28">
        <v>44197</v>
      </c>
      <c r="B7714" s="27" t="s">
        <v>36</v>
      </c>
      <c r="C7714" s="27" t="s">
        <v>50</v>
      </c>
      <c r="D7714" s="27" t="s">
        <v>6</v>
      </c>
      <c r="E7714" s="27" t="s">
        <v>14</v>
      </c>
      <c r="F7714" s="29"/>
      <c r="G7714" s="30">
        <v>329.28238095238095</v>
      </c>
    </row>
    <row r="7715" spans="1:7" hidden="1" x14ac:dyDescent="0.25">
      <c r="A7715" s="28">
        <v>44197</v>
      </c>
      <c r="B7715" s="27" t="s">
        <v>36</v>
      </c>
      <c r="C7715" s="27" t="s">
        <v>50</v>
      </c>
      <c r="D7715" s="27" t="s">
        <v>6</v>
      </c>
      <c r="E7715" s="27" t="s">
        <v>15</v>
      </c>
      <c r="F7715" s="29"/>
      <c r="G7715" s="30">
        <v>329.28238095238095</v>
      </c>
    </row>
    <row r="7716" spans="1:7" hidden="1" x14ac:dyDescent="0.25">
      <c r="A7716" s="28">
        <v>44197</v>
      </c>
      <c r="B7716" s="27" t="s">
        <v>36</v>
      </c>
      <c r="C7716" s="27" t="s">
        <v>50</v>
      </c>
      <c r="D7716" s="27" t="s">
        <v>6</v>
      </c>
      <c r="E7716" s="27" t="s">
        <v>16</v>
      </c>
      <c r="F7716" s="29"/>
      <c r="G7716" s="30">
        <v>329.28238095238095</v>
      </c>
    </row>
    <row r="7717" spans="1:7" hidden="1" x14ac:dyDescent="0.25">
      <c r="A7717" s="28">
        <v>44197</v>
      </c>
      <c r="B7717" s="27" t="s">
        <v>36</v>
      </c>
      <c r="C7717" s="27" t="s">
        <v>50</v>
      </c>
      <c r="D7717" s="27" t="s">
        <v>6</v>
      </c>
      <c r="E7717" s="27" t="s">
        <v>17</v>
      </c>
      <c r="F7717" s="29"/>
      <c r="G7717" s="30">
        <v>329.28238095238095</v>
      </c>
    </row>
    <row r="7718" spans="1:7" hidden="1" x14ac:dyDescent="0.25">
      <c r="A7718" s="28">
        <v>44197</v>
      </c>
      <c r="B7718" s="27" t="s">
        <v>36</v>
      </c>
      <c r="C7718" s="27" t="s">
        <v>50</v>
      </c>
      <c r="D7718" s="27" t="s">
        <v>6</v>
      </c>
      <c r="E7718" s="27" t="s">
        <v>18</v>
      </c>
      <c r="F7718" s="29"/>
      <c r="G7718" s="30">
        <v>329.28238095238095</v>
      </c>
    </row>
    <row r="7719" spans="1:7" hidden="1" x14ac:dyDescent="0.25">
      <c r="A7719" s="28">
        <v>44197</v>
      </c>
      <c r="B7719" s="27" t="s">
        <v>36</v>
      </c>
      <c r="C7719" s="27" t="s">
        <v>50</v>
      </c>
      <c r="D7719" s="27" t="s">
        <v>6</v>
      </c>
      <c r="E7719" s="27" t="s">
        <v>19</v>
      </c>
      <c r="F7719" s="29"/>
      <c r="G7719" s="30">
        <v>329.28238095238095</v>
      </c>
    </row>
    <row r="7720" spans="1:7" hidden="1" x14ac:dyDescent="0.25">
      <c r="A7720" s="28">
        <v>44197</v>
      </c>
      <c r="B7720" s="27" t="s">
        <v>36</v>
      </c>
      <c r="C7720" s="27" t="s">
        <v>50</v>
      </c>
      <c r="D7720" s="27" t="s">
        <v>6</v>
      </c>
      <c r="E7720" s="27" t="s">
        <v>20</v>
      </c>
      <c r="F7720" s="29"/>
      <c r="G7720" s="30">
        <v>329.28238095238095</v>
      </c>
    </row>
    <row r="7721" spans="1:7" hidden="1" x14ac:dyDescent="0.25">
      <c r="A7721" s="28">
        <v>44197</v>
      </c>
      <c r="B7721" s="27" t="s">
        <v>36</v>
      </c>
      <c r="C7721" s="27" t="s">
        <v>50</v>
      </c>
      <c r="D7721" s="27" t="s">
        <v>6</v>
      </c>
      <c r="E7721" s="27" t="s">
        <v>38</v>
      </c>
      <c r="F7721" s="29"/>
      <c r="G7721" s="30">
        <v>329.28238095238095</v>
      </c>
    </row>
    <row r="7722" spans="1:7" hidden="1" x14ac:dyDescent="0.25">
      <c r="A7722" s="28">
        <v>44197</v>
      </c>
      <c r="B7722" s="27" t="s">
        <v>36</v>
      </c>
      <c r="C7722" s="27" t="s">
        <v>50</v>
      </c>
      <c r="D7722" s="27" t="s">
        <v>6</v>
      </c>
      <c r="E7722" s="27" t="s">
        <v>23</v>
      </c>
      <c r="F7722" s="29"/>
      <c r="G7722" s="30">
        <v>329.28238095238095</v>
      </c>
    </row>
    <row r="7723" spans="1:7" hidden="1" x14ac:dyDescent="0.25">
      <c r="A7723" s="28">
        <v>44197</v>
      </c>
      <c r="B7723" s="27" t="s">
        <v>36</v>
      </c>
      <c r="C7723" s="27" t="s">
        <v>50</v>
      </c>
      <c r="D7723" s="27" t="s">
        <v>6</v>
      </c>
      <c r="E7723" s="27" t="s">
        <v>40</v>
      </c>
      <c r="F7723" s="29"/>
      <c r="G7723" s="30">
        <v>329.28238095238095</v>
      </c>
    </row>
    <row r="7724" spans="1:7" hidden="1" x14ac:dyDescent="0.25">
      <c r="A7724" s="28">
        <v>44197</v>
      </c>
      <c r="B7724" s="27" t="s">
        <v>200</v>
      </c>
      <c r="C7724" s="27" t="s">
        <v>53</v>
      </c>
      <c r="D7724" s="27" t="s">
        <v>6</v>
      </c>
      <c r="E7724" s="27" t="s">
        <v>8</v>
      </c>
      <c r="F7724" s="29"/>
      <c r="G7724" s="30">
        <f t="shared" ref="G7724:G7744" si="142">14128.0393777778/21</f>
        <v>672.76377989418097</v>
      </c>
    </row>
    <row r="7725" spans="1:7" hidden="1" x14ac:dyDescent="0.25">
      <c r="A7725" s="28">
        <v>44197</v>
      </c>
      <c r="B7725" s="27" t="s">
        <v>200</v>
      </c>
      <c r="C7725" s="27" t="s">
        <v>53</v>
      </c>
      <c r="D7725" s="27" t="s">
        <v>6</v>
      </c>
      <c r="E7725" s="27" t="s">
        <v>9</v>
      </c>
      <c r="F7725" s="29"/>
      <c r="G7725" s="30">
        <f t="shared" si="142"/>
        <v>672.76377989418097</v>
      </c>
    </row>
    <row r="7726" spans="1:7" hidden="1" x14ac:dyDescent="0.25">
      <c r="A7726" s="28">
        <v>44197</v>
      </c>
      <c r="B7726" s="27" t="s">
        <v>200</v>
      </c>
      <c r="C7726" s="27" t="s">
        <v>53</v>
      </c>
      <c r="D7726" s="27" t="s">
        <v>6</v>
      </c>
      <c r="E7726" s="27" t="s">
        <v>22</v>
      </c>
      <c r="F7726" s="29"/>
      <c r="G7726" s="30">
        <f t="shared" si="142"/>
        <v>672.76377989418097</v>
      </c>
    </row>
    <row r="7727" spans="1:7" hidden="1" x14ac:dyDescent="0.25">
      <c r="A7727" s="28">
        <v>44197</v>
      </c>
      <c r="B7727" s="27" t="s">
        <v>200</v>
      </c>
      <c r="C7727" s="27" t="s">
        <v>53</v>
      </c>
      <c r="D7727" s="27" t="s">
        <v>6</v>
      </c>
      <c r="E7727" s="27" t="s">
        <v>39</v>
      </c>
      <c r="F7727" s="29"/>
      <c r="G7727" s="30">
        <f t="shared" si="142"/>
        <v>672.76377989418097</v>
      </c>
    </row>
    <row r="7728" spans="1:7" hidden="1" x14ac:dyDescent="0.25">
      <c r="A7728" s="28">
        <v>44197</v>
      </c>
      <c r="B7728" s="27" t="s">
        <v>200</v>
      </c>
      <c r="C7728" s="27" t="s">
        <v>53</v>
      </c>
      <c r="D7728" s="27" t="s">
        <v>6</v>
      </c>
      <c r="E7728" s="27" t="s">
        <v>64</v>
      </c>
      <c r="F7728" s="29"/>
      <c r="G7728" s="30">
        <f t="shared" si="142"/>
        <v>672.76377989418097</v>
      </c>
    </row>
    <row r="7729" spans="1:7" hidden="1" x14ac:dyDescent="0.25">
      <c r="A7729" s="28">
        <v>44197</v>
      </c>
      <c r="B7729" s="27" t="s">
        <v>200</v>
      </c>
      <c r="C7729" s="27" t="s">
        <v>53</v>
      </c>
      <c r="D7729" s="27" t="s">
        <v>6</v>
      </c>
      <c r="E7729" s="27" t="s">
        <v>21</v>
      </c>
      <c r="F7729" s="29"/>
      <c r="G7729" s="30">
        <f t="shared" si="142"/>
        <v>672.76377989418097</v>
      </c>
    </row>
    <row r="7730" spans="1:7" hidden="1" x14ac:dyDescent="0.25">
      <c r="A7730" s="28">
        <v>44197</v>
      </c>
      <c r="B7730" s="27" t="s">
        <v>200</v>
      </c>
      <c r="C7730" s="27" t="s">
        <v>53</v>
      </c>
      <c r="D7730" s="27" t="s">
        <v>6</v>
      </c>
      <c r="E7730" s="27" t="s">
        <v>41</v>
      </c>
      <c r="F7730" s="29"/>
      <c r="G7730" s="30">
        <f t="shared" si="142"/>
        <v>672.76377989418097</v>
      </c>
    </row>
    <row r="7731" spans="1:7" hidden="1" x14ac:dyDescent="0.25">
      <c r="A7731" s="28">
        <v>44197</v>
      </c>
      <c r="B7731" s="27" t="s">
        <v>200</v>
      </c>
      <c r="C7731" s="27" t="s">
        <v>53</v>
      </c>
      <c r="D7731" s="27" t="s">
        <v>6</v>
      </c>
      <c r="E7731" s="27" t="s">
        <v>10</v>
      </c>
      <c r="F7731" s="29"/>
      <c r="G7731" s="30">
        <f t="shared" si="142"/>
        <v>672.76377989418097</v>
      </c>
    </row>
    <row r="7732" spans="1:7" hidden="1" x14ac:dyDescent="0.25">
      <c r="A7732" s="28">
        <v>44197</v>
      </c>
      <c r="B7732" s="27" t="s">
        <v>200</v>
      </c>
      <c r="C7732" s="27" t="s">
        <v>53</v>
      </c>
      <c r="D7732" s="27" t="s">
        <v>6</v>
      </c>
      <c r="E7732" s="27" t="s">
        <v>11</v>
      </c>
      <c r="F7732" s="29"/>
      <c r="G7732" s="30">
        <f t="shared" si="142"/>
        <v>672.76377989418097</v>
      </c>
    </row>
    <row r="7733" spans="1:7" hidden="1" x14ac:dyDescent="0.25">
      <c r="A7733" s="28">
        <v>44197</v>
      </c>
      <c r="B7733" s="27" t="s">
        <v>200</v>
      </c>
      <c r="C7733" s="27" t="s">
        <v>53</v>
      </c>
      <c r="D7733" s="27" t="s">
        <v>6</v>
      </c>
      <c r="E7733" s="27" t="s">
        <v>12</v>
      </c>
      <c r="F7733" s="29"/>
      <c r="G7733" s="30">
        <f t="shared" si="142"/>
        <v>672.76377989418097</v>
      </c>
    </row>
    <row r="7734" spans="1:7" hidden="1" x14ac:dyDescent="0.25">
      <c r="A7734" s="28">
        <v>44197</v>
      </c>
      <c r="B7734" s="27" t="s">
        <v>200</v>
      </c>
      <c r="C7734" s="27" t="s">
        <v>53</v>
      </c>
      <c r="D7734" s="27" t="s">
        <v>6</v>
      </c>
      <c r="E7734" s="27" t="s">
        <v>13</v>
      </c>
      <c r="F7734" s="29"/>
      <c r="G7734" s="30">
        <f t="shared" si="142"/>
        <v>672.76377989418097</v>
      </c>
    </row>
    <row r="7735" spans="1:7" hidden="1" x14ac:dyDescent="0.25">
      <c r="A7735" s="28">
        <v>44197</v>
      </c>
      <c r="B7735" s="27" t="s">
        <v>200</v>
      </c>
      <c r="C7735" s="27" t="s">
        <v>53</v>
      </c>
      <c r="D7735" s="27" t="s">
        <v>6</v>
      </c>
      <c r="E7735" s="27" t="s">
        <v>14</v>
      </c>
      <c r="F7735" s="29"/>
      <c r="G7735" s="30">
        <f t="shared" si="142"/>
        <v>672.76377989418097</v>
      </c>
    </row>
    <row r="7736" spans="1:7" hidden="1" x14ac:dyDescent="0.25">
      <c r="A7736" s="28">
        <v>44197</v>
      </c>
      <c r="B7736" s="27" t="s">
        <v>200</v>
      </c>
      <c r="C7736" s="27" t="s">
        <v>53</v>
      </c>
      <c r="D7736" s="27" t="s">
        <v>6</v>
      </c>
      <c r="E7736" s="27" t="s">
        <v>15</v>
      </c>
      <c r="F7736" s="29"/>
      <c r="G7736" s="30">
        <f t="shared" si="142"/>
        <v>672.76377989418097</v>
      </c>
    </row>
    <row r="7737" spans="1:7" hidden="1" x14ac:dyDescent="0.25">
      <c r="A7737" s="28">
        <v>44197</v>
      </c>
      <c r="B7737" s="27" t="s">
        <v>200</v>
      </c>
      <c r="C7737" s="27" t="s">
        <v>53</v>
      </c>
      <c r="D7737" s="27" t="s">
        <v>6</v>
      </c>
      <c r="E7737" s="27" t="s">
        <v>16</v>
      </c>
      <c r="F7737" s="29"/>
      <c r="G7737" s="30">
        <f t="shared" si="142"/>
        <v>672.76377989418097</v>
      </c>
    </row>
    <row r="7738" spans="1:7" hidden="1" x14ac:dyDescent="0.25">
      <c r="A7738" s="28">
        <v>44197</v>
      </c>
      <c r="B7738" s="27" t="s">
        <v>200</v>
      </c>
      <c r="C7738" s="27" t="s">
        <v>53</v>
      </c>
      <c r="D7738" s="27" t="s">
        <v>6</v>
      </c>
      <c r="E7738" s="27" t="s">
        <v>17</v>
      </c>
      <c r="F7738" s="29"/>
      <c r="G7738" s="30">
        <f t="shared" si="142"/>
        <v>672.76377989418097</v>
      </c>
    </row>
    <row r="7739" spans="1:7" hidden="1" x14ac:dyDescent="0.25">
      <c r="A7739" s="28">
        <v>44197</v>
      </c>
      <c r="B7739" s="27" t="s">
        <v>200</v>
      </c>
      <c r="C7739" s="27" t="s">
        <v>53</v>
      </c>
      <c r="D7739" s="27" t="s">
        <v>6</v>
      </c>
      <c r="E7739" s="27" t="s">
        <v>18</v>
      </c>
      <c r="F7739" s="29"/>
      <c r="G7739" s="30">
        <f t="shared" si="142"/>
        <v>672.76377989418097</v>
      </c>
    </row>
    <row r="7740" spans="1:7" hidden="1" x14ac:dyDescent="0.25">
      <c r="A7740" s="28">
        <v>44197</v>
      </c>
      <c r="B7740" s="27" t="s">
        <v>200</v>
      </c>
      <c r="C7740" s="27" t="s">
        <v>53</v>
      </c>
      <c r="D7740" s="27" t="s">
        <v>6</v>
      </c>
      <c r="E7740" s="27" t="s">
        <v>19</v>
      </c>
      <c r="F7740" s="29"/>
      <c r="G7740" s="30">
        <f t="shared" si="142"/>
        <v>672.76377989418097</v>
      </c>
    </row>
    <row r="7741" spans="1:7" hidden="1" x14ac:dyDescent="0.25">
      <c r="A7741" s="28">
        <v>44197</v>
      </c>
      <c r="B7741" s="27" t="s">
        <v>200</v>
      </c>
      <c r="C7741" s="27" t="s">
        <v>53</v>
      </c>
      <c r="D7741" s="27" t="s">
        <v>6</v>
      </c>
      <c r="E7741" s="27" t="s">
        <v>20</v>
      </c>
      <c r="F7741" s="29"/>
      <c r="G7741" s="30">
        <f t="shared" si="142"/>
        <v>672.76377989418097</v>
      </c>
    </row>
    <row r="7742" spans="1:7" hidden="1" x14ac:dyDescent="0.25">
      <c r="A7742" s="28">
        <v>44197</v>
      </c>
      <c r="B7742" s="27" t="s">
        <v>200</v>
      </c>
      <c r="C7742" s="27" t="s">
        <v>53</v>
      </c>
      <c r="D7742" s="27" t="s">
        <v>6</v>
      </c>
      <c r="E7742" s="27" t="s">
        <v>38</v>
      </c>
      <c r="F7742" s="29"/>
      <c r="G7742" s="30">
        <f t="shared" si="142"/>
        <v>672.76377989418097</v>
      </c>
    </row>
    <row r="7743" spans="1:7" hidden="1" x14ac:dyDescent="0.25">
      <c r="A7743" s="28">
        <v>44197</v>
      </c>
      <c r="B7743" s="27" t="s">
        <v>200</v>
      </c>
      <c r="C7743" s="27" t="s">
        <v>53</v>
      </c>
      <c r="D7743" s="27" t="s">
        <v>6</v>
      </c>
      <c r="E7743" s="27" t="s">
        <v>23</v>
      </c>
      <c r="F7743" s="29"/>
      <c r="G7743" s="30">
        <f t="shared" si="142"/>
        <v>672.76377989418097</v>
      </c>
    </row>
    <row r="7744" spans="1:7" hidden="1" x14ac:dyDescent="0.25">
      <c r="A7744" s="28">
        <v>44197</v>
      </c>
      <c r="B7744" s="27" t="s">
        <v>200</v>
      </c>
      <c r="C7744" s="27" t="s">
        <v>53</v>
      </c>
      <c r="D7744" s="27" t="s">
        <v>6</v>
      </c>
      <c r="E7744" s="27" t="s">
        <v>40</v>
      </c>
      <c r="F7744" s="29"/>
      <c r="G7744" s="30">
        <f t="shared" si="142"/>
        <v>672.76377989418097</v>
      </c>
    </row>
    <row r="7745" spans="1:7" hidden="1" x14ac:dyDescent="0.25">
      <c r="A7745" s="28">
        <v>44197</v>
      </c>
      <c r="B7745" s="27" t="s">
        <v>200</v>
      </c>
      <c r="C7745" s="27" t="s">
        <v>54</v>
      </c>
      <c r="D7745" s="27" t="s">
        <v>7</v>
      </c>
      <c r="E7745" s="27" t="s">
        <v>8</v>
      </c>
      <c r="F7745" s="29"/>
      <c r="G7745" s="30">
        <f t="shared" ref="G7745:G7765" si="143">166.38/21</f>
        <v>7.9228571428571426</v>
      </c>
    </row>
    <row r="7746" spans="1:7" hidden="1" x14ac:dyDescent="0.25">
      <c r="A7746" s="28">
        <v>44197</v>
      </c>
      <c r="B7746" s="27" t="s">
        <v>200</v>
      </c>
      <c r="C7746" s="27" t="s">
        <v>54</v>
      </c>
      <c r="D7746" s="27" t="s">
        <v>7</v>
      </c>
      <c r="E7746" s="27" t="s">
        <v>9</v>
      </c>
      <c r="F7746" s="29"/>
      <c r="G7746" s="30">
        <f t="shared" si="143"/>
        <v>7.9228571428571426</v>
      </c>
    </row>
    <row r="7747" spans="1:7" hidden="1" x14ac:dyDescent="0.25">
      <c r="A7747" s="28">
        <v>44197</v>
      </c>
      <c r="B7747" s="27" t="s">
        <v>200</v>
      </c>
      <c r="C7747" s="27" t="s">
        <v>54</v>
      </c>
      <c r="D7747" s="27" t="s">
        <v>7</v>
      </c>
      <c r="E7747" s="27" t="s">
        <v>22</v>
      </c>
      <c r="F7747" s="29"/>
      <c r="G7747" s="30">
        <f t="shared" si="143"/>
        <v>7.9228571428571426</v>
      </c>
    </row>
    <row r="7748" spans="1:7" hidden="1" x14ac:dyDescent="0.25">
      <c r="A7748" s="28">
        <v>44197</v>
      </c>
      <c r="B7748" s="27" t="s">
        <v>200</v>
      </c>
      <c r="C7748" s="27" t="s">
        <v>54</v>
      </c>
      <c r="D7748" s="27" t="s">
        <v>7</v>
      </c>
      <c r="E7748" s="27" t="s">
        <v>39</v>
      </c>
      <c r="F7748" s="29"/>
      <c r="G7748" s="30">
        <f t="shared" si="143"/>
        <v>7.9228571428571426</v>
      </c>
    </row>
    <row r="7749" spans="1:7" hidden="1" x14ac:dyDescent="0.25">
      <c r="A7749" s="28">
        <v>44197</v>
      </c>
      <c r="B7749" s="27" t="s">
        <v>200</v>
      </c>
      <c r="C7749" s="27" t="s">
        <v>54</v>
      </c>
      <c r="D7749" s="27" t="s">
        <v>7</v>
      </c>
      <c r="E7749" s="27" t="s">
        <v>64</v>
      </c>
      <c r="F7749" s="29"/>
      <c r="G7749" s="30">
        <f t="shared" si="143"/>
        <v>7.9228571428571426</v>
      </c>
    </row>
    <row r="7750" spans="1:7" hidden="1" x14ac:dyDescent="0.25">
      <c r="A7750" s="28">
        <v>44197</v>
      </c>
      <c r="B7750" s="27" t="s">
        <v>200</v>
      </c>
      <c r="C7750" s="27" t="s">
        <v>54</v>
      </c>
      <c r="D7750" s="27" t="s">
        <v>7</v>
      </c>
      <c r="E7750" s="27" t="s">
        <v>21</v>
      </c>
      <c r="F7750" s="29"/>
      <c r="G7750" s="30">
        <f t="shared" si="143"/>
        <v>7.9228571428571426</v>
      </c>
    </row>
    <row r="7751" spans="1:7" hidden="1" x14ac:dyDescent="0.25">
      <c r="A7751" s="28">
        <v>44197</v>
      </c>
      <c r="B7751" s="27" t="s">
        <v>200</v>
      </c>
      <c r="C7751" s="27" t="s">
        <v>54</v>
      </c>
      <c r="D7751" s="27" t="s">
        <v>7</v>
      </c>
      <c r="E7751" s="27" t="s">
        <v>41</v>
      </c>
      <c r="F7751" s="29"/>
      <c r="G7751" s="30">
        <f t="shared" si="143"/>
        <v>7.9228571428571426</v>
      </c>
    </row>
    <row r="7752" spans="1:7" hidden="1" x14ac:dyDescent="0.25">
      <c r="A7752" s="28">
        <v>44197</v>
      </c>
      <c r="B7752" s="27" t="s">
        <v>200</v>
      </c>
      <c r="C7752" s="27" t="s">
        <v>54</v>
      </c>
      <c r="D7752" s="27" t="s">
        <v>7</v>
      </c>
      <c r="E7752" s="27" t="s">
        <v>10</v>
      </c>
      <c r="F7752" s="29"/>
      <c r="G7752" s="30">
        <f t="shared" si="143"/>
        <v>7.9228571428571426</v>
      </c>
    </row>
    <row r="7753" spans="1:7" hidden="1" x14ac:dyDescent="0.25">
      <c r="A7753" s="28">
        <v>44197</v>
      </c>
      <c r="B7753" s="27" t="s">
        <v>200</v>
      </c>
      <c r="C7753" s="27" t="s">
        <v>54</v>
      </c>
      <c r="D7753" s="27" t="s">
        <v>7</v>
      </c>
      <c r="E7753" s="27" t="s">
        <v>11</v>
      </c>
      <c r="F7753" s="29"/>
      <c r="G7753" s="30">
        <f t="shared" si="143"/>
        <v>7.9228571428571426</v>
      </c>
    </row>
    <row r="7754" spans="1:7" hidden="1" x14ac:dyDescent="0.25">
      <c r="A7754" s="28">
        <v>44197</v>
      </c>
      <c r="B7754" s="27" t="s">
        <v>200</v>
      </c>
      <c r="C7754" s="27" t="s">
        <v>54</v>
      </c>
      <c r="D7754" s="27" t="s">
        <v>7</v>
      </c>
      <c r="E7754" s="27" t="s">
        <v>12</v>
      </c>
      <c r="F7754" s="29"/>
      <c r="G7754" s="30">
        <f t="shared" si="143"/>
        <v>7.9228571428571426</v>
      </c>
    </row>
    <row r="7755" spans="1:7" hidden="1" x14ac:dyDescent="0.25">
      <c r="A7755" s="28">
        <v>44197</v>
      </c>
      <c r="B7755" s="27" t="s">
        <v>200</v>
      </c>
      <c r="C7755" s="27" t="s">
        <v>54</v>
      </c>
      <c r="D7755" s="27" t="s">
        <v>7</v>
      </c>
      <c r="E7755" s="27" t="s">
        <v>13</v>
      </c>
      <c r="F7755" s="29"/>
      <c r="G7755" s="30">
        <f t="shared" si="143"/>
        <v>7.9228571428571426</v>
      </c>
    </row>
    <row r="7756" spans="1:7" hidden="1" x14ac:dyDescent="0.25">
      <c r="A7756" s="28">
        <v>44197</v>
      </c>
      <c r="B7756" s="27" t="s">
        <v>200</v>
      </c>
      <c r="C7756" s="27" t="s">
        <v>54</v>
      </c>
      <c r="D7756" s="27" t="s">
        <v>7</v>
      </c>
      <c r="E7756" s="27" t="s">
        <v>14</v>
      </c>
      <c r="F7756" s="29"/>
      <c r="G7756" s="30">
        <f t="shared" si="143"/>
        <v>7.9228571428571426</v>
      </c>
    </row>
    <row r="7757" spans="1:7" hidden="1" x14ac:dyDescent="0.25">
      <c r="A7757" s="28">
        <v>44197</v>
      </c>
      <c r="B7757" s="27" t="s">
        <v>200</v>
      </c>
      <c r="C7757" s="27" t="s">
        <v>54</v>
      </c>
      <c r="D7757" s="27" t="s">
        <v>7</v>
      </c>
      <c r="E7757" s="27" t="s">
        <v>15</v>
      </c>
      <c r="F7757" s="29"/>
      <c r="G7757" s="30">
        <f t="shared" si="143"/>
        <v>7.9228571428571426</v>
      </c>
    </row>
    <row r="7758" spans="1:7" hidden="1" x14ac:dyDescent="0.25">
      <c r="A7758" s="28">
        <v>44197</v>
      </c>
      <c r="B7758" s="27" t="s">
        <v>200</v>
      </c>
      <c r="C7758" s="27" t="s">
        <v>54</v>
      </c>
      <c r="D7758" s="27" t="s">
        <v>7</v>
      </c>
      <c r="E7758" s="27" t="s">
        <v>16</v>
      </c>
      <c r="F7758" s="29"/>
      <c r="G7758" s="30">
        <f t="shared" si="143"/>
        <v>7.9228571428571426</v>
      </c>
    </row>
    <row r="7759" spans="1:7" hidden="1" x14ac:dyDescent="0.25">
      <c r="A7759" s="28">
        <v>44197</v>
      </c>
      <c r="B7759" s="27" t="s">
        <v>200</v>
      </c>
      <c r="C7759" s="27" t="s">
        <v>54</v>
      </c>
      <c r="D7759" s="27" t="s">
        <v>7</v>
      </c>
      <c r="E7759" s="27" t="s">
        <v>17</v>
      </c>
      <c r="F7759" s="29"/>
      <c r="G7759" s="30">
        <f t="shared" si="143"/>
        <v>7.9228571428571426</v>
      </c>
    </row>
    <row r="7760" spans="1:7" hidden="1" x14ac:dyDescent="0.25">
      <c r="A7760" s="28">
        <v>44197</v>
      </c>
      <c r="B7760" s="27" t="s">
        <v>200</v>
      </c>
      <c r="C7760" s="27" t="s">
        <v>54</v>
      </c>
      <c r="D7760" s="27" t="s">
        <v>7</v>
      </c>
      <c r="E7760" s="27" t="s">
        <v>18</v>
      </c>
      <c r="F7760" s="29"/>
      <c r="G7760" s="30">
        <f t="shared" si="143"/>
        <v>7.9228571428571426</v>
      </c>
    </row>
    <row r="7761" spans="1:7" hidden="1" x14ac:dyDescent="0.25">
      <c r="A7761" s="28">
        <v>44197</v>
      </c>
      <c r="B7761" s="27" t="s">
        <v>200</v>
      </c>
      <c r="C7761" s="27" t="s">
        <v>54</v>
      </c>
      <c r="D7761" s="27" t="s">
        <v>7</v>
      </c>
      <c r="E7761" s="27" t="s">
        <v>19</v>
      </c>
      <c r="F7761" s="29"/>
      <c r="G7761" s="30">
        <f t="shared" si="143"/>
        <v>7.9228571428571426</v>
      </c>
    </row>
    <row r="7762" spans="1:7" hidden="1" x14ac:dyDescent="0.25">
      <c r="A7762" s="28">
        <v>44197</v>
      </c>
      <c r="B7762" s="27" t="s">
        <v>200</v>
      </c>
      <c r="C7762" s="27" t="s">
        <v>54</v>
      </c>
      <c r="D7762" s="27" t="s">
        <v>7</v>
      </c>
      <c r="E7762" s="27" t="s">
        <v>20</v>
      </c>
      <c r="F7762" s="29"/>
      <c r="G7762" s="30">
        <f t="shared" si="143"/>
        <v>7.9228571428571426</v>
      </c>
    </row>
    <row r="7763" spans="1:7" hidden="1" x14ac:dyDescent="0.25">
      <c r="A7763" s="28">
        <v>44197</v>
      </c>
      <c r="B7763" s="27" t="s">
        <v>200</v>
      </c>
      <c r="C7763" s="27" t="s">
        <v>54</v>
      </c>
      <c r="D7763" s="27" t="s">
        <v>7</v>
      </c>
      <c r="E7763" s="27" t="s">
        <v>38</v>
      </c>
      <c r="F7763" s="29"/>
      <c r="G7763" s="30">
        <f t="shared" si="143"/>
        <v>7.9228571428571426</v>
      </c>
    </row>
    <row r="7764" spans="1:7" hidden="1" x14ac:dyDescent="0.25">
      <c r="A7764" s="28">
        <v>44197</v>
      </c>
      <c r="B7764" s="27" t="s">
        <v>200</v>
      </c>
      <c r="C7764" s="27" t="s">
        <v>54</v>
      </c>
      <c r="D7764" s="27" t="s">
        <v>7</v>
      </c>
      <c r="E7764" s="27" t="s">
        <v>23</v>
      </c>
      <c r="F7764" s="29"/>
      <c r="G7764" s="30">
        <f t="shared" si="143"/>
        <v>7.9228571428571426</v>
      </c>
    </row>
    <row r="7765" spans="1:7" hidden="1" x14ac:dyDescent="0.25">
      <c r="A7765" s="28">
        <v>44197</v>
      </c>
      <c r="B7765" s="27" t="s">
        <v>200</v>
      </c>
      <c r="C7765" s="27" t="s">
        <v>54</v>
      </c>
      <c r="D7765" s="27" t="s">
        <v>7</v>
      </c>
      <c r="E7765" s="27" t="s">
        <v>40</v>
      </c>
      <c r="F7765" s="29"/>
      <c r="G7765" s="30">
        <f t="shared" si="143"/>
        <v>7.9228571428571426</v>
      </c>
    </row>
    <row r="7766" spans="1:7" hidden="1" x14ac:dyDescent="0.25">
      <c r="A7766" s="28">
        <v>44197</v>
      </c>
      <c r="B7766" s="27" t="s">
        <v>200</v>
      </c>
      <c r="C7766" s="27" t="s">
        <v>55</v>
      </c>
      <c r="D7766" s="27" t="s">
        <v>6</v>
      </c>
      <c r="E7766" s="27" t="s">
        <v>8</v>
      </c>
      <c r="F7766" s="29"/>
      <c r="G7766" s="30">
        <f t="shared" ref="G7766:G7786" si="144">27468.8918222222/21</f>
        <v>1308.0424677248666</v>
      </c>
    </row>
    <row r="7767" spans="1:7" hidden="1" x14ac:dyDescent="0.25">
      <c r="A7767" s="28">
        <v>44197</v>
      </c>
      <c r="B7767" s="27" t="s">
        <v>200</v>
      </c>
      <c r="C7767" s="27" t="s">
        <v>55</v>
      </c>
      <c r="D7767" s="27" t="s">
        <v>6</v>
      </c>
      <c r="E7767" s="27" t="s">
        <v>9</v>
      </c>
      <c r="F7767" s="29"/>
      <c r="G7767" s="30">
        <f t="shared" si="144"/>
        <v>1308.0424677248666</v>
      </c>
    </row>
    <row r="7768" spans="1:7" hidden="1" x14ac:dyDescent="0.25">
      <c r="A7768" s="28">
        <v>44197</v>
      </c>
      <c r="B7768" s="27" t="s">
        <v>200</v>
      </c>
      <c r="C7768" s="27" t="s">
        <v>55</v>
      </c>
      <c r="D7768" s="27" t="s">
        <v>6</v>
      </c>
      <c r="E7768" s="27" t="s">
        <v>22</v>
      </c>
      <c r="F7768" s="29"/>
      <c r="G7768" s="30">
        <f t="shared" si="144"/>
        <v>1308.0424677248666</v>
      </c>
    </row>
    <row r="7769" spans="1:7" hidden="1" x14ac:dyDescent="0.25">
      <c r="A7769" s="28">
        <v>44197</v>
      </c>
      <c r="B7769" s="27" t="s">
        <v>200</v>
      </c>
      <c r="C7769" s="27" t="s">
        <v>55</v>
      </c>
      <c r="D7769" s="27" t="s">
        <v>6</v>
      </c>
      <c r="E7769" s="27" t="s">
        <v>39</v>
      </c>
      <c r="F7769" s="29"/>
      <c r="G7769" s="30">
        <f t="shared" si="144"/>
        <v>1308.0424677248666</v>
      </c>
    </row>
    <row r="7770" spans="1:7" hidden="1" x14ac:dyDescent="0.25">
      <c r="A7770" s="28">
        <v>44197</v>
      </c>
      <c r="B7770" s="27" t="s">
        <v>200</v>
      </c>
      <c r="C7770" s="27" t="s">
        <v>55</v>
      </c>
      <c r="D7770" s="27" t="s">
        <v>6</v>
      </c>
      <c r="E7770" s="27" t="s">
        <v>64</v>
      </c>
      <c r="F7770" s="29"/>
      <c r="G7770" s="30">
        <f t="shared" si="144"/>
        <v>1308.0424677248666</v>
      </c>
    </row>
    <row r="7771" spans="1:7" hidden="1" x14ac:dyDescent="0.25">
      <c r="A7771" s="28">
        <v>44197</v>
      </c>
      <c r="B7771" s="27" t="s">
        <v>200</v>
      </c>
      <c r="C7771" s="27" t="s">
        <v>55</v>
      </c>
      <c r="D7771" s="27" t="s">
        <v>6</v>
      </c>
      <c r="E7771" s="27" t="s">
        <v>21</v>
      </c>
      <c r="F7771" s="29"/>
      <c r="G7771" s="30">
        <f t="shared" si="144"/>
        <v>1308.0424677248666</v>
      </c>
    </row>
    <row r="7772" spans="1:7" hidden="1" x14ac:dyDescent="0.25">
      <c r="A7772" s="28">
        <v>44197</v>
      </c>
      <c r="B7772" s="27" t="s">
        <v>200</v>
      </c>
      <c r="C7772" s="27" t="s">
        <v>55</v>
      </c>
      <c r="D7772" s="27" t="s">
        <v>6</v>
      </c>
      <c r="E7772" s="27" t="s">
        <v>41</v>
      </c>
      <c r="F7772" s="29"/>
      <c r="G7772" s="30">
        <f t="shared" si="144"/>
        <v>1308.0424677248666</v>
      </c>
    </row>
    <row r="7773" spans="1:7" hidden="1" x14ac:dyDescent="0.25">
      <c r="A7773" s="28">
        <v>44197</v>
      </c>
      <c r="B7773" s="27" t="s">
        <v>200</v>
      </c>
      <c r="C7773" s="27" t="s">
        <v>55</v>
      </c>
      <c r="D7773" s="27" t="s">
        <v>6</v>
      </c>
      <c r="E7773" s="27" t="s">
        <v>10</v>
      </c>
      <c r="F7773" s="29"/>
      <c r="G7773" s="30">
        <f t="shared" si="144"/>
        <v>1308.0424677248666</v>
      </c>
    </row>
    <row r="7774" spans="1:7" hidden="1" x14ac:dyDescent="0.25">
      <c r="A7774" s="28">
        <v>44197</v>
      </c>
      <c r="B7774" s="27" t="s">
        <v>200</v>
      </c>
      <c r="C7774" s="27" t="s">
        <v>55</v>
      </c>
      <c r="D7774" s="27" t="s">
        <v>6</v>
      </c>
      <c r="E7774" s="27" t="s">
        <v>11</v>
      </c>
      <c r="F7774" s="29"/>
      <c r="G7774" s="30">
        <f t="shared" si="144"/>
        <v>1308.0424677248666</v>
      </c>
    </row>
    <row r="7775" spans="1:7" hidden="1" x14ac:dyDescent="0.25">
      <c r="A7775" s="28">
        <v>44197</v>
      </c>
      <c r="B7775" s="27" t="s">
        <v>200</v>
      </c>
      <c r="C7775" s="27" t="s">
        <v>55</v>
      </c>
      <c r="D7775" s="27" t="s">
        <v>6</v>
      </c>
      <c r="E7775" s="27" t="s">
        <v>12</v>
      </c>
      <c r="F7775" s="29"/>
      <c r="G7775" s="30">
        <f t="shared" si="144"/>
        <v>1308.0424677248666</v>
      </c>
    </row>
    <row r="7776" spans="1:7" hidden="1" x14ac:dyDescent="0.25">
      <c r="A7776" s="28">
        <v>44197</v>
      </c>
      <c r="B7776" s="27" t="s">
        <v>200</v>
      </c>
      <c r="C7776" s="27" t="s">
        <v>55</v>
      </c>
      <c r="D7776" s="27" t="s">
        <v>6</v>
      </c>
      <c r="E7776" s="27" t="s">
        <v>13</v>
      </c>
      <c r="F7776" s="29"/>
      <c r="G7776" s="30">
        <f t="shared" si="144"/>
        <v>1308.0424677248666</v>
      </c>
    </row>
    <row r="7777" spans="1:7" hidden="1" x14ac:dyDescent="0.25">
      <c r="A7777" s="28">
        <v>44197</v>
      </c>
      <c r="B7777" s="27" t="s">
        <v>200</v>
      </c>
      <c r="C7777" s="27" t="s">
        <v>55</v>
      </c>
      <c r="D7777" s="27" t="s">
        <v>6</v>
      </c>
      <c r="E7777" s="27" t="s">
        <v>14</v>
      </c>
      <c r="F7777" s="29"/>
      <c r="G7777" s="30">
        <f t="shared" si="144"/>
        <v>1308.0424677248666</v>
      </c>
    </row>
    <row r="7778" spans="1:7" hidden="1" x14ac:dyDescent="0.25">
      <c r="A7778" s="28">
        <v>44197</v>
      </c>
      <c r="B7778" s="27" t="s">
        <v>200</v>
      </c>
      <c r="C7778" s="27" t="s">
        <v>55</v>
      </c>
      <c r="D7778" s="27" t="s">
        <v>6</v>
      </c>
      <c r="E7778" s="27" t="s">
        <v>15</v>
      </c>
      <c r="F7778" s="29"/>
      <c r="G7778" s="30">
        <f t="shared" si="144"/>
        <v>1308.0424677248666</v>
      </c>
    </row>
    <row r="7779" spans="1:7" hidden="1" x14ac:dyDescent="0.25">
      <c r="A7779" s="28">
        <v>44197</v>
      </c>
      <c r="B7779" s="27" t="s">
        <v>200</v>
      </c>
      <c r="C7779" s="27" t="s">
        <v>55</v>
      </c>
      <c r="D7779" s="27" t="s">
        <v>6</v>
      </c>
      <c r="E7779" s="27" t="s">
        <v>16</v>
      </c>
      <c r="F7779" s="29"/>
      <c r="G7779" s="30">
        <f t="shared" si="144"/>
        <v>1308.0424677248666</v>
      </c>
    </row>
    <row r="7780" spans="1:7" hidden="1" x14ac:dyDescent="0.25">
      <c r="A7780" s="28">
        <v>44197</v>
      </c>
      <c r="B7780" s="27" t="s">
        <v>200</v>
      </c>
      <c r="C7780" s="27" t="s">
        <v>55</v>
      </c>
      <c r="D7780" s="27" t="s">
        <v>6</v>
      </c>
      <c r="E7780" s="27" t="s">
        <v>17</v>
      </c>
      <c r="F7780" s="29"/>
      <c r="G7780" s="30">
        <f t="shared" si="144"/>
        <v>1308.0424677248666</v>
      </c>
    </row>
    <row r="7781" spans="1:7" hidden="1" x14ac:dyDescent="0.25">
      <c r="A7781" s="28">
        <v>44197</v>
      </c>
      <c r="B7781" s="27" t="s">
        <v>200</v>
      </c>
      <c r="C7781" s="27" t="s">
        <v>55</v>
      </c>
      <c r="D7781" s="27" t="s">
        <v>6</v>
      </c>
      <c r="E7781" s="27" t="s">
        <v>18</v>
      </c>
      <c r="F7781" s="29"/>
      <c r="G7781" s="30">
        <f t="shared" si="144"/>
        <v>1308.0424677248666</v>
      </c>
    </row>
    <row r="7782" spans="1:7" hidden="1" x14ac:dyDescent="0.25">
      <c r="A7782" s="28">
        <v>44197</v>
      </c>
      <c r="B7782" s="27" t="s">
        <v>200</v>
      </c>
      <c r="C7782" s="27" t="s">
        <v>55</v>
      </c>
      <c r="D7782" s="27" t="s">
        <v>6</v>
      </c>
      <c r="E7782" s="27" t="s">
        <v>19</v>
      </c>
      <c r="F7782" s="29"/>
      <c r="G7782" s="30">
        <f t="shared" si="144"/>
        <v>1308.0424677248666</v>
      </c>
    </row>
    <row r="7783" spans="1:7" hidden="1" x14ac:dyDescent="0.25">
      <c r="A7783" s="28">
        <v>44197</v>
      </c>
      <c r="B7783" s="27" t="s">
        <v>200</v>
      </c>
      <c r="C7783" s="27" t="s">
        <v>55</v>
      </c>
      <c r="D7783" s="27" t="s">
        <v>6</v>
      </c>
      <c r="E7783" s="27" t="s">
        <v>20</v>
      </c>
      <c r="F7783" s="29"/>
      <c r="G7783" s="30">
        <f t="shared" si="144"/>
        <v>1308.0424677248666</v>
      </c>
    </row>
    <row r="7784" spans="1:7" hidden="1" x14ac:dyDescent="0.25">
      <c r="A7784" s="28">
        <v>44197</v>
      </c>
      <c r="B7784" s="27" t="s">
        <v>200</v>
      </c>
      <c r="C7784" s="27" t="s">
        <v>55</v>
      </c>
      <c r="D7784" s="27" t="s">
        <v>6</v>
      </c>
      <c r="E7784" s="27" t="s">
        <v>38</v>
      </c>
      <c r="F7784" s="29"/>
      <c r="G7784" s="30">
        <f t="shared" si="144"/>
        <v>1308.0424677248666</v>
      </c>
    </row>
    <row r="7785" spans="1:7" hidden="1" x14ac:dyDescent="0.25">
      <c r="A7785" s="28">
        <v>44197</v>
      </c>
      <c r="B7785" s="27" t="s">
        <v>200</v>
      </c>
      <c r="C7785" s="27" t="s">
        <v>55</v>
      </c>
      <c r="D7785" s="27" t="s">
        <v>6</v>
      </c>
      <c r="E7785" s="27" t="s">
        <v>23</v>
      </c>
      <c r="F7785" s="29"/>
      <c r="G7785" s="30">
        <f t="shared" si="144"/>
        <v>1308.0424677248666</v>
      </c>
    </row>
    <row r="7786" spans="1:7" hidden="1" x14ac:dyDescent="0.25">
      <c r="A7786" s="28">
        <v>44197</v>
      </c>
      <c r="B7786" s="27" t="s">
        <v>200</v>
      </c>
      <c r="C7786" s="27" t="s">
        <v>55</v>
      </c>
      <c r="D7786" s="27" t="s">
        <v>6</v>
      </c>
      <c r="E7786" s="27" t="s">
        <v>40</v>
      </c>
      <c r="F7786" s="29"/>
      <c r="G7786" s="30">
        <f t="shared" si="144"/>
        <v>1308.0424677248666</v>
      </c>
    </row>
    <row r="7787" spans="1:7" hidden="1" x14ac:dyDescent="0.25">
      <c r="A7787" s="28">
        <v>44197</v>
      </c>
      <c r="B7787" s="27" t="s">
        <v>200</v>
      </c>
      <c r="C7787" s="27" t="s">
        <v>183</v>
      </c>
      <c r="D7787" s="27" t="s">
        <v>7</v>
      </c>
      <c r="E7787" s="27" t="s">
        <v>8</v>
      </c>
      <c r="F7787" s="29"/>
      <c r="G7787" s="30">
        <f t="shared" ref="G7787:G7807" si="145">1401.92/21</f>
        <v>66.758095238095237</v>
      </c>
    </row>
    <row r="7788" spans="1:7" hidden="1" x14ac:dyDescent="0.25">
      <c r="A7788" s="28">
        <v>44197</v>
      </c>
      <c r="B7788" s="27" t="s">
        <v>200</v>
      </c>
      <c r="C7788" s="27" t="s">
        <v>183</v>
      </c>
      <c r="D7788" s="27" t="s">
        <v>7</v>
      </c>
      <c r="E7788" s="27" t="s">
        <v>9</v>
      </c>
      <c r="F7788" s="29"/>
      <c r="G7788" s="30">
        <f t="shared" si="145"/>
        <v>66.758095238095237</v>
      </c>
    </row>
    <row r="7789" spans="1:7" hidden="1" x14ac:dyDescent="0.25">
      <c r="A7789" s="28">
        <v>44197</v>
      </c>
      <c r="B7789" s="27" t="s">
        <v>200</v>
      </c>
      <c r="C7789" s="27" t="s">
        <v>183</v>
      </c>
      <c r="D7789" s="27" t="s">
        <v>7</v>
      </c>
      <c r="E7789" s="27" t="s">
        <v>22</v>
      </c>
      <c r="F7789" s="29"/>
      <c r="G7789" s="30">
        <f t="shared" si="145"/>
        <v>66.758095238095237</v>
      </c>
    </row>
    <row r="7790" spans="1:7" hidden="1" x14ac:dyDescent="0.25">
      <c r="A7790" s="28">
        <v>44197</v>
      </c>
      <c r="B7790" s="27" t="s">
        <v>200</v>
      </c>
      <c r="C7790" s="27" t="s">
        <v>183</v>
      </c>
      <c r="D7790" s="27" t="s">
        <v>7</v>
      </c>
      <c r="E7790" s="27" t="s">
        <v>39</v>
      </c>
      <c r="F7790" s="29"/>
      <c r="G7790" s="30">
        <f t="shared" si="145"/>
        <v>66.758095238095237</v>
      </c>
    </row>
    <row r="7791" spans="1:7" hidden="1" x14ac:dyDescent="0.25">
      <c r="A7791" s="28">
        <v>44197</v>
      </c>
      <c r="B7791" s="27" t="s">
        <v>200</v>
      </c>
      <c r="C7791" s="27" t="s">
        <v>183</v>
      </c>
      <c r="D7791" s="27" t="s">
        <v>7</v>
      </c>
      <c r="E7791" s="27" t="s">
        <v>64</v>
      </c>
      <c r="F7791" s="29"/>
      <c r="G7791" s="30">
        <f t="shared" si="145"/>
        <v>66.758095238095237</v>
      </c>
    </row>
    <row r="7792" spans="1:7" hidden="1" x14ac:dyDescent="0.25">
      <c r="A7792" s="28">
        <v>44197</v>
      </c>
      <c r="B7792" s="27" t="s">
        <v>200</v>
      </c>
      <c r="C7792" s="27" t="s">
        <v>183</v>
      </c>
      <c r="D7792" s="27" t="s">
        <v>7</v>
      </c>
      <c r="E7792" s="27" t="s">
        <v>21</v>
      </c>
      <c r="F7792" s="29"/>
      <c r="G7792" s="30">
        <f t="shared" si="145"/>
        <v>66.758095238095237</v>
      </c>
    </row>
    <row r="7793" spans="1:7" hidden="1" x14ac:dyDescent="0.25">
      <c r="A7793" s="28">
        <v>44197</v>
      </c>
      <c r="B7793" s="27" t="s">
        <v>200</v>
      </c>
      <c r="C7793" s="27" t="s">
        <v>183</v>
      </c>
      <c r="D7793" s="27" t="s">
        <v>7</v>
      </c>
      <c r="E7793" s="27" t="s">
        <v>41</v>
      </c>
      <c r="F7793" s="29"/>
      <c r="G7793" s="30">
        <f t="shared" si="145"/>
        <v>66.758095238095237</v>
      </c>
    </row>
    <row r="7794" spans="1:7" hidden="1" x14ac:dyDescent="0.25">
      <c r="A7794" s="28">
        <v>44197</v>
      </c>
      <c r="B7794" s="27" t="s">
        <v>200</v>
      </c>
      <c r="C7794" s="27" t="s">
        <v>183</v>
      </c>
      <c r="D7794" s="27" t="s">
        <v>7</v>
      </c>
      <c r="E7794" s="27" t="s">
        <v>10</v>
      </c>
      <c r="F7794" s="29"/>
      <c r="G7794" s="30">
        <f t="shared" si="145"/>
        <v>66.758095238095237</v>
      </c>
    </row>
    <row r="7795" spans="1:7" hidden="1" x14ac:dyDescent="0.25">
      <c r="A7795" s="28">
        <v>44197</v>
      </c>
      <c r="B7795" s="27" t="s">
        <v>200</v>
      </c>
      <c r="C7795" s="27" t="s">
        <v>183</v>
      </c>
      <c r="D7795" s="27" t="s">
        <v>7</v>
      </c>
      <c r="E7795" s="27" t="s">
        <v>11</v>
      </c>
      <c r="F7795" s="29"/>
      <c r="G7795" s="30">
        <f t="shared" si="145"/>
        <v>66.758095238095237</v>
      </c>
    </row>
    <row r="7796" spans="1:7" hidden="1" x14ac:dyDescent="0.25">
      <c r="A7796" s="28">
        <v>44197</v>
      </c>
      <c r="B7796" s="27" t="s">
        <v>200</v>
      </c>
      <c r="C7796" s="27" t="s">
        <v>183</v>
      </c>
      <c r="D7796" s="27" t="s">
        <v>7</v>
      </c>
      <c r="E7796" s="27" t="s">
        <v>12</v>
      </c>
      <c r="F7796" s="29"/>
      <c r="G7796" s="30">
        <f t="shared" si="145"/>
        <v>66.758095238095237</v>
      </c>
    </row>
    <row r="7797" spans="1:7" hidden="1" x14ac:dyDescent="0.25">
      <c r="A7797" s="28">
        <v>44197</v>
      </c>
      <c r="B7797" s="27" t="s">
        <v>200</v>
      </c>
      <c r="C7797" s="27" t="s">
        <v>183</v>
      </c>
      <c r="D7797" s="27" t="s">
        <v>7</v>
      </c>
      <c r="E7797" s="27" t="s">
        <v>13</v>
      </c>
      <c r="F7797" s="29"/>
      <c r="G7797" s="30">
        <f t="shared" si="145"/>
        <v>66.758095238095237</v>
      </c>
    </row>
    <row r="7798" spans="1:7" hidden="1" x14ac:dyDescent="0.25">
      <c r="A7798" s="28">
        <v>44197</v>
      </c>
      <c r="B7798" s="27" t="s">
        <v>200</v>
      </c>
      <c r="C7798" s="27" t="s">
        <v>183</v>
      </c>
      <c r="D7798" s="27" t="s">
        <v>7</v>
      </c>
      <c r="E7798" s="27" t="s">
        <v>14</v>
      </c>
      <c r="F7798" s="29"/>
      <c r="G7798" s="30">
        <f t="shared" si="145"/>
        <v>66.758095238095237</v>
      </c>
    </row>
    <row r="7799" spans="1:7" hidden="1" x14ac:dyDescent="0.25">
      <c r="A7799" s="28">
        <v>44197</v>
      </c>
      <c r="B7799" s="27" t="s">
        <v>200</v>
      </c>
      <c r="C7799" s="27" t="s">
        <v>183</v>
      </c>
      <c r="D7799" s="27" t="s">
        <v>7</v>
      </c>
      <c r="E7799" s="27" t="s">
        <v>15</v>
      </c>
      <c r="F7799" s="29"/>
      <c r="G7799" s="30">
        <f t="shared" si="145"/>
        <v>66.758095238095237</v>
      </c>
    </row>
    <row r="7800" spans="1:7" hidden="1" x14ac:dyDescent="0.25">
      <c r="A7800" s="28">
        <v>44197</v>
      </c>
      <c r="B7800" s="27" t="s">
        <v>200</v>
      </c>
      <c r="C7800" s="27" t="s">
        <v>183</v>
      </c>
      <c r="D7800" s="27" t="s">
        <v>7</v>
      </c>
      <c r="E7800" s="27" t="s">
        <v>16</v>
      </c>
      <c r="F7800" s="29"/>
      <c r="G7800" s="30">
        <f t="shared" si="145"/>
        <v>66.758095238095237</v>
      </c>
    </row>
    <row r="7801" spans="1:7" hidden="1" x14ac:dyDescent="0.25">
      <c r="A7801" s="28">
        <v>44197</v>
      </c>
      <c r="B7801" s="27" t="s">
        <v>200</v>
      </c>
      <c r="C7801" s="27" t="s">
        <v>183</v>
      </c>
      <c r="D7801" s="27" t="s">
        <v>7</v>
      </c>
      <c r="E7801" s="27" t="s">
        <v>17</v>
      </c>
      <c r="F7801" s="29"/>
      <c r="G7801" s="30">
        <f t="shared" si="145"/>
        <v>66.758095238095237</v>
      </c>
    </row>
    <row r="7802" spans="1:7" hidden="1" x14ac:dyDescent="0.25">
      <c r="A7802" s="28">
        <v>44197</v>
      </c>
      <c r="B7802" s="27" t="s">
        <v>200</v>
      </c>
      <c r="C7802" s="27" t="s">
        <v>183</v>
      </c>
      <c r="D7802" s="27" t="s">
        <v>7</v>
      </c>
      <c r="E7802" s="27" t="s">
        <v>18</v>
      </c>
      <c r="F7802" s="29"/>
      <c r="G7802" s="30">
        <f t="shared" si="145"/>
        <v>66.758095238095237</v>
      </c>
    </row>
    <row r="7803" spans="1:7" hidden="1" x14ac:dyDescent="0.25">
      <c r="A7803" s="28">
        <v>44197</v>
      </c>
      <c r="B7803" s="27" t="s">
        <v>200</v>
      </c>
      <c r="C7803" s="27" t="s">
        <v>183</v>
      </c>
      <c r="D7803" s="27" t="s">
        <v>7</v>
      </c>
      <c r="E7803" s="27" t="s">
        <v>19</v>
      </c>
      <c r="F7803" s="29"/>
      <c r="G7803" s="30">
        <f t="shared" si="145"/>
        <v>66.758095238095237</v>
      </c>
    </row>
    <row r="7804" spans="1:7" hidden="1" x14ac:dyDescent="0.25">
      <c r="A7804" s="28">
        <v>44197</v>
      </c>
      <c r="B7804" s="27" t="s">
        <v>200</v>
      </c>
      <c r="C7804" s="27" t="s">
        <v>183</v>
      </c>
      <c r="D7804" s="27" t="s">
        <v>7</v>
      </c>
      <c r="E7804" s="27" t="s">
        <v>20</v>
      </c>
      <c r="F7804" s="29"/>
      <c r="G7804" s="30">
        <f t="shared" si="145"/>
        <v>66.758095238095237</v>
      </c>
    </row>
    <row r="7805" spans="1:7" hidden="1" x14ac:dyDescent="0.25">
      <c r="A7805" s="28">
        <v>44197</v>
      </c>
      <c r="B7805" s="27" t="s">
        <v>200</v>
      </c>
      <c r="C7805" s="27" t="s">
        <v>183</v>
      </c>
      <c r="D7805" s="27" t="s">
        <v>7</v>
      </c>
      <c r="E7805" s="27" t="s">
        <v>38</v>
      </c>
      <c r="F7805" s="29"/>
      <c r="G7805" s="30">
        <f t="shared" si="145"/>
        <v>66.758095238095237</v>
      </c>
    </row>
    <row r="7806" spans="1:7" hidden="1" x14ac:dyDescent="0.25">
      <c r="A7806" s="28">
        <v>44197</v>
      </c>
      <c r="B7806" s="27" t="s">
        <v>200</v>
      </c>
      <c r="C7806" s="27" t="s">
        <v>183</v>
      </c>
      <c r="D7806" s="27" t="s">
        <v>7</v>
      </c>
      <c r="E7806" s="27" t="s">
        <v>23</v>
      </c>
      <c r="F7806" s="29"/>
      <c r="G7806" s="30">
        <f t="shared" si="145"/>
        <v>66.758095238095237</v>
      </c>
    </row>
    <row r="7807" spans="1:7" hidden="1" x14ac:dyDescent="0.25">
      <c r="A7807" s="28">
        <v>44197</v>
      </c>
      <c r="B7807" s="27" t="s">
        <v>200</v>
      </c>
      <c r="C7807" s="27" t="s">
        <v>183</v>
      </c>
      <c r="D7807" s="27" t="s">
        <v>7</v>
      </c>
      <c r="E7807" s="27" t="s">
        <v>40</v>
      </c>
      <c r="F7807" s="29"/>
      <c r="G7807" s="30">
        <f t="shared" si="145"/>
        <v>66.758095238095237</v>
      </c>
    </row>
    <row r="7808" spans="1:7" hidden="1" x14ac:dyDescent="0.25">
      <c r="A7808" s="28">
        <v>44197</v>
      </c>
      <c r="B7808" s="27" t="s">
        <v>200</v>
      </c>
      <c r="C7808" s="27" t="s">
        <v>56</v>
      </c>
      <c r="D7808" s="27" t="s">
        <v>6</v>
      </c>
      <c r="E7808" s="27" t="s">
        <v>8</v>
      </c>
      <c r="F7808" s="29"/>
      <c r="G7808" s="30">
        <f>44831.71/21</f>
        <v>2134.8433333333332</v>
      </c>
    </row>
    <row r="7809" spans="1:7" hidden="1" x14ac:dyDescent="0.25">
      <c r="A7809" s="28">
        <v>44197</v>
      </c>
      <c r="B7809" s="27" t="s">
        <v>200</v>
      </c>
      <c r="C7809" s="27" t="s">
        <v>56</v>
      </c>
      <c r="D7809" s="27" t="s">
        <v>6</v>
      </c>
      <c r="E7809" s="27" t="s">
        <v>9</v>
      </c>
      <c r="F7809" s="29"/>
      <c r="G7809" s="30">
        <f t="shared" ref="G7809:G7828" si="146">44831.7123555556/21</f>
        <v>2134.8434455026477</v>
      </c>
    </row>
    <row r="7810" spans="1:7" hidden="1" x14ac:dyDescent="0.25">
      <c r="A7810" s="28">
        <v>44197</v>
      </c>
      <c r="B7810" s="27" t="s">
        <v>200</v>
      </c>
      <c r="C7810" s="27" t="s">
        <v>56</v>
      </c>
      <c r="D7810" s="27" t="s">
        <v>6</v>
      </c>
      <c r="E7810" s="27" t="s">
        <v>22</v>
      </c>
      <c r="F7810" s="29"/>
      <c r="G7810" s="30">
        <f t="shared" si="146"/>
        <v>2134.8434455026477</v>
      </c>
    </row>
    <row r="7811" spans="1:7" hidden="1" x14ac:dyDescent="0.25">
      <c r="A7811" s="28">
        <v>44197</v>
      </c>
      <c r="B7811" s="27" t="s">
        <v>200</v>
      </c>
      <c r="C7811" s="27" t="s">
        <v>56</v>
      </c>
      <c r="D7811" s="27" t="s">
        <v>6</v>
      </c>
      <c r="E7811" s="27" t="s">
        <v>39</v>
      </c>
      <c r="F7811" s="29"/>
      <c r="G7811" s="30">
        <f t="shared" si="146"/>
        <v>2134.8434455026477</v>
      </c>
    </row>
    <row r="7812" spans="1:7" hidden="1" x14ac:dyDescent="0.25">
      <c r="A7812" s="28">
        <v>44197</v>
      </c>
      <c r="B7812" s="27" t="s">
        <v>200</v>
      </c>
      <c r="C7812" s="27" t="s">
        <v>56</v>
      </c>
      <c r="D7812" s="27" t="s">
        <v>6</v>
      </c>
      <c r="E7812" s="27" t="s">
        <v>64</v>
      </c>
      <c r="F7812" s="29"/>
      <c r="G7812" s="30">
        <f t="shared" si="146"/>
        <v>2134.8434455026477</v>
      </c>
    </row>
    <row r="7813" spans="1:7" hidden="1" x14ac:dyDescent="0.25">
      <c r="A7813" s="28">
        <v>44197</v>
      </c>
      <c r="B7813" s="27" t="s">
        <v>200</v>
      </c>
      <c r="C7813" s="27" t="s">
        <v>56</v>
      </c>
      <c r="D7813" s="27" t="s">
        <v>6</v>
      </c>
      <c r="E7813" s="27" t="s">
        <v>21</v>
      </c>
      <c r="F7813" s="29"/>
      <c r="G7813" s="30">
        <f t="shared" si="146"/>
        <v>2134.8434455026477</v>
      </c>
    </row>
    <row r="7814" spans="1:7" hidden="1" x14ac:dyDescent="0.25">
      <c r="A7814" s="28">
        <v>44197</v>
      </c>
      <c r="B7814" s="27" t="s">
        <v>200</v>
      </c>
      <c r="C7814" s="27" t="s">
        <v>56</v>
      </c>
      <c r="D7814" s="27" t="s">
        <v>6</v>
      </c>
      <c r="E7814" s="27" t="s">
        <v>41</v>
      </c>
      <c r="F7814" s="29"/>
      <c r="G7814" s="30">
        <f t="shared" si="146"/>
        <v>2134.8434455026477</v>
      </c>
    </row>
    <row r="7815" spans="1:7" hidden="1" x14ac:dyDescent="0.25">
      <c r="A7815" s="28">
        <v>44197</v>
      </c>
      <c r="B7815" s="27" t="s">
        <v>200</v>
      </c>
      <c r="C7815" s="27" t="s">
        <v>56</v>
      </c>
      <c r="D7815" s="27" t="s">
        <v>6</v>
      </c>
      <c r="E7815" s="27" t="s">
        <v>10</v>
      </c>
      <c r="F7815" s="29"/>
      <c r="G7815" s="30">
        <f t="shared" si="146"/>
        <v>2134.8434455026477</v>
      </c>
    </row>
    <row r="7816" spans="1:7" hidden="1" x14ac:dyDescent="0.25">
      <c r="A7816" s="28">
        <v>44197</v>
      </c>
      <c r="B7816" s="27" t="s">
        <v>200</v>
      </c>
      <c r="C7816" s="27" t="s">
        <v>56</v>
      </c>
      <c r="D7816" s="27" t="s">
        <v>6</v>
      </c>
      <c r="E7816" s="27" t="s">
        <v>11</v>
      </c>
      <c r="F7816" s="29"/>
      <c r="G7816" s="30">
        <f t="shared" si="146"/>
        <v>2134.8434455026477</v>
      </c>
    </row>
    <row r="7817" spans="1:7" hidden="1" x14ac:dyDescent="0.25">
      <c r="A7817" s="28">
        <v>44197</v>
      </c>
      <c r="B7817" s="27" t="s">
        <v>200</v>
      </c>
      <c r="C7817" s="27" t="s">
        <v>56</v>
      </c>
      <c r="D7817" s="27" t="s">
        <v>6</v>
      </c>
      <c r="E7817" s="27" t="s">
        <v>12</v>
      </c>
      <c r="F7817" s="29"/>
      <c r="G7817" s="30">
        <f t="shared" si="146"/>
        <v>2134.8434455026477</v>
      </c>
    </row>
    <row r="7818" spans="1:7" hidden="1" x14ac:dyDescent="0.25">
      <c r="A7818" s="28">
        <v>44197</v>
      </c>
      <c r="B7818" s="27" t="s">
        <v>200</v>
      </c>
      <c r="C7818" s="27" t="s">
        <v>56</v>
      </c>
      <c r="D7818" s="27" t="s">
        <v>6</v>
      </c>
      <c r="E7818" s="27" t="s">
        <v>13</v>
      </c>
      <c r="F7818" s="29"/>
      <c r="G7818" s="30">
        <f t="shared" si="146"/>
        <v>2134.8434455026477</v>
      </c>
    </row>
    <row r="7819" spans="1:7" hidden="1" x14ac:dyDescent="0.25">
      <c r="A7819" s="28">
        <v>44197</v>
      </c>
      <c r="B7819" s="27" t="s">
        <v>200</v>
      </c>
      <c r="C7819" s="27" t="s">
        <v>56</v>
      </c>
      <c r="D7819" s="27" t="s">
        <v>6</v>
      </c>
      <c r="E7819" s="27" t="s">
        <v>14</v>
      </c>
      <c r="F7819" s="29"/>
      <c r="G7819" s="30">
        <f t="shared" si="146"/>
        <v>2134.8434455026477</v>
      </c>
    </row>
    <row r="7820" spans="1:7" hidden="1" x14ac:dyDescent="0.25">
      <c r="A7820" s="28">
        <v>44197</v>
      </c>
      <c r="B7820" s="27" t="s">
        <v>200</v>
      </c>
      <c r="C7820" s="27" t="s">
        <v>56</v>
      </c>
      <c r="D7820" s="27" t="s">
        <v>6</v>
      </c>
      <c r="E7820" s="27" t="s">
        <v>15</v>
      </c>
      <c r="F7820" s="29"/>
      <c r="G7820" s="30">
        <f t="shared" si="146"/>
        <v>2134.8434455026477</v>
      </c>
    </row>
    <row r="7821" spans="1:7" hidden="1" x14ac:dyDescent="0.25">
      <c r="A7821" s="28">
        <v>44197</v>
      </c>
      <c r="B7821" s="27" t="s">
        <v>200</v>
      </c>
      <c r="C7821" s="27" t="s">
        <v>56</v>
      </c>
      <c r="D7821" s="27" t="s">
        <v>6</v>
      </c>
      <c r="E7821" s="27" t="s">
        <v>16</v>
      </c>
      <c r="F7821" s="29"/>
      <c r="G7821" s="30">
        <f t="shared" si="146"/>
        <v>2134.8434455026477</v>
      </c>
    </row>
    <row r="7822" spans="1:7" hidden="1" x14ac:dyDescent="0.25">
      <c r="A7822" s="28">
        <v>44197</v>
      </c>
      <c r="B7822" s="27" t="s">
        <v>200</v>
      </c>
      <c r="C7822" s="27" t="s">
        <v>56</v>
      </c>
      <c r="D7822" s="27" t="s">
        <v>6</v>
      </c>
      <c r="E7822" s="27" t="s">
        <v>17</v>
      </c>
      <c r="F7822" s="29"/>
      <c r="G7822" s="30">
        <f t="shared" si="146"/>
        <v>2134.8434455026477</v>
      </c>
    </row>
    <row r="7823" spans="1:7" hidden="1" x14ac:dyDescent="0.25">
      <c r="A7823" s="28">
        <v>44197</v>
      </c>
      <c r="B7823" s="27" t="s">
        <v>200</v>
      </c>
      <c r="C7823" s="27" t="s">
        <v>56</v>
      </c>
      <c r="D7823" s="27" t="s">
        <v>6</v>
      </c>
      <c r="E7823" s="27" t="s">
        <v>18</v>
      </c>
      <c r="F7823" s="29"/>
      <c r="G7823" s="30">
        <f t="shared" si="146"/>
        <v>2134.8434455026477</v>
      </c>
    </row>
    <row r="7824" spans="1:7" hidden="1" x14ac:dyDescent="0.25">
      <c r="A7824" s="28">
        <v>44197</v>
      </c>
      <c r="B7824" s="27" t="s">
        <v>200</v>
      </c>
      <c r="C7824" s="27" t="s">
        <v>56</v>
      </c>
      <c r="D7824" s="27" t="s">
        <v>6</v>
      </c>
      <c r="E7824" s="27" t="s">
        <v>19</v>
      </c>
      <c r="F7824" s="29"/>
      <c r="G7824" s="30">
        <f t="shared" si="146"/>
        <v>2134.8434455026477</v>
      </c>
    </row>
    <row r="7825" spans="1:7" hidden="1" x14ac:dyDescent="0.25">
      <c r="A7825" s="28">
        <v>44197</v>
      </c>
      <c r="B7825" s="27" t="s">
        <v>200</v>
      </c>
      <c r="C7825" s="27" t="s">
        <v>56</v>
      </c>
      <c r="D7825" s="27" t="s">
        <v>6</v>
      </c>
      <c r="E7825" s="27" t="s">
        <v>20</v>
      </c>
      <c r="F7825" s="29"/>
      <c r="G7825" s="30">
        <f t="shared" si="146"/>
        <v>2134.8434455026477</v>
      </c>
    </row>
    <row r="7826" spans="1:7" hidden="1" x14ac:dyDescent="0.25">
      <c r="A7826" s="28">
        <v>44197</v>
      </c>
      <c r="B7826" s="27" t="s">
        <v>200</v>
      </c>
      <c r="C7826" s="27" t="s">
        <v>56</v>
      </c>
      <c r="D7826" s="27" t="s">
        <v>6</v>
      </c>
      <c r="E7826" s="27" t="s">
        <v>38</v>
      </c>
      <c r="F7826" s="29"/>
      <c r="G7826" s="30">
        <f t="shared" si="146"/>
        <v>2134.8434455026477</v>
      </c>
    </row>
    <row r="7827" spans="1:7" hidden="1" x14ac:dyDescent="0.25">
      <c r="A7827" s="28">
        <v>44197</v>
      </c>
      <c r="B7827" s="27" t="s">
        <v>200</v>
      </c>
      <c r="C7827" s="27" t="s">
        <v>56</v>
      </c>
      <c r="D7827" s="27" t="s">
        <v>6</v>
      </c>
      <c r="E7827" s="27" t="s">
        <v>23</v>
      </c>
      <c r="F7827" s="29"/>
      <c r="G7827" s="30">
        <f t="shared" si="146"/>
        <v>2134.8434455026477</v>
      </c>
    </row>
    <row r="7828" spans="1:7" hidden="1" x14ac:dyDescent="0.25">
      <c r="A7828" s="28">
        <v>44197</v>
      </c>
      <c r="B7828" s="27" t="s">
        <v>200</v>
      </c>
      <c r="C7828" s="27" t="s">
        <v>56</v>
      </c>
      <c r="D7828" s="27" t="s">
        <v>6</v>
      </c>
      <c r="E7828" s="27" t="s">
        <v>40</v>
      </c>
      <c r="F7828" s="29"/>
      <c r="G7828" s="30">
        <f t="shared" si="146"/>
        <v>2134.8434455026477</v>
      </c>
    </row>
    <row r="7829" spans="1:7" hidden="1" x14ac:dyDescent="0.25">
      <c r="A7829" s="28">
        <v>44197</v>
      </c>
      <c r="B7829" s="27" t="s">
        <v>200</v>
      </c>
      <c r="C7829" s="27" t="s">
        <v>182</v>
      </c>
      <c r="D7829" s="27" t="s">
        <v>7</v>
      </c>
      <c r="E7829" s="27" t="s">
        <v>8</v>
      </c>
      <c r="F7829" s="29"/>
      <c r="G7829" s="30">
        <f t="shared" ref="G7829:G7849" si="147">3110.46/21</f>
        <v>148.11714285714285</v>
      </c>
    </row>
    <row r="7830" spans="1:7" hidden="1" x14ac:dyDescent="0.25">
      <c r="A7830" s="28">
        <v>44197</v>
      </c>
      <c r="B7830" s="27" t="s">
        <v>200</v>
      </c>
      <c r="C7830" s="27" t="s">
        <v>182</v>
      </c>
      <c r="D7830" s="27" t="s">
        <v>7</v>
      </c>
      <c r="E7830" s="27" t="s">
        <v>9</v>
      </c>
      <c r="F7830" s="29"/>
      <c r="G7830" s="30">
        <f t="shared" si="147"/>
        <v>148.11714285714285</v>
      </c>
    </row>
    <row r="7831" spans="1:7" hidden="1" x14ac:dyDescent="0.25">
      <c r="A7831" s="28">
        <v>44197</v>
      </c>
      <c r="B7831" s="27" t="s">
        <v>200</v>
      </c>
      <c r="C7831" s="27" t="s">
        <v>182</v>
      </c>
      <c r="D7831" s="27" t="s">
        <v>7</v>
      </c>
      <c r="E7831" s="27" t="s">
        <v>22</v>
      </c>
      <c r="F7831" s="29"/>
      <c r="G7831" s="30">
        <f t="shared" si="147"/>
        <v>148.11714285714285</v>
      </c>
    </row>
    <row r="7832" spans="1:7" hidden="1" x14ac:dyDescent="0.25">
      <c r="A7832" s="28">
        <v>44197</v>
      </c>
      <c r="B7832" s="27" t="s">
        <v>200</v>
      </c>
      <c r="C7832" s="27" t="s">
        <v>182</v>
      </c>
      <c r="D7832" s="27" t="s">
        <v>7</v>
      </c>
      <c r="E7832" s="27" t="s">
        <v>39</v>
      </c>
      <c r="F7832" s="29"/>
      <c r="G7832" s="30">
        <f t="shared" si="147"/>
        <v>148.11714285714285</v>
      </c>
    </row>
    <row r="7833" spans="1:7" hidden="1" x14ac:dyDescent="0.25">
      <c r="A7833" s="28">
        <v>44197</v>
      </c>
      <c r="B7833" s="27" t="s">
        <v>200</v>
      </c>
      <c r="C7833" s="27" t="s">
        <v>182</v>
      </c>
      <c r="D7833" s="27" t="s">
        <v>7</v>
      </c>
      <c r="E7833" s="27" t="s">
        <v>64</v>
      </c>
      <c r="F7833" s="29"/>
      <c r="G7833" s="30">
        <f t="shared" si="147"/>
        <v>148.11714285714285</v>
      </c>
    </row>
    <row r="7834" spans="1:7" hidden="1" x14ac:dyDescent="0.25">
      <c r="A7834" s="28">
        <v>44197</v>
      </c>
      <c r="B7834" s="27" t="s">
        <v>200</v>
      </c>
      <c r="C7834" s="27" t="s">
        <v>182</v>
      </c>
      <c r="D7834" s="27" t="s">
        <v>7</v>
      </c>
      <c r="E7834" s="27" t="s">
        <v>21</v>
      </c>
      <c r="F7834" s="29"/>
      <c r="G7834" s="30">
        <f t="shared" si="147"/>
        <v>148.11714285714285</v>
      </c>
    </row>
    <row r="7835" spans="1:7" hidden="1" x14ac:dyDescent="0.25">
      <c r="A7835" s="28">
        <v>44197</v>
      </c>
      <c r="B7835" s="27" t="s">
        <v>200</v>
      </c>
      <c r="C7835" s="27" t="s">
        <v>182</v>
      </c>
      <c r="D7835" s="27" t="s">
        <v>7</v>
      </c>
      <c r="E7835" s="27" t="s">
        <v>41</v>
      </c>
      <c r="F7835" s="29"/>
      <c r="G7835" s="30">
        <f t="shared" si="147"/>
        <v>148.11714285714285</v>
      </c>
    </row>
    <row r="7836" spans="1:7" hidden="1" x14ac:dyDescent="0.25">
      <c r="A7836" s="28">
        <v>44197</v>
      </c>
      <c r="B7836" s="27" t="s">
        <v>200</v>
      </c>
      <c r="C7836" s="27" t="s">
        <v>182</v>
      </c>
      <c r="D7836" s="27" t="s">
        <v>7</v>
      </c>
      <c r="E7836" s="27" t="s">
        <v>10</v>
      </c>
      <c r="F7836" s="29"/>
      <c r="G7836" s="30">
        <f t="shared" si="147"/>
        <v>148.11714285714285</v>
      </c>
    </row>
    <row r="7837" spans="1:7" hidden="1" x14ac:dyDescent="0.25">
      <c r="A7837" s="28">
        <v>44197</v>
      </c>
      <c r="B7837" s="27" t="s">
        <v>200</v>
      </c>
      <c r="C7837" s="27" t="s">
        <v>182</v>
      </c>
      <c r="D7837" s="27" t="s">
        <v>7</v>
      </c>
      <c r="E7837" s="27" t="s">
        <v>11</v>
      </c>
      <c r="F7837" s="29"/>
      <c r="G7837" s="30">
        <f t="shared" si="147"/>
        <v>148.11714285714285</v>
      </c>
    </row>
    <row r="7838" spans="1:7" hidden="1" x14ac:dyDescent="0.25">
      <c r="A7838" s="28">
        <v>44197</v>
      </c>
      <c r="B7838" s="27" t="s">
        <v>200</v>
      </c>
      <c r="C7838" s="27" t="s">
        <v>182</v>
      </c>
      <c r="D7838" s="27" t="s">
        <v>7</v>
      </c>
      <c r="E7838" s="27" t="s">
        <v>12</v>
      </c>
      <c r="F7838" s="29"/>
      <c r="G7838" s="30">
        <f t="shared" si="147"/>
        <v>148.11714285714285</v>
      </c>
    </row>
    <row r="7839" spans="1:7" hidden="1" x14ac:dyDescent="0.25">
      <c r="A7839" s="28">
        <v>44197</v>
      </c>
      <c r="B7839" s="27" t="s">
        <v>200</v>
      </c>
      <c r="C7839" s="27" t="s">
        <v>182</v>
      </c>
      <c r="D7839" s="27" t="s">
        <v>7</v>
      </c>
      <c r="E7839" s="27" t="s">
        <v>13</v>
      </c>
      <c r="F7839" s="29"/>
      <c r="G7839" s="30">
        <f t="shared" si="147"/>
        <v>148.11714285714285</v>
      </c>
    </row>
    <row r="7840" spans="1:7" hidden="1" x14ac:dyDescent="0.25">
      <c r="A7840" s="28">
        <v>44197</v>
      </c>
      <c r="B7840" s="27" t="s">
        <v>200</v>
      </c>
      <c r="C7840" s="27" t="s">
        <v>182</v>
      </c>
      <c r="D7840" s="27" t="s">
        <v>7</v>
      </c>
      <c r="E7840" s="27" t="s">
        <v>14</v>
      </c>
      <c r="F7840" s="29"/>
      <c r="G7840" s="30">
        <f t="shared" si="147"/>
        <v>148.11714285714285</v>
      </c>
    </row>
    <row r="7841" spans="1:7" hidden="1" x14ac:dyDescent="0.25">
      <c r="A7841" s="28">
        <v>44197</v>
      </c>
      <c r="B7841" s="27" t="s">
        <v>200</v>
      </c>
      <c r="C7841" s="27" t="s">
        <v>182</v>
      </c>
      <c r="D7841" s="27" t="s">
        <v>7</v>
      </c>
      <c r="E7841" s="27" t="s">
        <v>15</v>
      </c>
      <c r="F7841" s="29"/>
      <c r="G7841" s="30">
        <f t="shared" si="147"/>
        <v>148.11714285714285</v>
      </c>
    </row>
    <row r="7842" spans="1:7" hidden="1" x14ac:dyDescent="0.25">
      <c r="A7842" s="28">
        <v>44197</v>
      </c>
      <c r="B7842" s="27" t="s">
        <v>200</v>
      </c>
      <c r="C7842" s="27" t="s">
        <v>182</v>
      </c>
      <c r="D7842" s="27" t="s">
        <v>7</v>
      </c>
      <c r="E7842" s="27" t="s">
        <v>16</v>
      </c>
      <c r="F7842" s="29"/>
      <c r="G7842" s="30">
        <f t="shared" si="147"/>
        <v>148.11714285714285</v>
      </c>
    </row>
    <row r="7843" spans="1:7" hidden="1" x14ac:dyDescent="0.25">
      <c r="A7843" s="28">
        <v>44197</v>
      </c>
      <c r="B7843" s="27" t="s">
        <v>200</v>
      </c>
      <c r="C7843" s="27" t="s">
        <v>182</v>
      </c>
      <c r="D7843" s="27" t="s">
        <v>7</v>
      </c>
      <c r="E7843" s="27" t="s">
        <v>17</v>
      </c>
      <c r="F7843" s="29"/>
      <c r="G7843" s="30">
        <f t="shared" si="147"/>
        <v>148.11714285714285</v>
      </c>
    </row>
    <row r="7844" spans="1:7" hidden="1" x14ac:dyDescent="0.25">
      <c r="A7844" s="28">
        <v>44197</v>
      </c>
      <c r="B7844" s="27" t="s">
        <v>200</v>
      </c>
      <c r="C7844" s="27" t="s">
        <v>182</v>
      </c>
      <c r="D7844" s="27" t="s">
        <v>7</v>
      </c>
      <c r="E7844" s="27" t="s">
        <v>18</v>
      </c>
      <c r="F7844" s="29"/>
      <c r="G7844" s="30">
        <f t="shared" si="147"/>
        <v>148.11714285714285</v>
      </c>
    </row>
    <row r="7845" spans="1:7" hidden="1" x14ac:dyDescent="0.25">
      <c r="A7845" s="28">
        <v>44197</v>
      </c>
      <c r="B7845" s="27" t="s">
        <v>200</v>
      </c>
      <c r="C7845" s="27" t="s">
        <v>182</v>
      </c>
      <c r="D7845" s="27" t="s">
        <v>7</v>
      </c>
      <c r="E7845" s="27" t="s">
        <v>19</v>
      </c>
      <c r="F7845" s="29"/>
      <c r="G7845" s="30">
        <f t="shared" si="147"/>
        <v>148.11714285714285</v>
      </c>
    </row>
    <row r="7846" spans="1:7" hidden="1" x14ac:dyDescent="0.25">
      <c r="A7846" s="28">
        <v>44197</v>
      </c>
      <c r="B7846" s="27" t="s">
        <v>200</v>
      </c>
      <c r="C7846" s="27" t="s">
        <v>182</v>
      </c>
      <c r="D7846" s="27" t="s">
        <v>7</v>
      </c>
      <c r="E7846" s="27" t="s">
        <v>20</v>
      </c>
      <c r="F7846" s="29"/>
      <c r="G7846" s="30">
        <f t="shared" si="147"/>
        <v>148.11714285714285</v>
      </c>
    </row>
    <row r="7847" spans="1:7" hidden="1" x14ac:dyDescent="0.25">
      <c r="A7847" s="28">
        <v>44197</v>
      </c>
      <c r="B7847" s="27" t="s">
        <v>200</v>
      </c>
      <c r="C7847" s="27" t="s">
        <v>182</v>
      </c>
      <c r="D7847" s="27" t="s">
        <v>7</v>
      </c>
      <c r="E7847" s="27" t="s">
        <v>38</v>
      </c>
      <c r="F7847" s="29"/>
      <c r="G7847" s="30">
        <f t="shared" si="147"/>
        <v>148.11714285714285</v>
      </c>
    </row>
    <row r="7848" spans="1:7" hidden="1" x14ac:dyDescent="0.25">
      <c r="A7848" s="28">
        <v>44197</v>
      </c>
      <c r="B7848" s="27" t="s">
        <v>200</v>
      </c>
      <c r="C7848" s="27" t="s">
        <v>182</v>
      </c>
      <c r="D7848" s="27" t="s">
        <v>7</v>
      </c>
      <c r="E7848" s="27" t="s">
        <v>23</v>
      </c>
      <c r="F7848" s="29"/>
      <c r="G7848" s="30">
        <f t="shared" si="147"/>
        <v>148.11714285714285</v>
      </c>
    </row>
    <row r="7849" spans="1:7" hidden="1" x14ac:dyDescent="0.25">
      <c r="A7849" s="28">
        <v>44197</v>
      </c>
      <c r="B7849" s="27" t="s">
        <v>200</v>
      </c>
      <c r="C7849" s="27" t="s">
        <v>182</v>
      </c>
      <c r="D7849" s="27" t="s">
        <v>7</v>
      </c>
      <c r="E7849" s="27" t="s">
        <v>40</v>
      </c>
      <c r="F7849" s="29"/>
      <c r="G7849" s="30">
        <f t="shared" si="147"/>
        <v>148.11714285714285</v>
      </c>
    </row>
    <row r="7850" spans="1:7" hidden="1" x14ac:dyDescent="0.25">
      <c r="A7850" s="28">
        <v>44197</v>
      </c>
      <c r="B7850" s="27" t="s">
        <v>35</v>
      </c>
      <c r="C7850" s="27" t="s">
        <v>50</v>
      </c>
      <c r="D7850" s="27" t="s">
        <v>7</v>
      </c>
      <c r="E7850" s="27" t="s">
        <v>8</v>
      </c>
      <c r="F7850" s="29"/>
      <c r="G7850" s="30">
        <v>471.38095238095241</v>
      </c>
    </row>
    <row r="7851" spans="1:7" hidden="1" x14ac:dyDescent="0.25">
      <c r="A7851" s="28">
        <v>44197</v>
      </c>
      <c r="B7851" s="27" t="s">
        <v>35</v>
      </c>
      <c r="C7851" s="27" t="s">
        <v>50</v>
      </c>
      <c r="D7851" s="27" t="s">
        <v>7</v>
      </c>
      <c r="E7851" s="27" t="s">
        <v>9</v>
      </c>
      <c r="F7851" s="29"/>
      <c r="G7851" s="30">
        <v>471.38095238095241</v>
      </c>
    </row>
    <row r="7852" spans="1:7" hidden="1" x14ac:dyDescent="0.25">
      <c r="A7852" s="28">
        <v>44197</v>
      </c>
      <c r="B7852" s="27" t="s">
        <v>35</v>
      </c>
      <c r="C7852" s="27" t="s">
        <v>50</v>
      </c>
      <c r="D7852" s="27" t="s">
        <v>7</v>
      </c>
      <c r="E7852" s="27" t="s">
        <v>22</v>
      </c>
      <c r="F7852" s="29"/>
      <c r="G7852" s="30">
        <v>471.38095238095241</v>
      </c>
    </row>
    <row r="7853" spans="1:7" hidden="1" x14ac:dyDescent="0.25">
      <c r="A7853" s="28">
        <v>44197</v>
      </c>
      <c r="B7853" s="27" t="s">
        <v>35</v>
      </c>
      <c r="C7853" s="27" t="s">
        <v>50</v>
      </c>
      <c r="D7853" s="27" t="s">
        <v>7</v>
      </c>
      <c r="E7853" s="27" t="s">
        <v>39</v>
      </c>
      <c r="F7853" s="29"/>
      <c r="G7853" s="30">
        <v>471.38095238095241</v>
      </c>
    </row>
    <row r="7854" spans="1:7" hidden="1" x14ac:dyDescent="0.25">
      <c r="A7854" s="28">
        <v>44197</v>
      </c>
      <c r="B7854" s="27" t="s">
        <v>35</v>
      </c>
      <c r="C7854" s="27" t="s">
        <v>50</v>
      </c>
      <c r="D7854" s="27" t="s">
        <v>7</v>
      </c>
      <c r="E7854" s="27" t="s">
        <v>64</v>
      </c>
      <c r="F7854" s="29"/>
      <c r="G7854" s="30">
        <v>471.38095238095241</v>
      </c>
    </row>
    <row r="7855" spans="1:7" hidden="1" x14ac:dyDescent="0.25">
      <c r="A7855" s="28">
        <v>44197</v>
      </c>
      <c r="B7855" s="27" t="s">
        <v>35</v>
      </c>
      <c r="C7855" s="27" t="s">
        <v>50</v>
      </c>
      <c r="D7855" s="27" t="s">
        <v>7</v>
      </c>
      <c r="E7855" s="27" t="s">
        <v>21</v>
      </c>
      <c r="F7855" s="29"/>
      <c r="G7855" s="30">
        <v>471.38095238095241</v>
      </c>
    </row>
    <row r="7856" spans="1:7" hidden="1" x14ac:dyDescent="0.25">
      <c r="A7856" s="28">
        <v>44197</v>
      </c>
      <c r="B7856" s="27" t="s">
        <v>35</v>
      </c>
      <c r="C7856" s="27" t="s">
        <v>50</v>
      </c>
      <c r="D7856" s="27" t="s">
        <v>7</v>
      </c>
      <c r="E7856" s="27" t="s">
        <v>41</v>
      </c>
      <c r="F7856" s="29"/>
      <c r="G7856" s="30">
        <v>471.38095238095241</v>
      </c>
    </row>
    <row r="7857" spans="1:7" hidden="1" x14ac:dyDescent="0.25">
      <c r="A7857" s="28">
        <v>44197</v>
      </c>
      <c r="B7857" s="27" t="s">
        <v>35</v>
      </c>
      <c r="C7857" s="27" t="s">
        <v>50</v>
      </c>
      <c r="D7857" s="27" t="s">
        <v>7</v>
      </c>
      <c r="E7857" s="27" t="s">
        <v>10</v>
      </c>
      <c r="F7857" s="29"/>
      <c r="G7857" s="30">
        <v>471.38095238095241</v>
      </c>
    </row>
    <row r="7858" spans="1:7" hidden="1" x14ac:dyDescent="0.25">
      <c r="A7858" s="28">
        <v>44197</v>
      </c>
      <c r="B7858" s="27" t="s">
        <v>35</v>
      </c>
      <c r="C7858" s="27" t="s">
        <v>50</v>
      </c>
      <c r="D7858" s="27" t="s">
        <v>7</v>
      </c>
      <c r="E7858" s="27" t="s">
        <v>11</v>
      </c>
      <c r="F7858" s="29"/>
      <c r="G7858" s="30">
        <v>471.38095238095241</v>
      </c>
    </row>
    <row r="7859" spans="1:7" hidden="1" x14ac:dyDescent="0.25">
      <c r="A7859" s="28">
        <v>44197</v>
      </c>
      <c r="B7859" s="27" t="s">
        <v>35</v>
      </c>
      <c r="C7859" s="27" t="s">
        <v>50</v>
      </c>
      <c r="D7859" s="27" t="s">
        <v>7</v>
      </c>
      <c r="E7859" s="27" t="s">
        <v>12</v>
      </c>
      <c r="F7859" s="29"/>
      <c r="G7859" s="30">
        <v>471.38095238095241</v>
      </c>
    </row>
    <row r="7860" spans="1:7" hidden="1" x14ac:dyDescent="0.25">
      <c r="A7860" s="28">
        <v>44197</v>
      </c>
      <c r="B7860" s="27" t="s">
        <v>35</v>
      </c>
      <c r="C7860" s="27" t="s">
        <v>50</v>
      </c>
      <c r="D7860" s="27" t="s">
        <v>7</v>
      </c>
      <c r="E7860" s="27" t="s">
        <v>13</v>
      </c>
      <c r="F7860" s="29"/>
      <c r="G7860" s="30">
        <v>471.38095238095241</v>
      </c>
    </row>
    <row r="7861" spans="1:7" hidden="1" x14ac:dyDescent="0.25">
      <c r="A7861" s="28">
        <v>44197</v>
      </c>
      <c r="B7861" s="27" t="s">
        <v>35</v>
      </c>
      <c r="C7861" s="27" t="s">
        <v>50</v>
      </c>
      <c r="D7861" s="27" t="s">
        <v>7</v>
      </c>
      <c r="E7861" s="27" t="s">
        <v>14</v>
      </c>
      <c r="F7861" s="29"/>
      <c r="G7861" s="30">
        <v>471.38095238095241</v>
      </c>
    </row>
    <row r="7862" spans="1:7" hidden="1" x14ac:dyDescent="0.25">
      <c r="A7862" s="28">
        <v>44197</v>
      </c>
      <c r="B7862" s="27" t="s">
        <v>35</v>
      </c>
      <c r="C7862" s="27" t="s">
        <v>50</v>
      </c>
      <c r="D7862" s="27" t="s">
        <v>7</v>
      </c>
      <c r="E7862" s="27" t="s">
        <v>15</v>
      </c>
      <c r="F7862" s="29"/>
      <c r="G7862" s="30">
        <v>471.38095238095241</v>
      </c>
    </row>
    <row r="7863" spans="1:7" hidden="1" x14ac:dyDescent="0.25">
      <c r="A7863" s="28">
        <v>44197</v>
      </c>
      <c r="B7863" s="27" t="s">
        <v>35</v>
      </c>
      <c r="C7863" s="27" t="s">
        <v>50</v>
      </c>
      <c r="D7863" s="27" t="s">
        <v>7</v>
      </c>
      <c r="E7863" s="27" t="s">
        <v>16</v>
      </c>
      <c r="F7863" s="29"/>
      <c r="G7863" s="30">
        <v>471.38095238095241</v>
      </c>
    </row>
    <row r="7864" spans="1:7" hidden="1" x14ac:dyDescent="0.25">
      <c r="A7864" s="28">
        <v>44197</v>
      </c>
      <c r="B7864" s="27" t="s">
        <v>35</v>
      </c>
      <c r="C7864" s="27" t="s">
        <v>50</v>
      </c>
      <c r="D7864" s="27" t="s">
        <v>7</v>
      </c>
      <c r="E7864" s="27" t="s">
        <v>17</v>
      </c>
      <c r="F7864" s="29"/>
      <c r="G7864" s="30">
        <v>471.38095238095241</v>
      </c>
    </row>
    <row r="7865" spans="1:7" hidden="1" x14ac:dyDescent="0.25">
      <c r="A7865" s="28">
        <v>44197</v>
      </c>
      <c r="B7865" s="27" t="s">
        <v>35</v>
      </c>
      <c r="C7865" s="27" t="s">
        <v>50</v>
      </c>
      <c r="D7865" s="27" t="s">
        <v>7</v>
      </c>
      <c r="E7865" s="27" t="s">
        <v>18</v>
      </c>
      <c r="F7865" s="29"/>
      <c r="G7865" s="30">
        <v>471.38095238095241</v>
      </c>
    </row>
    <row r="7866" spans="1:7" hidden="1" x14ac:dyDescent="0.25">
      <c r="A7866" s="28">
        <v>44197</v>
      </c>
      <c r="B7866" s="27" t="s">
        <v>35</v>
      </c>
      <c r="C7866" s="27" t="s">
        <v>50</v>
      </c>
      <c r="D7866" s="27" t="s">
        <v>7</v>
      </c>
      <c r="E7866" s="27" t="s">
        <v>19</v>
      </c>
      <c r="F7866" s="29"/>
      <c r="G7866" s="30">
        <v>471.38095238095241</v>
      </c>
    </row>
    <row r="7867" spans="1:7" hidden="1" x14ac:dyDescent="0.25">
      <c r="A7867" s="28">
        <v>44197</v>
      </c>
      <c r="B7867" s="27" t="s">
        <v>35</v>
      </c>
      <c r="C7867" s="27" t="s">
        <v>50</v>
      </c>
      <c r="D7867" s="27" t="s">
        <v>7</v>
      </c>
      <c r="E7867" s="27" t="s">
        <v>20</v>
      </c>
      <c r="F7867" s="29"/>
      <c r="G7867" s="30">
        <v>471.38095238095241</v>
      </c>
    </row>
    <row r="7868" spans="1:7" hidden="1" x14ac:dyDescent="0.25">
      <c r="A7868" s="28">
        <v>44197</v>
      </c>
      <c r="B7868" s="27" t="s">
        <v>35</v>
      </c>
      <c r="C7868" s="27" t="s">
        <v>50</v>
      </c>
      <c r="D7868" s="27" t="s">
        <v>7</v>
      </c>
      <c r="E7868" s="27" t="s">
        <v>38</v>
      </c>
      <c r="F7868" s="29"/>
      <c r="G7868" s="30">
        <v>471.38095238095241</v>
      </c>
    </row>
    <row r="7869" spans="1:7" hidden="1" x14ac:dyDescent="0.25">
      <c r="A7869" s="28">
        <v>44197</v>
      </c>
      <c r="B7869" s="27" t="s">
        <v>35</v>
      </c>
      <c r="C7869" s="27" t="s">
        <v>50</v>
      </c>
      <c r="D7869" s="27" t="s">
        <v>7</v>
      </c>
      <c r="E7869" s="27" t="s">
        <v>23</v>
      </c>
      <c r="F7869" s="29"/>
      <c r="G7869" s="30">
        <v>471.38095238095241</v>
      </c>
    </row>
    <row r="7870" spans="1:7" hidden="1" x14ac:dyDescent="0.25">
      <c r="A7870" s="28">
        <v>44197</v>
      </c>
      <c r="B7870" s="27" t="s">
        <v>35</v>
      </c>
      <c r="C7870" s="27" t="s">
        <v>50</v>
      </c>
      <c r="D7870" s="27" t="s">
        <v>7</v>
      </c>
      <c r="E7870" s="27" t="s">
        <v>40</v>
      </c>
      <c r="F7870" s="29"/>
      <c r="G7870" s="30">
        <v>471.38095238095241</v>
      </c>
    </row>
    <row r="7871" spans="1:7" hidden="1" x14ac:dyDescent="0.25">
      <c r="A7871" s="28">
        <v>44228</v>
      </c>
      <c r="B7871" s="27" t="s">
        <v>33</v>
      </c>
      <c r="C7871" s="27" t="s">
        <v>50</v>
      </c>
      <c r="D7871" s="27" t="s">
        <v>7</v>
      </c>
      <c r="E7871" s="27" t="s">
        <v>8</v>
      </c>
      <c r="F7871" s="29"/>
      <c r="G7871" s="30">
        <v>2338.31</v>
      </c>
    </row>
    <row r="7872" spans="1:7" hidden="1" x14ac:dyDescent="0.25">
      <c r="A7872" s="28">
        <v>44228</v>
      </c>
      <c r="B7872" s="27" t="s">
        <v>33</v>
      </c>
      <c r="C7872" s="27" t="s">
        <v>50</v>
      </c>
      <c r="D7872" s="27" t="s">
        <v>7</v>
      </c>
      <c r="E7872" s="27" t="s">
        <v>9</v>
      </c>
      <c r="F7872" s="29"/>
      <c r="G7872" s="30">
        <v>2338.31</v>
      </c>
    </row>
    <row r="7873" spans="1:7" hidden="1" x14ac:dyDescent="0.25">
      <c r="A7873" s="28">
        <v>44228</v>
      </c>
      <c r="B7873" s="27" t="s">
        <v>33</v>
      </c>
      <c r="C7873" s="27" t="s">
        <v>50</v>
      </c>
      <c r="D7873" s="27" t="s">
        <v>7</v>
      </c>
      <c r="E7873" s="27" t="s">
        <v>22</v>
      </c>
      <c r="F7873" s="29"/>
      <c r="G7873" s="30">
        <v>2338.31</v>
      </c>
    </row>
    <row r="7874" spans="1:7" hidden="1" x14ac:dyDescent="0.25">
      <c r="A7874" s="28">
        <v>44228</v>
      </c>
      <c r="B7874" s="27" t="s">
        <v>33</v>
      </c>
      <c r="C7874" s="27" t="s">
        <v>50</v>
      </c>
      <c r="D7874" s="27" t="s">
        <v>7</v>
      </c>
      <c r="E7874" s="27" t="s">
        <v>39</v>
      </c>
      <c r="F7874" s="29"/>
      <c r="G7874" s="30">
        <v>2338.31</v>
      </c>
    </row>
    <row r="7875" spans="1:7" hidden="1" x14ac:dyDescent="0.25">
      <c r="A7875" s="28">
        <v>44228</v>
      </c>
      <c r="B7875" s="27" t="s">
        <v>33</v>
      </c>
      <c r="C7875" s="27" t="s">
        <v>50</v>
      </c>
      <c r="D7875" s="27" t="s">
        <v>7</v>
      </c>
      <c r="E7875" s="27" t="s">
        <v>64</v>
      </c>
      <c r="F7875" s="29"/>
      <c r="G7875" s="30">
        <v>2338.31</v>
      </c>
    </row>
    <row r="7876" spans="1:7" hidden="1" x14ac:dyDescent="0.25">
      <c r="A7876" s="28">
        <v>44228</v>
      </c>
      <c r="B7876" s="27" t="s">
        <v>33</v>
      </c>
      <c r="C7876" s="27" t="s">
        <v>50</v>
      </c>
      <c r="D7876" s="27" t="s">
        <v>7</v>
      </c>
      <c r="E7876" s="27" t="s">
        <v>21</v>
      </c>
      <c r="F7876" s="29"/>
      <c r="G7876" s="30">
        <v>2338.31</v>
      </c>
    </row>
    <row r="7877" spans="1:7" hidden="1" x14ac:dyDescent="0.25">
      <c r="A7877" s="28">
        <v>44228</v>
      </c>
      <c r="B7877" s="27" t="s">
        <v>33</v>
      </c>
      <c r="C7877" s="27" t="s">
        <v>50</v>
      </c>
      <c r="D7877" s="27" t="s">
        <v>7</v>
      </c>
      <c r="E7877" s="27" t="s">
        <v>41</v>
      </c>
      <c r="F7877" s="29"/>
      <c r="G7877" s="30">
        <v>2338.31</v>
      </c>
    </row>
    <row r="7878" spans="1:7" hidden="1" x14ac:dyDescent="0.25">
      <c r="A7878" s="28">
        <v>44228</v>
      </c>
      <c r="B7878" s="27" t="s">
        <v>33</v>
      </c>
      <c r="C7878" s="27" t="s">
        <v>50</v>
      </c>
      <c r="D7878" s="27" t="s">
        <v>7</v>
      </c>
      <c r="E7878" s="27" t="s">
        <v>10</v>
      </c>
      <c r="F7878" s="29"/>
      <c r="G7878" s="30">
        <v>2338.31</v>
      </c>
    </row>
    <row r="7879" spans="1:7" hidden="1" x14ac:dyDescent="0.25">
      <c r="A7879" s="28">
        <v>44228</v>
      </c>
      <c r="B7879" s="27" t="s">
        <v>33</v>
      </c>
      <c r="C7879" s="27" t="s">
        <v>50</v>
      </c>
      <c r="D7879" s="27" t="s">
        <v>7</v>
      </c>
      <c r="E7879" s="27" t="s">
        <v>11</v>
      </c>
      <c r="F7879" s="29"/>
      <c r="G7879" s="30">
        <v>2338.31</v>
      </c>
    </row>
    <row r="7880" spans="1:7" hidden="1" x14ac:dyDescent="0.25">
      <c r="A7880" s="28">
        <v>44228</v>
      </c>
      <c r="B7880" s="27" t="s">
        <v>33</v>
      </c>
      <c r="C7880" s="27" t="s">
        <v>50</v>
      </c>
      <c r="D7880" s="27" t="s">
        <v>7</v>
      </c>
      <c r="E7880" s="27" t="s">
        <v>12</v>
      </c>
      <c r="F7880" s="29"/>
      <c r="G7880" s="30">
        <v>2338.31</v>
      </c>
    </row>
    <row r="7881" spans="1:7" hidden="1" x14ac:dyDescent="0.25">
      <c r="A7881" s="28">
        <v>44228</v>
      </c>
      <c r="B7881" s="27" t="s">
        <v>33</v>
      </c>
      <c r="C7881" s="27" t="s">
        <v>50</v>
      </c>
      <c r="D7881" s="27" t="s">
        <v>7</v>
      </c>
      <c r="E7881" s="27" t="s">
        <v>13</v>
      </c>
      <c r="F7881" s="29"/>
      <c r="G7881" s="30">
        <v>2338.31</v>
      </c>
    </row>
    <row r="7882" spans="1:7" hidden="1" x14ac:dyDescent="0.25">
      <c r="A7882" s="28">
        <v>44228</v>
      </c>
      <c r="B7882" s="27" t="s">
        <v>33</v>
      </c>
      <c r="C7882" s="27" t="s">
        <v>50</v>
      </c>
      <c r="D7882" s="27" t="s">
        <v>7</v>
      </c>
      <c r="E7882" s="27" t="s">
        <v>14</v>
      </c>
      <c r="F7882" s="29"/>
      <c r="G7882" s="30">
        <v>2338.31</v>
      </c>
    </row>
    <row r="7883" spans="1:7" hidden="1" x14ac:dyDescent="0.25">
      <c r="A7883" s="28">
        <v>44228</v>
      </c>
      <c r="B7883" s="27" t="s">
        <v>33</v>
      </c>
      <c r="C7883" s="27" t="s">
        <v>50</v>
      </c>
      <c r="D7883" s="27" t="s">
        <v>7</v>
      </c>
      <c r="E7883" s="27" t="s">
        <v>15</v>
      </c>
      <c r="F7883" s="29"/>
      <c r="G7883" s="30">
        <v>2338.31</v>
      </c>
    </row>
    <row r="7884" spans="1:7" hidden="1" x14ac:dyDescent="0.25">
      <c r="A7884" s="28">
        <v>44228</v>
      </c>
      <c r="B7884" s="27" t="s">
        <v>33</v>
      </c>
      <c r="C7884" s="27" t="s">
        <v>50</v>
      </c>
      <c r="D7884" s="27" t="s">
        <v>7</v>
      </c>
      <c r="E7884" s="27" t="s">
        <v>16</v>
      </c>
      <c r="F7884" s="29"/>
      <c r="G7884" s="30">
        <v>2338.31</v>
      </c>
    </row>
    <row r="7885" spans="1:7" hidden="1" x14ac:dyDescent="0.25">
      <c r="A7885" s="28">
        <v>44228</v>
      </c>
      <c r="B7885" s="27" t="s">
        <v>33</v>
      </c>
      <c r="C7885" s="27" t="s">
        <v>50</v>
      </c>
      <c r="D7885" s="27" t="s">
        <v>7</v>
      </c>
      <c r="E7885" s="27" t="s">
        <v>17</v>
      </c>
      <c r="F7885" s="29"/>
      <c r="G7885" s="30">
        <v>2338.31</v>
      </c>
    </row>
    <row r="7886" spans="1:7" hidden="1" x14ac:dyDescent="0.25">
      <c r="A7886" s="28">
        <v>44228</v>
      </c>
      <c r="B7886" s="27" t="s">
        <v>33</v>
      </c>
      <c r="C7886" s="27" t="s">
        <v>50</v>
      </c>
      <c r="D7886" s="27" t="s">
        <v>7</v>
      </c>
      <c r="E7886" s="27" t="s">
        <v>18</v>
      </c>
      <c r="F7886" s="29"/>
      <c r="G7886" s="30">
        <v>2338.31</v>
      </c>
    </row>
    <row r="7887" spans="1:7" hidden="1" x14ac:dyDescent="0.25">
      <c r="A7887" s="28">
        <v>44228</v>
      </c>
      <c r="B7887" s="27" t="s">
        <v>33</v>
      </c>
      <c r="C7887" s="27" t="s">
        <v>50</v>
      </c>
      <c r="D7887" s="27" t="s">
        <v>7</v>
      </c>
      <c r="E7887" s="27" t="s">
        <v>19</v>
      </c>
      <c r="F7887" s="29"/>
      <c r="G7887" s="30">
        <v>2338.31</v>
      </c>
    </row>
    <row r="7888" spans="1:7" hidden="1" x14ac:dyDescent="0.25">
      <c r="A7888" s="28">
        <v>44228</v>
      </c>
      <c r="B7888" s="27" t="s">
        <v>33</v>
      </c>
      <c r="C7888" s="27" t="s">
        <v>50</v>
      </c>
      <c r="D7888" s="27" t="s">
        <v>7</v>
      </c>
      <c r="E7888" s="27" t="s">
        <v>20</v>
      </c>
      <c r="F7888" s="29"/>
      <c r="G7888" s="30">
        <v>2338.31</v>
      </c>
    </row>
    <row r="7889" spans="1:7" hidden="1" x14ac:dyDescent="0.25">
      <c r="A7889" s="28">
        <v>44228</v>
      </c>
      <c r="B7889" s="27" t="s">
        <v>33</v>
      </c>
      <c r="C7889" s="27" t="s">
        <v>50</v>
      </c>
      <c r="D7889" s="27" t="s">
        <v>7</v>
      </c>
      <c r="E7889" s="27" t="s">
        <v>38</v>
      </c>
      <c r="F7889" s="29"/>
      <c r="G7889" s="30">
        <v>2338.31</v>
      </c>
    </row>
    <row r="7890" spans="1:7" hidden="1" x14ac:dyDescent="0.25">
      <c r="A7890" s="28">
        <v>44228</v>
      </c>
      <c r="B7890" s="27" t="s">
        <v>33</v>
      </c>
      <c r="C7890" s="27" t="s">
        <v>50</v>
      </c>
      <c r="D7890" s="27" t="s">
        <v>7</v>
      </c>
      <c r="E7890" s="27" t="s">
        <v>23</v>
      </c>
      <c r="F7890" s="29"/>
      <c r="G7890" s="30">
        <v>2338.31</v>
      </c>
    </row>
    <row r="7891" spans="1:7" hidden="1" x14ac:dyDescent="0.25">
      <c r="A7891" s="28">
        <v>44228</v>
      </c>
      <c r="B7891" s="27" t="s">
        <v>33</v>
      </c>
      <c r="C7891" s="27" t="s">
        <v>50</v>
      </c>
      <c r="D7891" s="27" t="s">
        <v>7</v>
      </c>
      <c r="E7891" s="27" t="s">
        <v>40</v>
      </c>
      <c r="F7891" s="29"/>
      <c r="G7891" s="30">
        <v>2338.31</v>
      </c>
    </row>
    <row r="7892" spans="1:7" hidden="1" x14ac:dyDescent="0.25">
      <c r="A7892" s="28">
        <v>44228</v>
      </c>
      <c r="B7892" s="27" t="s">
        <v>201</v>
      </c>
      <c r="C7892" s="27" t="s">
        <v>202</v>
      </c>
      <c r="D7892" s="27" t="s">
        <v>7</v>
      </c>
      <c r="E7892" s="27" t="s">
        <v>37</v>
      </c>
      <c r="F7892" s="29"/>
      <c r="G7892" s="30">
        <f t="shared" ref="G7892:G7913" si="148">2180.6/22</f>
        <v>99.11818181818181</v>
      </c>
    </row>
    <row r="7893" spans="1:7" hidden="1" x14ac:dyDescent="0.25">
      <c r="A7893" s="28">
        <v>44228</v>
      </c>
      <c r="B7893" s="27" t="s">
        <v>201</v>
      </c>
      <c r="C7893" s="27" t="s">
        <v>202</v>
      </c>
      <c r="D7893" s="27" t="s">
        <v>7</v>
      </c>
      <c r="E7893" s="27" t="s">
        <v>8</v>
      </c>
      <c r="F7893" s="29"/>
      <c r="G7893" s="30">
        <f t="shared" si="148"/>
        <v>99.11818181818181</v>
      </c>
    </row>
    <row r="7894" spans="1:7" hidden="1" x14ac:dyDescent="0.25">
      <c r="A7894" s="28">
        <v>44228</v>
      </c>
      <c r="B7894" s="27" t="s">
        <v>201</v>
      </c>
      <c r="C7894" s="27" t="s">
        <v>202</v>
      </c>
      <c r="D7894" s="27" t="s">
        <v>7</v>
      </c>
      <c r="E7894" s="27" t="s">
        <v>9</v>
      </c>
      <c r="F7894" s="29"/>
      <c r="G7894" s="30">
        <f t="shared" si="148"/>
        <v>99.11818181818181</v>
      </c>
    </row>
    <row r="7895" spans="1:7" hidden="1" x14ac:dyDescent="0.25">
      <c r="A7895" s="28">
        <v>44228</v>
      </c>
      <c r="B7895" s="27" t="s">
        <v>201</v>
      </c>
      <c r="C7895" s="27" t="s">
        <v>202</v>
      </c>
      <c r="D7895" s="27" t="s">
        <v>7</v>
      </c>
      <c r="E7895" s="27" t="s">
        <v>21</v>
      </c>
      <c r="F7895" s="29"/>
      <c r="G7895" s="30">
        <f t="shared" si="148"/>
        <v>99.11818181818181</v>
      </c>
    </row>
    <row r="7896" spans="1:7" hidden="1" x14ac:dyDescent="0.25">
      <c r="A7896" s="28">
        <v>44228</v>
      </c>
      <c r="B7896" s="27" t="s">
        <v>201</v>
      </c>
      <c r="C7896" s="27" t="s">
        <v>202</v>
      </c>
      <c r="D7896" s="27" t="s">
        <v>7</v>
      </c>
      <c r="E7896" s="27" t="s">
        <v>10</v>
      </c>
      <c r="F7896" s="29"/>
      <c r="G7896" s="30">
        <f t="shared" si="148"/>
        <v>99.11818181818181</v>
      </c>
    </row>
    <row r="7897" spans="1:7" hidden="1" x14ac:dyDescent="0.25">
      <c r="A7897" s="28">
        <v>44228</v>
      </c>
      <c r="B7897" s="27" t="s">
        <v>201</v>
      </c>
      <c r="C7897" s="27" t="s">
        <v>202</v>
      </c>
      <c r="D7897" s="27" t="s">
        <v>7</v>
      </c>
      <c r="E7897" s="27" t="s">
        <v>11</v>
      </c>
      <c r="F7897" s="29"/>
      <c r="G7897" s="30">
        <f t="shared" si="148"/>
        <v>99.11818181818181</v>
      </c>
    </row>
    <row r="7898" spans="1:7" hidden="1" x14ac:dyDescent="0.25">
      <c r="A7898" s="28">
        <v>44228</v>
      </c>
      <c r="B7898" s="27" t="s">
        <v>201</v>
      </c>
      <c r="C7898" s="27" t="s">
        <v>202</v>
      </c>
      <c r="D7898" s="27" t="s">
        <v>7</v>
      </c>
      <c r="E7898" s="27" t="s">
        <v>12</v>
      </c>
      <c r="F7898" s="29"/>
      <c r="G7898" s="30">
        <f t="shared" si="148"/>
        <v>99.11818181818181</v>
      </c>
    </row>
    <row r="7899" spans="1:7" hidden="1" x14ac:dyDescent="0.25">
      <c r="A7899" s="28">
        <v>44228</v>
      </c>
      <c r="B7899" s="27" t="s">
        <v>201</v>
      </c>
      <c r="C7899" s="27" t="s">
        <v>202</v>
      </c>
      <c r="D7899" s="27" t="s">
        <v>7</v>
      </c>
      <c r="E7899" s="27" t="s">
        <v>13</v>
      </c>
      <c r="F7899" s="29"/>
      <c r="G7899" s="30">
        <f t="shared" si="148"/>
        <v>99.11818181818181</v>
      </c>
    </row>
    <row r="7900" spans="1:7" hidden="1" x14ac:dyDescent="0.25">
      <c r="A7900" s="28">
        <v>44228</v>
      </c>
      <c r="B7900" s="27" t="s">
        <v>201</v>
      </c>
      <c r="C7900" s="27" t="s">
        <v>202</v>
      </c>
      <c r="D7900" s="27" t="s">
        <v>7</v>
      </c>
      <c r="E7900" s="27" t="s">
        <v>14</v>
      </c>
      <c r="F7900" s="29"/>
      <c r="G7900" s="30">
        <f t="shared" si="148"/>
        <v>99.11818181818181</v>
      </c>
    </row>
    <row r="7901" spans="1:7" hidden="1" x14ac:dyDescent="0.25">
      <c r="A7901" s="28">
        <v>44228</v>
      </c>
      <c r="B7901" s="27" t="s">
        <v>201</v>
      </c>
      <c r="C7901" s="27" t="s">
        <v>202</v>
      </c>
      <c r="D7901" s="27" t="s">
        <v>7</v>
      </c>
      <c r="E7901" s="27" t="s">
        <v>15</v>
      </c>
      <c r="F7901" s="29"/>
      <c r="G7901" s="30">
        <f t="shared" si="148"/>
        <v>99.11818181818181</v>
      </c>
    </row>
    <row r="7902" spans="1:7" hidden="1" x14ac:dyDescent="0.25">
      <c r="A7902" s="28">
        <v>44228</v>
      </c>
      <c r="B7902" s="27" t="s">
        <v>201</v>
      </c>
      <c r="C7902" s="27" t="s">
        <v>202</v>
      </c>
      <c r="D7902" s="27" t="s">
        <v>7</v>
      </c>
      <c r="E7902" s="27" t="s">
        <v>16</v>
      </c>
      <c r="F7902" s="29"/>
      <c r="G7902" s="30">
        <f t="shared" si="148"/>
        <v>99.11818181818181</v>
      </c>
    </row>
    <row r="7903" spans="1:7" hidden="1" x14ac:dyDescent="0.25">
      <c r="A7903" s="28">
        <v>44228</v>
      </c>
      <c r="B7903" s="27" t="s">
        <v>201</v>
      </c>
      <c r="C7903" s="27" t="s">
        <v>202</v>
      </c>
      <c r="D7903" s="27" t="s">
        <v>7</v>
      </c>
      <c r="E7903" s="27" t="s">
        <v>17</v>
      </c>
      <c r="F7903" s="29"/>
      <c r="G7903" s="30">
        <f t="shared" si="148"/>
        <v>99.11818181818181</v>
      </c>
    </row>
    <row r="7904" spans="1:7" hidden="1" x14ac:dyDescent="0.25">
      <c r="A7904" s="28">
        <v>44228</v>
      </c>
      <c r="B7904" s="27" t="s">
        <v>201</v>
      </c>
      <c r="C7904" s="27" t="s">
        <v>202</v>
      </c>
      <c r="D7904" s="27" t="s">
        <v>7</v>
      </c>
      <c r="E7904" s="27" t="s">
        <v>18</v>
      </c>
      <c r="F7904" s="29"/>
      <c r="G7904" s="30">
        <f t="shared" si="148"/>
        <v>99.11818181818181</v>
      </c>
    </row>
    <row r="7905" spans="1:7" hidden="1" x14ac:dyDescent="0.25">
      <c r="A7905" s="28">
        <v>44228</v>
      </c>
      <c r="B7905" s="27" t="s">
        <v>201</v>
      </c>
      <c r="C7905" s="27" t="s">
        <v>202</v>
      </c>
      <c r="D7905" s="27" t="s">
        <v>7</v>
      </c>
      <c r="E7905" s="27" t="s">
        <v>19</v>
      </c>
      <c r="F7905" s="29"/>
      <c r="G7905" s="30">
        <f t="shared" si="148"/>
        <v>99.11818181818181</v>
      </c>
    </row>
    <row r="7906" spans="1:7" hidden="1" x14ac:dyDescent="0.25">
      <c r="A7906" s="28">
        <v>44228</v>
      </c>
      <c r="B7906" s="27" t="s">
        <v>201</v>
      </c>
      <c r="C7906" s="27" t="s">
        <v>202</v>
      </c>
      <c r="D7906" s="27" t="s">
        <v>7</v>
      </c>
      <c r="E7906" s="27" t="s">
        <v>20</v>
      </c>
      <c r="F7906" s="29"/>
      <c r="G7906" s="30">
        <f t="shared" si="148"/>
        <v>99.11818181818181</v>
      </c>
    </row>
    <row r="7907" spans="1:7" hidden="1" x14ac:dyDescent="0.25">
      <c r="A7907" s="28">
        <v>44228</v>
      </c>
      <c r="B7907" s="27" t="s">
        <v>201</v>
      </c>
      <c r="C7907" s="27" t="s">
        <v>202</v>
      </c>
      <c r="D7907" s="27" t="s">
        <v>7</v>
      </c>
      <c r="E7907" s="27" t="s">
        <v>38</v>
      </c>
      <c r="F7907" s="29"/>
      <c r="G7907" s="30">
        <f t="shared" si="148"/>
        <v>99.11818181818181</v>
      </c>
    </row>
    <row r="7908" spans="1:7" hidden="1" x14ac:dyDescent="0.25">
      <c r="A7908" s="28">
        <v>44228</v>
      </c>
      <c r="B7908" s="27" t="s">
        <v>201</v>
      </c>
      <c r="C7908" s="27" t="s">
        <v>202</v>
      </c>
      <c r="D7908" s="27" t="s">
        <v>7</v>
      </c>
      <c r="E7908" s="27" t="s">
        <v>23</v>
      </c>
      <c r="F7908" s="29"/>
      <c r="G7908" s="30">
        <f t="shared" si="148"/>
        <v>99.11818181818181</v>
      </c>
    </row>
    <row r="7909" spans="1:7" hidden="1" x14ac:dyDescent="0.25">
      <c r="A7909" s="28">
        <v>44228</v>
      </c>
      <c r="B7909" s="27" t="s">
        <v>201</v>
      </c>
      <c r="C7909" s="27" t="s">
        <v>202</v>
      </c>
      <c r="D7909" s="27" t="s">
        <v>7</v>
      </c>
      <c r="E7909" s="27" t="s">
        <v>22</v>
      </c>
      <c r="F7909" s="29"/>
      <c r="G7909" s="30">
        <f t="shared" si="148"/>
        <v>99.11818181818181</v>
      </c>
    </row>
    <row r="7910" spans="1:7" hidden="1" x14ac:dyDescent="0.25">
      <c r="A7910" s="28">
        <v>44228</v>
      </c>
      <c r="B7910" s="27" t="s">
        <v>201</v>
      </c>
      <c r="C7910" s="27" t="s">
        <v>202</v>
      </c>
      <c r="D7910" s="27" t="s">
        <v>7</v>
      </c>
      <c r="E7910" s="27" t="s">
        <v>39</v>
      </c>
      <c r="F7910" s="29"/>
      <c r="G7910" s="30">
        <f t="shared" si="148"/>
        <v>99.11818181818181</v>
      </c>
    </row>
    <row r="7911" spans="1:7" hidden="1" x14ac:dyDescent="0.25">
      <c r="A7911" s="28">
        <v>44228</v>
      </c>
      <c r="B7911" s="27" t="s">
        <v>201</v>
      </c>
      <c r="C7911" s="27" t="s">
        <v>202</v>
      </c>
      <c r="D7911" s="27" t="s">
        <v>7</v>
      </c>
      <c r="E7911" s="27" t="s">
        <v>41</v>
      </c>
      <c r="F7911" s="29"/>
      <c r="G7911" s="30">
        <f t="shared" si="148"/>
        <v>99.11818181818181</v>
      </c>
    </row>
    <row r="7912" spans="1:7" hidden="1" x14ac:dyDescent="0.25">
      <c r="A7912" s="28">
        <v>44228</v>
      </c>
      <c r="B7912" s="27" t="s">
        <v>201</v>
      </c>
      <c r="C7912" s="27" t="s">
        <v>202</v>
      </c>
      <c r="D7912" s="27" t="s">
        <v>7</v>
      </c>
      <c r="E7912" s="27" t="s">
        <v>40</v>
      </c>
      <c r="F7912" s="29"/>
      <c r="G7912" s="30">
        <f t="shared" si="148"/>
        <v>99.11818181818181</v>
      </c>
    </row>
    <row r="7913" spans="1:7" hidden="1" x14ac:dyDescent="0.25">
      <c r="A7913" s="28">
        <v>44228</v>
      </c>
      <c r="B7913" s="27" t="s">
        <v>201</v>
      </c>
      <c r="C7913" s="27" t="s">
        <v>202</v>
      </c>
      <c r="D7913" s="27" t="s">
        <v>7</v>
      </c>
      <c r="E7913" s="27" t="s">
        <v>64</v>
      </c>
      <c r="F7913" s="29"/>
      <c r="G7913" s="30">
        <f t="shared" si="148"/>
        <v>99.11818181818181</v>
      </c>
    </row>
    <row r="7914" spans="1:7" hidden="1" x14ac:dyDescent="0.25">
      <c r="A7914" s="28">
        <v>44228</v>
      </c>
      <c r="B7914" s="27" t="s">
        <v>4</v>
      </c>
      <c r="C7914" s="27" t="s">
        <v>50</v>
      </c>
      <c r="D7914" s="27" t="s">
        <v>7</v>
      </c>
      <c r="E7914" s="27" t="s">
        <v>8</v>
      </c>
      <c r="F7914" s="29"/>
      <c r="G7914" s="30">
        <v>5484.75</v>
      </c>
    </row>
    <row r="7915" spans="1:7" hidden="1" x14ac:dyDescent="0.25">
      <c r="A7915" s="28">
        <v>44228</v>
      </c>
      <c r="B7915" s="27" t="s">
        <v>4</v>
      </c>
      <c r="C7915" s="27" t="s">
        <v>50</v>
      </c>
      <c r="D7915" s="27" t="s">
        <v>7</v>
      </c>
      <c r="E7915" s="27" t="s">
        <v>9</v>
      </c>
      <c r="F7915" s="29"/>
      <c r="G7915" s="30">
        <v>4197.82</v>
      </c>
    </row>
    <row r="7916" spans="1:7" hidden="1" x14ac:dyDescent="0.25">
      <c r="A7916" s="28">
        <v>44228</v>
      </c>
      <c r="B7916" s="27" t="s">
        <v>4</v>
      </c>
      <c r="C7916" s="27" t="s">
        <v>50</v>
      </c>
      <c r="D7916" s="27" t="s">
        <v>7</v>
      </c>
      <c r="E7916" s="27" t="s">
        <v>22</v>
      </c>
      <c r="F7916" s="29"/>
      <c r="G7916" s="30">
        <v>3142.53</v>
      </c>
    </row>
    <row r="7917" spans="1:7" hidden="1" x14ac:dyDescent="0.25">
      <c r="A7917" s="28">
        <v>44228</v>
      </c>
      <c r="B7917" s="27" t="s">
        <v>4</v>
      </c>
      <c r="C7917" s="27" t="s">
        <v>50</v>
      </c>
      <c r="D7917" s="27" t="s">
        <v>7</v>
      </c>
      <c r="E7917" s="27" t="s">
        <v>39</v>
      </c>
      <c r="F7917" s="29"/>
      <c r="G7917" s="30">
        <v>1663.58</v>
      </c>
    </row>
    <row r="7918" spans="1:7" hidden="1" x14ac:dyDescent="0.25">
      <c r="A7918" s="28">
        <v>44228</v>
      </c>
      <c r="B7918" s="27" t="s">
        <v>4</v>
      </c>
      <c r="C7918" s="27" t="s">
        <v>50</v>
      </c>
      <c r="D7918" s="27" t="s">
        <v>7</v>
      </c>
      <c r="E7918" s="27" t="s">
        <v>21</v>
      </c>
      <c r="F7918" s="29"/>
      <c r="G7918" s="30">
        <v>3029.23</v>
      </c>
    </row>
    <row r="7919" spans="1:7" hidden="1" x14ac:dyDescent="0.25">
      <c r="A7919" s="28">
        <v>44228</v>
      </c>
      <c r="B7919" s="27" t="s">
        <v>4</v>
      </c>
      <c r="C7919" s="27" t="s">
        <v>50</v>
      </c>
      <c r="D7919" s="27" t="s">
        <v>7</v>
      </c>
      <c r="E7919" s="27" t="s">
        <v>41</v>
      </c>
      <c r="F7919" s="29"/>
      <c r="G7919" s="30">
        <v>1298.42</v>
      </c>
    </row>
    <row r="7920" spans="1:7" hidden="1" x14ac:dyDescent="0.25">
      <c r="A7920" s="28">
        <v>44228</v>
      </c>
      <c r="B7920" s="27" t="s">
        <v>4</v>
      </c>
      <c r="C7920" s="27" t="s">
        <v>50</v>
      </c>
      <c r="D7920" s="27" t="s">
        <v>7</v>
      </c>
      <c r="E7920" s="27" t="s">
        <v>10</v>
      </c>
      <c r="F7920" s="29"/>
      <c r="G7920" s="30">
        <v>4107.13</v>
      </c>
    </row>
    <row r="7921" spans="1:7" hidden="1" x14ac:dyDescent="0.25">
      <c r="A7921" s="28">
        <v>44228</v>
      </c>
      <c r="B7921" s="27" t="s">
        <v>4</v>
      </c>
      <c r="C7921" s="27" t="s">
        <v>50</v>
      </c>
      <c r="D7921" s="27" t="s">
        <v>7</v>
      </c>
      <c r="E7921" s="27" t="s">
        <v>11</v>
      </c>
      <c r="F7921" s="29"/>
      <c r="G7921" s="30">
        <v>2915.44</v>
      </c>
    </row>
    <row r="7922" spans="1:7" hidden="1" x14ac:dyDescent="0.25">
      <c r="A7922" s="28">
        <v>44228</v>
      </c>
      <c r="B7922" s="27" t="s">
        <v>4</v>
      </c>
      <c r="C7922" s="27" t="s">
        <v>50</v>
      </c>
      <c r="D7922" s="27" t="s">
        <v>7</v>
      </c>
      <c r="E7922" s="27" t="s">
        <v>13</v>
      </c>
      <c r="F7922" s="29"/>
      <c r="G7922" s="30">
        <v>6267.3</v>
      </c>
    </row>
    <row r="7923" spans="1:7" hidden="1" x14ac:dyDescent="0.25">
      <c r="A7923" s="28">
        <v>44228</v>
      </c>
      <c r="B7923" s="27" t="s">
        <v>4</v>
      </c>
      <c r="C7923" s="27" t="s">
        <v>50</v>
      </c>
      <c r="D7923" s="27" t="s">
        <v>7</v>
      </c>
      <c r="E7923" s="27" t="s">
        <v>14</v>
      </c>
      <c r="F7923" s="29"/>
      <c r="G7923" s="30">
        <v>1678.6</v>
      </c>
    </row>
    <row r="7924" spans="1:7" hidden="1" x14ac:dyDescent="0.25">
      <c r="A7924" s="28">
        <v>44228</v>
      </c>
      <c r="B7924" s="27" t="s">
        <v>4</v>
      </c>
      <c r="C7924" s="27" t="s">
        <v>50</v>
      </c>
      <c r="D7924" s="27" t="s">
        <v>7</v>
      </c>
      <c r="E7924" s="27" t="s">
        <v>15</v>
      </c>
      <c r="F7924" s="29"/>
      <c r="G7924" s="30">
        <v>2340.7399999999998</v>
      </c>
    </row>
    <row r="7925" spans="1:7" hidden="1" x14ac:dyDescent="0.25">
      <c r="A7925" s="28">
        <v>44228</v>
      </c>
      <c r="B7925" s="27" t="s">
        <v>4</v>
      </c>
      <c r="C7925" s="27" t="s">
        <v>50</v>
      </c>
      <c r="D7925" s="27" t="s">
        <v>7</v>
      </c>
      <c r="E7925" s="27" t="s">
        <v>16</v>
      </c>
      <c r="F7925" s="29"/>
      <c r="G7925" s="30">
        <v>2824.16</v>
      </c>
    </row>
    <row r="7926" spans="1:7" hidden="1" x14ac:dyDescent="0.25">
      <c r="A7926" s="28">
        <v>44228</v>
      </c>
      <c r="B7926" s="27" t="s">
        <v>4</v>
      </c>
      <c r="C7926" s="27" t="s">
        <v>50</v>
      </c>
      <c r="D7926" s="27" t="s">
        <v>7</v>
      </c>
      <c r="E7926" s="27" t="s">
        <v>17</v>
      </c>
      <c r="F7926" s="29"/>
      <c r="G7926" s="30">
        <v>4746.4799999999996</v>
      </c>
    </row>
    <row r="7927" spans="1:7" hidden="1" x14ac:dyDescent="0.25">
      <c r="A7927" s="28">
        <v>44228</v>
      </c>
      <c r="B7927" s="27" t="s">
        <v>4</v>
      </c>
      <c r="C7927" s="27" t="s">
        <v>50</v>
      </c>
      <c r="D7927" s="27" t="s">
        <v>7</v>
      </c>
      <c r="E7927" s="27" t="s">
        <v>18</v>
      </c>
      <c r="F7927" s="29"/>
      <c r="G7927" s="30">
        <v>3637.27</v>
      </c>
    </row>
    <row r="7928" spans="1:7" hidden="1" x14ac:dyDescent="0.25">
      <c r="A7928" s="28">
        <v>44228</v>
      </c>
      <c r="B7928" s="27" t="s">
        <v>4</v>
      </c>
      <c r="C7928" s="27" t="s">
        <v>50</v>
      </c>
      <c r="D7928" s="27" t="s">
        <v>7</v>
      </c>
      <c r="E7928" s="27" t="s">
        <v>19</v>
      </c>
      <c r="F7928" s="29"/>
      <c r="G7928" s="30">
        <v>7037.99</v>
      </c>
    </row>
    <row r="7929" spans="1:7" hidden="1" x14ac:dyDescent="0.25">
      <c r="A7929" s="28">
        <v>44228</v>
      </c>
      <c r="B7929" s="27" t="s">
        <v>4</v>
      </c>
      <c r="C7929" s="27" t="s">
        <v>50</v>
      </c>
      <c r="D7929" s="27" t="s">
        <v>7</v>
      </c>
      <c r="E7929" s="27" t="s">
        <v>20</v>
      </c>
      <c r="F7929" s="29"/>
      <c r="G7929" s="30">
        <v>3089.31</v>
      </c>
    </row>
    <row r="7930" spans="1:7" hidden="1" x14ac:dyDescent="0.25">
      <c r="A7930" s="28">
        <v>44228</v>
      </c>
      <c r="B7930" s="27" t="s">
        <v>4</v>
      </c>
      <c r="C7930" s="27" t="s">
        <v>50</v>
      </c>
      <c r="D7930" s="27" t="s">
        <v>7</v>
      </c>
      <c r="E7930" s="27" t="s">
        <v>38</v>
      </c>
      <c r="F7930" s="29"/>
      <c r="G7930" s="30">
        <v>1546.08</v>
      </c>
    </row>
    <row r="7931" spans="1:7" hidden="1" x14ac:dyDescent="0.25">
      <c r="A7931" s="28">
        <v>44228</v>
      </c>
      <c r="B7931" s="27" t="s">
        <v>4</v>
      </c>
      <c r="C7931" s="27" t="s">
        <v>50</v>
      </c>
      <c r="D7931" s="27" t="s">
        <v>7</v>
      </c>
      <c r="E7931" s="27" t="s">
        <v>23</v>
      </c>
      <c r="F7931" s="29"/>
      <c r="G7931" s="30">
        <v>5101</v>
      </c>
    </row>
    <row r="7932" spans="1:7" hidden="1" x14ac:dyDescent="0.25">
      <c r="A7932" s="28">
        <v>44228</v>
      </c>
      <c r="B7932" s="27" t="s">
        <v>4</v>
      </c>
      <c r="C7932" s="27" t="s">
        <v>50</v>
      </c>
      <c r="D7932" s="27" t="s">
        <v>7</v>
      </c>
      <c r="E7932" s="27" t="s">
        <v>40</v>
      </c>
      <c r="F7932" s="29"/>
      <c r="G7932" s="30">
        <v>1324.41</v>
      </c>
    </row>
    <row r="7933" spans="1:7" hidden="1" x14ac:dyDescent="0.25">
      <c r="A7933" s="28">
        <v>44228</v>
      </c>
      <c r="B7933" s="27" t="s">
        <v>26</v>
      </c>
      <c r="C7933" s="27" t="s">
        <v>50</v>
      </c>
      <c r="D7933" s="27" t="s">
        <v>6</v>
      </c>
      <c r="E7933" s="27" t="s">
        <v>8</v>
      </c>
      <c r="F7933" s="29"/>
      <c r="G7933" s="30">
        <v>719.18234681218985</v>
      </c>
    </row>
    <row r="7934" spans="1:7" hidden="1" x14ac:dyDescent="0.25">
      <c r="A7934" s="28">
        <v>44228</v>
      </c>
      <c r="B7934" s="27" t="s">
        <v>26</v>
      </c>
      <c r="C7934" s="27" t="s">
        <v>50</v>
      </c>
      <c r="D7934" s="27" t="s">
        <v>6</v>
      </c>
      <c r="E7934" s="27" t="s">
        <v>9</v>
      </c>
      <c r="F7934" s="29"/>
      <c r="G7934" s="30">
        <v>1595.1320615825009</v>
      </c>
    </row>
    <row r="7935" spans="1:7" hidden="1" x14ac:dyDescent="0.25">
      <c r="A7935" s="28">
        <v>44228</v>
      </c>
      <c r="B7935" s="27" t="s">
        <v>26</v>
      </c>
      <c r="C7935" s="27" t="s">
        <v>50</v>
      </c>
      <c r="D7935" s="27" t="s">
        <v>6</v>
      </c>
      <c r="E7935" s="27" t="s">
        <v>22</v>
      </c>
      <c r="F7935" s="29"/>
      <c r="G7935" s="30">
        <v>2121.8036778000037</v>
      </c>
    </row>
    <row r="7936" spans="1:7" hidden="1" x14ac:dyDescent="0.25">
      <c r="A7936" s="28">
        <v>44228</v>
      </c>
      <c r="B7936" s="27" t="s">
        <v>26</v>
      </c>
      <c r="C7936" s="27" t="s">
        <v>50</v>
      </c>
      <c r="D7936" s="27" t="s">
        <v>6</v>
      </c>
      <c r="E7936" s="27" t="s">
        <v>39</v>
      </c>
      <c r="F7936" s="29"/>
      <c r="G7936" s="30">
        <v>1858.2521149872089</v>
      </c>
    </row>
    <row r="7937" spans="1:7" hidden="1" x14ac:dyDescent="0.25">
      <c r="A7937" s="28">
        <v>44228</v>
      </c>
      <c r="B7937" s="27" t="s">
        <v>26</v>
      </c>
      <c r="C7937" s="27" t="s">
        <v>50</v>
      </c>
      <c r="D7937" s="27" t="s">
        <v>6</v>
      </c>
      <c r="E7937" s="27" t="s">
        <v>64</v>
      </c>
      <c r="F7937" s="29"/>
      <c r="G7937" s="30">
        <v>1276.3329108875935</v>
      </c>
    </row>
    <row r="7938" spans="1:7" hidden="1" x14ac:dyDescent="0.25">
      <c r="A7938" s="28">
        <v>44228</v>
      </c>
      <c r="B7938" s="27" t="s">
        <v>26</v>
      </c>
      <c r="C7938" s="27" t="s">
        <v>50</v>
      </c>
      <c r="D7938" s="27" t="s">
        <v>6</v>
      </c>
      <c r="E7938" s="27" t="s">
        <v>21</v>
      </c>
      <c r="F7938" s="29"/>
      <c r="G7938" s="30">
        <v>1372.0704648952321</v>
      </c>
    </row>
    <row r="7939" spans="1:7" hidden="1" x14ac:dyDescent="0.25">
      <c r="A7939" s="28">
        <v>44228</v>
      </c>
      <c r="B7939" s="27" t="s">
        <v>26</v>
      </c>
      <c r="C7939" s="27" t="s">
        <v>50</v>
      </c>
      <c r="D7939" s="27" t="s">
        <v>6</v>
      </c>
      <c r="E7939" s="27" t="s">
        <v>41</v>
      </c>
      <c r="F7939" s="29"/>
      <c r="G7939" s="30">
        <v>1581.4819806400055</v>
      </c>
    </row>
    <row r="7940" spans="1:7" hidden="1" x14ac:dyDescent="0.25">
      <c r="A7940" s="28">
        <v>44228</v>
      </c>
      <c r="B7940" s="27" t="s">
        <v>26</v>
      </c>
      <c r="C7940" s="27" t="s">
        <v>50</v>
      </c>
      <c r="D7940" s="27" t="s">
        <v>6</v>
      </c>
      <c r="E7940" s="27" t="s">
        <v>10</v>
      </c>
      <c r="F7940" s="29"/>
      <c r="G7940" s="30">
        <v>2188.8314725228997</v>
      </c>
    </row>
    <row r="7941" spans="1:7" hidden="1" x14ac:dyDescent="0.25">
      <c r="A7941" s="28">
        <v>44228</v>
      </c>
      <c r="B7941" s="27" t="s">
        <v>26</v>
      </c>
      <c r="C7941" s="27" t="s">
        <v>50</v>
      </c>
      <c r="D7941" s="27" t="s">
        <v>6</v>
      </c>
      <c r="E7941" s="27" t="s">
        <v>11</v>
      </c>
      <c r="F7941" s="29"/>
      <c r="G7941" s="30">
        <v>1627.7110218930932</v>
      </c>
    </row>
    <row r="7942" spans="1:7" hidden="1" x14ac:dyDescent="0.25">
      <c r="A7942" s="28">
        <v>44228</v>
      </c>
      <c r="B7942" s="27" t="s">
        <v>26</v>
      </c>
      <c r="C7942" s="27" t="s">
        <v>50</v>
      </c>
      <c r="D7942" s="27" t="s">
        <v>6</v>
      </c>
      <c r="E7942" s="27" t="s">
        <v>12</v>
      </c>
      <c r="F7942" s="29"/>
      <c r="G7942" s="30">
        <v>1714.4875638594519</v>
      </c>
    </row>
    <row r="7943" spans="1:7" hidden="1" x14ac:dyDescent="0.25">
      <c r="A7943" s="28">
        <v>44228</v>
      </c>
      <c r="B7943" s="27" t="s">
        <v>26</v>
      </c>
      <c r="C7943" s="27" t="s">
        <v>50</v>
      </c>
      <c r="D7943" s="27" t="s">
        <v>6</v>
      </c>
      <c r="E7943" s="27" t="s">
        <v>13</v>
      </c>
      <c r="F7943" s="29"/>
      <c r="G7943" s="30">
        <v>1743.4562287890469</v>
      </c>
    </row>
    <row r="7944" spans="1:7" hidden="1" x14ac:dyDescent="0.25">
      <c r="A7944" s="28">
        <v>44228</v>
      </c>
      <c r="B7944" s="27" t="s">
        <v>26</v>
      </c>
      <c r="C7944" s="27" t="s">
        <v>50</v>
      </c>
      <c r="D7944" s="27" t="s">
        <v>6</v>
      </c>
      <c r="E7944" s="27" t="s">
        <v>14</v>
      </c>
      <c r="F7944" s="29"/>
      <c r="G7944" s="30">
        <v>561.68141286032039</v>
      </c>
    </row>
    <row r="7945" spans="1:7" hidden="1" x14ac:dyDescent="0.25">
      <c r="A7945" s="28">
        <v>44228</v>
      </c>
      <c r="B7945" s="27" t="s">
        <v>26</v>
      </c>
      <c r="C7945" s="27" t="s">
        <v>50</v>
      </c>
      <c r="D7945" s="27" t="s">
        <v>6</v>
      </c>
      <c r="E7945" s="27" t="s">
        <v>15</v>
      </c>
      <c r="F7945" s="29"/>
      <c r="G7945" s="30">
        <v>1903.4886846016955</v>
      </c>
    </row>
    <row r="7946" spans="1:7" hidden="1" x14ac:dyDescent="0.25">
      <c r="A7946" s="28">
        <v>44228</v>
      </c>
      <c r="B7946" s="27" t="s">
        <v>26</v>
      </c>
      <c r="C7946" s="27" t="s">
        <v>50</v>
      </c>
      <c r="D7946" s="27" t="s">
        <v>6</v>
      </c>
      <c r="E7946" s="27" t="s">
        <v>16</v>
      </c>
      <c r="F7946" s="29"/>
      <c r="G7946" s="30">
        <v>2154.0949651718715</v>
      </c>
    </row>
    <row r="7947" spans="1:7" hidden="1" x14ac:dyDescent="0.25">
      <c r="A7947" s="28">
        <v>44228</v>
      </c>
      <c r="B7947" s="27" t="s">
        <v>26</v>
      </c>
      <c r="C7947" s="27" t="s">
        <v>50</v>
      </c>
      <c r="D7947" s="27" t="s">
        <v>6</v>
      </c>
      <c r="E7947" s="27" t="s">
        <v>17</v>
      </c>
      <c r="F7947" s="29"/>
      <c r="G7947" s="30">
        <v>3135.6350321011482</v>
      </c>
    </row>
    <row r="7948" spans="1:7" hidden="1" x14ac:dyDescent="0.25">
      <c r="A7948" s="28">
        <v>44228</v>
      </c>
      <c r="B7948" s="27" t="s">
        <v>26</v>
      </c>
      <c r="C7948" s="27" t="s">
        <v>50</v>
      </c>
      <c r="D7948" s="27" t="s">
        <v>6</v>
      </c>
      <c r="E7948" s="27" t="s">
        <v>18</v>
      </c>
      <c r="F7948" s="29"/>
      <c r="G7948" s="30">
        <v>1603.690331509566</v>
      </c>
    </row>
    <row r="7949" spans="1:7" hidden="1" x14ac:dyDescent="0.25">
      <c r="A7949" s="28">
        <v>44228</v>
      </c>
      <c r="B7949" s="27" t="s">
        <v>26</v>
      </c>
      <c r="C7949" s="27" t="s">
        <v>50</v>
      </c>
      <c r="D7949" s="27" t="s">
        <v>6</v>
      </c>
      <c r="E7949" s="27" t="s">
        <v>19</v>
      </c>
      <c r="F7949" s="29"/>
      <c r="G7949" s="30">
        <v>2421.1417541901737</v>
      </c>
    </row>
    <row r="7950" spans="1:7" hidden="1" x14ac:dyDescent="0.25">
      <c r="A7950" s="28">
        <v>44228</v>
      </c>
      <c r="B7950" s="27" t="s">
        <v>26</v>
      </c>
      <c r="C7950" s="27" t="s">
        <v>50</v>
      </c>
      <c r="D7950" s="27" t="s">
        <v>6</v>
      </c>
      <c r="E7950" s="27" t="s">
        <v>20</v>
      </c>
      <c r="F7950" s="29"/>
      <c r="G7950" s="30">
        <v>1946.4814052941281</v>
      </c>
    </row>
    <row r="7951" spans="1:7" hidden="1" x14ac:dyDescent="0.25">
      <c r="A7951" s="28">
        <v>44228</v>
      </c>
      <c r="B7951" s="27" t="s">
        <v>26</v>
      </c>
      <c r="C7951" s="27" t="s">
        <v>50</v>
      </c>
      <c r="D7951" s="27" t="s">
        <v>6</v>
      </c>
      <c r="E7951" s="27" t="s">
        <v>38</v>
      </c>
      <c r="F7951" s="29"/>
      <c r="G7951" s="30">
        <v>760.63601728244464</v>
      </c>
    </row>
    <row r="7952" spans="1:7" hidden="1" x14ac:dyDescent="0.25">
      <c r="A7952" s="28">
        <v>44228</v>
      </c>
      <c r="B7952" s="27" t="s">
        <v>26</v>
      </c>
      <c r="C7952" s="27" t="s">
        <v>50</v>
      </c>
      <c r="D7952" s="27" t="s">
        <v>6</v>
      </c>
      <c r="E7952" s="27" t="s">
        <v>23</v>
      </c>
      <c r="F7952" s="29"/>
      <c r="G7952" s="30">
        <v>2589.0564485238838</v>
      </c>
    </row>
    <row r="7953" spans="1:7" hidden="1" x14ac:dyDescent="0.25">
      <c r="A7953" s="28">
        <v>44228</v>
      </c>
      <c r="B7953" s="27" t="s">
        <v>26</v>
      </c>
      <c r="C7953" s="27" t="s">
        <v>50</v>
      </c>
      <c r="D7953" s="27" t="s">
        <v>6</v>
      </c>
      <c r="E7953" s="27" t="s">
        <v>40</v>
      </c>
      <c r="F7953" s="29"/>
      <c r="G7953" s="30">
        <v>834.25152230214019</v>
      </c>
    </row>
    <row r="7954" spans="1:7" hidden="1" x14ac:dyDescent="0.25">
      <c r="A7954" s="28">
        <v>44228</v>
      </c>
      <c r="B7954" s="27" t="s">
        <v>26</v>
      </c>
      <c r="C7954" s="27" t="s">
        <v>50</v>
      </c>
      <c r="D7954" s="27" t="s">
        <v>6</v>
      </c>
      <c r="E7954" s="27" t="s">
        <v>37</v>
      </c>
      <c r="F7954" s="29"/>
      <c r="G7954" s="30">
        <v>791.10058149340887</v>
      </c>
    </row>
    <row r="7955" spans="1:7" hidden="1" x14ac:dyDescent="0.25">
      <c r="A7955" s="28">
        <v>44228</v>
      </c>
      <c r="B7955" s="27" t="s">
        <v>3</v>
      </c>
      <c r="C7955" s="27" t="s">
        <v>50</v>
      </c>
      <c r="D7955" s="27" t="s">
        <v>7</v>
      </c>
      <c r="E7955" s="27" t="s">
        <v>8</v>
      </c>
      <c r="F7955" s="29"/>
      <c r="G7955" s="30">
        <v>600.58285714285716</v>
      </c>
    </row>
    <row r="7956" spans="1:7" hidden="1" x14ac:dyDescent="0.25">
      <c r="A7956" s="28">
        <v>44228</v>
      </c>
      <c r="B7956" s="27" t="s">
        <v>3</v>
      </c>
      <c r="C7956" s="27" t="s">
        <v>50</v>
      </c>
      <c r="D7956" s="27" t="s">
        <v>7</v>
      </c>
      <c r="E7956" s="27" t="s">
        <v>9</v>
      </c>
      <c r="F7956" s="29"/>
      <c r="G7956" s="30">
        <v>600.58285714285716</v>
      </c>
    </row>
    <row r="7957" spans="1:7" hidden="1" x14ac:dyDescent="0.25">
      <c r="A7957" s="28">
        <v>44228</v>
      </c>
      <c r="B7957" s="27" t="s">
        <v>3</v>
      </c>
      <c r="C7957" s="27" t="s">
        <v>50</v>
      </c>
      <c r="D7957" s="27" t="s">
        <v>7</v>
      </c>
      <c r="E7957" s="27" t="s">
        <v>22</v>
      </c>
      <c r="F7957" s="29"/>
      <c r="G7957" s="30">
        <v>600.58285714285716</v>
      </c>
    </row>
    <row r="7958" spans="1:7" hidden="1" x14ac:dyDescent="0.25">
      <c r="A7958" s="28">
        <v>44228</v>
      </c>
      <c r="B7958" s="27" t="s">
        <v>3</v>
      </c>
      <c r="C7958" s="27" t="s">
        <v>50</v>
      </c>
      <c r="D7958" s="27" t="s">
        <v>7</v>
      </c>
      <c r="E7958" s="27" t="s">
        <v>39</v>
      </c>
      <c r="F7958" s="29"/>
      <c r="G7958" s="30">
        <v>600.58285714285716</v>
      </c>
    </row>
    <row r="7959" spans="1:7" hidden="1" x14ac:dyDescent="0.25">
      <c r="A7959" s="28">
        <v>44228</v>
      </c>
      <c r="B7959" s="27" t="s">
        <v>3</v>
      </c>
      <c r="C7959" s="27" t="s">
        <v>50</v>
      </c>
      <c r="D7959" s="27" t="s">
        <v>7</v>
      </c>
      <c r="E7959" s="27" t="s">
        <v>64</v>
      </c>
      <c r="F7959" s="29"/>
      <c r="G7959" s="30">
        <v>600.58285714285716</v>
      </c>
    </row>
    <row r="7960" spans="1:7" hidden="1" x14ac:dyDescent="0.25">
      <c r="A7960" s="28">
        <v>44228</v>
      </c>
      <c r="B7960" s="27" t="s">
        <v>3</v>
      </c>
      <c r="C7960" s="27" t="s">
        <v>50</v>
      </c>
      <c r="D7960" s="27" t="s">
        <v>7</v>
      </c>
      <c r="E7960" s="27" t="s">
        <v>21</v>
      </c>
      <c r="F7960" s="29"/>
      <c r="G7960" s="30">
        <v>600.58285714285716</v>
      </c>
    </row>
    <row r="7961" spans="1:7" hidden="1" x14ac:dyDescent="0.25">
      <c r="A7961" s="28">
        <v>44228</v>
      </c>
      <c r="B7961" s="27" t="s">
        <v>3</v>
      </c>
      <c r="C7961" s="27" t="s">
        <v>50</v>
      </c>
      <c r="D7961" s="27" t="s">
        <v>7</v>
      </c>
      <c r="E7961" s="27" t="s">
        <v>41</v>
      </c>
      <c r="F7961" s="29"/>
      <c r="G7961" s="30">
        <v>600.58285714285716</v>
      </c>
    </row>
    <row r="7962" spans="1:7" hidden="1" x14ac:dyDescent="0.25">
      <c r="A7962" s="28">
        <v>44228</v>
      </c>
      <c r="B7962" s="27" t="s">
        <v>3</v>
      </c>
      <c r="C7962" s="27" t="s">
        <v>50</v>
      </c>
      <c r="D7962" s="27" t="s">
        <v>7</v>
      </c>
      <c r="E7962" s="27" t="s">
        <v>10</v>
      </c>
      <c r="F7962" s="29"/>
      <c r="G7962" s="30">
        <v>600.58285714285716</v>
      </c>
    </row>
    <row r="7963" spans="1:7" hidden="1" x14ac:dyDescent="0.25">
      <c r="A7963" s="28">
        <v>44228</v>
      </c>
      <c r="B7963" s="27" t="s">
        <v>3</v>
      </c>
      <c r="C7963" s="27" t="s">
        <v>50</v>
      </c>
      <c r="D7963" s="27" t="s">
        <v>7</v>
      </c>
      <c r="E7963" s="27" t="s">
        <v>11</v>
      </c>
      <c r="F7963" s="29"/>
      <c r="G7963" s="30">
        <v>600.58285714285716</v>
      </c>
    </row>
    <row r="7964" spans="1:7" hidden="1" x14ac:dyDescent="0.25">
      <c r="A7964" s="28">
        <v>44228</v>
      </c>
      <c r="B7964" s="27" t="s">
        <v>3</v>
      </c>
      <c r="C7964" s="27" t="s">
        <v>50</v>
      </c>
      <c r="D7964" s="27" t="s">
        <v>7</v>
      </c>
      <c r="E7964" s="27" t="s">
        <v>12</v>
      </c>
      <c r="F7964" s="29"/>
      <c r="G7964" s="30">
        <v>600.58285714285716</v>
      </c>
    </row>
    <row r="7965" spans="1:7" hidden="1" x14ac:dyDescent="0.25">
      <c r="A7965" s="28">
        <v>44228</v>
      </c>
      <c r="B7965" s="27" t="s">
        <v>3</v>
      </c>
      <c r="C7965" s="27" t="s">
        <v>50</v>
      </c>
      <c r="D7965" s="27" t="s">
        <v>7</v>
      </c>
      <c r="E7965" s="27" t="s">
        <v>13</v>
      </c>
      <c r="F7965" s="29"/>
      <c r="G7965" s="30">
        <v>600.58285714285716</v>
      </c>
    </row>
    <row r="7966" spans="1:7" hidden="1" x14ac:dyDescent="0.25">
      <c r="A7966" s="28">
        <v>44228</v>
      </c>
      <c r="B7966" s="27" t="s">
        <v>3</v>
      </c>
      <c r="C7966" s="27" t="s">
        <v>50</v>
      </c>
      <c r="D7966" s="27" t="s">
        <v>7</v>
      </c>
      <c r="E7966" s="27" t="s">
        <v>14</v>
      </c>
      <c r="F7966" s="29"/>
      <c r="G7966" s="30">
        <v>600.58285714285716</v>
      </c>
    </row>
    <row r="7967" spans="1:7" hidden="1" x14ac:dyDescent="0.25">
      <c r="A7967" s="28">
        <v>44228</v>
      </c>
      <c r="B7967" s="27" t="s">
        <v>3</v>
      </c>
      <c r="C7967" s="27" t="s">
        <v>50</v>
      </c>
      <c r="D7967" s="27" t="s">
        <v>7</v>
      </c>
      <c r="E7967" s="27" t="s">
        <v>15</v>
      </c>
      <c r="F7967" s="29"/>
      <c r="G7967" s="30">
        <v>600.58285714285716</v>
      </c>
    </row>
    <row r="7968" spans="1:7" hidden="1" x14ac:dyDescent="0.25">
      <c r="A7968" s="28">
        <v>44228</v>
      </c>
      <c r="B7968" s="27" t="s">
        <v>3</v>
      </c>
      <c r="C7968" s="27" t="s">
        <v>50</v>
      </c>
      <c r="D7968" s="27" t="s">
        <v>7</v>
      </c>
      <c r="E7968" s="27" t="s">
        <v>16</v>
      </c>
      <c r="F7968" s="29"/>
      <c r="G7968" s="30">
        <v>600.58285714285716</v>
      </c>
    </row>
    <row r="7969" spans="1:7" hidden="1" x14ac:dyDescent="0.25">
      <c r="A7969" s="28">
        <v>44228</v>
      </c>
      <c r="B7969" s="27" t="s">
        <v>3</v>
      </c>
      <c r="C7969" s="27" t="s">
        <v>50</v>
      </c>
      <c r="D7969" s="27" t="s">
        <v>7</v>
      </c>
      <c r="E7969" s="27" t="s">
        <v>17</v>
      </c>
      <c r="F7969" s="29"/>
      <c r="G7969" s="30">
        <v>600.58285714285716</v>
      </c>
    </row>
    <row r="7970" spans="1:7" hidden="1" x14ac:dyDescent="0.25">
      <c r="A7970" s="28">
        <v>44228</v>
      </c>
      <c r="B7970" s="27" t="s">
        <v>3</v>
      </c>
      <c r="C7970" s="27" t="s">
        <v>50</v>
      </c>
      <c r="D7970" s="27" t="s">
        <v>7</v>
      </c>
      <c r="E7970" s="27" t="s">
        <v>18</v>
      </c>
      <c r="F7970" s="29"/>
      <c r="G7970" s="30">
        <v>600.58285714285716</v>
      </c>
    </row>
    <row r="7971" spans="1:7" hidden="1" x14ac:dyDescent="0.25">
      <c r="A7971" s="28">
        <v>44228</v>
      </c>
      <c r="B7971" s="27" t="s">
        <v>3</v>
      </c>
      <c r="C7971" s="27" t="s">
        <v>50</v>
      </c>
      <c r="D7971" s="27" t="s">
        <v>7</v>
      </c>
      <c r="E7971" s="27" t="s">
        <v>19</v>
      </c>
      <c r="F7971" s="29"/>
      <c r="G7971" s="30">
        <v>600.58285714285716</v>
      </c>
    </row>
    <row r="7972" spans="1:7" hidden="1" x14ac:dyDescent="0.25">
      <c r="A7972" s="28">
        <v>44228</v>
      </c>
      <c r="B7972" s="27" t="s">
        <v>3</v>
      </c>
      <c r="C7972" s="27" t="s">
        <v>50</v>
      </c>
      <c r="D7972" s="27" t="s">
        <v>7</v>
      </c>
      <c r="E7972" s="27" t="s">
        <v>20</v>
      </c>
      <c r="F7972" s="29"/>
      <c r="G7972" s="30">
        <v>600.58285714285716</v>
      </c>
    </row>
    <row r="7973" spans="1:7" hidden="1" x14ac:dyDescent="0.25">
      <c r="A7973" s="28">
        <v>44228</v>
      </c>
      <c r="B7973" s="27" t="s">
        <v>3</v>
      </c>
      <c r="C7973" s="27" t="s">
        <v>50</v>
      </c>
      <c r="D7973" s="27" t="s">
        <v>7</v>
      </c>
      <c r="E7973" s="27" t="s">
        <v>38</v>
      </c>
      <c r="F7973" s="29"/>
      <c r="G7973" s="30">
        <v>600.58285714285716</v>
      </c>
    </row>
    <row r="7974" spans="1:7" hidden="1" x14ac:dyDescent="0.25">
      <c r="A7974" s="28">
        <v>44228</v>
      </c>
      <c r="B7974" s="27" t="s">
        <v>3</v>
      </c>
      <c r="C7974" s="27" t="s">
        <v>50</v>
      </c>
      <c r="D7974" s="27" t="s">
        <v>7</v>
      </c>
      <c r="E7974" s="27" t="s">
        <v>23</v>
      </c>
      <c r="F7974" s="29"/>
      <c r="G7974" s="30">
        <v>600.58285714285716</v>
      </c>
    </row>
    <row r="7975" spans="1:7" hidden="1" x14ac:dyDescent="0.25">
      <c r="A7975" s="28">
        <v>44228</v>
      </c>
      <c r="B7975" s="27" t="s">
        <v>3</v>
      </c>
      <c r="C7975" s="27" t="s">
        <v>50</v>
      </c>
      <c r="D7975" s="27" t="s">
        <v>7</v>
      </c>
      <c r="E7975" s="27" t="s">
        <v>40</v>
      </c>
      <c r="F7975" s="29"/>
      <c r="G7975" s="30">
        <v>600.58285714285716</v>
      </c>
    </row>
    <row r="7976" spans="1:7" hidden="1" x14ac:dyDescent="0.25">
      <c r="A7976" s="28">
        <v>44228</v>
      </c>
      <c r="B7976" s="27" t="s">
        <v>179</v>
      </c>
      <c r="C7976" s="27" t="s">
        <v>50</v>
      </c>
      <c r="D7976" s="27" t="s">
        <v>6</v>
      </c>
      <c r="E7976" s="27" t="s">
        <v>8</v>
      </c>
      <c r="F7976" s="29"/>
      <c r="G7976" s="30">
        <v>54.168999999999997</v>
      </c>
    </row>
    <row r="7977" spans="1:7" hidden="1" x14ac:dyDescent="0.25">
      <c r="A7977" s="28">
        <v>44228</v>
      </c>
      <c r="B7977" s="27" t="s">
        <v>179</v>
      </c>
      <c r="C7977" s="27" t="s">
        <v>50</v>
      </c>
      <c r="D7977" s="27" t="s">
        <v>6</v>
      </c>
      <c r="E7977" s="27" t="s">
        <v>9</v>
      </c>
      <c r="F7977" s="29"/>
      <c r="G7977" s="30">
        <v>71.931666000000007</v>
      </c>
    </row>
    <row r="7978" spans="1:7" hidden="1" x14ac:dyDescent="0.25">
      <c r="A7978" s="28">
        <v>44228</v>
      </c>
      <c r="B7978" s="27" t="s">
        <v>179</v>
      </c>
      <c r="C7978" s="27" t="s">
        <v>50</v>
      </c>
      <c r="D7978" s="27" t="s">
        <v>6</v>
      </c>
      <c r="E7978" s="27" t="s">
        <v>22</v>
      </c>
      <c r="F7978" s="29"/>
      <c r="G7978" s="30">
        <v>95.266666000000001</v>
      </c>
    </row>
    <row r="7979" spans="1:7" hidden="1" x14ac:dyDescent="0.25">
      <c r="A7979" s="28">
        <v>44228</v>
      </c>
      <c r="B7979" s="27" t="s">
        <v>179</v>
      </c>
      <c r="C7979" s="27" t="s">
        <v>50</v>
      </c>
      <c r="D7979" s="27" t="s">
        <v>6</v>
      </c>
      <c r="E7979" s="27" t="s">
        <v>39</v>
      </c>
      <c r="F7979" s="29"/>
      <c r="G7979" s="30">
        <v>72.42</v>
      </c>
    </row>
    <row r="7980" spans="1:7" hidden="1" x14ac:dyDescent="0.25">
      <c r="A7980" s="28">
        <v>44228</v>
      </c>
      <c r="B7980" s="27" t="s">
        <v>179</v>
      </c>
      <c r="C7980" s="27" t="s">
        <v>50</v>
      </c>
      <c r="D7980" s="27" t="s">
        <v>6</v>
      </c>
      <c r="E7980" s="27" t="s">
        <v>21</v>
      </c>
      <c r="F7980" s="29"/>
      <c r="G7980" s="30">
        <v>66.441665999999998</v>
      </c>
    </row>
    <row r="7981" spans="1:7" hidden="1" x14ac:dyDescent="0.25">
      <c r="A7981" s="28">
        <v>44228</v>
      </c>
      <c r="B7981" s="27" t="s">
        <v>179</v>
      </c>
      <c r="C7981" s="27" t="s">
        <v>50</v>
      </c>
      <c r="D7981" s="27" t="s">
        <v>6</v>
      </c>
      <c r="E7981" s="27" t="s">
        <v>41</v>
      </c>
      <c r="F7981" s="29"/>
      <c r="G7981" s="30">
        <v>71.509165999999993</v>
      </c>
    </row>
    <row r="7982" spans="1:7" hidden="1" x14ac:dyDescent="0.25">
      <c r="A7982" s="28">
        <v>44228</v>
      </c>
      <c r="B7982" s="27" t="s">
        <v>179</v>
      </c>
      <c r="C7982" s="27" t="s">
        <v>50</v>
      </c>
      <c r="D7982" s="27" t="s">
        <v>6</v>
      </c>
      <c r="E7982" s="27" t="s">
        <v>10</v>
      </c>
      <c r="F7982" s="29"/>
      <c r="G7982" s="30">
        <v>86.698999999999998</v>
      </c>
    </row>
    <row r="7983" spans="1:7" hidden="1" x14ac:dyDescent="0.25">
      <c r="A7983" s="28">
        <v>44228</v>
      </c>
      <c r="B7983" s="27" t="s">
        <v>179</v>
      </c>
      <c r="C7983" s="27" t="s">
        <v>50</v>
      </c>
      <c r="D7983" s="27" t="s">
        <v>6</v>
      </c>
      <c r="E7983" s="27" t="s">
        <v>11</v>
      </c>
      <c r="F7983" s="29"/>
      <c r="G7983" s="30">
        <v>65.566665999999998</v>
      </c>
    </row>
    <row r="7984" spans="1:7" hidden="1" x14ac:dyDescent="0.25">
      <c r="A7984" s="28">
        <v>44228</v>
      </c>
      <c r="B7984" s="27" t="s">
        <v>179</v>
      </c>
      <c r="C7984" s="27" t="s">
        <v>50</v>
      </c>
      <c r="D7984" s="27" t="s">
        <v>6</v>
      </c>
      <c r="E7984" s="27" t="s">
        <v>12</v>
      </c>
      <c r="F7984" s="29"/>
      <c r="G7984" s="30">
        <v>67.331665999999998</v>
      </c>
    </row>
    <row r="7985" spans="1:7" hidden="1" x14ac:dyDescent="0.25">
      <c r="A7985" s="28">
        <v>44228</v>
      </c>
      <c r="B7985" s="27" t="s">
        <v>179</v>
      </c>
      <c r="C7985" s="27" t="s">
        <v>50</v>
      </c>
      <c r="D7985" s="27" t="s">
        <v>6</v>
      </c>
      <c r="E7985" s="27" t="s">
        <v>13</v>
      </c>
      <c r="F7985" s="29"/>
      <c r="G7985" s="30">
        <v>93.319165999999996</v>
      </c>
    </row>
    <row r="7986" spans="1:7" hidden="1" x14ac:dyDescent="0.25">
      <c r="A7986" s="28">
        <v>44228</v>
      </c>
      <c r="B7986" s="27" t="s">
        <v>179</v>
      </c>
      <c r="C7986" s="27" t="s">
        <v>50</v>
      </c>
      <c r="D7986" s="27" t="s">
        <v>6</v>
      </c>
      <c r="E7986" s="27" t="s">
        <v>14</v>
      </c>
      <c r="F7986" s="29"/>
      <c r="G7986" s="30">
        <v>79.181666000000007</v>
      </c>
    </row>
    <row r="7987" spans="1:7" hidden="1" x14ac:dyDescent="0.25">
      <c r="A7987" s="28">
        <v>44228</v>
      </c>
      <c r="B7987" s="27" t="s">
        <v>179</v>
      </c>
      <c r="C7987" s="27" t="s">
        <v>50</v>
      </c>
      <c r="D7987" s="27" t="s">
        <v>6</v>
      </c>
      <c r="E7987" s="27" t="s">
        <v>15</v>
      </c>
      <c r="F7987" s="29"/>
      <c r="G7987" s="30">
        <v>90.084165999999996</v>
      </c>
    </row>
    <row r="7988" spans="1:7" hidden="1" x14ac:dyDescent="0.25">
      <c r="A7988" s="28">
        <v>44228</v>
      </c>
      <c r="B7988" s="27" t="s">
        <v>179</v>
      </c>
      <c r="C7988" s="27" t="s">
        <v>50</v>
      </c>
      <c r="D7988" s="27" t="s">
        <v>6</v>
      </c>
      <c r="E7988" s="27" t="s">
        <v>16</v>
      </c>
      <c r="F7988" s="29"/>
      <c r="G7988" s="30">
        <v>91.176665999999997</v>
      </c>
    </row>
    <row r="7989" spans="1:7" hidden="1" x14ac:dyDescent="0.25">
      <c r="A7989" s="28">
        <v>44228</v>
      </c>
      <c r="B7989" s="27" t="s">
        <v>179</v>
      </c>
      <c r="C7989" s="27" t="s">
        <v>50</v>
      </c>
      <c r="D7989" s="27" t="s">
        <v>6</v>
      </c>
      <c r="E7989" s="27" t="s">
        <v>17</v>
      </c>
      <c r="F7989" s="29"/>
      <c r="G7989" s="30">
        <v>142.004166</v>
      </c>
    </row>
    <row r="7990" spans="1:7" hidden="1" x14ac:dyDescent="0.25">
      <c r="A7990" s="28">
        <v>44228</v>
      </c>
      <c r="B7990" s="27" t="s">
        <v>179</v>
      </c>
      <c r="C7990" s="27" t="s">
        <v>50</v>
      </c>
      <c r="D7990" s="27" t="s">
        <v>6</v>
      </c>
      <c r="E7990" s="27" t="s">
        <v>18</v>
      </c>
      <c r="F7990" s="29"/>
      <c r="G7990" s="30">
        <v>183.16666599999999</v>
      </c>
    </row>
    <row r="7991" spans="1:7" hidden="1" x14ac:dyDescent="0.25">
      <c r="A7991" s="28">
        <v>44228</v>
      </c>
      <c r="B7991" s="27" t="s">
        <v>179</v>
      </c>
      <c r="C7991" s="27" t="s">
        <v>50</v>
      </c>
      <c r="D7991" s="27" t="s">
        <v>6</v>
      </c>
      <c r="E7991" s="27" t="s">
        <v>19</v>
      </c>
      <c r="F7991" s="29"/>
      <c r="G7991" s="30">
        <v>120.299166</v>
      </c>
    </row>
    <row r="7992" spans="1:7" hidden="1" x14ac:dyDescent="0.25">
      <c r="A7992" s="28">
        <v>44228</v>
      </c>
      <c r="B7992" s="27" t="s">
        <v>179</v>
      </c>
      <c r="C7992" s="27" t="s">
        <v>50</v>
      </c>
      <c r="D7992" s="27" t="s">
        <v>6</v>
      </c>
      <c r="E7992" s="27" t="s">
        <v>20</v>
      </c>
      <c r="F7992" s="29"/>
      <c r="G7992" s="30">
        <v>231.341666</v>
      </c>
    </row>
    <row r="7993" spans="1:7" hidden="1" x14ac:dyDescent="0.25">
      <c r="A7993" s="28">
        <v>44228</v>
      </c>
      <c r="B7993" s="27" t="s">
        <v>179</v>
      </c>
      <c r="C7993" s="27" t="s">
        <v>50</v>
      </c>
      <c r="D7993" s="27" t="s">
        <v>6</v>
      </c>
      <c r="E7993" s="27" t="s">
        <v>38</v>
      </c>
      <c r="F7993" s="29"/>
      <c r="G7993" s="30">
        <v>99.366665999999995</v>
      </c>
    </row>
    <row r="7994" spans="1:7" hidden="1" x14ac:dyDescent="0.25">
      <c r="A7994" s="28">
        <v>44228</v>
      </c>
      <c r="B7994" s="27" t="s">
        <v>179</v>
      </c>
      <c r="C7994" s="27" t="s">
        <v>50</v>
      </c>
      <c r="D7994" s="27" t="s">
        <v>6</v>
      </c>
      <c r="E7994" s="27" t="s">
        <v>23</v>
      </c>
      <c r="F7994" s="29"/>
      <c r="G7994" s="30">
        <v>131.48916600000001</v>
      </c>
    </row>
    <row r="7995" spans="1:7" hidden="1" x14ac:dyDescent="0.25">
      <c r="A7995" s="28">
        <v>44228</v>
      </c>
      <c r="B7995" s="27" t="s">
        <v>179</v>
      </c>
      <c r="C7995" s="27" t="s">
        <v>50</v>
      </c>
      <c r="D7995" s="27" t="s">
        <v>6</v>
      </c>
      <c r="E7995" s="27" t="s">
        <v>40</v>
      </c>
      <c r="F7995" s="29"/>
      <c r="G7995" s="30">
        <v>130.52416600000001</v>
      </c>
    </row>
    <row r="7996" spans="1:7" hidden="1" x14ac:dyDescent="0.25">
      <c r="A7996" s="28">
        <v>44228</v>
      </c>
      <c r="B7996" s="27" t="s">
        <v>32</v>
      </c>
      <c r="C7996" s="27" t="s">
        <v>50</v>
      </c>
      <c r="D7996" s="27" t="s">
        <v>7</v>
      </c>
      <c r="E7996" s="27" t="s">
        <v>10</v>
      </c>
      <c r="F7996" s="29"/>
      <c r="G7996" s="30">
        <v>30</v>
      </c>
    </row>
    <row r="7997" spans="1:7" hidden="1" x14ac:dyDescent="0.25">
      <c r="A7997" s="28">
        <v>44228</v>
      </c>
      <c r="B7997" s="27" t="s">
        <v>32</v>
      </c>
      <c r="C7997" s="27" t="s">
        <v>50</v>
      </c>
      <c r="D7997" s="27" t="s">
        <v>7</v>
      </c>
      <c r="E7997" s="27" t="s">
        <v>17</v>
      </c>
      <c r="F7997" s="29"/>
      <c r="G7997" s="30">
        <v>30</v>
      </c>
    </row>
    <row r="7998" spans="1:7" hidden="1" x14ac:dyDescent="0.25">
      <c r="A7998" s="28">
        <v>44228</v>
      </c>
      <c r="B7998" s="27" t="s">
        <v>5</v>
      </c>
      <c r="C7998" s="27" t="s">
        <v>51</v>
      </c>
      <c r="D7998" s="27" t="s">
        <v>51</v>
      </c>
      <c r="E7998" s="27" t="s">
        <v>8</v>
      </c>
      <c r="F7998" s="29">
        <v>4260</v>
      </c>
      <c r="G7998" s="30">
        <v>2.5877831241119602</v>
      </c>
    </row>
    <row r="7999" spans="1:7" hidden="1" x14ac:dyDescent="0.25">
      <c r="A7999" s="28">
        <v>44228</v>
      </c>
      <c r="B7999" s="27" t="s">
        <v>5</v>
      </c>
      <c r="C7999" s="27" t="s">
        <v>51</v>
      </c>
      <c r="D7999" s="27" t="s">
        <v>51</v>
      </c>
      <c r="E7999" s="27" t="s">
        <v>9</v>
      </c>
      <c r="F7999" s="29">
        <v>3668</v>
      </c>
      <c r="G7999" s="30">
        <v>2.7513981705254258</v>
      </c>
    </row>
    <row r="8000" spans="1:7" hidden="1" x14ac:dyDescent="0.25">
      <c r="A8000" s="28">
        <v>44228</v>
      </c>
      <c r="B8000" s="27" t="s">
        <v>5</v>
      </c>
      <c r="C8000" s="27" t="s">
        <v>51</v>
      </c>
      <c r="D8000" s="27" t="s">
        <v>51</v>
      </c>
      <c r="E8000" s="27" t="s">
        <v>22</v>
      </c>
      <c r="F8000" s="29">
        <v>2606</v>
      </c>
      <c r="G8000" s="30">
        <v>3.7324808540693653</v>
      </c>
    </row>
    <row r="8001" spans="1:7" hidden="1" x14ac:dyDescent="0.25">
      <c r="A8001" s="28">
        <v>44228</v>
      </c>
      <c r="B8001" s="27" t="s">
        <v>5</v>
      </c>
      <c r="C8001" s="27" t="s">
        <v>51</v>
      </c>
      <c r="D8001" s="27" t="s">
        <v>51</v>
      </c>
      <c r="E8001" s="27" t="s">
        <v>39</v>
      </c>
      <c r="F8001" s="29">
        <v>1236</v>
      </c>
      <c r="G8001" s="30">
        <v>6.2619634926310441</v>
      </c>
    </row>
    <row r="8002" spans="1:7" hidden="1" x14ac:dyDescent="0.25">
      <c r="A8002" s="28">
        <v>44228</v>
      </c>
      <c r="B8002" s="27" t="s">
        <v>5</v>
      </c>
      <c r="C8002" s="27" t="s">
        <v>51</v>
      </c>
      <c r="D8002" s="27" t="s">
        <v>51</v>
      </c>
      <c r="E8002" s="27" t="s">
        <v>64</v>
      </c>
      <c r="F8002" s="29">
        <v>2248</v>
      </c>
      <c r="G8002" s="30">
        <v>3.7335810903795856</v>
      </c>
    </row>
    <row r="8003" spans="1:7" hidden="1" x14ac:dyDescent="0.25">
      <c r="A8003" s="28">
        <v>44228</v>
      </c>
      <c r="B8003" s="27" t="s">
        <v>5</v>
      </c>
      <c r="C8003" s="27" t="s">
        <v>51</v>
      </c>
      <c r="D8003" s="27" t="s">
        <v>51</v>
      </c>
      <c r="E8003" s="27" t="s">
        <v>21</v>
      </c>
      <c r="F8003" s="29">
        <v>2941</v>
      </c>
      <c r="G8003" s="30">
        <v>3.3092542988099267</v>
      </c>
    </row>
    <row r="8004" spans="1:7" hidden="1" x14ac:dyDescent="0.25">
      <c r="A8004" s="28">
        <v>44228</v>
      </c>
      <c r="B8004" s="27" t="s">
        <v>5</v>
      </c>
      <c r="C8004" s="27" t="s">
        <v>51</v>
      </c>
      <c r="D8004" s="27" t="s">
        <v>51</v>
      </c>
      <c r="E8004" s="27" t="s">
        <v>41</v>
      </c>
      <c r="F8004" s="29">
        <v>1040</v>
      </c>
      <c r="G8004" s="30">
        <v>7.0680249120622767</v>
      </c>
    </row>
    <row r="8005" spans="1:7" hidden="1" x14ac:dyDescent="0.25">
      <c r="A8005" s="28">
        <v>44228</v>
      </c>
      <c r="B8005" s="27" t="s">
        <v>5</v>
      </c>
      <c r="C8005" s="27" t="s">
        <v>51</v>
      </c>
      <c r="D8005" s="27" t="s">
        <v>51</v>
      </c>
      <c r="E8005" s="27" t="s">
        <v>10</v>
      </c>
      <c r="F8005" s="29">
        <v>3190</v>
      </c>
      <c r="G8005" s="30">
        <v>3.3067633963723075</v>
      </c>
    </row>
    <row r="8006" spans="1:7" hidden="1" x14ac:dyDescent="0.25">
      <c r="A8006" s="28">
        <v>44228</v>
      </c>
      <c r="B8006" s="27" t="s">
        <v>5</v>
      </c>
      <c r="C8006" s="27" t="s">
        <v>51</v>
      </c>
      <c r="D8006" s="27" t="s">
        <v>51</v>
      </c>
      <c r="E8006" s="27" t="s">
        <v>11</v>
      </c>
      <c r="F8006" s="29">
        <v>2689</v>
      </c>
      <c r="G8006" s="30">
        <v>3.3742004716172587</v>
      </c>
    </row>
    <row r="8007" spans="1:7" hidden="1" x14ac:dyDescent="0.25">
      <c r="A8007" s="28">
        <v>44228</v>
      </c>
      <c r="B8007" s="27" t="s">
        <v>5</v>
      </c>
      <c r="C8007" s="27" t="s">
        <v>51</v>
      </c>
      <c r="D8007" s="27" t="s">
        <v>51</v>
      </c>
      <c r="E8007" s="27" t="s">
        <v>13</v>
      </c>
      <c r="F8007" s="29">
        <v>6389</v>
      </c>
      <c r="G8007" s="30">
        <v>2.0267976454365018</v>
      </c>
    </row>
    <row r="8008" spans="1:7" hidden="1" x14ac:dyDescent="0.25">
      <c r="A8008" s="28">
        <v>44228</v>
      </c>
      <c r="B8008" s="27" t="s">
        <v>5</v>
      </c>
      <c r="C8008" s="27" t="s">
        <v>51</v>
      </c>
      <c r="D8008" s="27" t="s">
        <v>51</v>
      </c>
      <c r="E8008" s="27" t="s">
        <v>14</v>
      </c>
      <c r="F8008" s="29">
        <v>2772</v>
      </c>
      <c r="G8008" s="30">
        <v>2.1590901301461334</v>
      </c>
    </row>
    <row r="8009" spans="1:7" hidden="1" x14ac:dyDescent="0.25">
      <c r="A8009" s="28">
        <v>44228</v>
      </c>
      <c r="B8009" s="27" t="s">
        <v>5</v>
      </c>
      <c r="C8009" s="27" t="s">
        <v>51</v>
      </c>
      <c r="D8009" s="27" t="s">
        <v>51</v>
      </c>
      <c r="E8009" s="27" t="s">
        <v>15</v>
      </c>
      <c r="F8009" s="29">
        <v>2392</v>
      </c>
      <c r="G8009" s="30">
        <v>3.4990040186063784</v>
      </c>
    </row>
    <row r="8010" spans="1:7" hidden="1" x14ac:dyDescent="0.25">
      <c r="A8010" s="28">
        <v>44228</v>
      </c>
      <c r="B8010" s="27" t="s">
        <v>5</v>
      </c>
      <c r="C8010" s="27" t="s">
        <v>51</v>
      </c>
      <c r="D8010" s="27" t="s">
        <v>51</v>
      </c>
      <c r="E8010" s="27" t="s">
        <v>16</v>
      </c>
      <c r="F8010" s="29">
        <v>2879</v>
      </c>
      <c r="G8010" s="30">
        <v>3.1588803032569066</v>
      </c>
    </row>
    <row r="8011" spans="1:7" hidden="1" x14ac:dyDescent="0.25">
      <c r="A8011" s="28">
        <v>44228</v>
      </c>
      <c r="B8011" s="27" t="s">
        <v>5</v>
      </c>
      <c r="C8011" s="27" t="s">
        <v>51</v>
      </c>
      <c r="D8011" s="27" t="s">
        <v>51</v>
      </c>
      <c r="E8011" s="27" t="s">
        <v>17</v>
      </c>
      <c r="F8011" s="29">
        <v>3917</v>
      </c>
      <c r="G8011" s="30">
        <v>3.123544539189663</v>
      </c>
    </row>
    <row r="8012" spans="1:7" hidden="1" x14ac:dyDescent="0.25">
      <c r="A8012" s="28">
        <v>44228</v>
      </c>
      <c r="B8012" s="27" t="s">
        <v>5</v>
      </c>
      <c r="C8012" s="27" t="s">
        <v>51</v>
      </c>
      <c r="D8012" s="27" t="s">
        <v>51</v>
      </c>
      <c r="E8012" s="27" t="s">
        <v>18</v>
      </c>
      <c r="F8012" s="29">
        <v>5297</v>
      </c>
      <c r="G8012" s="30">
        <v>1.8632078080827503</v>
      </c>
    </row>
    <row r="8013" spans="1:7" hidden="1" x14ac:dyDescent="0.25">
      <c r="A8013" s="28">
        <v>44228</v>
      </c>
      <c r="B8013" s="27" t="s">
        <v>5</v>
      </c>
      <c r="C8013" s="27" t="s">
        <v>51</v>
      </c>
      <c r="D8013" s="27" t="s">
        <v>51</v>
      </c>
      <c r="E8013" s="27" t="s">
        <v>19</v>
      </c>
      <c r="F8013" s="29">
        <v>6833</v>
      </c>
      <c r="G8013" s="30">
        <v>2.0983075782372214</v>
      </c>
    </row>
    <row r="8014" spans="1:7" hidden="1" x14ac:dyDescent="0.25">
      <c r="A8014" s="28">
        <v>44228</v>
      </c>
      <c r="B8014" s="27" t="s">
        <v>5</v>
      </c>
      <c r="C8014" s="27" t="s">
        <v>51</v>
      </c>
      <c r="D8014" s="27" t="s">
        <v>51</v>
      </c>
      <c r="E8014" s="27" t="s">
        <v>20</v>
      </c>
      <c r="F8014" s="29">
        <v>4499</v>
      </c>
      <c r="G8014" s="30">
        <v>2.0611842260944409</v>
      </c>
    </row>
    <row r="8015" spans="1:7" hidden="1" x14ac:dyDescent="0.25">
      <c r="A8015" s="28">
        <v>44228</v>
      </c>
      <c r="B8015" s="27" t="s">
        <v>5</v>
      </c>
      <c r="C8015" s="27" t="s">
        <v>51</v>
      </c>
      <c r="D8015" s="27" t="s">
        <v>51</v>
      </c>
      <c r="E8015" s="27" t="s">
        <v>38</v>
      </c>
      <c r="F8015" s="29">
        <v>2695</v>
      </c>
      <c r="G8015" s="30">
        <v>2.4661363432976651</v>
      </c>
    </row>
    <row r="8016" spans="1:7" hidden="1" x14ac:dyDescent="0.25">
      <c r="A8016" s="28">
        <v>44228</v>
      </c>
      <c r="B8016" s="27" t="s">
        <v>5</v>
      </c>
      <c r="C8016" s="27" t="s">
        <v>51</v>
      </c>
      <c r="D8016" s="27" t="s">
        <v>51</v>
      </c>
      <c r="E8016" s="27" t="s">
        <v>23</v>
      </c>
      <c r="F8016" s="29">
        <v>5101</v>
      </c>
      <c r="G8016" s="30">
        <v>2.4259655707564489</v>
      </c>
    </row>
    <row r="8017" spans="1:7" hidden="1" x14ac:dyDescent="0.25">
      <c r="A8017" s="28">
        <v>44228</v>
      </c>
      <c r="B8017" s="27" t="s">
        <v>5</v>
      </c>
      <c r="C8017" s="27" t="s">
        <v>51</v>
      </c>
      <c r="D8017" s="27" t="s">
        <v>51</v>
      </c>
      <c r="E8017" s="27" t="s">
        <v>40</v>
      </c>
      <c r="F8017" s="29">
        <v>2309</v>
      </c>
      <c r="G8017" s="30">
        <v>2.6608144002628418</v>
      </c>
    </row>
    <row r="8018" spans="1:7" hidden="1" x14ac:dyDescent="0.25">
      <c r="A8018" s="28">
        <v>44228</v>
      </c>
      <c r="B8018" s="27" t="s">
        <v>180</v>
      </c>
      <c r="C8018" s="27" t="s">
        <v>50</v>
      </c>
      <c r="D8018" s="27" t="s">
        <v>7</v>
      </c>
      <c r="E8018" s="27" t="s">
        <v>8</v>
      </c>
      <c r="F8018" s="29"/>
      <c r="G8018" s="30">
        <v>444</v>
      </c>
    </row>
    <row r="8019" spans="1:7" hidden="1" x14ac:dyDescent="0.25">
      <c r="A8019" s="28">
        <v>44228</v>
      </c>
      <c r="B8019" s="27" t="s">
        <v>180</v>
      </c>
      <c r="C8019" s="27" t="s">
        <v>50</v>
      </c>
      <c r="D8019" s="27" t="s">
        <v>7</v>
      </c>
      <c r="E8019" s="27" t="s">
        <v>22</v>
      </c>
      <c r="F8019" s="29"/>
      <c r="G8019" s="30">
        <v>200</v>
      </c>
    </row>
    <row r="8020" spans="1:7" hidden="1" x14ac:dyDescent="0.25">
      <c r="A8020" s="28">
        <v>44228</v>
      </c>
      <c r="B8020" s="27" t="s">
        <v>180</v>
      </c>
      <c r="C8020" s="27" t="s">
        <v>50</v>
      </c>
      <c r="D8020" s="27" t="s">
        <v>7</v>
      </c>
      <c r="E8020" s="27" t="s">
        <v>21</v>
      </c>
      <c r="F8020" s="29"/>
      <c r="G8020" s="30">
        <v>1070</v>
      </c>
    </row>
    <row r="8021" spans="1:7" hidden="1" x14ac:dyDescent="0.25">
      <c r="A8021" s="28">
        <v>44228</v>
      </c>
      <c r="B8021" s="27" t="s">
        <v>180</v>
      </c>
      <c r="C8021" s="27" t="s">
        <v>50</v>
      </c>
      <c r="D8021" s="27" t="s">
        <v>7</v>
      </c>
      <c r="E8021" s="27" t="s">
        <v>41</v>
      </c>
      <c r="F8021" s="29"/>
      <c r="G8021" s="30">
        <v>300</v>
      </c>
    </row>
    <row r="8022" spans="1:7" hidden="1" x14ac:dyDescent="0.25">
      <c r="A8022" s="28">
        <v>44228</v>
      </c>
      <c r="B8022" s="27" t="s">
        <v>180</v>
      </c>
      <c r="C8022" s="27" t="s">
        <v>50</v>
      </c>
      <c r="D8022" s="27" t="s">
        <v>7</v>
      </c>
      <c r="E8022" s="27" t="s">
        <v>10</v>
      </c>
      <c r="F8022" s="29"/>
      <c r="G8022" s="30">
        <v>140</v>
      </c>
    </row>
    <row r="8023" spans="1:7" hidden="1" x14ac:dyDescent="0.25">
      <c r="A8023" s="28">
        <v>44228</v>
      </c>
      <c r="B8023" s="27" t="s">
        <v>180</v>
      </c>
      <c r="C8023" s="27" t="s">
        <v>50</v>
      </c>
      <c r="D8023" s="27" t="s">
        <v>7</v>
      </c>
      <c r="E8023" s="27" t="s">
        <v>11</v>
      </c>
      <c r="F8023" s="29"/>
      <c r="G8023" s="30">
        <v>8.64</v>
      </c>
    </row>
    <row r="8024" spans="1:7" hidden="1" x14ac:dyDescent="0.25">
      <c r="A8024" s="28">
        <v>44228</v>
      </c>
      <c r="B8024" s="27" t="s">
        <v>180</v>
      </c>
      <c r="C8024" s="27" t="s">
        <v>50</v>
      </c>
      <c r="D8024" s="27" t="s">
        <v>7</v>
      </c>
      <c r="E8024" s="27" t="s">
        <v>12</v>
      </c>
      <c r="F8024" s="29"/>
      <c r="G8024" s="30">
        <v>3470</v>
      </c>
    </row>
    <row r="8025" spans="1:7" hidden="1" x14ac:dyDescent="0.25">
      <c r="A8025" s="28">
        <v>44228</v>
      </c>
      <c r="B8025" s="27" t="s">
        <v>180</v>
      </c>
      <c r="C8025" s="27" t="s">
        <v>50</v>
      </c>
      <c r="D8025" s="27" t="s">
        <v>7</v>
      </c>
      <c r="E8025" s="27" t="s">
        <v>17</v>
      </c>
      <c r="F8025" s="29"/>
      <c r="G8025" s="30">
        <v>110</v>
      </c>
    </row>
    <row r="8026" spans="1:7" hidden="1" x14ac:dyDescent="0.25">
      <c r="A8026" s="28">
        <v>44228</v>
      </c>
      <c r="B8026" s="27" t="s">
        <v>180</v>
      </c>
      <c r="C8026" s="27" t="s">
        <v>50</v>
      </c>
      <c r="D8026" s="27" t="s">
        <v>7</v>
      </c>
      <c r="E8026" s="27" t="s">
        <v>23</v>
      </c>
      <c r="F8026" s="29"/>
      <c r="G8026" s="30">
        <v>60</v>
      </c>
    </row>
    <row r="8027" spans="1:7" hidden="1" x14ac:dyDescent="0.25">
      <c r="A8027" s="28">
        <v>44228</v>
      </c>
      <c r="B8027" s="27" t="s">
        <v>180</v>
      </c>
      <c r="C8027" s="27" t="s">
        <v>50</v>
      </c>
      <c r="D8027" s="27" t="s">
        <v>7</v>
      </c>
      <c r="E8027" s="27" t="s">
        <v>37</v>
      </c>
      <c r="F8027" s="29"/>
      <c r="G8027" s="30">
        <v>8165.98</v>
      </c>
    </row>
    <row r="8028" spans="1:7" hidden="1" x14ac:dyDescent="0.25">
      <c r="A8028" s="28">
        <v>44228</v>
      </c>
      <c r="B8028" s="27" t="s">
        <v>181</v>
      </c>
      <c r="C8028" s="27" t="s">
        <v>50</v>
      </c>
      <c r="D8028" s="27" t="s">
        <v>6</v>
      </c>
      <c r="E8028" s="27" t="s">
        <v>39</v>
      </c>
      <c r="F8028" s="29"/>
      <c r="G8028" s="30">
        <v>345</v>
      </c>
    </row>
    <row r="8029" spans="1:7" hidden="1" x14ac:dyDescent="0.25">
      <c r="A8029" s="28">
        <v>44228</v>
      </c>
      <c r="B8029" s="27" t="s">
        <v>181</v>
      </c>
      <c r="C8029" s="27" t="s">
        <v>50</v>
      </c>
      <c r="D8029" s="27" t="s">
        <v>6</v>
      </c>
      <c r="E8029" s="27" t="s">
        <v>64</v>
      </c>
      <c r="F8029" s="29"/>
      <c r="G8029" s="30">
        <v>2573</v>
      </c>
    </row>
    <row r="8030" spans="1:7" hidden="1" x14ac:dyDescent="0.25">
      <c r="A8030" s="28">
        <v>44228</v>
      </c>
      <c r="B8030" s="27" t="s">
        <v>181</v>
      </c>
      <c r="C8030" s="27" t="s">
        <v>50</v>
      </c>
      <c r="D8030" s="27" t="s">
        <v>6</v>
      </c>
      <c r="E8030" s="27" t="s">
        <v>18</v>
      </c>
      <c r="F8030" s="29"/>
      <c r="G8030" s="30">
        <v>727.45</v>
      </c>
    </row>
    <row r="8031" spans="1:7" hidden="1" x14ac:dyDescent="0.25">
      <c r="A8031" s="28">
        <v>44228</v>
      </c>
      <c r="B8031" s="27" t="s">
        <v>181</v>
      </c>
      <c r="C8031" s="27" t="s">
        <v>50</v>
      </c>
      <c r="D8031" s="27" t="s">
        <v>6</v>
      </c>
      <c r="E8031" s="27" t="s">
        <v>37</v>
      </c>
      <c r="F8031" s="29"/>
      <c r="G8031" s="30">
        <v>2257.4299999999998</v>
      </c>
    </row>
    <row r="8032" spans="1:7" hidden="1" x14ac:dyDescent="0.25">
      <c r="A8032" s="28">
        <v>44228</v>
      </c>
      <c r="B8032" s="27" t="s">
        <v>2</v>
      </c>
      <c r="C8032" s="27" t="s">
        <v>50</v>
      </c>
      <c r="D8032" s="27" t="s">
        <v>7</v>
      </c>
      <c r="E8032" s="27" t="s">
        <v>8</v>
      </c>
      <c r="F8032" s="29"/>
      <c r="G8032" s="30">
        <v>684.42</v>
      </c>
    </row>
    <row r="8033" spans="1:7" hidden="1" x14ac:dyDescent="0.25">
      <c r="A8033" s="28">
        <v>44228</v>
      </c>
      <c r="B8033" s="27" t="s">
        <v>2</v>
      </c>
      <c r="C8033" s="27" t="s">
        <v>50</v>
      </c>
      <c r="D8033" s="27" t="s">
        <v>7</v>
      </c>
      <c r="E8033" s="27" t="s">
        <v>9</v>
      </c>
      <c r="F8033" s="29"/>
      <c r="G8033" s="30">
        <v>589.80999999999995</v>
      </c>
    </row>
    <row r="8034" spans="1:7" hidden="1" x14ac:dyDescent="0.25">
      <c r="A8034" s="28">
        <v>44228</v>
      </c>
      <c r="B8034" s="27" t="s">
        <v>2</v>
      </c>
      <c r="C8034" s="27" t="s">
        <v>50</v>
      </c>
      <c r="D8034" s="27" t="s">
        <v>7</v>
      </c>
      <c r="E8034" s="27" t="s">
        <v>22</v>
      </c>
      <c r="F8034" s="29"/>
      <c r="G8034" s="30">
        <v>529.80999999999995</v>
      </c>
    </row>
    <row r="8035" spans="1:7" hidden="1" x14ac:dyDescent="0.25">
      <c r="A8035" s="28">
        <v>44228</v>
      </c>
      <c r="B8035" s="27" t="s">
        <v>2</v>
      </c>
      <c r="C8035" s="27" t="s">
        <v>50</v>
      </c>
      <c r="D8035" s="27" t="s">
        <v>7</v>
      </c>
      <c r="E8035" s="27" t="s">
        <v>39</v>
      </c>
      <c r="F8035" s="29"/>
      <c r="G8035" s="30">
        <v>163.1</v>
      </c>
    </row>
    <row r="8036" spans="1:7" hidden="1" x14ac:dyDescent="0.25">
      <c r="A8036" s="28">
        <v>44228</v>
      </c>
      <c r="B8036" s="27" t="s">
        <v>2</v>
      </c>
      <c r="C8036" s="27" t="s">
        <v>50</v>
      </c>
      <c r="D8036" s="27" t="s">
        <v>7</v>
      </c>
      <c r="E8036" s="27" t="s">
        <v>64</v>
      </c>
      <c r="F8036" s="29"/>
      <c r="G8036" s="30">
        <v>332.28</v>
      </c>
    </row>
    <row r="8037" spans="1:7" hidden="1" x14ac:dyDescent="0.25">
      <c r="A8037" s="28">
        <v>44228</v>
      </c>
      <c r="B8037" s="27" t="s">
        <v>2</v>
      </c>
      <c r="C8037" s="27" t="s">
        <v>50</v>
      </c>
      <c r="D8037" s="27" t="s">
        <v>7</v>
      </c>
      <c r="E8037" s="27" t="s">
        <v>21</v>
      </c>
      <c r="F8037" s="29"/>
      <c r="G8037" s="30">
        <v>557.34</v>
      </c>
    </row>
    <row r="8038" spans="1:7" hidden="1" x14ac:dyDescent="0.25">
      <c r="A8038" s="28">
        <v>44228</v>
      </c>
      <c r="B8038" s="27" t="s">
        <v>2</v>
      </c>
      <c r="C8038" s="27" t="s">
        <v>50</v>
      </c>
      <c r="D8038" s="27" t="s">
        <v>7</v>
      </c>
      <c r="E8038" s="27" t="s">
        <v>41</v>
      </c>
      <c r="F8038" s="29"/>
      <c r="G8038" s="30">
        <v>461.9</v>
      </c>
    </row>
    <row r="8039" spans="1:7" hidden="1" x14ac:dyDescent="0.25">
      <c r="A8039" s="28">
        <v>44228</v>
      </c>
      <c r="B8039" s="27" t="s">
        <v>2</v>
      </c>
      <c r="C8039" s="27" t="s">
        <v>50</v>
      </c>
      <c r="D8039" s="27" t="s">
        <v>7</v>
      </c>
      <c r="E8039" s="27" t="s">
        <v>10</v>
      </c>
      <c r="F8039" s="29"/>
      <c r="G8039" s="30">
        <v>358.48</v>
      </c>
    </row>
    <row r="8040" spans="1:7" hidden="1" x14ac:dyDescent="0.25">
      <c r="A8040" s="28">
        <v>44228</v>
      </c>
      <c r="B8040" s="27" t="s">
        <v>2</v>
      </c>
      <c r="C8040" s="27" t="s">
        <v>50</v>
      </c>
      <c r="D8040" s="27" t="s">
        <v>7</v>
      </c>
      <c r="E8040" s="27" t="s">
        <v>11</v>
      </c>
      <c r="F8040" s="29"/>
      <c r="G8040" s="30">
        <v>249.88</v>
      </c>
    </row>
    <row r="8041" spans="1:7" hidden="1" x14ac:dyDescent="0.25">
      <c r="A8041" s="28">
        <v>44228</v>
      </c>
      <c r="B8041" s="27" t="s">
        <v>2</v>
      </c>
      <c r="C8041" s="27" t="s">
        <v>50</v>
      </c>
      <c r="D8041" s="27" t="s">
        <v>7</v>
      </c>
      <c r="E8041" s="27" t="s">
        <v>12</v>
      </c>
      <c r="F8041" s="29"/>
      <c r="G8041" s="30">
        <v>23.68</v>
      </c>
    </row>
    <row r="8042" spans="1:7" hidden="1" x14ac:dyDescent="0.25">
      <c r="A8042" s="28">
        <v>44228</v>
      </c>
      <c r="B8042" s="27" t="s">
        <v>2</v>
      </c>
      <c r="C8042" s="27" t="s">
        <v>50</v>
      </c>
      <c r="D8042" s="27" t="s">
        <v>7</v>
      </c>
      <c r="E8042" s="27" t="s">
        <v>13</v>
      </c>
      <c r="F8042" s="29"/>
      <c r="G8042" s="30">
        <v>1207.7</v>
      </c>
    </row>
    <row r="8043" spans="1:7" hidden="1" x14ac:dyDescent="0.25">
      <c r="A8043" s="28">
        <v>44228</v>
      </c>
      <c r="B8043" s="27" t="s">
        <v>2</v>
      </c>
      <c r="C8043" s="27" t="s">
        <v>50</v>
      </c>
      <c r="D8043" s="27" t="s">
        <v>7</v>
      </c>
      <c r="E8043" s="27" t="s">
        <v>14</v>
      </c>
      <c r="F8043" s="29"/>
      <c r="G8043" s="30">
        <v>28.1</v>
      </c>
    </row>
    <row r="8044" spans="1:7" hidden="1" x14ac:dyDescent="0.25">
      <c r="A8044" s="28">
        <v>44228</v>
      </c>
      <c r="B8044" s="27" t="s">
        <v>2</v>
      </c>
      <c r="C8044" s="27" t="s">
        <v>50</v>
      </c>
      <c r="D8044" s="27" t="s">
        <v>7</v>
      </c>
      <c r="E8044" s="27" t="s">
        <v>15</v>
      </c>
      <c r="F8044" s="29"/>
      <c r="G8044" s="30">
        <v>397.87</v>
      </c>
    </row>
    <row r="8045" spans="1:7" hidden="1" x14ac:dyDescent="0.25">
      <c r="A8045" s="28">
        <v>44228</v>
      </c>
      <c r="B8045" s="27" t="s">
        <v>2</v>
      </c>
      <c r="C8045" s="27" t="s">
        <v>50</v>
      </c>
      <c r="D8045" s="27" t="s">
        <v>7</v>
      </c>
      <c r="E8045" s="27" t="s">
        <v>16</v>
      </c>
      <c r="F8045" s="29"/>
      <c r="G8045" s="30">
        <v>387.55</v>
      </c>
    </row>
    <row r="8046" spans="1:7" hidden="1" x14ac:dyDescent="0.25">
      <c r="A8046" s="28">
        <v>44228</v>
      </c>
      <c r="B8046" s="27" t="s">
        <v>2</v>
      </c>
      <c r="C8046" s="27" t="s">
        <v>50</v>
      </c>
      <c r="D8046" s="27" t="s">
        <v>7</v>
      </c>
      <c r="E8046" s="27" t="s">
        <v>17</v>
      </c>
      <c r="F8046" s="29"/>
      <c r="G8046" s="30">
        <v>433.37</v>
      </c>
    </row>
    <row r="8047" spans="1:7" hidden="1" x14ac:dyDescent="0.25">
      <c r="A8047" s="28">
        <v>44228</v>
      </c>
      <c r="B8047" s="27" t="s">
        <v>2</v>
      </c>
      <c r="C8047" s="27" t="s">
        <v>50</v>
      </c>
      <c r="D8047" s="27" t="s">
        <v>7</v>
      </c>
      <c r="E8047" s="27" t="s">
        <v>18</v>
      </c>
      <c r="F8047" s="29"/>
      <c r="G8047" s="30">
        <v>80.400000000000006</v>
      </c>
    </row>
    <row r="8048" spans="1:7" hidden="1" x14ac:dyDescent="0.25">
      <c r="A8048" s="28">
        <v>44228</v>
      </c>
      <c r="B8048" s="27" t="s">
        <v>2</v>
      </c>
      <c r="C8048" s="27" t="s">
        <v>50</v>
      </c>
      <c r="D8048" s="27" t="s">
        <v>7</v>
      </c>
      <c r="E8048" s="27" t="s">
        <v>19</v>
      </c>
      <c r="F8048" s="29"/>
      <c r="G8048" s="30">
        <v>1120.8699999999999</v>
      </c>
    </row>
    <row r="8049" spans="1:7" hidden="1" x14ac:dyDescent="0.25">
      <c r="A8049" s="28">
        <v>44228</v>
      </c>
      <c r="B8049" s="27" t="s">
        <v>2</v>
      </c>
      <c r="C8049" s="27" t="s">
        <v>50</v>
      </c>
      <c r="D8049" s="27" t="s">
        <v>7</v>
      </c>
      <c r="E8049" s="27" t="s">
        <v>20</v>
      </c>
      <c r="F8049" s="29"/>
      <c r="G8049" s="30">
        <v>368.7</v>
      </c>
    </row>
    <row r="8050" spans="1:7" hidden="1" x14ac:dyDescent="0.25">
      <c r="A8050" s="28">
        <v>44228</v>
      </c>
      <c r="B8050" s="27" t="s">
        <v>2</v>
      </c>
      <c r="C8050" s="27" t="s">
        <v>50</v>
      </c>
      <c r="D8050" s="27" t="s">
        <v>7</v>
      </c>
      <c r="E8050" s="27" t="s">
        <v>38</v>
      </c>
      <c r="F8050" s="29"/>
      <c r="G8050" s="30">
        <v>602.72</v>
      </c>
    </row>
    <row r="8051" spans="1:7" hidden="1" x14ac:dyDescent="0.25">
      <c r="A8051" s="28">
        <v>44228</v>
      </c>
      <c r="B8051" s="27" t="s">
        <v>2</v>
      </c>
      <c r="C8051" s="27" t="s">
        <v>50</v>
      </c>
      <c r="D8051" s="27" t="s">
        <v>7</v>
      </c>
      <c r="E8051" s="27" t="s">
        <v>23</v>
      </c>
      <c r="F8051" s="29"/>
      <c r="G8051" s="30">
        <v>855.87</v>
      </c>
    </row>
    <row r="8052" spans="1:7" hidden="1" x14ac:dyDescent="0.25">
      <c r="A8052" s="28">
        <v>44228</v>
      </c>
      <c r="B8052" s="27" t="s">
        <v>2</v>
      </c>
      <c r="C8052" s="27" t="s">
        <v>50</v>
      </c>
      <c r="D8052" s="27" t="s">
        <v>7</v>
      </c>
      <c r="E8052" s="27" t="s">
        <v>40</v>
      </c>
      <c r="F8052" s="29"/>
      <c r="G8052" s="30">
        <v>217.2</v>
      </c>
    </row>
    <row r="8053" spans="1:7" hidden="1" x14ac:dyDescent="0.25">
      <c r="A8053" s="28">
        <v>44228</v>
      </c>
      <c r="B8053" s="27" t="s">
        <v>36</v>
      </c>
      <c r="C8053" s="27" t="s">
        <v>50</v>
      </c>
      <c r="D8053" s="27" t="s">
        <v>6</v>
      </c>
      <c r="E8053" s="27" t="s">
        <v>8</v>
      </c>
      <c r="F8053" s="29"/>
      <c r="G8053" s="30">
        <v>196.43095238095239</v>
      </c>
    </row>
    <row r="8054" spans="1:7" hidden="1" x14ac:dyDescent="0.25">
      <c r="A8054" s="28">
        <v>44228</v>
      </c>
      <c r="B8054" s="27" t="s">
        <v>36</v>
      </c>
      <c r="C8054" s="27" t="s">
        <v>50</v>
      </c>
      <c r="D8054" s="27" t="s">
        <v>6</v>
      </c>
      <c r="E8054" s="27" t="s">
        <v>9</v>
      </c>
      <c r="F8054" s="29"/>
      <c r="G8054" s="30">
        <v>196.43095238095239</v>
      </c>
    </row>
    <row r="8055" spans="1:7" hidden="1" x14ac:dyDescent="0.25">
      <c r="A8055" s="28">
        <v>44228</v>
      </c>
      <c r="B8055" s="27" t="s">
        <v>36</v>
      </c>
      <c r="C8055" s="27" t="s">
        <v>50</v>
      </c>
      <c r="D8055" s="27" t="s">
        <v>6</v>
      </c>
      <c r="E8055" s="27" t="s">
        <v>22</v>
      </c>
      <c r="F8055" s="29"/>
      <c r="G8055" s="30">
        <v>196.43095238095239</v>
      </c>
    </row>
    <row r="8056" spans="1:7" hidden="1" x14ac:dyDescent="0.25">
      <c r="A8056" s="28">
        <v>44228</v>
      </c>
      <c r="B8056" s="27" t="s">
        <v>36</v>
      </c>
      <c r="C8056" s="27" t="s">
        <v>50</v>
      </c>
      <c r="D8056" s="27" t="s">
        <v>6</v>
      </c>
      <c r="E8056" s="27" t="s">
        <v>39</v>
      </c>
      <c r="F8056" s="29"/>
      <c r="G8056" s="30">
        <v>196.43095238095239</v>
      </c>
    </row>
    <row r="8057" spans="1:7" hidden="1" x14ac:dyDescent="0.25">
      <c r="A8057" s="28">
        <v>44228</v>
      </c>
      <c r="B8057" s="27" t="s">
        <v>36</v>
      </c>
      <c r="C8057" s="27" t="s">
        <v>50</v>
      </c>
      <c r="D8057" s="27" t="s">
        <v>6</v>
      </c>
      <c r="E8057" s="27" t="s">
        <v>64</v>
      </c>
      <c r="F8057" s="29"/>
      <c r="G8057" s="30">
        <v>196.43095238095239</v>
      </c>
    </row>
    <row r="8058" spans="1:7" hidden="1" x14ac:dyDescent="0.25">
      <c r="A8058" s="28">
        <v>44228</v>
      </c>
      <c r="B8058" s="27" t="s">
        <v>36</v>
      </c>
      <c r="C8058" s="27" t="s">
        <v>50</v>
      </c>
      <c r="D8058" s="27" t="s">
        <v>6</v>
      </c>
      <c r="E8058" s="27" t="s">
        <v>21</v>
      </c>
      <c r="F8058" s="29"/>
      <c r="G8058" s="30">
        <v>196.43095238095239</v>
      </c>
    </row>
    <row r="8059" spans="1:7" hidden="1" x14ac:dyDescent="0.25">
      <c r="A8059" s="28">
        <v>44228</v>
      </c>
      <c r="B8059" s="27" t="s">
        <v>36</v>
      </c>
      <c r="C8059" s="27" t="s">
        <v>50</v>
      </c>
      <c r="D8059" s="27" t="s">
        <v>6</v>
      </c>
      <c r="E8059" s="27" t="s">
        <v>41</v>
      </c>
      <c r="F8059" s="29"/>
      <c r="G8059" s="30">
        <v>196.43095238095239</v>
      </c>
    </row>
    <row r="8060" spans="1:7" hidden="1" x14ac:dyDescent="0.25">
      <c r="A8060" s="28">
        <v>44228</v>
      </c>
      <c r="B8060" s="27" t="s">
        <v>36</v>
      </c>
      <c r="C8060" s="27" t="s">
        <v>50</v>
      </c>
      <c r="D8060" s="27" t="s">
        <v>6</v>
      </c>
      <c r="E8060" s="27" t="s">
        <v>10</v>
      </c>
      <c r="F8060" s="29"/>
      <c r="G8060" s="30">
        <v>196.43095238095239</v>
      </c>
    </row>
    <row r="8061" spans="1:7" hidden="1" x14ac:dyDescent="0.25">
      <c r="A8061" s="28">
        <v>44228</v>
      </c>
      <c r="B8061" s="27" t="s">
        <v>36</v>
      </c>
      <c r="C8061" s="27" t="s">
        <v>50</v>
      </c>
      <c r="D8061" s="27" t="s">
        <v>6</v>
      </c>
      <c r="E8061" s="27" t="s">
        <v>11</v>
      </c>
      <c r="F8061" s="29"/>
      <c r="G8061" s="30">
        <v>196.43095238095239</v>
      </c>
    </row>
    <row r="8062" spans="1:7" hidden="1" x14ac:dyDescent="0.25">
      <c r="A8062" s="28">
        <v>44228</v>
      </c>
      <c r="B8062" s="27" t="s">
        <v>36</v>
      </c>
      <c r="C8062" s="27" t="s">
        <v>50</v>
      </c>
      <c r="D8062" s="27" t="s">
        <v>6</v>
      </c>
      <c r="E8062" s="27" t="s">
        <v>12</v>
      </c>
      <c r="F8062" s="29"/>
      <c r="G8062" s="30">
        <v>196.43095238095239</v>
      </c>
    </row>
    <row r="8063" spans="1:7" hidden="1" x14ac:dyDescent="0.25">
      <c r="A8063" s="28">
        <v>44228</v>
      </c>
      <c r="B8063" s="27" t="s">
        <v>36</v>
      </c>
      <c r="C8063" s="27" t="s">
        <v>50</v>
      </c>
      <c r="D8063" s="27" t="s">
        <v>6</v>
      </c>
      <c r="E8063" s="27" t="s">
        <v>13</v>
      </c>
      <c r="F8063" s="29"/>
      <c r="G8063" s="30">
        <v>196.43095238095239</v>
      </c>
    </row>
    <row r="8064" spans="1:7" hidden="1" x14ac:dyDescent="0.25">
      <c r="A8064" s="28">
        <v>44228</v>
      </c>
      <c r="B8064" s="27" t="s">
        <v>36</v>
      </c>
      <c r="C8064" s="27" t="s">
        <v>50</v>
      </c>
      <c r="D8064" s="27" t="s">
        <v>6</v>
      </c>
      <c r="E8064" s="27" t="s">
        <v>14</v>
      </c>
      <c r="F8064" s="29"/>
      <c r="G8064" s="30">
        <v>196.43095238095239</v>
      </c>
    </row>
    <row r="8065" spans="1:7" hidden="1" x14ac:dyDescent="0.25">
      <c r="A8065" s="28">
        <v>44228</v>
      </c>
      <c r="B8065" s="27" t="s">
        <v>36</v>
      </c>
      <c r="C8065" s="27" t="s">
        <v>50</v>
      </c>
      <c r="D8065" s="27" t="s">
        <v>6</v>
      </c>
      <c r="E8065" s="27" t="s">
        <v>15</v>
      </c>
      <c r="F8065" s="29"/>
      <c r="G8065" s="30">
        <v>196.43095238095239</v>
      </c>
    </row>
    <row r="8066" spans="1:7" hidden="1" x14ac:dyDescent="0.25">
      <c r="A8066" s="28">
        <v>44228</v>
      </c>
      <c r="B8066" s="27" t="s">
        <v>36</v>
      </c>
      <c r="C8066" s="27" t="s">
        <v>50</v>
      </c>
      <c r="D8066" s="27" t="s">
        <v>6</v>
      </c>
      <c r="E8066" s="27" t="s">
        <v>16</v>
      </c>
      <c r="F8066" s="29"/>
      <c r="G8066" s="30">
        <v>196.43095238095239</v>
      </c>
    </row>
    <row r="8067" spans="1:7" hidden="1" x14ac:dyDescent="0.25">
      <c r="A8067" s="28">
        <v>44228</v>
      </c>
      <c r="B8067" s="27" t="s">
        <v>36</v>
      </c>
      <c r="C8067" s="27" t="s">
        <v>50</v>
      </c>
      <c r="D8067" s="27" t="s">
        <v>6</v>
      </c>
      <c r="E8067" s="27" t="s">
        <v>17</v>
      </c>
      <c r="F8067" s="29"/>
      <c r="G8067" s="30">
        <v>196.43095238095239</v>
      </c>
    </row>
    <row r="8068" spans="1:7" hidden="1" x14ac:dyDescent="0.25">
      <c r="A8068" s="28">
        <v>44228</v>
      </c>
      <c r="B8068" s="27" t="s">
        <v>36</v>
      </c>
      <c r="C8068" s="27" t="s">
        <v>50</v>
      </c>
      <c r="D8068" s="27" t="s">
        <v>6</v>
      </c>
      <c r="E8068" s="27" t="s">
        <v>18</v>
      </c>
      <c r="F8068" s="29"/>
      <c r="G8068" s="30">
        <v>196.43095238095239</v>
      </c>
    </row>
    <row r="8069" spans="1:7" hidden="1" x14ac:dyDescent="0.25">
      <c r="A8069" s="28">
        <v>44228</v>
      </c>
      <c r="B8069" s="27" t="s">
        <v>36</v>
      </c>
      <c r="C8069" s="27" t="s">
        <v>50</v>
      </c>
      <c r="D8069" s="27" t="s">
        <v>6</v>
      </c>
      <c r="E8069" s="27" t="s">
        <v>19</v>
      </c>
      <c r="F8069" s="29"/>
      <c r="G8069" s="30">
        <v>196.43095238095239</v>
      </c>
    </row>
    <row r="8070" spans="1:7" hidden="1" x14ac:dyDescent="0.25">
      <c r="A8070" s="28">
        <v>44228</v>
      </c>
      <c r="B8070" s="27" t="s">
        <v>36</v>
      </c>
      <c r="C8070" s="27" t="s">
        <v>50</v>
      </c>
      <c r="D8070" s="27" t="s">
        <v>6</v>
      </c>
      <c r="E8070" s="27" t="s">
        <v>20</v>
      </c>
      <c r="F8070" s="29"/>
      <c r="G8070" s="30">
        <v>196.43095238095239</v>
      </c>
    </row>
    <row r="8071" spans="1:7" hidden="1" x14ac:dyDescent="0.25">
      <c r="A8071" s="28">
        <v>44228</v>
      </c>
      <c r="B8071" s="27" t="s">
        <v>36</v>
      </c>
      <c r="C8071" s="27" t="s">
        <v>50</v>
      </c>
      <c r="D8071" s="27" t="s">
        <v>6</v>
      </c>
      <c r="E8071" s="27" t="s">
        <v>38</v>
      </c>
      <c r="F8071" s="29"/>
      <c r="G8071" s="30">
        <v>196.43095238095239</v>
      </c>
    </row>
    <row r="8072" spans="1:7" hidden="1" x14ac:dyDescent="0.25">
      <c r="A8072" s="28">
        <v>44228</v>
      </c>
      <c r="B8072" s="27" t="s">
        <v>36</v>
      </c>
      <c r="C8072" s="27" t="s">
        <v>50</v>
      </c>
      <c r="D8072" s="27" t="s">
        <v>6</v>
      </c>
      <c r="E8072" s="27" t="s">
        <v>23</v>
      </c>
      <c r="F8072" s="29"/>
      <c r="G8072" s="30">
        <v>196.43095238095239</v>
      </c>
    </row>
    <row r="8073" spans="1:7" hidden="1" x14ac:dyDescent="0.25">
      <c r="A8073" s="28">
        <v>44228</v>
      </c>
      <c r="B8073" s="27" t="s">
        <v>36</v>
      </c>
      <c r="C8073" s="27" t="s">
        <v>50</v>
      </c>
      <c r="D8073" s="27" t="s">
        <v>6</v>
      </c>
      <c r="E8073" s="27" t="s">
        <v>40</v>
      </c>
      <c r="F8073" s="29"/>
      <c r="G8073" s="30">
        <v>196.43095238095239</v>
      </c>
    </row>
    <row r="8074" spans="1:7" hidden="1" x14ac:dyDescent="0.25">
      <c r="A8074" s="28">
        <v>44228</v>
      </c>
      <c r="B8074" s="27" t="s">
        <v>200</v>
      </c>
      <c r="C8074" s="27" t="s">
        <v>53</v>
      </c>
      <c r="D8074" s="27" t="s">
        <v>6</v>
      </c>
      <c r="E8074" s="27" t="s">
        <v>8</v>
      </c>
      <c r="F8074" s="29"/>
      <c r="G8074" s="30">
        <f t="shared" ref="G8074:G8094" si="149">11876.0235555556/21</f>
        <v>565.52493121693328</v>
      </c>
    </row>
    <row r="8075" spans="1:7" hidden="1" x14ac:dyDescent="0.25">
      <c r="A8075" s="28">
        <v>44228</v>
      </c>
      <c r="B8075" s="27" t="s">
        <v>200</v>
      </c>
      <c r="C8075" s="27" t="s">
        <v>53</v>
      </c>
      <c r="D8075" s="27" t="s">
        <v>6</v>
      </c>
      <c r="E8075" s="27" t="s">
        <v>9</v>
      </c>
      <c r="F8075" s="29"/>
      <c r="G8075" s="30">
        <f t="shared" si="149"/>
        <v>565.52493121693328</v>
      </c>
    </row>
    <row r="8076" spans="1:7" hidden="1" x14ac:dyDescent="0.25">
      <c r="A8076" s="28">
        <v>44228</v>
      </c>
      <c r="B8076" s="27" t="s">
        <v>200</v>
      </c>
      <c r="C8076" s="27" t="s">
        <v>53</v>
      </c>
      <c r="D8076" s="27" t="s">
        <v>6</v>
      </c>
      <c r="E8076" s="27" t="s">
        <v>22</v>
      </c>
      <c r="F8076" s="29"/>
      <c r="G8076" s="30">
        <f t="shared" si="149"/>
        <v>565.52493121693328</v>
      </c>
    </row>
    <row r="8077" spans="1:7" hidden="1" x14ac:dyDescent="0.25">
      <c r="A8077" s="28">
        <v>44228</v>
      </c>
      <c r="B8077" s="27" t="s">
        <v>200</v>
      </c>
      <c r="C8077" s="27" t="s">
        <v>53</v>
      </c>
      <c r="D8077" s="27" t="s">
        <v>6</v>
      </c>
      <c r="E8077" s="27" t="s">
        <v>39</v>
      </c>
      <c r="F8077" s="29"/>
      <c r="G8077" s="30">
        <f t="shared" si="149"/>
        <v>565.52493121693328</v>
      </c>
    </row>
    <row r="8078" spans="1:7" hidden="1" x14ac:dyDescent="0.25">
      <c r="A8078" s="28">
        <v>44228</v>
      </c>
      <c r="B8078" s="27" t="s">
        <v>200</v>
      </c>
      <c r="C8078" s="27" t="s">
        <v>53</v>
      </c>
      <c r="D8078" s="27" t="s">
        <v>6</v>
      </c>
      <c r="E8078" s="27" t="s">
        <v>64</v>
      </c>
      <c r="F8078" s="29"/>
      <c r="G8078" s="30">
        <f t="shared" si="149"/>
        <v>565.52493121693328</v>
      </c>
    </row>
    <row r="8079" spans="1:7" hidden="1" x14ac:dyDescent="0.25">
      <c r="A8079" s="28">
        <v>44228</v>
      </c>
      <c r="B8079" s="27" t="s">
        <v>200</v>
      </c>
      <c r="C8079" s="27" t="s">
        <v>53</v>
      </c>
      <c r="D8079" s="27" t="s">
        <v>6</v>
      </c>
      <c r="E8079" s="27" t="s">
        <v>21</v>
      </c>
      <c r="F8079" s="29"/>
      <c r="G8079" s="30">
        <f t="shared" si="149"/>
        <v>565.52493121693328</v>
      </c>
    </row>
    <row r="8080" spans="1:7" hidden="1" x14ac:dyDescent="0.25">
      <c r="A8080" s="28">
        <v>44228</v>
      </c>
      <c r="B8080" s="27" t="s">
        <v>200</v>
      </c>
      <c r="C8080" s="27" t="s">
        <v>53</v>
      </c>
      <c r="D8080" s="27" t="s">
        <v>6</v>
      </c>
      <c r="E8080" s="27" t="s">
        <v>41</v>
      </c>
      <c r="F8080" s="29"/>
      <c r="G8080" s="30">
        <f t="shared" si="149"/>
        <v>565.52493121693328</v>
      </c>
    </row>
    <row r="8081" spans="1:7" hidden="1" x14ac:dyDescent="0.25">
      <c r="A8081" s="28">
        <v>44228</v>
      </c>
      <c r="B8081" s="27" t="s">
        <v>200</v>
      </c>
      <c r="C8081" s="27" t="s">
        <v>53</v>
      </c>
      <c r="D8081" s="27" t="s">
        <v>6</v>
      </c>
      <c r="E8081" s="27" t="s">
        <v>10</v>
      </c>
      <c r="F8081" s="29"/>
      <c r="G8081" s="30">
        <f t="shared" si="149"/>
        <v>565.52493121693328</v>
      </c>
    </row>
    <row r="8082" spans="1:7" hidden="1" x14ac:dyDescent="0.25">
      <c r="A8082" s="28">
        <v>44228</v>
      </c>
      <c r="B8082" s="27" t="s">
        <v>200</v>
      </c>
      <c r="C8082" s="27" t="s">
        <v>53</v>
      </c>
      <c r="D8082" s="27" t="s">
        <v>6</v>
      </c>
      <c r="E8082" s="27" t="s">
        <v>11</v>
      </c>
      <c r="F8082" s="29"/>
      <c r="G8082" s="30">
        <f t="shared" si="149"/>
        <v>565.52493121693328</v>
      </c>
    </row>
    <row r="8083" spans="1:7" hidden="1" x14ac:dyDescent="0.25">
      <c r="A8083" s="28">
        <v>44228</v>
      </c>
      <c r="B8083" s="27" t="s">
        <v>200</v>
      </c>
      <c r="C8083" s="27" t="s">
        <v>53</v>
      </c>
      <c r="D8083" s="27" t="s">
        <v>6</v>
      </c>
      <c r="E8083" s="27" t="s">
        <v>12</v>
      </c>
      <c r="F8083" s="29"/>
      <c r="G8083" s="30">
        <f t="shared" si="149"/>
        <v>565.52493121693328</v>
      </c>
    </row>
    <row r="8084" spans="1:7" hidden="1" x14ac:dyDescent="0.25">
      <c r="A8084" s="28">
        <v>44228</v>
      </c>
      <c r="B8084" s="27" t="s">
        <v>200</v>
      </c>
      <c r="C8084" s="27" t="s">
        <v>53</v>
      </c>
      <c r="D8084" s="27" t="s">
        <v>6</v>
      </c>
      <c r="E8084" s="27" t="s">
        <v>13</v>
      </c>
      <c r="F8084" s="29"/>
      <c r="G8084" s="30">
        <f t="shared" si="149"/>
        <v>565.52493121693328</v>
      </c>
    </row>
    <row r="8085" spans="1:7" hidden="1" x14ac:dyDescent="0.25">
      <c r="A8085" s="28">
        <v>44228</v>
      </c>
      <c r="B8085" s="27" t="s">
        <v>200</v>
      </c>
      <c r="C8085" s="27" t="s">
        <v>53</v>
      </c>
      <c r="D8085" s="27" t="s">
        <v>6</v>
      </c>
      <c r="E8085" s="27" t="s">
        <v>14</v>
      </c>
      <c r="F8085" s="29"/>
      <c r="G8085" s="30">
        <f t="shared" si="149"/>
        <v>565.52493121693328</v>
      </c>
    </row>
    <row r="8086" spans="1:7" hidden="1" x14ac:dyDescent="0.25">
      <c r="A8086" s="28">
        <v>44228</v>
      </c>
      <c r="B8086" s="27" t="s">
        <v>200</v>
      </c>
      <c r="C8086" s="27" t="s">
        <v>53</v>
      </c>
      <c r="D8086" s="27" t="s">
        <v>6</v>
      </c>
      <c r="E8086" s="27" t="s">
        <v>15</v>
      </c>
      <c r="F8086" s="29"/>
      <c r="G8086" s="30">
        <f t="shared" si="149"/>
        <v>565.52493121693328</v>
      </c>
    </row>
    <row r="8087" spans="1:7" hidden="1" x14ac:dyDescent="0.25">
      <c r="A8087" s="28">
        <v>44228</v>
      </c>
      <c r="B8087" s="27" t="s">
        <v>200</v>
      </c>
      <c r="C8087" s="27" t="s">
        <v>53</v>
      </c>
      <c r="D8087" s="27" t="s">
        <v>6</v>
      </c>
      <c r="E8087" s="27" t="s">
        <v>16</v>
      </c>
      <c r="F8087" s="29"/>
      <c r="G8087" s="30">
        <f t="shared" si="149"/>
        <v>565.52493121693328</v>
      </c>
    </row>
    <row r="8088" spans="1:7" hidden="1" x14ac:dyDescent="0.25">
      <c r="A8088" s="28">
        <v>44228</v>
      </c>
      <c r="B8088" s="27" t="s">
        <v>200</v>
      </c>
      <c r="C8088" s="27" t="s">
        <v>53</v>
      </c>
      <c r="D8088" s="27" t="s">
        <v>6</v>
      </c>
      <c r="E8088" s="27" t="s">
        <v>17</v>
      </c>
      <c r="F8088" s="29"/>
      <c r="G8088" s="30">
        <f t="shared" si="149"/>
        <v>565.52493121693328</v>
      </c>
    </row>
    <row r="8089" spans="1:7" hidden="1" x14ac:dyDescent="0.25">
      <c r="A8089" s="28">
        <v>44228</v>
      </c>
      <c r="B8089" s="27" t="s">
        <v>200</v>
      </c>
      <c r="C8089" s="27" t="s">
        <v>53</v>
      </c>
      <c r="D8089" s="27" t="s">
        <v>6</v>
      </c>
      <c r="E8089" s="27" t="s">
        <v>18</v>
      </c>
      <c r="F8089" s="29"/>
      <c r="G8089" s="30">
        <f t="shared" si="149"/>
        <v>565.52493121693328</v>
      </c>
    </row>
    <row r="8090" spans="1:7" hidden="1" x14ac:dyDescent="0.25">
      <c r="A8090" s="28">
        <v>44228</v>
      </c>
      <c r="B8090" s="27" t="s">
        <v>200</v>
      </c>
      <c r="C8090" s="27" t="s">
        <v>53</v>
      </c>
      <c r="D8090" s="27" t="s">
        <v>6</v>
      </c>
      <c r="E8090" s="27" t="s">
        <v>19</v>
      </c>
      <c r="F8090" s="29"/>
      <c r="G8090" s="30">
        <f t="shared" si="149"/>
        <v>565.52493121693328</v>
      </c>
    </row>
    <row r="8091" spans="1:7" hidden="1" x14ac:dyDescent="0.25">
      <c r="A8091" s="28">
        <v>44228</v>
      </c>
      <c r="B8091" s="27" t="s">
        <v>200</v>
      </c>
      <c r="C8091" s="27" t="s">
        <v>53</v>
      </c>
      <c r="D8091" s="27" t="s">
        <v>6</v>
      </c>
      <c r="E8091" s="27" t="s">
        <v>20</v>
      </c>
      <c r="F8091" s="29"/>
      <c r="G8091" s="30">
        <f t="shared" si="149"/>
        <v>565.52493121693328</v>
      </c>
    </row>
    <row r="8092" spans="1:7" hidden="1" x14ac:dyDescent="0.25">
      <c r="A8092" s="28">
        <v>44228</v>
      </c>
      <c r="B8092" s="27" t="s">
        <v>200</v>
      </c>
      <c r="C8092" s="27" t="s">
        <v>53</v>
      </c>
      <c r="D8092" s="27" t="s">
        <v>6</v>
      </c>
      <c r="E8092" s="27" t="s">
        <v>38</v>
      </c>
      <c r="F8092" s="29"/>
      <c r="G8092" s="30">
        <f t="shared" si="149"/>
        <v>565.52493121693328</v>
      </c>
    </row>
    <row r="8093" spans="1:7" hidden="1" x14ac:dyDescent="0.25">
      <c r="A8093" s="28">
        <v>44228</v>
      </c>
      <c r="B8093" s="27" t="s">
        <v>200</v>
      </c>
      <c r="C8093" s="27" t="s">
        <v>53</v>
      </c>
      <c r="D8093" s="27" t="s">
        <v>6</v>
      </c>
      <c r="E8093" s="27" t="s">
        <v>23</v>
      </c>
      <c r="F8093" s="29"/>
      <c r="G8093" s="30">
        <f t="shared" si="149"/>
        <v>565.52493121693328</v>
      </c>
    </row>
    <row r="8094" spans="1:7" hidden="1" x14ac:dyDescent="0.25">
      <c r="A8094" s="28">
        <v>44228</v>
      </c>
      <c r="B8094" s="27" t="s">
        <v>200</v>
      </c>
      <c r="C8094" s="27" t="s">
        <v>53</v>
      </c>
      <c r="D8094" s="27" t="s">
        <v>6</v>
      </c>
      <c r="E8094" s="27" t="s">
        <v>40</v>
      </c>
      <c r="F8094" s="29"/>
      <c r="G8094" s="30">
        <f t="shared" si="149"/>
        <v>565.52493121693328</v>
      </c>
    </row>
    <row r="8095" spans="1:7" hidden="1" x14ac:dyDescent="0.25">
      <c r="A8095" s="28">
        <v>44228</v>
      </c>
      <c r="B8095" s="27" t="s">
        <v>200</v>
      </c>
      <c r="C8095" s="27" t="s">
        <v>54</v>
      </c>
      <c r="D8095" s="27" t="s">
        <v>7</v>
      </c>
      <c r="E8095" s="27" t="s">
        <v>8</v>
      </c>
      <c r="F8095" s="29"/>
      <c r="G8095" s="30">
        <f t="shared" ref="G8095:G8115" si="150">238.64/21</f>
        <v>11.363809523809524</v>
      </c>
    </row>
    <row r="8096" spans="1:7" hidden="1" x14ac:dyDescent="0.25">
      <c r="A8096" s="28">
        <v>44228</v>
      </c>
      <c r="B8096" s="27" t="s">
        <v>200</v>
      </c>
      <c r="C8096" s="27" t="s">
        <v>54</v>
      </c>
      <c r="D8096" s="27" t="s">
        <v>7</v>
      </c>
      <c r="E8096" s="27" t="s">
        <v>9</v>
      </c>
      <c r="F8096" s="29"/>
      <c r="G8096" s="30">
        <f t="shared" si="150"/>
        <v>11.363809523809524</v>
      </c>
    </row>
    <row r="8097" spans="1:7" hidden="1" x14ac:dyDescent="0.25">
      <c r="A8097" s="28">
        <v>44228</v>
      </c>
      <c r="B8097" s="27" t="s">
        <v>200</v>
      </c>
      <c r="C8097" s="27" t="s">
        <v>54</v>
      </c>
      <c r="D8097" s="27" t="s">
        <v>7</v>
      </c>
      <c r="E8097" s="27" t="s">
        <v>22</v>
      </c>
      <c r="F8097" s="29"/>
      <c r="G8097" s="30">
        <f t="shared" si="150"/>
        <v>11.363809523809524</v>
      </c>
    </row>
    <row r="8098" spans="1:7" hidden="1" x14ac:dyDescent="0.25">
      <c r="A8098" s="28">
        <v>44228</v>
      </c>
      <c r="B8098" s="27" t="s">
        <v>200</v>
      </c>
      <c r="C8098" s="27" t="s">
        <v>54</v>
      </c>
      <c r="D8098" s="27" t="s">
        <v>7</v>
      </c>
      <c r="E8098" s="27" t="s">
        <v>39</v>
      </c>
      <c r="F8098" s="29"/>
      <c r="G8098" s="30">
        <f t="shared" si="150"/>
        <v>11.363809523809524</v>
      </c>
    </row>
    <row r="8099" spans="1:7" hidden="1" x14ac:dyDescent="0.25">
      <c r="A8099" s="28">
        <v>44228</v>
      </c>
      <c r="B8099" s="27" t="s">
        <v>200</v>
      </c>
      <c r="C8099" s="27" t="s">
        <v>54</v>
      </c>
      <c r="D8099" s="27" t="s">
        <v>7</v>
      </c>
      <c r="E8099" s="27" t="s">
        <v>64</v>
      </c>
      <c r="F8099" s="29"/>
      <c r="G8099" s="30">
        <f t="shared" si="150"/>
        <v>11.363809523809524</v>
      </c>
    </row>
    <row r="8100" spans="1:7" hidden="1" x14ac:dyDescent="0.25">
      <c r="A8100" s="28">
        <v>44228</v>
      </c>
      <c r="B8100" s="27" t="s">
        <v>200</v>
      </c>
      <c r="C8100" s="27" t="s">
        <v>54</v>
      </c>
      <c r="D8100" s="27" t="s">
        <v>7</v>
      </c>
      <c r="E8100" s="27" t="s">
        <v>21</v>
      </c>
      <c r="F8100" s="29"/>
      <c r="G8100" s="30">
        <f t="shared" si="150"/>
        <v>11.363809523809524</v>
      </c>
    </row>
    <row r="8101" spans="1:7" hidden="1" x14ac:dyDescent="0.25">
      <c r="A8101" s="28">
        <v>44228</v>
      </c>
      <c r="B8101" s="27" t="s">
        <v>200</v>
      </c>
      <c r="C8101" s="27" t="s">
        <v>54</v>
      </c>
      <c r="D8101" s="27" t="s">
        <v>7</v>
      </c>
      <c r="E8101" s="27" t="s">
        <v>41</v>
      </c>
      <c r="F8101" s="29"/>
      <c r="G8101" s="30">
        <f t="shared" si="150"/>
        <v>11.363809523809524</v>
      </c>
    </row>
    <row r="8102" spans="1:7" hidden="1" x14ac:dyDescent="0.25">
      <c r="A8102" s="28">
        <v>44228</v>
      </c>
      <c r="B8102" s="27" t="s">
        <v>200</v>
      </c>
      <c r="C8102" s="27" t="s">
        <v>54</v>
      </c>
      <c r="D8102" s="27" t="s">
        <v>7</v>
      </c>
      <c r="E8102" s="27" t="s">
        <v>10</v>
      </c>
      <c r="F8102" s="29"/>
      <c r="G8102" s="30">
        <f t="shared" si="150"/>
        <v>11.363809523809524</v>
      </c>
    </row>
    <row r="8103" spans="1:7" hidden="1" x14ac:dyDescent="0.25">
      <c r="A8103" s="28">
        <v>44228</v>
      </c>
      <c r="B8103" s="27" t="s">
        <v>200</v>
      </c>
      <c r="C8103" s="27" t="s">
        <v>54</v>
      </c>
      <c r="D8103" s="27" t="s">
        <v>7</v>
      </c>
      <c r="E8103" s="27" t="s">
        <v>11</v>
      </c>
      <c r="F8103" s="29"/>
      <c r="G8103" s="30">
        <f t="shared" si="150"/>
        <v>11.363809523809524</v>
      </c>
    </row>
    <row r="8104" spans="1:7" hidden="1" x14ac:dyDescent="0.25">
      <c r="A8104" s="28">
        <v>44228</v>
      </c>
      <c r="B8104" s="27" t="s">
        <v>200</v>
      </c>
      <c r="C8104" s="27" t="s">
        <v>54</v>
      </c>
      <c r="D8104" s="27" t="s">
        <v>7</v>
      </c>
      <c r="E8104" s="27" t="s">
        <v>12</v>
      </c>
      <c r="F8104" s="29"/>
      <c r="G8104" s="30">
        <f t="shared" si="150"/>
        <v>11.363809523809524</v>
      </c>
    </row>
    <row r="8105" spans="1:7" hidden="1" x14ac:dyDescent="0.25">
      <c r="A8105" s="28">
        <v>44228</v>
      </c>
      <c r="B8105" s="27" t="s">
        <v>200</v>
      </c>
      <c r="C8105" s="27" t="s">
        <v>54</v>
      </c>
      <c r="D8105" s="27" t="s">
        <v>7</v>
      </c>
      <c r="E8105" s="27" t="s">
        <v>13</v>
      </c>
      <c r="F8105" s="29"/>
      <c r="G8105" s="30">
        <f t="shared" si="150"/>
        <v>11.363809523809524</v>
      </c>
    </row>
    <row r="8106" spans="1:7" hidden="1" x14ac:dyDescent="0.25">
      <c r="A8106" s="28">
        <v>44228</v>
      </c>
      <c r="B8106" s="27" t="s">
        <v>200</v>
      </c>
      <c r="C8106" s="27" t="s">
        <v>54</v>
      </c>
      <c r="D8106" s="27" t="s">
        <v>7</v>
      </c>
      <c r="E8106" s="27" t="s">
        <v>14</v>
      </c>
      <c r="F8106" s="29"/>
      <c r="G8106" s="30">
        <f t="shared" si="150"/>
        <v>11.363809523809524</v>
      </c>
    </row>
    <row r="8107" spans="1:7" hidden="1" x14ac:dyDescent="0.25">
      <c r="A8107" s="28">
        <v>44228</v>
      </c>
      <c r="B8107" s="27" t="s">
        <v>200</v>
      </c>
      <c r="C8107" s="27" t="s">
        <v>54</v>
      </c>
      <c r="D8107" s="27" t="s">
        <v>7</v>
      </c>
      <c r="E8107" s="27" t="s">
        <v>15</v>
      </c>
      <c r="F8107" s="29"/>
      <c r="G8107" s="30">
        <f t="shared" si="150"/>
        <v>11.363809523809524</v>
      </c>
    </row>
    <row r="8108" spans="1:7" hidden="1" x14ac:dyDescent="0.25">
      <c r="A8108" s="28">
        <v>44228</v>
      </c>
      <c r="B8108" s="27" t="s">
        <v>200</v>
      </c>
      <c r="C8108" s="27" t="s">
        <v>54</v>
      </c>
      <c r="D8108" s="27" t="s">
        <v>7</v>
      </c>
      <c r="E8108" s="27" t="s">
        <v>16</v>
      </c>
      <c r="F8108" s="29"/>
      <c r="G8108" s="30">
        <f t="shared" si="150"/>
        <v>11.363809523809524</v>
      </c>
    </row>
    <row r="8109" spans="1:7" hidden="1" x14ac:dyDescent="0.25">
      <c r="A8109" s="28">
        <v>44228</v>
      </c>
      <c r="B8109" s="27" t="s">
        <v>200</v>
      </c>
      <c r="C8109" s="27" t="s">
        <v>54</v>
      </c>
      <c r="D8109" s="27" t="s">
        <v>7</v>
      </c>
      <c r="E8109" s="27" t="s">
        <v>17</v>
      </c>
      <c r="F8109" s="29"/>
      <c r="G8109" s="30">
        <f t="shared" si="150"/>
        <v>11.363809523809524</v>
      </c>
    </row>
    <row r="8110" spans="1:7" hidden="1" x14ac:dyDescent="0.25">
      <c r="A8110" s="28">
        <v>44228</v>
      </c>
      <c r="B8110" s="27" t="s">
        <v>200</v>
      </c>
      <c r="C8110" s="27" t="s">
        <v>54</v>
      </c>
      <c r="D8110" s="27" t="s">
        <v>7</v>
      </c>
      <c r="E8110" s="27" t="s">
        <v>18</v>
      </c>
      <c r="F8110" s="29"/>
      <c r="G8110" s="30">
        <f t="shared" si="150"/>
        <v>11.363809523809524</v>
      </c>
    </row>
    <row r="8111" spans="1:7" hidden="1" x14ac:dyDescent="0.25">
      <c r="A8111" s="28">
        <v>44228</v>
      </c>
      <c r="B8111" s="27" t="s">
        <v>200</v>
      </c>
      <c r="C8111" s="27" t="s">
        <v>54</v>
      </c>
      <c r="D8111" s="27" t="s">
        <v>7</v>
      </c>
      <c r="E8111" s="27" t="s">
        <v>19</v>
      </c>
      <c r="F8111" s="29"/>
      <c r="G8111" s="30">
        <f t="shared" si="150"/>
        <v>11.363809523809524</v>
      </c>
    </row>
    <row r="8112" spans="1:7" hidden="1" x14ac:dyDescent="0.25">
      <c r="A8112" s="28">
        <v>44228</v>
      </c>
      <c r="B8112" s="27" t="s">
        <v>200</v>
      </c>
      <c r="C8112" s="27" t="s">
        <v>54</v>
      </c>
      <c r="D8112" s="27" t="s">
        <v>7</v>
      </c>
      <c r="E8112" s="27" t="s">
        <v>20</v>
      </c>
      <c r="F8112" s="29"/>
      <c r="G8112" s="30">
        <f t="shared" si="150"/>
        <v>11.363809523809524</v>
      </c>
    </row>
    <row r="8113" spans="1:7" hidden="1" x14ac:dyDescent="0.25">
      <c r="A8113" s="28">
        <v>44228</v>
      </c>
      <c r="B8113" s="27" t="s">
        <v>200</v>
      </c>
      <c r="C8113" s="27" t="s">
        <v>54</v>
      </c>
      <c r="D8113" s="27" t="s">
        <v>7</v>
      </c>
      <c r="E8113" s="27" t="s">
        <v>38</v>
      </c>
      <c r="F8113" s="29"/>
      <c r="G8113" s="30">
        <f t="shared" si="150"/>
        <v>11.363809523809524</v>
      </c>
    </row>
    <row r="8114" spans="1:7" hidden="1" x14ac:dyDescent="0.25">
      <c r="A8114" s="28">
        <v>44228</v>
      </c>
      <c r="B8114" s="27" t="s">
        <v>200</v>
      </c>
      <c r="C8114" s="27" t="s">
        <v>54</v>
      </c>
      <c r="D8114" s="27" t="s">
        <v>7</v>
      </c>
      <c r="E8114" s="27" t="s">
        <v>23</v>
      </c>
      <c r="F8114" s="29"/>
      <c r="G8114" s="30">
        <f t="shared" si="150"/>
        <v>11.363809523809524</v>
      </c>
    </row>
    <row r="8115" spans="1:7" hidden="1" x14ac:dyDescent="0.25">
      <c r="A8115" s="28">
        <v>44228</v>
      </c>
      <c r="B8115" s="27" t="s">
        <v>200</v>
      </c>
      <c r="C8115" s="27" t="s">
        <v>54</v>
      </c>
      <c r="D8115" s="27" t="s">
        <v>7</v>
      </c>
      <c r="E8115" s="27" t="s">
        <v>40</v>
      </c>
      <c r="F8115" s="29"/>
      <c r="G8115" s="30">
        <f t="shared" si="150"/>
        <v>11.363809523809524</v>
      </c>
    </row>
    <row r="8116" spans="1:7" hidden="1" x14ac:dyDescent="0.25">
      <c r="A8116" s="28">
        <v>44228</v>
      </c>
      <c r="B8116" s="27" t="s">
        <v>200</v>
      </c>
      <c r="C8116" s="27" t="s">
        <v>55</v>
      </c>
      <c r="D8116" s="27" t="s">
        <v>6</v>
      </c>
      <c r="E8116" s="27" t="s">
        <v>8</v>
      </c>
      <c r="F8116" s="29"/>
      <c r="G8116" s="30">
        <f t="shared" ref="G8116:G8136" si="151">27868.4135111111/21</f>
        <v>1327.0673100529095</v>
      </c>
    </row>
    <row r="8117" spans="1:7" hidden="1" x14ac:dyDescent="0.25">
      <c r="A8117" s="28">
        <v>44228</v>
      </c>
      <c r="B8117" s="27" t="s">
        <v>200</v>
      </c>
      <c r="C8117" s="27" t="s">
        <v>55</v>
      </c>
      <c r="D8117" s="27" t="s">
        <v>6</v>
      </c>
      <c r="E8117" s="27" t="s">
        <v>9</v>
      </c>
      <c r="F8117" s="29"/>
      <c r="G8117" s="30">
        <f t="shared" si="151"/>
        <v>1327.0673100529095</v>
      </c>
    </row>
    <row r="8118" spans="1:7" hidden="1" x14ac:dyDescent="0.25">
      <c r="A8118" s="28">
        <v>44228</v>
      </c>
      <c r="B8118" s="27" t="s">
        <v>200</v>
      </c>
      <c r="C8118" s="27" t="s">
        <v>55</v>
      </c>
      <c r="D8118" s="27" t="s">
        <v>6</v>
      </c>
      <c r="E8118" s="27" t="s">
        <v>22</v>
      </c>
      <c r="F8118" s="29"/>
      <c r="G8118" s="30">
        <f t="shared" si="151"/>
        <v>1327.0673100529095</v>
      </c>
    </row>
    <row r="8119" spans="1:7" hidden="1" x14ac:dyDescent="0.25">
      <c r="A8119" s="28">
        <v>44228</v>
      </c>
      <c r="B8119" s="27" t="s">
        <v>200</v>
      </c>
      <c r="C8119" s="27" t="s">
        <v>55</v>
      </c>
      <c r="D8119" s="27" t="s">
        <v>6</v>
      </c>
      <c r="E8119" s="27" t="s">
        <v>39</v>
      </c>
      <c r="F8119" s="29"/>
      <c r="G8119" s="30">
        <f t="shared" si="151"/>
        <v>1327.0673100529095</v>
      </c>
    </row>
    <row r="8120" spans="1:7" hidden="1" x14ac:dyDescent="0.25">
      <c r="A8120" s="28">
        <v>44228</v>
      </c>
      <c r="B8120" s="27" t="s">
        <v>200</v>
      </c>
      <c r="C8120" s="27" t="s">
        <v>55</v>
      </c>
      <c r="D8120" s="27" t="s">
        <v>6</v>
      </c>
      <c r="E8120" s="27" t="s">
        <v>64</v>
      </c>
      <c r="F8120" s="29"/>
      <c r="G8120" s="30">
        <f t="shared" si="151"/>
        <v>1327.0673100529095</v>
      </c>
    </row>
    <row r="8121" spans="1:7" hidden="1" x14ac:dyDescent="0.25">
      <c r="A8121" s="28">
        <v>44228</v>
      </c>
      <c r="B8121" s="27" t="s">
        <v>200</v>
      </c>
      <c r="C8121" s="27" t="s">
        <v>55</v>
      </c>
      <c r="D8121" s="27" t="s">
        <v>6</v>
      </c>
      <c r="E8121" s="27" t="s">
        <v>21</v>
      </c>
      <c r="F8121" s="29"/>
      <c r="G8121" s="30">
        <f t="shared" si="151"/>
        <v>1327.0673100529095</v>
      </c>
    </row>
    <row r="8122" spans="1:7" hidden="1" x14ac:dyDescent="0.25">
      <c r="A8122" s="28">
        <v>44228</v>
      </c>
      <c r="B8122" s="27" t="s">
        <v>200</v>
      </c>
      <c r="C8122" s="27" t="s">
        <v>55</v>
      </c>
      <c r="D8122" s="27" t="s">
        <v>6</v>
      </c>
      <c r="E8122" s="27" t="s">
        <v>41</v>
      </c>
      <c r="F8122" s="29"/>
      <c r="G8122" s="30">
        <f t="shared" si="151"/>
        <v>1327.0673100529095</v>
      </c>
    </row>
    <row r="8123" spans="1:7" hidden="1" x14ac:dyDescent="0.25">
      <c r="A8123" s="28">
        <v>44228</v>
      </c>
      <c r="B8123" s="27" t="s">
        <v>200</v>
      </c>
      <c r="C8123" s="27" t="s">
        <v>55</v>
      </c>
      <c r="D8123" s="27" t="s">
        <v>6</v>
      </c>
      <c r="E8123" s="27" t="s">
        <v>10</v>
      </c>
      <c r="F8123" s="29"/>
      <c r="G8123" s="30">
        <f t="shared" si="151"/>
        <v>1327.0673100529095</v>
      </c>
    </row>
    <row r="8124" spans="1:7" hidden="1" x14ac:dyDescent="0.25">
      <c r="A8124" s="28">
        <v>44228</v>
      </c>
      <c r="B8124" s="27" t="s">
        <v>200</v>
      </c>
      <c r="C8124" s="27" t="s">
        <v>55</v>
      </c>
      <c r="D8124" s="27" t="s">
        <v>6</v>
      </c>
      <c r="E8124" s="27" t="s">
        <v>11</v>
      </c>
      <c r="F8124" s="29"/>
      <c r="G8124" s="30">
        <f t="shared" si="151"/>
        <v>1327.0673100529095</v>
      </c>
    </row>
    <row r="8125" spans="1:7" hidden="1" x14ac:dyDescent="0.25">
      <c r="A8125" s="28">
        <v>44228</v>
      </c>
      <c r="B8125" s="27" t="s">
        <v>200</v>
      </c>
      <c r="C8125" s="27" t="s">
        <v>55</v>
      </c>
      <c r="D8125" s="27" t="s">
        <v>6</v>
      </c>
      <c r="E8125" s="27" t="s">
        <v>12</v>
      </c>
      <c r="F8125" s="29"/>
      <c r="G8125" s="30">
        <f t="shared" si="151"/>
        <v>1327.0673100529095</v>
      </c>
    </row>
    <row r="8126" spans="1:7" hidden="1" x14ac:dyDescent="0.25">
      <c r="A8126" s="28">
        <v>44228</v>
      </c>
      <c r="B8126" s="27" t="s">
        <v>200</v>
      </c>
      <c r="C8126" s="27" t="s">
        <v>55</v>
      </c>
      <c r="D8126" s="27" t="s">
        <v>6</v>
      </c>
      <c r="E8126" s="27" t="s">
        <v>13</v>
      </c>
      <c r="F8126" s="29"/>
      <c r="G8126" s="30">
        <f t="shared" si="151"/>
        <v>1327.0673100529095</v>
      </c>
    </row>
    <row r="8127" spans="1:7" hidden="1" x14ac:dyDescent="0.25">
      <c r="A8127" s="28">
        <v>44228</v>
      </c>
      <c r="B8127" s="27" t="s">
        <v>200</v>
      </c>
      <c r="C8127" s="27" t="s">
        <v>55</v>
      </c>
      <c r="D8127" s="27" t="s">
        <v>6</v>
      </c>
      <c r="E8127" s="27" t="s">
        <v>14</v>
      </c>
      <c r="F8127" s="29"/>
      <c r="G8127" s="30">
        <f t="shared" si="151"/>
        <v>1327.0673100529095</v>
      </c>
    </row>
    <row r="8128" spans="1:7" hidden="1" x14ac:dyDescent="0.25">
      <c r="A8128" s="28">
        <v>44228</v>
      </c>
      <c r="B8128" s="27" t="s">
        <v>200</v>
      </c>
      <c r="C8128" s="27" t="s">
        <v>55</v>
      </c>
      <c r="D8128" s="27" t="s">
        <v>6</v>
      </c>
      <c r="E8128" s="27" t="s">
        <v>15</v>
      </c>
      <c r="F8128" s="29"/>
      <c r="G8128" s="30">
        <f t="shared" si="151"/>
        <v>1327.0673100529095</v>
      </c>
    </row>
    <row r="8129" spans="1:7" hidden="1" x14ac:dyDescent="0.25">
      <c r="A8129" s="28">
        <v>44228</v>
      </c>
      <c r="B8129" s="27" t="s">
        <v>200</v>
      </c>
      <c r="C8129" s="27" t="s">
        <v>55</v>
      </c>
      <c r="D8129" s="27" t="s">
        <v>6</v>
      </c>
      <c r="E8129" s="27" t="s">
        <v>16</v>
      </c>
      <c r="F8129" s="29"/>
      <c r="G8129" s="30">
        <f t="shared" si="151"/>
        <v>1327.0673100529095</v>
      </c>
    </row>
    <row r="8130" spans="1:7" hidden="1" x14ac:dyDescent="0.25">
      <c r="A8130" s="28">
        <v>44228</v>
      </c>
      <c r="B8130" s="27" t="s">
        <v>200</v>
      </c>
      <c r="C8130" s="27" t="s">
        <v>55</v>
      </c>
      <c r="D8130" s="27" t="s">
        <v>6</v>
      </c>
      <c r="E8130" s="27" t="s">
        <v>17</v>
      </c>
      <c r="F8130" s="29"/>
      <c r="G8130" s="30">
        <f t="shared" si="151"/>
        <v>1327.0673100529095</v>
      </c>
    </row>
    <row r="8131" spans="1:7" hidden="1" x14ac:dyDescent="0.25">
      <c r="A8131" s="28">
        <v>44228</v>
      </c>
      <c r="B8131" s="27" t="s">
        <v>200</v>
      </c>
      <c r="C8131" s="27" t="s">
        <v>55</v>
      </c>
      <c r="D8131" s="27" t="s">
        <v>6</v>
      </c>
      <c r="E8131" s="27" t="s">
        <v>18</v>
      </c>
      <c r="F8131" s="29"/>
      <c r="G8131" s="30">
        <f t="shared" si="151"/>
        <v>1327.0673100529095</v>
      </c>
    </row>
    <row r="8132" spans="1:7" hidden="1" x14ac:dyDescent="0.25">
      <c r="A8132" s="28">
        <v>44228</v>
      </c>
      <c r="B8132" s="27" t="s">
        <v>200</v>
      </c>
      <c r="C8132" s="27" t="s">
        <v>55</v>
      </c>
      <c r="D8132" s="27" t="s">
        <v>6</v>
      </c>
      <c r="E8132" s="27" t="s">
        <v>19</v>
      </c>
      <c r="F8132" s="29"/>
      <c r="G8132" s="30">
        <f t="shared" si="151"/>
        <v>1327.0673100529095</v>
      </c>
    </row>
    <row r="8133" spans="1:7" hidden="1" x14ac:dyDescent="0.25">
      <c r="A8133" s="28">
        <v>44228</v>
      </c>
      <c r="B8133" s="27" t="s">
        <v>200</v>
      </c>
      <c r="C8133" s="27" t="s">
        <v>55</v>
      </c>
      <c r="D8133" s="27" t="s">
        <v>6</v>
      </c>
      <c r="E8133" s="27" t="s">
        <v>20</v>
      </c>
      <c r="F8133" s="29"/>
      <c r="G8133" s="30">
        <f t="shared" si="151"/>
        <v>1327.0673100529095</v>
      </c>
    </row>
    <row r="8134" spans="1:7" hidden="1" x14ac:dyDescent="0.25">
      <c r="A8134" s="28">
        <v>44228</v>
      </c>
      <c r="B8134" s="27" t="s">
        <v>200</v>
      </c>
      <c r="C8134" s="27" t="s">
        <v>55</v>
      </c>
      <c r="D8134" s="27" t="s">
        <v>6</v>
      </c>
      <c r="E8134" s="27" t="s">
        <v>38</v>
      </c>
      <c r="F8134" s="29"/>
      <c r="G8134" s="30">
        <f t="shared" si="151"/>
        <v>1327.0673100529095</v>
      </c>
    </row>
    <row r="8135" spans="1:7" hidden="1" x14ac:dyDescent="0.25">
      <c r="A8135" s="28">
        <v>44228</v>
      </c>
      <c r="B8135" s="27" t="s">
        <v>200</v>
      </c>
      <c r="C8135" s="27" t="s">
        <v>55</v>
      </c>
      <c r="D8135" s="27" t="s">
        <v>6</v>
      </c>
      <c r="E8135" s="27" t="s">
        <v>23</v>
      </c>
      <c r="F8135" s="29"/>
      <c r="G8135" s="30">
        <f t="shared" si="151"/>
        <v>1327.0673100529095</v>
      </c>
    </row>
    <row r="8136" spans="1:7" hidden="1" x14ac:dyDescent="0.25">
      <c r="A8136" s="28">
        <v>44228</v>
      </c>
      <c r="B8136" s="27" t="s">
        <v>200</v>
      </c>
      <c r="C8136" s="27" t="s">
        <v>55</v>
      </c>
      <c r="D8136" s="27" t="s">
        <v>6</v>
      </c>
      <c r="E8136" s="27" t="s">
        <v>40</v>
      </c>
      <c r="F8136" s="29"/>
      <c r="G8136" s="30">
        <f t="shared" si="151"/>
        <v>1327.0673100529095</v>
      </c>
    </row>
    <row r="8137" spans="1:7" hidden="1" x14ac:dyDescent="0.25">
      <c r="A8137" s="28">
        <v>44228</v>
      </c>
      <c r="B8137" s="27" t="s">
        <v>200</v>
      </c>
      <c r="C8137" s="27" t="s">
        <v>183</v>
      </c>
      <c r="D8137" s="27" t="s">
        <v>7</v>
      </c>
      <c r="E8137" s="27" t="s">
        <v>8</v>
      </c>
      <c r="F8137" s="29"/>
      <c r="G8137" s="30">
        <f t="shared" ref="G8137:G8157" si="152">1934.39/21</f>
        <v>92.113809523809522</v>
      </c>
    </row>
    <row r="8138" spans="1:7" hidden="1" x14ac:dyDescent="0.25">
      <c r="A8138" s="28">
        <v>44228</v>
      </c>
      <c r="B8138" s="27" t="s">
        <v>200</v>
      </c>
      <c r="C8138" s="27" t="s">
        <v>183</v>
      </c>
      <c r="D8138" s="27" t="s">
        <v>7</v>
      </c>
      <c r="E8138" s="27" t="s">
        <v>9</v>
      </c>
      <c r="F8138" s="29"/>
      <c r="G8138" s="30">
        <f t="shared" si="152"/>
        <v>92.113809523809522</v>
      </c>
    </row>
    <row r="8139" spans="1:7" hidden="1" x14ac:dyDescent="0.25">
      <c r="A8139" s="28">
        <v>44228</v>
      </c>
      <c r="B8139" s="27" t="s">
        <v>200</v>
      </c>
      <c r="C8139" s="27" t="s">
        <v>183</v>
      </c>
      <c r="D8139" s="27" t="s">
        <v>7</v>
      </c>
      <c r="E8139" s="27" t="s">
        <v>22</v>
      </c>
      <c r="F8139" s="29"/>
      <c r="G8139" s="30">
        <f t="shared" si="152"/>
        <v>92.113809523809522</v>
      </c>
    </row>
    <row r="8140" spans="1:7" hidden="1" x14ac:dyDescent="0.25">
      <c r="A8140" s="28">
        <v>44228</v>
      </c>
      <c r="B8140" s="27" t="s">
        <v>200</v>
      </c>
      <c r="C8140" s="27" t="s">
        <v>183</v>
      </c>
      <c r="D8140" s="27" t="s">
        <v>7</v>
      </c>
      <c r="E8140" s="27" t="s">
        <v>39</v>
      </c>
      <c r="F8140" s="29"/>
      <c r="G8140" s="30">
        <f t="shared" si="152"/>
        <v>92.113809523809522</v>
      </c>
    </row>
    <row r="8141" spans="1:7" hidden="1" x14ac:dyDescent="0.25">
      <c r="A8141" s="28">
        <v>44228</v>
      </c>
      <c r="B8141" s="27" t="s">
        <v>200</v>
      </c>
      <c r="C8141" s="27" t="s">
        <v>183</v>
      </c>
      <c r="D8141" s="27" t="s">
        <v>7</v>
      </c>
      <c r="E8141" s="27" t="s">
        <v>64</v>
      </c>
      <c r="F8141" s="29"/>
      <c r="G8141" s="30">
        <f t="shared" si="152"/>
        <v>92.113809523809522</v>
      </c>
    </row>
    <row r="8142" spans="1:7" hidden="1" x14ac:dyDescent="0.25">
      <c r="A8142" s="28">
        <v>44228</v>
      </c>
      <c r="B8142" s="27" t="s">
        <v>200</v>
      </c>
      <c r="C8142" s="27" t="s">
        <v>183</v>
      </c>
      <c r="D8142" s="27" t="s">
        <v>7</v>
      </c>
      <c r="E8142" s="27" t="s">
        <v>21</v>
      </c>
      <c r="F8142" s="29"/>
      <c r="G8142" s="30">
        <f t="shared" si="152"/>
        <v>92.113809523809522</v>
      </c>
    </row>
    <row r="8143" spans="1:7" hidden="1" x14ac:dyDescent="0.25">
      <c r="A8143" s="28">
        <v>44228</v>
      </c>
      <c r="B8143" s="27" t="s">
        <v>200</v>
      </c>
      <c r="C8143" s="27" t="s">
        <v>183</v>
      </c>
      <c r="D8143" s="27" t="s">
        <v>7</v>
      </c>
      <c r="E8143" s="27" t="s">
        <v>41</v>
      </c>
      <c r="F8143" s="29"/>
      <c r="G8143" s="30">
        <f t="shared" si="152"/>
        <v>92.113809523809522</v>
      </c>
    </row>
    <row r="8144" spans="1:7" hidden="1" x14ac:dyDescent="0.25">
      <c r="A8144" s="28">
        <v>44228</v>
      </c>
      <c r="B8144" s="27" t="s">
        <v>200</v>
      </c>
      <c r="C8144" s="27" t="s">
        <v>183</v>
      </c>
      <c r="D8144" s="27" t="s">
        <v>7</v>
      </c>
      <c r="E8144" s="27" t="s">
        <v>10</v>
      </c>
      <c r="F8144" s="29"/>
      <c r="G8144" s="30">
        <f t="shared" si="152"/>
        <v>92.113809523809522</v>
      </c>
    </row>
    <row r="8145" spans="1:7" hidden="1" x14ac:dyDescent="0.25">
      <c r="A8145" s="28">
        <v>44228</v>
      </c>
      <c r="B8145" s="27" t="s">
        <v>200</v>
      </c>
      <c r="C8145" s="27" t="s">
        <v>183</v>
      </c>
      <c r="D8145" s="27" t="s">
        <v>7</v>
      </c>
      <c r="E8145" s="27" t="s">
        <v>11</v>
      </c>
      <c r="F8145" s="29"/>
      <c r="G8145" s="30">
        <f t="shared" si="152"/>
        <v>92.113809523809522</v>
      </c>
    </row>
    <row r="8146" spans="1:7" hidden="1" x14ac:dyDescent="0.25">
      <c r="A8146" s="28">
        <v>44228</v>
      </c>
      <c r="B8146" s="27" t="s">
        <v>200</v>
      </c>
      <c r="C8146" s="27" t="s">
        <v>183</v>
      </c>
      <c r="D8146" s="27" t="s">
        <v>7</v>
      </c>
      <c r="E8146" s="27" t="s">
        <v>12</v>
      </c>
      <c r="F8146" s="29"/>
      <c r="G8146" s="30">
        <f t="shared" si="152"/>
        <v>92.113809523809522</v>
      </c>
    </row>
    <row r="8147" spans="1:7" hidden="1" x14ac:dyDescent="0.25">
      <c r="A8147" s="28">
        <v>44228</v>
      </c>
      <c r="B8147" s="27" t="s">
        <v>200</v>
      </c>
      <c r="C8147" s="27" t="s">
        <v>183</v>
      </c>
      <c r="D8147" s="27" t="s">
        <v>7</v>
      </c>
      <c r="E8147" s="27" t="s">
        <v>13</v>
      </c>
      <c r="F8147" s="29"/>
      <c r="G8147" s="30">
        <f t="shared" si="152"/>
        <v>92.113809523809522</v>
      </c>
    </row>
    <row r="8148" spans="1:7" hidden="1" x14ac:dyDescent="0.25">
      <c r="A8148" s="28">
        <v>44228</v>
      </c>
      <c r="B8148" s="27" t="s">
        <v>200</v>
      </c>
      <c r="C8148" s="27" t="s">
        <v>183</v>
      </c>
      <c r="D8148" s="27" t="s">
        <v>7</v>
      </c>
      <c r="E8148" s="27" t="s">
        <v>14</v>
      </c>
      <c r="F8148" s="29"/>
      <c r="G8148" s="30">
        <f t="shared" si="152"/>
        <v>92.113809523809522</v>
      </c>
    </row>
    <row r="8149" spans="1:7" hidden="1" x14ac:dyDescent="0.25">
      <c r="A8149" s="28">
        <v>44228</v>
      </c>
      <c r="B8149" s="27" t="s">
        <v>200</v>
      </c>
      <c r="C8149" s="27" t="s">
        <v>183</v>
      </c>
      <c r="D8149" s="27" t="s">
        <v>7</v>
      </c>
      <c r="E8149" s="27" t="s">
        <v>15</v>
      </c>
      <c r="F8149" s="29"/>
      <c r="G8149" s="30">
        <f t="shared" si="152"/>
        <v>92.113809523809522</v>
      </c>
    </row>
    <row r="8150" spans="1:7" hidden="1" x14ac:dyDescent="0.25">
      <c r="A8150" s="28">
        <v>44228</v>
      </c>
      <c r="B8150" s="27" t="s">
        <v>200</v>
      </c>
      <c r="C8150" s="27" t="s">
        <v>183</v>
      </c>
      <c r="D8150" s="27" t="s">
        <v>7</v>
      </c>
      <c r="E8150" s="27" t="s">
        <v>16</v>
      </c>
      <c r="F8150" s="29"/>
      <c r="G8150" s="30">
        <f t="shared" si="152"/>
        <v>92.113809523809522</v>
      </c>
    </row>
    <row r="8151" spans="1:7" hidden="1" x14ac:dyDescent="0.25">
      <c r="A8151" s="28">
        <v>44228</v>
      </c>
      <c r="B8151" s="27" t="s">
        <v>200</v>
      </c>
      <c r="C8151" s="27" t="s">
        <v>183</v>
      </c>
      <c r="D8151" s="27" t="s">
        <v>7</v>
      </c>
      <c r="E8151" s="27" t="s">
        <v>17</v>
      </c>
      <c r="F8151" s="29"/>
      <c r="G8151" s="30">
        <f t="shared" si="152"/>
        <v>92.113809523809522</v>
      </c>
    </row>
    <row r="8152" spans="1:7" hidden="1" x14ac:dyDescent="0.25">
      <c r="A8152" s="28">
        <v>44228</v>
      </c>
      <c r="B8152" s="27" t="s">
        <v>200</v>
      </c>
      <c r="C8152" s="27" t="s">
        <v>183</v>
      </c>
      <c r="D8152" s="27" t="s">
        <v>7</v>
      </c>
      <c r="E8152" s="27" t="s">
        <v>18</v>
      </c>
      <c r="F8152" s="29"/>
      <c r="G8152" s="30">
        <f t="shared" si="152"/>
        <v>92.113809523809522</v>
      </c>
    </row>
    <row r="8153" spans="1:7" hidden="1" x14ac:dyDescent="0.25">
      <c r="A8153" s="28">
        <v>44228</v>
      </c>
      <c r="B8153" s="27" t="s">
        <v>200</v>
      </c>
      <c r="C8153" s="27" t="s">
        <v>183</v>
      </c>
      <c r="D8153" s="27" t="s">
        <v>7</v>
      </c>
      <c r="E8153" s="27" t="s">
        <v>19</v>
      </c>
      <c r="F8153" s="29"/>
      <c r="G8153" s="30">
        <f t="shared" si="152"/>
        <v>92.113809523809522</v>
      </c>
    </row>
    <row r="8154" spans="1:7" hidden="1" x14ac:dyDescent="0.25">
      <c r="A8154" s="28">
        <v>44228</v>
      </c>
      <c r="B8154" s="27" t="s">
        <v>200</v>
      </c>
      <c r="C8154" s="27" t="s">
        <v>183</v>
      </c>
      <c r="D8154" s="27" t="s">
        <v>7</v>
      </c>
      <c r="E8154" s="27" t="s">
        <v>20</v>
      </c>
      <c r="F8154" s="29"/>
      <c r="G8154" s="30">
        <f t="shared" si="152"/>
        <v>92.113809523809522</v>
      </c>
    </row>
    <row r="8155" spans="1:7" hidden="1" x14ac:dyDescent="0.25">
      <c r="A8155" s="28">
        <v>44228</v>
      </c>
      <c r="B8155" s="27" t="s">
        <v>200</v>
      </c>
      <c r="C8155" s="27" t="s">
        <v>183</v>
      </c>
      <c r="D8155" s="27" t="s">
        <v>7</v>
      </c>
      <c r="E8155" s="27" t="s">
        <v>38</v>
      </c>
      <c r="F8155" s="29"/>
      <c r="G8155" s="30">
        <f t="shared" si="152"/>
        <v>92.113809523809522</v>
      </c>
    </row>
    <row r="8156" spans="1:7" hidden="1" x14ac:dyDescent="0.25">
      <c r="A8156" s="28">
        <v>44228</v>
      </c>
      <c r="B8156" s="27" t="s">
        <v>200</v>
      </c>
      <c r="C8156" s="27" t="s">
        <v>183</v>
      </c>
      <c r="D8156" s="27" t="s">
        <v>7</v>
      </c>
      <c r="E8156" s="27" t="s">
        <v>23</v>
      </c>
      <c r="F8156" s="29"/>
      <c r="G8156" s="30">
        <f t="shared" si="152"/>
        <v>92.113809523809522</v>
      </c>
    </row>
    <row r="8157" spans="1:7" hidden="1" x14ac:dyDescent="0.25">
      <c r="A8157" s="28">
        <v>44228</v>
      </c>
      <c r="B8157" s="27" t="s">
        <v>200</v>
      </c>
      <c r="C8157" s="27" t="s">
        <v>183</v>
      </c>
      <c r="D8157" s="27" t="s">
        <v>7</v>
      </c>
      <c r="E8157" s="27" t="s">
        <v>40</v>
      </c>
      <c r="F8157" s="29"/>
      <c r="G8157" s="30">
        <f t="shared" si="152"/>
        <v>92.113809523809522</v>
      </c>
    </row>
    <row r="8158" spans="1:7" hidden="1" x14ac:dyDescent="0.25">
      <c r="A8158" s="28">
        <v>44228</v>
      </c>
      <c r="B8158" s="27" t="s">
        <v>200</v>
      </c>
      <c r="C8158" s="27" t="s">
        <v>56</v>
      </c>
      <c r="D8158" s="27" t="s">
        <v>6</v>
      </c>
      <c r="E8158" s="27" t="s">
        <v>8</v>
      </c>
      <c r="F8158" s="29"/>
      <c r="G8158" s="30">
        <v>3.7932247639432912</v>
      </c>
    </row>
    <row r="8159" spans="1:7" hidden="1" x14ac:dyDescent="0.25">
      <c r="A8159" s="28">
        <v>44228</v>
      </c>
      <c r="B8159" s="27" t="s">
        <v>200</v>
      </c>
      <c r="C8159" s="27" t="s">
        <v>56</v>
      </c>
      <c r="D8159" s="27" t="s">
        <v>6</v>
      </c>
      <c r="E8159" s="27" t="s">
        <v>9</v>
      </c>
      <c r="F8159" s="29"/>
      <c r="G8159" s="30">
        <v>3.7932247639432912</v>
      </c>
    </row>
    <row r="8160" spans="1:7" hidden="1" x14ac:dyDescent="0.25">
      <c r="A8160" s="28">
        <v>44228</v>
      </c>
      <c r="B8160" s="27" t="s">
        <v>200</v>
      </c>
      <c r="C8160" s="27" t="s">
        <v>56</v>
      </c>
      <c r="D8160" s="27" t="s">
        <v>6</v>
      </c>
      <c r="E8160" s="27" t="s">
        <v>22</v>
      </c>
      <c r="F8160" s="29"/>
      <c r="G8160" s="30">
        <v>3.7932247639432912</v>
      </c>
    </row>
    <row r="8161" spans="1:7" hidden="1" x14ac:dyDescent="0.25">
      <c r="A8161" s="28">
        <v>44228</v>
      </c>
      <c r="B8161" s="27" t="s">
        <v>200</v>
      </c>
      <c r="C8161" s="27" t="s">
        <v>56</v>
      </c>
      <c r="D8161" s="27" t="s">
        <v>6</v>
      </c>
      <c r="E8161" s="27" t="s">
        <v>39</v>
      </c>
      <c r="F8161" s="29"/>
      <c r="G8161" s="30">
        <v>3.7932247639432912</v>
      </c>
    </row>
    <row r="8162" spans="1:7" hidden="1" x14ac:dyDescent="0.25">
      <c r="A8162" s="28">
        <v>44228</v>
      </c>
      <c r="B8162" s="27" t="s">
        <v>200</v>
      </c>
      <c r="C8162" s="27" t="s">
        <v>56</v>
      </c>
      <c r="D8162" s="27" t="s">
        <v>6</v>
      </c>
      <c r="E8162" s="27" t="s">
        <v>64</v>
      </c>
      <c r="F8162" s="29"/>
      <c r="G8162" s="30">
        <v>3.7932247639432912</v>
      </c>
    </row>
    <row r="8163" spans="1:7" hidden="1" x14ac:dyDescent="0.25">
      <c r="A8163" s="28">
        <v>44228</v>
      </c>
      <c r="B8163" s="27" t="s">
        <v>200</v>
      </c>
      <c r="C8163" s="27" t="s">
        <v>56</v>
      </c>
      <c r="D8163" s="27" t="s">
        <v>6</v>
      </c>
      <c r="E8163" s="27" t="s">
        <v>21</v>
      </c>
      <c r="F8163" s="29"/>
      <c r="G8163" s="30">
        <v>3.7932247639432912</v>
      </c>
    </row>
    <row r="8164" spans="1:7" hidden="1" x14ac:dyDescent="0.25">
      <c r="A8164" s="28">
        <v>44228</v>
      </c>
      <c r="B8164" s="27" t="s">
        <v>200</v>
      </c>
      <c r="C8164" s="27" t="s">
        <v>56</v>
      </c>
      <c r="D8164" s="27" t="s">
        <v>6</v>
      </c>
      <c r="E8164" s="27" t="s">
        <v>41</v>
      </c>
      <c r="F8164" s="29"/>
      <c r="G8164" s="30">
        <v>3.7932247639432912</v>
      </c>
    </row>
    <row r="8165" spans="1:7" hidden="1" x14ac:dyDescent="0.25">
      <c r="A8165" s="28">
        <v>44228</v>
      </c>
      <c r="B8165" s="27" t="s">
        <v>200</v>
      </c>
      <c r="C8165" s="27" t="s">
        <v>56</v>
      </c>
      <c r="D8165" s="27" t="s">
        <v>6</v>
      </c>
      <c r="E8165" s="27" t="s">
        <v>10</v>
      </c>
      <c r="F8165" s="29"/>
      <c r="G8165" s="30">
        <v>3.7932247639432912</v>
      </c>
    </row>
    <row r="8166" spans="1:7" hidden="1" x14ac:dyDescent="0.25">
      <c r="A8166" s="28">
        <v>44228</v>
      </c>
      <c r="B8166" s="27" t="s">
        <v>200</v>
      </c>
      <c r="C8166" s="27" t="s">
        <v>56</v>
      </c>
      <c r="D8166" s="27" t="s">
        <v>6</v>
      </c>
      <c r="E8166" s="27" t="s">
        <v>11</v>
      </c>
      <c r="F8166" s="29"/>
      <c r="G8166" s="30">
        <v>3.7932247639432912</v>
      </c>
    </row>
    <row r="8167" spans="1:7" hidden="1" x14ac:dyDescent="0.25">
      <c r="A8167" s="28">
        <v>44228</v>
      </c>
      <c r="B8167" s="27" t="s">
        <v>200</v>
      </c>
      <c r="C8167" s="27" t="s">
        <v>56</v>
      </c>
      <c r="D8167" s="27" t="s">
        <v>6</v>
      </c>
      <c r="E8167" s="27" t="s">
        <v>12</v>
      </c>
      <c r="F8167" s="29"/>
      <c r="G8167" s="30">
        <f t="shared" ref="G8167:G8178" si="153">46698.3864444444/21</f>
        <v>2223.7326878306858</v>
      </c>
    </row>
    <row r="8168" spans="1:7" hidden="1" x14ac:dyDescent="0.25">
      <c r="A8168" s="28">
        <v>44228</v>
      </c>
      <c r="B8168" s="27" t="s">
        <v>200</v>
      </c>
      <c r="C8168" s="27" t="s">
        <v>56</v>
      </c>
      <c r="D8168" s="27" t="s">
        <v>6</v>
      </c>
      <c r="E8168" s="27" t="s">
        <v>13</v>
      </c>
      <c r="F8168" s="29"/>
      <c r="G8168" s="30">
        <f t="shared" si="153"/>
        <v>2223.7326878306858</v>
      </c>
    </row>
    <row r="8169" spans="1:7" hidden="1" x14ac:dyDescent="0.25">
      <c r="A8169" s="28">
        <v>44228</v>
      </c>
      <c r="B8169" s="27" t="s">
        <v>200</v>
      </c>
      <c r="C8169" s="27" t="s">
        <v>56</v>
      </c>
      <c r="D8169" s="27" t="s">
        <v>6</v>
      </c>
      <c r="E8169" s="27" t="s">
        <v>14</v>
      </c>
      <c r="F8169" s="29"/>
      <c r="G8169" s="30">
        <f t="shared" si="153"/>
        <v>2223.7326878306858</v>
      </c>
    </row>
    <row r="8170" spans="1:7" hidden="1" x14ac:dyDescent="0.25">
      <c r="A8170" s="28">
        <v>44228</v>
      </c>
      <c r="B8170" s="27" t="s">
        <v>200</v>
      </c>
      <c r="C8170" s="27" t="s">
        <v>56</v>
      </c>
      <c r="D8170" s="27" t="s">
        <v>6</v>
      </c>
      <c r="E8170" s="27" t="s">
        <v>15</v>
      </c>
      <c r="F8170" s="29"/>
      <c r="G8170" s="30">
        <f t="shared" si="153"/>
        <v>2223.7326878306858</v>
      </c>
    </row>
    <row r="8171" spans="1:7" hidden="1" x14ac:dyDescent="0.25">
      <c r="A8171" s="28">
        <v>44228</v>
      </c>
      <c r="B8171" s="27" t="s">
        <v>200</v>
      </c>
      <c r="C8171" s="27" t="s">
        <v>56</v>
      </c>
      <c r="D8171" s="27" t="s">
        <v>6</v>
      </c>
      <c r="E8171" s="27" t="s">
        <v>16</v>
      </c>
      <c r="F8171" s="29"/>
      <c r="G8171" s="30">
        <f t="shared" si="153"/>
        <v>2223.7326878306858</v>
      </c>
    </row>
    <row r="8172" spans="1:7" hidden="1" x14ac:dyDescent="0.25">
      <c r="A8172" s="28">
        <v>44228</v>
      </c>
      <c r="B8172" s="27" t="s">
        <v>200</v>
      </c>
      <c r="C8172" s="27" t="s">
        <v>56</v>
      </c>
      <c r="D8172" s="27" t="s">
        <v>6</v>
      </c>
      <c r="E8172" s="27" t="s">
        <v>17</v>
      </c>
      <c r="F8172" s="29"/>
      <c r="G8172" s="30">
        <f t="shared" si="153"/>
        <v>2223.7326878306858</v>
      </c>
    </row>
    <row r="8173" spans="1:7" hidden="1" x14ac:dyDescent="0.25">
      <c r="A8173" s="28">
        <v>44228</v>
      </c>
      <c r="B8173" s="27" t="s">
        <v>200</v>
      </c>
      <c r="C8173" s="27" t="s">
        <v>56</v>
      </c>
      <c r="D8173" s="27" t="s">
        <v>6</v>
      </c>
      <c r="E8173" s="27" t="s">
        <v>18</v>
      </c>
      <c r="F8173" s="29"/>
      <c r="G8173" s="30">
        <f t="shared" si="153"/>
        <v>2223.7326878306858</v>
      </c>
    </row>
    <row r="8174" spans="1:7" hidden="1" x14ac:dyDescent="0.25">
      <c r="A8174" s="28">
        <v>44228</v>
      </c>
      <c r="B8174" s="27" t="s">
        <v>200</v>
      </c>
      <c r="C8174" s="27" t="s">
        <v>56</v>
      </c>
      <c r="D8174" s="27" t="s">
        <v>6</v>
      </c>
      <c r="E8174" s="27" t="s">
        <v>19</v>
      </c>
      <c r="F8174" s="29"/>
      <c r="G8174" s="30">
        <f t="shared" si="153"/>
        <v>2223.7326878306858</v>
      </c>
    </row>
    <row r="8175" spans="1:7" hidden="1" x14ac:dyDescent="0.25">
      <c r="A8175" s="28">
        <v>44228</v>
      </c>
      <c r="B8175" s="27" t="s">
        <v>200</v>
      </c>
      <c r="C8175" s="27" t="s">
        <v>56</v>
      </c>
      <c r="D8175" s="27" t="s">
        <v>6</v>
      </c>
      <c r="E8175" s="27" t="s">
        <v>20</v>
      </c>
      <c r="F8175" s="29"/>
      <c r="G8175" s="30">
        <f t="shared" si="153"/>
        <v>2223.7326878306858</v>
      </c>
    </row>
    <row r="8176" spans="1:7" hidden="1" x14ac:dyDescent="0.25">
      <c r="A8176" s="28">
        <v>44228</v>
      </c>
      <c r="B8176" s="27" t="s">
        <v>200</v>
      </c>
      <c r="C8176" s="27" t="s">
        <v>56</v>
      </c>
      <c r="D8176" s="27" t="s">
        <v>6</v>
      </c>
      <c r="E8176" s="27" t="s">
        <v>38</v>
      </c>
      <c r="F8176" s="29"/>
      <c r="G8176" s="30">
        <f t="shared" si="153"/>
        <v>2223.7326878306858</v>
      </c>
    </row>
    <row r="8177" spans="1:7" hidden="1" x14ac:dyDescent="0.25">
      <c r="A8177" s="28">
        <v>44228</v>
      </c>
      <c r="B8177" s="27" t="s">
        <v>200</v>
      </c>
      <c r="C8177" s="27" t="s">
        <v>56</v>
      </c>
      <c r="D8177" s="27" t="s">
        <v>6</v>
      </c>
      <c r="E8177" s="27" t="s">
        <v>23</v>
      </c>
      <c r="F8177" s="29"/>
      <c r="G8177" s="30">
        <f t="shared" si="153"/>
        <v>2223.7326878306858</v>
      </c>
    </row>
    <row r="8178" spans="1:7" hidden="1" x14ac:dyDescent="0.25">
      <c r="A8178" s="28">
        <v>44228</v>
      </c>
      <c r="B8178" s="27" t="s">
        <v>200</v>
      </c>
      <c r="C8178" s="27" t="s">
        <v>56</v>
      </c>
      <c r="D8178" s="27" t="s">
        <v>6</v>
      </c>
      <c r="E8178" s="27" t="s">
        <v>40</v>
      </c>
      <c r="F8178" s="29"/>
      <c r="G8178" s="30">
        <f t="shared" si="153"/>
        <v>2223.7326878306858</v>
      </c>
    </row>
    <row r="8179" spans="1:7" hidden="1" x14ac:dyDescent="0.25">
      <c r="A8179" s="28">
        <v>44228</v>
      </c>
      <c r="B8179" s="27" t="s">
        <v>200</v>
      </c>
      <c r="C8179" s="27" t="s">
        <v>182</v>
      </c>
      <c r="D8179" s="27" t="s">
        <v>7</v>
      </c>
      <c r="E8179" s="27" t="s">
        <v>8</v>
      </c>
      <c r="F8179" s="29"/>
      <c r="G8179" s="30">
        <f t="shared" ref="G8179:G8199" si="154">3550.39/21</f>
        <v>169.06619047619046</v>
      </c>
    </row>
    <row r="8180" spans="1:7" hidden="1" x14ac:dyDescent="0.25">
      <c r="A8180" s="28">
        <v>44228</v>
      </c>
      <c r="B8180" s="27" t="s">
        <v>200</v>
      </c>
      <c r="C8180" s="27" t="s">
        <v>182</v>
      </c>
      <c r="D8180" s="27" t="s">
        <v>7</v>
      </c>
      <c r="E8180" s="27" t="s">
        <v>9</v>
      </c>
      <c r="F8180" s="29"/>
      <c r="G8180" s="30">
        <f t="shared" si="154"/>
        <v>169.06619047619046</v>
      </c>
    </row>
    <row r="8181" spans="1:7" hidden="1" x14ac:dyDescent="0.25">
      <c r="A8181" s="28">
        <v>44228</v>
      </c>
      <c r="B8181" s="27" t="s">
        <v>200</v>
      </c>
      <c r="C8181" s="27" t="s">
        <v>182</v>
      </c>
      <c r="D8181" s="27" t="s">
        <v>7</v>
      </c>
      <c r="E8181" s="27" t="s">
        <v>22</v>
      </c>
      <c r="F8181" s="29"/>
      <c r="G8181" s="30">
        <f t="shared" si="154"/>
        <v>169.06619047619046</v>
      </c>
    </row>
    <row r="8182" spans="1:7" hidden="1" x14ac:dyDescent="0.25">
      <c r="A8182" s="28">
        <v>44228</v>
      </c>
      <c r="B8182" s="27" t="s">
        <v>200</v>
      </c>
      <c r="C8182" s="27" t="s">
        <v>182</v>
      </c>
      <c r="D8182" s="27" t="s">
        <v>7</v>
      </c>
      <c r="E8182" s="27" t="s">
        <v>39</v>
      </c>
      <c r="F8182" s="29"/>
      <c r="G8182" s="30">
        <f t="shared" si="154"/>
        <v>169.06619047619046</v>
      </c>
    </row>
    <row r="8183" spans="1:7" hidden="1" x14ac:dyDescent="0.25">
      <c r="A8183" s="28">
        <v>44228</v>
      </c>
      <c r="B8183" s="27" t="s">
        <v>200</v>
      </c>
      <c r="C8183" s="27" t="s">
        <v>182</v>
      </c>
      <c r="D8183" s="27" t="s">
        <v>7</v>
      </c>
      <c r="E8183" s="27" t="s">
        <v>64</v>
      </c>
      <c r="F8183" s="29"/>
      <c r="G8183" s="30">
        <f t="shared" si="154"/>
        <v>169.06619047619046</v>
      </c>
    </row>
    <row r="8184" spans="1:7" hidden="1" x14ac:dyDescent="0.25">
      <c r="A8184" s="28">
        <v>44228</v>
      </c>
      <c r="B8184" s="27" t="s">
        <v>200</v>
      </c>
      <c r="C8184" s="27" t="s">
        <v>182</v>
      </c>
      <c r="D8184" s="27" t="s">
        <v>7</v>
      </c>
      <c r="E8184" s="27" t="s">
        <v>21</v>
      </c>
      <c r="F8184" s="29"/>
      <c r="G8184" s="30">
        <f t="shared" si="154"/>
        <v>169.06619047619046</v>
      </c>
    </row>
    <row r="8185" spans="1:7" hidden="1" x14ac:dyDescent="0.25">
      <c r="A8185" s="28">
        <v>44228</v>
      </c>
      <c r="B8185" s="27" t="s">
        <v>200</v>
      </c>
      <c r="C8185" s="27" t="s">
        <v>182</v>
      </c>
      <c r="D8185" s="27" t="s">
        <v>7</v>
      </c>
      <c r="E8185" s="27" t="s">
        <v>41</v>
      </c>
      <c r="F8185" s="29"/>
      <c r="G8185" s="30">
        <f t="shared" si="154"/>
        <v>169.06619047619046</v>
      </c>
    </row>
    <row r="8186" spans="1:7" hidden="1" x14ac:dyDescent="0.25">
      <c r="A8186" s="28">
        <v>44228</v>
      </c>
      <c r="B8186" s="27" t="s">
        <v>200</v>
      </c>
      <c r="C8186" s="27" t="s">
        <v>182</v>
      </c>
      <c r="D8186" s="27" t="s">
        <v>7</v>
      </c>
      <c r="E8186" s="27" t="s">
        <v>10</v>
      </c>
      <c r="F8186" s="29"/>
      <c r="G8186" s="30">
        <f t="shared" si="154"/>
        <v>169.06619047619046</v>
      </c>
    </row>
    <row r="8187" spans="1:7" hidden="1" x14ac:dyDescent="0.25">
      <c r="A8187" s="28">
        <v>44228</v>
      </c>
      <c r="B8187" s="27" t="s">
        <v>200</v>
      </c>
      <c r="C8187" s="27" t="s">
        <v>182</v>
      </c>
      <c r="D8187" s="27" t="s">
        <v>7</v>
      </c>
      <c r="E8187" s="27" t="s">
        <v>11</v>
      </c>
      <c r="F8187" s="29"/>
      <c r="G8187" s="30">
        <f t="shared" si="154"/>
        <v>169.06619047619046</v>
      </c>
    </row>
    <row r="8188" spans="1:7" hidden="1" x14ac:dyDescent="0.25">
      <c r="A8188" s="28">
        <v>44228</v>
      </c>
      <c r="B8188" s="27" t="s">
        <v>200</v>
      </c>
      <c r="C8188" s="27" t="s">
        <v>182</v>
      </c>
      <c r="D8188" s="27" t="s">
        <v>7</v>
      </c>
      <c r="E8188" s="27" t="s">
        <v>12</v>
      </c>
      <c r="F8188" s="29"/>
      <c r="G8188" s="30">
        <f t="shared" si="154"/>
        <v>169.06619047619046</v>
      </c>
    </row>
    <row r="8189" spans="1:7" hidden="1" x14ac:dyDescent="0.25">
      <c r="A8189" s="28">
        <v>44228</v>
      </c>
      <c r="B8189" s="27" t="s">
        <v>200</v>
      </c>
      <c r="C8189" s="27" t="s">
        <v>182</v>
      </c>
      <c r="D8189" s="27" t="s">
        <v>7</v>
      </c>
      <c r="E8189" s="27" t="s">
        <v>13</v>
      </c>
      <c r="F8189" s="29"/>
      <c r="G8189" s="30">
        <f t="shared" si="154"/>
        <v>169.06619047619046</v>
      </c>
    </row>
    <row r="8190" spans="1:7" hidden="1" x14ac:dyDescent="0.25">
      <c r="A8190" s="28">
        <v>44228</v>
      </c>
      <c r="B8190" s="27" t="s">
        <v>200</v>
      </c>
      <c r="C8190" s="27" t="s">
        <v>182</v>
      </c>
      <c r="D8190" s="27" t="s">
        <v>7</v>
      </c>
      <c r="E8190" s="27" t="s">
        <v>14</v>
      </c>
      <c r="F8190" s="29"/>
      <c r="G8190" s="30">
        <f t="shared" si="154"/>
        <v>169.06619047619046</v>
      </c>
    </row>
    <row r="8191" spans="1:7" hidden="1" x14ac:dyDescent="0.25">
      <c r="A8191" s="28">
        <v>44228</v>
      </c>
      <c r="B8191" s="27" t="s">
        <v>200</v>
      </c>
      <c r="C8191" s="27" t="s">
        <v>182</v>
      </c>
      <c r="D8191" s="27" t="s">
        <v>7</v>
      </c>
      <c r="E8191" s="27" t="s">
        <v>15</v>
      </c>
      <c r="F8191" s="29"/>
      <c r="G8191" s="30">
        <f t="shared" si="154"/>
        <v>169.06619047619046</v>
      </c>
    </row>
    <row r="8192" spans="1:7" hidden="1" x14ac:dyDescent="0.25">
      <c r="A8192" s="28">
        <v>44228</v>
      </c>
      <c r="B8192" s="27" t="s">
        <v>200</v>
      </c>
      <c r="C8192" s="27" t="s">
        <v>182</v>
      </c>
      <c r="D8192" s="27" t="s">
        <v>7</v>
      </c>
      <c r="E8192" s="27" t="s">
        <v>16</v>
      </c>
      <c r="F8192" s="29"/>
      <c r="G8192" s="30">
        <f t="shared" si="154"/>
        <v>169.06619047619046</v>
      </c>
    </row>
    <row r="8193" spans="1:7" hidden="1" x14ac:dyDescent="0.25">
      <c r="A8193" s="28">
        <v>44228</v>
      </c>
      <c r="B8193" s="27" t="s">
        <v>200</v>
      </c>
      <c r="C8193" s="27" t="s">
        <v>182</v>
      </c>
      <c r="D8193" s="27" t="s">
        <v>7</v>
      </c>
      <c r="E8193" s="27" t="s">
        <v>17</v>
      </c>
      <c r="F8193" s="29"/>
      <c r="G8193" s="30">
        <f t="shared" si="154"/>
        <v>169.06619047619046</v>
      </c>
    </row>
    <row r="8194" spans="1:7" hidden="1" x14ac:dyDescent="0.25">
      <c r="A8194" s="28">
        <v>44228</v>
      </c>
      <c r="B8194" s="27" t="s">
        <v>200</v>
      </c>
      <c r="C8194" s="27" t="s">
        <v>182</v>
      </c>
      <c r="D8194" s="27" t="s">
        <v>7</v>
      </c>
      <c r="E8194" s="27" t="s">
        <v>18</v>
      </c>
      <c r="F8194" s="29"/>
      <c r="G8194" s="30">
        <f t="shared" si="154"/>
        <v>169.06619047619046</v>
      </c>
    </row>
    <row r="8195" spans="1:7" hidden="1" x14ac:dyDescent="0.25">
      <c r="A8195" s="28">
        <v>44228</v>
      </c>
      <c r="B8195" s="27" t="s">
        <v>200</v>
      </c>
      <c r="C8195" s="27" t="s">
        <v>182</v>
      </c>
      <c r="D8195" s="27" t="s">
        <v>7</v>
      </c>
      <c r="E8195" s="27" t="s">
        <v>19</v>
      </c>
      <c r="F8195" s="29"/>
      <c r="G8195" s="30">
        <f t="shared" si="154"/>
        <v>169.06619047619046</v>
      </c>
    </row>
    <row r="8196" spans="1:7" hidden="1" x14ac:dyDescent="0.25">
      <c r="A8196" s="28">
        <v>44228</v>
      </c>
      <c r="B8196" s="27" t="s">
        <v>200</v>
      </c>
      <c r="C8196" s="27" t="s">
        <v>182</v>
      </c>
      <c r="D8196" s="27" t="s">
        <v>7</v>
      </c>
      <c r="E8196" s="27" t="s">
        <v>20</v>
      </c>
      <c r="F8196" s="29"/>
      <c r="G8196" s="30">
        <f t="shared" si="154"/>
        <v>169.06619047619046</v>
      </c>
    </row>
    <row r="8197" spans="1:7" hidden="1" x14ac:dyDescent="0.25">
      <c r="A8197" s="28">
        <v>44228</v>
      </c>
      <c r="B8197" s="27" t="s">
        <v>200</v>
      </c>
      <c r="C8197" s="27" t="s">
        <v>182</v>
      </c>
      <c r="D8197" s="27" t="s">
        <v>7</v>
      </c>
      <c r="E8197" s="27" t="s">
        <v>38</v>
      </c>
      <c r="F8197" s="29"/>
      <c r="G8197" s="30">
        <f t="shared" si="154"/>
        <v>169.06619047619046</v>
      </c>
    </row>
    <row r="8198" spans="1:7" hidden="1" x14ac:dyDescent="0.25">
      <c r="A8198" s="28">
        <v>44228</v>
      </c>
      <c r="B8198" s="27" t="s">
        <v>200</v>
      </c>
      <c r="C8198" s="27" t="s">
        <v>182</v>
      </c>
      <c r="D8198" s="27" t="s">
        <v>7</v>
      </c>
      <c r="E8198" s="27" t="s">
        <v>23</v>
      </c>
      <c r="F8198" s="29"/>
      <c r="G8198" s="30">
        <f t="shared" si="154"/>
        <v>169.06619047619046</v>
      </c>
    </row>
    <row r="8199" spans="1:7" hidden="1" x14ac:dyDescent="0.25">
      <c r="A8199" s="28">
        <v>44228</v>
      </c>
      <c r="B8199" s="27" t="s">
        <v>200</v>
      </c>
      <c r="C8199" s="27" t="s">
        <v>182</v>
      </c>
      <c r="D8199" s="27" t="s">
        <v>7</v>
      </c>
      <c r="E8199" s="27" t="s">
        <v>40</v>
      </c>
      <c r="F8199" s="29"/>
      <c r="G8199" s="30">
        <f t="shared" si="154"/>
        <v>169.06619047619046</v>
      </c>
    </row>
    <row r="8200" spans="1:7" hidden="1" x14ac:dyDescent="0.25">
      <c r="A8200" s="28">
        <v>44228</v>
      </c>
      <c r="B8200" s="27" t="s">
        <v>35</v>
      </c>
      <c r="C8200" s="27" t="s">
        <v>50</v>
      </c>
      <c r="D8200" s="27" t="s">
        <v>7</v>
      </c>
      <c r="E8200" s="27" t="s">
        <v>8</v>
      </c>
      <c r="F8200" s="29"/>
      <c r="G8200" s="30">
        <v>502.11095238095237</v>
      </c>
    </row>
    <row r="8201" spans="1:7" hidden="1" x14ac:dyDescent="0.25">
      <c r="A8201" s="28">
        <v>44228</v>
      </c>
      <c r="B8201" s="27" t="s">
        <v>35</v>
      </c>
      <c r="C8201" s="27" t="s">
        <v>50</v>
      </c>
      <c r="D8201" s="27" t="s">
        <v>7</v>
      </c>
      <c r="E8201" s="27" t="s">
        <v>9</v>
      </c>
      <c r="F8201" s="29"/>
      <c r="G8201" s="30">
        <v>502.11095238095237</v>
      </c>
    </row>
    <row r="8202" spans="1:7" hidden="1" x14ac:dyDescent="0.25">
      <c r="A8202" s="28">
        <v>44228</v>
      </c>
      <c r="B8202" s="27" t="s">
        <v>35</v>
      </c>
      <c r="C8202" s="27" t="s">
        <v>50</v>
      </c>
      <c r="D8202" s="27" t="s">
        <v>7</v>
      </c>
      <c r="E8202" s="27" t="s">
        <v>22</v>
      </c>
      <c r="F8202" s="29"/>
      <c r="G8202" s="30">
        <v>502.11095238095237</v>
      </c>
    </row>
    <row r="8203" spans="1:7" hidden="1" x14ac:dyDescent="0.25">
      <c r="A8203" s="28">
        <v>44228</v>
      </c>
      <c r="B8203" s="27" t="s">
        <v>35</v>
      </c>
      <c r="C8203" s="27" t="s">
        <v>50</v>
      </c>
      <c r="D8203" s="27" t="s">
        <v>7</v>
      </c>
      <c r="E8203" s="27" t="s">
        <v>39</v>
      </c>
      <c r="F8203" s="29"/>
      <c r="G8203" s="30">
        <v>502.11095238095237</v>
      </c>
    </row>
    <row r="8204" spans="1:7" hidden="1" x14ac:dyDescent="0.25">
      <c r="A8204" s="28">
        <v>44228</v>
      </c>
      <c r="B8204" s="27" t="s">
        <v>35</v>
      </c>
      <c r="C8204" s="27" t="s">
        <v>50</v>
      </c>
      <c r="D8204" s="27" t="s">
        <v>7</v>
      </c>
      <c r="E8204" s="27" t="s">
        <v>64</v>
      </c>
      <c r="F8204" s="29"/>
      <c r="G8204" s="30">
        <v>502.11095238095237</v>
      </c>
    </row>
    <row r="8205" spans="1:7" hidden="1" x14ac:dyDescent="0.25">
      <c r="A8205" s="28">
        <v>44228</v>
      </c>
      <c r="B8205" s="27" t="s">
        <v>35</v>
      </c>
      <c r="C8205" s="27" t="s">
        <v>50</v>
      </c>
      <c r="D8205" s="27" t="s">
        <v>7</v>
      </c>
      <c r="E8205" s="27" t="s">
        <v>21</v>
      </c>
      <c r="F8205" s="29"/>
      <c r="G8205" s="30">
        <v>502.11095238095237</v>
      </c>
    </row>
    <row r="8206" spans="1:7" hidden="1" x14ac:dyDescent="0.25">
      <c r="A8206" s="28">
        <v>44228</v>
      </c>
      <c r="B8206" s="27" t="s">
        <v>35</v>
      </c>
      <c r="C8206" s="27" t="s">
        <v>50</v>
      </c>
      <c r="D8206" s="27" t="s">
        <v>7</v>
      </c>
      <c r="E8206" s="27" t="s">
        <v>41</v>
      </c>
      <c r="F8206" s="29"/>
      <c r="G8206" s="30">
        <v>502.11095238095237</v>
      </c>
    </row>
    <row r="8207" spans="1:7" hidden="1" x14ac:dyDescent="0.25">
      <c r="A8207" s="28">
        <v>44228</v>
      </c>
      <c r="B8207" s="27" t="s">
        <v>35</v>
      </c>
      <c r="C8207" s="27" t="s">
        <v>50</v>
      </c>
      <c r="D8207" s="27" t="s">
        <v>7</v>
      </c>
      <c r="E8207" s="27" t="s">
        <v>10</v>
      </c>
      <c r="F8207" s="29"/>
      <c r="G8207" s="30">
        <v>502.11095238095237</v>
      </c>
    </row>
    <row r="8208" spans="1:7" hidden="1" x14ac:dyDescent="0.25">
      <c r="A8208" s="28">
        <v>44228</v>
      </c>
      <c r="B8208" s="27" t="s">
        <v>35</v>
      </c>
      <c r="C8208" s="27" t="s">
        <v>50</v>
      </c>
      <c r="D8208" s="27" t="s">
        <v>7</v>
      </c>
      <c r="E8208" s="27" t="s">
        <v>11</v>
      </c>
      <c r="F8208" s="29"/>
      <c r="G8208" s="30">
        <v>502.11095238095237</v>
      </c>
    </row>
    <row r="8209" spans="1:7" hidden="1" x14ac:dyDescent="0.25">
      <c r="A8209" s="28">
        <v>44228</v>
      </c>
      <c r="B8209" s="27" t="s">
        <v>35</v>
      </c>
      <c r="C8209" s="27" t="s">
        <v>50</v>
      </c>
      <c r="D8209" s="27" t="s">
        <v>7</v>
      </c>
      <c r="E8209" s="27" t="s">
        <v>12</v>
      </c>
      <c r="F8209" s="29"/>
      <c r="G8209" s="30">
        <v>502.11095238095237</v>
      </c>
    </row>
    <row r="8210" spans="1:7" hidden="1" x14ac:dyDescent="0.25">
      <c r="A8210" s="28">
        <v>44228</v>
      </c>
      <c r="B8210" s="27" t="s">
        <v>35</v>
      </c>
      <c r="C8210" s="27" t="s">
        <v>50</v>
      </c>
      <c r="D8210" s="27" t="s">
        <v>7</v>
      </c>
      <c r="E8210" s="27" t="s">
        <v>13</v>
      </c>
      <c r="F8210" s="29"/>
      <c r="G8210" s="30">
        <v>502.11095238095237</v>
      </c>
    </row>
    <row r="8211" spans="1:7" hidden="1" x14ac:dyDescent="0.25">
      <c r="A8211" s="28">
        <v>44228</v>
      </c>
      <c r="B8211" s="27" t="s">
        <v>35</v>
      </c>
      <c r="C8211" s="27" t="s">
        <v>50</v>
      </c>
      <c r="D8211" s="27" t="s">
        <v>7</v>
      </c>
      <c r="E8211" s="27" t="s">
        <v>14</v>
      </c>
      <c r="F8211" s="29"/>
      <c r="G8211" s="30">
        <v>502.11095238095237</v>
      </c>
    </row>
    <row r="8212" spans="1:7" hidden="1" x14ac:dyDescent="0.25">
      <c r="A8212" s="28">
        <v>44228</v>
      </c>
      <c r="B8212" s="27" t="s">
        <v>35</v>
      </c>
      <c r="C8212" s="27" t="s">
        <v>50</v>
      </c>
      <c r="D8212" s="27" t="s">
        <v>7</v>
      </c>
      <c r="E8212" s="27" t="s">
        <v>15</v>
      </c>
      <c r="F8212" s="29"/>
      <c r="G8212" s="30">
        <v>502.11095238095237</v>
      </c>
    </row>
    <row r="8213" spans="1:7" hidden="1" x14ac:dyDescent="0.25">
      <c r="A8213" s="28">
        <v>44228</v>
      </c>
      <c r="B8213" s="27" t="s">
        <v>35</v>
      </c>
      <c r="C8213" s="27" t="s">
        <v>50</v>
      </c>
      <c r="D8213" s="27" t="s">
        <v>7</v>
      </c>
      <c r="E8213" s="27" t="s">
        <v>16</v>
      </c>
      <c r="F8213" s="29"/>
      <c r="G8213" s="30">
        <v>502.11095238095237</v>
      </c>
    </row>
    <row r="8214" spans="1:7" hidden="1" x14ac:dyDescent="0.25">
      <c r="A8214" s="28">
        <v>44228</v>
      </c>
      <c r="B8214" s="27" t="s">
        <v>35</v>
      </c>
      <c r="C8214" s="27" t="s">
        <v>50</v>
      </c>
      <c r="D8214" s="27" t="s">
        <v>7</v>
      </c>
      <c r="E8214" s="27" t="s">
        <v>17</v>
      </c>
      <c r="F8214" s="29"/>
      <c r="G8214" s="30">
        <v>502.11095238095237</v>
      </c>
    </row>
    <row r="8215" spans="1:7" hidden="1" x14ac:dyDescent="0.25">
      <c r="A8215" s="28">
        <v>44228</v>
      </c>
      <c r="B8215" s="27" t="s">
        <v>35</v>
      </c>
      <c r="C8215" s="27" t="s">
        <v>50</v>
      </c>
      <c r="D8215" s="27" t="s">
        <v>7</v>
      </c>
      <c r="E8215" s="27" t="s">
        <v>18</v>
      </c>
      <c r="F8215" s="29"/>
      <c r="G8215" s="30">
        <v>502.11095238095237</v>
      </c>
    </row>
    <row r="8216" spans="1:7" hidden="1" x14ac:dyDescent="0.25">
      <c r="A8216" s="28">
        <v>44228</v>
      </c>
      <c r="B8216" s="27" t="s">
        <v>35</v>
      </c>
      <c r="C8216" s="27" t="s">
        <v>50</v>
      </c>
      <c r="D8216" s="27" t="s">
        <v>7</v>
      </c>
      <c r="E8216" s="27" t="s">
        <v>19</v>
      </c>
      <c r="F8216" s="29"/>
      <c r="G8216" s="30">
        <v>502.11095238095237</v>
      </c>
    </row>
    <row r="8217" spans="1:7" hidden="1" x14ac:dyDescent="0.25">
      <c r="A8217" s="28">
        <v>44228</v>
      </c>
      <c r="B8217" s="27" t="s">
        <v>35</v>
      </c>
      <c r="C8217" s="27" t="s">
        <v>50</v>
      </c>
      <c r="D8217" s="27" t="s">
        <v>7</v>
      </c>
      <c r="E8217" s="27" t="s">
        <v>20</v>
      </c>
      <c r="F8217" s="29"/>
      <c r="G8217" s="30">
        <v>502.11095238095237</v>
      </c>
    </row>
    <row r="8218" spans="1:7" hidden="1" x14ac:dyDescent="0.25">
      <c r="A8218" s="28">
        <v>44228</v>
      </c>
      <c r="B8218" s="27" t="s">
        <v>35</v>
      </c>
      <c r="C8218" s="27" t="s">
        <v>50</v>
      </c>
      <c r="D8218" s="27" t="s">
        <v>7</v>
      </c>
      <c r="E8218" s="27" t="s">
        <v>38</v>
      </c>
      <c r="F8218" s="29"/>
      <c r="G8218" s="30">
        <v>502.11095238095237</v>
      </c>
    </row>
    <row r="8219" spans="1:7" hidden="1" x14ac:dyDescent="0.25">
      <c r="A8219" s="28">
        <v>44228</v>
      </c>
      <c r="B8219" s="27" t="s">
        <v>35</v>
      </c>
      <c r="C8219" s="27" t="s">
        <v>50</v>
      </c>
      <c r="D8219" s="27" t="s">
        <v>7</v>
      </c>
      <c r="E8219" s="27" t="s">
        <v>23</v>
      </c>
      <c r="F8219" s="29"/>
      <c r="G8219" s="30">
        <v>502.11095238095237</v>
      </c>
    </row>
    <row r="8220" spans="1:7" hidden="1" x14ac:dyDescent="0.25">
      <c r="A8220" s="28">
        <v>44228</v>
      </c>
      <c r="B8220" s="27" t="s">
        <v>35</v>
      </c>
      <c r="C8220" s="27" t="s">
        <v>50</v>
      </c>
      <c r="D8220" s="27" t="s">
        <v>7</v>
      </c>
      <c r="E8220" s="27" t="s">
        <v>40</v>
      </c>
      <c r="F8220" s="29"/>
      <c r="G8220" s="30">
        <v>502.11095238095237</v>
      </c>
    </row>
    <row r="8221" spans="1:7" hidden="1" x14ac:dyDescent="0.25">
      <c r="A8221" s="28">
        <v>44256</v>
      </c>
      <c r="B8221" s="27" t="s">
        <v>33</v>
      </c>
      <c r="C8221" s="27" t="s">
        <v>50</v>
      </c>
      <c r="D8221" s="27" t="s">
        <v>7</v>
      </c>
      <c r="E8221" s="27" t="s">
        <v>8</v>
      </c>
      <c r="F8221" s="29"/>
      <c r="G8221" s="30">
        <v>1986.5309523809524</v>
      </c>
    </row>
    <row r="8222" spans="1:7" hidden="1" x14ac:dyDescent="0.25">
      <c r="A8222" s="28">
        <v>44256</v>
      </c>
      <c r="B8222" s="27" t="s">
        <v>33</v>
      </c>
      <c r="C8222" s="27" t="s">
        <v>50</v>
      </c>
      <c r="D8222" s="27" t="s">
        <v>7</v>
      </c>
      <c r="E8222" s="27" t="s">
        <v>9</v>
      </c>
      <c r="F8222" s="29"/>
      <c r="G8222" s="30">
        <v>1986.5309523809524</v>
      </c>
    </row>
    <row r="8223" spans="1:7" hidden="1" x14ac:dyDescent="0.25">
      <c r="A8223" s="28">
        <v>44256</v>
      </c>
      <c r="B8223" s="27" t="s">
        <v>33</v>
      </c>
      <c r="C8223" s="27" t="s">
        <v>50</v>
      </c>
      <c r="D8223" s="27" t="s">
        <v>7</v>
      </c>
      <c r="E8223" s="27" t="s">
        <v>22</v>
      </c>
      <c r="F8223" s="29"/>
      <c r="G8223" s="30">
        <v>1986.5309523809524</v>
      </c>
    </row>
    <row r="8224" spans="1:7" hidden="1" x14ac:dyDescent="0.25">
      <c r="A8224" s="28">
        <v>44256</v>
      </c>
      <c r="B8224" s="27" t="s">
        <v>33</v>
      </c>
      <c r="C8224" s="27" t="s">
        <v>50</v>
      </c>
      <c r="D8224" s="27" t="s">
        <v>7</v>
      </c>
      <c r="E8224" s="27" t="s">
        <v>39</v>
      </c>
      <c r="F8224" s="29"/>
      <c r="G8224" s="30">
        <v>1986.5309523809524</v>
      </c>
    </row>
    <row r="8225" spans="1:7" hidden="1" x14ac:dyDescent="0.25">
      <c r="A8225" s="28">
        <v>44256</v>
      </c>
      <c r="B8225" s="27" t="s">
        <v>33</v>
      </c>
      <c r="C8225" s="27" t="s">
        <v>50</v>
      </c>
      <c r="D8225" s="27" t="s">
        <v>7</v>
      </c>
      <c r="E8225" s="27" t="s">
        <v>64</v>
      </c>
      <c r="F8225" s="29"/>
      <c r="G8225" s="30">
        <v>1986.5309523809524</v>
      </c>
    </row>
    <row r="8226" spans="1:7" hidden="1" x14ac:dyDescent="0.25">
      <c r="A8226" s="28">
        <v>44256</v>
      </c>
      <c r="B8226" s="27" t="s">
        <v>33</v>
      </c>
      <c r="C8226" s="27" t="s">
        <v>50</v>
      </c>
      <c r="D8226" s="27" t="s">
        <v>7</v>
      </c>
      <c r="E8226" s="27" t="s">
        <v>21</v>
      </c>
      <c r="F8226" s="29"/>
      <c r="G8226" s="30">
        <v>1986.5309523809524</v>
      </c>
    </row>
    <row r="8227" spans="1:7" hidden="1" x14ac:dyDescent="0.25">
      <c r="A8227" s="28">
        <v>44256</v>
      </c>
      <c r="B8227" s="27" t="s">
        <v>33</v>
      </c>
      <c r="C8227" s="27" t="s">
        <v>50</v>
      </c>
      <c r="D8227" s="27" t="s">
        <v>7</v>
      </c>
      <c r="E8227" s="27" t="s">
        <v>41</v>
      </c>
      <c r="F8227" s="29"/>
      <c r="G8227" s="30">
        <v>1986.5309523809524</v>
      </c>
    </row>
    <row r="8228" spans="1:7" hidden="1" x14ac:dyDescent="0.25">
      <c r="A8228" s="28">
        <v>44256</v>
      </c>
      <c r="B8228" s="27" t="s">
        <v>33</v>
      </c>
      <c r="C8228" s="27" t="s">
        <v>50</v>
      </c>
      <c r="D8228" s="27" t="s">
        <v>7</v>
      </c>
      <c r="E8228" s="27" t="s">
        <v>10</v>
      </c>
      <c r="F8228" s="29"/>
      <c r="G8228" s="30">
        <v>1986.5309523809524</v>
      </c>
    </row>
    <row r="8229" spans="1:7" hidden="1" x14ac:dyDescent="0.25">
      <c r="A8229" s="28">
        <v>44256</v>
      </c>
      <c r="B8229" s="27" t="s">
        <v>33</v>
      </c>
      <c r="C8229" s="27" t="s">
        <v>50</v>
      </c>
      <c r="D8229" s="27" t="s">
        <v>7</v>
      </c>
      <c r="E8229" s="27" t="s">
        <v>11</v>
      </c>
      <c r="F8229" s="29"/>
      <c r="G8229" s="30">
        <v>1986.5309523809524</v>
      </c>
    </row>
    <row r="8230" spans="1:7" hidden="1" x14ac:dyDescent="0.25">
      <c r="A8230" s="28">
        <v>44256</v>
      </c>
      <c r="B8230" s="27" t="s">
        <v>33</v>
      </c>
      <c r="C8230" s="27" t="s">
        <v>50</v>
      </c>
      <c r="D8230" s="27" t="s">
        <v>7</v>
      </c>
      <c r="E8230" s="27" t="s">
        <v>12</v>
      </c>
      <c r="F8230" s="29"/>
      <c r="G8230" s="30">
        <v>1986.5309523809524</v>
      </c>
    </row>
    <row r="8231" spans="1:7" hidden="1" x14ac:dyDescent="0.25">
      <c r="A8231" s="28">
        <v>44256</v>
      </c>
      <c r="B8231" s="27" t="s">
        <v>33</v>
      </c>
      <c r="C8231" s="27" t="s">
        <v>50</v>
      </c>
      <c r="D8231" s="27" t="s">
        <v>7</v>
      </c>
      <c r="E8231" s="27" t="s">
        <v>13</v>
      </c>
      <c r="F8231" s="29"/>
      <c r="G8231" s="30">
        <v>1986.5309523809524</v>
      </c>
    </row>
    <row r="8232" spans="1:7" hidden="1" x14ac:dyDescent="0.25">
      <c r="A8232" s="28">
        <v>44256</v>
      </c>
      <c r="B8232" s="27" t="s">
        <v>33</v>
      </c>
      <c r="C8232" s="27" t="s">
        <v>50</v>
      </c>
      <c r="D8232" s="27" t="s">
        <v>7</v>
      </c>
      <c r="E8232" s="27" t="s">
        <v>14</v>
      </c>
      <c r="F8232" s="29"/>
      <c r="G8232" s="30">
        <v>1986.5309523809524</v>
      </c>
    </row>
    <row r="8233" spans="1:7" hidden="1" x14ac:dyDescent="0.25">
      <c r="A8233" s="28">
        <v>44256</v>
      </c>
      <c r="B8233" s="27" t="s">
        <v>33</v>
      </c>
      <c r="C8233" s="27" t="s">
        <v>50</v>
      </c>
      <c r="D8233" s="27" t="s">
        <v>7</v>
      </c>
      <c r="E8233" s="27" t="s">
        <v>15</v>
      </c>
      <c r="F8233" s="29"/>
      <c r="G8233" s="30">
        <v>1986.5309523809524</v>
      </c>
    </row>
    <row r="8234" spans="1:7" hidden="1" x14ac:dyDescent="0.25">
      <c r="A8234" s="28">
        <v>44256</v>
      </c>
      <c r="B8234" s="27" t="s">
        <v>33</v>
      </c>
      <c r="C8234" s="27" t="s">
        <v>50</v>
      </c>
      <c r="D8234" s="27" t="s">
        <v>7</v>
      </c>
      <c r="E8234" s="27" t="s">
        <v>16</v>
      </c>
      <c r="F8234" s="29"/>
      <c r="G8234" s="30">
        <v>1986.5309523809524</v>
      </c>
    </row>
    <row r="8235" spans="1:7" hidden="1" x14ac:dyDescent="0.25">
      <c r="A8235" s="28">
        <v>44256</v>
      </c>
      <c r="B8235" s="27" t="s">
        <v>33</v>
      </c>
      <c r="C8235" s="27" t="s">
        <v>50</v>
      </c>
      <c r="D8235" s="27" t="s">
        <v>7</v>
      </c>
      <c r="E8235" s="27" t="s">
        <v>17</v>
      </c>
      <c r="F8235" s="29"/>
      <c r="G8235" s="30">
        <v>1986.5309523809524</v>
      </c>
    </row>
    <row r="8236" spans="1:7" hidden="1" x14ac:dyDescent="0.25">
      <c r="A8236" s="28">
        <v>44256</v>
      </c>
      <c r="B8236" s="27" t="s">
        <v>33</v>
      </c>
      <c r="C8236" s="27" t="s">
        <v>50</v>
      </c>
      <c r="D8236" s="27" t="s">
        <v>7</v>
      </c>
      <c r="E8236" s="27" t="s">
        <v>18</v>
      </c>
      <c r="F8236" s="29"/>
      <c r="G8236" s="30">
        <v>1986.5309523809524</v>
      </c>
    </row>
    <row r="8237" spans="1:7" hidden="1" x14ac:dyDescent="0.25">
      <c r="A8237" s="28">
        <v>44256</v>
      </c>
      <c r="B8237" s="27" t="s">
        <v>33</v>
      </c>
      <c r="C8237" s="27" t="s">
        <v>50</v>
      </c>
      <c r="D8237" s="27" t="s">
        <v>7</v>
      </c>
      <c r="E8237" s="27" t="s">
        <v>19</v>
      </c>
      <c r="F8237" s="29"/>
      <c r="G8237" s="30">
        <v>1986.5309523809524</v>
      </c>
    </row>
    <row r="8238" spans="1:7" hidden="1" x14ac:dyDescent="0.25">
      <c r="A8238" s="28">
        <v>44256</v>
      </c>
      <c r="B8238" s="27" t="s">
        <v>33</v>
      </c>
      <c r="C8238" s="27" t="s">
        <v>50</v>
      </c>
      <c r="D8238" s="27" t="s">
        <v>7</v>
      </c>
      <c r="E8238" s="27" t="s">
        <v>20</v>
      </c>
      <c r="F8238" s="29"/>
      <c r="G8238" s="30">
        <v>1986.5309523809524</v>
      </c>
    </row>
    <row r="8239" spans="1:7" hidden="1" x14ac:dyDescent="0.25">
      <c r="A8239" s="28">
        <v>44256</v>
      </c>
      <c r="B8239" s="27" t="s">
        <v>33</v>
      </c>
      <c r="C8239" s="27" t="s">
        <v>50</v>
      </c>
      <c r="D8239" s="27" t="s">
        <v>7</v>
      </c>
      <c r="E8239" s="27" t="s">
        <v>38</v>
      </c>
      <c r="F8239" s="29"/>
      <c r="G8239" s="30">
        <v>1986.5309523809524</v>
      </c>
    </row>
    <row r="8240" spans="1:7" hidden="1" x14ac:dyDescent="0.25">
      <c r="A8240" s="28">
        <v>44256</v>
      </c>
      <c r="B8240" s="27" t="s">
        <v>33</v>
      </c>
      <c r="C8240" s="27" t="s">
        <v>50</v>
      </c>
      <c r="D8240" s="27" t="s">
        <v>7</v>
      </c>
      <c r="E8240" s="27" t="s">
        <v>23</v>
      </c>
      <c r="F8240" s="29"/>
      <c r="G8240" s="30">
        <v>1986.5309523809524</v>
      </c>
    </row>
    <row r="8241" spans="1:7" hidden="1" x14ac:dyDescent="0.25">
      <c r="A8241" s="28">
        <v>44256</v>
      </c>
      <c r="B8241" s="27" t="s">
        <v>33</v>
      </c>
      <c r="C8241" s="27" t="s">
        <v>50</v>
      </c>
      <c r="D8241" s="27" t="s">
        <v>7</v>
      </c>
      <c r="E8241" s="27" t="s">
        <v>40</v>
      </c>
      <c r="F8241" s="29"/>
      <c r="G8241" s="30">
        <v>1986.5309523809524</v>
      </c>
    </row>
    <row r="8242" spans="1:7" hidden="1" x14ac:dyDescent="0.25">
      <c r="A8242" s="28">
        <v>44256</v>
      </c>
      <c r="B8242" s="27" t="s">
        <v>4</v>
      </c>
      <c r="C8242" s="27" t="s">
        <v>50</v>
      </c>
      <c r="D8242" s="27" t="s">
        <v>7</v>
      </c>
      <c r="E8242" s="27" t="s">
        <v>8</v>
      </c>
      <c r="F8242" s="29"/>
      <c r="G8242" s="30">
        <v>5855.25</v>
      </c>
    </row>
    <row r="8243" spans="1:7" hidden="1" x14ac:dyDescent="0.25">
      <c r="A8243" s="28">
        <v>44256</v>
      </c>
      <c r="B8243" s="27" t="s">
        <v>4</v>
      </c>
      <c r="C8243" s="27" t="s">
        <v>50</v>
      </c>
      <c r="D8243" s="27" t="s">
        <v>7</v>
      </c>
      <c r="E8243" s="27" t="s">
        <v>9</v>
      </c>
      <c r="F8243" s="29"/>
      <c r="G8243" s="30">
        <v>3267.32</v>
      </c>
    </row>
    <row r="8244" spans="1:7" hidden="1" x14ac:dyDescent="0.25">
      <c r="A8244" s="28">
        <v>44256</v>
      </c>
      <c r="B8244" s="27" t="s">
        <v>4</v>
      </c>
      <c r="C8244" s="27" t="s">
        <v>50</v>
      </c>
      <c r="D8244" s="27" t="s">
        <v>7</v>
      </c>
      <c r="E8244" s="27" t="s">
        <v>22</v>
      </c>
      <c r="F8244" s="29"/>
      <c r="G8244" s="30">
        <v>3706.7</v>
      </c>
    </row>
    <row r="8245" spans="1:7" hidden="1" x14ac:dyDescent="0.25">
      <c r="A8245" s="28">
        <v>44256</v>
      </c>
      <c r="B8245" s="27" t="s">
        <v>4</v>
      </c>
      <c r="C8245" s="27" t="s">
        <v>50</v>
      </c>
      <c r="D8245" s="27" t="s">
        <v>7</v>
      </c>
      <c r="E8245" s="27" t="s">
        <v>39</v>
      </c>
      <c r="F8245" s="29"/>
      <c r="G8245" s="30">
        <v>2499.21</v>
      </c>
    </row>
    <row r="8246" spans="1:7" hidden="1" x14ac:dyDescent="0.25">
      <c r="A8246" s="28">
        <v>44256</v>
      </c>
      <c r="B8246" s="27" t="s">
        <v>4</v>
      </c>
      <c r="C8246" s="27" t="s">
        <v>50</v>
      </c>
      <c r="D8246" s="27" t="s">
        <v>7</v>
      </c>
      <c r="E8246" s="27" t="s">
        <v>21</v>
      </c>
      <c r="F8246" s="29"/>
      <c r="G8246" s="30">
        <v>5666.63</v>
      </c>
    </row>
    <row r="8247" spans="1:7" hidden="1" x14ac:dyDescent="0.25">
      <c r="A8247" s="28">
        <v>44256</v>
      </c>
      <c r="B8247" s="27" t="s">
        <v>4</v>
      </c>
      <c r="C8247" s="27" t="s">
        <v>50</v>
      </c>
      <c r="D8247" s="27" t="s">
        <v>7</v>
      </c>
      <c r="E8247" s="27" t="s">
        <v>41</v>
      </c>
      <c r="F8247" s="29"/>
      <c r="G8247" s="30">
        <v>3677.84</v>
      </c>
    </row>
    <row r="8248" spans="1:7" hidden="1" x14ac:dyDescent="0.25">
      <c r="A8248" s="28">
        <v>44256</v>
      </c>
      <c r="B8248" s="27" t="s">
        <v>4</v>
      </c>
      <c r="C8248" s="27" t="s">
        <v>50</v>
      </c>
      <c r="D8248" s="27" t="s">
        <v>7</v>
      </c>
      <c r="E8248" s="27" t="s">
        <v>10</v>
      </c>
      <c r="F8248" s="29"/>
      <c r="G8248" s="30">
        <v>5782.89</v>
      </c>
    </row>
    <row r="8249" spans="1:7" hidden="1" x14ac:dyDescent="0.25">
      <c r="A8249" s="28">
        <v>44256</v>
      </c>
      <c r="B8249" s="27" t="s">
        <v>4</v>
      </c>
      <c r="C8249" s="27" t="s">
        <v>50</v>
      </c>
      <c r="D8249" s="27" t="s">
        <v>7</v>
      </c>
      <c r="E8249" s="27" t="s">
        <v>11</v>
      </c>
      <c r="F8249" s="29"/>
      <c r="G8249" s="30">
        <v>2965.46</v>
      </c>
    </row>
    <row r="8250" spans="1:7" hidden="1" x14ac:dyDescent="0.25">
      <c r="A8250" s="28">
        <v>44256</v>
      </c>
      <c r="B8250" s="27" t="s">
        <v>4</v>
      </c>
      <c r="C8250" s="27" t="s">
        <v>50</v>
      </c>
      <c r="D8250" s="27" t="s">
        <v>7</v>
      </c>
      <c r="E8250" s="27" t="s">
        <v>12</v>
      </c>
      <c r="F8250" s="29"/>
      <c r="G8250" s="30">
        <v>1987.14</v>
      </c>
    </row>
    <row r="8251" spans="1:7" hidden="1" x14ac:dyDescent="0.25">
      <c r="A8251" s="28">
        <v>44256</v>
      </c>
      <c r="B8251" s="27" t="s">
        <v>4</v>
      </c>
      <c r="C8251" s="27" t="s">
        <v>50</v>
      </c>
      <c r="D8251" s="27" t="s">
        <v>7</v>
      </c>
      <c r="E8251" s="27" t="s">
        <v>13</v>
      </c>
      <c r="F8251" s="29"/>
      <c r="G8251" s="30">
        <v>6079.43</v>
      </c>
    </row>
    <row r="8252" spans="1:7" hidden="1" x14ac:dyDescent="0.25">
      <c r="A8252" s="28">
        <v>44256</v>
      </c>
      <c r="B8252" s="27" t="s">
        <v>4</v>
      </c>
      <c r="C8252" s="27" t="s">
        <v>50</v>
      </c>
      <c r="D8252" s="27" t="s">
        <v>7</v>
      </c>
      <c r="E8252" s="27" t="s">
        <v>14</v>
      </c>
      <c r="F8252" s="29"/>
      <c r="G8252" s="30">
        <v>674.95</v>
      </c>
    </row>
    <row r="8253" spans="1:7" hidden="1" x14ac:dyDescent="0.25">
      <c r="A8253" s="28">
        <v>44256</v>
      </c>
      <c r="B8253" s="27" t="s">
        <v>4</v>
      </c>
      <c r="C8253" s="27" t="s">
        <v>50</v>
      </c>
      <c r="D8253" s="27" t="s">
        <v>7</v>
      </c>
      <c r="E8253" s="27" t="s">
        <v>15</v>
      </c>
      <c r="F8253" s="29"/>
      <c r="G8253" s="30">
        <v>4696.3900000000003</v>
      </c>
    </row>
    <row r="8254" spans="1:7" hidden="1" x14ac:dyDescent="0.25">
      <c r="A8254" s="28">
        <v>44256</v>
      </c>
      <c r="B8254" s="27" t="s">
        <v>4</v>
      </c>
      <c r="C8254" s="27" t="s">
        <v>50</v>
      </c>
      <c r="D8254" s="27" t="s">
        <v>7</v>
      </c>
      <c r="E8254" s="27" t="s">
        <v>16</v>
      </c>
      <c r="F8254" s="29"/>
      <c r="G8254" s="30">
        <v>2934.22</v>
      </c>
    </row>
    <row r="8255" spans="1:7" hidden="1" x14ac:dyDescent="0.25">
      <c r="A8255" s="28">
        <v>44256</v>
      </c>
      <c r="B8255" s="27" t="s">
        <v>4</v>
      </c>
      <c r="C8255" s="27" t="s">
        <v>50</v>
      </c>
      <c r="D8255" s="27" t="s">
        <v>7</v>
      </c>
      <c r="E8255" s="27" t="s">
        <v>17</v>
      </c>
      <c r="F8255" s="29"/>
      <c r="G8255" s="30">
        <v>4008.7000000000003</v>
      </c>
    </row>
    <row r="8256" spans="1:7" hidden="1" x14ac:dyDescent="0.25">
      <c r="A8256" s="28">
        <v>44256</v>
      </c>
      <c r="B8256" s="27" t="s">
        <v>4</v>
      </c>
      <c r="C8256" s="27" t="s">
        <v>50</v>
      </c>
      <c r="D8256" s="27" t="s">
        <v>7</v>
      </c>
      <c r="E8256" s="27" t="s">
        <v>18</v>
      </c>
      <c r="F8256" s="29"/>
      <c r="G8256" s="30">
        <v>3920.67</v>
      </c>
    </row>
    <row r="8257" spans="1:7" hidden="1" x14ac:dyDescent="0.25">
      <c r="A8257" s="28">
        <v>44256</v>
      </c>
      <c r="B8257" s="27" t="s">
        <v>4</v>
      </c>
      <c r="C8257" s="27" t="s">
        <v>50</v>
      </c>
      <c r="D8257" s="27" t="s">
        <v>7</v>
      </c>
      <c r="E8257" s="27" t="s">
        <v>19</v>
      </c>
      <c r="F8257" s="29"/>
      <c r="G8257" s="30">
        <v>3958.69</v>
      </c>
    </row>
    <row r="8258" spans="1:7" hidden="1" x14ac:dyDescent="0.25">
      <c r="A8258" s="28">
        <v>44256</v>
      </c>
      <c r="B8258" s="27" t="s">
        <v>4</v>
      </c>
      <c r="C8258" s="27" t="s">
        <v>50</v>
      </c>
      <c r="D8258" s="27" t="s">
        <v>7</v>
      </c>
      <c r="E8258" s="27" t="s">
        <v>20</v>
      </c>
      <c r="F8258" s="29"/>
      <c r="G8258" s="30">
        <v>5345.46</v>
      </c>
    </row>
    <row r="8259" spans="1:7" hidden="1" x14ac:dyDescent="0.25">
      <c r="A8259" s="28">
        <v>44256</v>
      </c>
      <c r="B8259" s="27" t="s">
        <v>4</v>
      </c>
      <c r="C8259" s="27" t="s">
        <v>50</v>
      </c>
      <c r="D8259" s="27" t="s">
        <v>7</v>
      </c>
      <c r="E8259" s="27" t="s">
        <v>38</v>
      </c>
      <c r="F8259" s="29"/>
      <c r="G8259" s="30">
        <v>710.17</v>
      </c>
    </row>
    <row r="8260" spans="1:7" hidden="1" x14ac:dyDescent="0.25">
      <c r="A8260" s="28">
        <v>44256</v>
      </c>
      <c r="B8260" s="27" t="s">
        <v>4</v>
      </c>
      <c r="C8260" s="27" t="s">
        <v>50</v>
      </c>
      <c r="D8260" s="27" t="s">
        <v>7</v>
      </c>
      <c r="E8260" s="27" t="s">
        <v>23</v>
      </c>
      <c r="F8260" s="29"/>
      <c r="G8260" s="30">
        <v>5301.38</v>
      </c>
    </row>
    <row r="8261" spans="1:7" hidden="1" x14ac:dyDescent="0.25">
      <c r="A8261" s="28">
        <v>44256</v>
      </c>
      <c r="B8261" s="27" t="s">
        <v>4</v>
      </c>
      <c r="C8261" s="27" t="s">
        <v>50</v>
      </c>
      <c r="D8261" s="27" t="s">
        <v>7</v>
      </c>
      <c r="E8261" s="27" t="s">
        <v>40</v>
      </c>
      <c r="F8261" s="29"/>
      <c r="G8261" s="30">
        <v>1004.61</v>
      </c>
    </row>
    <row r="8262" spans="1:7" hidden="1" x14ac:dyDescent="0.25">
      <c r="A8262" s="28">
        <v>44256</v>
      </c>
      <c r="B8262" s="27" t="s">
        <v>26</v>
      </c>
      <c r="C8262" s="27" t="s">
        <v>50</v>
      </c>
      <c r="D8262" s="27" t="s">
        <v>6</v>
      </c>
      <c r="E8262" s="27" t="s">
        <v>8</v>
      </c>
      <c r="F8262" s="29"/>
      <c r="G8262" s="30">
        <v>719.18234681218985</v>
      </c>
    </row>
    <row r="8263" spans="1:7" hidden="1" x14ac:dyDescent="0.25">
      <c r="A8263" s="28">
        <v>44256</v>
      </c>
      <c r="B8263" s="27" t="s">
        <v>26</v>
      </c>
      <c r="C8263" s="27" t="s">
        <v>50</v>
      </c>
      <c r="D8263" s="27" t="s">
        <v>6</v>
      </c>
      <c r="E8263" s="27" t="s">
        <v>9</v>
      </c>
      <c r="F8263" s="29"/>
      <c r="G8263" s="30">
        <v>1595.1320615825009</v>
      </c>
    </row>
    <row r="8264" spans="1:7" hidden="1" x14ac:dyDescent="0.25">
      <c r="A8264" s="28">
        <v>44256</v>
      </c>
      <c r="B8264" s="27" t="s">
        <v>26</v>
      </c>
      <c r="C8264" s="27" t="s">
        <v>50</v>
      </c>
      <c r="D8264" s="27" t="s">
        <v>6</v>
      </c>
      <c r="E8264" s="27" t="s">
        <v>22</v>
      </c>
      <c r="F8264" s="29"/>
      <c r="G8264" s="30">
        <v>2121.8036778000037</v>
      </c>
    </row>
    <row r="8265" spans="1:7" hidden="1" x14ac:dyDescent="0.25">
      <c r="A8265" s="28">
        <v>44256</v>
      </c>
      <c r="B8265" s="27" t="s">
        <v>26</v>
      </c>
      <c r="C8265" s="27" t="s">
        <v>50</v>
      </c>
      <c r="D8265" s="27" t="s">
        <v>6</v>
      </c>
      <c r="E8265" s="27" t="s">
        <v>39</v>
      </c>
      <c r="F8265" s="29"/>
      <c r="G8265" s="30">
        <v>1858.2521149872089</v>
      </c>
    </row>
    <row r="8266" spans="1:7" hidden="1" x14ac:dyDescent="0.25">
      <c r="A8266" s="28">
        <v>44256</v>
      </c>
      <c r="B8266" s="27" t="s">
        <v>26</v>
      </c>
      <c r="C8266" s="27" t="s">
        <v>50</v>
      </c>
      <c r="D8266" s="27" t="s">
        <v>6</v>
      </c>
      <c r="E8266" s="27" t="s">
        <v>64</v>
      </c>
      <c r="F8266" s="29"/>
      <c r="G8266" s="30">
        <v>1276.3329108875935</v>
      </c>
    </row>
    <row r="8267" spans="1:7" hidden="1" x14ac:dyDescent="0.25">
      <c r="A8267" s="28">
        <v>44256</v>
      </c>
      <c r="B8267" s="27" t="s">
        <v>26</v>
      </c>
      <c r="C8267" s="27" t="s">
        <v>50</v>
      </c>
      <c r="D8267" s="27" t="s">
        <v>6</v>
      </c>
      <c r="E8267" s="27" t="s">
        <v>21</v>
      </c>
      <c r="F8267" s="29"/>
      <c r="G8267" s="30">
        <v>1372.0704648952321</v>
      </c>
    </row>
    <row r="8268" spans="1:7" hidden="1" x14ac:dyDescent="0.25">
      <c r="A8268" s="28">
        <v>44256</v>
      </c>
      <c r="B8268" s="27" t="s">
        <v>26</v>
      </c>
      <c r="C8268" s="27" t="s">
        <v>50</v>
      </c>
      <c r="D8268" s="27" t="s">
        <v>6</v>
      </c>
      <c r="E8268" s="27" t="s">
        <v>41</v>
      </c>
      <c r="F8268" s="29"/>
      <c r="G8268" s="30">
        <v>1581.4819806400055</v>
      </c>
    </row>
    <row r="8269" spans="1:7" hidden="1" x14ac:dyDescent="0.25">
      <c r="A8269" s="28">
        <v>44256</v>
      </c>
      <c r="B8269" s="27" t="s">
        <v>26</v>
      </c>
      <c r="C8269" s="27" t="s">
        <v>50</v>
      </c>
      <c r="D8269" s="27" t="s">
        <v>6</v>
      </c>
      <c r="E8269" s="27" t="s">
        <v>10</v>
      </c>
      <c r="F8269" s="29"/>
      <c r="G8269" s="30">
        <v>2188.8314725228997</v>
      </c>
    </row>
    <row r="8270" spans="1:7" hidden="1" x14ac:dyDescent="0.25">
      <c r="A8270" s="28">
        <v>44256</v>
      </c>
      <c r="B8270" s="27" t="s">
        <v>26</v>
      </c>
      <c r="C8270" s="27" t="s">
        <v>50</v>
      </c>
      <c r="D8270" s="27" t="s">
        <v>6</v>
      </c>
      <c r="E8270" s="27" t="s">
        <v>11</v>
      </c>
      <c r="F8270" s="29"/>
      <c r="G8270" s="30">
        <v>1627.7110218930932</v>
      </c>
    </row>
    <row r="8271" spans="1:7" hidden="1" x14ac:dyDescent="0.25">
      <c r="A8271" s="28">
        <v>44256</v>
      </c>
      <c r="B8271" s="27" t="s">
        <v>26</v>
      </c>
      <c r="C8271" s="27" t="s">
        <v>50</v>
      </c>
      <c r="D8271" s="27" t="s">
        <v>6</v>
      </c>
      <c r="E8271" s="27" t="s">
        <v>12</v>
      </c>
      <c r="F8271" s="29"/>
      <c r="G8271" s="30">
        <v>1714.4875638594519</v>
      </c>
    </row>
    <row r="8272" spans="1:7" hidden="1" x14ac:dyDescent="0.25">
      <c r="A8272" s="28">
        <v>44256</v>
      </c>
      <c r="B8272" s="27" t="s">
        <v>26</v>
      </c>
      <c r="C8272" s="27" t="s">
        <v>50</v>
      </c>
      <c r="D8272" s="27" t="s">
        <v>6</v>
      </c>
      <c r="E8272" s="27" t="s">
        <v>13</v>
      </c>
      <c r="F8272" s="29"/>
      <c r="G8272" s="30">
        <v>1743.4562287890469</v>
      </c>
    </row>
    <row r="8273" spans="1:7" hidden="1" x14ac:dyDescent="0.25">
      <c r="A8273" s="28">
        <v>44256</v>
      </c>
      <c r="B8273" s="27" t="s">
        <v>26</v>
      </c>
      <c r="C8273" s="27" t="s">
        <v>50</v>
      </c>
      <c r="D8273" s="27" t="s">
        <v>6</v>
      </c>
      <c r="E8273" s="27" t="s">
        <v>14</v>
      </c>
      <c r="F8273" s="29"/>
      <c r="G8273" s="30">
        <v>561.68141286032039</v>
      </c>
    </row>
    <row r="8274" spans="1:7" hidden="1" x14ac:dyDescent="0.25">
      <c r="A8274" s="28">
        <v>44256</v>
      </c>
      <c r="B8274" s="27" t="s">
        <v>26</v>
      </c>
      <c r="C8274" s="27" t="s">
        <v>50</v>
      </c>
      <c r="D8274" s="27" t="s">
        <v>6</v>
      </c>
      <c r="E8274" s="27" t="s">
        <v>15</v>
      </c>
      <c r="F8274" s="29"/>
      <c r="G8274" s="30">
        <v>1903.4886846016955</v>
      </c>
    </row>
    <row r="8275" spans="1:7" hidden="1" x14ac:dyDescent="0.25">
      <c r="A8275" s="28">
        <v>44256</v>
      </c>
      <c r="B8275" s="27" t="s">
        <v>26</v>
      </c>
      <c r="C8275" s="27" t="s">
        <v>50</v>
      </c>
      <c r="D8275" s="27" t="s">
        <v>6</v>
      </c>
      <c r="E8275" s="27" t="s">
        <v>16</v>
      </c>
      <c r="F8275" s="29"/>
      <c r="G8275" s="30">
        <v>2154.0949651718715</v>
      </c>
    </row>
    <row r="8276" spans="1:7" hidden="1" x14ac:dyDescent="0.25">
      <c r="A8276" s="28">
        <v>44256</v>
      </c>
      <c r="B8276" s="27" t="s">
        <v>26</v>
      </c>
      <c r="C8276" s="27" t="s">
        <v>50</v>
      </c>
      <c r="D8276" s="27" t="s">
        <v>6</v>
      </c>
      <c r="E8276" s="27" t="s">
        <v>17</v>
      </c>
      <c r="F8276" s="29"/>
      <c r="G8276" s="30">
        <v>3135.6350321011482</v>
      </c>
    </row>
    <row r="8277" spans="1:7" hidden="1" x14ac:dyDescent="0.25">
      <c r="A8277" s="28">
        <v>44256</v>
      </c>
      <c r="B8277" s="27" t="s">
        <v>26</v>
      </c>
      <c r="C8277" s="27" t="s">
        <v>50</v>
      </c>
      <c r="D8277" s="27" t="s">
        <v>6</v>
      </c>
      <c r="E8277" s="27" t="s">
        <v>18</v>
      </c>
      <c r="F8277" s="29"/>
      <c r="G8277" s="30">
        <v>1603.690331509566</v>
      </c>
    </row>
    <row r="8278" spans="1:7" hidden="1" x14ac:dyDescent="0.25">
      <c r="A8278" s="28">
        <v>44256</v>
      </c>
      <c r="B8278" s="27" t="s">
        <v>26</v>
      </c>
      <c r="C8278" s="27" t="s">
        <v>50</v>
      </c>
      <c r="D8278" s="27" t="s">
        <v>6</v>
      </c>
      <c r="E8278" s="27" t="s">
        <v>19</v>
      </c>
      <c r="F8278" s="29"/>
      <c r="G8278" s="30">
        <v>2421.1417541901737</v>
      </c>
    </row>
    <row r="8279" spans="1:7" hidden="1" x14ac:dyDescent="0.25">
      <c r="A8279" s="28">
        <v>44256</v>
      </c>
      <c r="B8279" s="27" t="s">
        <v>26</v>
      </c>
      <c r="C8279" s="27" t="s">
        <v>50</v>
      </c>
      <c r="D8279" s="27" t="s">
        <v>6</v>
      </c>
      <c r="E8279" s="27" t="s">
        <v>20</v>
      </c>
      <c r="F8279" s="29"/>
      <c r="G8279" s="30">
        <v>1946.4814052941281</v>
      </c>
    </row>
    <row r="8280" spans="1:7" hidden="1" x14ac:dyDescent="0.25">
      <c r="A8280" s="28">
        <v>44256</v>
      </c>
      <c r="B8280" s="27" t="s">
        <v>26</v>
      </c>
      <c r="C8280" s="27" t="s">
        <v>50</v>
      </c>
      <c r="D8280" s="27" t="s">
        <v>6</v>
      </c>
      <c r="E8280" s="27" t="s">
        <v>38</v>
      </c>
      <c r="F8280" s="29"/>
      <c r="G8280" s="30">
        <v>760.63601728244464</v>
      </c>
    </row>
    <row r="8281" spans="1:7" hidden="1" x14ac:dyDescent="0.25">
      <c r="A8281" s="28">
        <v>44256</v>
      </c>
      <c r="B8281" s="27" t="s">
        <v>26</v>
      </c>
      <c r="C8281" s="27" t="s">
        <v>50</v>
      </c>
      <c r="D8281" s="27" t="s">
        <v>6</v>
      </c>
      <c r="E8281" s="27" t="s">
        <v>23</v>
      </c>
      <c r="F8281" s="29"/>
      <c r="G8281" s="30">
        <v>2589.0564485238838</v>
      </c>
    </row>
    <row r="8282" spans="1:7" hidden="1" x14ac:dyDescent="0.25">
      <c r="A8282" s="28">
        <v>44256</v>
      </c>
      <c r="B8282" s="27" t="s">
        <v>26</v>
      </c>
      <c r="C8282" s="27" t="s">
        <v>50</v>
      </c>
      <c r="D8282" s="27" t="s">
        <v>6</v>
      </c>
      <c r="E8282" s="27" t="s">
        <v>40</v>
      </c>
      <c r="F8282" s="29"/>
      <c r="G8282" s="30">
        <v>834.25152230214019</v>
      </c>
    </row>
    <row r="8283" spans="1:7" hidden="1" x14ac:dyDescent="0.25">
      <c r="A8283" s="28">
        <v>44256</v>
      </c>
      <c r="B8283" s="27" t="s">
        <v>26</v>
      </c>
      <c r="C8283" s="27" t="s">
        <v>50</v>
      </c>
      <c r="D8283" s="27" t="s">
        <v>6</v>
      </c>
      <c r="E8283" s="27" t="s">
        <v>37</v>
      </c>
      <c r="F8283" s="29"/>
      <c r="G8283" s="30">
        <v>791.10058149340887</v>
      </c>
    </row>
    <row r="8284" spans="1:7" hidden="1" x14ac:dyDescent="0.25">
      <c r="A8284" s="28">
        <v>44256</v>
      </c>
      <c r="B8284" s="27" t="s">
        <v>3</v>
      </c>
      <c r="C8284" s="27" t="s">
        <v>50</v>
      </c>
      <c r="D8284" s="27" t="s">
        <v>7</v>
      </c>
      <c r="E8284" s="27" t="s">
        <v>8</v>
      </c>
      <c r="F8284" s="29"/>
      <c r="G8284" s="30">
        <v>683.49333333333334</v>
      </c>
    </row>
    <row r="8285" spans="1:7" hidden="1" x14ac:dyDescent="0.25">
      <c r="A8285" s="28">
        <v>44256</v>
      </c>
      <c r="B8285" s="27" t="s">
        <v>3</v>
      </c>
      <c r="C8285" s="27" t="s">
        <v>50</v>
      </c>
      <c r="D8285" s="27" t="s">
        <v>7</v>
      </c>
      <c r="E8285" s="27" t="s">
        <v>9</v>
      </c>
      <c r="F8285" s="29"/>
      <c r="G8285" s="30">
        <v>683.49333333333334</v>
      </c>
    </row>
    <row r="8286" spans="1:7" hidden="1" x14ac:dyDescent="0.25">
      <c r="A8286" s="28">
        <v>44256</v>
      </c>
      <c r="B8286" s="27" t="s">
        <v>3</v>
      </c>
      <c r="C8286" s="27" t="s">
        <v>50</v>
      </c>
      <c r="D8286" s="27" t="s">
        <v>7</v>
      </c>
      <c r="E8286" s="27" t="s">
        <v>22</v>
      </c>
      <c r="F8286" s="29"/>
      <c r="G8286" s="30">
        <v>683.49333333333334</v>
      </c>
    </row>
    <row r="8287" spans="1:7" hidden="1" x14ac:dyDescent="0.25">
      <c r="A8287" s="28">
        <v>44256</v>
      </c>
      <c r="B8287" s="27" t="s">
        <v>3</v>
      </c>
      <c r="C8287" s="27" t="s">
        <v>50</v>
      </c>
      <c r="D8287" s="27" t="s">
        <v>7</v>
      </c>
      <c r="E8287" s="27" t="s">
        <v>39</v>
      </c>
      <c r="F8287" s="29"/>
      <c r="G8287" s="30">
        <v>683.49333333333334</v>
      </c>
    </row>
    <row r="8288" spans="1:7" hidden="1" x14ac:dyDescent="0.25">
      <c r="A8288" s="28">
        <v>44256</v>
      </c>
      <c r="B8288" s="27" t="s">
        <v>3</v>
      </c>
      <c r="C8288" s="27" t="s">
        <v>50</v>
      </c>
      <c r="D8288" s="27" t="s">
        <v>7</v>
      </c>
      <c r="E8288" s="27" t="s">
        <v>64</v>
      </c>
      <c r="F8288" s="29"/>
      <c r="G8288" s="30">
        <v>683.49333333333334</v>
      </c>
    </row>
    <row r="8289" spans="1:7" hidden="1" x14ac:dyDescent="0.25">
      <c r="A8289" s="28">
        <v>44256</v>
      </c>
      <c r="B8289" s="27" t="s">
        <v>3</v>
      </c>
      <c r="C8289" s="27" t="s">
        <v>50</v>
      </c>
      <c r="D8289" s="27" t="s">
        <v>7</v>
      </c>
      <c r="E8289" s="27" t="s">
        <v>21</v>
      </c>
      <c r="F8289" s="29"/>
      <c r="G8289" s="30">
        <v>683.49333333333334</v>
      </c>
    </row>
    <row r="8290" spans="1:7" hidden="1" x14ac:dyDescent="0.25">
      <c r="A8290" s="28">
        <v>44256</v>
      </c>
      <c r="B8290" s="27" t="s">
        <v>3</v>
      </c>
      <c r="C8290" s="27" t="s">
        <v>50</v>
      </c>
      <c r="D8290" s="27" t="s">
        <v>7</v>
      </c>
      <c r="E8290" s="27" t="s">
        <v>41</v>
      </c>
      <c r="F8290" s="29"/>
      <c r="G8290" s="30">
        <v>683.49333333333334</v>
      </c>
    </row>
    <row r="8291" spans="1:7" hidden="1" x14ac:dyDescent="0.25">
      <c r="A8291" s="28">
        <v>44256</v>
      </c>
      <c r="B8291" s="27" t="s">
        <v>3</v>
      </c>
      <c r="C8291" s="27" t="s">
        <v>50</v>
      </c>
      <c r="D8291" s="27" t="s">
        <v>7</v>
      </c>
      <c r="E8291" s="27" t="s">
        <v>10</v>
      </c>
      <c r="F8291" s="29"/>
      <c r="G8291" s="30">
        <v>683.49333333333334</v>
      </c>
    </row>
    <row r="8292" spans="1:7" hidden="1" x14ac:dyDescent="0.25">
      <c r="A8292" s="28">
        <v>44256</v>
      </c>
      <c r="B8292" s="27" t="s">
        <v>3</v>
      </c>
      <c r="C8292" s="27" t="s">
        <v>50</v>
      </c>
      <c r="D8292" s="27" t="s">
        <v>7</v>
      </c>
      <c r="E8292" s="27" t="s">
        <v>11</v>
      </c>
      <c r="F8292" s="29"/>
      <c r="G8292" s="30">
        <v>683.49333333333334</v>
      </c>
    </row>
    <row r="8293" spans="1:7" hidden="1" x14ac:dyDescent="0.25">
      <c r="A8293" s="28">
        <v>44256</v>
      </c>
      <c r="B8293" s="27" t="s">
        <v>3</v>
      </c>
      <c r="C8293" s="27" t="s">
        <v>50</v>
      </c>
      <c r="D8293" s="27" t="s">
        <v>7</v>
      </c>
      <c r="E8293" s="27" t="s">
        <v>12</v>
      </c>
      <c r="F8293" s="29"/>
      <c r="G8293" s="30">
        <v>683.49333333333334</v>
      </c>
    </row>
    <row r="8294" spans="1:7" hidden="1" x14ac:dyDescent="0.25">
      <c r="A8294" s="28">
        <v>44256</v>
      </c>
      <c r="B8294" s="27" t="s">
        <v>3</v>
      </c>
      <c r="C8294" s="27" t="s">
        <v>50</v>
      </c>
      <c r="D8294" s="27" t="s">
        <v>7</v>
      </c>
      <c r="E8294" s="27" t="s">
        <v>13</v>
      </c>
      <c r="F8294" s="29"/>
      <c r="G8294" s="30">
        <v>683.49333333333334</v>
      </c>
    </row>
    <row r="8295" spans="1:7" hidden="1" x14ac:dyDescent="0.25">
      <c r="A8295" s="28">
        <v>44256</v>
      </c>
      <c r="B8295" s="27" t="s">
        <v>3</v>
      </c>
      <c r="C8295" s="27" t="s">
        <v>50</v>
      </c>
      <c r="D8295" s="27" t="s">
        <v>7</v>
      </c>
      <c r="E8295" s="27" t="s">
        <v>14</v>
      </c>
      <c r="F8295" s="29"/>
      <c r="G8295" s="30">
        <v>683.49333333333334</v>
      </c>
    </row>
    <row r="8296" spans="1:7" hidden="1" x14ac:dyDescent="0.25">
      <c r="A8296" s="28">
        <v>44256</v>
      </c>
      <c r="B8296" s="27" t="s">
        <v>3</v>
      </c>
      <c r="C8296" s="27" t="s">
        <v>50</v>
      </c>
      <c r="D8296" s="27" t="s">
        <v>7</v>
      </c>
      <c r="E8296" s="27" t="s">
        <v>15</v>
      </c>
      <c r="F8296" s="29"/>
      <c r="G8296" s="30">
        <v>683.49333333333334</v>
      </c>
    </row>
    <row r="8297" spans="1:7" hidden="1" x14ac:dyDescent="0.25">
      <c r="A8297" s="28">
        <v>44256</v>
      </c>
      <c r="B8297" s="27" t="s">
        <v>3</v>
      </c>
      <c r="C8297" s="27" t="s">
        <v>50</v>
      </c>
      <c r="D8297" s="27" t="s">
        <v>7</v>
      </c>
      <c r="E8297" s="27" t="s">
        <v>16</v>
      </c>
      <c r="F8297" s="29"/>
      <c r="G8297" s="30">
        <v>683.49333333333334</v>
      </c>
    </row>
    <row r="8298" spans="1:7" hidden="1" x14ac:dyDescent="0.25">
      <c r="A8298" s="28">
        <v>44256</v>
      </c>
      <c r="B8298" s="27" t="s">
        <v>3</v>
      </c>
      <c r="C8298" s="27" t="s">
        <v>50</v>
      </c>
      <c r="D8298" s="27" t="s">
        <v>7</v>
      </c>
      <c r="E8298" s="27" t="s">
        <v>17</v>
      </c>
      <c r="F8298" s="29"/>
      <c r="G8298" s="30">
        <v>683.49333333333334</v>
      </c>
    </row>
    <row r="8299" spans="1:7" hidden="1" x14ac:dyDescent="0.25">
      <c r="A8299" s="28">
        <v>44256</v>
      </c>
      <c r="B8299" s="27" t="s">
        <v>3</v>
      </c>
      <c r="C8299" s="27" t="s">
        <v>50</v>
      </c>
      <c r="D8299" s="27" t="s">
        <v>7</v>
      </c>
      <c r="E8299" s="27" t="s">
        <v>18</v>
      </c>
      <c r="F8299" s="29"/>
      <c r="G8299" s="30">
        <v>683.49333333333334</v>
      </c>
    </row>
    <row r="8300" spans="1:7" hidden="1" x14ac:dyDescent="0.25">
      <c r="A8300" s="28">
        <v>44256</v>
      </c>
      <c r="B8300" s="27" t="s">
        <v>3</v>
      </c>
      <c r="C8300" s="27" t="s">
        <v>50</v>
      </c>
      <c r="D8300" s="27" t="s">
        <v>7</v>
      </c>
      <c r="E8300" s="27" t="s">
        <v>19</v>
      </c>
      <c r="F8300" s="29"/>
      <c r="G8300" s="30">
        <v>683.49333333333334</v>
      </c>
    </row>
    <row r="8301" spans="1:7" hidden="1" x14ac:dyDescent="0.25">
      <c r="A8301" s="28">
        <v>44256</v>
      </c>
      <c r="B8301" s="27" t="s">
        <v>3</v>
      </c>
      <c r="C8301" s="27" t="s">
        <v>50</v>
      </c>
      <c r="D8301" s="27" t="s">
        <v>7</v>
      </c>
      <c r="E8301" s="27" t="s">
        <v>20</v>
      </c>
      <c r="F8301" s="29"/>
      <c r="G8301" s="30">
        <v>683.49333333333334</v>
      </c>
    </row>
    <row r="8302" spans="1:7" hidden="1" x14ac:dyDescent="0.25">
      <c r="A8302" s="28">
        <v>44256</v>
      </c>
      <c r="B8302" s="27" t="s">
        <v>3</v>
      </c>
      <c r="C8302" s="27" t="s">
        <v>50</v>
      </c>
      <c r="D8302" s="27" t="s">
        <v>7</v>
      </c>
      <c r="E8302" s="27" t="s">
        <v>38</v>
      </c>
      <c r="F8302" s="29"/>
      <c r="G8302" s="30">
        <v>683.49333333333334</v>
      </c>
    </row>
    <row r="8303" spans="1:7" hidden="1" x14ac:dyDescent="0.25">
      <c r="A8303" s="28">
        <v>44256</v>
      </c>
      <c r="B8303" s="27" t="s">
        <v>3</v>
      </c>
      <c r="C8303" s="27" t="s">
        <v>50</v>
      </c>
      <c r="D8303" s="27" t="s">
        <v>7</v>
      </c>
      <c r="E8303" s="27" t="s">
        <v>23</v>
      </c>
      <c r="F8303" s="29"/>
      <c r="G8303" s="30">
        <v>683.49333333333334</v>
      </c>
    </row>
    <row r="8304" spans="1:7" hidden="1" x14ac:dyDescent="0.25">
      <c r="A8304" s="28">
        <v>44256</v>
      </c>
      <c r="B8304" s="27" t="s">
        <v>3</v>
      </c>
      <c r="C8304" s="27" t="s">
        <v>50</v>
      </c>
      <c r="D8304" s="27" t="s">
        <v>7</v>
      </c>
      <c r="E8304" s="27" t="s">
        <v>40</v>
      </c>
      <c r="F8304" s="29"/>
      <c r="G8304" s="30">
        <v>683.49333333333334</v>
      </c>
    </row>
    <row r="8305" spans="1:7" hidden="1" x14ac:dyDescent="0.25">
      <c r="A8305" s="28">
        <v>44256</v>
      </c>
      <c r="B8305" s="27" t="s">
        <v>179</v>
      </c>
      <c r="C8305" s="27" t="s">
        <v>50</v>
      </c>
      <c r="D8305" s="27" t="s">
        <v>6</v>
      </c>
      <c r="E8305" s="27" t="s">
        <v>8</v>
      </c>
      <c r="F8305" s="29"/>
      <c r="G8305" s="30">
        <v>54.168999999999997</v>
      </c>
    </row>
    <row r="8306" spans="1:7" hidden="1" x14ac:dyDescent="0.25">
      <c r="A8306" s="28">
        <v>44256</v>
      </c>
      <c r="B8306" s="27" t="s">
        <v>179</v>
      </c>
      <c r="C8306" s="27" t="s">
        <v>50</v>
      </c>
      <c r="D8306" s="27" t="s">
        <v>6</v>
      </c>
      <c r="E8306" s="27" t="s">
        <v>9</v>
      </c>
      <c r="F8306" s="29"/>
      <c r="G8306" s="30">
        <v>71.931666000000007</v>
      </c>
    </row>
    <row r="8307" spans="1:7" hidden="1" x14ac:dyDescent="0.25">
      <c r="A8307" s="28">
        <v>44256</v>
      </c>
      <c r="B8307" s="27" t="s">
        <v>179</v>
      </c>
      <c r="C8307" s="27" t="s">
        <v>50</v>
      </c>
      <c r="D8307" s="27" t="s">
        <v>6</v>
      </c>
      <c r="E8307" s="27" t="s">
        <v>22</v>
      </c>
      <c r="F8307" s="29"/>
      <c r="G8307" s="30">
        <v>95.266666000000001</v>
      </c>
    </row>
    <row r="8308" spans="1:7" hidden="1" x14ac:dyDescent="0.25">
      <c r="A8308" s="28">
        <v>44256</v>
      </c>
      <c r="B8308" s="27" t="s">
        <v>179</v>
      </c>
      <c r="C8308" s="27" t="s">
        <v>50</v>
      </c>
      <c r="D8308" s="27" t="s">
        <v>6</v>
      </c>
      <c r="E8308" s="27" t="s">
        <v>39</v>
      </c>
      <c r="F8308" s="29"/>
      <c r="G8308" s="30">
        <v>72.42</v>
      </c>
    </row>
    <row r="8309" spans="1:7" hidden="1" x14ac:dyDescent="0.25">
      <c r="A8309" s="28">
        <v>44256</v>
      </c>
      <c r="B8309" s="27" t="s">
        <v>179</v>
      </c>
      <c r="C8309" s="27" t="s">
        <v>50</v>
      </c>
      <c r="D8309" s="27" t="s">
        <v>6</v>
      </c>
      <c r="E8309" s="27" t="s">
        <v>21</v>
      </c>
      <c r="F8309" s="29"/>
      <c r="G8309" s="30">
        <v>66.441665999999998</v>
      </c>
    </row>
    <row r="8310" spans="1:7" hidden="1" x14ac:dyDescent="0.25">
      <c r="A8310" s="28">
        <v>44256</v>
      </c>
      <c r="B8310" s="27" t="s">
        <v>179</v>
      </c>
      <c r="C8310" s="27" t="s">
        <v>50</v>
      </c>
      <c r="D8310" s="27" t="s">
        <v>6</v>
      </c>
      <c r="E8310" s="27" t="s">
        <v>41</v>
      </c>
      <c r="F8310" s="29"/>
      <c r="G8310" s="30">
        <v>71.509165999999993</v>
      </c>
    </row>
    <row r="8311" spans="1:7" hidden="1" x14ac:dyDescent="0.25">
      <c r="A8311" s="28">
        <v>44256</v>
      </c>
      <c r="B8311" s="27" t="s">
        <v>179</v>
      </c>
      <c r="C8311" s="27" t="s">
        <v>50</v>
      </c>
      <c r="D8311" s="27" t="s">
        <v>6</v>
      </c>
      <c r="E8311" s="27" t="s">
        <v>10</v>
      </c>
      <c r="F8311" s="29"/>
      <c r="G8311" s="30">
        <v>86.698999999999998</v>
      </c>
    </row>
    <row r="8312" spans="1:7" hidden="1" x14ac:dyDescent="0.25">
      <c r="A8312" s="28">
        <v>44256</v>
      </c>
      <c r="B8312" s="27" t="s">
        <v>179</v>
      </c>
      <c r="C8312" s="27" t="s">
        <v>50</v>
      </c>
      <c r="D8312" s="27" t="s">
        <v>6</v>
      </c>
      <c r="E8312" s="27" t="s">
        <v>11</v>
      </c>
      <c r="F8312" s="29"/>
      <c r="G8312" s="30">
        <v>65.566665999999998</v>
      </c>
    </row>
    <row r="8313" spans="1:7" hidden="1" x14ac:dyDescent="0.25">
      <c r="A8313" s="28">
        <v>44256</v>
      </c>
      <c r="B8313" s="27" t="s">
        <v>179</v>
      </c>
      <c r="C8313" s="27" t="s">
        <v>50</v>
      </c>
      <c r="D8313" s="27" t="s">
        <v>6</v>
      </c>
      <c r="E8313" s="27" t="s">
        <v>12</v>
      </c>
      <c r="F8313" s="29"/>
      <c r="G8313" s="30">
        <v>67.331665999999998</v>
      </c>
    </row>
    <row r="8314" spans="1:7" hidden="1" x14ac:dyDescent="0.25">
      <c r="A8314" s="28">
        <v>44256</v>
      </c>
      <c r="B8314" s="27" t="s">
        <v>179</v>
      </c>
      <c r="C8314" s="27" t="s">
        <v>50</v>
      </c>
      <c r="D8314" s="27" t="s">
        <v>6</v>
      </c>
      <c r="E8314" s="27" t="s">
        <v>13</v>
      </c>
      <c r="F8314" s="29"/>
      <c r="G8314" s="30">
        <v>93.319165999999996</v>
      </c>
    </row>
    <row r="8315" spans="1:7" hidden="1" x14ac:dyDescent="0.25">
      <c r="A8315" s="28">
        <v>44256</v>
      </c>
      <c r="B8315" s="27" t="s">
        <v>179</v>
      </c>
      <c r="C8315" s="27" t="s">
        <v>50</v>
      </c>
      <c r="D8315" s="27" t="s">
        <v>6</v>
      </c>
      <c r="E8315" s="27" t="s">
        <v>14</v>
      </c>
      <c r="F8315" s="29"/>
      <c r="G8315" s="30">
        <v>79.181666000000007</v>
      </c>
    </row>
    <row r="8316" spans="1:7" hidden="1" x14ac:dyDescent="0.25">
      <c r="A8316" s="28">
        <v>44256</v>
      </c>
      <c r="B8316" s="27" t="s">
        <v>179</v>
      </c>
      <c r="C8316" s="27" t="s">
        <v>50</v>
      </c>
      <c r="D8316" s="27" t="s">
        <v>6</v>
      </c>
      <c r="E8316" s="27" t="s">
        <v>15</v>
      </c>
      <c r="F8316" s="29"/>
      <c r="G8316" s="30">
        <v>90.084165999999996</v>
      </c>
    </row>
    <row r="8317" spans="1:7" hidden="1" x14ac:dyDescent="0.25">
      <c r="A8317" s="28">
        <v>44256</v>
      </c>
      <c r="B8317" s="27" t="s">
        <v>179</v>
      </c>
      <c r="C8317" s="27" t="s">
        <v>50</v>
      </c>
      <c r="D8317" s="27" t="s">
        <v>6</v>
      </c>
      <c r="E8317" s="27" t="s">
        <v>16</v>
      </c>
      <c r="F8317" s="29"/>
      <c r="G8317" s="30">
        <v>91.176665999999997</v>
      </c>
    </row>
    <row r="8318" spans="1:7" hidden="1" x14ac:dyDescent="0.25">
      <c r="A8318" s="28">
        <v>44256</v>
      </c>
      <c r="B8318" s="27" t="s">
        <v>179</v>
      </c>
      <c r="C8318" s="27" t="s">
        <v>50</v>
      </c>
      <c r="D8318" s="27" t="s">
        <v>6</v>
      </c>
      <c r="E8318" s="27" t="s">
        <v>17</v>
      </c>
      <c r="F8318" s="29"/>
      <c r="G8318" s="30">
        <v>142.004166</v>
      </c>
    </row>
    <row r="8319" spans="1:7" hidden="1" x14ac:dyDescent="0.25">
      <c r="A8319" s="28">
        <v>44256</v>
      </c>
      <c r="B8319" s="27" t="s">
        <v>179</v>
      </c>
      <c r="C8319" s="27" t="s">
        <v>50</v>
      </c>
      <c r="D8319" s="27" t="s">
        <v>6</v>
      </c>
      <c r="E8319" s="27" t="s">
        <v>18</v>
      </c>
      <c r="F8319" s="29"/>
      <c r="G8319" s="30">
        <v>183.16666599999999</v>
      </c>
    </row>
    <row r="8320" spans="1:7" hidden="1" x14ac:dyDescent="0.25">
      <c r="A8320" s="28">
        <v>44256</v>
      </c>
      <c r="B8320" s="27" t="s">
        <v>179</v>
      </c>
      <c r="C8320" s="27" t="s">
        <v>50</v>
      </c>
      <c r="D8320" s="27" t="s">
        <v>6</v>
      </c>
      <c r="E8320" s="27" t="s">
        <v>19</v>
      </c>
      <c r="F8320" s="29"/>
      <c r="G8320" s="30">
        <v>120.299166</v>
      </c>
    </row>
    <row r="8321" spans="1:7" hidden="1" x14ac:dyDescent="0.25">
      <c r="A8321" s="28">
        <v>44256</v>
      </c>
      <c r="B8321" s="27" t="s">
        <v>179</v>
      </c>
      <c r="C8321" s="27" t="s">
        <v>50</v>
      </c>
      <c r="D8321" s="27" t="s">
        <v>6</v>
      </c>
      <c r="E8321" s="27" t="s">
        <v>20</v>
      </c>
      <c r="F8321" s="29"/>
      <c r="G8321" s="30">
        <v>231.341666</v>
      </c>
    </row>
    <row r="8322" spans="1:7" hidden="1" x14ac:dyDescent="0.25">
      <c r="A8322" s="28">
        <v>44256</v>
      </c>
      <c r="B8322" s="27" t="s">
        <v>179</v>
      </c>
      <c r="C8322" s="27" t="s">
        <v>50</v>
      </c>
      <c r="D8322" s="27" t="s">
        <v>6</v>
      </c>
      <c r="E8322" s="27" t="s">
        <v>38</v>
      </c>
      <c r="F8322" s="29"/>
      <c r="G8322" s="30">
        <v>99.366665999999995</v>
      </c>
    </row>
    <row r="8323" spans="1:7" hidden="1" x14ac:dyDescent="0.25">
      <c r="A8323" s="28">
        <v>44256</v>
      </c>
      <c r="B8323" s="27" t="s">
        <v>179</v>
      </c>
      <c r="C8323" s="27" t="s">
        <v>50</v>
      </c>
      <c r="D8323" s="27" t="s">
        <v>6</v>
      </c>
      <c r="E8323" s="27" t="s">
        <v>23</v>
      </c>
      <c r="F8323" s="29"/>
      <c r="G8323" s="30">
        <v>131.48916600000001</v>
      </c>
    </row>
    <row r="8324" spans="1:7" hidden="1" x14ac:dyDescent="0.25">
      <c r="A8324" s="28">
        <v>44256</v>
      </c>
      <c r="B8324" s="27" t="s">
        <v>179</v>
      </c>
      <c r="C8324" s="27" t="s">
        <v>50</v>
      </c>
      <c r="D8324" s="27" t="s">
        <v>6</v>
      </c>
      <c r="E8324" s="27" t="s">
        <v>40</v>
      </c>
      <c r="F8324" s="29"/>
      <c r="G8324" s="30">
        <v>130.52416600000001</v>
      </c>
    </row>
    <row r="8325" spans="1:7" hidden="1" x14ac:dyDescent="0.25">
      <c r="A8325" s="28">
        <v>44256</v>
      </c>
      <c r="B8325" s="27" t="s">
        <v>32</v>
      </c>
      <c r="C8325" s="27" t="s">
        <v>50</v>
      </c>
      <c r="D8325" s="27" t="s">
        <v>7</v>
      </c>
      <c r="E8325" s="27" t="s">
        <v>10</v>
      </c>
      <c r="F8325" s="29"/>
      <c r="G8325" s="30">
        <v>50</v>
      </c>
    </row>
    <row r="8326" spans="1:7" hidden="1" x14ac:dyDescent="0.25">
      <c r="A8326" s="28">
        <v>44256</v>
      </c>
      <c r="B8326" s="27" t="s">
        <v>32</v>
      </c>
      <c r="C8326" s="27" t="s">
        <v>50</v>
      </c>
      <c r="D8326" s="27" t="s">
        <v>7</v>
      </c>
      <c r="E8326" s="27" t="s">
        <v>17</v>
      </c>
      <c r="F8326" s="29"/>
      <c r="G8326" s="30">
        <v>50</v>
      </c>
    </row>
    <row r="8327" spans="1:7" hidden="1" x14ac:dyDescent="0.25">
      <c r="A8327" s="28">
        <v>44256</v>
      </c>
      <c r="B8327" s="27" t="s">
        <v>5</v>
      </c>
      <c r="C8327" s="27" t="s">
        <v>51</v>
      </c>
      <c r="D8327" s="27" t="s">
        <v>51</v>
      </c>
      <c r="E8327" s="27" t="s">
        <v>8</v>
      </c>
      <c r="F8327" s="29">
        <v>5058</v>
      </c>
      <c r="G8327" s="30">
        <v>2.3668376196412657</v>
      </c>
    </row>
    <row r="8328" spans="1:7" hidden="1" x14ac:dyDescent="0.25">
      <c r="A8328" s="28">
        <v>44256</v>
      </c>
      <c r="B8328" s="27" t="s">
        <v>5</v>
      </c>
      <c r="C8328" s="27" t="s">
        <v>51</v>
      </c>
      <c r="D8328" s="27" t="s">
        <v>51</v>
      </c>
      <c r="E8328" s="27" t="s">
        <v>9</v>
      </c>
      <c r="F8328" s="29">
        <v>3177</v>
      </c>
      <c r="G8328" s="30">
        <v>2.9878775766181414</v>
      </c>
    </row>
    <row r="8329" spans="1:7" hidden="1" x14ac:dyDescent="0.25">
      <c r="A8329" s="28">
        <v>44256</v>
      </c>
      <c r="B8329" s="27" t="s">
        <v>5</v>
      </c>
      <c r="C8329" s="27" t="s">
        <v>51</v>
      </c>
      <c r="D8329" s="27" t="s">
        <v>51</v>
      </c>
      <c r="E8329" s="27" t="s">
        <v>22</v>
      </c>
      <c r="F8329" s="29">
        <v>3469</v>
      </c>
      <c r="G8329" s="30">
        <v>2.9120074018833484</v>
      </c>
    </row>
    <row r="8330" spans="1:7" hidden="1" x14ac:dyDescent="0.25">
      <c r="A8330" s="28">
        <v>44256</v>
      </c>
      <c r="B8330" s="27" t="s">
        <v>5</v>
      </c>
      <c r="C8330" s="27" t="s">
        <v>51</v>
      </c>
      <c r="D8330" s="27" t="s">
        <v>51</v>
      </c>
      <c r="E8330" s="27" t="s">
        <v>39</v>
      </c>
      <c r="F8330" s="29">
        <v>2678</v>
      </c>
      <c r="G8330" s="30">
        <v>3.1618765677074467</v>
      </c>
    </row>
    <row r="8331" spans="1:7" hidden="1" x14ac:dyDescent="0.25">
      <c r="A8331" s="28">
        <v>44256</v>
      </c>
      <c r="B8331" s="27" t="s">
        <v>5</v>
      </c>
      <c r="C8331" s="27" t="s">
        <v>51</v>
      </c>
      <c r="D8331" s="27" t="s">
        <v>51</v>
      </c>
      <c r="E8331" s="27" t="s">
        <v>21</v>
      </c>
      <c r="F8331" s="29">
        <v>5770</v>
      </c>
      <c r="G8331" s="30">
        <v>2.2757340492597167</v>
      </c>
    </row>
    <row r="8332" spans="1:7" hidden="1" x14ac:dyDescent="0.25">
      <c r="A8332" s="28">
        <v>44256</v>
      </c>
      <c r="B8332" s="27" t="s">
        <v>5</v>
      </c>
      <c r="C8332" s="27" t="s">
        <v>51</v>
      </c>
      <c r="D8332" s="27" t="s">
        <v>51</v>
      </c>
      <c r="E8332" s="27" t="s">
        <v>41</v>
      </c>
      <c r="F8332" s="29">
        <v>3348</v>
      </c>
      <c r="G8332" s="30">
        <v>3.0219457825487872</v>
      </c>
    </row>
    <row r="8333" spans="1:7" hidden="1" x14ac:dyDescent="0.25">
      <c r="A8333" s="28">
        <v>44256</v>
      </c>
      <c r="B8333" s="27" t="s">
        <v>5</v>
      </c>
      <c r="C8333" s="27" t="s">
        <v>51</v>
      </c>
      <c r="D8333" s="27" t="s">
        <v>51</v>
      </c>
      <c r="E8333" s="27" t="s">
        <v>10</v>
      </c>
      <c r="F8333" s="29">
        <v>4879</v>
      </c>
      <c r="G8333" s="30">
        <v>2.6343090399377402</v>
      </c>
    </row>
    <row r="8334" spans="1:7" hidden="1" x14ac:dyDescent="0.25">
      <c r="A8334" s="28">
        <v>44256</v>
      </c>
      <c r="B8334" s="27" t="s">
        <v>5</v>
      </c>
      <c r="C8334" s="27" t="s">
        <v>51</v>
      </c>
      <c r="D8334" s="27" t="s">
        <v>51</v>
      </c>
      <c r="E8334" s="27" t="s">
        <v>11</v>
      </c>
      <c r="F8334" s="29">
        <v>3053</v>
      </c>
      <c r="G8334" s="30">
        <v>3.0349352928696978</v>
      </c>
    </row>
    <row r="8335" spans="1:7" hidden="1" x14ac:dyDescent="0.25">
      <c r="A8335" s="28">
        <v>44256</v>
      </c>
      <c r="B8335" s="27" t="s">
        <v>5</v>
      </c>
      <c r="C8335" s="27" t="s">
        <v>51</v>
      </c>
      <c r="D8335" s="27" t="s">
        <v>51</v>
      </c>
      <c r="E8335" s="27" t="s">
        <v>12</v>
      </c>
      <c r="F8335" s="29">
        <v>2125</v>
      </c>
      <c r="G8335" s="30">
        <v>3.7296765003260166</v>
      </c>
    </row>
    <row r="8336" spans="1:7" hidden="1" x14ac:dyDescent="0.25">
      <c r="A8336" s="28">
        <v>44256</v>
      </c>
      <c r="B8336" s="27" t="s">
        <v>5</v>
      </c>
      <c r="C8336" s="27" t="s">
        <v>51</v>
      </c>
      <c r="D8336" s="27" t="s">
        <v>51</v>
      </c>
      <c r="E8336" s="27" t="s">
        <v>13</v>
      </c>
      <c r="F8336" s="29">
        <v>6632</v>
      </c>
      <c r="G8336" s="30">
        <v>2.056382498209044</v>
      </c>
    </row>
    <row r="8337" spans="1:7" hidden="1" x14ac:dyDescent="0.25">
      <c r="A8337" s="28">
        <v>44256</v>
      </c>
      <c r="B8337" s="27" t="s">
        <v>5</v>
      </c>
      <c r="C8337" s="27" t="s">
        <v>51</v>
      </c>
      <c r="D8337" s="27" t="s">
        <v>51</v>
      </c>
      <c r="E8337" s="27" t="s">
        <v>14</v>
      </c>
      <c r="F8337" s="29">
        <v>1748</v>
      </c>
      <c r="G8337" s="30">
        <v>2.8195231191039212</v>
      </c>
    </row>
    <row r="8338" spans="1:7" hidden="1" x14ac:dyDescent="0.25">
      <c r="A8338" s="28">
        <v>44256</v>
      </c>
      <c r="B8338" s="27" t="s">
        <v>5</v>
      </c>
      <c r="C8338" s="27" t="s">
        <v>51</v>
      </c>
      <c r="D8338" s="27" t="s">
        <v>51</v>
      </c>
      <c r="E8338" s="27" t="s">
        <v>15</v>
      </c>
      <c r="F8338" s="29">
        <v>5302</v>
      </c>
      <c r="G8338" s="30">
        <v>2.0874757042502887</v>
      </c>
    </row>
    <row r="8339" spans="1:7" hidden="1" x14ac:dyDescent="0.25">
      <c r="A8339" s="28">
        <v>44256</v>
      </c>
      <c r="B8339" s="27" t="s">
        <v>5</v>
      </c>
      <c r="C8339" s="27" t="s">
        <v>51</v>
      </c>
      <c r="D8339" s="27" t="s">
        <v>51</v>
      </c>
      <c r="E8339" s="27" t="s">
        <v>16</v>
      </c>
      <c r="F8339" s="29">
        <v>3254</v>
      </c>
      <c r="G8339" s="30">
        <v>2.9797249429948387</v>
      </c>
    </row>
    <row r="8340" spans="1:7" hidden="1" x14ac:dyDescent="0.25">
      <c r="A8340" s="28">
        <v>44256</v>
      </c>
      <c r="B8340" s="27" t="s">
        <v>5</v>
      </c>
      <c r="C8340" s="27" t="s">
        <v>51</v>
      </c>
      <c r="D8340" s="27" t="s">
        <v>51</v>
      </c>
      <c r="E8340" s="27" t="s">
        <v>17</v>
      </c>
      <c r="F8340" s="29">
        <v>3734</v>
      </c>
      <c r="G8340" s="30">
        <v>3.3186482408769367</v>
      </c>
    </row>
    <row r="8341" spans="1:7" hidden="1" x14ac:dyDescent="0.25">
      <c r="A8341" s="28">
        <v>44256</v>
      </c>
      <c r="B8341" s="27" t="s">
        <v>5</v>
      </c>
      <c r="C8341" s="27" t="s">
        <v>51</v>
      </c>
      <c r="D8341" s="27" t="s">
        <v>51</v>
      </c>
      <c r="E8341" s="27" t="s">
        <v>18</v>
      </c>
      <c r="F8341" s="29">
        <v>6148</v>
      </c>
      <c r="G8341" s="30">
        <v>1.5671031767799117</v>
      </c>
    </row>
    <row r="8342" spans="1:7" hidden="1" x14ac:dyDescent="0.25">
      <c r="A8342" s="28">
        <v>44256</v>
      </c>
      <c r="B8342" s="27" t="s">
        <v>5</v>
      </c>
      <c r="C8342" s="27" t="s">
        <v>51</v>
      </c>
      <c r="D8342" s="27" t="s">
        <v>51</v>
      </c>
      <c r="E8342" s="27" t="s">
        <v>19</v>
      </c>
      <c r="F8342" s="29">
        <v>4305</v>
      </c>
      <c r="G8342" s="30">
        <v>2.5571693968695719</v>
      </c>
    </row>
    <row r="8343" spans="1:7" hidden="1" x14ac:dyDescent="0.25">
      <c r="A8343" s="28">
        <v>44256</v>
      </c>
      <c r="B8343" s="27" t="s">
        <v>5</v>
      </c>
      <c r="C8343" s="27" t="s">
        <v>51</v>
      </c>
      <c r="D8343" s="27" t="s">
        <v>51</v>
      </c>
      <c r="E8343" s="27" t="s">
        <v>20</v>
      </c>
      <c r="F8343" s="29">
        <v>8252</v>
      </c>
      <c r="G8343" s="30">
        <v>1.5754297630425909</v>
      </c>
    </row>
    <row r="8344" spans="1:7" hidden="1" x14ac:dyDescent="0.25">
      <c r="A8344" s="28">
        <v>44256</v>
      </c>
      <c r="B8344" s="27" t="s">
        <v>5</v>
      </c>
      <c r="C8344" s="27" t="s">
        <v>51</v>
      </c>
      <c r="D8344" s="27" t="s">
        <v>51</v>
      </c>
      <c r="E8344" s="27" t="s">
        <v>38</v>
      </c>
      <c r="F8344" s="29">
        <v>1815</v>
      </c>
      <c r="G8344" s="30">
        <v>2.8912374747194369</v>
      </c>
    </row>
    <row r="8345" spans="1:7" hidden="1" x14ac:dyDescent="0.25">
      <c r="A8345" s="28">
        <v>44256</v>
      </c>
      <c r="B8345" s="27" t="s">
        <v>5</v>
      </c>
      <c r="C8345" s="27" t="s">
        <v>51</v>
      </c>
      <c r="D8345" s="27" t="s">
        <v>51</v>
      </c>
      <c r="E8345" s="27" t="s">
        <v>23</v>
      </c>
      <c r="F8345" s="29">
        <v>5816</v>
      </c>
      <c r="G8345" s="30">
        <v>2.19704761826981</v>
      </c>
    </row>
    <row r="8346" spans="1:7" hidden="1" x14ac:dyDescent="0.25">
      <c r="A8346" s="28">
        <v>44256</v>
      </c>
      <c r="B8346" s="27" t="s">
        <v>5</v>
      </c>
      <c r="C8346" s="27" t="s">
        <v>51</v>
      </c>
      <c r="D8346" s="27" t="s">
        <v>51</v>
      </c>
      <c r="E8346" s="27" t="s">
        <v>40</v>
      </c>
      <c r="F8346" s="29">
        <v>2375</v>
      </c>
      <c r="G8346" s="30">
        <v>2.3994564301623047</v>
      </c>
    </row>
    <row r="8347" spans="1:7" hidden="1" x14ac:dyDescent="0.25">
      <c r="A8347" s="28">
        <v>44256</v>
      </c>
      <c r="B8347" s="27" t="s">
        <v>180</v>
      </c>
      <c r="C8347" s="27" t="s">
        <v>50</v>
      </c>
      <c r="D8347" s="27" t="s">
        <v>7</v>
      </c>
      <c r="E8347" s="27" t="s">
        <v>37</v>
      </c>
      <c r="F8347" s="29"/>
      <c r="G8347" s="30">
        <v>1567.17</v>
      </c>
    </row>
    <row r="8348" spans="1:7" hidden="1" x14ac:dyDescent="0.25">
      <c r="A8348" s="28">
        <v>44256</v>
      </c>
      <c r="B8348" s="27" t="s">
        <v>181</v>
      </c>
      <c r="C8348" s="27" t="s">
        <v>50</v>
      </c>
      <c r="D8348" s="27" t="s">
        <v>6</v>
      </c>
      <c r="E8348" s="27" t="s">
        <v>8</v>
      </c>
      <c r="F8348" s="29"/>
      <c r="G8348" s="30">
        <v>604</v>
      </c>
    </row>
    <row r="8349" spans="1:7" hidden="1" x14ac:dyDescent="0.25">
      <c r="A8349" s="28">
        <v>44256</v>
      </c>
      <c r="B8349" s="27" t="s">
        <v>181</v>
      </c>
      <c r="C8349" s="27" t="s">
        <v>50</v>
      </c>
      <c r="D8349" s="27" t="s">
        <v>6</v>
      </c>
      <c r="E8349" s="27" t="s">
        <v>9</v>
      </c>
      <c r="F8349" s="29"/>
      <c r="G8349" s="30">
        <v>16.920000000000002</v>
      </c>
    </row>
    <row r="8350" spans="1:7" hidden="1" x14ac:dyDescent="0.25">
      <c r="A8350" s="28">
        <v>44256</v>
      </c>
      <c r="B8350" s="27" t="s">
        <v>181</v>
      </c>
      <c r="C8350" s="27" t="s">
        <v>50</v>
      </c>
      <c r="D8350" s="27" t="s">
        <v>6</v>
      </c>
      <c r="E8350" s="27" t="s">
        <v>22</v>
      </c>
      <c r="F8350" s="29"/>
      <c r="G8350" s="30">
        <v>30</v>
      </c>
    </row>
    <row r="8351" spans="1:7" hidden="1" x14ac:dyDescent="0.25">
      <c r="A8351" s="28">
        <v>44256</v>
      </c>
      <c r="B8351" s="27" t="s">
        <v>181</v>
      </c>
      <c r="C8351" s="27" t="s">
        <v>50</v>
      </c>
      <c r="D8351" s="27" t="s">
        <v>6</v>
      </c>
      <c r="E8351" s="27" t="s">
        <v>64</v>
      </c>
      <c r="F8351" s="29"/>
      <c r="G8351" s="30">
        <v>275</v>
      </c>
    </row>
    <row r="8352" spans="1:7" hidden="1" x14ac:dyDescent="0.25">
      <c r="A8352" s="28">
        <v>44256</v>
      </c>
      <c r="B8352" s="27" t="s">
        <v>181</v>
      </c>
      <c r="C8352" s="27" t="s">
        <v>50</v>
      </c>
      <c r="D8352" s="27" t="s">
        <v>6</v>
      </c>
      <c r="E8352" s="27" t="s">
        <v>21</v>
      </c>
      <c r="F8352" s="29"/>
      <c r="G8352" s="30">
        <v>1492</v>
      </c>
    </row>
    <row r="8353" spans="1:7" hidden="1" x14ac:dyDescent="0.25">
      <c r="A8353" s="28">
        <v>44256</v>
      </c>
      <c r="B8353" s="27" t="s">
        <v>181</v>
      </c>
      <c r="C8353" s="27" t="s">
        <v>50</v>
      </c>
      <c r="D8353" s="27" t="s">
        <v>6</v>
      </c>
      <c r="E8353" s="27" t="s">
        <v>13</v>
      </c>
      <c r="F8353" s="29"/>
      <c r="G8353" s="30">
        <v>444</v>
      </c>
    </row>
    <row r="8354" spans="1:7" hidden="1" x14ac:dyDescent="0.25">
      <c r="A8354" s="28">
        <v>44256</v>
      </c>
      <c r="B8354" s="27" t="s">
        <v>181</v>
      </c>
      <c r="C8354" s="27" t="s">
        <v>50</v>
      </c>
      <c r="D8354" s="27" t="s">
        <v>6</v>
      </c>
      <c r="E8354" s="27" t="s">
        <v>16</v>
      </c>
      <c r="F8354" s="29"/>
      <c r="G8354" s="30">
        <v>594.35</v>
      </c>
    </row>
    <row r="8355" spans="1:7" hidden="1" x14ac:dyDescent="0.25">
      <c r="A8355" s="28">
        <v>44256</v>
      </c>
      <c r="B8355" s="27" t="s">
        <v>181</v>
      </c>
      <c r="C8355" s="27" t="s">
        <v>50</v>
      </c>
      <c r="D8355" s="27" t="s">
        <v>6</v>
      </c>
      <c r="E8355" s="27" t="s">
        <v>17</v>
      </c>
      <c r="F8355" s="29"/>
      <c r="G8355" s="30">
        <v>150</v>
      </c>
    </row>
    <row r="8356" spans="1:7" hidden="1" x14ac:dyDescent="0.25">
      <c r="A8356" s="28">
        <v>44256</v>
      </c>
      <c r="B8356" s="27" t="s">
        <v>181</v>
      </c>
      <c r="C8356" s="27" t="s">
        <v>50</v>
      </c>
      <c r="D8356" s="27" t="s">
        <v>6</v>
      </c>
      <c r="E8356" s="27" t="s">
        <v>20</v>
      </c>
      <c r="F8356" s="29"/>
      <c r="G8356" s="30">
        <v>803.79</v>
      </c>
    </row>
    <row r="8357" spans="1:7" hidden="1" x14ac:dyDescent="0.25">
      <c r="A8357" s="28">
        <v>44256</v>
      </c>
      <c r="B8357" s="27" t="s">
        <v>181</v>
      </c>
      <c r="C8357" s="27" t="s">
        <v>50</v>
      </c>
      <c r="D8357" s="27" t="s">
        <v>6</v>
      </c>
      <c r="E8357" s="27" t="s">
        <v>37</v>
      </c>
      <c r="F8357" s="29"/>
      <c r="G8357" s="30">
        <v>5647.26</v>
      </c>
    </row>
    <row r="8358" spans="1:7" hidden="1" x14ac:dyDescent="0.25">
      <c r="A8358" s="28">
        <v>44256</v>
      </c>
      <c r="B8358" s="27" t="s">
        <v>25</v>
      </c>
      <c r="C8358" s="27" t="s">
        <v>50</v>
      </c>
      <c r="D8358" s="27" t="s">
        <v>7</v>
      </c>
      <c r="E8358" s="27" t="s">
        <v>41</v>
      </c>
      <c r="F8358" s="29"/>
      <c r="G8358" s="30">
        <v>423.63</v>
      </c>
    </row>
    <row r="8359" spans="1:7" hidden="1" x14ac:dyDescent="0.25">
      <c r="A8359" s="28">
        <v>44256</v>
      </c>
      <c r="B8359" s="27" t="s">
        <v>2</v>
      </c>
      <c r="C8359" s="27" t="s">
        <v>50</v>
      </c>
      <c r="D8359" s="27" t="s">
        <v>7</v>
      </c>
      <c r="E8359" s="27" t="s">
        <v>8</v>
      </c>
      <c r="F8359" s="29"/>
      <c r="G8359" s="30">
        <v>795.48</v>
      </c>
    </row>
    <row r="8360" spans="1:7" hidden="1" x14ac:dyDescent="0.25">
      <c r="A8360" s="28">
        <v>44256</v>
      </c>
      <c r="B8360" s="27" t="s">
        <v>2</v>
      </c>
      <c r="C8360" s="27" t="s">
        <v>50</v>
      </c>
      <c r="D8360" s="27" t="s">
        <v>7</v>
      </c>
      <c r="E8360" s="27" t="s">
        <v>9</v>
      </c>
      <c r="F8360" s="29"/>
      <c r="G8360" s="30">
        <v>526.51</v>
      </c>
    </row>
    <row r="8361" spans="1:7" hidden="1" x14ac:dyDescent="0.25">
      <c r="A8361" s="28">
        <v>44256</v>
      </c>
      <c r="B8361" s="27" t="s">
        <v>2</v>
      </c>
      <c r="C8361" s="27" t="s">
        <v>50</v>
      </c>
      <c r="D8361" s="27" t="s">
        <v>7</v>
      </c>
      <c r="E8361" s="27" t="s">
        <v>39</v>
      </c>
      <c r="F8361" s="29"/>
      <c r="G8361" s="30">
        <v>249.3</v>
      </c>
    </row>
    <row r="8362" spans="1:7" hidden="1" x14ac:dyDescent="0.25">
      <c r="A8362" s="28">
        <v>44256</v>
      </c>
      <c r="B8362" s="27" t="s">
        <v>2</v>
      </c>
      <c r="C8362" s="27" t="s">
        <v>50</v>
      </c>
      <c r="D8362" s="27" t="s">
        <v>7</v>
      </c>
      <c r="E8362" s="27" t="s">
        <v>21</v>
      </c>
      <c r="F8362" s="29"/>
      <c r="G8362" s="30">
        <v>577.83000000000004</v>
      </c>
    </row>
    <row r="8363" spans="1:7" hidden="1" x14ac:dyDescent="0.25">
      <c r="A8363" s="28">
        <v>44256</v>
      </c>
      <c r="B8363" s="27" t="s">
        <v>2</v>
      </c>
      <c r="C8363" s="27" t="s">
        <v>50</v>
      </c>
      <c r="D8363" s="27" t="s">
        <v>7</v>
      </c>
      <c r="E8363" s="27" t="s">
        <v>41</v>
      </c>
      <c r="F8363" s="29"/>
      <c r="G8363" s="30">
        <v>391</v>
      </c>
    </row>
    <row r="8364" spans="1:7" hidden="1" x14ac:dyDescent="0.25">
      <c r="A8364" s="28">
        <v>44256</v>
      </c>
      <c r="B8364" s="27" t="s">
        <v>2</v>
      </c>
      <c r="C8364" s="27" t="s">
        <v>50</v>
      </c>
      <c r="D8364" s="27" t="s">
        <v>7</v>
      </c>
      <c r="E8364" s="27" t="s">
        <v>10</v>
      </c>
      <c r="F8364" s="29"/>
      <c r="G8364" s="30">
        <v>592.62</v>
      </c>
    </row>
    <row r="8365" spans="1:7" hidden="1" x14ac:dyDescent="0.25">
      <c r="A8365" s="28">
        <v>44256</v>
      </c>
      <c r="B8365" s="27" t="s">
        <v>2</v>
      </c>
      <c r="C8365" s="27" t="s">
        <v>50</v>
      </c>
      <c r="D8365" s="27" t="s">
        <v>7</v>
      </c>
      <c r="E8365" s="27" t="s">
        <v>11</v>
      </c>
      <c r="F8365" s="29"/>
      <c r="G8365" s="30">
        <v>223.08</v>
      </c>
    </row>
    <row r="8366" spans="1:7" hidden="1" x14ac:dyDescent="0.25">
      <c r="A8366" s="28">
        <v>44256</v>
      </c>
      <c r="B8366" s="27" t="s">
        <v>2</v>
      </c>
      <c r="C8366" s="27" t="s">
        <v>50</v>
      </c>
      <c r="D8366" s="27" t="s">
        <v>7</v>
      </c>
      <c r="E8366" s="27" t="s">
        <v>12</v>
      </c>
      <c r="F8366" s="29"/>
      <c r="G8366" s="30">
        <v>359.28</v>
      </c>
    </row>
    <row r="8367" spans="1:7" hidden="1" x14ac:dyDescent="0.25">
      <c r="A8367" s="28">
        <v>44256</v>
      </c>
      <c r="B8367" s="27" t="s">
        <v>2</v>
      </c>
      <c r="C8367" s="27" t="s">
        <v>50</v>
      </c>
      <c r="D8367" s="27" t="s">
        <v>7</v>
      </c>
      <c r="E8367" s="27" t="s">
        <v>13</v>
      </c>
      <c r="F8367" s="29"/>
      <c r="G8367" s="30">
        <v>1402.23</v>
      </c>
    </row>
    <row r="8368" spans="1:7" hidden="1" x14ac:dyDescent="0.25">
      <c r="A8368" s="28">
        <v>44256</v>
      </c>
      <c r="B8368" s="27" t="s">
        <v>2</v>
      </c>
      <c r="C8368" s="27" t="s">
        <v>50</v>
      </c>
      <c r="D8368" s="27" t="s">
        <v>7</v>
      </c>
      <c r="E8368" s="27" t="s">
        <v>14</v>
      </c>
      <c r="F8368" s="29"/>
      <c r="G8368" s="30">
        <v>28.1</v>
      </c>
    </row>
    <row r="8369" spans="1:7" hidden="1" x14ac:dyDescent="0.25">
      <c r="A8369" s="28">
        <v>44256</v>
      </c>
      <c r="B8369" s="27" t="s">
        <v>2</v>
      </c>
      <c r="C8369" s="27" t="s">
        <v>50</v>
      </c>
      <c r="D8369" s="27" t="s">
        <v>7</v>
      </c>
      <c r="E8369" s="27" t="s">
        <v>15</v>
      </c>
      <c r="F8369" s="29"/>
      <c r="G8369" s="30">
        <v>569.91</v>
      </c>
    </row>
    <row r="8370" spans="1:7" hidden="1" x14ac:dyDescent="0.25">
      <c r="A8370" s="28">
        <v>44256</v>
      </c>
      <c r="B8370" s="27" t="s">
        <v>2</v>
      </c>
      <c r="C8370" s="27" t="s">
        <v>50</v>
      </c>
      <c r="D8370" s="27" t="s">
        <v>7</v>
      </c>
      <c r="E8370" s="27" t="s">
        <v>16</v>
      </c>
      <c r="F8370" s="29"/>
      <c r="G8370" s="30">
        <v>36.07</v>
      </c>
    </row>
    <row r="8371" spans="1:7" hidden="1" x14ac:dyDescent="0.25">
      <c r="A8371" s="28">
        <v>44256</v>
      </c>
      <c r="B8371" s="27" t="s">
        <v>2</v>
      </c>
      <c r="C8371" s="27" t="s">
        <v>50</v>
      </c>
      <c r="D8371" s="27" t="s">
        <v>7</v>
      </c>
      <c r="E8371" s="27" t="s">
        <v>17</v>
      </c>
      <c r="F8371" s="29"/>
      <c r="G8371" s="30">
        <v>649.37</v>
      </c>
    </row>
    <row r="8372" spans="1:7" hidden="1" x14ac:dyDescent="0.25">
      <c r="A8372" s="28">
        <v>44256</v>
      </c>
      <c r="B8372" s="27" t="s">
        <v>2</v>
      </c>
      <c r="C8372" s="27" t="s">
        <v>50</v>
      </c>
      <c r="D8372" s="27" t="s">
        <v>7</v>
      </c>
      <c r="E8372" s="27" t="s">
        <v>18</v>
      </c>
      <c r="F8372" s="29"/>
      <c r="G8372" s="30">
        <v>134.94</v>
      </c>
    </row>
    <row r="8373" spans="1:7" hidden="1" x14ac:dyDescent="0.25">
      <c r="A8373" s="28">
        <v>44256</v>
      </c>
      <c r="B8373" s="27" t="s">
        <v>2</v>
      </c>
      <c r="C8373" s="27" t="s">
        <v>50</v>
      </c>
      <c r="D8373" s="27" t="s">
        <v>7</v>
      </c>
      <c r="E8373" s="27" t="s">
        <v>19</v>
      </c>
      <c r="F8373" s="29"/>
      <c r="G8373" s="30">
        <v>585.07000000000005</v>
      </c>
    </row>
    <row r="8374" spans="1:7" hidden="1" x14ac:dyDescent="0.25">
      <c r="A8374" s="28">
        <v>44256</v>
      </c>
      <c r="B8374" s="27" t="s">
        <v>2</v>
      </c>
      <c r="C8374" s="27" t="s">
        <v>50</v>
      </c>
      <c r="D8374" s="27" t="s">
        <v>7</v>
      </c>
      <c r="E8374" s="27" t="s">
        <v>20</v>
      </c>
      <c r="F8374" s="29"/>
      <c r="G8374" s="30">
        <v>870.98</v>
      </c>
    </row>
    <row r="8375" spans="1:7" hidden="1" x14ac:dyDescent="0.25">
      <c r="A8375" s="28">
        <v>44256</v>
      </c>
      <c r="B8375" s="27" t="s">
        <v>2</v>
      </c>
      <c r="C8375" s="27" t="s">
        <v>50</v>
      </c>
      <c r="D8375" s="27" t="s">
        <v>7</v>
      </c>
      <c r="E8375" s="27" t="s">
        <v>38</v>
      </c>
      <c r="F8375" s="29"/>
      <c r="G8375" s="30">
        <v>63.8</v>
      </c>
    </row>
    <row r="8376" spans="1:7" hidden="1" x14ac:dyDescent="0.25">
      <c r="A8376" s="28">
        <v>44256</v>
      </c>
      <c r="B8376" s="27" t="s">
        <v>2</v>
      </c>
      <c r="C8376" s="27" t="s">
        <v>50</v>
      </c>
      <c r="D8376" s="27" t="s">
        <v>7</v>
      </c>
      <c r="E8376" s="27" t="s">
        <v>23</v>
      </c>
      <c r="F8376" s="29"/>
      <c r="G8376" s="30">
        <v>753.81</v>
      </c>
    </row>
    <row r="8377" spans="1:7" hidden="1" x14ac:dyDescent="0.25">
      <c r="A8377" s="28">
        <v>44256</v>
      </c>
      <c r="B8377" s="27" t="s">
        <v>2</v>
      </c>
      <c r="C8377" s="27" t="s">
        <v>50</v>
      </c>
      <c r="D8377" s="27" t="s">
        <v>7</v>
      </c>
      <c r="E8377" s="27" t="s">
        <v>40</v>
      </c>
      <c r="F8377" s="29"/>
      <c r="G8377" s="30">
        <v>128.9</v>
      </c>
    </row>
    <row r="8378" spans="1:7" hidden="1" x14ac:dyDescent="0.25">
      <c r="A8378" s="28">
        <v>44256</v>
      </c>
      <c r="B8378" s="27" t="s">
        <v>36</v>
      </c>
      <c r="C8378" s="27" t="s">
        <v>50</v>
      </c>
      <c r="D8378" s="27" t="s">
        <v>6</v>
      </c>
      <c r="E8378" s="27" t="s">
        <v>8</v>
      </c>
      <c r="F8378" s="29"/>
      <c r="G8378" s="30">
        <v>183.62428571428572</v>
      </c>
    </row>
    <row r="8379" spans="1:7" hidden="1" x14ac:dyDescent="0.25">
      <c r="A8379" s="28">
        <v>44256</v>
      </c>
      <c r="B8379" s="27" t="s">
        <v>36</v>
      </c>
      <c r="C8379" s="27" t="s">
        <v>50</v>
      </c>
      <c r="D8379" s="27" t="s">
        <v>6</v>
      </c>
      <c r="E8379" s="27" t="s">
        <v>9</v>
      </c>
      <c r="F8379" s="29"/>
      <c r="G8379" s="30">
        <v>183.62428571428572</v>
      </c>
    </row>
    <row r="8380" spans="1:7" hidden="1" x14ac:dyDescent="0.25">
      <c r="A8380" s="28">
        <v>44256</v>
      </c>
      <c r="B8380" s="27" t="s">
        <v>36</v>
      </c>
      <c r="C8380" s="27" t="s">
        <v>50</v>
      </c>
      <c r="D8380" s="27" t="s">
        <v>6</v>
      </c>
      <c r="E8380" s="27" t="s">
        <v>22</v>
      </c>
      <c r="F8380" s="29"/>
      <c r="G8380" s="30">
        <v>183.62428571428572</v>
      </c>
    </row>
    <row r="8381" spans="1:7" hidden="1" x14ac:dyDescent="0.25">
      <c r="A8381" s="28">
        <v>44256</v>
      </c>
      <c r="B8381" s="27" t="s">
        <v>36</v>
      </c>
      <c r="C8381" s="27" t="s">
        <v>50</v>
      </c>
      <c r="D8381" s="27" t="s">
        <v>6</v>
      </c>
      <c r="E8381" s="27" t="s">
        <v>39</v>
      </c>
      <c r="F8381" s="29"/>
      <c r="G8381" s="30">
        <v>183.62428571428572</v>
      </c>
    </row>
    <row r="8382" spans="1:7" hidden="1" x14ac:dyDescent="0.25">
      <c r="A8382" s="28">
        <v>44256</v>
      </c>
      <c r="B8382" s="27" t="s">
        <v>36</v>
      </c>
      <c r="C8382" s="27" t="s">
        <v>50</v>
      </c>
      <c r="D8382" s="27" t="s">
        <v>6</v>
      </c>
      <c r="E8382" s="27" t="s">
        <v>64</v>
      </c>
      <c r="F8382" s="29"/>
      <c r="G8382" s="30">
        <v>183.62428571428572</v>
      </c>
    </row>
    <row r="8383" spans="1:7" hidden="1" x14ac:dyDescent="0.25">
      <c r="A8383" s="28">
        <v>44256</v>
      </c>
      <c r="B8383" s="27" t="s">
        <v>36</v>
      </c>
      <c r="C8383" s="27" t="s">
        <v>50</v>
      </c>
      <c r="D8383" s="27" t="s">
        <v>6</v>
      </c>
      <c r="E8383" s="27" t="s">
        <v>21</v>
      </c>
      <c r="F8383" s="29"/>
      <c r="G8383" s="30">
        <v>183.62428571428572</v>
      </c>
    </row>
    <row r="8384" spans="1:7" hidden="1" x14ac:dyDescent="0.25">
      <c r="A8384" s="28">
        <v>44256</v>
      </c>
      <c r="B8384" s="27" t="s">
        <v>36</v>
      </c>
      <c r="C8384" s="27" t="s">
        <v>50</v>
      </c>
      <c r="D8384" s="27" t="s">
        <v>6</v>
      </c>
      <c r="E8384" s="27" t="s">
        <v>41</v>
      </c>
      <c r="F8384" s="29"/>
      <c r="G8384" s="30">
        <v>183.62428571428572</v>
      </c>
    </row>
    <row r="8385" spans="1:7" hidden="1" x14ac:dyDescent="0.25">
      <c r="A8385" s="28">
        <v>44256</v>
      </c>
      <c r="B8385" s="27" t="s">
        <v>36</v>
      </c>
      <c r="C8385" s="27" t="s">
        <v>50</v>
      </c>
      <c r="D8385" s="27" t="s">
        <v>6</v>
      </c>
      <c r="E8385" s="27" t="s">
        <v>10</v>
      </c>
      <c r="F8385" s="29"/>
      <c r="G8385" s="30">
        <v>183.62428571428572</v>
      </c>
    </row>
    <row r="8386" spans="1:7" hidden="1" x14ac:dyDescent="0.25">
      <c r="A8386" s="28">
        <v>44256</v>
      </c>
      <c r="B8386" s="27" t="s">
        <v>36</v>
      </c>
      <c r="C8386" s="27" t="s">
        <v>50</v>
      </c>
      <c r="D8386" s="27" t="s">
        <v>6</v>
      </c>
      <c r="E8386" s="27" t="s">
        <v>11</v>
      </c>
      <c r="F8386" s="29"/>
      <c r="G8386" s="30">
        <v>183.62428571428572</v>
      </c>
    </row>
    <row r="8387" spans="1:7" hidden="1" x14ac:dyDescent="0.25">
      <c r="A8387" s="28">
        <v>44256</v>
      </c>
      <c r="B8387" s="27" t="s">
        <v>36</v>
      </c>
      <c r="C8387" s="27" t="s">
        <v>50</v>
      </c>
      <c r="D8387" s="27" t="s">
        <v>6</v>
      </c>
      <c r="E8387" s="27" t="s">
        <v>12</v>
      </c>
      <c r="F8387" s="29"/>
      <c r="G8387" s="30">
        <v>183.62428571428572</v>
      </c>
    </row>
    <row r="8388" spans="1:7" hidden="1" x14ac:dyDescent="0.25">
      <c r="A8388" s="28">
        <v>44256</v>
      </c>
      <c r="B8388" s="27" t="s">
        <v>36</v>
      </c>
      <c r="C8388" s="27" t="s">
        <v>50</v>
      </c>
      <c r="D8388" s="27" t="s">
        <v>6</v>
      </c>
      <c r="E8388" s="27" t="s">
        <v>13</v>
      </c>
      <c r="F8388" s="29"/>
      <c r="G8388" s="30">
        <v>183.62428571428572</v>
      </c>
    </row>
    <row r="8389" spans="1:7" hidden="1" x14ac:dyDescent="0.25">
      <c r="A8389" s="28">
        <v>44256</v>
      </c>
      <c r="B8389" s="27" t="s">
        <v>36</v>
      </c>
      <c r="C8389" s="27" t="s">
        <v>50</v>
      </c>
      <c r="D8389" s="27" t="s">
        <v>6</v>
      </c>
      <c r="E8389" s="27" t="s">
        <v>14</v>
      </c>
      <c r="F8389" s="29"/>
      <c r="G8389" s="30">
        <v>183.62428571428572</v>
      </c>
    </row>
    <row r="8390" spans="1:7" hidden="1" x14ac:dyDescent="0.25">
      <c r="A8390" s="28">
        <v>44256</v>
      </c>
      <c r="B8390" s="27" t="s">
        <v>36</v>
      </c>
      <c r="C8390" s="27" t="s">
        <v>50</v>
      </c>
      <c r="D8390" s="27" t="s">
        <v>6</v>
      </c>
      <c r="E8390" s="27" t="s">
        <v>15</v>
      </c>
      <c r="F8390" s="29"/>
      <c r="G8390" s="30">
        <v>183.62428571428572</v>
      </c>
    </row>
    <row r="8391" spans="1:7" hidden="1" x14ac:dyDescent="0.25">
      <c r="A8391" s="28">
        <v>44256</v>
      </c>
      <c r="B8391" s="27" t="s">
        <v>36</v>
      </c>
      <c r="C8391" s="27" t="s">
        <v>50</v>
      </c>
      <c r="D8391" s="27" t="s">
        <v>6</v>
      </c>
      <c r="E8391" s="27" t="s">
        <v>16</v>
      </c>
      <c r="F8391" s="29"/>
      <c r="G8391" s="30">
        <v>183.62428571428572</v>
      </c>
    </row>
    <row r="8392" spans="1:7" hidden="1" x14ac:dyDescent="0.25">
      <c r="A8392" s="28">
        <v>44256</v>
      </c>
      <c r="B8392" s="27" t="s">
        <v>36</v>
      </c>
      <c r="C8392" s="27" t="s">
        <v>50</v>
      </c>
      <c r="D8392" s="27" t="s">
        <v>6</v>
      </c>
      <c r="E8392" s="27" t="s">
        <v>17</v>
      </c>
      <c r="F8392" s="29"/>
      <c r="G8392" s="30">
        <v>183.62428571428572</v>
      </c>
    </row>
    <row r="8393" spans="1:7" hidden="1" x14ac:dyDescent="0.25">
      <c r="A8393" s="28">
        <v>44256</v>
      </c>
      <c r="B8393" s="27" t="s">
        <v>36</v>
      </c>
      <c r="C8393" s="27" t="s">
        <v>50</v>
      </c>
      <c r="D8393" s="27" t="s">
        <v>6</v>
      </c>
      <c r="E8393" s="27" t="s">
        <v>18</v>
      </c>
      <c r="F8393" s="29"/>
      <c r="G8393" s="30">
        <v>183.62428571428572</v>
      </c>
    </row>
    <row r="8394" spans="1:7" hidden="1" x14ac:dyDescent="0.25">
      <c r="A8394" s="28">
        <v>44256</v>
      </c>
      <c r="B8394" s="27" t="s">
        <v>36</v>
      </c>
      <c r="C8394" s="27" t="s">
        <v>50</v>
      </c>
      <c r="D8394" s="27" t="s">
        <v>6</v>
      </c>
      <c r="E8394" s="27" t="s">
        <v>19</v>
      </c>
      <c r="F8394" s="29"/>
      <c r="G8394" s="30">
        <v>183.62428571428572</v>
      </c>
    </row>
    <row r="8395" spans="1:7" hidden="1" x14ac:dyDescent="0.25">
      <c r="A8395" s="28">
        <v>44256</v>
      </c>
      <c r="B8395" s="27" t="s">
        <v>36</v>
      </c>
      <c r="C8395" s="27" t="s">
        <v>50</v>
      </c>
      <c r="D8395" s="27" t="s">
        <v>6</v>
      </c>
      <c r="E8395" s="27" t="s">
        <v>20</v>
      </c>
      <c r="F8395" s="29"/>
      <c r="G8395" s="30">
        <v>183.62428571428572</v>
      </c>
    </row>
    <row r="8396" spans="1:7" hidden="1" x14ac:dyDescent="0.25">
      <c r="A8396" s="28">
        <v>44256</v>
      </c>
      <c r="B8396" s="27" t="s">
        <v>36</v>
      </c>
      <c r="C8396" s="27" t="s">
        <v>50</v>
      </c>
      <c r="D8396" s="27" t="s">
        <v>6</v>
      </c>
      <c r="E8396" s="27" t="s">
        <v>38</v>
      </c>
      <c r="F8396" s="29"/>
      <c r="G8396" s="30">
        <v>183.62428571428572</v>
      </c>
    </row>
    <row r="8397" spans="1:7" hidden="1" x14ac:dyDescent="0.25">
      <c r="A8397" s="28">
        <v>44256</v>
      </c>
      <c r="B8397" s="27" t="s">
        <v>36</v>
      </c>
      <c r="C8397" s="27" t="s">
        <v>50</v>
      </c>
      <c r="D8397" s="27" t="s">
        <v>6</v>
      </c>
      <c r="E8397" s="27" t="s">
        <v>23</v>
      </c>
      <c r="F8397" s="29"/>
      <c r="G8397" s="30">
        <v>183.62428571428572</v>
      </c>
    </row>
    <row r="8398" spans="1:7" hidden="1" x14ac:dyDescent="0.25">
      <c r="A8398" s="28">
        <v>44256</v>
      </c>
      <c r="B8398" s="27" t="s">
        <v>36</v>
      </c>
      <c r="C8398" s="27" t="s">
        <v>50</v>
      </c>
      <c r="D8398" s="27" t="s">
        <v>6</v>
      </c>
      <c r="E8398" s="27" t="s">
        <v>40</v>
      </c>
      <c r="F8398" s="29"/>
      <c r="G8398" s="30">
        <v>183.62428571428572</v>
      </c>
    </row>
    <row r="8399" spans="1:7" hidden="1" x14ac:dyDescent="0.25">
      <c r="A8399" s="28">
        <v>44256</v>
      </c>
      <c r="B8399" s="27" t="s">
        <v>200</v>
      </c>
      <c r="C8399" s="27" t="s">
        <v>53</v>
      </c>
      <c r="D8399" s="27" t="s">
        <v>6</v>
      </c>
      <c r="E8399" s="27" t="s">
        <v>8</v>
      </c>
      <c r="F8399" s="29"/>
      <c r="G8399" s="30">
        <f t="shared" ref="G8399:G8419" si="155">11810.4641333333/21</f>
        <v>562.40305396825238</v>
      </c>
    </row>
    <row r="8400" spans="1:7" hidden="1" x14ac:dyDescent="0.25">
      <c r="A8400" s="28">
        <v>44256</v>
      </c>
      <c r="B8400" s="27" t="s">
        <v>200</v>
      </c>
      <c r="C8400" s="27" t="s">
        <v>53</v>
      </c>
      <c r="D8400" s="27" t="s">
        <v>6</v>
      </c>
      <c r="E8400" s="27" t="s">
        <v>9</v>
      </c>
      <c r="F8400" s="29"/>
      <c r="G8400" s="30">
        <f t="shared" si="155"/>
        <v>562.40305396825238</v>
      </c>
    </row>
    <row r="8401" spans="1:7" hidden="1" x14ac:dyDescent="0.25">
      <c r="A8401" s="28">
        <v>44256</v>
      </c>
      <c r="B8401" s="27" t="s">
        <v>200</v>
      </c>
      <c r="C8401" s="27" t="s">
        <v>53</v>
      </c>
      <c r="D8401" s="27" t="s">
        <v>6</v>
      </c>
      <c r="E8401" s="27" t="s">
        <v>22</v>
      </c>
      <c r="F8401" s="29"/>
      <c r="G8401" s="30">
        <f t="shared" si="155"/>
        <v>562.40305396825238</v>
      </c>
    </row>
    <row r="8402" spans="1:7" hidden="1" x14ac:dyDescent="0.25">
      <c r="A8402" s="28">
        <v>44256</v>
      </c>
      <c r="B8402" s="27" t="s">
        <v>200</v>
      </c>
      <c r="C8402" s="27" t="s">
        <v>53</v>
      </c>
      <c r="D8402" s="27" t="s">
        <v>6</v>
      </c>
      <c r="E8402" s="27" t="s">
        <v>39</v>
      </c>
      <c r="F8402" s="29"/>
      <c r="G8402" s="30">
        <f t="shared" si="155"/>
        <v>562.40305396825238</v>
      </c>
    </row>
    <row r="8403" spans="1:7" hidden="1" x14ac:dyDescent="0.25">
      <c r="A8403" s="28">
        <v>44256</v>
      </c>
      <c r="B8403" s="27" t="s">
        <v>200</v>
      </c>
      <c r="C8403" s="27" t="s">
        <v>53</v>
      </c>
      <c r="D8403" s="27" t="s">
        <v>6</v>
      </c>
      <c r="E8403" s="27" t="s">
        <v>64</v>
      </c>
      <c r="F8403" s="29"/>
      <c r="G8403" s="30">
        <f t="shared" si="155"/>
        <v>562.40305396825238</v>
      </c>
    </row>
    <row r="8404" spans="1:7" hidden="1" x14ac:dyDescent="0.25">
      <c r="A8404" s="28">
        <v>44256</v>
      </c>
      <c r="B8404" s="27" t="s">
        <v>200</v>
      </c>
      <c r="C8404" s="27" t="s">
        <v>53</v>
      </c>
      <c r="D8404" s="27" t="s">
        <v>6</v>
      </c>
      <c r="E8404" s="27" t="s">
        <v>21</v>
      </c>
      <c r="F8404" s="29"/>
      <c r="G8404" s="30">
        <f t="shared" si="155"/>
        <v>562.40305396825238</v>
      </c>
    </row>
    <row r="8405" spans="1:7" hidden="1" x14ac:dyDescent="0.25">
      <c r="A8405" s="28">
        <v>44256</v>
      </c>
      <c r="B8405" s="27" t="s">
        <v>200</v>
      </c>
      <c r="C8405" s="27" t="s">
        <v>53</v>
      </c>
      <c r="D8405" s="27" t="s">
        <v>6</v>
      </c>
      <c r="E8405" s="27" t="s">
        <v>41</v>
      </c>
      <c r="F8405" s="29"/>
      <c r="G8405" s="30">
        <f t="shared" si="155"/>
        <v>562.40305396825238</v>
      </c>
    </row>
    <row r="8406" spans="1:7" hidden="1" x14ac:dyDescent="0.25">
      <c r="A8406" s="28">
        <v>44256</v>
      </c>
      <c r="B8406" s="27" t="s">
        <v>200</v>
      </c>
      <c r="C8406" s="27" t="s">
        <v>53</v>
      </c>
      <c r="D8406" s="27" t="s">
        <v>6</v>
      </c>
      <c r="E8406" s="27" t="s">
        <v>10</v>
      </c>
      <c r="F8406" s="29"/>
      <c r="G8406" s="30">
        <f t="shared" si="155"/>
        <v>562.40305396825238</v>
      </c>
    </row>
    <row r="8407" spans="1:7" hidden="1" x14ac:dyDescent="0.25">
      <c r="A8407" s="28">
        <v>44256</v>
      </c>
      <c r="B8407" s="27" t="s">
        <v>200</v>
      </c>
      <c r="C8407" s="27" t="s">
        <v>53</v>
      </c>
      <c r="D8407" s="27" t="s">
        <v>6</v>
      </c>
      <c r="E8407" s="27" t="s">
        <v>11</v>
      </c>
      <c r="F8407" s="29"/>
      <c r="G8407" s="30">
        <f t="shared" si="155"/>
        <v>562.40305396825238</v>
      </c>
    </row>
    <row r="8408" spans="1:7" hidden="1" x14ac:dyDescent="0.25">
      <c r="A8408" s="28">
        <v>44256</v>
      </c>
      <c r="B8408" s="27" t="s">
        <v>200</v>
      </c>
      <c r="C8408" s="27" t="s">
        <v>53</v>
      </c>
      <c r="D8408" s="27" t="s">
        <v>6</v>
      </c>
      <c r="E8408" s="27" t="s">
        <v>12</v>
      </c>
      <c r="F8408" s="29"/>
      <c r="G8408" s="30">
        <f t="shared" si="155"/>
        <v>562.40305396825238</v>
      </c>
    </row>
    <row r="8409" spans="1:7" hidden="1" x14ac:dyDescent="0.25">
      <c r="A8409" s="28">
        <v>44256</v>
      </c>
      <c r="B8409" s="27" t="s">
        <v>200</v>
      </c>
      <c r="C8409" s="27" t="s">
        <v>53</v>
      </c>
      <c r="D8409" s="27" t="s">
        <v>6</v>
      </c>
      <c r="E8409" s="27" t="s">
        <v>13</v>
      </c>
      <c r="F8409" s="29"/>
      <c r="G8409" s="30">
        <f t="shared" si="155"/>
        <v>562.40305396825238</v>
      </c>
    </row>
    <row r="8410" spans="1:7" hidden="1" x14ac:dyDescent="0.25">
      <c r="A8410" s="28">
        <v>44256</v>
      </c>
      <c r="B8410" s="27" t="s">
        <v>200</v>
      </c>
      <c r="C8410" s="27" t="s">
        <v>53</v>
      </c>
      <c r="D8410" s="27" t="s">
        <v>6</v>
      </c>
      <c r="E8410" s="27" t="s">
        <v>14</v>
      </c>
      <c r="F8410" s="29"/>
      <c r="G8410" s="30">
        <f t="shared" si="155"/>
        <v>562.40305396825238</v>
      </c>
    </row>
    <row r="8411" spans="1:7" hidden="1" x14ac:dyDescent="0.25">
      <c r="A8411" s="28">
        <v>44256</v>
      </c>
      <c r="B8411" s="27" t="s">
        <v>200</v>
      </c>
      <c r="C8411" s="27" t="s">
        <v>53</v>
      </c>
      <c r="D8411" s="27" t="s">
        <v>6</v>
      </c>
      <c r="E8411" s="27" t="s">
        <v>15</v>
      </c>
      <c r="F8411" s="29"/>
      <c r="G8411" s="30">
        <f t="shared" si="155"/>
        <v>562.40305396825238</v>
      </c>
    </row>
    <row r="8412" spans="1:7" hidden="1" x14ac:dyDescent="0.25">
      <c r="A8412" s="28">
        <v>44256</v>
      </c>
      <c r="B8412" s="27" t="s">
        <v>200</v>
      </c>
      <c r="C8412" s="27" t="s">
        <v>53</v>
      </c>
      <c r="D8412" s="27" t="s">
        <v>6</v>
      </c>
      <c r="E8412" s="27" t="s">
        <v>16</v>
      </c>
      <c r="F8412" s="29"/>
      <c r="G8412" s="30">
        <f t="shared" si="155"/>
        <v>562.40305396825238</v>
      </c>
    </row>
    <row r="8413" spans="1:7" hidden="1" x14ac:dyDescent="0.25">
      <c r="A8413" s="28">
        <v>44256</v>
      </c>
      <c r="B8413" s="27" t="s">
        <v>200</v>
      </c>
      <c r="C8413" s="27" t="s">
        <v>53</v>
      </c>
      <c r="D8413" s="27" t="s">
        <v>6</v>
      </c>
      <c r="E8413" s="27" t="s">
        <v>17</v>
      </c>
      <c r="F8413" s="29"/>
      <c r="G8413" s="30">
        <f t="shared" si="155"/>
        <v>562.40305396825238</v>
      </c>
    </row>
    <row r="8414" spans="1:7" hidden="1" x14ac:dyDescent="0.25">
      <c r="A8414" s="28">
        <v>44256</v>
      </c>
      <c r="B8414" s="27" t="s">
        <v>200</v>
      </c>
      <c r="C8414" s="27" t="s">
        <v>53</v>
      </c>
      <c r="D8414" s="27" t="s">
        <v>6</v>
      </c>
      <c r="E8414" s="27" t="s">
        <v>18</v>
      </c>
      <c r="F8414" s="29"/>
      <c r="G8414" s="30">
        <f t="shared" si="155"/>
        <v>562.40305396825238</v>
      </c>
    </row>
    <row r="8415" spans="1:7" hidden="1" x14ac:dyDescent="0.25">
      <c r="A8415" s="28">
        <v>44256</v>
      </c>
      <c r="B8415" s="27" t="s">
        <v>200</v>
      </c>
      <c r="C8415" s="27" t="s">
        <v>53</v>
      </c>
      <c r="D8415" s="27" t="s">
        <v>6</v>
      </c>
      <c r="E8415" s="27" t="s">
        <v>19</v>
      </c>
      <c r="F8415" s="29"/>
      <c r="G8415" s="30">
        <f t="shared" si="155"/>
        <v>562.40305396825238</v>
      </c>
    </row>
    <row r="8416" spans="1:7" hidden="1" x14ac:dyDescent="0.25">
      <c r="A8416" s="28">
        <v>44256</v>
      </c>
      <c r="B8416" s="27" t="s">
        <v>200</v>
      </c>
      <c r="C8416" s="27" t="s">
        <v>53</v>
      </c>
      <c r="D8416" s="27" t="s">
        <v>6</v>
      </c>
      <c r="E8416" s="27" t="s">
        <v>20</v>
      </c>
      <c r="F8416" s="29"/>
      <c r="G8416" s="30">
        <f t="shared" si="155"/>
        <v>562.40305396825238</v>
      </c>
    </row>
    <row r="8417" spans="1:7" hidden="1" x14ac:dyDescent="0.25">
      <c r="A8417" s="28">
        <v>44256</v>
      </c>
      <c r="B8417" s="27" t="s">
        <v>200</v>
      </c>
      <c r="C8417" s="27" t="s">
        <v>53</v>
      </c>
      <c r="D8417" s="27" t="s">
        <v>6</v>
      </c>
      <c r="E8417" s="27" t="s">
        <v>38</v>
      </c>
      <c r="F8417" s="29"/>
      <c r="G8417" s="30">
        <f t="shared" si="155"/>
        <v>562.40305396825238</v>
      </c>
    </row>
    <row r="8418" spans="1:7" hidden="1" x14ac:dyDescent="0.25">
      <c r="A8418" s="28">
        <v>44256</v>
      </c>
      <c r="B8418" s="27" t="s">
        <v>200</v>
      </c>
      <c r="C8418" s="27" t="s">
        <v>53</v>
      </c>
      <c r="D8418" s="27" t="s">
        <v>6</v>
      </c>
      <c r="E8418" s="27" t="s">
        <v>23</v>
      </c>
      <c r="F8418" s="29"/>
      <c r="G8418" s="30">
        <f t="shared" si="155"/>
        <v>562.40305396825238</v>
      </c>
    </row>
    <row r="8419" spans="1:7" hidden="1" x14ac:dyDescent="0.25">
      <c r="A8419" s="28">
        <v>44256</v>
      </c>
      <c r="B8419" s="27" t="s">
        <v>200</v>
      </c>
      <c r="C8419" s="27" t="s">
        <v>53</v>
      </c>
      <c r="D8419" s="27" t="s">
        <v>6</v>
      </c>
      <c r="E8419" s="27" t="s">
        <v>40</v>
      </c>
      <c r="F8419" s="29"/>
      <c r="G8419" s="30">
        <f t="shared" si="155"/>
        <v>562.40305396825238</v>
      </c>
    </row>
    <row r="8420" spans="1:7" hidden="1" x14ac:dyDescent="0.25">
      <c r="A8420" s="28">
        <v>44256</v>
      </c>
      <c r="B8420" s="27" t="s">
        <v>200</v>
      </c>
      <c r="C8420" s="27" t="s">
        <v>54</v>
      </c>
      <c r="D8420" s="27" t="s">
        <v>7</v>
      </c>
      <c r="E8420" s="27" t="s">
        <v>8</v>
      </c>
      <c r="F8420" s="29"/>
      <c r="G8420" s="30">
        <f t="shared" ref="G8420:G8440" si="156">141.91/21</f>
        <v>6.7576190476190474</v>
      </c>
    </row>
    <row r="8421" spans="1:7" hidden="1" x14ac:dyDescent="0.25">
      <c r="A8421" s="28">
        <v>44256</v>
      </c>
      <c r="B8421" s="27" t="s">
        <v>200</v>
      </c>
      <c r="C8421" s="27" t="s">
        <v>54</v>
      </c>
      <c r="D8421" s="27" t="s">
        <v>7</v>
      </c>
      <c r="E8421" s="27" t="s">
        <v>9</v>
      </c>
      <c r="F8421" s="29"/>
      <c r="G8421" s="30">
        <f t="shared" si="156"/>
        <v>6.7576190476190474</v>
      </c>
    </row>
    <row r="8422" spans="1:7" hidden="1" x14ac:dyDescent="0.25">
      <c r="A8422" s="28">
        <v>44256</v>
      </c>
      <c r="B8422" s="27" t="s">
        <v>200</v>
      </c>
      <c r="C8422" s="27" t="s">
        <v>54</v>
      </c>
      <c r="D8422" s="27" t="s">
        <v>7</v>
      </c>
      <c r="E8422" s="27" t="s">
        <v>22</v>
      </c>
      <c r="F8422" s="29"/>
      <c r="G8422" s="30">
        <f t="shared" si="156"/>
        <v>6.7576190476190474</v>
      </c>
    </row>
    <row r="8423" spans="1:7" hidden="1" x14ac:dyDescent="0.25">
      <c r="A8423" s="28">
        <v>44256</v>
      </c>
      <c r="B8423" s="27" t="s">
        <v>200</v>
      </c>
      <c r="C8423" s="27" t="s">
        <v>54</v>
      </c>
      <c r="D8423" s="27" t="s">
        <v>7</v>
      </c>
      <c r="E8423" s="27" t="s">
        <v>39</v>
      </c>
      <c r="F8423" s="29"/>
      <c r="G8423" s="30">
        <f t="shared" si="156"/>
        <v>6.7576190476190474</v>
      </c>
    </row>
    <row r="8424" spans="1:7" hidden="1" x14ac:dyDescent="0.25">
      <c r="A8424" s="28">
        <v>44256</v>
      </c>
      <c r="B8424" s="27" t="s">
        <v>200</v>
      </c>
      <c r="C8424" s="27" t="s">
        <v>54</v>
      </c>
      <c r="D8424" s="27" t="s">
        <v>7</v>
      </c>
      <c r="E8424" s="27" t="s">
        <v>64</v>
      </c>
      <c r="F8424" s="29"/>
      <c r="G8424" s="30">
        <f t="shared" si="156"/>
        <v>6.7576190476190474</v>
      </c>
    </row>
    <row r="8425" spans="1:7" hidden="1" x14ac:dyDescent="0.25">
      <c r="A8425" s="28">
        <v>44256</v>
      </c>
      <c r="B8425" s="27" t="s">
        <v>200</v>
      </c>
      <c r="C8425" s="27" t="s">
        <v>54</v>
      </c>
      <c r="D8425" s="27" t="s">
        <v>7</v>
      </c>
      <c r="E8425" s="27" t="s">
        <v>21</v>
      </c>
      <c r="F8425" s="29"/>
      <c r="G8425" s="30">
        <f t="shared" si="156"/>
        <v>6.7576190476190474</v>
      </c>
    </row>
    <row r="8426" spans="1:7" hidden="1" x14ac:dyDescent="0.25">
      <c r="A8426" s="28">
        <v>44256</v>
      </c>
      <c r="B8426" s="27" t="s">
        <v>200</v>
      </c>
      <c r="C8426" s="27" t="s">
        <v>54</v>
      </c>
      <c r="D8426" s="27" t="s">
        <v>7</v>
      </c>
      <c r="E8426" s="27" t="s">
        <v>41</v>
      </c>
      <c r="F8426" s="29"/>
      <c r="G8426" s="30">
        <f t="shared" si="156"/>
        <v>6.7576190476190474</v>
      </c>
    </row>
    <row r="8427" spans="1:7" hidden="1" x14ac:dyDescent="0.25">
      <c r="A8427" s="28">
        <v>44256</v>
      </c>
      <c r="B8427" s="27" t="s">
        <v>200</v>
      </c>
      <c r="C8427" s="27" t="s">
        <v>54</v>
      </c>
      <c r="D8427" s="27" t="s">
        <v>7</v>
      </c>
      <c r="E8427" s="27" t="s">
        <v>10</v>
      </c>
      <c r="F8427" s="29"/>
      <c r="G8427" s="30">
        <f t="shared" si="156"/>
        <v>6.7576190476190474</v>
      </c>
    </row>
    <row r="8428" spans="1:7" hidden="1" x14ac:dyDescent="0.25">
      <c r="A8428" s="28">
        <v>44256</v>
      </c>
      <c r="B8428" s="27" t="s">
        <v>200</v>
      </c>
      <c r="C8428" s="27" t="s">
        <v>54</v>
      </c>
      <c r="D8428" s="27" t="s">
        <v>7</v>
      </c>
      <c r="E8428" s="27" t="s">
        <v>11</v>
      </c>
      <c r="F8428" s="29"/>
      <c r="G8428" s="30">
        <f t="shared" si="156"/>
        <v>6.7576190476190474</v>
      </c>
    </row>
    <row r="8429" spans="1:7" hidden="1" x14ac:dyDescent="0.25">
      <c r="A8429" s="28">
        <v>44256</v>
      </c>
      <c r="B8429" s="27" t="s">
        <v>200</v>
      </c>
      <c r="C8429" s="27" t="s">
        <v>54</v>
      </c>
      <c r="D8429" s="27" t="s">
        <v>7</v>
      </c>
      <c r="E8429" s="27" t="s">
        <v>12</v>
      </c>
      <c r="F8429" s="29"/>
      <c r="G8429" s="30">
        <f t="shared" si="156"/>
        <v>6.7576190476190474</v>
      </c>
    </row>
    <row r="8430" spans="1:7" hidden="1" x14ac:dyDescent="0.25">
      <c r="A8430" s="28">
        <v>44256</v>
      </c>
      <c r="B8430" s="27" t="s">
        <v>200</v>
      </c>
      <c r="C8430" s="27" t="s">
        <v>54</v>
      </c>
      <c r="D8430" s="27" t="s">
        <v>7</v>
      </c>
      <c r="E8430" s="27" t="s">
        <v>13</v>
      </c>
      <c r="F8430" s="29"/>
      <c r="G8430" s="30">
        <f t="shared" si="156"/>
        <v>6.7576190476190474</v>
      </c>
    </row>
    <row r="8431" spans="1:7" hidden="1" x14ac:dyDescent="0.25">
      <c r="A8431" s="28">
        <v>44256</v>
      </c>
      <c r="B8431" s="27" t="s">
        <v>200</v>
      </c>
      <c r="C8431" s="27" t="s">
        <v>54</v>
      </c>
      <c r="D8431" s="27" t="s">
        <v>7</v>
      </c>
      <c r="E8431" s="27" t="s">
        <v>14</v>
      </c>
      <c r="F8431" s="29"/>
      <c r="G8431" s="30">
        <f t="shared" si="156"/>
        <v>6.7576190476190474</v>
      </c>
    </row>
    <row r="8432" spans="1:7" hidden="1" x14ac:dyDescent="0.25">
      <c r="A8432" s="28">
        <v>44256</v>
      </c>
      <c r="B8432" s="27" t="s">
        <v>200</v>
      </c>
      <c r="C8432" s="27" t="s">
        <v>54</v>
      </c>
      <c r="D8432" s="27" t="s">
        <v>7</v>
      </c>
      <c r="E8432" s="27" t="s">
        <v>15</v>
      </c>
      <c r="F8432" s="29"/>
      <c r="G8432" s="30">
        <f t="shared" si="156"/>
        <v>6.7576190476190474</v>
      </c>
    </row>
    <row r="8433" spans="1:7" hidden="1" x14ac:dyDescent="0.25">
      <c r="A8433" s="28">
        <v>44256</v>
      </c>
      <c r="B8433" s="27" t="s">
        <v>200</v>
      </c>
      <c r="C8433" s="27" t="s">
        <v>54</v>
      </c>
      <c r="D8433" s="27" t="s">
        <v>7</v>
      </c>
      <c r="E8433" s="27" t="s">
        <v>16</v>
      </c>
      <c r="F8433" s="29"/>
      <c r="G8433" s="30">
        <f t="shared" si="156"/>
        <v>6.7576190476190474</v>
      </c>
    </row>
    <row r="8434" spans="1:7" hidden="1" x14ac:dyDescent="0.25">
      <c r="A8434" s="28">
        <v>44256</v>
      </c>
      <c r="B8434" s="27" t="s">
        <v>200</v>
      </c>
      <c r="C8434" s="27" t="s">
        <v>54</v>
      </c>
      <c r="D8434" s="27" t="s">
        <v>7</v>
      </c>
      <c r="E8434" s="27" t="s">
        <v>17</v>
      </c>
      <c r="F8434" s="29"/>
      <c r="G8434" s="30">
        <f t="shared" si="156"/>
        <v>6.7576190476190474</v>
      </c>
    </row>
    <row r="8435" spans="1:7" hidden="1" x14ac:dyDescent="0.25">
      <c r="A8435" s="28">
        <v>44256</v>
      </c>
      <c r="B8435" s="27" t="s">
        <v>200</v>
      </c>
      <c r="C8435" s="27" t="s">
        <v>54</v>
      </c>
      <c r="D8435" s="27" t="s">
        <v>7</v>
      </c>
      <c r="E8435" s="27" t="s">
        <v>18</v>
      </c>
      <c r="F8435" s="29"/>
      <c r="G8435" s="30">
        <f t="shared" si="156"/>
        <v>6.7576190476190474</v>
      </c>
    </row>
    <row r="8436" spans="1:7" hidden="1" x14ac:dyDescent="0.25">
      <c r="A8436" s="28">
        <v>44256</v>
      </c>
      <c r="B8436" s="27" t="s">
        <v>200</v>
      </c>
      <c r="C8436" s="27" t="s">
        <v>54</v>
      </c>
      <c r="D8436" s="27" t="s">
        <v>7</v>
      </c>
      <c r="E8436" s="27" t="s">
        <v>19</v>
      </c>
      <c r="F8436" s="29"/>
      <c r="G8436" s="30">
        <f t="shared" si="156"/>
        <v>6.7576190476190474</v>
      </c>
    </row>
    <row r="8437" spans="1:7" hidden="1" x14ac:dyDescent="0.25">
      <c r="A8437" s="28">
        <v>44256</v>
      </c>
      <c r="B8437" s="27" t="s">
        <v>200</v>
      </c>
      <c r="C8437" s="27" t="s">
        <v>54</v>
      </c>
      <c r="D8437" s="27" t="s">
        <v>7</v>
      </c>
      <c r="E8437" s="27" t="s">
        <v>20</v>
      </c>
      <c r="F8437" s="29"/>
      <c r="G8437" s="30">
        <f t="shared" si="156"/>
        <v>6.7576190476190474</v>
      </c>
    </row>
    <row r="8438" spans="1:7" hidden="1" x14ac:dyDescent="0.25">
      <c r="A8438" s="28">
        <v>44256</v>
      </c>
      <c r="B8438" s="27" t="s">
        <v>200</v>
      </c>
      <c r="C8438" s="27" t="s">
        <v>54</v>
      </c>
      <c r="D8438" s="27" t="s">
        <v>7</v>
      </c>
      <c r="E8438" s="27" t="s">
        <v>38</v>
      </c>
      <c r="F8438" s="29"/>
      <c r="G8438" s="30">
        <f t="shared" si="156"/>
        <v>6.7576190476190474</v>
      </c>
    </row>
    <row r="8439" spans="1:7" hidden="1" x14ac:dyDescent="0.25">
      <c r="A8439" s="28">
        <v>44256</v>
      </c>
      <c r="B8439" s="27" t="s">
        <v>200</v>
      </c>
      <c r="C8439" s="27" t="s">
        <v>54</v>
      </c>
      <c r="D8439" s="27" t="s">
        <v>7</v>
      </c>
      <c r="E8439" s="27" t="s">
        <v>23</v>
      </c>
      <c r="F8439" s="29"/>
      <c r="G8439" s="30">
        <f t="shared" si="156"/>
        <v>6.7576190476190474</v>
      </c>
    </row>
    <row r="8440" spans="1:7" hidden="1" x14ac:dyDescent="0.25">
      <c r="A8440" s="28">
        <v>44256</v>
      </c>
      <c r="B8440" s="27" t="s">
        <v>200</v>
      </c>
      <c r="C8440" s="27" t="s">
        <v>54</v>
      </c>
      <c r="D8440" s="27" t="s">
        <v>7</v>
      </c>
      <c r="E8440" s="27" t="s">
        <v>40</v>
      </c>
      <c r="F8440" s="29"/>
      <c r="G8440" s="30">
        <f t="shared" si="156"/>
        <v>6.7576190476190474</v>
      </c>
    </row>
    <row r="8441" spans="1:7" hidden="1" x14ac:dyDescent="0.25">
      <c r="A8441" s="28">
        <v>44256</v>
      </c>
      <c r="B8441" s="27" t="s">
        <v>200</v>
      </c>
      <c r="C8441" s="27" t="s">
        <v>55</v>
      </c>
      <c r="D8441" s="27" t="s">
        <v>6</v>
      </c>
      <c r="E8441" s="27" t="s">
        <v>8</v>
      </c>
      <c r="F8441" s="29"/>
      <c r="G8441" s="30">
        <f t="shared" ref="G8441:G8461" si="157">30038.0572/21</f>
        <v>1430.3836761904761</v>
      </c>
    </row>
    <row r="8442" spans="1:7" hidden="1" x14ac:dyDescent="0.25">
      <c r="A8442" s="28">
        <v>44256</v>
      </c>
      <c r="B8442" s="27" t="s">
        <v>200</v>
      </c>
      <c r="C8442" s="27" t="s">
        <v>55</v>
      </c>
      <c r="D8442" s="27" t="s">
        <v>6</v>
      </c>
      <c r="E8442" s="27" t="s">
        <v>9</v>
      </c>
      <c r="F8442" s="29"/>
      <c r="G8442" s="30">
        <f t="shared" si="157"/>
        <v>1430.3836761904761</v>
      </c>
    </row>
    <row r="8443" spans="1:7" hidden="1" x14ac:dyDescent="0.25">
      <c r="A8443" s="28">
        <v>44256</v>
      </c>
      <c r="B8443" s="27" t="s">
        <v>200</v>
      </c>
      <c r="C8443" s="27" t="s">
        <v>55</v>
      </c>
      <c r="D8443" s="27" t="s">
        <v>6</v>
      </c>
      <c r="E8443" s="27" t="s">
        <v>22</v>
      </c>
      <c r="F8443" s="29"/>
      <c r="G8443" s="30">
        <f t="shared" si="157"/>
        <v>1430.3836761904761</v>
      </c>
    </row>
    <row r="8444" spans="1:7" hidden="1" x14ac:dyDescent="0.25">
      <c r="A8444" s="28">
        <v>44256</v>
      </c>
      <c r="B8444" s="27" t="s">
        <v>200</v>
      </c>
      <c r="C8444" s="27" t="s">
        <v>55</v>
      </c>
      <c r="D8444" s="27" t="s">
        <v>6</v>
      </c>
      <c r="E8444" s="27" t="s">
        <v>39</v>
      </c>
      <c r="F8444" s="29"/>
      <c r="G8444" s="30">
        <f t="shared" si="157"/>
        <v>1430.3836761904761</v>
      </c>
    </row>
    <row r="8445" spans="1:7" hidden="1" x14ac:dyDescent="0.25">
      <c r="A8445" s="28">
        <v>44256</v>
      </c>
      <c r="B8445" s="27" t="s">
        <v>200</v>
      </c>
      <c r="C8445" s="27" t="s">
        <v>55</v>
      </c>
      <c r="D8445" s="27" t="s">
        <v>6</v>
      </c>
      <c r="E8445" s="27" t="s">
        <v>64</v>
      </c>
      <c r="F8445" s="29"/>
      <c r="G8445" s="30">
        <f t="shared" si="157"/>
        <v>1430.3836761904761</v>
      </c>
    </row>
    <row r="8446" spans="1:7" hidden="1" x14ac:dyDescent="0.25">
      <c r="A8446" s="28">
        <v>44256</v>
      </c>
      <c r="B8446" s="27" t="s">
        <v>200</v>
      </c>
      <c r="C8446" s="27" t="s">
        <v>55</v>
      </c>
      <c r="D8446" s="27" t="s">
        <v>6</v>
      </c>
      <c r="E8446" s="27" t="s">
        <v>21</v>
      </c>
      <c r="F8446" s="29"/>
      <c r="G8446" s="30">
        <f t="shared" si="157"/>
        <v>1430.3836761904761</v>
      </c>
    </row>
    <row r="8447" spans="1:7" hidden="1" x14ac:dyDescent="0.25">
      <c r="A8447" s="28">
        <v>44256</v>
      </c>
      <c r="B8447" s="27" t="s">
        <v>200</v>
      </c>
      <c r="C8447" s="27" t="s">
        <v>55</v>
      </c>
      <c r="D8447" s="27" t="s">
        <v>6</v>
      </c>
      <c r="E8447" s="27" t="s">
        <v>41</v>
      </c>
      <c r="F8447" s="29"/>
      <c r="G8447" s="30">
        <f t="shared" si="157"/>
        <v>1430.3836761904761</v>
      </c>
    </row>
    <row r="8448" spans="1:7" hidden="1" x14ac:dyDescent="0.25">
      <c r="A8448" s="28">
        <v>44256</v>
      </c>
      <c r="B8448" s="27" t="s">
        <v>200</v>
      </c>
      <c r="C8448" s="27" t="s">
        <v>55</v>
      </c>
      <c r="D8448" s="27" t="s">
        <v>6</v>
      </c>
      <c r="E8448" s="27" t="s">
        <v>10</v>
      </c>
      <c r="F8448" s="29"/>
      <c r="G8448" s="30">
        <f t="shared" si="157"/>
        <v>1430.3836761904761</v>
      </c>
    </row>
    <row r="8449" spans="1:7" hidden="1" x14ac:dyDescent="0.25">
      <c r="A8449" s="28">
        <v>44256</v>
      </c>
      <c r="B8449" s="27" t="s">
        <v>200</v>
      </c>
      <c r="C8449" s="27" t="s">
        <v>55</v>
      </c>
      <c r="D8449" s="27" t="s">
        <v>6</v>
      </c>
      <c r="E8449" s="27" t="s">
        <v>11</v>
      </c>
      <c r="F8449" s="29"/>
      <c r="G8449" s="30">
        <f t="shared" si="157"/>
        <v>1430.3836761904761</v>
      </c>
    </row>
    <row r="8450" spans="1:7" hidden="1" x14ac:dyDescent="0.25">
      <c r="A8450" s="28">
        <v>44256</v>
      </c>
      <c r="B8450" s="27" t="s">
        <v>200</v>
      </c>
      <c r="C8450" s="27" t="s">
        <v>55</v>
      </c>
      <c r="D8450" s="27" t="s">
        <v>6</v>
      </c>
      <c r="E8450" s="27" t="s">
        <v>12</v>
      </c>
      <c r="F8450" s="29"/>
      <c r="G8450" s="30">
        <f t="shared" si="157"/>
        <v>1430.3836761904761</v>
      </c>
    </row>
    <row r="8451" spans="1:7" hidden="1" x14ac:dyDescent="0.25">
      <c r="A8451" s="28">
        <v>44256</v>
      </c>
      <c r="B8451" s="27" t="s">
        <v>200</v>
      </c>
      <c r="C8451" s="27" t="s">
        <v>55</v>
      </c>
      <c r="D8451" s="27" t="s">
        <v>6</v>
      </c>
      <c r="E8451" s="27" t="s">
        <v>13</v>
      </c>
      <c r="F8451" s="29"/>
      <c r="G8451" s="30">
        <f t="shared" si="157"/>
        <v>1430.3836761904761</v>
      </c>
    </row>
    <row r="8452" spans="1:7" hidden="1" x14ac:dyDescent="0.25">
      <c r="A8452" s="28">
        <v>44256</v>
      </c>
      <c r="B8452" s="27" t="s">
        <v>200</v>
      </c>
      <c r="C8452" s="27" t="s">
        <v>55</v>
      </c>
      <c r="D8452" s="27" t="s">
        <v>6</v>
      </c>
      <c r="E8452" s="27" t="s">
        <v>14</v>
      </c>
      <c r="F8452" s="29"/>
      <c r="G8452" s="30">
        <f t="shared" si="157"/>
        <v>1430.3836761904761</v>
      </c>
    </row>
    <row r="8453" spans="1:7" hidden="1" x14ac:dyDescent="0.25">
      <c r="A8453" s="28">
        <v>44256</v>
      </c>
      <c r="B8453" s="27" t="s">
        <v>200</v>
      </c>
      <c r="C8453" s="27" t="s">
        <v>55</v>
      </c>
      <c r="D8453" s="27" t="s">
        <v>6</v>
      </c>
      <c r="E8453" s="27" t="s">
        <v>15</v>
      </c>
      <c r="F8453" s="29"/>
      <c r="G8453" s="30">
        <f t="shared" si="157"/>
        <v>1430.3836761904761</v>
      </c>
    </row>
    <row r="8454" spans="1:7" hidden="1" x14ac:dyDescent="0.25">
      <c r="A8454" s="28">
        <v>44256</v>
      </c>
      <c r="B8454" s="27" t="s">
        <v>200</v>
      </c>
      <c r="C8454" s="27" t="s">
        <v>55</v>
      </c>
      <c r="D8454" s="27" t="s">
        <v>6</v>
      </c>
      <c r="E8454" s="27" t="s">
        <v>16</v>
      </c>
      <c r="F8454" s="29"/>
      <c r="G8454" s="30">
        <f t="shared" si="157"/>
        <v>1430.3836761904761</v>
      </c>
    </row>
    <row r="8455" spans="1:7" hidden="1" x14ac:dyDescent="0.25">
      <c r="A8455" s="28">
        <v>44256</v>
      </c>
      <c r="B8455" s="27" t="s">
        <v>200</v>
      </c>
      <c r="C8455" s="27" t="s">
        <v>55</v>
      </c>
      <c r="D8455" s="27" t="s">
        <v>6</v>
      </c>
      <c r="E8455" s="27" t="s">
        <v>17</v>
      </c>
      <c r="F8455" s="29"/>
      <c r="G8455" s="30">
        <f t="shared" si="157"/>
        <v>1430.3836761904761</v>
      </c>
    </row>
    <row r="8456" spans="1:7" hidden="1" x14ac:dyDescent="0.25">
      <c r="A8456" s="28">
        <v>44256</v>
      </c>
      <c r="B8456" s="27" t="s">
        <v>200</v>
      </c>
      <c r="C8456" s="27" t="s">
        <v>55</v>
      </c>
      <c r="D8456" s="27" t="s">
        <v>6</v>
      </c>
      <c r="E8456" s="27" t="s">
        <v>18</v>
      </c>
      <c r="F8456" s="29"/>
      <c r="G8456" s="30">
        <f t="shared" si="157"/>
        <v>1430.3836761904761</v>
      </c>
    </row>
    <row r="8457" spans="1:7" hidden="1" x14ac:dyDescent="0.25">
      <c r="A8457" s="28">
        <v>44256</v>
      </c>
      <c r="B8457" s="27" t="s">
        <v>200</v>
      </c>
      <c r="C8457" s="27" t="s">
        <v>55</v>
      </c>
      <c r="D8457" s="27" t="s">
        <v>6</v>
      </c>
      <c r="E8457" s="27" t="s">
        <v>19</v>
      </c>
      <c r="F8457" s="29"/>
      <c r="G8457" s="30">
        <f t="shared" si="157"/>
        <v>1430.3836761904761</v>
      </c>
    </row>
    <row r="8458" spans="1:7" hidden="1" x14ac:dyDescent="0.25">
      <c r="A8458" s="28">
        <v>44256</v>
      </c>
      <c r="B8458" s="27" t="s">
        <v>200</v>
      </c>
      <c r="C8458" s="27" t="s">
        <v>55</v>
      </c>
      <c r="D8458" s="27" t="s">
        <v>6</v>
      </c>
      <c r="E8458" s="27" t="s">
        <v>20</v>
      </c>
      <c r="F8458" s="29"/>
      <c r="G8458" s="30">
        <f t="shared" si="157"/>
        <v>1430.3836761904761</v>
      </c>
    </row>
    <row r="8459" spans="1:7" hidden="1" x14ac:dyDescent="0.25">
      <c r="A8459" s="28">
        <v>44256</v>
      </c>
      <c r="B8459" s="27" t="s">
        <v>200</v>
      </c>
      <c r="C8459" s="27" t="s">
        <v>55</v>
      </c>
      <c r="D8459" s="27" t="s">
        <v>6</v>
      </c>
      <c r="E8459" s="27" t="s">
        <v>38</v>
      </c>
      <c r="F8459" s="29"/>
      <c r="G8459" s="30">
        <f t="shared" si="157"/>
        <v>1430.3836761904761</v>
      </c>
    </row>
    <row r="8460" spans="1:7" hidden="1" x14ac:dyDescent="0.25">
      <c r="A8460" s="28">
        <v>44256</v>
      </c>
      <c r="B8460" s="27" t="s">
        <v>200</v>
      </c>
      <c r="C8460" s="27" t="s">
        <v>55</v>
      </c>
      <c r="D8460" s="27" t="s">
        <v>6</v>
      </c>
      <c r="E8460" s="27" t="s">
        <v>23</v>
      </c>
      <c r="F8460" s="29"/>
      <c r="G8460" s="30">
        <f t="shared" si="157"/>
        <v>1430.3836761904761</v>
      </c>
    </row>
    <row r="8461" spans="1:7" hidden="1" x14ac:dyDescent="0.25">
      <c r="A8461" s="28">
        <v>44256</v>
      </c>
      <c r="B8461" s="27" t="s">
        <v>200</v>
      </c>
      <c r="C8461" s="27" t="s">
        <v>55</v>
      </c>
      <c r="D8461" s="27" t="s">
        <v>6</v>
      </c>
      <c r="E8461" s="27" t="s">
        <v>40</v>
      </c>
      <c r="F8461" s="29"/>
      <c r="G8461" s="30">
        <f t="shared" si="157"/>
        <v>1430.3836761904761</v>
      </c>
    </row>
    <row r="8462" spans="1:7" hidden="1" x14ac:dyDescent="0.25">
      <c r="A8462" s="28">
        <v>44256</v>
      </c>
      <c r="B8462" s="27" t="s">
        <v>200</v>
      </c>
      <c r="C8462" s="27" t="s">
        <v>183</v>
      </c>
      <c r="D8462" s="27" t="s">
        <v>7</v>
      </c>
      <c r="E8462" s="27" t="s">
        <v>8</v>
      </c>
      <c r="F8462" s="29"/>
      <c r="G8462" s="30">
        <f t="shared" ref="G8462:G8482" si="158">1120.35/21</f>
        <v>53.349999999999994</v>
      </c>
    </row>
    <row r="8463" spans="1:7" hidden="1" x14ac:dyDescent="0.25">
      <c r="A8463" s="28">
        <v>44256</v>
      </c>
      <c r="B8463" s="27" t="s">
        <v>200</v>
      </c>
      <c r="C8463" s="27" t="s">
        <v>183</v>
      </c>
      <c r="D8463" s="27" t="s">
        <v>7</v>
      </c>
      <c r="E8463" s="27" t="s">
        <v>9</v>
      </c>
      <c r="F8463" s="29"/>
      <c r="G8463" s="30">
        <f t="shared" si="158"/>
        <v>53.349999999999994</v>
      </c>
    </row>
    <row r="8464" spans="1:7" hidden="1" x14ac:dyDescent="0.25">
      <c r="A8464" s="28">
        <v>44256</v>
      </c>
      <c r="B8464" s="27" t="s">
        <v>200</v>
      </c>
      <c r="C8464" s="27" t="s">
        <v>183</v>
      </c>
      <c r="D8464" s="27" t="s">
        <v>7</v>
      </c>
      <c r="E8464" s="27" t="s">
        <v>22</v>
      </c>
      <c r="F8464" s="29"/>
      <c r="G8464" s="30">
        <f t="shared" si="158"/>
        <v>53.349999999999994</v>
      </c>
    </row>
    <row r="8465" spans="1:7" hidden="1" x14ac:dyDescent="0.25">
      <c r="A8465" s="28">
        <v>44256</v>
      </c>
      <c r="B8465" s="27" t="s">
        <v>200</v>
      </c>
      <c r="C8465" s="27" t="s">
        <v>183</v>
      </c>
      <c r="D8465" s="27" t="s">
        <v>7</v>
      </c>
      <c r="E8465" s="27" t="s">
        <v>39</v>
      </c>
      <c r="F8465" s="29"/>
      <c r="G8465" s="30">
        <f t="shared" si="158"/>
        <v>53.349999999999994</v>
      </c>
    </row>
    <row r="8466" spans="1:7" hidden="1" x14ac:dyDescent="0.25">
      <c r="A8466" s="28">
        <v>44256</v>
      </c>
      <c r="B8466" s="27" t="s">
        <v>200</v>
      </c>
      <c r="C8466" s="27" t="s">
        <v>183</v>
      </c>
      <c r="D8466" s="27" t="s">
        <v>7</v>
      </c>
      <c r="E8466" s="27" t="s">
        <v>64</v>
      </c>
      <c r="F8466" s="29"/>
      <c r="G8466" s="30">
        <f t="shared" si="158"/>
        <v>53.349999999999994</v>
      </c>
    </row>
    <row r="8467" spans="1:7" hidden="1" x14ac:dyDescent="0.25">
      <c r="A8467" s="28">
        <v>44256</v>
      </c>
      <c r="B8467" s="27" t="s">
        <v>200</v>
      </c>
      <c r="C8467" s="27" t="s">
        <v>183</v>
      </c>
      <c r="D8467" s="27" t="s">
        <v>7</v>
      </c>
      <c r="E8467" s="27" t="s">
        <v>21</v>
      </c>
      <c r="F8467" s="29"/>
      <c r="G8467" s="30">
        <f t="shared" si="158"/>
        <v>53.349999999999994</v>
      </c>
    </row>
    <row r="8468" spans="1:7" hidden="1" x14ac:dyDescent="0.25">
      <c r="A8468" s="28">
        <v>44256</v>
      </c>
      <c r="B8468" s="27" t="s">
        <v>200</v>
      </c>
      <c r="C8468" s="27" t="s">
        <v>183</v>
      </c>
      <c r="D8468" s="27" t="s">
        <v>7</v>
      </c>
      <c r="E8468" s="27" t="s">
        <v>41</v>
      </c>
      <c r="F8468" s="29"/>
      <c r="G8468" s="30">
        <f t="shared" si="158"/>
        <v>53.349999999999994</v>
      </c>
    </row>
    <row r="8469" spans="1:7" hidden="1" x14ac:dyDescent="0.25">
      <c r="A8469" s="28">
        <v>44256</v>
      </c>
      <c r="B8469" s="27" t="s">
        <v>200</v>
      </c>
      <c r="C8469" s="27" t="s">
        <v>183</v>
      </c>
      <c r="D8469" s="27" t="s">
        <v>7</v>
      </c>
      <c r="E8469" s="27" t="s">
        <v>10</v>
      </c>
      <c r="F8469" s="29"/>
      <c r="G8469" s="30">
        <f t="shared" si="158"/>
        <v>53.349999999999994</v>
      </c>
    </row>
    <row r="8470" spans="1:7" hidden="1" x14ac:dyDescent="0.25">
      <c r="A8470" s="28">
        <v>44256</v>
      </c>
      <c r="B8470" s="27" t="s">
        <v>200</v>
      </c>
      <c r="C8470" s="27" t="s">
        <v>183</v>
      </c>
      <c r="D8470" s="27" t="s">
        <v>7</v>
      </c>
      <c r="E8470" s="27" t="s">
        <v>11</v>
      </c>
      <c r="F8470" s="29"/>
      <c r="G8470" s="30">
        <f t="shared" si="158"/>
        <v>53.349999999999994</v>
      </c>
    </row>
    <row r="8471" spans="1:7" hidden="1" x14ac:dyDescent="0.25">
      <c r="A8471" s="28">
        <v>44256</v>
      </c>
      <c r="B8471" s="27" t="s">
        <v>200</v>
      </c>
      <c r="C8471" s="27" t="s">
        <v>183</v>
      </c>
      <c r="D8471" s="27" t="s">
        <v>7</v>
      </c>
      <c r="E8471" s="27" t="s">
        <v>12</v>
      </c>
      <c r="F8471" s="29"/>
      <c r="G8471" s="30">
        <f t="shared" si="158"/>
        <v>53.349999999999994</v>
      </c>
    </row>
    <row r="8472" spans="1:7" hidden="1" x14ac:dyDescent="0.25">
      <c r="A8472" s="28">
        <v>44256</v>
      </c>
      <c r="B8472" s="27" t="s">
        <v>200</v>
      </c>
      <c r="C8472" s="27" t="s">
        <v>183</v>
      </c>
      <c r="D8472" s="27" t="s">
        <v>7</v>
      </c>
      <c r="E8472" s="27" t="s">
        <v>13</v>
      </c>
      <c r="F8472" s="29"/>
      <c r="G8472" s="30">
        <f t="shared" si="158"/>
        <v>53.349999999999994</v>
      </c>
    </row>
    <row r="8473" spans="1:7" hidden="1" x14ac:dyDescent="0.25">
      <c r="A8473" s="28">
        <v>44256</v>
      </c>
      <c r="B8473" s="27" t="s">
        <v>200</v>
      </c>
      <c r="C8473" s="27" t="s">
        <v>183</v>
      </c>
      <c r="D8473" s="27" t="s">
        <v>7</v>
      </c>
      <c r="E8473" s="27" t="s">
        <v>14</v>
      </c>
      <c r="F8473" s="29"/>
      <c r="G8473" s="30">
        <f t="shared" si="158"/>
        <v>53.349999999999994</v>
      </c>
    </row>
    <row r="8474" spans="1:7" hidden="1" x14ac:dyDescent="0.25">
      <c r="A8474" s="28">
        <v>44256</v>
      </c>
      <c r="B8474" s="27" t="s">
        <v>200</v>
      </c>
      <c r="C8474" s="27" t="s">
        <v>183</v>
      </c>
      <c r="D8474" s="27" t="s">
        <v>7</v>
      </c>
      <c r="E8474" s="27" t="s">
        <v>15</v>
      </c>
      <c r="F8474" s="29"/>
      <c r="G8474" s="30">
        <f t="shared" si="158"/>
        <v>53.349999999999994</v>
      </c>
    </row>
    <row r="8475" spans="1:7" hidden="1" x14ac:dyDescent="0.25">
      <c r="A8475" s="28">
        <v>44256</v>
      </c>
      <c r="B8475" s="27" t="s">
        <v>200</v>
      </c>
      <c r="C8475" s="27" t="s">
        <v>183</v>
      </c>
      <c r="D8475" s="27" t="s">
        <v>7</v>
      </c>
      <c r="E8475" s="27" t="s">
        <v>16</v>
      </c>
      <c r="F8475" s="29"/>
      <c r="G8475" s="30">
        <f t="shared" si="158"/>
        <v>53.349999999999994</v>
      </c>
    </row>
    <row r="8476" spans="1:7" hidden="1" x14ac:dyDescent="0.25">
      <c r="A8476" s="28">
        <v>44256</v>
      </c>
      <c r="B8476" s="27" t="s">
        <v>200</v>
      </c>
      <c r="C8476" s="27" t="s">
        <v>183</v>
      </c>
      <c r="D8476" s="27" t="s">
        <v>7</v>
      </c>
      <c r="E8476" s="27" t="s">
        <v>17</v>
      </c>
      <c r="F8476" s="29"/>
      <c r="G8476" s="30">
        <f t="shared" si="158"/>
        <v>53.349999999999994</v>
      </c>
    </row>
    <row r="8477" spans="1:7" hidden="1" x14ac:dyDescent="0.25">
      <c r="A8477" s="28">
        <v>44256</v>
      </c>
      <c r="B8477" s="27" t="s">
        <v>200</v>
      </c>
      <c r="C8477" s="27" t="s">
        <v>183</v>
      </c>
      <c r="D8477" s="27" t="s">
        <v>7</v>
      </c>
      <c r="E8477" s="27" t="s">
        <v>18</v>
      </c>
      <c r="F8477" s="29"/>
      <c r="G8477" s="30">
        <f t="shared" si="158"/>
        <v>53.349999999999994</v>
      </c>
    </row>
    <row r="8478" spans="1:7" hidden="1" x14ac:dyDescent="0.25">
      <c r="A8478" s="28">
        <v>44256</v>
      </c>
      <c r="B8478" s="27" t="s">
        <v>200</v>
      </c>
      <c r="C8478" s="27" t="s">
        <v>183</v>
      </c>
      <c r="D8478" s="27" t="s">
        <v>7</v>
      </c>
      <c r="E8478" s="27" t="s">
        <v>19</v>
      </c>
      <c r="F8478" s="29"/>
      <c r="G8478" s="30">
        <f t="shared" si="158"/>
        <v>53.349999999999994</v>
      </c>
    </row>
    <row r="8479" spans="1:7" hidden="1" x14ac:dyDescent="0.25">
      <c r="A8479" s="28">
        <v>44256</v>
      </c>
      <c r="B8479" s="27" t="s">
        <v>200</v>
      </c>
      <c r="C8479" s="27" t="s">
        <v>183</v>
      </c>
      <c r="D8479" s="27" t="s">
        <v>7</v>
      </c>
      <c r="E8479" s="27" t="s">
        <v>20</v>
      </c>
      <c r="F8479" s="29"/>
      <c r="G8479" s="30">
        <f t="shared" si="158"/>
        <v>53.349999999999994</v>
      </c>
    </row>
    <row r="8480" spans="1:7" hidden="1" x14ac:dyDescent="0.25">
      <c r="A8480" s="28">
        <v>44256</v>
      </c>
      <c r="B8480" s="27" t="s">
        <v>200</v>
      </c>
      <c r="C8480" s="27" t="s">
        <v>183</v>
      </c>
      <c r="D8480" s="27" t="s">
        <v>7</v>
      </c>
      <c r="E8480" s="27" t="s">
        <v>38</v>
      </c>
      <c r="F8480" s="29"/>
      <c r="G8480" s="30">
        <f t="shared" si="158"/>
        <v>53.349999999999994</v>
      </c>
    </row>
    <row r="8481" spans="1:7" hidden="1" x14ac:dyDescent="0.25">
      <c r="A8481" s="28">
        <v>44256</v>
      </c>
      <c r="B8481" s="27" t="s">
        <v>200</v>
      </c>
      <c r="C8481" s="27" t="s">
        <v>183</v>
      </c>
      <c r="D8481" s="27" t="s">
        <v>7</v>
      </c>
      <c r="E8481" s="27" t="s">
        <v>23</v>
      </c>
      <c r="F8481" s="29"/>
      <c r="G8481" s="30">
        <f t="shared" si="158"/>
        <v>53.349999999999994</v>
      </c>
    </row>
    <row r="8482" spans="1:7" hidden="1" x14ac:dyDescent="0.25">
      <c r="A8482" s="28">
        <v>44256</v>
      </c>
      <c r="B8482" s="27" t="s">
        <v>200</v>
      </c>
      <c r="C8482" s="27" t="s">
        <v>183</v>
      </c>
      <c r="D8482" s="27" t="s">
        <v>7</v>
      </c>
      <c r="E8482" s="27" t="s">
        <v>40</v>
      </c>
      <c r="F8482" s="29"/>
      <c r="G8482" s="30">
        <f t="shared" si="158"/>
        <v>53.349999999999994</v>
      </c>
    </row>
    <row r="8483" spans="1:7" hidden="1" x14ac:dyDescent="0.25">
      <c r="A8483" s="28">
        <v>44256</v>
      </c>
      <c r="B8483" s="27" t="s">
        <v>200</v>
      </c>
      <c r="C8483" s="27" t="s">
        <v>56</v>
      </c>
      <c r="D8483" s="27" t="s">
        <v>6</v>
      </c>
      <c r="E8483" s="27" t="s">
        <v>8</v>
      </c>
      <c r="F8483" s="29"/>
      <c r="G8483" s="30">
        <f t="shared" ref="G8483:G8503" si="159">47231.2018666667/21</f>
        <v>2249.1048507936525</v>
      </c>
    </row>
    <row r="8484" spans="1:7" hidden="1" x14ac:dyDescent="0.25">
      <c r="A8484" s="28">
        <v>44256</v>
      </c>
      <c r="B8484" s="27" t="s">
        <v>200</v>
      </c>
      <c r="C8484" s="27" t="s">
        <v>56</v>
      </c>
      <c r="D8484" s="27" t="s">
        <v>6</v>
      </c>
      <c r="E8484" s="27" t="s">
        <v>9</v>
      </c>
      <c r="F8484" s="29"/>
      <c r="G8484" s="30">
        <f t="shared" si="159"/>
        <v>2249.1048507936525</v>
      </c>
    </row>
    <row r="8485" spans="1:7" hidden="1" x14ac:dyDescent="0.25">
      <c r="A8485" s="28">
        <v>44256</v>
      </c>
      <c r="B8485" s="27" t="s">
        <v>200</v>
      </c>
      <c r="C8485" s="27" t="s">
        <v>56</v>
      </c>
      <c r="D8485" s="27" t="s">
        <v>6</v>
      </c>
      <c r="E8485" s="27" t="s">
        <v>22</v>
      </c>
      <c r="F8485" s="29"/>
      <c r="G8485" s="30">
        <f t="shared" si="159"/>
        <v>2249.1048507936525</v>
      </c>
    </row>
    <row r="8486" spans="1:7" hidden="1" x14ac:dyDescent="0.25">
      <c r="A8486" s="28">
        <v>44256</v>
      </c>
      <c r="B8486" s="27" t="s">
        <v>200</v>
      </c>
      <c r="C8486" s="27" t="s">
        <v>56</v>
      </c>
      <c r="D8486" s="27" t="s">
        <v>6</v>
      </c>
      <c r="E8486" s="27" t="s">
        <v>39</v>
      </c>
      <c r="F8486" s="29"/>
      <c r="G8486" s="30">
        <f t="shared" si="159"/>
        <v>2249.1048507936525</v>
      </c>
    </row>
    <row r="8487" spans="1:7" hidden="1" x14ac:dyDescent="0.25">
      <c r="A8487" s="28">
        <v>44256</v>
      </c>
      <c r="B8487" s="27" t="s">
        <v>200</v>
      </c>
      <c r="C8487" s="27" t="s">
        <v>56</v>
      </c>
      <c r="D8487" s="27" t="s">
        <v>6</v>
      </c>
      <c r="E8487" s="27" t="s">
        <v>64</v>
      </c>
      <c r="F8487" s="29"/>
      <c r="G8487" s="30">
        <f t="shared" si="159"/>
        <v>2249.1048507936525</v>
      </c>
    </row>
    <row r="8488" spans="1:7" hidden="1" x14ac:dyDescent="0.25">
      <c r="A8488" s="28">
        <v>44256</v>
      </c>
      <c r="B8488" s="27" t="s">
        <v>200</v>
      </c>
      <c r="C8488" s="27" t="s">
        <v>56</v>
      </c>
      <c r="D8488" s="27" t="s">
        <v>6</v>
      </c>
      <c r="E8488" s="27" t="s">
        <v>21</v>
      </c>
      <c r="F8488" s="29"/>
      <c r="G8488" s="30">
        <f t="shared" si="159"/>
        <v>2249.1048507936525</v>
      </c>
    </row>
    <row r="8489" spans="1:7" hidden="1" x14ac:dyDescent="0.25">
      <c r="A8489" s="28">
        <v>44256</v>
      </c>
      <c r="B8489" s="27" t="s">
        <v>200</v>
      </c>
      <c r="C8489" s="27" t="s">
        <v>56</v>
      </c>
      <c r="D8489" s="27" t="s">
        <v>6</v>
      </c>
      <c r="E8489" s="27" t="s">
        <v>41</v>
      </c>
      <c r="F8489" s="29"/>
      <c r="G8489" s="30">
        <f t="shared" si="159"/>
        <v>2249.1048507936525</v>
      </c>
    </row>
    <row r="8490" spans="1:7" hidden="1" x14ac:dyDescent="0.25">
      <c r="A8490" s="28">
        <v>44256</v>
      </c>
      <c r="B8490" s="27" t="s">
        <v>200</v>
      </c>
      <c r="C8490" s="27" t="s">
        <v>56</v>
      </c>
      <c r="D8490" s="27" t="s">
        <v>6</v>
      </c>
      <c r="E8490" s="27" t="s">
        <v>10</v>
      </c>
      <c r="F8490" s="29"/>
      <c r="G8490" s="30">
        <f t="shared" si="159"/>
        <v>2249.1048507936525</v>
      </c>
    </row>
    <row r="8491" spans="1:7" hidden="1" x14ac:dyDescent="0.25">
      <c r="A8491" s="28">
        <v>44256</v>
      </c>
      <c r="B8491" s="27" t="s">
        <v>200</v>
      </c>
      <c r="C8491" s="27" t="s">
        <v>56</v>
      </c>
      <c r="D8491" s="27" t="s">
        <v>6</v>
      </c>
      <c r="E8491" s="27" t="s">
        <v>11</v>
      </c>
      <c r="F8491" s="29"/>
      <c r="G8491" s="30">
        <f t="shared" si="159"/>
        <v>2249.1048507936525</v>
      </c>
    </row>
    <row r="8492" spans="1:7" hidden="1" x14ac:dyDescent="0.25">
      <c r="A8492" s="28">
        <v>44256</v>
      </c>
      <c r="B8492" s="27" t="s">
        <v>200</v>
      </c>
      <c r="C8492" s="27" t="s">
        <v>56</v>
      </c>
      <c r="D8492" s="27" t="s">
        <v>6</v>
      </c>
      <c r="E8492" s="27" t="s">
        <v>12</v>
      </c>
      <c r="F8492" s="29"/>
      <c r="G8492" s="30">
        <f t="shared" si="159"/>
        <v>2249.1048507936525</v>
      </c>
    </row>
    <row r="8493" spans="1:7" hidden="1" x14ac:dyDescent="0.25">
      <c r="A8493" s="28">
        <v>44256</v>
      </c>
      <c r="B8493" s="27" t="s">
        <v>200</v>
      </c>
      <c r="C8493" s="27" t="s">
        <v>56</v>
      </c>
      <c r="D8493" s="27" t="s">
        <v>6</v>
      </c>
      <c r="E8493" s="27" t="s">
        <v>13</v>
      </c>
      <c r="F8493" s="29"/>
      <c r="G8493" s="30">
        <f t="shared" si="159"/>
        <v>2249.1048507936525</v>
      </c>
    </row>
    <row r="8494" spans="1:7" hidden="1" x14ac:dyDescent="0.25">
      <c r="A8494" s="28">
        <v>44256</v>
      </c>
      <c r="B8494" s="27" t="s">
        <v>200</v>
      </c>
      <c r="C8494" s="27" t="s">
        <v>56</v>
      </c>
      <c r="D8494" s="27" t="s">
        <v>6</v>
      </c>
      <c r="E8494" s="27" t="s">
        <v>14</v>
      </c>
      <c r="F8494" s="29"/>
      <c r="G8494" s="30">
        <f t="shared" si="159"/>
        <v>2249.1048507936525</v>
      </c>
    </row>
    <row r="8495" spans="1:7" hidden="1" x14ac:dyDescent="0.25">
      <c r="A8495" s="28">
        <v>44256</v>
      </c>
      <c r="B8495" s="27" t="s">
        <v>200</v>
      </c>
      <c r="C8495" s="27" t="s">
        <v>56</v>
      </c>
      <c r="D8495" s="27" t="s">
        <v>6</v>
      </c>
      <c r="E8495" s="27" t="s">
        <v>15</v>
      </c>
      <c r="F8495" s="29"/>
      <c r="G8495" s="30">
        <f t="shared" si="159"/>
        <v>2249.1048507936525</v>
      </c>
    </row>
    <row r="8496" spans="1:7" hidden="1" x14ac:dyDescent="0.25">
      <c r="A8496" s="28">
        <v>44256</v>
      </c>
      <c r="B8496" s="27" t="s">
        <v>200</v>
      </c>
      <c r="C8496" s="27" t="s">
        <v>56</v>
      </c>
      <c r="D8496" s="27" t="s">
        <v>6</v>
      </c>
      <c r="E8496" s="27" t="s">
        <v>16</v>
      </c>
      <c r="F8496" s="29"/>
      <c r="G8496" s="30">
        <f t="shared" si="159"/>
        <v>2249.1048507936525</v>
      </c>
    </row>
    <row r="8497" spans="1:7" hidden="1" x14ac:dyDescent="0.25">
      <c r="A8497" s="28">
        <v>44256</v>
      </c>
      <c r="B8497" s="27" t="s">
        <v>200</v>
      </c>
      <c r="C8497" s="27" t="s">
        <v>56</v>
      </c>
      <c r="D8497" s="27" t="s">
        <v>6</v>
      </c>
      <c r="E8497" s="27" t="s">
        <v>17</v>
      </c>
      <c r="F8497" s="29"/>
      <c r="G8497" s="30">
        <f t="shared" si="159"/>
        <v>2249.1048507936525</v>
      </c>
    </row>
    <row r="8498" spans="1:7" hidden="1" x14ac:dyDescent="0.25">
      <c r="A8498" s="28">
        <v>44256</v>
      </c>
      <c r="B8498" s="27" t="s">
        <v>200</v>
      </c>
      <c r="C8498" s="27" t="s">
        <v>56</v>
      </c>
      <c r="D8498" s="27" t="s">
        <v>6</v>
      </c>
      <c r="E8498" s="27" t="s">
        <v>18</v>
      </c>
      <c r="F8498" s="29"/>
      <c r="G8498" s="30">
        <f t="shared" si="159"/>
        <v>2249.1048507936525</v>
      </c>
    </row>
    <row r="8499" spans="1:7" hidden="1" x14ac:dyDescent="0.25">
      <c r="A8499" s="28">
        <v>44256</v>
      </c>
      <c r="B8499" s="27" t="s">
        <v>200</v>
      </c>
      <c r="C8499" s="27" t="s">
        <v>56</v>
      </c>
      <c r="D8499" s="27" t="s">
        <v>6</v>
      </c>
      <c r="E8499" s="27" t="s">
        <v>19</v>
      </c>
      <c r="F8499" s="29"/>
      <c r="G8499" s="30">
        <f t="shared" si="159"/>
        <v>2249.1048507936525</v>
      </c>
    </row>
    <row r="8500" spans="1:7" hidden="1" x14ac:dyDescent="0.25">
      <c r="A8500" s="28">
        <v>44256</v>
      </c>
      <c r="B8500" s="27" t="s">
        <v>200</v>
      </c>
      <c r="C8500" s="27" t="s">
        <v>56</v>
      </c>
      <c r="D8500" s="27" t="s">
        <v>6</v>
      </c>
      <c r="E8500" s="27" t="s">
        <v>20</v>
      </c>
      <c r="F8500" s="29"/>
      <c r="G8500" s="30">
        <f t="shared" si="159"/>
        <v>2249.1048507936525</v>
      </c>
    </row>
    <row r="8501" spans="1:7" hidden="1" x14ac:dyDescent="0.25">
      <c r="A8501" s="28">
        <v>44256</v>
      </c>
      <c r="B8501" s="27" t="s">
        <v>200</v>
      </c>
      <c r="C8501" s="27" t="s">
        <v>56</v>
      </c>
      <c r="D8501" s="27" t="s">
        <v>6</v>
      </c>
      <c r="E8501" s="27" t="s">
        <v>38</v>
      </c>
      <c r="F8501" s="29"/>
      <c r="G8501" s="30">
        <f t="shared" si="159"/>
        <v>2249.1048507936525</v>
      </c>
    </row>
    <row r="8502" spans="1:7" hidden="1" x14ac:dyDescent="0.25">
      <c r="A8502" s="28">
        <v>44256</v>
      </c>
      <c r="B8502" s="27" t="s">
        <v>200</v>
      </c>
      <c r="C8502" s="27" t="s">
        <v>56</v>
      </c>
      <c r="D8502" s="27" t="s">
        <v>6</v>
      </c>
      <c r="E8502" s="27" t="s">
        <v>23</v>
      </c>
      <c r="F8502" s="29"/>
      <c r="G8502" s="30">
        <f t="shared" si="159"/>
        <v>2249.1048507936525</v>
      </c>
    </row>
    <row r="8503" spans="1:7" hidden="1" x14ac:dyDescent="0.25">
      <c r="A8503" s="28">
        <v>44256</v>
      </c>
      <c r="B8503" s="27" t="s">
        <v>200</v>
      </c>
      <c r="C8503" s="27" t="s">
        <v>56</v>
      </c>
      <c r="D8503" s="27" t="s">
        <v>6</v>
      </c>
      <c r="E8503" s="27" t="s">
        <v>40</v>
      </c>
      <c r="F8503" s="29"/>
      <c r="G8503" s="30">
        <f t="shared" si="159"/>
        <v>2249.1048507936525</v>
      </c>
    </row>
    <row r="8504" spans="1:7" hidden="1" x14ac:dyDescent="0.25">
      <c r="A8504" s="28">
        <v>44256</v>
      </c>
      <c r="B8504" s="27" t="s">
        <v>200</v>
      </c>
      <c r="C8504" s="27" t="s">
        <v>182</v>
      </c>
      <c r="D8504" s="27" t="s">
        <v>7</v>
      </c>
      <c r="E8504" s="27" t="s">
        <v>8</v>
      </c>
      <c r="F8504" s="29"/>
      <c r="G8504" s="30">
        <f t="shared" ref="G8504:G8524" si="160">2556.77/21</f>
        <v>121.75095238095238</v>
      </c>
    </row>
    <row r="8505" spans="1:7" hidden="1" x14ac:dyDescent="0.25">
      <c r="A8505" s="28">
        <v>44256</v>
      </c>
      <c r="B8505" s="27" t="s">
        <v>200</v>
      </c>
      <c r="C8505" s="27" t="s">
        <v>182</v>
      </c>
      <c r="D8505" s="27" t="s">
        <v>7</v>
      </c>
      <c r="E8505" s="27" t="s">
        <v>9</v>
      </c>
      <c r="F8505" s="29"/>
      <c r="G8505" s="30">
        <f t="shared" si="160"/>
        <v>121.75095238095238</v>
      </c>
    </row>
    <row r="8506" spans="1:7" hidden="1" x14ac:dyDescent="0.25">
      <c r="A8506" s="28">
        <v>44256</v>
      </c>
      <c r="B8506" s="27" t="s">
        <v>200</v>
      </c>
      <c r="C8506" s="27" t="s">
        <v>182</v>
      </c>
      <c r="D8506" s="27" t="s">
        <v>7</v>
      </c>
      <c r="E8506" s="27" t="s">
        <v>22</v>
      </c>
      <c r="F8506" s="29"/>
      <c r="G8506" s="30">
        <f t="shared" si="160"/>
        <v>121.75095238095238</v>
      </c>
    </row>
    <row r="8507" spans="1:7" hidden="1" x14ac:dyDescent="0.25">
      <c r="A8507" s="28">
        <v>44256</v>
      </c>
      <c r="B8507" s="27" t="s">
        <v>200</v>
      </c>
      <c r="C8507" s="27" t="s">
        <v>182</v>
      </c>
      <c r="D8507" s="27" t="s">
        <v>7</v>
      </c>
      <c r="E8507" s="27" t="s">
        <v>39</v>
      </c>
      <c r="F8507" s="29"/>
      <c r="G8507" s="30">
        <f t="shared" si="160"/>
        <v>121.75095238095238</v>
      </c>
    </row>
    <row r="8508" spans="1:7" hidden="1" x14ac:dyDescent="0.25">
      <c r="A8508" s="28">
        <v>44256</v>
      </c>
      <c r="B8508" s="27" t="s">
        <v>200</v>
      </c>
      <c r="C8508" s="27" t="s">
        <v>182</v>
      </c>
      <c r="D8508" s="27" t="s">
        <v>7</v>
      </c>
      <c r="E8508" s="27" t="s">
        <v>64</v>
      </c>
      <c r="F8508" s="29"/>
      <c r="G8508" s="30">
        <f t="shared" si="160"/>
        <v>121.75095238095238</v>
      </c>
    </row>
    <row r="8509" spans="1:7" hidden="1" x14ac:dyDescent="0.25">
      <c r="A8509" s="28">
        <v>44256</v>
      </c>
      <c r="B8509" s="27" t="s">
        <v>200</v>
      </c>
      <c r="C8509" s="27" t="s">
        <v>182</v>
      </c>
      <c r="D8509" s="27" t="s">
        <v>7</v>
      </c>
      <c r="E8509" s="27" t="s">
        <v>21</v>
      </c>
      <c r="F8509" s="29"/>
      <c r="G8509" s="30">
        <f t="shared" si="160"/>
        <v>121.75095238095238</v>
      </c>
    </row>
    <row r="8510" spans="1:7" hidden="1" x14ac:dyDescent="0.25">
      <c r="A8510" s="28">
        <v>44256</v>
      </c>
      <c r="B8510" s="27" t="s">
        <v>200</v>
      </c>
      <c r="C8510" s="27" t="s">
        <v>182</v>
      </c>
      <c r="D8510" s="27" t="s">
        <v>7</v>
      </c>
      <c r="E8510" s="27" t="s">
        <v>41</v>
      </c>
      <c r="F8510" s="29"/>
      <c r="G8510" s="30">
        <f t="shared" si="160"/>
        <v>121.75095238095238</v>
      </c>
    </row>
    <row r="8511" spans="1:7" hidden="1" x14ac:dyDescent="0.25">
      <c r="A8511" s="28">
        <v>44256</v>
      </c>
      <c r="B8511" s="27" t="s">
        <v>200</v>
      </c>
      <c r="C8511" s="27" t="s">
        <v>182</v>
      </c>
      <c r="D8511" s="27" t="s">
        <v>7</v>
      </c>
      <c r="E8511" s="27" t="s">
        <v>10</v>
      </c>
      <c r="F8511" s="29"/>
      <c r="G8511" s="30">
        <f t="shared" si="160"/>
        <v>121.75095238095238</v>
      </c>
    </row>
    <row r="8512" spans="1:7" hidden="1" x14ac:dyDescent="0.25">
      <c r="A8512" s="28">
        <v>44256</v>
      </c>
      <c r="B8512" s="27" t="s">
        <v>200</v>
      </c>
      <c r="C8512" s="27" t="s">
        <v>182</v>
      </c>
      <c r="D8512" s="27" t="s">
        <v>7</v>
      </c>
      <c r="E8512" s="27" t="s">
        <v>11</v>
      </c>
      <c r="F8512" s="29"/>
      <c r="G8512" s="30">
        <f t="shared" si="160"/>
        <v>121.75095238095238</v>
      </c>
    </row>
    <row r="8513" spans="1:7" hidden="1" x14ac:dyDescent="0.25">
      <c r="A8513" s="28">
        <v>44256</v>
      </c>
      <c r="B8513" s="27" t="s">
        <v>200</v>
      </c>
      <c r="C8513" s="27" t="s">
        <v>182</v>
      </c>
      <c r="D8513" s="27" t="s">
        <v>7</v>
      </c>
      <c r="E8513" s="27" t="s">
        <v>12</v>
      </c>
      <c r="F8513" s="29"/>
      <c r="G8513" s="30">
        <f t="shared" si="160"/>
        <v>121.75095238095238</v>
      </c>
    </row>
    <row r="8514" spans="1:7" hidden="1" x14ac:dyDescent="0.25">
      <c r="A8514" s="28">
        <v>44256</v>
      </c>
      <c r="B8514" s="27" t="s">
        <v>200</v>
      </c>
      <c r="C8514" s="27" t="s">
        <v>182</v>
      </c>
      <c r="D8514" s="27" t="s">
        <v>7</v>
      </c>
      <c r="E8514" s="27" t="s">
        <v>13</v>
      </c>
      <c r="F8514" s="29"/>
      <c r="G8514" s="30">
        <f t="shared" si="160"/>
        <v>121.75095238095238</v>
      </c>
    </row>
    <row r="8515" spans="1:7" hidden="1" x14ac:dyDescent="0.25">
      <c r="A8515" s="28">
        <v>44256</v>
      </c>
      <c r="B8515" s="27" t="s">
        <v>200</v>
      </c>
      <c r="C8515" s="27" t="s">
        <v>182</v>
      </c>
      <c r="D8515" s="27" t="s">
        <v>7</v>
      </c>
      <c r="E8515" s="27" t="s">
        <v>14</v>
      </c>
      <c r="F8515" s="29"/>
      <c r="G8515" s="30">
        <f t="shared" si="160"/>
        <v>121.75095238095238</v>
      </c>
    </row>
    <row r="8516" spans="1:7" hidden="1" x14ac:dyDescent="0.25">
      <c r="A8516" s="28">
        <v>44256</v>
      </c>
      <c r="B8516" s="27" t="s">
        <v>200</v>
      </c>
      <c r="C8516" s="27" t="s">
        <v>182</v>
      </c>
      <c r="D8516" s="27" t="s">
        <v>7</v>
      </c>
      <c r="E8516" s="27" t="s">
        <v>15</v>
      </c>
      <c r="F8516" s="29"/>
      <c r="G8516" s="30">
        <f t="shared" si="160"/>
        <v>121.75095238095238</v>
      </c>
    </row>
    <row r="8517" spans="1:7" hidden="1" x14ac:dyDescent="0.25">
      <c r="A8517" s="28">
        <v>44256</v>
      </c>
      <c r="B8517" s="27" t="s">
        <v>200</v>
      </c>
      <c r="C8517" s="27" t="s">
        <v>182</v>
      </c>
      <c r="D8517" s="27" t="s">
        <v>7</v>
      </c>
      <c r="E8517" s="27" t="s">
        <v>16</v>
      </c>
      <c r="F8517" s="29"/>
      <c r="G8517" s="30">
        <f t="shared" si="160"/>
        <v>121.75095238095238</v>
      </c>
    </row>
    <row r="8518" spans="1:7" hidden="1" x14ac:dyDescent="0.25">
      <c r="A8518" s="28">
        <v>44256</v>
      </c>
      <c r="B8518" s="27" t="s">
        <v>200</v>
      </c>
      <c r="C8518" s="27" t="s">
        <v>182</v>
      </c>
      <c r="D8518" s="27" t="s">
        <v>7</v>
      </c>
      <c r="E8518" s="27" t="s">
        <v>17</v>
      </c>
      <c r="F8518" s="29"/>
      <c r="G8518" s="30">
        <f t="shared" si="160"/>
        <v>121.75095238095238</v>
      </c>
    </row>
    <row r="8519" spans="1:7" hidden="1" x14ac:dyDescent="0.25">
      <c r="A8519" s="28">
        <v>44256</v>
      </c>
      <c r="B8519" s="27" t="s">
        <v>200</v>
      </c>
      <c r="C8519" s="27" t="s">
        <v>182</v>
      </c>
      <c r="D8519" s="27" t="s">
        <v>7</v>
      </c>
      <c r="E8519" s="27" t="s">
        <v>18</v>
      </c>
      <c r="F8519" s="29"/>
      <c r="G8519" s="30">
        <f t="shared" si="160"/>
        <v>121.75095238095238</v>
      </c>
    </row>
    <row r="8520" spans="1:7" hidden="1" x14ac:dyDescent="0.25">
      <c r="A8520" s="28">
        <v>44256</v>
      </c>
      <c r="B8520" s="27" t="s">
        <v>200</v>
      </c>
      <c r="C8520" s="27" t="s">
        <v>182</v>
      </c>
      <c r="D8520" s="27" t="s">
        <v>7</v>
      </c>
      <c r="E8520" s="27" t="s">
        <v>19</v>
      </c>
      <c r="F8520" s="29"/>
      <c r="G8520" s="30">
        <f t="shared" si="160"/>
        <v>121.75095238095238</v>
      </c>
    </row>
    <row r="8521" spans="1:7" hidden="1" x14ac:dyDescent="0.25">
      <c r="A8521" s="28">
        <v>44256</v>
      </c>
      <c r="B8521" s="27" t="s">
        <v>200</v>
      </c>
      <c r="C8521" s="27" t="s">
        <v>182</v>
      </c>
      <c r="D8521" s="27" t="s">
        <v>7</v>
      </c>
      <c r="E8521" s="27" t="s">
        <v>20</v>
      </c>
      <c r="F8521" s="29"/>
      <c r="G8521" s="30">
        <f t="shared" si="160"/>
        <v>121.75095238095238</v>
      </c>
    </row>
    <row r="8522" spans="1:7" hidden="1" x14ac:dyDescent="0.25">
      <c r="A8522" s="28">
        <v>44256</v>
      </c>
      <c r="B8522" s="27" t="s">
        <v>200</v>
      </c>
      <c r="C8522" s="27" t="s">
        <v>182</v>
      </c>
      <c r="D8522" s="27" t="s">
        <v>7</v>
      </c>
      <c r="E8522" s="27" t="s">
        <v>38</v>
      </c>
      <c r="F8522" s="29"/>
      <c r="G8522" s="30">
        <f t="shared" si="160"/>
        <v>121.75095238095238</v>
      </c>
    </row>
    <row r="8523" spans="1:7" hidden="1" x14ac:dyDescent="0.25">
      <c r="A8523" s="28">
        <v>44256</v>
      </c>
      <c r="B8523" s="27" t="s">
        <v>200</v>
      </c>
      <c r="C8523" s="27" t="s">
        <v>182</v>
      </c>
      <c r="D8523" s="27" t="s">
        <v>7</v>
      </c>
      <c r="E8523" s="27" t="s">
        <v>23</v>
      </c>
      <c r="F8523" s="29"/>
      <c r="G8523" s="30">
        <f t="shared" si="160"/>
        <v>121.75095238095238</v>
      </c>
    </row>
    <row r="8524" spans="1:7" hidden="1" x14ac:dyDescent="0.25">
      <c r="A8524" s="28">
        <v>44256</v>
      </c>
      <c r="B8524" s="27" t="s">
        <v>200</v>
      </c>
      <c r="C8524" s="27" t="s">
        <v>182</v>
      </c>
      <c r="D8524" s="27" t="s">
        <v>7</v>
      </c>
      <c r="E8524" s="27" t="s">
        <v>40</v>
      </c>
      <c r="F8524" s="29"/>
      <c r="G8524" s="30">
        <f t="shared" si="160"/>
        <v>121.75095238095238</v>
      </c>
    </row>
    <row r="8525" spans="1:7" hidden="1" x14ac:dyDescent="0.25">
      <c r="A8525" s="28">
        <v>44256</v>
      </c>
      <c r="B8525" s="27" t="s">
        <v>35</v>
      </c>
      <c r="C8525" s="27" t="s">
        <v>50</v>
      </c>
      <c r="D8525" s="27" t="s">
        <v>7</v>
      </c>
      <c r="E8525" s="27" t="s">
        <v>8</v>
      </c>
      <c r="F8525" s="29"/>
      <c r="G8525" s="30">
        <v>577.04476190476191</v>
      </c>
    </row>
    <row r="8526" spans="1:7" hidden="1" x14ac:dyDescent="0.25">
      <c r="A8526" s="28">
        <v>44256</v>
      </c>
      <c r="B8526" s="27" t="s">
        <v>35</v>
      </c>
      <c r="C8526" s="27" t="s">
        <v>50</v>
      </c>
      <c r="D8526" s="27" t="s">
        <v>7</v>
      </c>
      <c r="E8526" s="27" t="s">
        <v>9</v>
      </c>
      <c r="F8526" s="29"/>
      <c r="G8526" s="30">
        <v>577.04476190476191</v>
      </c>
    </row>
    <row r="8527" spans="1:7" hidden="1" x14ac:dyDescent="0.25">
      <c r="A8527" s="28">
        <v>44256</v>
      </c>
      <c r="B8527" s="27" t="s">
        <v>35</v>
      </c>
      <c r="C8527" s="27" t="s">
        <v>50</v>
      </c>
      <c r="D8527" s="27" t="s">
        <v>7</v>
      </c>
      <c r="E8527" s="27" t="s">
        <v>22</v>
      </c>
      <c r="F8527" s="29"/>
      <c r="G8527" s="30">
        <v>577.04476190476191</v>
      </c>
    </row>
    <row r="8528" spans="1:7" hidden="1" x14ac:dyDescent="0.25">
      <c r="A8528" s="28">
        <v>44256</v>
      </c>
      <c r="B8528" s="27" t="s">
        <v>35</v>
      </c>
      <c r="C8528" s="27" t="s">
        <v>50</v>
      </c>
      <c r="D8528" s="27" t="s">
        <v>7</v>
      </c>
      <c r="E8528" s="27" t="s">
        <v>39</v>
      </c>
      <c r="F8528" s="29"/>
      <c r="G8528" s="30">
        <v>577.04476190476191</v>
      </c>
    </row>
    <row r="8529" spans="1:7" hidden="1" x14ac:dyDescent="0.25">
      <c r="A8529" s="28">
        <v>44256</v>
      </c>
      <c r="B8529" s="27" t="s">
        <v>35</v>
      </c>
      <c r="C8529" s="27" t="s">
        <v>50</v>
      </c>
      <c r="D8529" s="27" t="s">
        <v>7</v>
      </c>
      <c r="E8529" s="27" t="s">
        <v>64</v>
      </c>
      <c r="F8529" s="29"/>
      <c r="G8529" s="30">
        <v>577.04476190476191</v>
      </c>
    </row>
    <row r="8530" spans="1:7" hidden="1" x14ac:dyDescent="0.25">
      <c r="A8530" s="28">
        <v>44256</v>
      </c>
      <c r="B8530" s="27" t="s">
        <v>35</v>
      </c>
      <c r="C8530" s="27" t="s">
        <v>50</v>
      </c>
      <c r="D8530" s="27" t="s">
        <v>7</v>
      </c>
      <c r="E8530" s="27" t="s">
        <v>21</v>
      </c>
      <c r="F8530" s="29"/>
      <c r="G8530" s="30">
        <v>577.04476190476191</v>
      </c>
    </row>
    <row r="8531" spans="1:7" hidden="1" x14ac:dyDescent="0.25">
      <c r="A8531" s="28">
        <v>44256</v>
      </c>
      <c r="B8531" s="27" t="s">
        <v>35</v>
      </c>
      <c r="C8531" s="27" t="s">
        <v>50</v>
      </c>
      <c r="D8531" s="27" t="s">
        <v>7</v>
      </c>
      <c r="E8531" s="27" t="s">
        <v>41</v>
      </c>
      <c r="F8531" s="29"/>
      <c r="G8531" s="30">
        <v>577.04476190476191</v>
      </c>
    </row>
    <row r="8532" spans="1:7" hidden="1" x14ac:dyDescent="0.25">
      <c r="A8532" s="28">
        <v>44256</v>
      </c>
      <c r="B8532" s="27" t="s">
        <v>35</v>
      </c>
      <c r="C8532" s="27" t="s">
        <v>50</v>
      </c>
      <c r="D8532" s="27" t="s">
        <v>7</v>
      </c>
      <c r="E8532" s="27" t="s">
        <v>10</v>
      </c>
      <c r="F8532" s="29"/>
      <c r="G8532" s="30">
        <v>577.04476190476191</v>
      </c>
    </row>
    <row r="8533" spans="1:7" hidden="1" x14ac:dyDescent="0.25">
      <c r="A8533" s="28">
        <v>44256</v>
      </c>
      <c r="B8533" s="27" t="s">
        <v>35</v>
      </c>
      <c r="C8533" s="27" t="s">
        <v>50</v>
      </c>
      <c r="D8533" s="27" t="s">
        <v>7</v>
      </c>
      <c r="E8533" s="27" t="s">
        <v>11</v>
      </c>
      <c r="F8533" s="29"/>
      <c r="G8533" s="30">
        <v>577.04476190476191</v>
      </c>
    </row>
    <row r="8534" spans="1:7" hidden="1" x14ac:dyDescent="0.25">
      <c r="A8534" s="28">
        <v>44256</v>
      </c>
      <c r="B8534" s="27" t="s">
        <v>35</v>
      </c>
      <c r="C8534" s="27" t="s">
        <v>50</v>
      </c>
      <c r="D8534" s="27" t="s">
        <v>7</v>
      </c>
      <c r="E8534" s="27" t="s">
        <v>12</v>
      </c>
      <c r="F8534" s="29"/>
      <c r="G8534" s="30">
        <v>577.04476190476191</v>
      </c>
    </row>
    <row r="8535" spans="1:7" hidden="1" x14ac:dyDescent="0.25">
      <c r="A8535" s="28">
        <v>44256</v>
      </c>
      <c r="B8535" s="27" t="s">
        <v>35</v>
      </c>
      <c r="C8535" s="27" t="s">
        <v>50</v>
      </c>
      <c r="D8535" s="27" t="s">
        <v>7</v>
      </c>
      <c r="E8535" s="27" t="s">
        <v>13</v>
      </c>
      <c r="F8535" s="29"/>
      <c r="G8535" s="30">
        <v>577.04476190476191</v>
      </c>
    </row>
    <row r="8536" spans="1:7" hidden="1" x14ac:dyDescent="0.25">
      <c r="A8536" s="28">
        <v>44256</v>
      </c>
      <c r="B8536" s="27" t="s">
        <v>35</v>
      </c>
      <c r="C8536" s="27" t="s">
        <v>50</v>
      </c>
      <c r="D8536" s="27" t="s">
        <v>7</v>
      </c>
      <c r="E8536" s="27" t="s">
        <v>14</v>
      </c>
      <c r="F8536" s="29"/>
      <c r="G8536" s="30">
        <v>577.04476190476191</v>
      </c>
    </row>
    <row r="8537" spans="1:7" hidden="1" x14ac:dyDescent="0.25">
      <c r="A8537" s="28">
        <v>44256</v>
      </c>
      <c r="B8537" s="27" t="s">
        <v>35</v>
      </c>
      <c r="C8537" s="27" t="s">
        <v>50</v>
      </c>
      <c r="D8537" s="27" t="s">
        <v>7</v>
      </c>
      <c r="E8537" s="27" t="s">
        <v>15</v>
      </c>
      <c r="F8537" s="29"/>
      <c r="G8537" s="30">
        <v>577.04476190476191</v>
      </c>
    </row>
    <row r="8538" spans="1:7" hidden="1" x14ac:dyDescent="0.25">
      <c r="A8538" s="28">
        <v>44256</v>
      </c>
      <c r="B8538" s="27" t="s">
        <v>35</v>
      </c>
      <c r="C8538" s="27" t="s">
        <v>50</v>
      </c>
      <c r="D8538" s="27" t="s">
        <v>7</v>
      </c>
      <c r="E8538" s="27" t="s">
        <v>16</v>
      </c>
      <c r="F8538" s="29"/>
      <c r="G8538" s="30">
        <v>577.04476190476191</v>
      </c>
    </row>
    <row r="8539" spans="1:7" hidden="1" x14ac:dyDescent="0.25">
      <c r="A8539" s="28">
        <v>44256</v>
      </c>
      <c r="B8539" s="27" t="s">
        <v>35</v>
      </c>
      <c r="C8539" s="27" t="s">
        <v>50</v>
      </c>
      <c r="D8539" s="27" t="s">
        <v>7</v>
      </c>
      <c r="E8539" s="27" t="s">
        <v>17</v>
      </c>
      <c r="F8539" s="29"/>
      <c r="G8539" s="30">
        <v>577.04476190476191</v>
      </c>
    </row>
    <row r="8540" spans="1:7" hidden="1" x14ac:dyDescent="0.25">
      <c r="A8540" s="28">
        <v>44256</v>
      </c>
      <c r="B8540" s="27" t="s">
        <v>35</v>
      </c>
      <c r="C8540" s="27" t="s">
        <v>50</v>
      </c>
      <c r="D8540" s="27" t="s">
        <v>7</v>
      </c>
      <c r="E8540" s="27" t="s">
        <v>18</v>
      </c>
      <c r="F8540" s="29"/>
      <c r="G8540" s="30">
        <v>577.04476190476191</v>
      </c>
    </row>
    <row r="8541" spans="1:7" hidden="1" x14ac:dyDescent="0.25">
      <c r="A8541" s="28">
        <v>44256</v>
      </c>
      <c r="B8541" s="27" t="s">
        <v>35</v>
      </c>
      <c r="C8541" s="27" t="s">
        <v>50</v>
      </c>
      <c r="D8541" s="27" t="s">
        <v>7</v>
      </c>
      <c r="E8541" s="27" t="s">
        <v>19</v>
      </c>
      <c r="F8541" s="29"/>
      <c r="G8541" s="30">
        <v>577.04476190476191</v>
      </c>
    </row>
    <row r="8542" spans="1:7" hidden="1" x14ac:dyDescent="0.25">
      <c r="A8542" s="28">
        <v>44256</v>
      </c>
      <c r="B8542" s="27" t="s">
        <v>35</v>
      </c>
      <c r="C8542" s="27" t="s">
        <v>50</v>
      </c>
      <c r="D8542" s="27" t="s">
        <v>7</v>
      </c>
      <c r="E8542" s="27" t="s">
        <v>20</v>
      </c>
      <c r="F8542" s="29"/>
      <c r="G8542" s="30">
        <v>577.04476190476191</v>
      </c>
    </row>
    <row r="8543" spans="1:7" hidden="1" x14ac:dyDescent="0.25">
      <c r="A8543" s="28">
        <v>44256</v>
      </c>
      <c r="B8543" s="27" t="s">
        <v>35</v>
      </c>
      <c r="C8543" s="27" t="s">
        <v>50</v>
      </c>
      <c r="D8543" s="27" t="s">
        <v>7</v>
      </c>
      <c r="E8543" s="27" t="s">
        <v>38</v>
      </c>
      <c r="F8543" s="29"/>
      <c r="G8543" s="30">
        <v>577.04476190476191</v>
      </c>
    </row>
    <row r="8544" spans="1:7" hidden="1" x14ac:dyDescent="0.25">
      <c r="A8544" s="28">
        <v>44256</v>
      </c>
      <c r="B8544" s="27" t="s">
        <v>35</v>
      </c>
      <c r="C8544" s="27" t="s">
        <v>50</v>
      </c>
      <c r="D8544" s="27" t="s">
        <v>7</v>
      </c>
      <c r="E8544" s="27" t="s">
        <v>23</v>
      </c>
      <c r="F8544" s="29"/>
      <c r="G8544" s="30">
        <v>577.04476190476191</v>
      </c>
    </row>
    <row r="8545" spans="1:7" hidden="1" x14ac:dyDescent="0.25">
      <c r="A8545" s="28">
        <v>44256</v>
      </c>
      <c r="B8545" s="27" t="s">
        <v>35</v>
      </c>
      <c r="C8545" s="27" t="s">
        <v>50</v>
      </c>
      <c r="D8545" s="27" t="s">
        <v>7</v>
      </c>
      <c r="E8545" s="27" t="s">
        <v>40</v>
      </c>
      <c r="F8545" s="29"/>
      <c r="G8545" s="30">
        <v>577.04476190476191</v>
      </c>
    </row>
    <row r="8546" spans="1:7" hidden="1" x14ac:dyDescent="0.25">
      <c r="A8546" s="28">
        <v>44256</v>
      </c>
      <c r="B8546" s="27" t="s">
        <v>34</v>
      </c>
      <c r="C8546" s="27" t="s">
        <v>50</v>
      </c>
      <c r="D8546" s="27" t="s">
        <v>6</v>
      </c>
      <c r="E8546" s="27" t="s">
        <v>8</v>
      </c>
      <c r="F8546" s="29"/>
      <c r="G8546" s="30">
        <v>512.69000000000005</v>
      </c>
    </row>
    <row r="8547" spans="1:7" hidden="1" x14ac:dyDescent="0.25">
      <c r="A8547" s="28">
        <v>44256</v>
      </c>
      <c r="B8547" s="27" t="s">
        <v>34</v>
      </c>
      <c r="C8547" s="27" t="s">
        <v>50</v>
      </c>
      <c r="D8547" s="27" t="s">
        <v>6</v>
      </c>
      <c r="E8547" s="27" t="s">
        <v>9</v>
      </c>
      <c r="F8547" s="29"/>
      <c r="G8547" s="30">
        <v>583.98</v>
      </c>
    </row>
    <row r="8548" spans="1:7" hidden="1" x14ac:dyDescent="0.25">
      <c r="A8548" s="28">
        <v>44256</v>
      </c>
      <c r="B8548" s="27" t="s">
        <v>34</v>
      </c>
      <c r="C8548" s="27" t="s">
        <v>50</v>
      </c>
      <c r="D8548" s="27" t="s">
        <v>6</v>
      </c>
      <c r="E8548" s="27" t="s">
        <v>22</v>
      </c>
      <c r="F8548" s="29"/>
      <c r="G8548" s="30">
        <v>717.29</v>
      </c>
    </row>
    <row r="8549" spans="1:7" hidden="1" x14ac:dyDescent="0.25">
      <c r="A8549" s="28">
        <v>44256</v>
      </c>
      <c r="B8549" s="27" t="s">
        <v>34</v>
      </c>
      <c r="C8549" s="27" t="s">
        <v>50</v>
      </c>
      <c r="D8549" s="27" t="s">
        <v>6</v>
      </c>
      <c r="E8549" s="27" t="s">
        <v>39</v>
      </c>
      <c r="F8549" s="29"/>
      <c r="G8549" s="30">
        <v>357.63</v>
      </c>
    </row>
    <row r="8550" spans="1:7" hidden="1" x14ac:dyDescent="0.25">
      <c r="A8550" s="28">
        <v>44256</v>
      </c>
      <c r="B8550" s="27" t="s">
        <v>34</v>
      </c>
      <c r="C8550" s="27" t="s">
        <v>50</v>
      </c>
      <c r="D8550" s="27" t="s">
        <v>6</v>
      </c>
      <c r="E8550" s="27" t="s">
        <v>64</v>
      </c>
      <c r="F8550" s="29"/>
      <c r="G8550" s="30">
        <v>632.99</v>
      </c>
    </row>
    <row r="8551" spans="1:7" hidden="1" x14ac:dyDescent="0.25">
      <c r="A8551" s="28">
        <v>44256</v>
      </c>
      <c r="B8551" s="27" t="s">
        <v>34</v>
      </c>
      <c r="C8551" s="27" t="s">
        <v>50</v>
      </c>
      <c r="D8551" s="27" t="s">
        <v>6</v>
      </c>
      <c r="E8551" s="27" t="s">
        <v>21</v>
      </c>
      <c r="F8551" s="29"/>
      <c r="G8551" s="30">
        <v>525.32000000000005</v>
      </c>
    </row>
    <row r="8552" spans="1:7" hidden="1" x14ac:dyDescent="0.25">
      <c r="A8552" s="28">
        <v>44256</v>
      </c>
      <c r="B8552" s="27" t="s">
        <v>34</v>
      </c>
      <c r="C8552" s="27" t="s">
        <v>50</v>
      </c>
      <c r="D8552" s="27" t="s">
        <v>6</v>
      </c>
      <c r="E8552" s="27" t="s">
        <v>41</v>
      </c>
      <c r="F8552" s="29"/>
      <c r="G8552" s="30">
        <v>541.32000000000005</v>
      </c>
    </row>
    <row r="8553" spans="1:7" hidden="1" x14ac:dyDescent="0.25">
      <c r="A8553" s="28">
        <v>44256</v>
      </c>
      <c r="B8553" s="27" t="s">
        <v>34</v>
      </c>
      <c r="C8553" s="27" t="s">
        <v>50</v>
      </c>
      <c r="D8553" s="27" t="s">
        <v>6</v>
      </c>
      <c r="E8553" s="27" t="s">
        <v>10</v>
      </c>
      <c r="F8553" s="29"/>
      <c r="G8553" s="30">
        <v>721.06</v>
      </c>
    </row>
    <row r="8554" spans="1:7" hidden="1" x14ac:dyDescent="0.25">
      <c r="A8554" s="28">
        <v>44256</v>
      </c>
      <c r="B8554" s="27" t="s">
        <v>34</v>
      </c>
      <c r="C8554" s="27" t="s">
        <v>50</v>
      </c>
      <c r="D8554" s="27" t="s">
        <v>6</v>
      </c>
      <c r="E8554" s="27" t="s">
        <v>11</v>
      </c>
      <c r="F8554" s="29"/>
      <c r="G8554" s="30">
        <v>309.66000000000003</v>
      </c>
    </row>
    <row r="8555" spans="1:7" hidden="1" x14ac:dyDescent="0.25">
      <c r="A8555" s="28">
        <v>44256</v>
      </c>
      <c r="B8555" s="27" t="s">
        <v>34</v>
      </c>
      <c r="C8555" s="27" t="s">
        <v>50</v>
      </c>
      <c r="D8555" s="27" t="s">
        <v>6</v>
      </c>
      <c r="E8555" s="27" t="s">
        <v>12</v>
      </c>
      <c r="F8555" s="29"/>
      <c r="G8555" s="30">
        <v>366.63</v>
      </c>
    </row>
    <row r="8556" spans="1:7" hidden="1" x14ac:dyDescent="0.25">
      <c r="A8556" s="28">
        <v>44256</v>
      </c>
      <c r="B8556" s="27" t="s">
        <v>34</v>
      </c>
      <c r="C8556" s="27" t="s">
        <v>50</v>
      </c>
      <c r="D8556" s="27" t="s">
        <v>6</v>
      </c>
      <c r="E8556" s="27" t="s">
        <v>13</v>
      </c>
      <c r="F8556" s="29"/>
      <c r="G8556" s="30">
        <v>444.8</v>
      </c>
    </row>
    <row r="8557" spans="1:7" hidden="1" x14ac:dyDescent="0.25">
      <c r="A8557" s="28">
        <v>44256</v>
      </c>
      <c r="B8557" s="27" t="s">
        <v>34</v>
      </c>
      <c r="C8557" s="27" t="s">
        <v>50</v>
      </c>
      <c r="D8557" s="27" t="s">
        <v>6</v>
      </c>
      <c r="E8557" s="27" t="s">
        <v>14</v>
      </c>
      <c r="F8557" s="29"/>
      <c r="G8557" s="30">
        <v>153.91999999999999</v>
      </c>
    </row>
    <row r="8558" spans="1:7" hidden="1" x14ac:dyDescent="0.25">
      <c r="A8558" s="28">
        <v>44256</v>
      </c>
      <c r="B8558" s="27" t="s">
        <v>34</v>
      </c>
      <c r="C8558" s="27" t="s">
        <v>50</v>
      </c>
      <c r="D8558" s="27" t="s">
        <v>6</v>
      </c>
      <c r="E8558" s="27" t="s">
        <v>15</v>
      </c>
      <c r="F8558" s="29"/>
      <c r="G8558" s="30">
        <v>377.23</v>
      </c>
    </row>
    <row r="8559" spans="1:7" hidden="1" x14ac:dyDescent="0.25">
      <c r="A8559" s="28">
        <v>44256</v>
      </c>
      <c r="B8559" s="27" t="s">
        <v>34</v>
      </c>
      <c r="C8559" s="27" t="s">
        <v>50</v>
      </c>
      <c r="D8559" s="27" t="s">
        <v>6</v>
      </c>
      <c r="E8559" s="27" t="s">
        <v>16</v>
      </c>
      <c r="F8559" s="29"/>
      <c r="G8559" s="30">
        <v>455.42</v>
      </c>
    </row>
    <row r="8560" spans="1:7" hidden="1" x14ac:dyDescent="0.25">
      <c r="A8560" s="28">
        <v>44256</v>
      </c>
      <c r="B8560" s="27" t="s">
        <v>34</v>
      </c>
      <c r="C8560" s="27" t="s">
        <v>50</v>
      </c>
      <c r="D8560" s="27" t="s">
        <v>6</v>
      </c>
      <c r="E8560" s="27" t="s">
        <v>17</v>
      </c>
      <c r="F8560" s="29"/>
      <c r="G8560" s="30">
        <v>825.43</v>
      </c>
    </row>
    <row r="8561" spans="1:7" hidden="1" x14ac:dyDescent="0.25">
      <c r="A8561" s="28">
        <v>44256</v>
      </c>
      <c r="B8561" s="27" t="s">
        <v>34</v>
      </c>
      <c r="C8561" s="27" t="s">
        <v>50</v>
      </c>
      <c r="D8561" s="27" t="s">
        <v>6</v>
      </c>
      <c r="E8561" s="27" t="s">
        <v>18</v>
      </c>
      <c r="F8561" s="29"/>
      <c r="G8561" s="30">
        <v>361.39</v>
      </c>
    </row>
    <row r="8562" spans="1:7" hidden="1" x14ac:dyDescent="0.25">
      <c r="A8562" s="28">
        <v>44256</v>
      </c>
      <c r="B8562" s="27" t="s">
        <v>34</v>
      </c>
      <c r="C8562" s="27" t="s">
        <v>50</v>
      </c>
      <c r="D8562" s="27" t="s">
        <v>6</v>
      </c>
      <c r="E8562" s="27" t="s">
        <v>19</v>
      </c>
      <c r="F8562" s="29"/>
      <c r="G8562" s="30">
        <v>492.72</v>
      </c>
    </row>
    <row r="8563" spans="1:7" hidden="1" x14ac:dyDescent="0.25">
      <c r="A8563" s="28">
        <v>44256</v>
      </c>
      <c r="B8563" s="27" t="s">
        <v>34</v>
      </c>
      <c r="C8563" s="27" t="s">
        <v>50</v>
      </c>
      <c r="D8563" s="27" t="s">
        <v>6</v>
      </c>
      <c r="E8563" s="27" t="s">
        <v>20</v>
      </c>
      <c r="F8563" s="29"/>
      <c r="G8563" s="30">
        <v>371.7</v>
      </c>
    </row>
    <row r="8564" spans="1:7" hidden="1" x14ac:dyDescent="0.25">
      <c r="A8564" s="28">
        <v>44256</v>
      </c>
      <c r="B8564" s="27" t="s">
        <v>34</v>
      </c>
      <c r="C8564" s="27" t="s">
        <v>50</v>
      </c>
      <c r="D8564" s="27" t="s">
        <v>6</v>
      </c>
      <c r="E8564" s="27" t="s">
        <v>38</v>
      </c>
      <c r="F8564" s="29"/>
      <c r="G8564" s="30">
        <v>182.93</v>
      </c>
    </row>
    <row r="8565" spans="1:7" hidden="1" x14ac:dyDescent="0.25">
      <c r="A8565" s="28">
        <v>44256</v>
      </c>
      <c r="B8565" s="27" t="s">
        <v>34</v>
      </c>
      <c r="C8565" s="27" t="s">
        <v>50</v>
      </c>
      <c r="D8565" s="27" t="s">
        <v>6</v>
      </c>
      <c r="E8565" s="27" t="s">
        <v>23</v>
      </c>
      <c r="F8565" s="29"/>
      <c r="G8565" s="30">
        <v>571.6</v>
      </c>
    </row>
    <row r="8566" spans="1:7" hidden="1" x14ac:dyDescent="0.25">
      <c r="A8566" s="28">
        <v>44256</v>
      </c>
      <c r="B8566" s="27" t="s">
        <v>34</v>
      </c>
      <c r="C8566" s="27" t="s">
        <v>50</v>
      </c>
      <c r="D8566" s="27" t="s">
        <v>6</v>
      </c>
      <c r="E8566" s="27" t="s">
        <v>40</v>
      </c>
      <c r="F8566" s="29"/>
      <c r="G8566" s="30">
        <v>169.73</v>
      </c>
    </row>
    <row r="8567" spans="1:7" hidden="1" x14ac:dyDescent="0.25">
      <c r="A8567" s="28">
        <v>44287</v>
      </c>
      <c r="B8567" s="27" t="s">
        <v>33</v>
      </c>
      <c r="C8567" s="27" t="s">
        <v>50</v>
      </c>
      <c r="D8567" s="27" t="s">
        <v>7</v>
      </c>
      <c r="E8567" s="27" t="s">
        <v>8</v>
      </c>
      <c r="F8567" s="29"/>
      <c r="G8567" s="30">
        <v>1995.3857142857141</v>
      </c>
    </row>
    <row r="8568" spans="1:7" hidden="1" x14ac:dyDescent="0.25">
      <c r="A8568" s="28">
        <v>44287</v>
      </c>
      <c r="B8568" s="27" t="s">
        <v>33</v>
      </c>
      <c r="C8568" s="27" t="s">
        <v>50</v>
      </c>
      <c r="D8568" s="27" t="s">
        <v>7</v>
      </c>
      <c r="E8568" s="27" t="s">
        <v>9</v>
      </c>
      <c r="F8568" s="29"/>
      <c r="G8568" s="30">
        <v>1995.3857142857141</v>
      </c>
    </row>
    <row r="8569" spans="1:7" hidden="1" x14ac:dyDescent="0.25">
      <c r="A8569" s="28">
        <v>44287</v>
      </c>
      <c r="B8569" s="27" t="s">
        <v>33</v>
      </c>
      <c r="C8569" s="27" t="s">
        <v>50</v>
      </c>
      <c r="D8569" s="27" t="s">
        <v>7</v>
      </c>
      <c r="E8569" s="27" t="s">
        <v>22</v>
      </c>
      <c r="F8569" s="29"/>
      <c r="G8569" s="30">
        <v>1995.3857142857141</v>
      </c>
    </row>
    <row r="8570" spans="1:7" hidden="1" x14ac:dyDescent="0.25">
      <c r="A8570" s="28">
        <v>44287</v>
      </c>
      <c r="B8570" s="27" t="s">
        <v>33</v>
      </c>
      <c r="C8570" s="27" t="s">
        <v>50</v>
      </c>
      <c r="D8570" s="27" t="s">
        <v>7</v>
      </c>
      <c r="E8570" s="27" t="s">
        <v>39</v>
      </c>
      <c r="F8570" s="29"/>
      <c r="G8570" s="30">
        <v>1995.3857142857141</v>
      </c>
    </row>
    <row r="8571" spans="1:7" hidden="1" x14ac:dyDescent="0.25">
      <c r="A8571" s="28">
        <v>44287</v>
      </c>
      <c r="B8571" s="27" t="s">
        <v>33</v>
      </c>
      <c r="C8571" s="27" t="s">
        <v>50</v>
      </c>
      <c r="D8571" s="27" t="s">
        <v>7</v>
      </c>
      <c r="E8571" s="27" t="s">
        <v>64</v>
      </c>
      <c r="F8571" s="29"/>
      <c r="G8571" s="30">
        <v>1995.3857142857141</v>
      </c>
    </row>
    <row r="8572" spans="1:7" hidden="1" x14ac:dyDescent="0.25">
      <c r="A8572" s="28">
        <v>44287</v>
      </c>
      <c r="B8572" s="27" t="s">
        <v>33</v>
      </c>
      <c r="C8572" s="27" t="s">
        <v>50</v>
      </c>
      <c r="D8572" s="27" t="s">
        <v>7</v>
      </c>
      <c r="E8572" s="27" t="s">
        <v>21</v>
      </c>
      <c r="F8572" s="29"/>
      <c r="G8572" s="30">
        <v>1995.3857142857141</v>
      </c>
    </row>
    <row r="8573" spans="1:7" hidden="1" x14ac:dyDescent="0.25">
      <c r="A8573" s="28">
        <v>44287</v>
      </c>
      <c r="B8573" s="27" t="s">
        <v>33</v>
      </c>
      <c r="C8573" s="27" t="s">
        <v>50</v>
      </c>
      <c r="D8573" s="27" t="s">
        <v>7</v>
      </c>
      <c r="E8573" s="27" t="s">
        <v>41</v>
      </c>
      <c r="F8573" s="29"/>
      <c r="G8573" s="30">
        <v>1995.3857142857141</v>
      </c>
    </row>
    <row r="8574" spans="1:7" hidden="1" x14ac:dyDescent="0.25">
      <c r="A8574" s="28">
        <v>44287</v>
      </c>
      <c r="B8574" s="27" t="s">
        <v>33</v>
      </c>
      <c r="C8574" s="27" t="s">
        <v>50</v>
      </c>
      <c r="D8574" s="27" t="s">
        <v>7</v>
      </c>
      <c r="E8574" s="27" t="s">
        <v>10</v>
      </c>
      <c r="F8574" s="29"/>
      <c r="G8574" s="30">
        <v>1995.3857142857141</v>
      </c>
    </row>
    <row r="8575" spans="1:7" hidden="1" x14ac:dyDescent="0.25">
      <c r="A8575" s="28">
        <v>44287</v>
      </c>
      <c r="B8575" s="27" t="s">
        <v>33</v>
      </c>
      <c r="C8575" s="27" t="s">
        <v>50</v>
      </c>
      <c r="D8575" s="27" t="s">
        <v>7</v>
      </c>
      <c r="E8575" s="27" t="s">
        <v>11</v>
      </c>
      <c r="F8575" s="29"/>
      <c r="G8575" s="30">
        <v>1995.3857142857141</v>
      </c>
    </row>
    <row r="8576" spans="1:7" hidden="1" x14ac:dyDescent="0.25">
      <c r="A8576" s="28">
        <v>44287</v>
      </c>
      <c r="B8576" s="27" t="s">
        <v>33</v>
      </c>
      <c r="C8576" s="27" t="s">
        <v>50</v>
      </c>
      <c r="D8576" s="27" t="s">
        <v>7</v>
      </c>
      <c r="E8576" s="27" t="s">
        <v>12</v>
      </c>
      <c r="F8576" s="29"/>
      <c r="G8576" s="30">
        <v>1995.3857142857141</v>
      </c>
    </row>
    <row r="8577" spans="1:7" hidden="1" x14ac:dyDescent="0.25">
      <c r="A8577" s="28">
        <v>44287</v>
      </c>
      <c r="B8577" s="27" t="s">
        <v>33</v>
      </c>
      <c r="C8577" s="27" t="s">
        <v>50</v>
      </c>
      <c r="D8577" s="27" t="s">
        <v>7</v>
      </c>
      <c r="E8577" s="27" t="s">
        <v>13</v>
      </c>
      <c r="F8577" s="29"/>
      <c r="G8577" s="30">
        <v>1995.3857142857141</v>
      </c>
    </row>
    <row r="8578" spans="1:7" hidden="1" x14ac:dyDescent="0.25">
      <c r="A8578" s="28">
        <v>44287</v>
      </c>
      <c r="B8578" s="27" t="s">
        <v>33</v>
      </c>
      <c r="C8578" s="27" t="s">
        <v>50</v>
      </c>
      <c r="D8578" s="27" t="s">
        <v>7</v>
      </c>
      <c r="E8578" s="27" t="s">
        <v>14</v>
      </c>
      <c r="F8578" s="29"/>
      <c r="G8578" s="30">
        <v>1995.3857142857141</v>
      </c>
    </row>
    <row r="8579" spans="1:7" hidden="1" x14ac:dyDescent="0.25">
      <c r="A8579" s="28">
        <v>44287</v>
      </c>
      <c r="B8579" s="27" t="s">
        <v>33</v>
      </c>
      <c r="C8579" s="27" t="s">
        <v>50</v>
      </c>
      <c r="D8579" s="27" t="s">
        <v>7</v>
      </c>
      <c r="E8579" s="27" t="s">
        <v>15</v>
      </c>
      <c r="F8579" s="29"/>
      <c r="G8579" s="30">
        <v>1995.3857142857141</v>
      </c>
    </row>
    <row r="8580" spans="1:7" hidden="1" x14ac:dyDescent="0.25">
      <c r="A8580" s="28">
        <v>44287</v>
      </c>
      <c r="B8580" s="27" t="s">
        <v>33</v>
      </c>
      <c r="C8580" s="27" t="s">
        <v>50</v>
      </c>
      <c r="D8580" s="27" t="s">
        <v>7</v>
      </c>
      <c r="E8580" s="27" t="s">
        <v>16</v>
      </c>
      <c r="F8580" s="29"/>
      <c r="G8580" s="30">
        <v>1995.3857142857141</v>
      </c>
    </row>
    <row r="8581" spans="1:7" hidden="1" x14ac:dyDescent="0.25">
      <c r="A8581" s="28">
        <v>44287</v>
      </c>
      <c r="B8581" s="27" t="s">
        <v>33</v>
      </c>
      <c r="C8581" s="27" t="s">
        <v>50</v>
      </c>
      <c r="D8581" s="27" t="s">
        <v>7</v>
      </c>
      <c r="E8581" s="27" t="s">
        <v>17</v>
      </c>
      <c r="F8581" s="29"/>
      <c r="G8581" s="30">
        <v>1995.3857142857141</v>
      </c>
    </row>
    <row r="8582" spans="1:7" hidden="1" x14ac:dyDescent="0.25">
      <c r="A8582" s="28">
        <v>44287</v>
      </c>
      <c r="B8582" s="27" t="s">
        <v>33</v>
      </c>
      <c r="C8582" s="27" t="s">
        <v>50</v>
      </c>
      <c r="D8582" s="27" t="s">
        <v>7</v>
      </c>
      <c r="E8582" s="27" t="s">
        <v>18</v>
      </c>
      <c r="F8582" s="29"/>
      <c r="G8582" s="30">
        <v>1995.3857142857141</v>
      </c>
    </row>
    <row r="8583" spans="1:7" hidden="1" x14ac:dyDescent="0.25">
      <c r="A8583" s="28">
        <v>44287</v>
      </c>
      <c r="B8583" s="27" t="s">
        <v>33</v>
      </c>
      <c r="C8583" s="27" t="s">
        <v>50</v>
      </c>
      <c r="D8583" s="27" t="s">
        <v>7</v>
      </c>
      <c r="E8583" s="27" t="s">
        <v>19</v>
      </c>
      <c r="F8583" s="29"/>
      <c r="G8583" s="30">
        <v>1995.3857142857141</v>
      </c>
    </row>
    <row r="8584" spans="1:7" hidden="1" x14ac:dyDescent="0.25">
      <c r="A8584" s="28">
        <v>44287</v>
      </c>
      <c r="B8584" s="27" t="s">
        <v>33</v>
      </c>
      <c r="C8584" s="27" t="s">
        <v>50</v>
      </c>
      <c r="D8584" s="27" t="s">
        <v>7</v>
      </c>
      <c r="E8584" s="27" t="s">
        <v>20</v>
      </c>
      <c r="F8584" s="29"/>
      <c r="G8584" s="30">
        <v>1995.3857142857141</v>
      </c>
    </row>
    <row r="8585" spans="1:7" hidden="1" x14ac:dyDescent="0.25">
      <c r="A8585" s="28">
        <v>44287</v>
      </c>
      <c r="B8585" s="27" t="s">
        <v>33</v>
      </c>
      <c r="C8585" s="27" t="s">
        <v>50</v>
      </c>
      <c r="D8585" s="27" t="s">
        <v>7</v>
      </c>
      <c r="E8585" s="27" t="s">
        <v>38</v>
      </c>
      <c r="F8585" s="29"/>
      <c r="G8585" s="30">
        <v>1995.3857142857141</v>
      </c>
    </row>
    <row r="8586" spans="1:7" hidden="1" x14ac:dyDescent="0.25">
      <c r="A8586" s="28">
        <v>44287</v>
      </c>
      <c r="B8586" s="27" t="s">
        <v>33</v>
      </c>
      <c r="C8586" s="27" t="s">
        <v>50</v>
      </c>
      <c r="D8586" s="27" t="s">
        <v>7</v>
      </c>
      <c r="E8586" s="27" t="s">
        <v>23</v>
      </c>
      <c r="F8586" s="29"/>
      <c r="G8586" s="30">
        <v>1995.3857142857141</v>
      </c>
    </row>
    <row r="8587" spans="1:7" hidden="1" x14ac:dyDescent="0.25">
      <c r="A8587" s="28">
        <v>44287</v>
      </c>
      <c r="B8587" s="27" t="s">
        <v>33</v>
      </c>
      <c r="C8587" s="27" t="s">
        <v>50</v>
      </c>
      <c r="D8587" s="27" t="s">
        <v>7</v>
      </c>
      <c r="E8587" s="27" t="s">
        <v>40</v>
      </c>
      <c r="F8587" s="29"/>
      <c r="G8587" s="30">
        <v>1995.3857142857141</v>
      </c>
    </row>
    <row r="8588" spans="1:7" hidden="1" x14ac:dyDescent="0.25">
      <c r="A8588" s="28">
        <v>44287</v>
      </c>
      <c r="B8588" s="27" t="s">
        <v>4</v>
      </c>
      <c r="C8588" s="27" t="s">
        <v>50</v>
      </c>
      <c r="D8588" s="27" t="s">
        <v>7</v>
      </c>
      <c r="E8588" s="27" t="s">
        <v>8</v>
      </c>
      <c r="F8588" s="29"/>
      <c r="G8588" s="30">
        <v>2934.06</v>
      </c>
    </row>
    <row r="8589" spans="1:7" hidden="1" x14ac:dyDescent="0.25">
      <c r="A8589" s="28">
        <v>44287</v>
      </c>
      <c r="B8589" s="27" t="s">
        <v>4</v>
      </c>
      <c r="C8589" s="27" t="s">
        <v>50</v>
      </c>
      <c r="D8589" s="27" t="s">
        <v>7</v>
      </c>
      <c r="E8589" s="27" t="s">
        <v>9</v>
      </c>
      <c r="F8589" s="29"/>
      <c r="G8589" s="30">
        <v>3780.25</v>
      </c>
    </row>
    <row r="8590" spans="1:7" hidden="1" x14ac:dyDescent="0.25">
      <c r="A8590" s="28">
        <v>44287</v>
      </c>
      <c r="B8590" s="27" t="s">
        <v>4</v>
      </c>
      <c r="C8590" s="27" t="s">
        <v>50</v>
      </c>
      <c r="D8590" s="27" t="s">
        <v>7</v>
      </c>
      <c r="E8590" s="27" t="s">
        <v>22</v>
      </c>
      <c r="F8590" s="29"/>
      <c r="G8590" s="30">
        <v>2984.51</v>
      </c>
    </row>
    <row r="8591" spans="1:7" hidden="1" x14ac:dyDescent="0.25">
      <c r="A8591" s="28">
        <v>44287</v>
      </c>
      <c r="B8591" s="27" t="s">
        <v>4</v>
      </c>
      <c r="C8591" s="27" t="s">
        <v>50</v>
      </c>
      <c r="D8591" s="27" t="s">
        <v>7</v>
      </c>
      <c r="E8591" s="27" t="s">
        <v>39</v>
      </c>
      <c r="F8591" s="29"/>
      <c r="G8591" s="30">
        <v>2861.66</v>
      </c>
    </row>
    <row r="8592" spans="1:7" hidden="1" x14ac:dyDescent="0.25">
      <c r="A8592" s="28">
        <v>44287</v>
      </c>
      <c r="B8592" s="27" t="s">
        <v>4</v>
      </c>
      <c r="C8592" s="27" t="s">
        <v>50</v>
      </c>
      <c r="D8592" s="27" t="s">
        <v>7</v>
      </c>
      <c r="E8592" s="27" t="s">
        <v>21</v>
      </c>
      <c r="F8592" s="29"/>
      <c r="G8592" s="30">
        <v>4346.2700000000004</v>
      </c>
    </row>
    <row r="8593" spans="1:7" hidden="1" x14ac:dyDescent="0.25">
      <c r="A8593" s="28">
        <v>44287</v>
      </c>
      <c r="B8593" s="27" t="s">
        <v>4</v>
      </c>
      <c r="C8593" s="27" t="s">
        <v>50</v>
      </c>
      <c r="D8593" s="27" t="s">
        <v>7</v>
      </c>
      <c r="E8593" s="27" t="s">
        <v>41</v>
      </c>
      <c r="F8593" s="29"/>
      <c r="G8593" s="30">
        <v>3038.01</v>
      </c>
    </row>
    <row r="8594" spans="1:7" hidden="1" x14ac:dyDescent="0.25">
      <c r="A8594" s="28">
        <v>44287</v>
      </c>
      <c r="B8594" s="27" t="s">
        <v>4</v>
      </c>
      <c r="C8594" s="27" t="s">
        <v>50</v>
      </c>
      <c r="D8594" s="27" t="s">
        <v>7</v>
      </c>
      <c r="E8594" s="27" t="s">
        <v>10</v>
      </c>
      <c r="F8594" s="29"/>
      <c r="G8594" s="30">
        <v>6443.25</v>
      </c>
    </row>
    <row r="8595" spans="1:7" hidden="1" x14ac:dyDescent="0.25">
      <c r="A8595" s="28">
        <v>44287</v>
      </c>
      <c r="B8595" s="27" t="s">
        <v>4</v>
      </c>
      <c r="C8595" s="27" t="s">
        <v>50</v>
      </c>
      <c r="D8595" s="27" t="s">
        <v>7</v>
      </c>
      <c r="E8595" s="27" t="s">
        <v>11</v>
      </c>
      <c r="F8595" s="29"/>
      <c r="G8595" s="30">
        <v>4855.28</v>
      </c>
    </row>
    <row r="8596" spans="1:7" hidden="1" x14ac:dyDescent="0.25">
      <c r="A8596" s="28">
        <v>44287</v>
      </c>
      <c r="B8596" s="27" t="s">
        <v>4</v>
      </c>
      <c r="C8596" s="27" t="s">
        <v>50</v>
      </c>
      <c r="D8596" s="27" t="s">
        <v>7</v>
      </c>
      <c r="E8596" s="27" t="s">
        <v>12</v>
      </c>
      <c r="F8596" s="29"/>
      <c r="G8596" s="30">
        <v>4261.12</v>
      </c>
    </row>
    <row r="8597" spans="1:7" hidden="1" x14ac:dyDescent="0.25">
      <c r="A8597" s="28">
        <v>44287</v>
      </c>
      <c r="B8597" s="27" t="s">
        <v>4</v>
      </c>
      <c r="C8597" s="27" t="s">
        <v>50</v>
      </c>
      <c r="D8597" s="27" t="s">
        <v>7</v>
      </c>
      <c r="E8597" s="27" t="s">
        <v>13</v>
      </c>
      <c r="F8597" s="29"/>
      <c r="G8597" s="30">
        <v>5791.57</v>
      </c>
    </row>
    <row r="8598" spans="1:7" hidden="1" x14ac:dyDescent="0.25">
      <c r="A8598" s="28">
        <v>44287</v>
      </c>
      <c r="B8598" s="27" t="s">
        <v>4</v>
      </c>
      <c r="C8598" s="27" t="s">
        <v>50</v>
      </c>
      <c r="D8598" s="27" t="s">
        <v>7</v>
      </c>
      <c r="E8598" s="27" t="s">
        <v>14</v>
      </c>
      <c r="F8598" s="29"/>
      <c r="G8598" s="30">
        <v>3515.17</v>
      </c>
    </row>
    <row r="8599" spans="1:7" hidden="1" x14ac:dyDescent="0.25">
      <c r="A8599" s="28">
        <v>44287</v>
      </c>
      <c r="B8599" s="27" t="s">
        <v>4</v>
      </c>
      <c r="C8599" s="27" t="s">
        <v>50</v>
      </c>
      <c r="D8599" s="27" t="s">
        <v>7</v>
      </c>
      <c r="E8599" s="27" t="s">
        <v>15</v>
      </c>
      <c r="F8599" s="29"/>
      <c r="G8599" s="30">
        <v>2856.39</v>
      </c>
    </row>
    <row r="8600" spans="1:7" hidden="1" x14ac:dyDescent="0.25">
      <c r="A8600" s="28">
        <v>44287</v>
      </c>
      <c r="B8600" s="27" t="s">
        <v>4</v>
      </c>
      <c r="C8600" s="27" t="s">
        <v>50</v>
      </c>
      <c r="D8600" s="27" t="s">
        <v>7</v>
      </c>
      <c r="E8600" s="27" t="s">
        <v>16</v>
      </c>
      <c r="F8600" s="29"/>
      <c r="G8600" s="30">
        <v>2708.63</v>
      </c>
    </row>
    <row r="8601" spans="1:7" hidden="1" x14ac:dyDescent="0.25">
      <c r="A8601" s="28">
        <v>44287</v>
      </c>
      <c r="B8601" s="27" t="s">
        <v>4</v>
      </c>
      <c r="C8601" s="27" t="s">
        <v>50</v>
      </c>
      <c r="D8601" s="27" t="s">
        <v>7</v>
      </c>
      <c r="E8601" s="27" t="s">
        <v>17</v>
      </c>
      <c r="F8601" s="29"/>
      <c r="G8601" s="30">
        <v>6946.23</v>
      </c>
    </row>
    <row r="8602" spans="1:7" hidden="1" x14ac:dyDescent="0.25">
      <c r="A8602" s="28">
        <v>44287</v>
      </c>
      <c r="B8602" s="27" t="s">
        <v>4</v>
      </c>
      <c r="C8602" s="27" t="s">
        <v>50</v>
      </c>
      <c r="D8602" s="27" t="s">
        <v>7</v>
      </c>
      <c r="E8602" s="27" t="s">
        <v>18</v>
      </c>
      <c r="F8602" s="29"/>
      <c r="G8602" s="30">
        <v>3685.36</v>
      </c>
    </row>
    <row r="8603" spans="1:7" hidden="1" x14ac:dyDescent="0.25">
      <c r="A8603" s="28">
        <v>44287</v>
      </c>
      <c r="B8603" s="27" t="s">
        <v>4</v>
      </c>
      <c r="C8603" s="27" t="s">
        <v>50</v>
      </c>
      <c r="D8603" s="27" t="s">
        <v>7</v>
      </c>
      <c r="E8603" s="27" t="s">
        <v>19</v>
      </c>
      <c r="F8603" s="29"/>
      <c r="G8603" s="30">
        <v>6169.07</v>
      </c>
    </row>
    <row r="8604" spans="1:7" hidden="1" x14ac:dyDescent="0.25">
      <c r="A8604" s="28">
        <v>44287</v>
      </c>
      <c r="B8604" s="27" t="s">
        <v>4</v>
      </c>
      <c r="C8604" s="27" t="s">
        <v>50</v>
      </c>
      <c r="D8604" s="27" t="s">
        <v>7</v>
      </c>
      <c r="E8604" s="27" t="s">
        <v>20</v>
      </c>
      <c r="F8604" s="29"/>
      <c r="G8604" s="30">
        <v>4969.25</v>
      </c>
    </row>
    <row r="8605" spans="1:7" hidden="1" x14ac:dyDescent="0.25">
      <c r="A8605" s="28">
        <v>44287</v>
      </c>
      <c r="B8605" s="27" t="s">
        <v>4</v>
      </c>
      <c r="C8605" s="27" t="s">
        <v>50</v>
      </c>
      <c r="D8605" s="27" t="s">
        <v>7</v>
      </c>
      <c r="E8605" s="27" t="s">
        <v>38</v>
      </c>
      <c r="F8605" s="29"/>
      <c r="G8605" s="30">
        <v>1999.4</v>
      </c>
    </row>
    <row r="8606" spans="1:7" hidden="1" x14ac:dyDescent="0.25">
      <c r="A8606" s="28">
        <v>44287</v>
      </c>
      <c r="B8606" s="27" t="s">
        <v>4</v>
      </c>
      <c r="C8606" s="27" t="s">
        <v>50</v>
      </c>
      <c r="D8606" s="27" t="s">
        <v>7</v>
      </c>
      <c r="E8606" s="27" t="s">
        <v>23</v>
      </c>
      <c r="F8606" s="29"/>
      <c r="G8606" s="30">
        <v>5421.07</v>
      </c>
    </row>
    <row r="8607" spans="1:7" hidden="1" x14ac:dyDescent="0.25">
      <c r="A8607" s="28">
        <v>44287</v>
      </c>
      <c r="B8607" s="27" t="s">
        <v>4</v>
      </c>
      <c r="C8607" s="27" t="s">
        <v>50</v>
      </c>
      <c r="D8607" s="27" t="s">
        <v>7</v>
      </c>
      <c r="E8607" s="27" t="s">
        <v>40</v>
      </c>
      <c r="F8607" s="29"/>
      <c r="G8607" s="30">
        <v>2606.2600000000002</v>
      </c>
    </row>
    <row r="8608" spans="1:7" hidden="1" x14ac:dyDescent="0.25">
      <c r="A8608" s="28">
        <v>44287</v>
      </c>
      <c r="B8608" s="27" t="s">
        <v>26</v>
      </c>
      <c r="C8608" s="27" t="s">
        <v>50</v>
      </c>
      <c r="D8608" s="27" t="s">
        <v>6</v>
      </c>
      <c r="E8608" s="27" t="s">
        <v>8</v>
      </c>
      <c r="F8608" s="29"/>
      <c r="G8608" s="30">
        <v>719.18234681218985</v>
      </c>
    </row>
    <row r="8609" spans="1:7" hidden="1" x14ac:dyDescent="0.25">
      <c r="A8609" s="28">
        <v>44287</v>
      </c>
      <c r="B8609" s="27" t="s">
        <v>26</v>
      </c>
      <c r="C8609" s="27" t="s">
        <v>50</v>
      </c>
      <c r="D8609" s="27" t="s">
        <v>6</v>
      </c>
      <c r="E8609" s="27" t="s">
        <v>9</v>
      </c>
      <c r="F8609" s="29"/>
      <c r="G8609" s="30">
        <v>1595.1320615825009</v>
      </c>
    </row>
    <row r="8610" spans="1:7" hidden="1" x14ac:dyDescent="0.25">
      <c r="A8610" s="28">
        <v>44287</v>
      </c>
      <c r="B8610" s="27" t="s">
        <v>26</v>
      </c>
      <c r="C8610" s="27" t="s">
        <v>50</v>
      </c>
      <c r="D8610" s="27" t="s">
        <v>6</v>
      </c>
      <c r="E8610" s="27" t="s">
        <v>22</v>
      </c>
      <c r="F8610" s="29"/>
      <c r="G8610" s="30">
        <v>2121.8036778000037</v>
      </c>
    </row>
    <row r="8611" spans="1:7" hidden="1" x14ac:dyDescent="0.25">
      <c r="A8611" s="28">
        <v>44287</v>
      </c>
      <c r="B8611" s="27" t="s">
        <v>26</v>
      </c>
      <c r="C8611" s="27" t="s">
        <v>50</v>
      </c>
      <c r="D8611" s="27" t="s">
        <v>6</v>
      </c>
      <c r="E8611" s="27" t="s">
        <v>39</v>
      </c>
      <c r="F8611" s="29"/>
      <c r="G8611" s="30">
        <v>1858.2521149872089</v>
      </c>
    </row>
    <row r="8612" spans="1:7" hidden="1" x14ac:dyDescent="0.25">
      <c r="A8612" s="28">
        <v>44287</v>
      </c>
      <c r="B8612" s="27" t="s">
        <v>26</v>
      </c>
      <c r="C8612" s="27" t="s">
        <v>50</v>
      </c>
      <c r="D8612" s="27" t="s">
        <v>6</v>
      </c>
      <c r="E8612" s="27" t="s">
        <v>64</v>
      </c>
      <c r="F8612" s="29"/>
      <c r="G8612" s="30">
        <v>1276.3329108875935</v>
      </c>
    </row>
    <row r="8613" spans="1:7" hidden="1" x14ac:dyDescent="0.25">
      <c r="A8613" s="28">
        <v>44287</v>
      </c>
      <c r="B8613" s="27" t="s">
        <v>26</v>
      </c>
      <c r="C8613" s="27" t="s">
        <v>50</v>
      </c>
      <c r="D8613" s="27" t="s">
        <v>6</v>
      </c>
      <c r="E8613" s="27" t="s">
        <v>21</v>
      </c>
      <c r="F8613" s="29"/>
      <c r="G8613" s="30">
        <v>1372.0704648952321</v>
      </c>
    </row>
    <row r="8614" spans="1:7" hidden="1" x14ac:dyDescent="0.25">
      <c r="A8614" s="28">
        <v>44287</v>
      </c>
      <c r="B8614" s="27" t="s">
        <v>26</v>
      </c>
      <c r="C8614" s="27" t="s">
        <v>50</v>
      </c>
      <c r="D8614" s="27" t="s">
        <v>6</v>
      </c>
      <c r="E8614" s="27" t="s">
        <v>41</v>
      </c>
      <c r="F8614" s="29"/>
      <c r="G8614" s="30">
        <v>1581.4819806400055</v>
      </c>
    </row>
    <row r="8615" spans="1:7" hidden="1" x14ac:dyDescent="0.25">
      <c r="A8615" s="28">
        <v>44287</v>
      </c>
      <c r="B8615" s="27" t="s">
        <v>26</v>
      </c>
      <c r="C8615" s="27" t="s">
        <v>50</v>
      </c>
      <c r="D8615" s="27" t="s">
        <v>6</v>
      </c>
      <c r="E8615" s="27" t="s">
        <v>10</v>
      </c>
      <c r="F8615" s="29"/>
      <c r="G8615" s="30">
        <v>2188.8314725228997</v>
      </c>
    </row>
    <row r="8616" spans="1:7" hidden="1" x14ac:dyDescent="0.25">
      <c r="A8616" s="28">
        <v>44287</v>
      </c>
      <c r="B8616" s="27" t="s">
        <v>26</v>
      </c>
      <c r="C8616" s="27" t="s">
        <v>50</v>
      </c>
      <c r="D8616" s="27" t="s">
        <v>6</v>
      </c>
      <c r="E8616" s="27" t="s">
        <v>11</v>
      </c>
      <c r="F8616" s="29"/>
      <c r="G8616" s="30">
        <v>1627.7110218930932</v>
      </c>
    </row>
    <row r="8617" spans="1:7" hidden="1" x14ac:dyDescent="0.25">
      <c r="A8617" s="28">
        <v>44287</v>
      </c>
      <c r="B8617" s="27" t="s">
        <v>26</v>
      </c>
      <c r="C8617" s="27" t="s">
        <v>50</v>
      </c>
      <c r="D8617" s="27" t="s">
        <v>6</v>
      </c>
      <c r="E8617" s="27" t="s">
        <v>12</v>
      </c>
      <c r="F8617" s="29"/>
      <c r="G8617" s="30">
        <v>1714.4875638594519</v>
      </c>
    </row>
    <row r="8618" spans="1:7" hidden="1" x14ac:dyDescent="0.25">
      <c r="A8618" s="28">
        <v>44287</v>
      </c>
      <c r="B8618" s="27" t="s">
        <v>26</v>
      </c>
      <c r="C8618" s="27" t="s">
        <v>50</v>
      </c>
      <c r="D8618" s="27" t="s">
        <v>6</v>
      </c>
      <c r="E8618" s="27" t="s">
        <v>13</v>
      </c>
      <c r="F8618" s="29"/>
      <c r="G8618" s="30">
        <v>1743.4562287890469</v>
      </c>
    </row>
    <row r="8619" spans="1:7" hidden="1" x14ac:dyDescent="0.25">
      <c r="A8619" s="28">
        <v>44287</v>
      </c>
      <c r="B8619" s="27" t="s">
        <v>26</v>
      </c>
      <c r="C8619" s="27" t="s">
        <v>50</v>
      </c>
      <c r="D8619" s="27" t="s">
        <v>6</v>
      </c>
      <c r="E8619" s="27" t="s">
        <v>14</v>
      </c>
      <c r="F8619" s="29"/>
      <c r="G8619" s="30">
        <v>561.68141286032039</v>
      </c>
    </row>
    <row r="8620" spans="1:7" hidden="1" x14ac:dyDescent="0.25">
      <c r="A8620" s="28">
        <v>44287</v>
      </c>
      <c r="B8620" s="27" t="s">
        <v>26</v>
      </c>
      <c r="C8620" s="27" t="s">
        <v>50</v>
      </c>
      <c r="D8620" s="27" t="s">
        <v>6</v>
      </c>
      <c r="E8620" s="27" t="s">
        <v>15</v>
      </c>
      <c r="F8620" s="29"/>
      <c r="G8620" s="30">
        <v>1903.4886846016955</v>
      </c>
    </row>
    <row r="8621" spans="1:7" hidden="1" x14ac:dyDescent="0.25">
      <c r="A8621" s="28">
        <v>44287</v>
      </c>
      <c r="B8621" s="27" t="s">
        <v>26</v>
      </c>
      <c r="C8621" s="27" t="s">
        <v>50</v>
      </c>
      <c r="D8621" s="27" t="s">
        <v>6</v>
      </c>
      <c r="E8621" s="27" t="s">
        <v>16</v>
      </c>
      <c r="F8621" s="29"/>
      <c r="G8621" s="30">
        <v>2154.0949651718715</v>
      </c>
    </row>
    <row r="8622" spans="1:7" hidden="1" x14ac:dyDescent="0.25">
      <c r="A8622" s="28">
        <v>44287</v>
      </c>
      <c r="B8622" s="27" t="s">
        <v>26</v>
      </c>
      <c r="C8622" s="27" t="s">
        <v>50</v>
      </c>
      <c r="D8622" s="27" t="s">
        <v>6</v>
      </c>
      <c r="E8622" s="27" t="s">
        <v>17</v>
      </c>
      <c r="F8622" s="29"/>
      <c r="G8622" s="30">
        <v>3135.6350321011482</v>
      </c>
    </row>
    <row r="8623" spans="1:7" hidden="1" x14ac:dyDescent="0.25">
      <c r="A8623" s="28">
        <v>44287</v>
      </c>
      <c r="B8623" s="27" t="s">
        <v>26</v>
      </c>
      <c r="C8623" s="27" t="s">
        <v>50</v>
      </c>
      <c r="D8623" s="27" t="s">
        <v>6</v>
      </c>
      <c r="E8623" s="27" t="s">
        <v>18</v>
      </c>
      <c r="F8623" s="29"/>
      <c r="G8623" s="30">
        <v>1603.690331509566</v>
      </c>
    </row>
    <row r="8624" spans="1:7" hidden="1" x14ac:dyDescent="0.25">
      <c r="A8624" s="28">
        <v>44287</v>
      </c>
      <c r="B8624" s="27" t="s">
        <v>26</v>
      </c>
      <c r="C8624" s="27" t="s">
        <v>50</v>
      </c>
      <c r="D8624" s="27" t="s">
        <v>6</v>
      </c>
      <c r="E8624" s="27" t="s">
        <v>19</v>
      </c>
      <c r="F8624" s="29"/>
      <c r="G8624" s="30">
        <v>2421.1417541901737</v>
      </c>
    </row>
    <row r="8625" spans="1:7" hidden="1" x14ac:dyDescent="0.25">
      <c r="A8625" s="28">
        <v>44287</v>
      </c>
      <c r="B8625" s="27" t="s">
        <v>26</v>
      </c>
      <c r="C8625" s="27" t="s">
        <v>50</v>
      </c>
      <c r="D8625" s="27" t="s">
        <v>6</v>
      </c>
      <c r="E8625" s="27" t="s">
        <v>20</v>
      </c>
      <c r="F8625" s="29"/>
      <c r="G8625" s="30">
        <v>1946.4814052941281</v>
      </c>
    </row>
    <row r="8626" spans="1:7" hidden="1" x14ac:dyDescent="0.25">
      <c r="A8626" s="28">
        <v>44287</v>
      </c>
      <c r="B8626" s="27" t="s">
        <v>26</v>
      </c>
      <c r="C8626" s="27" t="s">
        <v>50</v>
      </c>
      <c r="D8626" s="27" t="s">
        <v>6</v>
      </c>
      <c r="E8626" s="27" t="s">
        <v>38</v>
      </c>
      <c r="F8626" s="29"/>
      <c r="G8626" s="30">
        <v>760.63601728244464</v>
      </c>
    </row>
    <row r="8627" spans="1:7" hidden="1" x14ac:dyDescent="0.25">
      <c r="A8627" s="28">
        <v>44287</v>
      </c>
      <c r="B8627" s="27" t="s">
        <v>26</v>
      </c>
      <c r="C8627" s="27" t="s">
        <v>50</v>
      </c>
      <c r="D8627" s="27" t="s">
        <v>6</v>
      </c>
      <c r="E8627" s="27" t="s">
        <v>23</v>
      </c>
      <c r="F8627" s="29"/>
      <c r="G8627" s="30">
        <v>2589.0564485238838</v>
      </c>
    </row>
    <row r="8628" spans="1:7" hidden="1" x14ac:dyDescent="0.25">
      <c r="A8628" s="28">
        <v>44287</v>
      </c>
      <c r="B8628" s="27" t="s">
        <v>26</v>
      </c>
      <c r="C8628" s="27" t="s">
        <v>50</v>
      </c>
      <c r="D8628" s="27" t="s">
        <v>6</v>
      </c>
      <c r="E8628" s="27" t="s">
        <v>40</v>
      </c>
      <c r="F8628" s="29"/>
      <c r="G8628" s="30">
        <v>834.25152230214019</v>
      </c>
    </row>
    <row r="8629" spans="1:7" hidden="1" x14ac:dyDescent="0.25">
      <c r="A8629" s="28">
        <v>44287</v>
      </c>
      <c r="B8629" s="27" t="s">
        <v>26</v>
      </c>
      <c r="C8629" s="27" t="s">
        <v>50</v>
      </c>
      <c r="D8629" s="27" t="s">
        <v>6</v>
      </c>
      <c r="E8629" s="27" t="s">
        <v>37</v>
      </c>
      <c r="F8629" s="29"/>
      <c r="G8629" s="30">
        <v>791.10058149340887</v>
      </c>
    </row>
    <row r="8630" spans="1:7" hidden="1" x14ac:dyDescent="0.25">
      <c r="A8630" s="28">
        <v>44287</v>
      </c>
      <c r="B8630" s="27" t="s">
        <v>3</v>
      </c>
      <c r="C8630" s="27" t="s">
        <v>50</v>
      </c>
      <c r="D8630" s="27" t="s">
        <v>7</v>
      </c>
      <c r="E8630" s="27" t="s">
        <v>8</v>
      </c>
      <c r="F8630" s="29"/>
      <c r="G8630" s="30">
        <v>650.98285714285714</v>
      </c>
    </row>
    <row r="8631" spans="1:7" hidden="1" x14ac:dyDescent="0.25">
      <c r="A8631" s="28">
        <v>44287</v>
      </c>
      <c r="B8631" s="27" t="s">
        <v>3</v>
      </c>
      <c r="C8631" s="27" t="s">
        <v>50</v>
      </c>
      <c r="D8631" s="27" t="s">
        <v>7</v>
      </c>
      <c r="E8631" s="27" t="s">
        <v>9</v>
      </c>
      <c r="F8631" s="29"/>
      <c r="G8631" s="30">
        <v>650.98285714285714</v>
      </c>
    </row>
    <row r="8632" spans="1:7" hidden="1" x14ac:dyDescent="0.25">
      <c r="A8632" s="28">
        <v>44287</v>
      </c>
      <c r="B8632" s="27" t="s">
        <v>3</v>
      </c>
      <c r="C8632" s="27" t="s">
        <v>50</v>
      </c>
      <c r="D8632" s="27" t="s">
        <v>7</v>
      </c>
      <c r="E8632" s="27" t="s">
        <v>22</v>
      </c>
      <c r="F8632" s="29"/>
      <c r="G8632" s="30">
        <v>650.98285714285714</v>
      </c>
    </row>
    <row r="8633" spans="1:7" hidden="1" x14ac:dyDescent="0.25">
      <c r="A8633" s="28">
        <v>44287</v>
      </c>
      <c r="B8633" s="27" t="s">
        <v>3</v>
      </c>
      <c r="C8633" s="27" t="s">
        <v>50</v>
      </c>
      <c r="D8633" s="27" t="s">
        <v>7</v>
      </c>
      <c r="E8633" s="27" t="s">
        <v>39</v>
      </c>
      <c r="F8633" s="29"/>
      <c r="G8633" s="30">
        <v>650.98285714285714</v>
      </c>
    </row>
    <row r="8634" spans="1:7" hidden="1" x14ac:dyDescent="0.25">
      <c r="A8634" s="28">
        <v>44287</v>
      </c>
      <c r="B8634" s="27" t="s">
        <v>3</v>
      </c>
      <c r="C8634" s="27" t="s">
        <v>50</v>
      </c>
      <c r="D8634" s="27" t="s">
        <v>7</v>
      </c>
      <c r="E8634" s="27" t="s">
        <v>64</v>
      </c>
      <c r="F8634" s="29"/>
      <c r="G8634" s="30">
        <v>650.98285714285714</v>
      </c>
    </row>
    <row r="8635" spans="1:7" hidden="1" x14ac:dyDescent="0.25">
      <c r="A8635" s="28">
        <v>44287</v>
      </c>
      <c r="B8635" s="27" t="s">
        <v>3</v>
      </c>
      <c r="C8635" s="27" t="s">
        <v>50</v>
      </c>
      <c r="D8635" s="27" t="s">
        <v>7</v>
      </c>
      <c r="E8635" s="27" t="s">
        <v>21</v>
      </c>
      <c r="F8635" s="29"/>
      <c r="G8635" s="30">
        <v>650.98285714285714</v>
      </c>
    </row>
    <row r="8636" spans="1:7" hidden="1" x14ac:dyDescent="0.25">
      <c r="A8636" s="28">
        <v>44287</v>
      </c>
      <c r="B8636" s="27" t="s">
        <v>3</v>
      </c>
      <c r="C8636" s="27" t="s">
        <v>50</v>
      </c>
      <c r="D8636" s="27" t="s">
        <v>7</v>
      </c>
      <c r="E8636" s="27" t="s">
        <v>41</v>
      </c>
      <c r="F8636" s="29"/>
      <c r="G8636" s="30">
        <v>650.98285714285714</v>
      </c>
    </row>
    <row r="8637" spans="1:7" hidden="1" x14ac:dyDescent="0.25">
      <c r="A8637" s="28">
        <v>44287</v>
      </c>
      <c r="B8637" s="27" t="s">
        <v>3</v>
      </c>
      <c r="C8637" s="27" t="s">
        <v>50</v>
      </c>
      <c r="D8637" s="27" t="s">
        <v>7</v>
      </c>
      <c r="E8637" s="27" t="s">
        <v>10</v>
      </c>
      <c r="F8637" s="29"/>
      <c r="G8637" s="30">
        <v>650.98285714285714</v>
      </c>
    </row>
    <row r="8638" spans="1:7" hidden="1" x14ac:dyDescent="0.25">
      <c r="A8638" s="28">
        <v>44287</v>
      </c>
      <c r="B8638" s="27" t="s">
        <v>3</v>
      </c>
      <c r="C8638" s="27" t="s">
        <v>50</v>
      </c>
      <c r="D8638" s="27" t="s">
        <v>7</v>
      </c>
      <c r="E8638" s="27" t="s">
        <v>11</v>
      </c>
      <c r="F8638" s="29"/>
      <c r="G8638" s="30">
        <v>650.98285714285714</v>
      </c>
    </row>
    <row r="8639" spans="1:7" hidden="1" x14ac:dyDescent="0.25">
      <c r="A8639" s="28">
        <v>44287</v>
      </c>
      <c r="B8639" s="27" t="s">
        <v>3</v>
      </c>
      <c r="C8639" s="27" t="s">
        <v>50</v>
      </c>
      <c r="D8639" s="27" t="s">
        <v>7</v>
      </c>
      <c r="E8639" s="27" t="s">
        <v>12</v>
      </c>
      <c r="F8639" s="29"/>
      <c r="G8639" s="30">
        <v>650.98285714285714</v>
      </c>
    </row>
    <row r="8640" spans="1:7" hidden="1" x14ac:dyDescent="0.25">
      <c r="A8640" s="28">
        <v>44287</v>
      </c>
      <c r="B8640" s="27" t="s">
        <v>3</v>
      </c>
      <c r="C8640" s="27" t="s">
        <v>50</v>
      </c>
      <c r="D8640" s="27" t="s">
        <v>7</v>
      </c>
      <c r="E8640" s="27" t="s">
        <v>13</v>
      </c>
      <c r="F8640" s="29"/>
      <c r="G8640" s="30">
        <v>650.98285714285714</v>
      </c>
    </row>
    <row r="8641" spans="1:7" hidden="1" x14ac:dyDescent="0.25">
      <c r="A8641" s="28">
        <v>44287</v>
      </c>
      <c r="B8641" s="27" t="s">
        <v>3</v>
      </c>
      <c r="C8641" s="27" t="s">
        <v>50</v>
      </c>
      <c r="D8641" s="27" t="s">
        <v>7</v>
      </c>
      <c r="E8641" s="27" t="s">
        <v>14</v>
      </c>
      <c r="F8641" s="29"/>
      <c r="G8641" s="30">
        <v>650.98285714285714</v>
      </c>
    </row>
    <row r="8642" spans="1:7" hidden="1" x14ac:dyDescent="0.25">
      <c r="A8642" s="28">
        <v>44287</v>
      </c>
      <c r="B8642" s="27" t="s">
        <v>3</v>
      </c>
      <c r="C8642" s="27" t="s">
        <v>50</v>
      </c>
      <c r="D8642" s="27" t="s">
        <v>7</v>
      </c>
      <c r="E8642" s="27" t="s">
        <v>15</v>
      </c>
      <c r="F8642" s="29"/>
      <c r="G8642" s="30">
        <v>650.98285714285714</v>
      </c>
    </row>
    <row r="8643" spans="1:7" hidden="1" x14ac:dyDescent="0.25">
      <c r="A8643" s="28">
        <v>44287</v>
      </c>
      <c r="B8643" s="27" t="s">
        <v>3</v>
      </c>
      <c r="C8643" s="27" t="s">
        <v>50</v>
      </c>
      <c r="D8643" s="27" t="s">
        <v>7</v>
      </c>
      <c r="E8643" s="27" t="s">
        <v>16</v>
      </c>
      <c r="F8643" s="29"/>
      <c r="G8643" s="30">
        <v>650.98285714285714</v>
      </c>
    </row>
    <row r="8644" spans="1:7" hidden="1" x14ac:dyDescent="0.25">
      <c r="A8644" s="28">
        <v>44287</v>
      </c>
      <c r="B8644" s="27" t="s">
        <v>3</v>
      </c>
      <c r="C8644" s="27" t="s">
        <v>50</v>
      </c>
      <c r="D8644" s="27" t="s">
        <v>7</v>
      </c>
      <c r="E8644" s="27" t="s">
        <v>17</v>
      </c>
      <c r="F8644" s="29"/>
      <c r="G8644" s="30">
        <v>650.98285714285714</v>
      </c>
    </row>
    <row r="8645" spans="1:7" hidden="1" x14ac:dyDescent="0.25">
      <c r="A8645" s="28">
        <v>44287</v>
      </c>
      <c r="B8645" s="27" t="s">
        <v>3</v>
      </c>
      <c r="C8645" s="27" t="s">
        <v>50</v>
      </c>
      <c r="D8645" s="27" t="s">
        <v>7</v>
      </c>
      <c r="E8645" s="27" t="s">
        <v>18</v>
      </c>
      <c r="F8645" s="29"/>
      <c r="G8645" s="30">
        <v>650.98285714285714</v>
      </c>
    </row>
    <row r="8646" spans="1:7" hidden="1" x14ac:dyDescent="0.25">
      <c r="A8646" s="28">
        <v>44287</v>
      </c>
      <c r="B8646" s="27" t="s">
        <v>3</v>
      </c>
      <c r="C8646" s="27" t="s">
        <v>50</v>
      </c>
      <c r="D8646" s="27" t="s">
        <v>7</v>
      </c>
      <c r="E8646" s="27" t="s">
        <v>19</v>
      </c>
      <c r="F8646" s="29"/>
      <c r="G8646" s="30">
        <v>650.98285714285714</v>
      </c>
    </row>
    <row r="8647" spans="1:7" hidden="1" x14ac:dyDescent="0.25">
      <c r="A8647" s="28">
        <v>44287</v>
      </c>
      <c r="B8647" s="27" t="s">
        <v>3</v>
      </c>
      <c r="C8647" s="27" t="s">
        <v>50</v>
      </c>
      <c r="D8647" s="27" t="s">
        <v>7</v>
      </c>
      <c r="E8647" s="27" t="s">
        <v>20</v>
      </c>
      <c r="F8647" s="29"/>
      <c r="G8647" s="30">
        <v>650.98285714285714</v>
      </c>
    </row>
    <row r="8648" spans="1:7" hidden="1" x14ac:dyDescent="0.25">
      <c r="A8648" s="28">
        <v>44287</v>
      </c>
      <c r="B8648" s="27" t="s">
        <v>3</v>
      </c>
      <c r="C8648" s="27" t="s">
        <v>50</v>
      </c>
      <c r="D8648" s="27" t="s">
        <v>7</v>
      </c>
      <c r="E8648" s="27" t="s">
        <v>38</v>
      </c>
      <c r="F8648" s="29"/>
      <c r="G8648" s="30">
        <v>650.98285714285714</v>
      </c>
    </row>
    <row r="8649" spans="1:7" hidden="1" x14ac:dyDescent="0.25">
      <c r="A8649" s="28">
        <v>44287</v>
      </c>
      <c r="B8649" s="27" t="s">
        <v>3</v>
      </c>
      <c r="C8649" s="27" t="s">
        <v>50</v>
      </c>
      <c r="D8649" s="27" t="s">
        <v>7</v>
      </c>
      <c r="E8649" s="27" t="s">
        <v>23</v>
      </c>
      <c r="F8649" s="29"/>
      <c r="G8649" s="30">
        <v>650.98285714285714</v>
      </c>
    </row>
    <row r="8650" spans="1:7" hidden="1" x14ac:dyDescent="0.25">
      <c r="A8650" s="28">
        <v>44287</v>
      </c>
      <c r="B8650" s="27" t="s">
        <v>3</v>
      </c>
      <c r="C8650" s="27" t="s">
        <v>50</v>
      </c>
      <c r="D8650" s="27" t="s">
        <v>7</v>
      </c>
      <c r="E8650" s="27" t="s">
        <v>40</v>
      </c>
      <c r="F8650" s="29"/>
      <c r="G8650" s="30">
        <v>650.98285714285714</v>
      </c>
    </row>
    <row r="8651" spans="1:7" hidden="1" x14ac:dyDescent="0.25">
      <c r="A8651" s="28">
        <v>44287</v>
      </c>
      <c r="B8651" s="27" t="s">
        <v>179</v>
      </c>
      <c r="C8651" s="27" t="s">
        <v>50</v>
      </c>
      <c r="D8651" s="27" t="s">
        <v>6</v>
      </c>
      <c r="E8651" s="27" t="s">
        <v>8</v>
      </c>
      <c r="F8651" s="29"/>
      <c r="G8651" s="30">
        <v>54.168999999999997</v>
      </c>
    </row>
    <row r="8652" spans="1:7" hidden="1" x14ac:dyDescent="0.25">
      <c r="A8652" s="28">
        <v>44287</v>
      </c>
      <c r="B8652" s="27" t="s">
        <v>179</v>
      </c>
      <c r="C8652" s="27" t="s">
        <v>50</v>
      </c>
      <c r="D8652" s="27" t="s">
        <v>6</v>
      </c>
      <c r="E8652" s="27" t="s">
        <v>9</v>
      </c>
      <c r="F8652" s="29"/>
      <c r="G8652" s="30">
        <v>71.931666000000007</v>
      </c>
    </row>
    <row r="8653" spans="1:7" hidden="1" x14ac:dyDescent="0.25">
      <c r="A8653" s="28">
        <v>44287</v>
      </c>
      <c r="B8653" s="27" t="s">
        <v>179</v>
      </c>
      <c r="C8653" s="27" t="s">
        <v>50</v>
      </c>
      <c r="D8653" s="27" t="s">
        <v>6</v>
      </c>
      <c r="E8653" s="27" t="s">
        <v>22</v>
      </c>
      <c r="F8653" s="29"/>
      <c r="G8653" s="30">
        <v>95.266666000000001</v>
      </c>
    </row>
    <row r="8654" spans="1:7" hidden="1" x14ac:dyDescent="0.25">
      <c r="A8654" s="28">
        <v>44287</v>
      </c>
      <c r="B8654" s="27" t="s">
        <v>179</v>
      </c>
      <c r="C8654" s="27" t="s">
        <v>50</v>
      </c>
      <c r="D8654" s="27" t="s">
        <v>6</v>
      </c>
      <c r="E8654" s="27" t="s">
        <v>39</v>
      </c>
      <c r="F8654" s="29"/>
      <c r="G8654" s="30">
        <v>72.42</v>
      </c>
    </row>
    <row r="8655" spans="1:7" hidden="1" x14ac:dyDescent="0.25">
      <c r="A8655" s="28">
        <v>44287</v>
      </c>
      <c r="B8655" s="27" t="s">
        <v>179</v>
      </c>
      <c r="C8655" s="27" t="s">
        <v>50</v>
      </c>
      <c r="D8655" s="27" t="s">
        <v>6</v>
      </c>
      <c r="E8655" s="27" t="s">
        <v>21</v>
      </c>
      <c r="F8655" s="29"/>
      <c r="G8655" s="30">
        <v>66.441665999999998</v>
      </c>
    </row>
    <row r="8656" spans="1:7" hidden="1" x14ac:dyDescent="0.25">
      <c r="A8656" s="28">
        <v>44287</v>
      </c>
      <c r="B8656" s="27" t="s">
        <v>179</v>
      </c>
      <c r="C8656" s="27" t="s">
        <v>50</v>
      </c>
      <c r="D8656" s="27" t="s">
        <v>6</v>
      </c>
      <c r="E8656" s="27" t="s">
        <v>41</v>
      </c>
      <c r="F8656" s="29"/>
      <c r="G8656" s="30">
        <v>71.509165999999993</v>
      </c>
    </row>
    <row r="8657" spans="1:7" hidden="1" x14ac:dyDescent="0.25">
      <c r="A8657" s="28">
        <v>44287</v>
      </c>
      <c r="B8657" s="27" t="s">
        <v>179</v>
      </c>
      <c r="C8657" s="27" t="s">
        <v>50</v>
      </c>
      <c r="D8657" s="27" t="s">
        <v>6</v>
      </c>
      <c r="E8657" s="27" t="s">
        <v>10</v>
      </c>
      <c r="F8657" s="29"/>
      <c r="G8657" s="30">
        <v>86.698999999999998</v>
      </c>
    </row>
    <row r="8658" spans="1:7" hidden="1" x14ac:dyDescent="0.25">
      <c r="A8658" s="28">
        <v>44287</v>
      </c>
      <c r="B8658" s="27" t="s">
        <v>179</v>
      </c>
      <c r="C8658" s="27" t="s">
        <v>50</v>
      </c>
      <c r="D8658" s="27" t="s">
        <v>6</v>
      </c>
      <c r="E8658" s="27" t="s">
        <v>11</v>
      </c>
      <c r="F8658" s="29"/>
      <c r="G8658" s="30">
        <v>65.566665999999998</v>
      </c>
    </row>
    <row r="8659" spans="1:7" hidden="1" x14ac:dyDescent="0.25">
      <c r="A8659" s="28">
        <v>44287</v>
      </c>
      <c r="B8659" s="27" t="s">
        <v>179</v>
      </c>
      <c r="C8659" s="27" t="s">
        <v>50</v>
      </c>
      <c r="D8659" s="27" t="s">
        <v>6</v>
      </c>
      <c r="E8659" s="27" t="s">
        <v>12</v>
      </c>
      <c r="F8659" s="29"/>
      <c r="G8659" s="30">
        <v>67.331665999999998</v>
      </c>
    </row>
    <row r="8660" spans="1:7" hidden="1" x14ac:dyDescent="0.25">
      <c r="A8660" s="28">
        <v>44287</v>
      </c>
      <c r="B8660" s="27" t="s">
        <v>179</v>
      </c>
      <c r="C8660" s="27" t="s">
        <v>50</v>
      </c>
      <c r="D8660" s="27" t="s">
        <v>6</v>
      </c>
      <c r="E8660" s="27" t="s">
        <v>13</v>
      </c>
      <c r="F8660" s="29"/>
      <c r="G8660" s="30">
        <v>93.319165999999996</v>
      </c>
    </row>
    <row r="8661" spans="1:7" hidden="1" x14ac:dyDescent="0.25">
      <c r="A8661" s="28">
        <v>44287</v>
      </c>
      <c r="B8661" s="27" t="s">
        <v>179</v>
      </c>
      <c r="C8661" s="27" t="s">
        <v>50</v>
      </c>
      <c r="D8661" s="27" t="s">
        <v>6</v>
      </c>
      <c r="E8661" s="27" t="s">
        <v>14</v>
      </c>
      <c r="F8661" s="29"/>
      <c r="G8661" s="30">
        <v>79.181666000000007</v>
      </c>
    </row>
    <row r="8662" spans="1:7" hidden="1" x14ac:dyDescent="0.25">
      <c r="A8662" s="28">
        <v>44287</v>
      </c>
      <c r="B8662" s="27" t="s">
        <v>179</v>
      </c>
      <c r="C8662" s="27" t="s">
        <v>50</v>
      </c>
      <c r="D8662" s="27" t="s">
        <v>6</v>
      </c>
      <c r="E8662" s="27" t="s">
        <v>15</v>
      </c>
      <c r="F8662" s="29"/>
      <c r="G8662" s="30">
        <v>90.084165999999996</v>
      </c>
    </row>
    <row r="8663" spans="1:7" hidden="1" x14ac:dyDescent="0.25">
      <c r="A8663" s="28">
        <v>44287</v>
      </c>
      <c r="B8663" s="27" t="s">
        <v>179</v>
      </c>
      <c r="C8663" s="27" t="s">
        <v>50</v>
      </c>
      <c r="D8663" s="27" t="s">
        <v>6</v>
      </c>
      <c r="E8663" s="27" t="s">
        <v>16</v>
      </c>
      <c r="F8663" s="29"/>
      <c r="G8663" s="30">
        <v>91.176665999999997</v>
      </c>
    </row>
    <row r="8664" spans="1:7" hidden="1" x14ac:dyDescent="0.25">
      <c r="A8664" s="28">
        <v>44287</v>
      </c>
      <c r="B8664" s="27" t="s">
        <v>179</v>
      </c>
      <c r="C8664" s="27" t="s">
        <v>50</v>
      </c>
      <c r="D8664" s="27" t="s">
        <v>6</v>
      </c>
      <c r="E8664" s="27" t="s">
        <v>17</v>
      </c>
      <c r="F8664" s="29"/>
      <c r="G8664" s="30">
        <v>142.004166</v>
      </c>
    </row>
    <row r="8665" spans="1:7" hidden="1" x14ac:dyDescent="0.25">
      <c r="A8665" s="28">
        <v>44287</v>
      </c>
      <c r="B8665" s="27" t="s">
        <v>179</v>
      </c>
      <c r="C8665" s="27" t="s">
        <v>50</v>
      </c>
      <c r="D8665" s="27" t="s">
        <v>6</v>
      </c>
      <c r="E8665" s="27" t="s">
        <v>18</v>
      </c>
      <c r="F8665" s="29"/>
      <c r="G8665" s="30">
        <v>183.16666599999999</v>
      </c>
    </row>
    <row r="8666" spans="1:7" hidden="1" x14ac:dyDescent="0.25">
      <c r="A8666" s="28">
        <v>44287</v>
      </c>
      <c r="B8666" s="27" t="s">
        <v>179</v>
      </c>
      <c r="C8666" s="27" t="s">
        <v>50</v>
      </c>
      <c r="D8666" s="27" t="s">
        <v>6</v>
      </c>
      <c r="E8666" s="27" t="s">
        <v>19</v>
      </c>
      <c r="F8666" s="29"/>
      <c r="G8666" s="30">
        <v>120.299166</v>
      </c>
    </row>
    <row r="8667" spans="1:7" hidden="1" x14ac:dyDescent="0.25">
      <c r="A8667" s="28">
        <v>44287</v>
      </c>
      <c r="B8667" s="27" t="s">
        <v>179</v>
      </c>
      <c r="C8667" s="27" t="s">
        <v>50</v>
      </c>
      <c r="D8667" s="27" t="s">
        <v>6</v>
      </c>
      <c r="E8667" s="27" t="s">
        <v>20</v>
      </c>
      <c r="F8667" s="29"/>
      <c r="G8667" s="30">
        <v>231.341666</v>
      </c>
    </row>
    <row r="8668" spans="1:7" hidden="1" x14ac:dyDescent="0.25">
      <c r="A8668" s="28">
        <v>44287</v>
      </c>
      <c r="B8668" s="27" t="s">
        <v>179</v>
      </c>
      <c r="C8668" s="27" t="s">
        <v>50</v>
      </c>
      <c r="D8668" s="27" t="s">
        <v>6</v>
      </c>
      <c r="E8668" s="27" t="s">
        <v>38</v>
      </c>
      <c r="F8668" s="29"/>
      <c r="G8668" s="30">
        <v>99.366665999999995</v>
      </c>
    </row>
    <row r="8669" spans="1:7" hidden="1" x14ac:dyDescent="0.25">
      <c r="A8669" s="28">
        <v>44287</v>
      </c>
      <c r="B8669" s="27" t="s">
        <v>179</v>
      </c>
      <c r="C8669" s="27" t="s">
        <v>50</v>
      </c>
      <c r="D8669" s="27" t="s">
        <v>6</v>
      </c>
      <c r="E8669" s="27" t="s">
        <v>23</v>
      </c>
      <c r="F8669" s="29"/>
      <c r="G8669" s="30">
        <v>131.48916600000001</v>
      </c>
    </row>
    <row r="8670" spans="1:7" hidden="1" x14ac:dyDescent="0.25">
      <c r="A8670" s="28">
        <v>44287</v>
      </c>
      <c r="B8670" s="27" t="s">
        <v>179</v>
      </c>
      <c r="C8670" s="27" t="s">
        <v>50</v>
      </c>
      <c r="D8670" s="27" t="s">
        <v>6</v>
      </c>
      <c r="E8670" s="27" t="s">
        <v>40</v>
      </c>
      <c r="F8670" s="29"/>
      <c r="G8670" s="30">
        <v>130.52416600000001</v>
      </c>
    </row>
    <row r="8671" spans="1:7" hidden="1" x14ac:dyDescent="0.25">
      <c r="A8671" s="28">
        <v>44287</v>
      </c>
      <c r="B8671" s="27" t="s">
        <v>32</v>
      </c>
      <c r="C8671" s="27" t="s">
        <v>50</v>
      </c>
      <c r="D8671" s="27" t="s">
        <v>7</v>
      </c>
      <c r="E8671" s="27" t="s">
        <v>10</v>
      </c>
      <c r="F8671" s="29"/>
      <c r="G8671" s="30">
        <v>50</v>
      </c>
    </row>
    <row r="8672" spans="1:7" hidden="1" x14ac:dyDescent="0.25">
      <c r="A8672" s="28">
        <v>44287</v>
      </c>
      <c r="B8672" s="27" t="s">
        <v>32</v>
      </c>
      <c r="C8672" s="27" t="s">
        <v>50</v>
      </c>
      <c r="D8672" s="27" t="s">
        <v>7</v>
      </c>
      <c r="E8672" s="27" t="s">
        <v>17</v>
      </c>
      <c r="F8672" s="29"/>
      <c r="G8672" s="30">
        <v>50</v>
      </c>
    </row>
    <row r="8673" spans="1:7" hidden="1" x14ac:dyDescent="0.25">
      <c r="A8673" s="28">
        <v>44287</v>
      </c>
      <c r="B8673" s="27" t="s">
        <v>5</v>
      </c>
      <c r="C8673" s="27" t="s">
        <v>51</v>
      </c>
      <c r="D8673" s="27" t="s">
        <v>51</v>
      </c>
      <c r="E8673" s="27" t="s">
        <v>8</v>
      </c>
      <c r="F8673" s="29">
        <v>2196</v>
      </c>
      <c r="G8673" s="30">
        <v>4.8414762399829989</v>
      </c>
    </row>
    <row r="8674" spans="1:7" hidden="1" x14ac:dyDescent="0.25">
      <c r="A8674" s="28">
        <v>44287</v>
      </c>
      <c r="B8674" s="27" t="s">
        <v>5</v>
      </c>
      <c r="C8674" s="27" t="s">
        <v>51</v>
      </c>
      <c r="D8674" s="27" t="s">
        <v>51</v>
      </c>
      <c r="E8674" s="27" t="s">
        <v>9</v>
      </c>
      <c r="F8674" s="29">
        <v>3183</v>
      </c>
      <c r="G8674" s="30">
        <v>3.8764417856654028</v>
      </c>
    </row>
    <row r="8675" spans="1:7" hidden="1" x14ac:dyDescent="0.25">
      <c r="A8675" s="28">
        <v>44287</v>
      </c>
      <c r="B8675" s="27" t="s">
        <v>5</v>
      </c>
      <c r="C8675" s="27" t="s">
        <v>51</v>
      </c>
      <c r="D8675" s="27" t="s">
        <v>51</v>
      </c>
      <c r="E8675" s="27" t="s">
        <v>22</v>
      </c>
      <c r="F8675" s="29">
        <v>2382</v>
      </c>
      <c r="G8675" s="30">
        <v>4.0894503862260621</v>
      </c>
    </row>
    <row r="8676" spans="1:7" hidden="1" x14ac:dyDescent="0.25">
      <c r="A8676" s="28">
        <v>44287</v>
      </c>
      <c r="B8676" s="27" t="s">
        <v>5</v>
      </c>
      <c r="C8676" s="27" t="s">
        <v>51</v>
      </c>
      <c r="D8676" s="27" t="s">
        <v>51</v>
      </c>
      <c r="E8676" s="27" t="s">
        <v>39</v>
      </c>
      <c r="F8676" s="29">
        <v>2687</v>
      </c>
      <c r="G8676" s="30">
        <v>3.4414784485216541</v>
      </c>
    </row>
    <row r="8677" spans="1:7" hidden="1" x14ac:dyDescent="0.25">
      <c r="A8677" s="28">
        <v>44287</v>
      </c>
      <c r="B8677" s="27" t="s">
        <v>5</v>
      </c>
      <c r="C8677" s="27" t="s">
        <v>51</v>
      </c>
      <c r="D8677" s="27" t="s">
        <v>51</v>
      </c>
      <c r="E8677" s="27" t="s">
        <v>21</v>
      </c>
      <c r="F8677" s="29">
        <v>4081</v>
      </c>
      <c r="G8677" s="30">
        <v>2.5649038488325675</v>
      </c>
    </row>
    <row r="8678" spans="1:7" hidden="1" x14ac:dyDescent="0.25">
      <c r="A8678" s="28">
        <v>44287</v>
      </c>
      <c r="B8678" s="27" t="s">
        <v>5</v>
      </c>
      <c r="C8678" s="27" t="s">
        <v>51</v>
      </c>
      <c r="D8678" s="27" t="s">
        <v>51</v>
      </c>
      <c r="E8678" s="27" t="s">
        <v>41</v>
      </c>
      <c r="F8678" s="29">
        <v>2353</v>
      </c>
      <c r="G8678" s="30">
        <v>3.8142420836508633</v>
      </c>
    </row>
    <row r="8679" spans="1:7" hidden="1" x14ac:dyDescent="0.25">
      <c r="A8679" s="28">
        <v>44287</v>
      </c>
      <c r="B8679" s="27" t="s">
        <v>5</v>
      </c>
      <c r="C8679" s="27" t="s">
        <v>51</v>
      </c>
      <c r="D8679" s="27" t="s">
        <v>51</v>
      </c>
      <c r="E8679" s="27" t="s">
        <v>10</v>
      </c>
      <c r="F8679" s="29">
        <v>4840</v>
      </c>
      <c r="G8679" s="30">
        <v>2.8779154852713589</v>
      </c>
    </row>
    <row r="8680" spans="1:7" hidden="1" x14ac:dyDescent="0.25">
      <c r="A8680" s="28">
        <v>44287</v>
      </c>
      <c r="B8680" s="27" t="s">
        <v>5</v>
      </c>
      <c r="C8680" s="27" t="s">
        <v>51</v>
      </c>
      <c r="D8680" s="27" t="s">
        <v>51</v>
      </c>
      <c r="E8680" s="27" t="s">
        <v>11</v>
      </c>
      <c r="F8680" s="29">
        <v>4331</v>
      </c>
      <c r="G8680" s="30">
        <v>2.648603824386262</v>
      </c>
    </row>
    <row r="8681" spans="1:7" hidden="1" x14ac:dyDescent="0.25">
      <c r="A8681" s="28">
        <v>44287</v>
      </c>
      <c r="B8681" s="27" t="s">
        <v>5</v>
      </c>
      <c r="C8681" s="27" t="s">
        <v>51</v>
      </c>
      <c r="D8681" s="27" t="s">
        <v>51</v>
      </c>
      <c r="E8681" s="27" t="s">
        <v>12</v>
      </c>
      <c r="F8681" s="29">
        <v>3801</v>
      </c>
      <c r="G8681" s="30">
        <v>2.6842514354248692</v>
      </c>
    </row>
    <row r="8682" spans="1:7" hidden="1" x14ac:dyDescent="0.25">
      <c r="A8682" s="28">
        <v>44287</v>
      </c>
      <c r="B8682" s="27" t="s">
        <v>5</v>
      </c>
      <c r="C8682" s="27" t="s">
        <v>51</v>
      </c>
      <c r="D8682" s="27" t="s">
        <v>51</v>
      </c>
      <c r="E8682" s="27" t="s">
        <v>13</v>
      </c>
      <c r="F8682" s="29">
        <v>5710</v>
      </c>
      <c r="G8682" s="30">
        <v>2.4244038302941373</v>
      </c>
    </row>
    <row r="8683" spans="1:7" hidden="1" x14ac:dyDescent="0.25">
      <c r="A8683" s="28">
        <v>44287</v>
      </c>
      <c r="B8683" s="27" t="s">
        <v>5</v>
      </c>
      <c r="C8683" s="27" t="s">
        <v>51</v>
      </c>
      <c r="D8683" s="27" t="s">
        <v>51</v>
      </c>
      <c r="E8683" s="27" t="s">
        <v>14</v>
      </c>
      <c r="F8683" s="29">
        <v>5502</v>
      </c>
      <c r="G8683" s="30">
        <v>1.6718508824156302</v>
      </c>
    </row>
    <row r="8684" spans="1:7" hidden="1" x14ac:dyDescent="0.25">
      <c r="A8684" s="28">
        <v>44287</v>
      </c>
      <c r="B8684" s="27" t="s">
        <v>5</v>
      </c>
      <c r="C8684" s="27" t="s">
        <v>51</v>
      </c>
      <c r="D8684" s="27" t="s">
        <v>51</v>
      </c>
      <c r="E8684" s="27" t="s">
        <v>15</v>
      </c>
      <c r="F8684" s="29">
        <v>2803</v>
      </c>
      <c r="G8684" s="30">
        <v>3.9901367559015957</v>
      </c>
    </row>
    <row r="8685" spans="1:7" hidden="1" x14ac:dyDescent="0.25">
      <c r="A8685" s="28">
        <v>44287</v>
      </c>
      <c r="B8685" s="27" t="s">
        <v>5</v>
      </c>
      <c r="C8685" s="27" t="s">
        <v>51</v>
      </c>
      <c r="D8685" s="27" t="s">
        <v>51</v>
      </c>
      <c r="E8685" s="27" t="s">
        <v>16</v>
      </c>
      <c r="F8685" s="29">
        <v>2658</v>
      </c>
      <c r="G8685" s="30">
        <v>3.458541048669054</v>
      </c>
    </row>
    <row r="8686" spans="1:7" hidden="1" x14ac:dyDescent="0.25">
      <c r="A8686" s="28">
        <v>44287</v>
      </c>
      <c r="B8686" s="27" t="s">
        <v>5</v>
      </c>
      <c r="C8686" s="27" t="s">
        <v>51</v>
      </c>
      <c r="D8686" s="27" t="s">
        <v>51</v>
      </c>
      <c r="E8686" s="27" t="s">
        <v>17</v>
      </c>
      <c r="F8686" s="29">
        <v>5508</v>
      </c>
      <c r="G8686" s="30">
        <v>2.862283891483592</v>
      </c>
    </row>
    <row r="8687" spans="1:7" hidden="1" x14ac:dyDescent="0.25">
      <c r="A8687" s="28">
        <v>44287</v>
      </c>
      <c r="B8687" s="27" t="s">
        <v>5</v>
      </c>
      <c r="C8687" s="27" t="s">
        <v>51</v>
      </c>
      <c r="D8687" s="27" t="s">
        <v>51</v>
      </c>
      <c r="E8687" s="27" t="s">
        <v>18</v>
      </c>
      <c r="F8687" s="29">
        <v>5157</v>
      </c>
      <c r="G8687" s="30">
        <v>2.1252486859996207</v>
      </c>
    </row>
    <row r="8688" spans="1:7" hidden="1" x14ac:dyDescent="0.25">
      <c r="A8688" s="28">
        <v>44287</v>
      </c>
      <c r="B8688" s="27" t="s">
        <v>5</v>
      </c>
      <c r="C8688" s="27" t="s">
        <v>51</v>
      </c>
      <c r="D8688" s="27" t="s">
        <v>51</v>
      </c>
      <c r="E8688" s="27" t="s">
        <v>19</v>
      </c>
      <c r="F8688" s="29">
        <v>5755</v>
      </c>
      <c r="G8688" s="30">
        <v>2.2023495041495482</v>
      </c>
    </row>
    <row r="8689" spans="1:7" hidden="1" x14ac:dyDescent="0.25">
      <c r="A8689" s="28">
        <v>44287</v>
      </c>
      <c r="B8689" s="27" t="s">
        <v>5</v>
      </c>
      <c r="C8689" s="27" t="s">
        <v>51</v>
      </c>
      <c r="D8689" s="27" t="s">
        <v>51</v>
      </c>
      <c r="E8689" s="27" t="s">
        <v>20</v>
      </c>
      <c r="F8689" s="29">
        <v>6950</v>
      </c>
      <c r="G8689" s="30">
        <v>1.7925199348898713</v>
      </c>
    </row>
    <row r="8690" spans="1:7" hidden="1" x14ac:dyDescent="0.25">
      <c r="A8690" s="28">
        <v>44287</v>
      </c>
      <c r="B8690" s="27" t="s">
        <v>5</v>
      </c>
      <c r="C8690" s="27" t="s">
        <v>51</v>
      </c>
      <c r="D8690" s="27" t="s">
        <v>51</v>
      </c>
      <c r="E8690" s="27" t="s">
        <v>38</v>
      </c>
      <c r="F8690" s="29">
        <v>3305</v>
      </c>
      <c r="G8690" s="30">
        <v>2.036557688191504</v>
      </c>
    </row>
    <row r="8691" spans="1:7" hidden="1" x14ac:dyDescent="0.25">
      <c r="A8691" s="28">
        <v>44287</v>
      </c>
      <c r="B8691" s="27" t="s">
        <v>5</v>
      </c>
      <c r="C8691" s="27" t="s">
        <v>51</v>
      </c>
      <c r="D8691" s="27" t="s">
        <v>51</v>
      </c>
      <c r="E8691" s="27" t="s">
        <v>23</v>
      </c>
      <c r="F8691" s="29">
        <v>4536</v>
      </c>
      <c r="G8691" s="30">
        <v>2.7769479917800615</v>
      </c>
    </row>
    <row r="8692" spans="1:7" hidden="1" x14ac:dyDescent="0.25">
      <c r="A8692" s="28">
        <v>44287</v>
      </c>
      <c r="B8692" s="27" t="s">
        <v>5</v>
      </c>
      <c r="C8692" s="27" t="s">
        <v>51</v>
      </c>
      <c r="D8692" s="27" t="s">
        <v>51</v>
      </c>
      <c r="E8692" s="27" t="s">
        <v>40</v>
      </c>
      <c r="F8692" s="29">
        <v>4306</v>
      </c>
      <c r="G8692" s="30">
        <v>1.9135197780986104</v>
      </c>
    </row>
    <row r="8693" spans="1:7" hidden="1" x14ac:dyDescent="0.25">
      <c r="A8693" s="28">
        <v>44287</v>
      </c>
      <c r="B8693" s="27" t="s">
        <v>180</v>
      </c>
      <c r="C8693" s="27" t="s">
        <v>50</v>
      </c>
      <c r="D8693" s="27" t="s">
        <v>7</v>
      </c>
      <c r="E8693" s="27" t="s">
        <v>8</v>
      </c>
      <c r="F8693" s="29"/>
      <c r="G8693" s="30">
        <v>2565</v>
      </c>
    </row>
    <row r="8694" spans="1:7" hidden="1" x14ac:dyDescent="0.25">
      <c r="A8694" s="28">
        <v>44287</v>
      </c>
      <c r="B8694" s="27" t="s">
        <v>180</v>
      </c>
      <c r="C8694" s="27" t="s">
        <v>50</v>
      </c>
      <c r="D8694" s="27" t="s">
        <v>7</v>
      </c>
      <c r="E8694" s="27" t="s">
        <v>9</v>
      </c>
      <c r="F8694" s="29"/>
      <c r="G8694" s="30">
        <v>318</v>
      </c>
    </row>
    <row r="8695" spans="1:7" hidden="1" x14ac:dyDescent="0.25">
      <c r="A8695" s="28">
        <v>44287</v>
      </c>
      <c r="B8695" s="27" t="s">
        <v>180</v>
      </c>
      <c r="C8695" s="27" t="s">
        <v>50</v>
      </c>
      <c r="D8695" s="27" t="s">
        <v>7</v>
      </c>
      <c r="E8695" s="27" t="s">
        <v>64</v>
      </c>
      <c r="F8695" s="29"/>
      <c r="G8695" s="30">
        <v>70</v>
      </c>
    </row>
    <row r="8696" spans="1:7" hidden="1" x14ac:dyDescent="0.25">
      <c r="A8696" s="28">
        <v>44287</v>
      </c>
      <c r="B8696" s="27" t="s">
        <v>180</v>
      </c>
      <c r="C8696" s="27" t="s">
        <v>50</v>
      </c>
      <c r="D8696" s="27" t="s">
        <v>7</v>
      </c>
      <c r="E8696" s="27" t="s">
        <v>10</v>
      </c>
      <c r="F8696" s="29"/>
      <c r="G8696" s="30">
        <v>470</v>
      </c>
    </row>
    <row r="8697" spans="1:7" hidden="1" x14ac:dyDescent="0.25">
      <c r="A8697" s="28">
        <v>44287</v>
      </c>
      <c r="B8697" s="27" t="s">
        <v>180</v>
      </c>
      <c r="C8697" s="27" t="s">
        <v>50</v>
      </c>
      <c r="D8697" s="27" t="s">
        <v>7</v>
      </c>
      <c r="E8697" s="27" t="s">
        <v>11</v>
      </c>
      <c r="F8697" s="29"/>
      <c r="G8697" s="30">
        <v>33.07</v>
      </c>
    </row>
    <row r="8698" spans="1:7" hidden="1" x14ac:dyDescent="0.25">
      <c r="A8698" s="28">
        <v>44287</v>
      </c>
      <c r="B8698" s="27" t="s">
        <v>180</v>
      </c>
      <c r="C8698" s="27" t="s">
        <v>50</v>
      </c>
      <c r="D8698" s="27" t="s">
        <v>7</v>
      </c>
      <c r="E8698" s="27" t="s">
        <v>13</v>
      </c>
      <c r="F8698" s="29"/>
      <c r="G8698" s="30">
        <v>957.77</v>
      </c>
    </row>
    <row r="8699" spans="1:7" hidden="1" x14ac:dyDescent="0.25">
      <c r="A8699" s="28">
        <v>44287</v>
      </c>
      <c r="B8699" s="27" t="s">
        <v>180</v>
      </c>
      <c r="C8699" s="27" t="s">
        <v>50</v>
      </c>
      <c r="D8699" s="27" t="s">
        <v>7</v>
      </c>
      <c r="E8699" s="27" t="s">
        <v>16</v>
      </c>
      <c r="F8699" s="29"/>
      <c r="G8699" s="30">
        <v>101.32</v>
      </c>
    </row>
    <row r="8700" spans="1:7" hidden="1" x14ac:dyDescent="0.25">
      <c r="A8700" s="28">
        <v>44287</v>
      </c>
      <c r="B8700" s="27" t="s">
        <v>180</v>
      </c>
      <c r="C8700" s="27" t="s">
        <v>50</v>
      </c>
      <c r="D8700" s="27" t="s">
        <v>7</v>
      </c>
      <c r="E8700" s="27" t="s">
        <v>18</v>
      </c>
      <c r="F8700" s="29"/>
      <c r="G8700" s="30">
        <v>1626.91</v>
      </c>
    </row>
    <row r="8701" spans="1:7" hidden="1" x14ac:dyDescent="0.25">
      <c r="A8701" s="28">
        <v>44287</v>
      </c>
      <c r="B8701" s="27" t="s">
        <v>180</v>
      </c>
      <c r="C8701" s="27" t="s">
        <v>50</v>
      </c>
      <c r="D8701" s="27" t="s">
        <v>7</v>
      </c>
      <c r="E8701" s="27" t="s">
        <v>37</v>
      </c>
      <c r="F8701" s="29"/>
      <c r="G8701" s="30">
        <v>9340</v>
      </c>
    </row>
    <row r="8702" spans="1:7" hidden="1" x14ac:dyDescent="0.25">
      <c r="A8702" s="28">
        <v>44287</v>
      </c>
      <c r="B8702" s="27" t="s">
        <v>181</v>
      </c>
      <c r="C8702" s="27" t="s">
        <v>50</v>
      </c>
      <c r="D8702" s="27" t="s">
        <v>6</v>
      </c>
      <c r="E8702" s="27" t="s">
        <v>9</v>
      </c>
      <c r="F8702" s="29"/>
      <c r="G8702" s="30">
        <v>2096.12</v>
      </c>
    </row>
    <row r="8703" spans="1:7" hidden="1" x14ac:dyDescent="0.25">
      <c r="A8703" s="28">
        <v>44287</v>
      </c>
      <c r="B8703" s="27" t="s">
        <v>181</v>
      </c>
      <c r="C8703" s="27" t="s">
        <v>50</v>
      </c>
      <c r="D8703" s="27" t="s">
        <v>6</v>
      </c>
      <c r="E8703" s="27" t="s">
        <v>39</v>
      </c>
      <c r="F8703" s="29"/>
      <c r="G8703" s="30">
        <v>452.7</v>
      </c>
    </row>
    <row r="8704" spans="1:7" hidden="1" x14ac:dyDescent="0.25">
      <c r="A8704" s="28">
        <v>44287</v>
      </c>
      <c r="B8704" s="27" t="s">
        <v>181</v>
      </c>
      <c r="C8704" s="27" t="s">
        <v>50</v>
      </c>
      <c r="D8704" s="27" t="s">
        <v>6</v>
      </c>
      <c r="E8704" s="27" t="s">
        <v>21</v>
      </c>
      <c r="F8704" s="29"/>
      <c r="G8704" s="30">
        <v>193</v>
      </c>
    </row>
    <row r="8705" spans="1:7" hidden="1" x14ac:dyDescent="0.25">
      <c r="A8705" s="28">
        <v>44287</v>
      </c>
      <c r="B8705" s="27" t="s">
        <v>181</v>
      </c>
      <c r="C8705" s="27" t="s">
        <v>50</v>
      </c>
      <c r="D8705" s="27" t="s">
        <v>6</v>
      </c>
      <c r="E8705" s="27" t="s">
        <v>13</v>
      </c>
      <c r="F8705" s="29"/>
      <c r="G8705" s="30">
        <v>80</v>
      </c>
    </row>
    <row r="8706" spans="1:7" hidden="1" x14ac:dyDescent="0.25">
      <c r="A8706" s="28">
        <v>44287</v>
      </c>
      <c r="B8706" s="27" t="s">
        <v>181</v>
      </c>
      <c r="C8706" s="27" t="s">
        <v>50</v>
      </c>
      <c r="D8706" s="27" t="s">
        <v>6</v>
      </c>
      <c r="E8706" s="27" t="s">
        <v>14</v>
      </c>
      <c r="F8706" s="29"/>
      <c r="G8706" s="30">
        <v>1043</v>
      </c>
    </row>
    <row r="8707" spans="1:7" hidden="1" x14ac:dyDescent="0.25">
      <c r="A8707" s="28">
        <v>44287</v>
      </c>
      <c r="B8707" s="27" t="s">
        <v>181</v>
      </c>
      <c r="C8707" s="27" t="s">
        <v>50</v>
      </c>
      <c r="D8707" s="27" t="s">
        <v>6</v>
      </c>
      <c r="E8707" s="27" t="s">
        <v>15</v>
      </c>
      <c r="F8707" s="29"/>
      <c r="G8707" s="30">
        <v>2042</v>
      </c>
    </row>
    <row r="8708" spans="1:7" hidden="1" x14ac:dyDescent="0.25">
      <c r="A8708" s="28">
        <v>44287</v>
      </c>
      <c r="B8708" s="27" t="s">
        <v>181</v>
      </c>
      <c r="C8708" s="27" t="s">
        <v>50</v>
      </c>
      <c r="D8708" s="27" t="s">
        <v>6</v>
      </c>
      <c r="E8708" s="27" t="s">
        <v>16</v>
      </c>
      <c r="F8708" s="29"/>
      <c r="G8708" s="30">
        <v>120</v>
      </c>
    </row>
    <row r="8709" spans="1:7" hidden="1" x14ac:dyDescent="0.25">
      <c r="A8709" s="28">
        <v>44287</v>
      </c>
      <c r="B8709" s="27" t="s">
        <v>181</v>
      </c>
      <c r="C8709" s="27" t="s">
        <v>50</v>
      </c>
      <c r="D8709" s="27" t="s">
        <v>6</v>
      </c>
      <c r="E8709" s="27" t="s">
        <v>17</v>
      </c>
      <c r="F8709" s="29"/>
      <c r="G8709" s="30">
        <v>400</v>
      </c>
    </row>
    <row r="8710" spans="1:7" hidden="1" x14ac:dyDescent="0.25">
      <c r="A8710" s="28">
        <v>44287</v>
      </c>
      <c r="B8710" s="27" t="s">
        <v>181</v>
      </c>
      <c r="C8710" s="27" t="s">
        <v>50</v>
      </c>
      <c r="D8710" s="27" t="s">
        <v>6</v>
      </c>
      <c r="E8710" s="27" t="s">
        <v>38</v>
      </c>
      <c r="F8710" s="29"/>
      <c r="G8710" s="30">
        <v>184.5</v>
      </c>
    </row>
    <row r="8711" spans="1:7" hidden="1" x14ac:dyDescent="0.25">
      <c r="A8711" s="28">
        <v>44287</v>
      </c>
      <c r="B8711" s="27" t="s">
        <v>181</v>
      </c>
      <c r="C8711" s="27" t="s">
        <v>50</v>
      </c>
      <c r="D8711" s="27" t="s">
        <v>6</v>
      </c>
      <c r="E8711" s="27" t="s">
        <v>40</v>
      </c>
      <c r="F8711" s="29"/>
      <c r="G8711" s="30">
        <v>649.98</v>
      </c>
    </row>
    <row r="8712" spans="1:7" hidden="1" x14ac:dyDescent="0.25">
      <c r="A8712" s="28">
        <v>44287</v>
      </c>
      <c r="B8712" s="27" t="s">
        <v>181</v>
      </c>
      <c r="C8712" s="27" t="s">
        <v>50</v>
      </c>
      <c r="D8712" s="27" t="s">
        <v>6</v>
      </c>
      <c r="E8712" s="27" t="s">
        <v>37</v>
      </c>
      <c r="F8712" s="29"/>
      <c r="G8712" s="30">
        <v>5773.14</v>
      </c>
    </row>
    <row r="8713" spans="1:7" hidden="1" x14ac:dyDescent="0.25">
      <c r="A8713" s="28">
        <v>44287</v>
      </c>
      <c r="B8713" s="27" t="s">
        <v>2</v>
      </c>
      <c r="C8713" s="27" t="s">
        <v>50</v>
      </c>
      <c r="D8713" s="27" t="s">
        <v>7</v>
      </c>
      <c r="E8713" s="27" t="s">
        <v>8</v>
      </c>
      <c r="F8713" s="29"/>
      <c r="G8713" s="30">
        <v>375.49</v>
      </c>
    </row>
    <row r="8714" spans="1:7" hidden="1" x14ac:dyDescent="0.25">
      <c r="A8714" s="28">
        <v>44287</v>
      </c>
      <c r="B8714" s="27" t="s">
        <v>2</v>
      </c>
      <c r="C8714" s="27" t="s">
        <v>50</v>
      </c>
      <c r="D8714" s="27" t="s">
        <v>7</v>
      </c>
      <c r="E8714" s="27" t="s">
        <v>9</v>
      </c>
      <c r="F8714" s="29"/>
      <c r="G8714" s="30">
        <v>422.01</v>
      </c>
    </row>
    <row r="8715" spans="1:7" hidden="1" x14ac:dyDescent="0.25">
      <c r="A8715" s="28">
        <v>44287</v>
      </c>
      <c r="B8715" s="27" t="s">
        <v>2</v>
      </c>
      <c r="C8715" s="27" t="s">
        <v>50</v>
      </c>
      <c r="D8715" s="27" t="s">
        <v>7</v>
      </c>
      <c r="E8715" s="27" t="s">
        <v>22</v>
      </c>
      <c r="F8715" s="29"/>
      <c r="G8715" s="30">
        <v>350.91</v>
      </c>
    </row>
    <row r="8716" spans="1:7" hidden="1" x14ac:dyDescent="0.25">
      <c r="A8716" s="28">
        <v>44287</v>
      </c>
      <c r="B8716" s="27" t="s">
        <v>2</v>
      </c>
      <c r="C8716" s="27" t="s">
        <v>50</v>
      </c>
      <c r="D8716" s="27" t="s">
        <v>7</v>
      </c>
      <c r="E8716" s="27" t="s">
        <v>39</v>
      </c>
      <c r="F8716" s="29"/>
      <c r="G8716" s="30">
        <v>173.3</v>
      </c>
    </row>
    <row r="8717" spans="1:7" hidden="1" x14ac:dyDescent="0.25">
      <c r="A8717" s="28">
        <v>44287</v>
      </c>
      <c r="B8717" s="27" t="s">
        <v>2</v>
      </c>
      <c r="C8717" s="27" t="s">
        <v>50</v>
      </c>
      <c r="D8717" s="27" t="s">
        <v>7</v>
      </c>
      <c r="E8717" s="27" t="s">
        <v>21</v>
      </c>
      <c r="F8717" s="29"/>
      <c r="G8717" s="30">
        <v>492.98</v>
      </c>
    </row>
    <row r="8718" spans="1:7" hidden="1" x14ac:dyDescent="0.25">
      <c r="A8718" s="28">
        <v>44287</v>
      </c>
      <c r="B8718" s="27" t="s">
        <v>2</v>
      </c>
      <c r="C8718" s="27" t="s">
        <v>50</v>
      </c>
      <c r="D8718" s="27" t="s">
        <v>7</v>
      </c>
      <c r="E8718" s="27" t="s">
        <v>41</v>
      </c>
      <c r="F8718" s="29"/>
      <c r="G8718" s="30">
        <v>271.3</v>
      </c>
    </row>
    <row r="8719" spans="1:7" hidden="1" x14ac:dyDescent="0.25">
      <c r="A8719" s="28">
        <v>44287</v>
      </c>
      <c r="B8719" s="27" t="s">
        <v>2</v>
      </c>
      <c r="C8719" s="27" t="s">
        <v>50</v>
      </c>
      <c r="D8719" s="27" t="s">
        <v>7</v>
      </c>
      <c r="E8719" s="27" t="s">
        <v>10</v>
      </c>
      <c r="F8719" s="29"/>
      <c r="G8719" s="30">
        <v>497.98</v>
      </c>
    </row>
    <row r="8720" spans="1:7" hidden="1" x14ac:dyDescent="0.25">
      <c r="A8720" s="28">
        <v>44287</v>
      </c>
      <c r="B8720" s="27" t="s">
        <v>2</v>
      </c>
      <c r="C8720" s="27" t="s">
        <v>50</v>
      </c>
      <c r="D8720" s="27" t="s">
        <v>7</v>
      </c>
      <c r="E8720" s="27" t="s">
        <v>11</v>
      </c>
      <c r="F8720" s="29"/>
      <c r="G8720" s="30">
        <v>418.08</v>
      </c>
    </row>
    <row r="8721" spans="1:7" hidden="1" x14ac:dyDescent="0.25">
      <c r="A8721" s="28">
        <v>44287</v>
      </c>
      <c r="B8721" s="27" t="s">
        <v>2</v>
      </c>
      <c r="C8721" s="27" t="s">
        <v>50</v>
      </c>
      <c r="D8721" s="27" t="s">
        <v>7</v>
      </c>
      <c r="E8721" s="27" t="s">
        <v>12</v>
      </c>
      <c r="F8721" s="29"/>
      <c r="G8721" s="30">
        <v>321.98</v>
      </c>
    </row>
    <row r="8722" spans="1:7" hidden="1" x14ac:dyDescent="0.25">
      <c r="A8722" s="28">
        <v>44287</v>
      </c>
      <c r="B8722" s="27" t="s">
        <v>2</v>
      </c>
      <c r="C8722" s="27" t="s">
        <v>50</v>
      </c>
      <c r="D8722" s="27" t="s">
        <v>7</v>
      </c>
      <c r="E8722" s="27" t="s">
        <v>13</v>
      </c>
      <c r="F8722" s="29"/>
      <c r="G8722" s="30">
        <v>1261.1400000000001</v>
      </c>
    </row>
    <row r="8723" spans="1:7" hidden="1" x14ac:dyDescent="0.25">
      <c r="A8723" s="28">
        <v>44287</v>
      </c>
      <c r="B8723" s="27" t="s">
        <v>2</v>
      </c>
      <c r="C8723" s="27" t="s">
        <v>50</v>
      </c>
      <c r="D8723" s="27" t="s">
        <v>7</v>
      </c>
      <c r="E8723" s="27" t="s">
        <v>14</v>
      </c>
      <c r="F8723" s="29"/>
      <c r="G8723" s="30">
        <v>374.28</v>
      </c>
    </row>
    <row r="8724" spans="1:7" hidden="1" x14ac:dyDescent="0.25">
      <c r="A8724" s="28">
        <v>44287</v>
      </c>
      <c r="B8724" s="27" t="s">
        <v>2</v>
      </c>
      <c r="C8724" s="27" t="s">
        <v>50</v>
      </c>
      <c r="D8724" s="27" t="s">
        <v>7</v>
      </c>
      <c r="E8724" s="27" t="s">
        <v>15</v>
      </c>
      <c r="F8724" s="29"/>
      <c r="G8724" s="30">
        <v>443.87</v>
      </c>
    </row>
    <row r="8725" spans="1:7" hidden="1" x14ac:dyDescent="0.25">
      <c r="A8725" s="28">
        <v>44287</v>
      </c>
      <c r="B8725" s="27" t="s">
        <v>2</v>
      </c>
      <c r="C8725" s="27" t="s">
        <v>50</v>
      </c>
      <c r="D8725" s="27" t="s">
        <v>7</v>
      </c>
      <c r="E8725" s="27" t="s">
        <v>16</v>
      </c>
      <c r="F8725" s="29"/>
      <c r="G8725" s="30">
        <v>90.87</v>
      </c>
    </row>
    <row r="8726" spans="1:7" hidden="1" x14ac:dyDescent="0.25">
      <c r="A8726" s="28">
        <v>44287</v>
      </c>
      <c r="B8726" s="27" t="s">
        <v>2</v>
      </c>
      <c r="C8726" s="27" t="s">
        <v>50</v>
      </c>
      <c r="D8726" s="27" t="s">
        <v>7</v>
      </c>
      <c r="E8726" s="27" t="s">
        <v>17</v>
      </c>
      <c r="F8726" s="29"/>
      <c r="G8726" s="30">
        <v>794.87</v>
      </c>
    </row>
    <row r="8727" spans="1:7" hidden="1" x14ac:dyDescent="0.25">
      <c r="A8727" s="28">
        <v>44287</v>
      </c>
      <c r="B8727" s="27" t="s">
        <v>2</v>
      </c>
      <c r="C8727" s="27" t="s">
        <v>50</v>
      </c>
      <c r="D8727" s="27" t="s">
        <v>7</v>
      </c>
      <c r="E8727" s="27" t="s">
        <v>18</v>
      </c>
      <c r="F8727" s="29"/>
      <c r="G8727" s="30">
        <v>28.1</v>
      </c>
    </row>
    <row r="8728" spans="1:7" hidden="1" x14ac:dyDescent="0.25">
      <c r="A8728" s="28">
        <v>44287</v>
      </c>
      <c r="B8728" s="27" t="s">
        <v>2</v>
      </c>
      <c r="C8728" s="27" t="s">
        <v>50</v>
      </c>
      <c r="D8728" s="27" t="s">
        <v>7</v>
      </c>
      <c r="E8728" s="27" t="s">
        <v>20</v>
      </c>
      <c r="F8728" s="29"/>
      <c r="G8728" s="30">
        <v>1467.95</v>
      </c>
    </row>
    <row r="8729" spans="1:7" hidden="1" x14ac:dyDescent="0.25">
      <c r="A8729" s="28">
        <v>44287</v>
      </c>
      <c r="B8729" s="27" t="s">
        <v>2</v>
      </c>
      <c r="C8729" s="27" t="s">
        <v>50</v>
      </c>
      <c r="D8729" s="27" t="s">
        <v>7</v>
      </c>
      <c r="E8729" s="27" t="s">
        <v>38</v>
      </c>
      <c r="F8729" s="29"/>
      <c r="G8729" s="30">
        <v>32.700000000000003</v>
      </c>
    </row>
    <row r="8730" spans="1:7" hidden="1" x14ac:dyDescent="0.25">
      <c r="A8730" s="28">
        <v>44287</v>
      </c>
      <c r="B8730" s="27" t="s">
        <v>2</v>
      </c>
      <c r="C8730" s="27" t="s">
        <v>50</v>
      </c>
      <c r="D8730" s="27" t="s">
        <v>7</v>
      </c>
      <c r="E8730" s="27" t="s">
        <v>23</v>
      </c>
      <c r="F8730" s="29"/>
      <c r="G8730" s="30">
        <v>411.73</v>
      </c>
    </row>
    <row r="8731" spans="1:7" hidden="1" x14ac:dyDescent="0.25">
      <c r="A8731" s="28">
        <v>44287</v>
      </c>
      <c r="B8731" s="27" t="s">
        <v>2</v>
      </c>
      <c r="C8731" s="27" t="s">
        <v>50</v>
      </c>
      <c r="D8731" s="27" t="s">
        <v>7</v>
      </c>
      <c r="E8731" s="27" t="s">
        <v>40</v>
      </c>
      <c r="F8731" s="29"/>
      <c r="G8731" s="30">
        <v>377.58</v>
      </c>
    </row>
    <row r="8732" spans="1:7" hidden="1" x14ac:dyDescent="0.25">
      <c r="A8732" s="28">
        <v>44287</v>
      </c>
      <c r="B8732" s="27" t="s">
        <v>36</v>
      </c>
      <c r="C8732" s="27" t="s">
        <v>50</v>
      </c>
      <c r="D8732" s="27" t="s">
        <v>6</v>
      </c>
      <c r="E8732" s="27" t="s">
        <v>8</v>
      </c>
      <c r="F8732" s="29"/>
      <c r="G8732" s="30">
        <v>200.91857142857143</v>
      </c>
    </row>
    <row r="8733" spans="1:7" hidden="1" x14ac:dyDescent="0.25">
      <c r="A8733" s="28">
        <v>44287</v>
      </c>
      <c r="B8733" s="27" t="s">
        <v>36</v>
      </c>
      <c r="C8733" s="27" t="s">
        <v>50</v>
      </c>
      <c r="D8733" s="27" t="s">
        <v>6</v>
      </c>
      <c r="E8733" s="27" t="s">
        <v>9</v>
      </c>
      <c r="F8733" s="29"/>
      <c r="G8733" s="30">
        <v>200.91857142857143</v>
      </c>
    </row>
    <row r="8734" spans="1:7" hidden="1" x14ac:dyDescent="0.25">
      <c r="A8734" s="28">
        <v>44287</v>
      </c>
      <c r="B8734" s="27" t="s">
        <v>36</v>
      </c>
      <c r="C8734" s="27" t="s">
        <v>50</v>
      </c>
      <c r="D8734" s="27" t="s">
        <v>6</v>
      </c>
      <c r="E8734" s="27" t="s">
        <v>22</v>
      </c>
      <c r="F8734" s="29"/>
      <c r="G8734" s="30">
        <v>200.91857142857143</v>
      </c>
    </row>
    <row r="8735" spans="1:7" hidden="1" x14ac:dyDescent="0.25">
      <c r="A8735" s="28">
        <v>44287</v>
      </c>
      <c r="B8735" s="27" t="s">
        <v>36</v>
      </c>
      <c r="C8735" s="27" t="s">
        <v>50</v>
      </c>
      <c r="D8735" s="27" t="s">
        <v>6</v>
      </c>
      <c r="E8735" s="27" t="s">
        <v>39</v>
      </c>
      <c r="F8735" s="29"/>
      <c r="G8735" s="30">
        <v>200.91857142857143</v>
      </c>
    </row>
    <row r="8736" spans="1:7" hidden="1" x14ac:dyDescent="0.25">
      <c r="A8736" s="28">
        <v>44287</v>
      </c>
      <c r="B8736" s="27" t="s">
        <v>36</v>
      </c>
      <c r="C8736" s="27" t="s">
        <v>50</v>
      </c>
      <c r="D8736" s="27" t="s">
        <v>6</v>
      </c>
      <c r="E8736" s="27" t="s">
        <v>64</v>
      </c>
      <c r="F8736" s="29"/>
      <c r="G8736" s="30">
        <v>200.91857142857143</v>
      </c>
    </row>
    <row r="8737" spans="1:7" hidden="1" x14ac:dyDescent="0.25">
      <c r="A8737" s="28">
        <v>44287</v>
      </c>
      <c r="B8737" s="27" t="s">
        <v>36</v>
      </c>
      <c r="C8737" s="27" t="s">
        <v>50</v>
      </c>
      <c r="D8737" s="27" t="s">
        <v>6</v>
      </c>
      <c r="E8737" s="27" t="s">
        <v>21</v>
      </c>
      <c r="F8737" s="29"/>
      <c r="G8737" s="30">
        <v>200.91857142857143</v>
      </c>
    </row>
    <row r="8738" spans="1:7" hidden="1" x14ac:dyDescent="0.25">
      <c r="A8738" s="28">
        <v>44287</v>
      </c>
      <c r="B8738" s="27" t="s">
        <v>36</v>
      </c>
      <c r="C8738" s="27" t="s">
        <v>50</v>
      </c>
      <c r="D8738" s="27" t="s">
        <v>6</v>
      </c>
      <c r="E8738" s="27" t="s">
        <v>41</v>
      </c>
      <c r="F8738" s="29"/>
      <c r="G8738" s="30">
        <v>200.91857142857143</v>
      </c>
    </row>
    <row r="8739" spans="1:7" hidden="1" x14ac:dyDescent="0.25">
      <c r="A8739" s="28">
        <v>44287</v>
      </c>
      <c r="B8739" s="27" t="s">
        <v>36</v>
      </c>
      <c r="C8739" s="27" t="s">
        <v>50</v>
      </c>
      <c r="D8739" s="27" t="s">
        <v>6</v>
      </c>
      <c r="E8739" s="27" t="s">
        <v>10</v>
      </c>
      <c r="F8739" s="29"/>
      <c r="G8739" s="30">
        <v>200.91857142857143</v>
      </c>
    </row>
    <row r="8740" spans="1:7" hidden="1" x14ac:dyDescent="0.25">
      <c r="A8740" s="28">
        <v>44287</v>
      </c>
      <c r="B8740" s="27" t="s">
        <v>36</v>
      </c>
      <c r="C8740" s="27" t="s">
        <v>50</v>
      </c>
      <c r="D8740" s="27" t="s">
        <v>6</v>
      </c>
      <c r="E8740" s="27" t="s">
        <v>11</v>
      </c>
      <c r="F8740" s="29"/>
      <c r="G8740" s="30">
        <v>200.91857142857143</v>
      </c>
    </row>
    <row r="8741" spans="1:7" hidden="1" x14ac:dyDescent="0.25">
      <c r="A8741" s="28">
        <v>44287</v>
      </c>
      <c r="B8741" s="27" t="s">
        <v>36</v>
      </c>
      <c r="C8741" s="27" t="s">
        <v>50</v>
      </c>
      <c r="D8741" s="27" t="s">
        <v>6</v>
      </c>
      <c r="E8741" s="27" t="s">
        <v>12</v>
      </c>
      <c r="F8741" s="29"/>
      <c r="G8741" s="30">
        <v>200.91857142857143</v>
      </c>
    </row>
    <row r="8742" spans="1:7" hidden="1" x14ac:dyDescent="0.25">
      <c r="A8742" s="28">
        <v>44287</v>
      </c>
      <c r="B8742" s="27" t="s">
        <v>36</v>
      </c>
      <c r="C8742" s="27" t="s">
        <v>50</v>
      </c>
      <c r="D8742" s="27" t="s">
        <v>6</v>
      </c>
      <c r="E8742" s="27" t="s">
        <v>13</v>
      </c>
      <c r="F8742" s="29"/>
      <c r="G8742" s="30">
        <v>200.91857142857143</v>
      </c>
    </row>
    <row r="8743" spans="1:7" hidden="1" x14ac:dyDescent="0.25">
      <c r="A8743" s="28">
        <v>44287</v>
      </c>
      <c r="B8743" s="27" t="s">
        <v>36</v>
      </c>
      <c r="C8743" s="27" t="s">
        <v>50</v>
      </c>
      <c r="D8743" s="27" t="s">
        <v>6</v>
      </c>
      <c r="E8743" s="27" t="s">
        <v>14</v>
      </c>
      <c r="F8743" s="29"/>
      <c r="G8743" s="30">
        <v>200.91857142857143</v>
      </c>
    </row>
    <row r="8744" spans="1:7" hidden="1" x14ac:dyDescent="0.25">
      <c r="A8744" s="28">
        <v>44287</v>
      </c>
      <c r="B8744" s="27" t="s">
        <v>36</v>
      </c>
      <c r="C8744" s="27" t="s">
        <v>50</v>
      </c>
      <c r="D8744" s="27" t="s">
        <v>6</v>
      </c>
      <c r="E8744" s="27" t="s">
        <v>15</v>
      </c>
      <c r="F8744" s="29"/>
      <c r="G8744" s="30">
        <v>200.91857142857143</v>
      </c>
    </row>
    <row r="8745" spans="1:7" hidden="1" x14ac:dyDescent="0.25">
      <c r="A8745" s="28">
        <v>44287</v>
      </c>
      <c r="B8745" s="27" t="s">
        <v>36</v>
      </c>
      <c r="C8745" s="27" t="s">
        <v>50</v>
      </c>
      <c r="D8745" s="27" t="s">
        <v>6</v>
      </c>
      <c r="E8745" s="27" t="s">
        <v>16</v>
      </c>
      <c r="F8745" s="29"/>
      <c r="G8745" s="30">
        <v>200.91857142857143</v>
      </c>
    </row>
    <row r="8746" spans="1:7" hidden="1" x14ac:dyDescent="0.25">
      <c r="A8746" s="28">
        <v>44287</v>
      </c>
      <c r="B8746" s="27" t="s">
        <v>36</v>
      </c>
      <c r="C8746" s="27" t="s">
        <v>50</v>
      </c>
      <c r="D8746" s="27" t="s">
        <v>6</v>
      </c>
      <c r="E8746" s="27" t="s">
        <v>17</v>
      </c>
      <c r="F8746" s="29"/>
      <c r="G8746" s="30">
        <v>200.91857142857143</v>
      </c>
    </row>
    <row r="8747" spans="1:7" hidden="1" x14ac:dyDescent="0.25">
      <c r="A8747" s="28">
        <v>44287</v>
      </c>
      <c r="B8747" s="27" t="s">
        <v>36</v>
      </c>
      <c r="C8747" s="27" t="s">
        <v>50</v>
      </c>
      <c r="D8747" s="27" t="s">
        <v>6</v>
      </c>
      <c r="E8747" s="27" t="s">
        <v>18</v>
      </c>
      <c r="F8747" s="29"/>
      <c r="G8747" s="30">
        <v>200.91857142857143</v>
      </c>
    </row>
    <row r="8748" spans="1:7" hidden="1" x14ac:dyDescent="0.25">
      <c r="A8748" s="28">
        <v>44287</v>
      </c>
      <c r="B8748" s="27" t="s">
        <v>36</v>
      </c>
      <c r="C8748" s="27" t="s">
        <v>50</v>
      </c>
      <c r="D8748" s="27" t="s">
        <v>6</v>
      </c>
      <c r="E8748" s="27" t="s">
        <v>19</v>
      </c>
      <c r="F8748" s="29"/>
      <c r="G8748" s="30">
        <v>200.91857142857143</v>
      </c>
    </row>
    <row r="8749" spans="1:7" hidden="1" x14ac:dyDescent="0.25">
      <c r="A8749" s="28">
        <v>44287</v>
      </c>
      <c r="B8749" s="27" t="s">
        <v>36</v>
      </c>
      <c r="C8749" s="27" t="s">
        <v>50</v>
      </c>
      <c r="D8749" s="27" t="s">
        <v>6</v>
      </c>
      <c r="E8749" s="27" t="s">
        <v>20</v>
      </c>
      <c r="F8749" s="29"/>
      <c r="G8749" s="30">
        <v>200.91857142857143</v>
      </c>
    </row>
    <row r="8750" spans="1:7" hidden="1" x14ac:dyDescent="0.25">
      <c r="A8750" s="28">
        <v>44287</v>
      </c>
      <c r="B8750" s="27" t="s">
        <v>36</v>
      </c>
      <c r="C8750" s="27" t="s">
        <v>50</v>
      </c>
      <c r="D8750" s="27" t="s">
        <v>6</v>
      </c>
      <c r="E8750" s="27" t="s">
        <v>38</v>
      </c>
      <c r="F8750" s="29"/>
      <c r="G8750" s="30">
        <v>200.91857142857143</v>
      </c>
    </row>
    <row r="8751" spans="1:7" hidden="1" x14ac:dyDescent="0.25">
      <c r="A8751" s="28">
        <v>44287</v>
      </c>
      <c r="B8751" s="27" t="s">
        <v>36</v>
      </c>
      <c r="C8751" s="27" t="s">
        <v>50</v>
      </c>
      <c r="D8751" s="27" t="s">
        <v>6</v>
      </c>
      <c r="E8751" s="27" t="s">
        <v>23</v>
      </c>
      <c r="F8751" s="29"/>
      <c r="G8751" s="30">
        <v>200.91857142857143</v>
      </c>
    </row>
    <row r="8752" spans="1:7" hidden="1" x14ac:dyDescent="0.25">
      <c r="A8752" s="28">
        <v>44287</v>
      </c>
      <c r="B8752" s="27" t="s">
        <v>36</v>
      </c>
      <c r="C8752" s="27" t="s">
        <v>50</v>
      </c>
      <c r="D8752" s="27" t="s">
        <v>6</v>
      </c>
      <c r="E8752" s="27" t="s">
        <v>40</v>
      </c>
      <c r="F8752" s="29"/>
      <c r="G8752" s="30">
        <v>200.91857142857143</v>
      </c>
    </row>
    <row r="8753" spans="1:7" hidden="1" x14ac:dyDescent="0.25">
      <c r="A8753" s="28">
        <v>44287</v>
      </c>
      <c r="B8753" s="27" t="s">
        <v>200</v>
      </c>
      <c r="C8753" s="27" t="s">
        <v>53</v>
      </c>
      <c r="D8753" s="27" t="s">
        <v>6</v>
      </c>
      <c r="E8753" s="27" t="s">
        <v>8</v>
      </c>
      <c r="F8753" s="29"/>
      <c r="G8753" s="30">
        <f t="shared" ref="G8753:G8773" si="161">9725.94297777778/21</f>
        <v>463.14014179894195</v>
      </c>
    </row>
    <row r="8754" spans="1:7" hidden="1" x14ac:dyDescent="0.25">
      <c r="A8754" s="28">
        <v>44287</v>
      </c>
      <c r="B8754" s="27" t="s">
        <v>200</v>
      </c>
      <c r="C8754" s="27" t="s">
        <v>53</v>
      </c>
      <c r="D8754" s="27" t="s">
        <v>6</v>
      </c>
      <c r="E8754" s="27" t="s">
        <v>9</v>
      </c>
      <c r="F8754" s="29"/>
      <c r="G8754" s="30">
        <f t="shared" si="161"/>
        <v>463.14014179894195</v>
      </c>
    </row>
    <row r="8755" spans="1:7" hidden="1" x14ac:dyDescent="0.25">
      <c r="A8755" s="28">
        <v>44287</v>
      </c>
      <c r="B8755" s="27" t="s">
        <v>200</v>
      </c>
      <c r="C8755" s="27" t="s">
        <v>53</v>
      </c>
      <c r="D8755" s="27" t="s">
        <v>6</v>
      </c>
      <c r="E8755" s="27" t="s">
        <v>22</v>
      </c>
      <c r="F8755" s="29"/>
      <c r="G8755" s="30">
        <f t="shared" si="161"/>
        <v>463.14014179894195</v>
      </c>
    </row>
    <row r="8756" spans="1:7" hidden="1" x14ac:dyDescent="0.25">
      <c r="A8756" s="28">
        <v>44287</v>
      </c>
      <c r="B8756" s="27" t="s">
        <v>200</v>
      </c>
      <c r="C8756" s="27" t="s">
        <v>53</v>
      </c>
      <c r="D8756" s="27" t="s">
        <v>6</v>
      </c>
      <c r="E8756" s="27" t="s">
        <v>39</v>
      </c>
      <c r="F8756" s="29"/>
      <c r="G8756" s="30">
        <f t="shared" si="161"/>
        <v>463.14014179894195</v>
      </c>
    </row>
    <row r="8757" spans="1:7" hidden="1" x14ac:dyDescent="0.25">
      <c r="A8757" s="28">
        <v>44287</v>
      </c>
      <c r="B8757" s="27" t="s">
        <v>200</v>
      </c>
      <c r="C8757" s="27" t="s">
        <v>53</v>
      </c>
      <c r="D8757" s="27" t="s">
        <v>6</v>
      </c>
      <c r="E8757" s="27" t="s">
        <v>64</v>
      </c>
      <c r="F8757" s="29"/>
      <c r="G8757" s="30">
        <f t="shared" si="161"/>
        <v>463.14014179894195</v>
      </c>
    </row>
    <row r="8758" spans="1:7" hidden="1" x14ac:dyDescent="0.25">
      <c r="A8758" s="28">
        <v>44287</v>
      </c>
      <c r="B8758" s="27" t="s">
        <v>200</v>
      </c>
      <c r="C8758" s="27" t="s">
        <v>53</v>
      </c>
      <c r="D8758" s="27" t="s">
        <v>6</v>
      </c>
      <c r="E8758" s="27" t="s">
        <v>21</v>
      </c>
      <c r="F8758" s="29"/>
      <c r="G8758" s="30">
        <f t="shared" si="161"/>
        <v>463.14014179894195</v>
      </c>
    </row>
    <row r="8759" spans="1:7" hidden="1" x14ac:dyDescent="0.25">
      <c r="A8759" s="28">
        <v>44287</v>
      </c>
      <c r="B8759" s="27" t="s">
        <v>200</v>
      </c>
      <c r="C8759" s="27" t="s">
        <v>53</v>
      </c>
      <c r="D8759" s="27" t="s">
        <v>6</v>
      </c>
      <c r="E8759" s="27" t="s">
        <v>41</v>
      </c>
      <c r="F8759" s="29"/>
      <c r="G8759" s="30">
        <f t="shared" si="161"/>
        <v>463.14014179894195</v>
      </c>
    </row>
    <row r="8760" spans="1:7" hidden="1" x14ac:dyDescent="0.25">
      <c r="A8760" s="28">
        <v>44287</v>
      </c>
      <c r="B8760" s="27" t="s">
        <v>200</v>
      </c>
      <c r="C8760" s="27" t="s">
        <v>53</v>
      </c>
      <c r="D8760" s="27" t="s">
        <v>6</v>
      </c>
      <c r="E8760" s="27" t="s">
        <v>10</v>
      </c>
      <c r="F8760" s="29"/>
      <c r="G8760" s="30">
        <f t="shared" si="161"/>
        <v>463.14014179894195</v>
      </c>
    </row>
    <row r="8761" spans="1:7" hidden="1" x14ac:dyDescent="0.25">
      <c r="A8761" s="28">
        <v>44287</v>
      </c>
      <c r="B8761" s="27" t="s">
        <v>200</v>
      </c>
      <c r="C8761" s="27" t="s">
        <v>53</v>
      </c>
      <c r="D8761" s="27" t="s">
        <v>6</v>
      </c>
      <c r="E8761" s="27" t="s">
        <v>11</v>
      </c>
      <c r="F8761" s="29"/>
      <c r="G8761" s="30">
        <f t="shared" si="161"/>
        <v>463.14014179894195</v>
      </c>
    </row>
    <row r="8762" spans="1:7" hidden="1" x14ac:dyDescent="0.25">
      <c r="A8762" s="28">
        <v>44287</v>
      </c>
      <c r="B8762" s="27" t="s">
        <v>200</v>
      </c>
      <c r="C8762" s="27" t="s">
        <v>53</v>
      </c>
      <c r="D8762" s="27" t="s">
        <v>6</v>
      </c>
      <c r="E8762" s="27" t="s">
        <v>12</v>
      </c>
      <c r="F8762" s="29"/>
      <c r="G8762" s="30">
        <f t="shared" si="161"/>
        <v>463.14014179894195</v>
      </c>
    </row>
    <row r="8763" spans="1:7" hidden="1" x14ac:dyDescent="0.25">
      <c r="A8763" s="28">
        <v>44287</v>
      </c>
      <c r="B8763" s="27" t="s">
        <v>200</v>
      </c>
      <c r="C8763" s="27" t="s">
        <v>53</v>
      </c>
      <c r="D8763" s="27" t="s">
        <v>6</v>
      </c>
      <c r="E8763" s="27" t="s">
        <v>13</v>
      </c>
      <c r="F8763" s="29"/>
      <c r="G8763" s="30">
        <f t="shared" si="161"/>
        <v>463.14014179894195</v>
      </c>
    </row>
    <row r="8764" spans="1:7" hidden="1" x14ac:dyDescent="0.25">
      <c r="A8764" s="28">
        <v>44287</v>
      </c>
      <c r="B8764" s="27" t="s">
        <v>200</v>
      </c>
      <c r="C8764" s="27" t="s">
        <v>53</v>
      </c>
      <c r="D8764" s="27" t="s">
        <v>6</v>
      </c>
      <c r="E8764" s="27" t="s">
        <v>14</v>
      </c>
      <c r="F8764" s="29"/>
      <c r="G8764" s="30">
        <f t="shared" si="161"/>
        <v>463.14014179894195</v>
      </c>
    </row>
    <row r="8765" spans="1:7" hidden="1" x14ac:dyDescent="0.25">
      <c r="A8765" s="28">
        <v>44287</v>
      </c>
      <c r="B8765" s="27" t="s">
        <v>200</v>
      </c>
      <c r="C8765" s="27" t="s">
        <v>53</v>
      </c>
      <c r="D8765" s="27" t="s">
        <v>6</v>
      </c>
      <c r="E8765" s="27" t="s">
        <v>15</v>
      </c>
      <c r="F8765" s="29"/>
      <c r="G8765" s="30">
        <f t="shared" si="161"/>
        <v>463.14014179894195</v>
      </c>
    </row>
    <row r="8766" spans="1:7" hidden="1" x14ac:dyDescent="0.25">
      <c r="A8766" s="28">
        <v>44287</v>
      </c>
      <c r="B8766" s="27" t="s">
        <v>200</v>
      </c>
      <c r="C8766" s="27" t="s">
        <v>53</v>
      </c>
      <c r="D8766" s="27" t="s">
        <v>6</v>
      </c>
      <c r="E8766" s="27" t="s">
        <v>16</v>
      </c>
      <c r="F8766" s="29"/>
      <c r="G8766" s="30">
        <f t="shared" si="161"/>
        <v>463.14014179894195</v>
      </c>
    </row>
    <row r="8767" spans="1:7" hidden="1" x14ac:dyDescent="0.25">
      <c r="A8767" s="28">
        <v>44287</v>
      </c>
      <c r="B8767" s="27" t="s">
        <v>200</v>
      </c>
      <c r="C8767" s="27" t="s">
        <v>53</v>
      </c>
      <c r="D8767" s="27" t="s">
        <v>6</v>
      </c>
      <c r="E8767" s="27" t="s">
        <v>17</v>
      </c>
      <c r="F8767" s="29"/>
      <c r="G8767" s="30">
        <f t="shared" si="161"/>
        <v>463.14014179894195</v>
      </c>
    </row>
    <row r="8768" spans="1:7" hidden="1" x14ac:dyDescent="0.25">
      <c r="A8768" s="28">
        <v>44287</v>
      </c>
      <c r="B8768" s="27" t="s">
        <v>200</v>
      </c>
      <c r="C8768" s="27" t="s">
        <v>53</v>
      </c>
      <c r="D8768" s="27" t="s">
        <v>6</v>
      </c>
      <c r="E8768" s="27" t="s">
        <v>18</v>
      </c>
      <c r="F8768" s="29"/>
      <c r="G8768" s="30">
        <f t="shared" si="161"/>
        <v>463.14014179894195</v>
      </c>
    </row>
    <row r="8769" spans="1:7" hidden="1" x14ac:dyDescent="0.25">
      <c r="A8769" s="28">
        <v>44287</v>
      </c>
      <c r="B8769" s="27" t="s">
        <v>200</v>
      </c>
      <c r="C8769" s="27" t="s">
        <v>53</v>
      </c>
      <c r="D8769" s="27" t="s">
        <v>6</v>
      </c>
      <c r="E8769" s="27" t="s">
        <v>19</v>
      </c>
      <c r="F8769" s="29"/>
      <c r="G8769" s="30">
        <f t="shared" si="161"/>
        <v>463.14014179894195</v>
      </c>
    </row>
    <row r="8770" spans="1:7" hidden="1" x14ac:dyDescent="0.25">
      <c r="A8770" s="28">
        <v>44287</v>
      </c>
      <c r="B8770" s="27" t="s">
        <v>200</v>
      </c>
      <c r="C8770" s="27" t="s">
        <v>53</v>
      </c>
      <c r="D8770" s="27" t="s">
        <v>6</v>
      </c>
      <c r="E8770" s="27" t="s">
        <v>20</v>
      </c>
      <c r="F8770" s="29"/>
      <c r="G8770" s="30">
        <f t="shared" si="161"/>
        <v>463.14014179894195</v>
      </c>
    </row>
    <row r="8771" spans="1:7" hidden="1" x14ac:dyDescent="0.25">
      <c r="A8771" s="28">
        <v>44287</v>
      </c>
      <c r="B8771" s="27" t="s">
        <v>200</v>
      </c>
      <c r="C8771" s="27" t="s">
        <v>53</v>
      </c>
      <c r="D8771" s="27" t="s">
        <v>6</v>
      </c>
      <c r="E8771" s="27" t="s">
        <v>38</v>
      </c>
      <c r="F8771" s="29"/>
      <c r="G8771" s="30">
        <f t="shared" si="161"/>
        <v>463.14014179894195</v>
      </c>
    </row>
    <row r="8772" spans="1:7" hidden="1" x14ac:dyDescent="0.25">
      <c r="A8772" s="28">
        <v>44287</v>
      </c>
      <c r="B8772" s="27" t="s">
        <v>200</v>
      </c>
      <c r="C8772" s="27" t="s">
        <v>53</v>
      </c>
      <c r="D8772" s="27" t="s">
        <v>6</v>
      </c>
      <c r="E8772" s="27" t="s">
        <v>23</v>
      </c>
      <c r="F8772" s="29"/>
      <c r="G8772" s="30">
        <f t="shared" si="161"/>
        <v>463.14014179894195</v>
      </c>
    </row>
    <row r="8773" spans="1:7" hidden="1" x14ac:dyDescent="0.25">
      <c r="A8773" s="28">
        <v>44287</v>
      </c>
      <c r="B8773" s="27" t="s">
        <v>200</v>
      </c>
      <c r="C8773" s="27" t="s">
        <v>53</v>
      </c>
      <c r="D8773" s="27" t="s">
        <v>6</v>
      </c>
      <c r="E8773" s="27" t="s">
        <v>40</v>
      </c>
      <c r="F8773" s="29"/>
      <c r="G8773" s="30">
        <f t="shared" si="161"/>
        <v>463.14014179894195</v>
      </c>
    </row>
    <row r="8774" spans="1:7" hidden="1" x14ac:dyDescent="0.25">
      <c r="A8774" s="28">
        <v>44287</v>
      </c>
      <c r="B8774" s="27" t="s">
        <v>200</v>
      </c>
      <c r="C8774" s="27" t="s">
        <v>54</v>
      </c>
      <c r="D8774" s="27" t="s">
        <v>7</v>
      </c>
      <c r="E8774" s="27" t="s">
        <v>8</v>
      </c>
      <c r="F8774" s="29"/>
      <c r="G8774" s="30">
        <f t="shared" ref="G8774:G8794" si="162">89.37/21</f>
        <v>4.2557142857142862</v>
      </c>
    </row>
    <row r="8775" spans="1:7" hidden="1" x14ac:dyDescent="0.25">
      <c r="A8775" s="28">
        <v>44287</v>
      </c>
      <c r="B8775" s="27" t="s">
        <v>200</v>
      </c>
      <c r="C8775" s="27" t="s">
        <v>54</v>
      </c>
      <c r="D8775" s="27" t="s">
        <v>7</v>
      </c>
      <c r="E8775" s="27" t="s">
        <v>9</v>
      </c>
      <c r="F8775" s="29"/>
      <c r="G8775" s="30">
        <f t="shared" si="162"/>
        <v>4.2557142857142862</v>
      </c>
    </row>
    <row r="8776" spans="1:7" hidden="1" x14ac:dyDescent="0.25">
      <c r="A8776" s="28">
        <v>44287</v>
      </c>
      <c r="B8776" s="27" t="s">
        <v>200</v>
      </c>
      <c r="C8776" s="27" t="s">
        <v>54</v>
      </c>
      <c r="D8776" s="27" t="s">
        <v>7</v>
      </c>
      <c r="E8776" s="27" t="s">
        <v>22</v>
      </c>
      <c r="F8776" s="29"/>
      <c r="G8776" s="30">
        <f t="shared" si="162"/>
        <v>4.2557142857142862</v>
      </c>
    </row>
    <row r="8777" spans="1:7" hidden="1" x14ac:dyDescent="0.25">
      <c r="A8777" s="28">
        <v>44287</v>
      </c>
      <c r="B8777" s="27" t="s">
        <v>200</v>
      </c>
      <c r="C8777" s="27" t="s">
        <v>54</v>
      </c>
      <c r="D8777" s="27" t="s">
        <v>7</v>
      </c>
      <c r="E8777" s="27" t="s">
        <v>39</v>
      </c>
      <c r="F8777" s="29"/>
      <c r="G8777" s="30">
        <f t="shared" si="162"/>
        <v>4.2557142857142862</v>
      </c>
    </row>
    <row r="8778" spans="1:7" hidden="1" x14ac:dyDescent="0.25">
      <c r="A8778" s="28">
        <v>44287</v>
      </c>
      <c r="B8778" s="27" t="s">
        <v>200</v>
      </c>
      <c r="C8778" s="27" t="s">
        <v>54</v>
      </c>
      <c r="D8778" s="27" t="s">
        <v>7</v>
      </c>
      <c r="E8778" s="27" t="s">
        <v>64</v>
      </c>
      <c r="F8778" s="29"/>
      <c r="G8778" s="30">
        <f t="shared" si="162"/>
        <v>4.2557142857142862</v>
      </c>
    </row>
    <row r="8779" spans="1:7" hidden="1" x14ac:dyDescent="0.25">
      <c r="A8779" s="28">
        <v>44287</v>
      </c>
      <c r="B8779" s="27" t="s">
        <v>200</v>
      </c>
      <c r="C8779" s="27" t="s">
        <v>54</v>
      </c>
      <c r="D8779" s="27" t="s">
        <v>7</v>
      </c>
      <c r="E8779" s="27" t="s">
        <v>21</v>
      </c>
      <c r="F8779" s="29"/>
      <c r="G8779" s="30">
        <f t="shared" si="162"/>
        <v>4.2557142857142862</v>
      </c>
    </row>
    <row r="8780" spans="1:7" hidden="1" x14ac:dyDescent="0.25">
      <c r="A8780" s="28">
        <v>44287</v>
      </c>
      <c r="B8780" s="27" t="s">
        <v>200</v>
      </c>
      <c r="C8780" s="27" t="s">
        <v>54</v>
      </c>
      <c r="D8780" s="27" t="s">
        <v>7</v>
      </c>
      <c r="E8780" s="27" t="s">
        <v>41</v>
      </c>
      <c r="F8780" s="29"/>
      <c r="G8780" s="30">
        <f t="shared" si="162"/>
        <v>4.2557142857142862</v>
      </c>
    </row>
    <row r="8781" spans="1:7" hidden="1" x14ac:dyDescent="0.25">
      <c r="A8781" s="28">
        <v>44287</v>
      </c>
      <c r="B8781" s="27" t="s">
        <v>200</v>
      </c>
      <c r="C8781" s="27" t="s">
        <v>54</v>
      </c>
      <c r="D8781" s="27" t="s">
        <v>7</v>
      </c>
      <c r="E8781" s="27" t="s">
        <v>10</v>
      </c>
      <c r="F8781" s="29"/>
      <c r="G8781" s="30">
        <f t="shared" si="162"/>
        <v>4.2557142857142862</v>
      </c>
    </row>
    <row r="8782" spans="1:7" hidden="1" x14ac:dyDescent="0.25">
      <c r="A8782" s="28">
        <v>44287</v>
      </c>
      <c r="B8782" s="27" t="s">
        <v>200</v>
      </c>
      <c r="C8782" s="27" t="s">
        <v>54</v>
      </c>
      <c r="D8782" s="27" t="s">
        <v>7</v>
      </c>
      <c r="E8782" s="27" t="s">
        <v>11</v>
      </c>
      <c r="F8782" s="29"/>
      <c r="G8782" s="30">
        <f t="shared" si="162"/>
        <v>4.2557142857142862</v>
      </c>
    </row>
    <row r="8783" spans="1:7" hidden="1" x14ac:dyDescent="0.25">
      <c r="A8783" s="28">
        <v>44287</v>
      </c>
      <c r="B8783" s="27" t="s">
        <v>200</v>
      </c>
      <c r="C8783" s="27" t="s">
        <v>54</v>
      </c>
      <c r="D8783" s="27" t="s">
        <v>7</v>
      </c>
      <c r="E8783" s="27" t="s">
        <v>12</v>
      </c>
      <c r="F8783" s="29"/>
      <c r="G8783" s="30">
        <f t="shared" si="162"/>
        <v>4.2557142857142862</v>
      </c>
    </row>
    <row r="8784" spans="1:7" hidden="1" x14ac:dyDescent="0.25">
      <c r="A8784" s="28">
        <v>44287</v>
      </c>
      <c r="B8784" s="27" t="s">
        <v>200</v>
      </c>
      <c r="C8784" s="27" t="s">
        <v>54</v>
      </c>
      <c r="D8784" s="27" t="s">
        <v>7</v>
      </c>
      <c r="E8784" s="27" t="s">
        <v>13</v>
      </c>
      <c r="F8784" s="29"/>
      <c r="G8784" s="30">
        <f t="shared" si="162"/>
        <v>4.2557142857142862</v>
      </c>
    </row>
    <row r="8785" spans="1:7" hidden="1" x14ac:dyDescent="0.25">
      <c r="A8785" s="28">
        <v>44287</v>
      </c>
      <c r="B8785" s="27" t="s">
        <v>200</v>
      </c>
      <c r="C8785" s="27" t="s">
        <v>54</v>
      </c>
      <c r="D8785" s="27" t="s">
        <v>7</v>
      </c>
      <c r="E8785" s="27" t="s">
        <v>14</v>
      </c>
      <c r="F8785" s="29"/>
      <c r="G8785" s="30">
        <f t="shared" si="162"/>
        <v>4.2557142857142862</v>
      </c>
    </row>
    <row r="8786" spans="1:7" hidden="1" x14ac:dyDescent="0.25">
      <c r="A8786" s="28">
        <v>44287</v>
      </c>
      <c r="B8786" s="27" t="s">
        <v>200</v>
      </c>
      <c r="C8786" s="27" t="s">
        <v>54</v>
      </c>
      <c r="D8786" s="27" t="s">
        <v>7</v>
      </c>
      <c r="E8786" s="27" t="s">
        <v>15</v>
      </c>
      <c r="F8786" s="29"/>
      <c r="G8786" s="30">
        <f t="shared" si="162"/>
        <v>4.2557142857142862</v>
      </c>
    </row>
    <row r="8787" spans="1:7" hidden="1" x14ac:dyDescent="0.25">
      <c r="A8787" s="28">
        <v>44287</v>
      </c>
      <c r="B8787" s="27" t="s">
        <v>200</v>
      </c>
      <c r="C8787" s="27" t="s">
        <v>54</v>
      </c>
      <c r="D8787" s="27" t="s">
        <v>7</v>
      </c>
      <c r="E8787" s="27" t="s">
        <v>16</v>
      </c>
      <c r="F8787" s="29"/>
      <c r="G8787" s="30">
        <f t="shared" si="162"/>
        <v>4.2557142857142862</v>
      </c>
    </row>
    <row r="8788" spans="1:7" hidden="1" x14ac:dyDescent="0.25">
      <c r="A8788" s="28">
        <v>44287</v>
      </c>
      <c r="B8788" s="27" t="s">
        <v>200</v>
      </c>
      <c r="C8788" s="27" t="s">
        <v>54</v>
      </c>
      <c r="D8788" s="27" t="s">
        <v>7</v>
      </c>
      <c r="E8788" s="27" t="s">
        <v>17</v>
      </c>
      <c r="F8788" s="29"/>
      <c r="G8788" s="30">
        <f t="shared" si="162"/>
        <v>4.2557142857142862</v>
      </c>
    </row>
    <row r="8789" spans="1:7" hidden="1" x14ac:dyDescent="0.25">
      <c r="A8789" s="28">
        <v>44287</v>
      </c>
      <c r="B8789" s="27" t="s">
        <v>200</v>
      </c>
      <c r="C8789" s="27" t="s">
        <v>54</v>
      </c>
      <c r="D8789" s="27" t="s">
        <v>7</v>
      </c>
      <c r="E8789" s="27" t="s">
        <v>18</v>
      </c>
      <c r="F8789" s="29"/>
      <c r="G8789" s="30">
        <f t="shared" si="162"/>
        <v>4.2557142857142862</v>
      </c>
    </row>
    <row r="8790" spans="1:7" hidden="1" x14ac:dyDescent="0.25">
      <c r="A8790" s="28">
        <v>44287</v>
      </c>
      <c r="B8790" s="27" t="s">
        <v>200</v>
      </c>
      <c r="C8790" s="27" t="s">
        <v>54</v>
      </c>
      <c r="D8790" s="27" t="s">
        <v>7</v>
      </c>
      <c r="E8790" s="27" t="s">
        <v>19</v>
      </c>
      <c r="F8790" s="29"/>
      <c r="G8790" s="30">
        <f t="shared" si="162"/>
        <v>4.2557142857142862</v>
      </c>
    </row>
    <row r="8791" spans="1:7" hidden="1" x14ac:dyDescent="0.25">
      <c r="A8791" s="28">
        <v>44287</v>
      </c>
      <c r="B8791" s="27" t="s">
        <v>200</v>
      </c>
      <c r="C8791" s="27" t="s">
        <v>54</v>
      </c>
      <c r="D8791" s="27" t="s">
        <v>7</v>
      </c>
      <c r="E8791" s="27" t="s">
        <v>20</v>
      </c>
      <c r="F8791" s="29"/>
      <c r="G8791" s="30">
        <f t="shared" si="162"/>
        <v>4.2557142857142862</v>
      </c>
    </row>
    <row r="8792" spans="1:7" hidden="1" x14ac:dyDescent="0.25">
      <c r="A8792" s="28">
        <v>44287</v>
      </c>
      <c r="B8792" s="27" t="s">
        <v>200</v>
      </c>
      <c r="C8792" s="27" t="s">
        <v>54</v>
      </c>
      <c r="D8792" s="27" t="s">
        <v>7</v>
      </c>
      <c r="E8792" s="27" t="s">
        <v>38</v>
      </c>
      <c r="F8792" s="29"/>
      <c r="G8792" s="30">
        <f t="shared" si="162"/>
        <v>4.2557142857142862</v>
      </c>
    </row>
    <row r="8793" spans="1:7" hidden="1" x14ac:dyDescent="0.25">
      <c r="A8793" s="28">
        <v>44287</v>
      </c>
      <c r="B8793" s="27" t="s">
        <v>200</v>
      </c>
      <c r="C8793" s="27" t="s">
        <v>54</v>
      </c>
      <c r="D8793" s="27" t="s">
        <v>7</v>
      </c>
      <c r="E8793" s="27" t="s">
        <v>23</v>
      </c>
      <c r="F8793" s="29"/>
      <c r="G8793" s="30">
        <f t="shared" si="162"/>
        <v>4.2557142857142862</v>
      </c>
    </row>
    <row r="8794" spans="1:7" hidden="1" x14ac:dyDescent="0.25">
      <c r="A8794" s="28">
        <v>44287</v>
      </c>
      <c r="B8794" s="27" t="s">
        <v>200</v>
      </c>
      <c r="C8794" s="27" t="s">
        <v>54</v>
      </c>
      <c r="D8794" s="27" t="s">
        <v>7</v>
      </c>
      <c r="E8794" s="27" t="s">
        <v>40</v>
      </c>
      <c r="F8794" s="29"/>
      <c r="G8794" s="30">
        <f t="shared" si="162"/>
        <v>4.2557142857142862</v>
      </c>
    </row>
    <row r="8795" spans="1:7" hidden="1" x14ac:dyDescent="0.25">
      <c r="A8795" s="28">
        <v>44287</v>
      </c>
      <c r="B8795" s="27" t="s">
        <v>200</v>
      </c>
      <c r="C8795" s="27" t="s">
        <v>55</v>
      </c>
      <c r="D8795" s="27" t="s">
        <v>6</v>
      </c>
      <c r="E8795" s="27" t="s">
        <v>8</v>
      </c>
      <c r="F8795" s="29"/>
      <c r="G8795" s="30">
        <f t="shared" ref="G8795:G8815" si="163">33918.0318222222/21</f>
        <v>1615.1443724867713</v>
      </c>
    </row>
    <row r="8796" spans="1:7" hidden="1" x14ac:dyDescent="0.25">
      <c r="A8796" s="28">
        <v>44287</v>
      </c>
      <c r="B8796" s="27" t="s">
        <v>200</v>
      </c>
      <c r="C8796" s="27" t="s">
        <v>55</v>
      </c>
      <c r="D8796" s="27" t="s">
        <v>6</v>
      </c>
      <c r="E8796" s="27" t="s">
        <v>9</v>
      </c>
      <c r="F8796" s="29"/>
      <c r="G8796" s="30">
        <f t="shared" si="163"/>
        <v>1615.1443724867713</v>
      </c>
    </row>
    <row r="8797" spans="1:7" hidden="1" x14ac:dyDescent="0.25">
      <c r="A8797" s="28">
        <v>44287</v>
      </c>
      <c r="B8797" s="27" t="s">
        <v>200</v>
      </c>
      <c r="C8797" s="27" t="s">
        <v>55</v>
      </c>
      <c r="D8797" s="27" t="s">
        <v>6</v>
      </c>
      <c r="E8797" s="27" t="s">
        <v>22</v>
      </c>
      <c r="F8797" s="29"/>
      <c r="G8797" s="30">
        <f t="shared" si="163"/>
        <v>1615.1443724867713</v>
      </c>
    </row>
    <row r="8798" spans="1:7" hidden="1" x14ac:dyDescent="0.25">
      <c r="A8798" s="28">
        <v>44287</v>
      </c>
      <c r="B8798" s="27" t="s">
        <v>200</v>
      </c>
      <c r="C8798" s="27" t="s">
        <v>55</v>
      </c>
      <c r="D8798" s="27" t="s">
        <v>6</v>
      </c>
      <c r="E8798" s="27" t="s">
        <v>39</v>
      </c>
      <c r="F8798" s="29"/>
      <c r="G8798" s="30">
        <f t="shared" si="163"/>
        <v>1615.1443724867713</v>
      </c>
    </row>
    <row r="8799" spans="1:7" hidden="1" x14ac:dyDescent="0.25">
      <c r="A8799" s="28">
        <v>44287</v>
      </c>
      <c r="B8799" s="27" t="s">
        <v>200</v>
      </c>
      <c r="C8799" s="27" t="s">
        <v>55</v>
      </c>
      <c r="D8799" s="27" t="s">
        <v>6</v>
      </c>
      <c r="E8799" s="27" t="s">
        <v>64</v>
      </c>
      <c r="F8799" s="29"/>
      <c r="G8799" s="30">
        <f t="shared" si="163"/>
        <v>1615.1443724867713</v>
      </c>
    </row>
    <row r="8800" spans="1:7" hidden="1" x14ac:dyDescent="0.25">
      <c r="A8800" s="28">
        <v>44287</v>
      </c>
      <c r="B8800" s="27" t="s">
        <v>200</v>
      </c>
      <c r="C8800" s="27" t="s">
        <v>55</v>
      </c>
      <c r="D8800" s="27" t="s">
        <v>6</v>
      </c>
      <c r="E8800" s="27" t="s">
        <v>21</v>
      </c>
      <c r="F8800" s="29"/>
      <c r="G8800" s="30">
        <f t="shared" si="163"/>
        <v>1615.1443724867713</v>
      </c>
    </row>
    <row r="8801" spans="1:7" hidden="1" x14ac:dyDescent="0.25">
      <c r="A8801" s="28">
        <v>44287</v>
      </c>
      <c r="B8801" s="27" t="s">
        <v>200</v>
      </c>
      <c r="C8801" s="27" t="s">
        <v>55</v>
      </c>
      <c r="D8801" s="27" t="s">
        <v>6</v>
      </c>
      <c r="E8801" s="27" t="s">
        <v>41</v>
      </c>
      <c r="F8801" s="29"/>
      <c r="G8801" s="30">
        <f t="shared" si="163"/>
        <v>1615.1443724867713</v>
      </c>
    </row>
    <row r="8802" spans="1:7" hidden="1" x14ac:dyDescent="0.25">
      <c r="A8802" s="28">
        <v>44287</v>
      </c>
      <c r="B8802" s="27" t="s">
        <v>200</v>
      </c>
      <c r="C8802" s="27" t="s">
        <v>55</v>
      </c>
      <c r="D8802" s="27" t="s">
        <v>6</v>
      </c>
      <c r="E8802" s="27" t="s">
        <v>10</v>
      </c>
      <c r="F8802" s="29"/>
      <c r="G8802" s="30">
        <f t="shared" si="163"/>
        <v>1615.1443724867713</v>
      </c>
    </row>
    <row r="8803" spans="1:7" hidden="1" x14ac:dyDescent="0.25">
      <c r="A8803" s="28">
        <v>44287</v>
      </c>
      <c r="B8803" s="27" t="s">
        <v>200</v>
      </c>
      <c r="C8803" s="27" t="s">
        <v>55</v>
      </c>
      <c r="D8803" s="27" t="s">
        <v>6</v>
      </c>
      <c r="E8803" s="27" t="s">
        <v>11</v>
      </c>
      <c r="F8803" s="29"/>
      <c r="G8803" s="30">
        <f t="shared" si="163"/>
        <v>1615.1443724867713</v>
      </c>
    </row>
    <row r="8804" spans="1:7" hidden="1" x14ac:dyDescent="0.25">
      <c r="A8804" s="28">
        <v>44287</v>
      </c>
      <c r="B8804" s="27" t="s">
        <v>200</v>
      </c>
      <c r="C8804" s="27" t="s">
        <v>55</v>
      </c>
      <c r="D8804" s="27" t="s">
        <v>6</v>
      </c>
      <c r="E8804" s="27" t="s">
        <v>12</v>
      </c>
      <c r="F8804" s="29"/>
      <c r="G8804" s="30">
        <f t="shared" si="163"/>
        <v>1615.1443724867713</v>
      </c>
    </row>
    <row r="8805" spans="1:7" hidden="1" x14ac:dyDescent="0.25">
      <c r="A8805" s="28">
        <v>44287</v>
      </c>
      <c r="B8805" s="27" t="s">
        <v>200</v>
      </c>
      <c r="C8805" s="27" t="s">
        <v>55</v>
      </c>
      <c r="D8805" s="27" t="s">
        <v>6</v>
      </c>
      <c r="E8805" s="27" t="s">
        <v>13</v>
      </c>
      <c r="F8805" s="29"/>
      <c r="G8805" s="30">
        <f t="shared" si="163"/>
        <v>1615.1443724867713</v>
      </c>
    </row>
    <row r="8806" spans="1:7" hidden="1" x14ac:dyDescent="0.25">
      <c r="A8806" s="28">
        <v>44287</v>
      </c>
      <c r="B8806" s="27" t="s">
        <v>200</v>
      </c>
      <c r="C8806" s="27" t="s">
        <v>55</v>
      </c>
      <c r="D8806" s="27" t="s">
        <v>6</v>
      </c>
      <c r="E8806" s="27" t="s">
        <v>14</v>
      </c>
      <c r="F8806" s="29"/>
      <c r="G8806" s="30">
        <f t="shared" si="163"/>
        <v>1615.1443724867713</v>
      </c>
    </row>
    <row r="8807" spans="1:7" hidden="1" x14ac:dyDescent="0.25">
      <c r="A8807" s="28">
        <v>44287</v>
      </c>
      <c r="B8807" s="27" t="s">
        <v>200</v>
      </c>
      <c r="C8807" s="27" t="s">
        <v>55</v>
      </c>
      <c r="D8807" s="27" t="s">
        <v>6</v>
      </c>
      <c r="E8807" s="27" t="s">
        <v>15</v>
      </c>
      <c r="F8807" s="29"/>
      <c r="G8807" s="30">
        <f t="shared" si="163"/>
        <v>1615.1443724867713</v>
      </c>
    </row>
    <row r="8808" spans="1:7" hidden="1" x14ac:dyDescent="0.25">
      <c r="A8808" s="28">
        <v>44287</v>
      </c>
      <c r="B8808" s="27" t="s">
        <v>200</v>
      </c>
      <c r="C8808" s="27" t="s">
        <v>55</v>
      </c>
      <c r="D8808" s="27" t="s">
        <v>6</v>
      </c>
      <c r="E8808" s="27" t="s">
        <v>16</v>
      </c>
      <c r="F8808" s="29"/>
      <c r="G8808" s="30">
        <f t="shared" si="163"/>
        <v>1615.1443724867713</v>
      </c>
    </row>
    <row r="8809" spans="1:7" hidden="1" x14ac:dyDescent="0.25">
      <c r="A8809" s="28">
        <v>44287</v>
      </c>
      <c r="B8809" s="27" t="s">
        <v>200</v>
      </c>
      <c r="C8809" s="27" t="s">
        <v>55</v>
      </c>
      <c r="D8809" s="27" t="s">
        <v>6</v>
      </c>
      <c r="E8809" s="27" t="s">
        <v>17</v>
      </c>
      <c r="F8809" s="29"/>
      <c r="G8809" s="30">
        <f t="shared" si="163"/>
        <v>1615.1443724867713</v>
      </c>
    </row>
    <row r="8810" spans="1:7" hidden="1" x14ac:dyDescent="0.25">
      <c r="A8810" s="28">
        <v>44287</v>
      </c>
      <c r="B8810" s="27" t="s">
        <v>200</v>
      </c>
      <c r="C8810" s="27" t="s">
        <v>55</v>
      </c>
      <c r="D8810" s="27" t="s">
        <v>6</v>
      </c>
      <c r="E8810" s="27" t="s">
        <v>18</v>
      </c>
      <c r="F8810" s="29"/>
      <c r="G8810" s="30">
        <f t="shared" si="163"/>
        <v>1615.1443724867713</v>
      </c>
    </row>
    <row r="8811" spans="1:7" hidden="1" x14ac:dyDescent="0.25">
      <c r="A8811" s="28">
        <v>44287</v>
      </c>
      <c r="B8811" s="27" t="s">
        <v>200</v>
      </c>
      <c r="C8811" s="27" t="s">
        <v>55</v>
      </c>
      <c r="D8811" s="27" t="s">
        <v>6</v>
      </c>
      <c r="E8811" s="27" t="s">
        <v>19</v>
      </c>
      <c r="F8811" s="29"/>
      <c r="G8811" s="30">
        <f t="shared" si="163"/>
        <v>1615.1443724867713</v>
      </c>
    </row>
    <row r="8812" spans="1:7" hidden="1" x14ac:dyDescent="0.25">
      <c r="A8812" s="28">
        <v>44287</v>
      </c>
      <c r="B8812" s="27" t="s">
        <v>200</v>
      </c>
      <c r="C8812" s="27" t="s">
        <v>55</v>
      </c>
      <c r="D8812" s="27" t="s">
        <v>6</v>
      </c>
      <c r="E8812" s="27" t="s">
        <v>20</v>
      </c>
      <c r="F8812" s="29"/>
      <c r="G8812" s="30">
        <f t="shared" si="163"/>
        <v>1615.1443724867713</v>
      </c>
    </row>
    <row r="8813" spans="1:7" hidden="1" x14ac:dyDescent="0.25">
      <c r="A8813" s="28">
        <v>44287</v>
      </c>
      <c r="B8813" s="27" t="s">
        <v>200</v>
      </c>
      <c r="C8813" s="27" t="s">
        <v>55</v>
      </c>
      <c r="D8813" s="27" t="s">
        <v>6</v>
      </c>
      <c r="E8813" s="27" t="s">
        <v>38</v>
      </c>
      <c r="F8813" s="29"/>
      <c r="G8813" s="30">
        <f t="shared" si="163"/>
        <v>1615.1443724867713</v>
      </c>
    </row>
    <row r="8814" spans="1:7" hidden="1" x14ac:dyDescent="0.25">
      <c r="A8814" s="28">
        <v>44287</v>
      </c>
      <c r="B8814" s="27" t="s">
        <v>200</v>
      </c>
      <c r="C8814" s="27" t="s">
        <v>55</v>
      </c>
      <c r="D8814" s="27" t="s">
        <v>6</v>
      </c>
      <c r="E8814" s="27" t="s">
        <v>23</v>
      </c>
      <c r="F8814" s="29"/>
      <c r="G8814" s="30">
        <f t="shared" si="163"/>
        <v>1615.1443724867713</v>
      </c>
    </row>
    <row r="8815" spans="1:7" hidden="1" x14ac:dyDescent="0.25">
      <c r="A8815" s="28">
        <v>44287</v>
      </c>
      <c r="B8815" s="27" t="s">
        <v>200</v>
      </c>
      <c r="C8815" s="27" t="s">
        <v>55</v>
      </c>
      <c r="D8815" s="27" t="s">
        <v>6</v>
      </c>
      <c r="E8815" s="27" t="s">
        <v>40</v>
      </c>
      <c r="F8815" s="29"/>
      <c r="G8815" s="30">
        <f t="shared" si="163"/>
        <v>1615.1443724867713</v>
      </c>
    </row>
    <row r="8816" spans="1:7" hidden="1" x14ac:dyDescent="0.25">
      <c r="A8816" s="28">
        <v>44287</v>
      </c>
      <c r="B8816" s="27" t="s">
        <v>200</v>
      </c>
      <c r="C8816" s="27" t="s">
        <v>183</v>
      </c>
      <c r="D8816" s="27" t="s">
        <v>7</v>
      </c>
      <c r="E8816" s="27" t="s">
        <v>8</v>
      </c>
      <c r="F8816" s="29"/>
      <c r="G8816" s="30">
        <f t="shared" ref="G8816:G8836" si="164">3638.42/21</f>
        <v>173.25809523809525</v>
      </c>
    </row>
    <row r="8817" spans="1:7" hidden="1" x14ac:dyDescent="0.25">
      <c r="A8817" s="28">
        <v>44287</v>
      </c>
      <c r="B8817" s="27" t="s">
        <v>200</v>
      </c>
      <c r="C8817" s="27" t="s">
        <v>183</v>
      </c>
      <c r="D8817" s="27" t="s">
        <v>7</v>
      </c>
      <c r="E8817" s="27" t="s">
        <v>9</v>
      </c>
      <c r="F8817" s="29"/>
      <c r="G8817" s="30">
        <f t="shared" si="164"/>
        <v>173.25809523809525</v>
      </c>
    </row>
    <row r="8818" spans="1:7" hidden="1" x14ac:dyDescent="0.25">
      <c r="A8818" s="28">
        <v>44287</v>
      </c>
      <c r="B8818" s="27" t="s">
        <v>200</v>
      </c>
      <c r="C8818" s="27" t="s">
        <v>183</v>
      </c>
      <c r="D8818" s="27" t="s">
        <v>7</v>
      </c>
      <c r="E8818" s="27" t="s">
        <v>22</v>
      </c>
      <c r="F8818" s="29"/>
      <c r="G8818" s="30">
        <f t="shared" si="164"/>
        <v>173.25809523809525</v>
      </c>
    </row>
    <row r="8819" spans="1:7" hidden="1" x14ac:dyDescent="0.25">
      <c r="A8819" s="28">
        <v>44287</v>
      </c>
      <c r="B8819" s="27" t="s">
        <v>200</v>
      </c>
      <c r="C8819" s="27" t="s">
        <v>183</v>
      </c>
      <c r="D8819" s="27" t="s">
        <v>7</v>
      </c>
      <c r="E8819" s="27" t="s">
        <v>39</v>
      </c>
      <c r="F8819" s="29"/>
      <c r="G8819" s="30">
        <f t="shared" si="164"/>
        <v>173.25809523809525</v>
      </c>
    </row>
    <row r="8820" spans="1:7" hidden="1" x14ac:dyDescent="0.25">
      <c r="A8820" s="28">
        <v>44287</v>
      </c>
      <c r="B8820" s="27" t="s">
        <v>200</v>
      </c>
      <c r="C8820" s="27" t="s">
        <v>183</v>
      </c>
      <c r="D8820" s="27" t="s">
        <v>7</v>
      </c>
      <c r="E8820" s="27" t="s">
        <v>64</v>
      </c>
      <c r="F8820" s="29"/>
      <c r="G8820" s="30">
        <f t="shared" si="164"/>
        <v>173.25809523809525</v>
      </c>
    </row>
    <row r="8821" spans="1:7" hidden="1" x14ac:dyDescent="0.25">
      <c r="A8821" s="28">
        <v>44287</v>
      </c>
      <c r="B8821" s="27" t="s">
        <v>200</v>
      </c>
      <c r="C8821" s="27" t="s">
        <v>183</v>
      </c>
      <c r="D8821" s="27" t="s">
        <v>7</v>
      </c>
      <c r="E8821" s="27" t="s">
        <v>21</v>
      </c>
      <c r="F8821" s="29"/>
      <c r="G8821" s="30">
        <f t="shared" si="164"/>
        <v>173.25809523809525</v>
      </c>
    </row>
    <row r="8822" spans="1:7" hidden="1" x14ac:dyDescent="0.25">
      <c r="A8822" s="28">
        <v>44287</v>
      </c>
      <c r="B8822" s="27" t="s">
        <v>200</v>
      </c>
      <c r="C8822" s="27" t="s">
        <v>183</v>
      </c>
      <c r="D8822" s="27" t="s">
        <v>7</v>
      </c>
      <c r="E8822" s="27" t="s">
        <v>41</v>
      </c>
      <c r="F8822" s="29"/>
      <c r="G8822" s="30">
        <f t="shared" si="164"/>
        <v>173.25809523809525</v>
      </c>
    </row>
    <row r="8823" spans="1:7" hidden="1" x14ac:dyDescent="0.25">
      <c r="A8823" s="28">
        <v>44287</v>
      </c>
      <c r="B8823" s="27" t="s">
        <v>200</v>
      </c>
      <c r="C8823" s="27" t="s">
        <v>183</v>
      </c>
      <c r="D8823" s="27" t="s">
        <v>7</v>
      </c>
      <c r="E8823" s="27" t="s">
        <v>10</v>
      </c>
      <c r="F8823" s="29"/>
      <c r="G8823" s="30">
        <f t="shared" si="164"/>
        <v>173.25809523809525</v>
      </c>
    </row>
    <row r="8824" spans="1:7" hidden="1" x14ac:dyDescent="0.25">
      <c r="A8824" s="28">
        <v>44287</v>
      </c>
      <c r="B8824" s="27" t="s">
        <v>200</v>
      </c>
      <c r="C8824" s="27" t="s">
        <v>183</v>
      </c>
      <c r="D8824" s="27" t="s">
        <v>7</v>
      </c>
      <c r="E8824" s="27" t="s">
        <v>11</v>
      </c>
      <c r="F8824" s="29"/>
      <c r="G8824" s="30">
        <f t="shared" si="164"/>
        <v>173.25809523809525</v>
      </c>
    </row>
    <row r="8825" spans="1:7" hidden="1" x14ac:dyDescent="0.25">
      <c r="A8825" s="28">
        <v>44287</v>
      </c>
      <c r="B8825" s="27" t="s">
        <v>200</v>
      </c>
      <c r="C8825" s="27" t="s">
        <v>183</v>
      </c>
      <c r="D8825" s="27" t="s">
        <v>7</v>
      </c>
      <c r="E8825" s="27" t="s">
        <v>12</v>
      </c>
      <c r="F8825" s="29"/>
      <c r="G8825" s="30">
        <f t="shared" si="164"/>
        <v>173.25809523809525</v>
      </c>
    </row>
    <row r="8826" spans="1:7" hidden="1" x14ac:dyDescent="0.25">
      <c r="A8826" s="28">
        <v>44287</v>
      </c>
      <c r="B8826" s="27" t="s">
        <v>200</v>
      </c>
      <c r="C8826" s="27" t="s">
        <v>183</v>
      </c>
      <c r="D8826" s="27" t="s">
        <v>7</v>
      </c>
      <c r="E8826" s="27" t="s">
        <v>13</v>
      </c>
      <c r="F8826" s="29"/>
      <c r="G8826" s="30">
        <f t="shared" si="164"/>
        <v>173.25809523809525</v>
      </c>
    </row>
    <row r="8827" spans="1:7" hidden="1" x14ac:dyDescent="0.25">
      <c r="A8827" s="28">
        <v>44287</v>
      </c>
      <c r="B8827" s="27" t="s">
        <v>200</v>
      </c>
      <c r="C8827" s="27" t="s">
        <v>183</v>
      </c>
      <c r="D8827" s="27" t="s">
        <v>7</v>
      </c>
      <c r="E8827" s="27" t="s">
        <v>14</v>
      </c>
      <c r="F8827" s="29"/>
      <c r="G8827" s="30">
        <f t="shared" si="164"/>
        <v>173.25809523809525</v>
      </c>
    </row>
    <row r="8828" spans="1:7" hidden="1" x14ac:dyDescent="0.25">
      <c r="A8828" s="28">
        <v>44287</v>
      </c>
      <c r="B8828" s="27" t="s">
        <v>200</v>
      </c>
      <c r="C8828" s="27" t="s">
        <v>183</v>
      </c>
      <c r="D8828" s="27" t="s">
        <v>7</v>
      </c>
      <c r="E8828" s="27" t="s">
        <v>15</v>
      </c>
      <c r="F8828" s="29"/>
      <c r="G8828" s="30">
        <f t="shared" si="164"/>
        <v>173.25809523809525</v>
      </c>
    </row>
    <row r="8829" spans="1:7" hidden="1" x14ac:dyDescent="0.25">
      <c r="A8829" s="28">
        <v>44287</v>
      </c>
      <c r="B8829" s="27" t="s">
        <v>200</v>
      </c>
      <c r="C8829" s="27" t="s">
        <v>183</v>
      </c>
      <c r="D8829" s="27" t="s">
        <v>7</v>
      </c>
      <c r="E8829" s="27" t="s">
        <v>16</v>
      </c>
      <c r="F8829" s="29"/>
      <c r="G8829" s="30">
        <f t="shared" si="164"/>
        <v>173.25809523809525</v>
      </c>
    </row>
    <row r="8830" spans="1:7" hidden="1" x14ac:dyDescent="0.25">
      <c r="A8830" s="28">
        <v>44287</v>
      </c>
      <c r="B8830" s="27" t="s">
        <v>200</v>
      </c>
      <c r="C8830" s="27" t="s">
        <v>183</v>
      </c>
      <c r="D8830" s="27" t="s">
        <v>7</v>
      </c>
      <c r="E8830" s="27" t="s">
        <v>17</v>
      </c>
      <c r="F8830" s="29"/>
      <c r="G8830" s="30">
        <f t="shared" si="164"/>
        <v>173.25809523809525</v>
      </c>
    </row>
    <row r="8831" spans="1:7" hidden="1" x14ac:dyDescent="0.25">
      <c r="A8831" s="28">
        <v>44287</v>
      </c>
      <c r="B8831" s="27" t="s">
        <v>200</v>
      </c>
      <c r="C8831" s="27" t="s">
        <v>183</v>
      </c>
      <c r="D8831" s="27" t="s">
        <v>7</v>
      </c>
      <c r="E8831" s="27" t="s">
        <v>18</v>
      </c>
      <c r="F8831" s="29"/>
      <c r="G8831" s="30">
        <f t="shared" si="164"/>
        <v>173.25809523809525</v>
      </c>
    </row>
    <row r="8832" spans="1:7" hidden="1" x14ac:dyDescent="0.25">
      <c r="A8832" s="28">
        <v>44287</v>
      </c>
      <c r="B8832" s="27" t="s">
        <v>200</v>
      </c>
      <c r="C8832" s="27" t="s">
        <v>183</v>
      </c>
      <c r="D8832" s="27" t="s">
        <v>7</v>
      </c>
      <c r="E8832" s="27" t="s">
        <v>19</v>
      </c>
      <c r="F8832" s="29"/>
      <c r="G8832" s="30">
        <f t="shared" si="164"/>
        <v>173.25809523809525</v>
      </c>
    </row>
    <row r="8833" spans="1:7" hidden="1" x14ac:dyDescent="0.25">
      <c r="A8833" s="28">
        <v>44287</v>
      </c>
      <c r="B8833" s="27" t="s">
        <v>200</v>
      </c>
      <c r="C8833" s="27" t="s">
        <v>183</v>
      </c>
      <c r="D8833" s="27" t="s">
        <v>7</v>
      </c>
      <c r="E8833" s="27" t="s">
        <v>20</v>
      </c>
      <c r="F8833" s="29"/>
      <c r="G8833" s="30">
        <f t="shared" si="164"/>
        <v>173.25809523809525</v>
      </c>
    </row>
    <row r="8834" spans="1:7" hidden="1" x14ac:dyDescent="0.25">
      <c r="A8834" s="28">
        <v>44287</v>
      </c>
      <c r="B8834" s="27" t="s">
        <v>200</v>
      </c>
      <c r="C8834" s="27" t="s">
        <v>183</v>
      </c>
      <c r="D8834" s="27" t="s">
        <v>7</v>
      </c>
      <c r="E8834" s="27" t="s">
        <v>38</v>
      </c>
      <c r="F8834" s="29"/>
      <c r="G8834" s="30">
        <f t="shared" si="164"/>
        <v>173.25809523809525</v>
      </c>
    </row>
    <row r="8835" spans="1:7" hidden="1" x14ac:dyDescent="0.25">
      <c r="A8835" s="28">
        <v>44287</v>
      </c>
      <c r="B8835" s="27" t="s">
        <v>200</v>
      </c>
      <c r="C8835" s="27" t="s">
        <v>183</v>
      </c>
      <c r="D8835" s="27" t="s">
        <v>7</v>
      </c>
      <c r="E8835" s="27" t="s">
        <v>23</v>
      </c>
      <c r="F8835" s="29"/>
      <c r="G8835" s="30">
        <f t="shared" si="164"/>
        <v>173.25809523809525</v>
      </c>
    </row>
    <row r="8836" spans="1:7" hidden="1" x14ac:dyDescent="0.25">
      <c r="A8836" s="28">
        <v>44287</v>
      </c>
      <c r="B8836" s="27" t="s">
        <v>200</v>
      </c>
      <c r="C8836" s="27" t="s">
        <v>183</v>
      </c>
      <c r="D8836" s="27" t="s">
        <v>7</v>
      </c>
      <c r="E8836" s="27" t="s">
        <v>40</v>
      </c>
      <c r="F8836" s="29"/>
      <c r="G8836" s="30">
        <f t="shared" si="164"/>
        <v>173.25809523809525</v>
      </c>
    </row>
    <row r="8837" spans="1:7" hidden="1" x14ac:dyDescent="0.25">
      <c r="A8837" s="28">
        <v>44287</v>
      </c>
      <c r="B8837" s="27" t="s">
        <v>200</v>
      </c>
      <c r="C8837" s="27" t="s">
        <v>56</v>
      </c>
      <c r="D8837" s="27" t="s">
        <v>6</v>
      </c>
      <c r="E8837" s="27" t="s">
        <v>8</v>
      </c>
      <c r="F8837" s="29"/>
      <c r="G8837" s="30">
        <f t="shared" ref="G8837:G8857" si="165">48363.4250222222/21</f>
        <v>2303.0202391534381</v>
      </c>
    </row>
    <row r="8838" spans="1:7" hidden="1" x14ac:dyDescent="0.25">
      <c r="A8838" s="28">
        <v>44287</v>
      </c>
      <c r="B8838" s="27" t="s">
        <v>200</v>
      </c>
      <c r="C8838" s="27" t="s">
        <v>56</v>
      </c>
      <c r="D8838" s="27" t="s">
        <v>6</v>
      </c>
      <c r="E8838" s="27" t="s">
        <v>9</v>
      </c>
      <c r="F8838" s="29"/>
      <c r="G8838" s="30">
        <f t="shared" si="165"/>
        <v>2303.0202391534381</v>
      </c>
    </row>
    <row r="8839" spans="1:7" hidden="1" x14ac:dyDescent="0.25">
      <c r="A8839" s="28">
        <v>44287</v>
      </c>
      <c r="B8839" s="27" t="s">
        <v>200</v>
      </c>
      <c r="C8839" s="27" t="s">
        <v>56</v>
      </c>
      <c r="D8839" s="27" t="s">
        <v>6</v>
      </c>
      <c r="E8839" s="27" t="s">
        <v>22</v>
      </c>
      <c r="F8839" s="29"/>
      <c r="G8839" s="30">
        <f t="shared" si="165"/>
        <v>2303.0202391534381</v>
      </c>
    </row>
    <row r="8840" spans="1:7" hidden="1" x14ac:dyDescent="0.25">
      <c r="A8840" s="28">
        <v>44287</v>
      </c>
      <c r="B8840" s="27" t="s">
        <v>200</v>
      </c>
      <c r="C8840" s="27" t="s">
        <v>56</v>
      </c>
      <c r="D8840" s="27" t="s">
        <v>6</v>
      </c>
      <c r="E8840" s="27" t="s">
        <v>39</v>
      </c>
      <c r="F8840" s="29"/>
      <c r="G8840" s="30">
        <f t="shared" si="165"/>
        <v>2303.0202391534381</v>
      </c>
    </row>
    <row r="8841" spans="1:7" hidden="1" x14ac:dyDescent="0.25">
      <c r="A8841" s="28">
        <v>44287</v>
      </c>
      <c r="B8841" s="27" t="s">
        <v>200</v>
      </c>
      <c r="C8841" s="27" t="s">
        <v>56</v>
      </c>
      <c r="D8841" s="27" t="s">
        <v>6</v>
      </c>
      <c r="E8841" s="27" t="s">
        <v>64</v>
      </c>
      <c r="F8841" s="29"/>
      <c r="G8841" s="30">
        <f t="shared" si="165"/>
        <v>2303.0202391534381</v>
      </c>
    </row>
    <row r="8842" spans="1:7" hidden="1" x14ac:dyDescent="0.25">
      <c r="A8842" s="28">
        <v>44287</v>
      </c>
      <c r="B8842" s="27" t="s">
        <v>200</v>
      </c>
      <c r="C8842" s="27" t="s">
        <v>56</v>
      </c>
      <c r="D8842" s="27" t="s">
        <v>6</v>
      </c>
      <c r="E8842" s="27" t="s">
        <v>21</v>
      </c>
      <c r="F8842" s="29"/>
      <c r="G8842" s="30">
        <f t="shared" si="165"/>
        <v>2303.0202391534381</v>
      </c>
    </row>
    <row r="8843" spans="1:7" hidden="1" x14ac:dyDescent="0.25">
      <c r="A8843" s="28">
        <v>44287</v>
      </c>
      <c r="B8843" s="27" t="s">
        <v>200</v>
      </c>
      <c r="C8843" s="27" t="s">
        <v>56</v>
      </c>
      <c r="D8843" s="27" t="s">
        <v>6</v>
      </c>
      <c r="E8843" s="27" t="s">
        <v>41</v>
      </c>
      <c r="F8843" s="29"/>
      <c r="G8843" s="30">
        <f t="shared" si="165"/>
        <v>2303.0202391534381</v>
      </c>
    </row>
    <row r="8844" spans="1:7" hidden="1" x14ac:dyDescent="0.25">
      <c r="A8844" s="28">
        <v>44287</v>
      </c>
      <c r="B8844" s="27" t="s">
        <v>200</v>
      </c>
      <c r="C8844" s="27" t="s">
        <v>56</v>
      </c>
      <c r="D8844" s="27" t="s">
        <v>6</v>
      </c>
      <c r="E8844" s="27" t="s">
        <v>10</v>
      </c>
      <c r="F8844" s="29"/>
      <c r="G8844" s="30">
        <f t="shared" si="165"/>
        <v>2303.0202391534381</v>
      </c>
    </row>
    <row r="8845" spans="1:7" hidden="1" x14ac:dyDescent="0.25">
      <c r="A8845" s="28">
        <v>44287</v>
      </c>
      <c r="B8845" s="27" t="s">
        <v>200</v>
      </c>
      <c r="C8845" s="27" t="s">
        <v>56</v>
      </c>
      <c r="D8845" s="27" t="s">
        <v>6</v>
      </c>
      <c r="E8845" s="27" t="s">
        <v>11</v>
      </c>
      <c r="F8845" s="29"/>
      <c r="G8845" s="30">
        <f t="shared" si="165"/>
        <v>2303.0202391534381</v>
      </c>
    </row>
    <row r="8846" spans="1:7" hidden="1" x14ac:dyDescent="0.25">
      <c r="A8846" s="28">
        <v>44287</v>
      </c>
      <c r="B8846" s="27" t="s">
        <v>200</v>
      </c>
      <c r="C8846" s="27" t="s">
        <v>56</v>
      </c>
      <c r="D8846" s="27" t="s">
        <v>6</v>
      </c>
      <c r="E8846" s="27" t="s">
        <v>12</v>
      </c>
      <c r="F8846" s="29"/>
      <c r="G8846" s="30">
        <f t="shared" si="165"/>
        <v>2303.0202391534381</v>
      </c>
    </row>
    <row r="8847" spans="1:7" hidden="1" x14ac:dyDescent="0.25">
      <c r="A8847" s="28">
        <v>44287</v>
      </c>
      <c r="B8847" s="27" t="s">
        <v>200</v>
      </c>
      <c r="C8847" s="27" t="s">
        <v>56</v>
      </c>
      <c r="D8847" s="27" t="s">
        <v>6</v>
      </c>
      <c r="E8847" s="27" t="s">
        <v>13</v>
      </c>
      <c r="F8847" s="29"/>
      <c r="G8847" s="30">
        <f t="shared" si="165"/>
        <v>2303.0202391534381</v>
      </c>
    </row>
    <row r="8848" spans="1:7" hidden="1" x14ac:dyDescent="0.25">
      <c r="A8848" s="28">
        <v>44287</v>
      </c>
      <c r="B8848" s="27" t="s">
        <v>200</v>
      </c>
      <c r="C8848" s="27" t="s">
        <v>56</v>
      </c>
      <c r="D8848" s="27" t="s">
        <v>6</v>
      </c>
      <c r="E8848" s="27" t="s">
        <v>14</v>
      </c>
      <c r="F8848" s="29"/>
      <c r="G8848" s="30">
        <f t="shared" si="165"/>
        <v>2303.0202391534381</v>
      </c>
    </row>
    <row r="8849" spans="1:7" hidden="1" x14ac:dyDescent="0.25">
      <c r="A8849" s="28">
        <v>44287</v>
      </c>
      <c r="B8849" s="27" t="s">
        <v>200</v>
      </c>
      <c r="C8849" s="27" t="s">
        <v>56</v>
      </c>
      <c r="D8849" s="27" t="s">
        <v>6</v>
      </c>
      <c r="E8849" s="27" t="s">
        <v>15</v>
      </c>
      <c r="F8849" s="29"/>
      <c r="G8849" s="30">
        <f t="shared" si="165"/>
        <v>2303.0202391534381</v>
      </c>
    </row>
    <row r="8850" spans="1:7" hidden="1" x14ac:dyDescent="0.25">
      <c r="A8850" s="28">
        <v>44287</v>
      </c>
      <c r="B8850" s="27" t="s">
        <v>200</v>
      </c>
      <c r="C8850" s="27" t="s">
        <v>56</v>
      </c>
      <c r="D8850" s="27" t="s">
        <v>6</v>
      </c>
      <c r="E8850" s="27" t="s">
        <v>16</v>
      </c>
      <c r="F8850" s="29"/>
      <c r="G8850" s="30">
        <f t="shared" si="165"/>
        <v>2303.0202391534381</v>
      </c>
    </row>
    <row r="8851" spans="1:7" hidden="1" x14ac:dyDescent="0.25">
      <c r="A8851" s="28">
        <v>44287</v>
      </c>
      <c r="B8851" s="27" t="s">
        <v>200</v>
      </c>
      <c r="C8851" s="27" t="s">
        <v>56</v>
      </c>
      <c r="D8851" s="27" t="s">
        <v>6</v>
      </c>
      <c r="E8851" s="27" t="s">
        <v>17</v>
      </c>
      <c r="F8851" s="29"/>
      <c r="G8851" s="30">
        <f t="shared" si="165"/>
        <v>2303.0202391534381</v>
      </c>
    </row>
    <row r="8852" spans="1:7" hidden="1" x14ac:dyDescent="0.25">
      <c r="A8852" s="28">
        <v>44287</v>
      </c>
      <c r="B8852" s="27" t="s">
        <v>200</v>
      </c>
      <c r="C8852" s="27" t="s">
        <v>56</v>
      </c>
      <c r="D8852" s="27" t="s">
        <v>6</v>
      </c>
      <c r="E8852" s="27" t="s">
        <v>18</v>
      </c>
      <c r="F8852" s="29"/>
      <c r="G8852" s="30">
        <f t="shared" si="165"/>
        <v>2303.0202391534381</v>
      </c>
    </row>
    <row r="8853" spans="1:7" hidden="1" x14ac:dyDescent="0.25">
      <c r="A8853" s="28">
        <v>44287</v>
      </c>
      <c r="B8853" s="27" t="s">
        <v>200</v>
      </c>
      <c r="C8853" s="27" t="s">
        <v>56</v>
      </c>
      <c r="D8853" s="27" t="s">
        <v>6</v>
      </c>
      <c r="E8853" s="27" t="s">
        <v>19</v>
      </c>
      <c r="F8853" s="29"/>
      <c r="G8853" s="30">
        <f t="shared" si="165"/>
        <v>2303.0202391534381</v>
      </c>
    </row>
    <row r="8854" spans="1:7" hidden="1" x14ac:dyDescent="0.25">
      <c r="A8854" s="28">
        <v>44287</v>
      </c>
      <c r="B8854" s="27" t="s">
        <v>200</v>
      </c>
      <c r="C8854" s="27" t="s">
        <v>56</v>
      </c>
      <c r="D8854" s="27" t="s">
        <v>6</v>
      </c>
      <c r="E8854" s="27" t="s">
        <v>20</v>
      </c>
      <c r="F8854" s="29"/>
      <c r="G8854" s="30">
        <f t="shared" si="165"/>
        <v>2303.0202391534381</v>
      </c>
    </row>
    <row r="8855" spans="1:7" hidden="1" x14ac:dyDescent="0.25">
      <c r="A8855" s="28">
        <v>44287</v>
      </c>
      <c r="B8855" s="27" t="s">
        <v>200</v>
      </c>
      <c r="C8855" s="27" t="s">
        <v>56</v>
      </c>
      <c r="D8855" s="27" t="s">
        <v>6</v>
      </c>
      <c r="E8855" s="27" t="s">
        <v>38</v>
      </c>
      <c r="F8855" s="29"/>
      <c r="G8855" s="30">
        <f t="shared" si="165"/>
        <v>2303.0202391534381</v>
      </c>
    </row>
    <row r="8856" spans="1:7" hidden="1" x14ac:dyDescent="0.25">
      <c r="A8856" s="28">
        <v>44287</v>
      </c>
      <c r="B8856" s="27" t="s">
        <v>200</v>
      </c>
      <c r="C8856" s="27" t="s">
        <v>56</v>
      </c>
      <c r="D8856" s="27" t="s">
        <v>6</v>
      </c>
      <c r="E8856" s="27" t="s">
        <v>23</v>
      </c>
      <c r="F8856" s="29"/>
      <c r="G8856" s="30">
        <f t="shared" si="165"/>
        <v>2303.0202391534381</v>
      </c>
    </row>
    <row r="8857" spans="1:7" hidden="1" x14ac:dyDescent="0.25">
      <c r="A8857" s="28">
        <v>44287</v>
      </c>
      <c r="B8857" s="27" t="s">
        <v>200</v>
      </c>
      <c r="C8857" s="27" t="s">
        <v>56</v>
      </c>
      <c r="D8857" s="27" t="s">
        <v>6</v>
      </c>
      <c r="E8857" s="27" t="s">
        <v>40</v>
      </c>
      <c r="F8857" s="29"/>
      <c r="G8857" s="30">
        <f t="shared" si="165"/>
        <v>2303.0202391534381</v>
      </c>
    </row>
    <row r="8858" spans="1:7" hidden="1" x14ac:dyDescent="0.25">
      <c r="A8858" s="28">
        <v>44287</v>
      </c>
      <c r="B8858" s="27" t="s">
        <v>200</v>
      </c>
      <c r="C8858" s="27" t="s">
        <v>182</v>
      </c>
      <c r="D8858" s="27" t="s">
        <v>7</v>
      </c>
      <c r="E8858" s="27" t="s">
        <v>8</v>
      </c>
      <c r="F8858" s="29"/>
      <c r="G8858" s="30">
        <f t="shared" ref="G8858:G8878" si="166">3179.61/21</f>
        <v>151.41</v>
      </c>
    </row>
    <row r="8859" spans="1:7" hidden="1" x14ac:dyDescent="0.25">
      <c r="A8859" s="28">
        <v>44287</v>
      </c>
      <c r="B8859" s="27" t="s">
        <v>200</v>
      </c>
      <c r="C8859" s="27" t="s">
        <v>182</v>
      </c>
      <c r="D8859" s="27" t="s">
        <v>7</v>
      </c>
      <c r="E8859" s="27" t="s">
        <v>9</v>
      </c>
      <c r="F8859" s="29"/>
      <c r="G8859" s="30">
        <f t="shared" si="166"/>
        <v>151.41</v>
      </c>
    </row>
    <row r="8860" spans="1:7" hidden="1" x14ac:dyDescent="0.25">
      <c r="A8860" s="28">
        <v>44287</v>
      </c>
      <c r="B8860" s="27" t="s">
        <v>200</v>
      </c>
      <c r="C8860" s="27" t="s">
        <v>182</v>
      </c>
      <c r="D8860" s="27" t="s">
        <v>7</v>
      </c>
      <c r="E8860" s="27" t="s">
        <v>22</v>
      </c>
      <c r="F8860" s="29"/>
      <c r="G8860" s="30">
        <f t="shared" si="166"/>
        <v>151.41</v>
      </c>
    </row>
    <row r="8861" spans="1:7" hidden="1" x14ac:dyDescent="0.25">
      <c r="A8861" s="28">
        <v>44287</v>
      </c>
      <c r="B8861" s="27" t="s">
        <v>200</v>
      </c>
      <c r="C8861" s="27" t="s">
        <v>182</v>
      </c>
      <c r="D8861" s="27" t="s">
        <v>7</v>
      </c>
      <c r="E8861" s="27" t="s">
        <v>39</v>
      </c>
      <c r="F8861" s="29"/>
      <c r="G8861" s="30">
        <f t="shared" si="166"/>
        <v>151.41</v>
      </c>
    </row>
    <row r="8862" spans="1:7" hidden="1" x14ac:dyDescent="0.25">
      <c r="A8862" s="28">
        <v>44287</v>
      </c>
      <c r="B8862" s="27" t="s">
        <v>200</v>
      </c>
      <c r="C8862" s="27" t="s">
        <v>182</v>
      </c>
      <c r="D8862" s="27" t="s">
        <v>7</v>
      </c>
      <c r="E8862" s="27" t="s">
        <v>64</v>
      </c>
      <c r="F8862" s="29"/>
      <c r="G8862" s="30">
        <f t="shared" si="166"/>
        <v>151.41</v>
      </c>
    </row>
    <row r="8863" spans="1:7" hidden="1" x14ac:dyDescent="0.25">
      <c r="A8863" s="28">
        <v>44287</v>
      </c>
      <c r="B8863" s="27" t="s">
        <v>200</v>
      </c>
      <c r="C8863" s="27" t="s">
        <v>182</v>
      </c>
      <c r="D8863" s="27" t="s">
        <v>7</v>
      </c>
      <c r="E8863" s="27" t="s">
        <v>21</v>
      </c>
      <c r="F8863" s="29"/>
      <c r="G8863" s="30">
        <f t="shared" si="166"/>
        <v>151.41</v>
      </c>
    </row>
    <row r="8864" spans="1:7" hidden="1" x14ac:dyDescent="0.25">
      <c r="A8864" s="28">
        <v>44287</v>
      </c>
      <c r="B8864" s="27" t="s">
        <v>200</v>
      </c>
      <c r="C8864" s="27" t="s">
        <v>182</v>
      </c>
      <c r="D8864" s="27" t="s">
        <v>7</v>
      </c>
      <c r="E8864" s="27" t="s">
        <v>41</v>
      </c>
      <c r="F8864" s="29"/>
      <c r="G8864" s="30">
        <f t="shared" si="166"/>
        <v>151.41</v>
      </c>
    </row>
    <row r="8865" spans="1:7" hidden="1" x14ac:dyDescent="0.25">
      <c r="A8865" s="28">
        <v>44287</v>
      </c>
      <c r="B8865" s="27" t="s">
        <v>200</v>
      </c>
      <c r="C8865" s="27" t="s">
        <v>182</v>
      </c>
      <c r="D8865" s="27" t="s">
        <v>7</v>
      </c>
      <c r="E8865" s="27" t="s">
        <v>10</v>
      </c>
      <c r="F8865" s="29"/>
      <c r="G8865" s="30">
        <f t="shared" si="166"/>
        <v>151.41</v>
      </c>
    </row>
    <row r="8866" spans="1:7" hidden="1" x14ac:dyDescent="0.25">
      <c r="A8866" s="28">
        <v>44287</v>
      </c>
      <c r="B8866" s="27" t="s">
        <v>200</v>
      </c>
      <c r="C8866" s="27" t="s">
        <v>182</v>
      </c>
      <c r="D8866" s="27" t="s">
        <v>7</v>
      </c>
      <c r="E8866" s="27" t="s">
        <v>11</v>
      </c>
      <c r="F8866" s="29"/>
      <c r="G8866" s="30">
        <f t="shared" si="166"/>
        <v>151.41</v>
      </c>
    </row>
    <row r="8867" spans="1:7" hidden="1" x14ac:dyDescent="0.25">
      <c r="A8867" s="28">
        <v>44287</v>
      </c>
      <c r="B8867" s="27" t="s">
        <v>200</v>
      </c>
      <c r="C8867" s="27" t="s">
        <v>182</v>
      </c>
      <c r="D8867" s="27" t="s">
        <v>7</v>
      </c>
      <c r="E8867" s="27" t="s">
        <v>12</v>
      </c>
      <c r="F8867" s="29"/>
      <c r="G8867" s="30">
        <f t="shared" si="166"/>
        <v>151.41</v>
      </c>
    </row>
    <row r="8868" spans="1:7" hidden="1" x14ac:dyDescent="0.25">
      <c r="A8868" s="28">
        <v>44287</v>
      </c>
      <c r="B8868" s="27" t="s">
        <v>200</v>
      </c>
      <c r="C8868" s="27" t="s">
        <v>182</v>
      </c>
      <c r="D8868" s="27" t="s">
        <v>7</v>
      </c>
      <c r="E8868" s="27" t="s">
        <v>13</v>
      </c>
      <c r="F8868" s="29"/>
      <c r="G8868" s="30">
        <f t="shared" si="166"/>
        <v>151.41</v>
      </c>
    </row>
    <row r="8869" spans="1:7" hidden="1" x14ac:dyDescent="0.25">
      <c r="A8869" s="28">
        <v>44287</v>
      </c>
      <c r="B8869" s="27" t="s">
        <v>200</v>
      </c>
      <c r="C8869" s="27" t="s">
        <v>182</v>
      </c>
      <c r="D8869" s="27" t="s">
        <v>7</v>
      </c>
      <c r="E8869" s="27" t="s">
        <v>14</v>
      </c>
      <c r="F8869" s="29"/>
      <c r="G8869" s="30">
        <f t="shared" si="166"/>
        <v>151.41</v>
      </c>
    </row>
    <row r="8870" spans="1:7" hidden="1" x14ac:dyDescent="0.25">
      <c r="A8870" s="28">
        <v>44287</v>
      </c>
      <c r="B8870" s="27" t="s">
        <v>200</v>
      </c>
      <c r="C8870" s="27" t="s">
        <v>182</v>
      </c>
      <c r="D8870" s="27" t="s">
        <v>7</v>
      </c>
      <c r="E8870" s="27" t="s">
        <v>15</v>
      </c>
      <c r="F8870" s="29"/>
      <c r="G8870" s="30">
        <f t="shared" si="166"/>
        <v>151.41</v>
      </c>
    </row>
    <row r="8871" spans="1:7" hidden="1" x14ac:dyDescent="0.25">
      <c r="A8871" s="28">
        <v>44287</v>
      </c>
      <c r="B8871" s="27" t="s">
        <v>200</v>
      </c>
      <c r="C8871" s="27" t="s">
        <v>182</v>
      </c>
      <c r="D8871" s="27" t="s">
        <v>7</v>
      </c>
      <c r="E8871" s="27" t="s">
        <v>16</v>
      </c>
      <c r="F8871" s="29"/>
      <c r="G8871" s="30">
        <f t="shared" si="166"/>
        <v>151.41</v>
      </c>
    </row>
    <row r="8872" spans="1:7" hidden="1" x14ac:dyDescent="0.25">
      <c r="A8872" s="28">
        <v>44287</v>
      </c>
      <c r="B8872" s="27" t="s">
        <v>200</v>
      </c>
      <c r="C8872" s="27" t="s">
        <v>182</v>
      </c>
      <c r="D8872" s="27" t="s">
        <v>7</v>
      </c>
      <c r="E8872" s="27" t="s">
        <v>17</v>
      </c>
      <c r="F8872" s="29"/>
      <c r="G8872" s="30">
        <f t="shared" si="166"/>
        <v>151.41</v>
      </c>
    </row>
    <row r="8873" spans="1:7" hidden="1" x14ac:dyDescent="0.25">
      <c r="A8873" s="28">
        <v>44287</v>
      </c>
      <c r="B8873" s="27" t="s">
        <v>200</v>
      </c>
      <c r="C8873" s="27" t="s">
        <v>182</v>
      </c>
      <c r="D8873" s="27" t="s">
        <v>7</v>
      </c>
      <c r="E8873" s="27" t="s">
        <v>18</v>
      </c>
      <c r="F8873" s="29"/>
      <c r="G8873" s="30">
        <f t="shared" si="166"/>
        <v>151.41</v>
      </c>
    </row>
    <row r="8874" spans="1:7" hidden="1" x14ac:dyDescent="0.25">
      <c r="A8874" s="28">
        <v>44287</v>
      </c>
      <c r="B8874" s="27" t="s">
        <v>200</v>
      </c>
      <c r="C8874" s="27" t="s">
        <v>182</v>
      </c>
      <c r="D8874" s="27" t="s">
        <v>7</v>
      </c>
      <c r="E8874" s="27" t="s">
        <v>19</v>
      </c>
      <c r="F8874" s="29"/>
      <c r="G8874" s="30">
        <f t="shared" si="166"/>
        <v>151.41</v>
      </c>
    </row>
    <row r="8875" spans="1:7" hidden="1" x14ac:dyDescent="0.25">
      <c r="A8875" s="28">
        <v>44287</v>
      </c>
      <c r="B8875" s="27" t="s">
        <v>200</v>
      </c>
      <c r="C8875" s="27" t="s">
        <v>182</v>
      </c>
      <c r="D8875" s="27" t="s">
        <v>7</v>
      </c>
      <c r="E8875" s="27" t="s">
        <v>20</v>
      </c>
      <c r="F8875" s="29"/>
      <c r="G8875" s="30">
        <f t="shared" si="166"/>
        <v>151.41</v>
      </c>
    </row>
    <row r="8876" spans="1:7" hidden="1" x14ac:dyDescent="0.25">
      <c r="A8876" s="28">
        <v>44287</v>
      </c>
      <c r="B8876" s="27" t="s">
        <v>200</v>
      </c>
      <c r="C8876" s="27" t="s">
        <v>182</v>
      </c>
      <c r="D8876" s="27" t="s">
        <v>7</v>
      </c>
      <c r="E8876" s="27" t="s">
        <v>38</v>
      </c>
      <c r="F8876" s="29"/>
      <c r="G8876" s="30">
        <f t="shared" si="166"/>
        <v>151.41</v>
      </c>
    </row>
    <row r="8877" spans="1:7" hidden="1" x14ac:dyDescent="0.25">
      <c r="A8877" s="28">
        <v>44287</v>
      </c>
      <c r="B8877" s="27" t="s">
        <v>200</v>
      </c>
      <c r="C8877" s="27" t="s">
        <v>182</v>
      </c>
      <c r="D8877" s="27" t="s">
        <v>7</v>
      </c>
      <c r="E8877" s="27" t="s">
        <v>23</v>
      </c>
      <c r="F8877" s="29"/>
      <c r="G8877" s="30">
        <f t="shared" si="166"/>
        <v>151.41</v>
      </c>
    </row>
    <row r="8878" spans="1:7" hidden="1" x14ac:dyDescent="0.25">
      <c r="A8878" s="28">
        <v>44287</v>
      </c>
      <c r="B8878" s="27" t="s">
        <v>200</v>
      </c>
      <c r="C8878" s="27" t="s">
        <v>182</v>
      </c>
      <c r="D8878" s="27" t="s">
        <v>7</v>
      </c>
      <c r="E8878" s="27" t="s">
        <v>40</v>
      </c>
      <c r="F8878" s="29"/>
      <c r="G8878" s="30">
        <f t="shared" si="166"/>
        <v>151.41</v>
      </c>
    </row>
    <row r="8879" spans="1:7" hidden="1" x14ac:dyDescent="0.25">
      <c r="A8879" s="28">
        <v>44287</v>
      </c>
      <c r="B8879" s="27" t="s">
        <v>35</v>
      </c>
      <c r="C8879" s="27" t="s">
        <v>50</v>
      </c>
      <c r="D8879" s="27" t="s">
        <v>7</v>
      </c>
      <c r="E8879" s="27" t="s">
        <v>8</v>
      </c>
      <c r="F8879" s="29"/>
      <c r="G8879" s="30">
        <v>624.00333333333333</v>
      </c>
    </row>
    <row r="8880" spans="1:7" hidden="1" x14ac:dyDescent="0.25">
      <c r="A8880" s="28">
        <v>44287</v>
      </c>
      <c r="B8880" s="27" t="s">
        <v>35</v>
      </c>
      <c r="C8880" s="27" t="s">
        <v>50</v>
      </c>
      <c r="D8880" s="27" t="s">
        <v>7</v>
      </c>
      <c r="E8880" s="27" t="s">
        <v>9</v>
      </c>
      <c r="F8880" s="29"/>
      <c r="G8880" s="30">
        <v>624.00333333333333</v>
      </c>
    </row>
    <row r="8881" spans="1:7" hidden="1" x14ac:dyDescent="0.25">
      <c r="A8881" s="28">
        <v>44287</v>
      </c>
      <c r="B8881" s="27" t="s">
        <v>35</v>
      </c>
      <c r="C8881" s="27" t="s">
        <v>50</v>
      </c>
      <c r="D8881" s="27" t="s">
        <v>7</v>
      </c>
      <c r="E8881" s="27" t="s">
        <v>22</v>
      </c>
      <c r="F8881" s="29"/>
      <c r="G8881" s="30">
        <v>624.00333333333333</v>
      </c>
    </row>
    <row r="8882" spans="1:7" hidden="1" x14ac:dyDescent="0.25">
      <c r="A8882" s="28">
        <v>44287</v>
      </c>
      <c r="B8882" s="27" t="s">
        <v>35</v>
      </c>
      <c r="C8882" s="27" t="s">
        <v>50</v>
      </c>
      <c r="D8882" s="27" t="s">
        <v>7</v>
      </c>
      <c r="E8882" s="27" t="s">
        <v>39</v>
      </c>
      <c r="F8882" s="29"/>
      <c r="G8882" s="30">
        <v>624.00333333333333</v>
      </c>
    </row>
    <row r="8883" spans="1:7" hidden="1" x14ac:dyDescent="0.25">
      <c r="A8883" s="28">
        <v>44287</v>
      </c>
      <c r="B8883" s="27" t="s">
        <v>35</v>
      </c>
      <c r="C8883" s="27" t="s">
        <v>50</v>
      </c>
      <c r="D8883" s="27" t="s">
        <v>7</v>
      </c>
      <c r="E8883" s="27" t="s">
        <v>64</v>
      </c>
      <c r="F8883" s="29"/>
      <c r="G8883" s="30">
        <v>624.00333333333333</v>
      </c>
    </row>
    <row r="8884" spans="1:7" hidden="1" x14ac:dyDescent="0.25">
      <c r="A8884" s="28">
        <v>44287</v>
      </c>
      <c r="B8884" s="27" t="s">
        <v>35</v>
      </c>
      <c r="C8884" s="27" t="s">
        <v>50</v>
      </c>
      <c r="D8884" s="27" t="s">
        <v>7</v>
      </c>
      <c r="E8884" s="27" t="s">
        <v>21</v>
      </c>
      <c r="F8884" s="29"/>
      <c r="G8884" s="30">
        <v>624.00333333333333</v>
      </c>
    </row>
    <row r="8885" spans="1:7" hidden="1" x14ac:dyDescent="0.25">
      <c r="A8885" s="28">
        <v>44287</v>
      </c>
      <c r="B8885" s="27" t="s">
        <v>35</v>
      </c>
      <c r="C8885" s="27" t="s">
        <v>50</v>
      </c>
      <c r="D8885" s="27" t="s">
        <v>7</v>
      </c>
      <c r="E8885" s="27" t="s">
        <v>41</v>
      </c>
      <c r="F8885" s="29"/>
      <c r="G8885" s="30">
        <v>624.00333333333333</v>
      </c>
    </row>
    <row r="8886" spans="1:7" hidden="1" x14ac:dyDescent="0.25">
      <c r="A8886" s="28">
        <v>44287</v>
      </c>
      <c r="B8886" s="27" t="s">
        <v>35</v>
      </c>
      <c r="C8886" s="27" t="s">
        <v>50</v>
      </c>
      <c r="D8886" s="27" t="s">
        <v>7</v>
      </c>
      <c r="E8886" s="27" t="s">
        <v>10</v>
      </c>
      <c r="F8886" s="29"/>
      <c r="G8886" s="30">
        <v>624.00333333333333</v>
      </c>
    </row>
    <row r="8887" spans="1:7" hidden="1" x14ac:dyDescent="0.25">
      <c r="A8887" s="28">
        <v>44287</v>
      </c>
      <c r="B8887" s="27" t="s">
        <v>35</v>
      </c>
      <c r="C8887" s="27" t="s">
        <v>50</v>
      </c>
      <c r="D8887" s="27" t="s">
        <v>7</v>
      </c>
      <c r="E8887" s="27" t="s">
        <v>11</v>
      </c>
      <c r="F8887" s="29"/>
      <c r="G8887" s="30">
        <v>624.00333333333333</v>
      </c>
    </row>
    <row r="8888" spans="1:7" hidden="1" x14ac:dyDescent="0.25">
      <c r="A8888" s="28">
        <v>44287</v>
      </c>
      <c r="B8888" s="27" t="s">
        <v>35</v>
      </c>
      <c r="C8888" s="27" t="s">
        <v>50</v>
      </c>
      <c r="D8888" s="27" t="s">
        <v>7</v>
      </c>
      <c r="E8888" s="27" t="s">
        <v>12</v>
      </c>
      <c r="F8888" s="29"/>
      <c r="G8888" s="30">
        <v>624.00333333333333</v>
      </c>
    </row>
    <row r="8889" spans="1:7" hidden="1" x14ac:dyDescent="0.25">
      <c r="A8889" s="28">
        <v>44287</v>
      </c>
      <c r="B8889" s="27" t="s">
        <v>35</v>
      </c>
      <c r="C8889" s="27" t="s">
        <v>50</v>
      </c>
      <c r="D8889" s="27" t="s">
        <v>7</v>
      </c>
      <c r="E8889" s="27" t="s">
        <v>13</v>
      </c>
      <c r="F8889" s="29"/>
      <c r="G8889" s="30">
        <v>624.00333333333333</v>
      </c>
    </row>
    <row r="8890" spans="1:7" hidden="1" x14ac:dyDescent="0.25">
      <c r="A8890" s="28">
        <v>44287</v>
      </c>
      <c r="B8890" s="27" t="s">
        <v>35</v>
      </c>
      <c r="C8890" s="27" t="s">
        <v>50</v>
      </c>
      <c r="D8890" s="27" t="s">
        <v>7</v>
      </c>
      <c r="E8890" s="27" t="s">
        <v>14</v>
      </c>
      <c r="F8890" s="29"/>
      <c r="G8890" s="30">
        <v>624.00333333333333</v>
      </c>
    </row>
    <row r="8891" spans="1:7" hidden="1" x14ac:dyDescent="0.25">
      <c r="A8891" s="28">
        <v>44287</v>
      </c>
      <c r="B8891" s="27" t="s">
        <v>35</v>
      </c>
      <c r="C8891" s="27" t="s">
        <v>50</v>
      </c>
      <c r="D8891" s="27" t="s">
        <v>7</v>
      </c>
      <c r="E8891" s="27" t="s">
        <v>15</v>
      </c>
      <c r="F8891" s="29"/>
      <c r="G8891" s="30">
        <v>624.00333333333333</v>
      </c>
    </row>
    <row r="8892" spans="1:7" hidden="1" x14ac:dyDescent="0.25">
      <c r="A8892" s="28">
        <v>44287</v>
      </c>
      <c r="B8892" s="27" t="s">
        <v>35</v>
      </c>
      <c r="C8892" s="27" t="s">
        <v>50</v>
      </c>
      <c r="D8892" s="27" t="s">
        <v>7</v>
      </c>
      <c r="E8892" s="27" t="s">
        <v>16</v>
      </c>
      <c r="F8892" s="29"/>
      <c r="G8892" s="30">
        <v>624.00333333333333</v>
      </c>
    </row>
    <row r="8893" spans="1:7" hidden="1" x14ac:dyDescent="0.25">
      <c r="A8893" s="28">
        <v>44287</v>
      </c>
      <c r="B8893" s="27" t="s">
        <v>35</v>
      </c>
      <c r="C8893" s="27" t="s">
        <v>50</v>
      </c>
      <c r="D8893" s="27" t="s">
        <v>7</v>
      </c>
      <c r="E8893" s="27" t="s">
        <v>17</v>
      </c>
      <c r="F8893" s="29"/>
      <c r="G8893" s="30">
        <v>624.00333333333333</v>
      </c>
    </row>
    <row r="8894" spans="1:7" hidden="1" x14ac:dyDescent="0.25">
      <c r="A8894" s="28">
        <v>44287</v>
      </c>
      <c r="B8894" s="27" t="s">
        <v>35</v>
      </c>
      <c r="C8894" s="27" t="s">
        <v>50</v>
      </c>
      <c r="D8894" s="27" t="s">
        <v>7</v>
      </c>
      <c r="E8894" s="27" t="s">
        <v>18</v>
      </c>
      <c r="F8894" s="29"/>
      <c r="G8894" s="30">
        <v>624.00333333333333</v>
      </c>
    </row>
    <row r="8895" spans="1:7" hidden="1" x14ac:dyDescent="0.25">
      <c r="A8895" s="28">
        <v>44287</v>
      </c>
      <c r="B8895" s="27" t="s">
        <v>35</v>
      </c>
      <c r="C8895" s="27" t="s">
        <v>50</v>
      </c>
      <c r="D8895" s="27" t="s">
        <v>7</v>
      </c>
      <c r="E8895" s="27" t="s">
        <v>19</v>
      </c>
      <c r="F8895" s="29"/>
      <c r="G8895" s="30">
        <v>624.00333333333333</v>
      </c>
    </row>
    <row r="8896" spans="1:7" hidden="1" x14ac:dyDescent="0.25">
      <c r="A8896" s="28">
        <v>44287</v>
      </c>
      <c r="B8896" s="27" t="s">
        <v>35</v>
      </c>
      <c r="C8896" s="27" t="s">
        <v>50</v>
      </c>
      <c r="D8896" s="27" t="s">
        <v>7</v>
      </c>
      <c r="E8896" s="27" t="s">
        <v>20</v>
      </c>
      <c r="F8896" s="29"/>
      <c r="G8896" s="30">
        <v>624.00333333333333</v>
      </c>
    </row>
    <row r="8897" spans="1:7" hidden="1" x14ac:dyDescent="0.25">
      <c r="A8897" s="28">
        <v>44287</v>
      </c>
      <c r="B8897" s="27" t="s">
        <v>35</v>
      </c>
      <c r="C8897" s="27" t="s">
        <v>50</v>
      </c>
      <c r="D8897" s="27" t="s">
        <v>7</v>
      </c>
      <c r="E8897" s="27" t="s">
        <v>38</v>
      </c>
      <c r="F8897" s="29"/>
      <c r="G8897" s="30">
        <v>624.00333333333333</v>
      </c>
    </row>
    <row r="8898" spans="1:7" hidden="1" x14ac:dyDescent="0.25">
      <c r="A8898" s="28">
        <v>44287</v>
      </c>
      <c r="B8898" s="27" t="s">
        <v>35</v>
      </c>
      <c r="C8898" s="27" t="s">
        <v>50</v>
      </c>
      <c r="D8898" s="27" t="s">
        <v>7</v>
      </c>
      <c r="E8898" s="27" t="s">
        <v>23</v>
      </c>
      <c r="F8898" s="29"/>
      <c r="G8898" s="30">
        <v>624.00333333333333</v>
      </c>
    </row>
    <row r="8899" spans="1:7" hidden="1" x14ac:dyDescent="0.25">
      <c r="A8899" s="28">
        <v>44287</v>
      </c>
      <c r="B8899" s="27" t="s">
        <v>35</v>
      </c>
      <c r="C8899" s="27" t="s">
        <v>50</v>
      </c>
      <c r="D8899" s="27" t="s">
        <v>7</v>
      </c>
      <c r="E8899" s="27" t="s">
        <v>40</v>
      </c>
      <c r="F8899" s="29"/>
      <c r="G8899" s="30">
        <v>624.00333333333333</v>
      </c>
    </row>
    <row r="8900" spans="1:7" hidden="1" x14ac:dyDescent="0.25">
      <c r="A8900" s="28">
        <v>44287</v>
      </c>
      <c r="B8900" s="27" t="s">
        <v>34</v>
      </c>
      <c r="C8900" s="27" t="s">
        <v>50</v>
      </c>
      <c r="D8900" s="27" t="s">
        <v>6</v>
      </c>
      <c r="E8900" s="27" t="s">
        <v>8</v>
      </c>
      <c r="F8900" s="29"/>
      <c r="G8900" s="30">
        <v>512.69000000000005</v>
      </c>
    </row>
    <row r="8901" spans="1:7" hidden="1" x14ac:dyDescent="0.25">
      <c r="A8901" s="28">
        <v>44287</v>
      </c>
      <c r="B8901" s="27" t="s">
        <v>34</v>
      </c>
      <c r="C8901" s="27" t="s">
        <v>50</v>
      </c>
      <c r="D8901" s="27" t="s">
        <v>6</v>
      </c>
      <c r="E8901" s="27" t="s">
        <v>9</v>
      </c>
      <c r="F8901" s="29"/>
      <c r="G8901" s="30">
        <v>583.98</v>
      </c>
    </row>
    <row r="8902" spans="1:7" hidden="1" x14ac:dyDescent="0.25">
      <c r="A8902" s="28">
        <v>44287</v>
      </c>
      <c r="B8902" s="27" t="s">
        <v>34</v>
      </c>
      <c r="C8902" s="27" t="s">
        <v>50</v>
      </c>
      <c r="D8902" s="27" t="s">
        <v>6</v>
      </c>
      <c r="E8902" s="27" t="s">
        <v>22</v>
      </c>
      <c r="F8902" s="29"/>
      <c r="G8902" s="30">
        <v>717.29</v>
      </c>
    </row>
    <row r="8903" spans="1:7" hidden="1" x14ac:dyDescent="0.25">
      <c r="A8903" s="28">
        <v>44287</v>
      </c>
      <c r="B8903" s="27" t="s">
        <v>34</v>
      </c>
      <c r="C8903" s="27" t="s">
        <v>50</v>
      </c>
      <c r="D8903" s="27" t="s">
        <v>6</v>
      </c>
      <c r="E8903" s="27" t="s">
        <v>39</v>
      </c>
      <c r="F8903" s="29"/>
      <c r="G8903" s="30">
        <v>357.63</v>
      </c>
    </row>
    <row r="8904" spans="1:7" hidden="1" x14ac:dyDescent="0.25">
      <c r="A8904" s="28">
        <v>44287</v>
      </c>
      <c r="B8904" s="27" t="s">
        <v>34</v>
      </c>
      <c r="C8904" s="27" t="s">
        <v>50</v>
      </c>
      <c r="D8904" s="27" t="s">
        <v>6</v>
      </c>
      <c r="E8904" s="27" t="s">
        <v>64</v>
      </c>
      <c r="F8904" s="29"/>
      <c r="G8904" s="30">
        <v>632.99</v>
      </c>
    </row>
    <row r="8905" spans="1:7" hidden="1" x14ac:dyDescent="0.25">
      <c r="A8905" s="28">
        <v>44287</v>
      </c>
      <c r="B8905" s="27" t="s">
        <v>34</v>
      </c>
      <c r="C8905" s="27" t="s">
        <v>50</v>
      </c>
      <c r="D8905" s="27" t="s">
        <v>6</v>
      </c>
      <c r="E8905" s="27" t="s">
        <v>21</v>
      </c>
      <c r="F8905" s="29"/>
      <c r="G8905" s="30">
        <v>525.32000000000005</v>
      </c>
    </row>
    <row r="8906" spans="1:7" hidden="1" x14ac:dyDescent="0.25">
      <c r="A8906" s="28">
        <v>44287</v>
      </c>
      <c r="B8906" s="27" t="s">
        <v>34</v>
      </c>
      <c r="C8906" s="27" t="s">
        <v>50</v>
      </c>
      <c r="D8906" s="27" t="s">
        <v>6</v>
      </c>
      <c r="E8906" s="27" t="s">
        <v>41</v>
      </c>
      <c r="F8906" s="29"/>
      <c r="G8906" s="30">
        <v>541.32000000000005</v>
      </c>
    </row>
    <row r="8907" spans="1:7" hidden="1" x14ac:dyDescent="0.25">
      <c r="A8907" s="28">
        <v>44287</v>
      </c>
      <c r="B8907" s="27" t="s">
        <v>34</v>
      </c>
      <c r="C8907" s="27" t="s">
        <v>50</v>
      </c>
      <c r="D8907" s="27" t="s">
        <v>6</v>
      </c>
      <c r="E8907" s="27" t="s">
        <v>10</v>
      </c>
      <c r="F8907" s="29"/>
      <c r="G8907" s="30">
        <v>721.06</v>
      </c>
    </row>
    <row r="8908" spans="1:7" hidden="1" x14ac:dyDescent="0.25">
      <c r="A8908" s="28">
        <v>44287</v>
      </c>
      <c r="B8908" s="27" t="s">
        <v>34</v>
      </c>
      <c r="C8908" s="27" t="s">
        <v>50</v>
      </c>
      <c r="D8908" s="27" t="s">
        <v>6</v>
      </c>
      <c r="E8908" s="27" t="s">
        <v>11</v>
      </c>
      <c r="F8908" s="29"/>
      <c r="G8908" s="30">
        <v>309.66000000000003</v>
      </c>
    </row>
    <row r="8909" spans="1:7" hidden="1" x14ac:dyDescent="0.25">
      <c r="A8909" s="28">
        <v>44287</v>
      </c>
      <c r="B8909" s="27" t="s">
        <v>34</v>
      </c>
      <c r="C8909" s="27" t="s">
        <v>50</v>
      </c>
      <c r="D8909" s="27" t="s">
        <v>6</v>
      </c>
      <c r="E8909" s="27" t="s">
        <v>12</v>
      </c>
      <c r="F8909" s="29"/>
      <c r="G8909" s="30">
        <v>366.63</v>
      </c>
    </row>
    <row r="8910" spans="1:7" hidden="1" x14ac:dyDescent="0.25">
      <c r="A8910" s="28">
        <v>44287</v>
      </c>
      <c r="B8910" s="27" t="s">
        <v>34</v>
      </c>
      <c r="C8910" s="27" t="s">
        <v>50</v>
      </c>
      <c r="D8910" s="27" t="s">
        <v>6</v>
      </c>
      <c r="E8910" s="27" t="s">
        <v>13</v>
      </c>
      <c r="F8910" s="29"/>
      <c r="G8910" s="30">
        <v>444.8</v>
      </c>
    </row>
    <row r="8911" spans="1:7" hidden="1" x14ac:dyDescent="0.25">
      <c r="A8911" s="28">
        <v>44287</v>
      </c>
      <c r="B8911" s="27" t="s">
        <v>34</v>
      </c>
      <c r="C8911" s="27" t="s">
        <v>50</v>
      </c>
      <c r="D8911" s="27" t="s">
        <v>6</v>
      </c>
      <c r="E8911" s="27" t="s">
        <v>14</v>
      </c>
      <c r="F8911" s="29"/>
      <c r="G8911" s="30">
        <v>153.91999999999999</v>
      </c>
    </row>
    <row r="8912" spans="1:7" hidden="1" x14ac:dyDescent="0.25">
      <c r="A8912" s="28">
        <v>44287</v>
      </c>
      <c r="B8912" s="27" t="s">
        <v>34</v>
      </c>
      <c r="C8912" s="27" t="s">
        <v>50</v>
      </c>
      <c r="D8912" s="27" t="s">
        <v>6</v>
      </c>
      <c r="E8912" s="27" t="s">
        <v>15</v>
      </c>
      <c r="F8912" s="29"/>
      <c r="G8912" s="30">
        <v>377.23</v>
      </c>
    </row>
    <row r="8913" spans="1:7" hidden="1" x14ac:dyDescent="0.25">
      <c r="A8913" s="28">
        <v>44287</v>
      </c>
      <c r="B8913" s="27" t="s">
        <v>34</v>
      </c>
      <c r="C8913" s="27" t="s">
        <v>50</v>
      </c>
      <c r="D8913" s="27" t="s">
        <v>6</v>
      </c>
      <c r="E8913" s="27" t="s">
        <v>16</v>
      </c>
      <c r="F8913" s="29"/>
      <c r="G8913" s="30">
        <v>455.42</v>
      </c>
    </row>
    <row r="8914" spans="1:7" hidden="1" x14ac:dyDescent="0.25">
      <c r="A8914" s="28">
        <v>44287</v>
      </c>
      <c r="B8914" s="27" t="s">
        <v>34</v>
      </c>
      <c r="C8914" s="27" t="s">
        <v>50</v>
      </c>
      <c r="D8914" s="27" t="s">
        <v>6</v>
      </c>
      <c r="E8914" s="27" t="s">
        <v>17</v>
      </c>
      <c r="F8914" s="29"/>
      <c r="G8914" s="30">
        <v>825.43</v>
      </c>
    </row>
    <row r="8915" spans="1:7" hidden="1" x14ac:dyDescent="0.25">
      <c r="A8915" s="28">
        <v>44287</v>
      </c>
      <c r="B8915" s="27" t="s">
        <v>34</v>
      </c>
      <c r="C8915" s="27" t="s">
        <v>50</v>
      </c>
      <c r="D8915" s="27" t="s">
        <v>6</v>
      </c>
      <c r="E8915" s="27" t="s">
        <v>18</v>
      </c>
      <c r="F8915" s="29"/>
      <c r="G8915" s="30">
        <v>361.39</v>
      </c>
    </row>
    <row r="8916" spans="1:7" hidden="1" x14ac:dyDescent="0.25">
      <c r="A8916" s="28">
        <v>44287</v>
      </c>
      <c r="B8916" s="27" t="s">
        <v>34</v>
      </c>
      <c r="C8916" s="27" t="s">
        <v>50</v>
      </c>
      <c r="D8916" s="27" t="s">
        <v>6</v>
      </c>
      <c r="E8916" s="27" t="s">
        <v>19</v>
      </c>
      <c r="F8916" s="29"/>
      <c r="G8916" s="30">
        <v>492.72</v>
      </c>
    </row>
    <row r="8917" spans="1:7" hidden="1" x14ac:dyDescent="0.25">
      <c r="A8917" s="28">
        <v>44287</v>
      </c>
      <c r="B8917" s="27" t="s">
        <v>34</v>
      </c>
      <c r="C8917" s="27" t="s">
        <v>50</v>
      </c>
      <c r="D8917" s="27" t="s">
        <v>6</v>
      </c>
      <c r="E8917" s="27" t="s">
        <v>20</v>
      </c>
      <c r="F8917" s="29"/>
      <c r="G8917" s="30">
        <v>371.7</v>
      </c>
    </row>
    <row r="8918" spans="1:7" hidden="1" x14ac:dyDescent="0.25">
      <c r="A8918" s="28">
        <v>44287</v>
      </c>
      <c r="B8918" s="27" t="s">
        <v>34</v>
      </c>
      <c r="C8918" s="27" t="s">
        <v>50</v>
      </c>
      <c r="D8918" s="27" t="s">
        <v>6</v>
      </c>
      <c r="E8918" s="27" t="s">
        <v>38</v>
      </c>
      <c r="F8918" s="29"/>
      <c r="G8918" s="30">
        <v>182.93</v>
      </c>
    </row>
    <row r="8919" spans="1:7" hidden="1" x14ac:dyDescent="0.25">
      <c r="A8919" s="28">
        <v>44287</v>
      </c>
      <c r="B8919" s="27" t="s">
        <v>34</v>
      </c>
      <c r="C8919" s="27" t="s">
        <v>50</v>
      </c>
      <c r="D8919" s="27" t="s">
        <v>6</v>
      </c>
      <c r="E8919" s="27" t="s">
        <v>23</v>
      </c>
      <c r="F8919" s="29"/>
      <c r="G8919" s="30">
        <v>571.6</v>
      </c>
    </row>
    <row r="8920" spans="1:7" hidden="1" x14ac:dyDescent="0.25">
      <c r="A8920" s="28">
        <v>44287</v>
      </c>
      <c r="B8920" s="27" t="s">
        <v>34</v>
      </c>
      <c r="C8920" s="27" t="s">
        <v>50</v>
      </c>
      <c r="D8920" s="27" t="s">
        <v>6</v>
      </c>
      <c r="E8920" s="27" t="s">
        <v>40</v>
      </c>
      <c r="F8920" s="29"/>
      <c r="G8920" s="30">
        <v>169.73</v>
      </c>
    </row>
    <row r="8921" spans="1:7" hidden="1" x14ac:dyDescent="0.25">
      <c r="A8921" s="28">
        <v>44317</v>
      </c>
      <c r="B8921" s="27" t="s">
        <v>33</v>
      </c>
      <c r="C8921" s="27" t="s">
        <v>50</v>
      </c>
      <c r="D8921" s="27" t="s">
        <v>7</v>
      </c>
      <c r="E8921" s="27" t="s">
        <v>8</v>
      </c>
      <c r="F8921" s="29"/>
      <c r="G8921" s="30">
        <v>2480.8304761904765</v>
      </c>
    </row>
    <row r="8922" spans="1:7" hidden="1" x14ac:dyDescent="0.25">
      <c r="A8922" s="28">
        <v>44317</v>
      </c>
      <c r="B8922" s="27" t="s">
        <v>33</v>
      </c>
      <c r="C8922" s="27" t="s">
        <v>50</v>
      </c>
      <c r="D8922" s="27" t="s">
        <v>7</v>
      </c>
      <c r="E8922" s="27" t="s">
        <v>9</v>
      </c>
      <c r="F8922" s="29"/>
      <c r="G8922" s="30">
        <v>2480.8304761904765</v>
      </c>
    </row>
    <row r="8923" spans="1:7" hidden="1" x14ac:dyDescent="0.25">
      <c r="A8923" s="28">
        <v>44317</v>
      </c>
      <c r="B8923" s="27" t="s">
        <v>33</v>
      </c>
      <c r="C8923" s="27" t="s">
        <v>50</v>
      </c>
      <c r="D8923" s="27" t="s">
        <v>7</v>
      </c>
      <c r="E8923" s="27" t="s">
        <v>22</v>
      </c>
      <c r="F8923" s="29"/>
      <c r="G8923" s="30">
        <v>2480.8304761904765</v>
      </c>
    </row>
    <row r="8924" spans="1:7" hidden="1" x14ac:dyDescent="0.25">
      <c r="A8924" s="28">
        <v>44317</v>
      </c>
      <c r="B8924" s="27" t="s">
        <v>33</v>
      </c>
      <c r="C8924" s="27" t="s">
        <v>50</v>
      </c>
      <c r="D8924" s="27" t="s">
        <v>7</v>
      </c>
      <c r="E8924" s="27" t="s">
        <v>39</v>
      </c>
      <c r="F8924" s="29"/>
      <c r="G8924" s="30">
        <v>2480.8304761904765</v>
      </c>
    </row>
    <row r="8925" spans="1:7" hidden="1" x14ac:dyDescent="0.25">
      <c r="A8925" s="28">
        <v>44317</v>
      </c>
      <c r="B8925" s="27" t="s">
        <v>33</v>
      </c>
      <c r="C8925" s="27" t="s">
        <v>50</v>
      </c>
      <c r="D8925" s="27" t="s">
        <v>7</v>
      </c>
      <c r="E8925" s="27" t="s">
        <v>64</v>
      </c>
      <c r="F8925" s="29"/>
      <c r="G8925" s="30">
        <v>2480.8304761904765</v>
      </c>
    </row>
    <row r="8926" spans="1:7" hidden="1" x14ac:dyDescent="0.25">
      <c r="A8926" s="28">
        <v>44317</v>
      </c>
      <c r="B8926" s="27" t="s">
        <v>33</v>
      </c>
      <c r="C8926" s="27" t="s">
        <v>50</v>
      </c>
      <c r="D8926" s="27" t="s">
        <v>7</v>
      </c>
      <c r="E8926" s="27" t="s">
        <v>21</v>
      </c>
      <c r="F8926" s="29"/>
      <c r="G8926" s="30">
        <v>2480.8304761904765</v>
      </c>
    </row>
    <row r="8927" spans="1:7" hidden="1" x14ac:dyDescent="0.25">
      <c r="A8927" s="28">
        <v>44317</v>
      </c>
      <c r="B8927" s="27" t="s">
        <v>33</v>
      </c>
      <c r="C8927" s="27" t="s">
        <v>50</v>
      </c>
      <c r="D8927" s="27" t="s">
        <v>7</v>
      </c>
      <c r="E8927" s="27" t="s">
        <v>41</v>
      </c>
      <c r="F8927" s="29"/>
      <c r="G8927" s="30">
        <v>2480.8304761904765</v>
      </c>
    </row>
    <row r="8928" spans="1:7" hidden="1" x14ac:dyDescent="0.25">
      <c r="A8928" s="28">
        <v>44317</v>
      </c>
      <c r="B8928" s="27" t="s">
        <v>33</v>
      </c>
      <c r="C8928" s="27" t="s">
        <v>50</v>
      </c>
      <c r="D8928" s="27" t="s">
        <v>7</v>
      </c>
      <c r="E8928" s="27" t="s">
        <v>10</v>
      </c>
      <c r="F8928" s="29"/>
      <c r="G8928" s="30">
        <v>2480.8304761904765</v>
      </c>
    </row>
    <row r="8929" spans="1:7" hidden="1" x14ac:dyDescent="0.25">
      <c r="A8929" s="28">
        <v>44317</v>
      </c>
      <c r="B8929" s="27" t="s">
        <v>33</v>
      </c>
      <c r="C8929" s="27" t="s">
        <v>50</v>
      </c>
      <c r="D8929" s="27" t="s">
        <v>7</v>
      </c>
      <c r="E8929" s="27" t="s">
        <v>11</v>
      </c>
      <c r="F8929" s="29"/>
      <c r="G8929" s="30">
        <v>2480.8304761904765</v>
      </c>
    </row>
    <row r="8930" spans="1:7" hidden="1" x14ac:dyDescent="0.25">
      <c r="A8930" s="28">
        <v>44317</v>
      </c>
      <c r="B8930" s="27" t="s">
        <v>33</v>
      </c>
      <c r="C8930" s="27" t="s">
        <v>50</v>
      </c>
      <c r="D8930" s="27" t="s">
        <v>7</v>
      </c>
      <c r="E8930" s="27" t="s">
        <v>12</v>
      </c>
      <c r="F8930" s="29"/>
      <c r="G8930" s="30">
        <v>2480.8304761904765</v>
      </c>
    </row>
    <row r="8931" spans="1:7" hidden="1" x14ac:dyDescent="0.25">
      <c r="A8931" s="28">
        <v>44317</v>
      </c>
      <c r="B8931" s="27" t="s">
        <v>33</v>
      </c>
      <c r="C8931" s="27" t="s">
        <v>50</v>
      </c>
      <c r="D8931" s="27" t="s">
        <v>7</v>
      </c>
      <c r="E8931" s="27" t="s">
        <v>13</v>
      </c>
      <c r="F8931" s="29"/>
      <c r="G8931" s="30">
        <v>2480.8304761904765</v>
      </c>
    </row>
    <row r="8932" spans="1:7" hidden="1" x14ac:dyDescent="0.25">
      <c r="A8932" s="28">
        <v>44317</v>
      </c>
      <c r="B8932" s="27" t="s">
        <v>33</v>
      </c>
      <c r="C8932" s="27" t="s">
        <v>50</v>
      </c>
      <c r="D8932" s="27" t="s">
        <v>7</v>
      </c>
      <c r="E8932" s="27" t="s">
        <v>14</v>
      </c>
      <c r="F8932" s="29"/>
      <c r="G8932" s="30">
        <v>2480.8304761904765</v>
      </c>
    </row>
    <row r="8933" spans="1:7" hidden="1" x14ac:dyDescent="0.25">
      <c r="A8933" s="28">
        <v>44317</v>
      </c>
      <c r="B8933" s="27" t="s">
        <v>33</v>
      </c>
      <c r="C8933" s="27" t="s">
        <v>50</v>
      </c>
      <c r="D8933" s="27" t="s">
        <v>7</v>
      </c>
      <c r="E8933" s="27" t="s">
        <v>15</v>
      </c>
      <c r="F8933" s="29"/>
      <c r="G8933" s="30">
        <v>2480.8304761904765</v>
      </c>
    </row>
    <row r="8934" spans="1:7" hidden="1" x14ac:dyDescent="0.25">
      <c r="A8934" s="28">
        <v>44317</v>
      </c>
      <c r="B8934" s="27" t="s">
        <v>33</v>
      </c>
      <c r="C8934" s="27" t="s">
        <v>50</v>
      </c>
      <c r="D8934" s="27" t="s">
        <v>7</v>
      </c>
      <c r="E8934" s="27" t="s">
        <v>16</v>
      </c>
      <c r="F8934" s="29"/>
      <c r="G8934" s="30">
        <v>2480.8304761904765</v>
      </c>
    </row>
    <row r="8935" spans="1:7" hidden="1" x14ac:dyDescent="0.25">
      <c r="A8935" s="28">
        <v>44317</v>
      </c>
      <c r="B8935" s="27" t="s">
        <v>33</v>
      </c>
      <c r="C8935" s="27" t="s">
        <v>50</v>
      </c>
      <c r="D8935" s="27" t="s">
        <v>7</v>
      </c>
      <c r="E8935" s="27" t="s">
        <v>17</v>
      </c>
      <c r="F8935" s="29"/>
      <c r="G8935" s="30">
        <v>2480.8304761904765</v>
      </c>
    </row>
    <row r="8936" spans="1:7" hidden="1" x14ac:dyDescent="0.25">
      <c r="A8936" s="28">
        <v>44317</v>
      </c>
      <c r="B8936" s="27" t="s">
        <v>33</v>
      </c>
      <c r="C8936" s="27" t="s">
        <v>50</v>
      </c>
      <c r="D8936" s="27" t="s">
        <v>7</v>
      </c>
      <c r="E8936" s="27" t="s">
        <v>18</v>
      </c>
      <c r="F8936" s="29"/>
      <c r="G8936" s="30">
        <v>2480.8304761904765</v>
      </c>
    </row>
    <row r="8937" spans="1:7" hidden="1" x14ac:dyDescent="0.25">
      <c r="A8937" s="28">
        <v>44317</v>
      </c>
      <c r="B8937" s="27" t="s">
        <v>33</v>
      </c>
      <c r="C8937" s="27" t="s">
        <v>50</v>
      </c>
      <c r="D8937" s="27" t="s">
        <v>7</v>
      </c>
      <c r="E8937" s="27" t="s">
        <v>19</v>
      </c>
      <c r="F8937" s="29"/>
      <c r="G8937" s="30">
        <v>2480.8304761904765</v>
      </c>
    </row>
    <row r="8938" spans="1:7" hidden="1" x14ac:dyDescent="0.25">
      <c r="A8938" s="28">
        <v>44317</v>
      </c>
      <c r="B8938" s="27" t="s">
        <v>33</v>
      </c>
      <c r="C8938" s="27" t="s">
        <v>50</v>
      </c>
      <c r="D8938" s="27" t="s">
        <v>7</v>
      </c>
      <c r="E8938" s="27" t="s">
        <v>20</v>
      </c>
      <c r="F8938" s="29"/>
      <c r="G8938" s="30">
        <v>2480.8304761904765</v>
      </c>
    </row>
    <row r="8939" spans="1:7" hidden="1" x14ac:dyDescent="0.25">
      <c r="A8939" s="28">
        <v>44317</v>
      </c>
      <c r="B8939" s="27" t="s">
        <v>33</v>
      </c>
      <c r="C8939" s="27" t="s">
        <v>50</v>
      </c>
      <c r="D8939" s="27" t="s">
        <v>7</v>
      </c>
      <c r="E8939" s="27" t="s">
        <v>38</v>
      </c>
      <c r="F8939" s="29"/>
      <c r="G8939" s="30">
        <v>2480.8304761904765</v>
      </c>
    </row>
    <row r="8940" spans="1:7" hidden="1" x14ac:dyDescent="0.25">
      <c r="A8940" s="28">
        <v>44317</v>
      </c>
      <c r="B8940" s="27" t="s">
        <v>33</v>
      </c>
      <c r="C8940" s="27" t="s">
        <v>50</v>
      </c>
      <c r="D8940" s="27" t="s">
        <v>7</v>
      </c>
      <c r="E8940" s="27" t="s">
        <v>23</v>
      </c>
      <c r="F8940" s="29"/>
      <c r="G8940" s="30">
        <v>2480.8304761904765</v>
      </c>
    </row>
    <row r="8941" spans="1:7" hidden="1" x14ac:dyDescent="0.25">
      <c r="A8941" s="28">
        <v>44317</v>
      </c>
      <c r="B8941" s="27" t="s">
        <v>33</v>
      </c>
      <c r="C8941" s="27" t="s">
        <v>50</v>
      </c>
      <c r="D8941" s="27" t="s">
        <v>7</v>
      </c>
      <c r="E8941" s="27" t="s">
        <v>40</v>
      </c>
      <c r="F8941" s="29"/>
      <c r="G8941" s="30">
        <v>2480.8304761904765</v>
      </c>
    </row>
    <row r="8942" spans="1:7" hidden="1" x14ac:dyDescent="0.25">
      <c r="A8942" s="28">
        <v>44317</v>
      </c>
      <c r="B8942" s="27" t="s">
        <v>4</v>
      </c>
      <c r="C8942" s="27" t="s">
        <v>50</v>
      </c>
      <c r="D8942" s="27" t="s">
        <v>7</v>
      </c>
      <c r="E8942" s="27" t="s">
        <v>8</v>
      </c>
      <c r="F8942" s="29"/>
      <c r="G8942" s="30">
        <v>5319.91</v>
      </c>
    </row>
    <row r="8943" spans="1:7" hidden="1" x14ac:dyDescent="0.25">
      <c r="A8943" s="28">
        <v>44317</v>
      </c>
      <c r="B8943" s="27" t="s">
        <v>4</v>
      </c>
      <c r="C8943" s="27" t="s">
        <v>50</v>
      </c>
      <c r="D8943" s="27" t="s">
        <v>7</v>
      </c>
      <c r="E8943" s="27" t="s">
        <v>9</v>
      </c>
      <c r="F8943" s="29"/>
      <c r="G8943" s="30">
        <v>2529.0700000000002</v>
      </c>
    </row>
    <row r="8944" spans="1:7" hidden="1" x14ac:dyDescent="0.25">
      <c r="A8944" s="28">
        <v>44317</v>
      </c>
      <c r="B8944" s="27" t="s">
        <v>4</v>
      </c>
      <c r="C8944" s="27" t="s">
        <v>50</v>
      </c>
      <c r="D8944" s="27" t="s">
        <v>7</v>
      </c>
      <c r="E8944" s="27" t="s">
        <v>22</v>
      </c>
      <c r="F8944" s="29"/>
      <c r="G8944" s="30">
        <v>3053.46</v>
      </c>
    </row>
    <row r="8945" spans="1:7" hidden="1" x14ac:dyDescent="0.25">
      <c r="A8945" s="28">
        <v>44317</v>
      </c>
      <c r="B8945" s="27" t="s">
        <v>4</v>
      </c>
      <c r="C8945" s="27" t="s">
        <v>50</v>
      </c>
      <c r="D8945" s="27" t="s">
        <v>7</v>
      </c>
      <c r="E8945" s="27" t="s">
        <v>39</v>
      </c>
      <c r="F8945" s="29"/>
      <c r="G8945" s="30">
        <v>449.74</v>
      </c>
    </row>
    <row r="8946" spans="1:7" hidden="1" x14ac:dyDescent="0.25">
      <c r="A8946" s="28">
        <v>44317</v>
      </c>
      <c r="B8946" s="27" t="s">
        <v>4</v>
      </c>
      <c r="C8946" s="27" t="s">
        <v>50</v>
      </c>
      <c r="D8946" s="27" t="s">
        <v>7</v>
      </c>
      <c r="E8946" s="27" t="s">
        <v>64</v>
      </c>
      <c r="F8946" s="29"/>
      <c r="G8946" s="30">
        <v>6501.53</v>
      </c>
    </row>
    <row r="8947" spans="1:7" hidden="1" x14ac:dyDescent="0.25">
      <c r="A8947" s="28">
        <v>44317</v>
      </c>
      <c r="B8947" s="27" t="s">
        <v>4</v>
      </c>
      <c r="C8947" s="27" t="s">
        <v>50</v>
      </c>
      <c r="D8947" s="27" t="s">
        <v>7</v>
      </c>
      <c r="E8947" s="27" t="s">
        <v>21</v>
      </c>
      <c r="F8947" s="29"/>
      <c r="G8947" s="30">
        <v>3282.07</v>
      </c>
    </row>
    <row r="8948" spans="1:7" hidden="1" x14ac:dyDescent="0.25">
      <c r="A8948" s="28">
        <v>44317</v>
      </c>
      <c r="B8948" s="27" t="s">
        <v>4</v>
      </c>
      <c r="C8948" s="27" t="s">
        <v>50</v>
      </c>
      <c r="D8948" s="27" t="s">
        <v>7</v>
      </c>
      <c r="E8948" s="27" t="s">
        <v>41</v>
      </c>
      <c r="F8948" s="29"/>
      <c r="G8948" s="30">
        <v>5081.03</v>
      </c>
    </row>
    <row r="8949" spans="1:7" hidden="1" x14ac:dyDescent="0.25">
      <c r="A8949" s="28">
        <v>44317</v>
      </c>
      <c r="B8949" s="27" t="s">
        <v>4</v>
      </c>
      <c r="C8949" s="27" t="s">
        <v>50</v>
      </c>
      <c r="D8949" s="27" t="s">
        <v>7</v>
      </c>
      <c r="E8949" s="27" t="s">
        <v>10</v>
      </c>
      <c r="F8949" s="29"/>
      <c r="G8949" s="30">
        <v>6275.47</v>
      </c>
    </row>
    <row r="8950" spans="1:7" hidden="1" x14ac:dyDescent="0.25">
      <c r="A8950" s="28">
        <v>44317</v>
      </c>
      <c r="B8950" s="27" t="s">
        <v>4</v>
      </c>
      <c r="C8950" s="27" t="s">
        <v>50</v>
      </c>
      <c r="D8950" s="27" t="s">
        <v>7</v>
      </c>
      <c r="E8950" s="27" t="s">
        <v>11</v>
      </c>
      <c r="F8950" s="29"/>
      <c r="G8950" s="30">
        <v>2226.11</v>
      </c>
    </row>
    <row r="8951" spans="1:7" hidden="1" x14ac:dyDescent="0.25">
      <c r="A8951" s="28">
        <v>44317</v>
      </c>
      <c r="B8951" s="27" t="s">
        <v>4</v>
      </c>
      <c r="C8951" s="27" t="s">
        <v>50</v>
      </c>
      <c r="D8951" s="27" t="s">
        <v>7</v>
      </c>
      <c r="E8951" s="27" t="s">
        <v>12</v>
      </c>
      <c r="F8951" s="29"/>
      <c r="G8951" s="30">
        <v>7399.89</v>
      </c>
    </row>
    <row r="8952" spans="1:7" hidden="1" x14ac:dyDescent="0.25">
      <c r="A8952" s="28">
        <v>44317</v>
      </c>
      <c r="B8952" s="27" t="s">
        <v>4</v>
      </c>
      <c r="C8952" s="27" t="s">
        <v>50</v>
      </c>
      <c r="D8952" s="27" t="s">
        <v>7</v>
      </c>
      <c r="E8952" s="27" t="s">
        <v>13</v>
      </c>
      <c r="F8952" s="29"/>
      <c r="G8952" s="30">
        <v>2535.06</v>
      </c>
    </row>
    <row r="8953" spans="1:7" hidden="1" x14ac:dyDescent="0.25">
      <c r="A8953" s="28">
        <v>44317</v>
      </c>
      <c r="B8953" s="27" t="s">
        <v>4</v>
      </c>
      <c r="C8953" s="27" t="s">
        <v>50</v>
      </c>
      <c r="D8953" s="27" t="s">
        <v>7</v>
      </c>
      <c r="E8953" s="27" t="s">
        <v>14</v>
      </c>
      <c r="F8953" s="29"/>
      <c r="G8953" s="30">
        <v>1826.7</v>
      </c>
    </row>
    <row r="8954" spans="1:7" hidden="1" x14ac:dyDescent="0.25">
      <c r="A8954" s="28">
        <v>44317</v>
      </c>
      <c r="B8954" s="27" t="s">
        <v>4</v>
      </c>
      <c r="C8954" s="27" t="s">
        <v>50</v>
      </c>
      <c r="D8954" s="27" t="s">
        <v>7</v>
      </c>
      <c r="E8954" s="27" t="s">
        <v>15</v>
      </c>
      <c r="F8954" s="29"/>
      <c r="G8954" s="30">
        <v>2675.27</v>
      </c>
    </row>
    <row r="8955" spans="1:7" hidden="1" x14ac:dyDescent="0.25">
      <c r="A8955" s="28">
        <v>44317</v>
      </c>
      <c r="B8955" s="27" t="s">
        <v>4</v>
      </c>
      <c r="C8955" s="27" t="s">
        <v>50</v>
      </c>
      <c r="D8955" s="27" t="s">
        <v>7</v>
      </c>
      <c r="E8955" s="27" t="s">
        <v>16</v>
      </c>
      <c r="F8955" s="29"/>
      <c r="G8955" s="30">
        <v>6479.61</v>
      </c>
    </row>
    <row r="8956" spans="1:7" hidden="1" x14ac:dyDescent="0.25">
      <c r="A8956" s="28">
        <v>44317</v>
      </c>
      <c r="B8956" s="27" t="s">
        <v>4</v>
      </c>
      <c r="C8956" s="27" t="s">
        <v>50</v>
      </c>
      <c r="D8956" s="27" t="s">
        <v>7</v>
      </c>
      <c r="E8956" s="27" t="s">
        <v>17</v>
      </c>
      <c r="F8956" s="29"/>
      <c r="G8956" s="30">
        <v>6076.58</v>
      </c>
    </row>
    <row r="8957" spans="1:7" hidden="1" x14ac:dyDescent="0.25">
      <c r="A8957" s="28">
        <v>44317</v>
      </c>
      <c r="B8957" s="27" t="s">
        <v>4</v>
      </c>
      <c r="C8957" s="27" t="s">
        <v>50</v>
      </c>
      <c r="D8957" s="27" t="s">
        <v>7</v>
      </c>
      <c r="E8957" s="27" t="s">
        <v>18</v>
      </c>
      <c r="F8957" s="29"/>
      <c r="G8957" s="30">
        <v>4257.1099999999997</v>
      </c>
    </row>
    <row r="8958" spans="1:7" hidden="1" x14ac:dyDescent="0.25">
      <c r="A8958" s="28">
        <v>44317</v>
      </c>
      <c r="B8958" s="27" t="s">
        <v>4</v>
      </c>
      <c r="C8958" s="27" t="s">
        <v>50</v>
      </c>
      <c r="D8958" s="27" t="s">
        <v>7</v>
      </c>
      <c r="E8958" s="27" t="s">
        <v>19</v>
      </c>
      <c r="F8958" s="29"/>
      <c r="G8958" s="30">
        <v>6919.24</v>
      </c>
    </row>
    <row r="8959" spans="1:7" hidden="1" x14ac:dyDescent="0.25">
      <c r="A8959" s="28">
        <v>44317</v>
      </c>
      <c r="B8959" s="27" t="s">
        <v>4</v>
      </c>
      <c r="C8959" s="27" t="s">
        <v>50</v>
      </c>
      <c r="D8959" s="27" t="s">
        <v>7</v>
      </c>
      <c r="E8959" s="27" t="s">
        <v>20</v>
      </c>
      <c r="F8959" s="29"/>
      <c r="G8959" s="30">
        <v>3158.67</v>
      </c>
    </row>
    <row r="8960" spans="1:7" hidden="1" x14ac:dyDescent="0.25">
      <c r="A8960" s="28">
        <v>44317</v>
      </c>
      <c r="B8960" s="27" t="s">
        <v>4</v>
      </c>
      <c r="C8960" s="27" t="s">
        <v>50</v>
      </c>
      <c r="D8960" s="27" t="s">
        <v>7</v>
      </c>
      <c r="E8960" s="27" t="s">
        <v>38</v>
      </c>
      <c r="F8960" s="29"/>
      <c r="G8960" s="30">
        <v>2648.32</v>
      </c>
    </row>
    <row r="8961" spans="1:7" hidden="1" x14ac:dyDescent="0.25">
      <c r="A8961" s="28">
        <v>44317</v>
      </c>
      <c r="B8961" s="27" t="s">
        <v>4</v>
      </c>
      <c r="C8961" s="27" t="s">
        <v>50</v>
      </c>
      <c r="D8961" s="27" t="s">
        <v>7</v>
      </c>
      <c r="E8961" s="27" t="s">
        <v>23</v>
      </c>
      <c r="F8961" s="29"/>
      <c r="G8961" s="30">
        <v>5388.76</v>
      </c>
    </row>
    <row r="8962" spans="1:7" hidden="1" x14ac:dyDescent="0.25">
      <c r="A8962" s="28">
        <v>44317</v>
      </c>
      <c r="B8962" s="27" t="s">
        <v>4</v>
      </c>
      <c r="C8962" s="27" t="s">
        <v>50</v>
      </c>
      <c r="D8962" s="27" t="s">
        <v>7</v>
      </c>
      <c r="E8962" s="27" t="s">
        <v>40</v>
      </c>
      <c r="F8962" s="29"/>
      <c r="G8962" s="30">
        <v>1767.24</v>
      </c>
    </row>
    <row r="8963" spans="1:7" hidden="1" x14ac:dyDescent="0.25">
      <c r="A8963" s="28">
        <v>44317</v>
      </c>
      <c r="B8963" s="27" t="s">
        <v>26</v>
      </c>
      <c r="C8963" s="27" t="s">
        <v>50</v>
      </c>
      <c r="D8963" s="27" t="s">
        <v>6</v>
      </c>
      <c r="E8963" s="27" t="s">
        <v>8</v>
      </c>
      <c r="F8963" s="29"/>
      <c r="G8963" s="30">
        <v>719.18234681218985</v>
      </c>
    </row>
    <row r="8964" spans="1:7" hidden="1" x14ac:dyDescent="0.25">
      <c r="A8964" s="28">
        <v>44317</v>
      </c>
      <c r="B8964" s="27" t="s">
        <v>26</v>
      </c>
      <c r="C8964" s="27" t="s">
        <v>50</v>
      </c>
      <c r="D8964" s="27" t="s">
        <v>6</v>
      </c>
      <c r="E8964" s="27" t="s">
        <v>9</v>
      </c>
      <c r="F8964" s="29"/>
      <c r="G8964" s="30">
        <v>1595.1320615825009</v>
      </c>
    </row>
    <row r="8965" spans="1:7" hidden="1" x14ac:dyDescent="0.25">
      <c r="A8965" s="28">
        <v>44317</v>
      </c>
      <c r="B8965" s="27" t="s">
        <v>26</v>
      </c>
      <c r="C8965" s="27" t="s">
        <v>50</v>
      </c>
      <c r="D8965" s="27" t="s">
        <v>6</v>
      </c>
      <c r="E8965" s="27" t="s">
        <v>22</v>
      </c>
      <c r="F8965" s="29"/>
      <c r="G8965" s="30">
        <v>2121.8036778000037</v>
      </c>
    </row>
    <row r="8966" spans="1:7" hidden="1" x14ac:dyDescent="0.25">
      <c r="A8966" s="28">
        <v>44317</v>
      </c>
      <c r="B8966" s="27" t="s">
        <v>26</v>
      </c>
      <c r="C8966" s="27" t="s">
        <v>50</v>
      </c>
      <c r="D8966" s="27" t="s">
        <v>6</v>
      </c>
      <c r="E8966" s="27" t="s">
        <v>39</v>
      </c>
      <c r="F8966" s="29"/>
      <c r="G8966" s="30">
        <v>1858.2521149872089</v>
      </c>
    </row>
    <row r="8967" spans="1:7" hidden="1" x14ac:dyDescent="0.25">
      <c r="A8967" s="28">
        <v>44317</v>
      </c>
      <c r="B8967" s="27" t="s">
        <v>26</v>
      </c>
      <c r="C8967" s="27" t="s">
        <v>50</v>
      </c>
      <c r="D8967" s="27" t="s">
        <v>6</v>
      </c>
      <c r="E8967" s="27" t="s">
        <v>64</v>
      </c>
      <c r="F8967" s="29"/>
      <c r="G8967" s="30">
        <v>1276.3329108875935</v>
      </c>
    </row>
    <row r="8968" spans="1:7" hidden="1" x14ac:dyDescent="0.25">
      <c r="A8968" s="28">
        <v>44317</v>
      </c>
      <c r="B8968" s="27" t="s">
        <v>26</v>
      </c>
      <c r="C8968" s="27" t="s">
        <v>50</v>
      </c>
      <c r="D8968" s="27" t="s">
        <v>6</v>
      </c>
      <c r="E8968" s="27" t="s">
        <v>21</v>
      </c>
      <c r="F8968" s="29"/>
      <c r="G8968" s="30">
        <v>1372.0704648952321</v>
      </c>
    </row>
    <row r="8969" spans="1:7" hidden="1" x14ac:dyDescent="0.25">
      <c r="A8969" s="28">
        <v>44317</v>
      </c>
      <c r="B8969" s="27" t="s">
        <v>26</v>
      </c>
      <c r="C8969" s="27" t="s">
        <v>50</v>
      </c>
      <c r="D8969" s="27" t="s">
        <v>6</v>
      </c>
      <c r="E8969" s="27" t="s">
        <v>41</v>
      </c>
      <c r="F8969" s="29"/>
      <c r="G8969" s="30">
        <v>1581.4819806400055</v>
      </c>
    </row>
    <row r="8970" spans="1:7" hidden="1" x14ac:dyDescent="0.25">
      <c r="A8970" s="28">
        <v>44317</v>
      </c>
      <c r="B8970" s="27" t="s">
        <v>26</v>
      </c>
      <c r="C8970" s="27" t="s">
        <v>50</v>
      </c>
      <c r="D8970" s="27" t="s">
        <v>6</v>
      </c>
      <c r="E8970" s="27" t="s">
        <v>10</v>
      </c>
      <c r="F8970" s="29"/>
      <c r="G8970" s="30">
        <v>2188.8314725228997</v>
      </c>
    </row>
    <row r="8971" spans="1:7" hidden="1" x14ac:dyDescent="0.25">
      <c r="A8971" s="28">
        <v>44317</v>
      </c>
      <c r="B8971" s="27" t="s">
        <v>26</v>
      </c>
      <c r="C8971" s="27" t="s">
        <v>50</v>
      </c>
      <c r="D8971" s="27" t="s">
        <v>6</v>
      </c>
      <c r="E8971" s="27" t="s">
        <v>11</v>
      </c>
      <c r="F8971" s="29"/>
      <c r="G8971" s="30">
        <v>1627.7110218930932</v>
      </c>
    </row>
    <row r="8972" spans="1:7" hidden="1" x14ac:dyDescent="0.25">
      <c r="A8972" s="28">
        <v>44317</v>
      </c>
      <c r="B8972" s="27" t="s">
        <v>26</v>
      </c>
      <c r="C8972" s="27" t="s">
        <v>50</v>
      </c>
      <c r="D8972" s="27" t="s">
        <v>6</v>
      </c>
      <c r="E8972" s="27" t="s">
        <v>12</v>
      </c>
      <c r="F8972" s="29"/>
      <c r="G8972" s="30">
        <v>1714.4875638594519</v>
      </c>
    </row>
    <row r="8973" spans="1:7" hidden="1" x14ac:dyDescent="0.25">
      <c r="A8973" s="28">
        <v>44317</v>
      </c>
      <c r="B8973" s="27" t="s">
        <v>26</v>
      </c>
      <c r="C8973" s="27" t="s">
        <v>50</v>
      </c>
      <c r="D8973" s="27" t="s">
        <v>6</v>
      </c>
      <c r="E8973" s="27" t="s">
        <v>13</v>
      </c>
      <c r="F8973" s="29"/>
      <c r="G8973" s="30">
        <v>1743.4562287890469</v>
      </c>
    </row>
    <row r="8974" spans="1:7" hidden="1" x14ac:dyDescent="0.25">
      <c r="A8974" s="28">
        <v>44317</v>
      </c>
      <c r="B8974" s="27" t="s">
        <v>26</v>
      </c>
      <c r="C8974" s="27" t="s">
        <v>50</v>
      </c>
      <c r="D8974" s="27" t="s">
        <v>6</v>
      </c>
      <c r="E8974" s="27" t="s">
        <v>14</v>
      </c>
      <c r="F8974" s="29"/>
      <c r="G8974" s="30">
        <v>561.68141286032039</v>
      </c>
    </row>
    <row r="8975" spans="1:7" hidden="1" x14ac:dyDescent="0.25">
      <c r="A8975" s="28">
        <v>44317</v>
      </c>
      <c r="B8975" s="27" t="s">
        <v>26</v>
      </c>
      <c r="C8975" s="27" t="s">
        <v>50</v>
      </c>
      <c r="D8975" s="27" t="s">
        <v>6</v>
      </c>
      <c r="E8975" s="27" t="s">
        <v>15</v>
      </c>
      <c r="F8975" s="29"/>
      <c r="G8975" s="30">
        <v>1903.4886846016955</v>
      </c>
    </row>
    <row r="8976" spans="1:7" hidden="1" x14ac:dyDescent="0.25">
      <c r="A8976" s="28">
        <v>44317</v>
      </c>
      <c r="B8976" s="27" t="s">
        <v>26</v>
      </c>
      <c r="C8976" s="27" t="s">
        <v>50</v>
      </c>
      <c r="D8976" s="27" t="s">
        <v>6</v>
      </c>
      <c r="E8976" s="27" t="s">
        <v>16</v>
      </c>
      <c r="F8976" s="29"/>
      <c r="G8976" s="30">
        <v>2154.0949651718715</v>
      </c>
    </row>
    <row r="8977" spans="1:7" hidden="1" x14ac:dyDescent="0.25">
      <c r="A8977" s="28">
        <v>44317</v>
      </c>
      <c r="B8977" s="27" t="s">
        <v>26</v>
      </c>
      <c r="C8977" s="27" t="s">
        <v>50</v>
      </c>
      <c r="D8977" s="27" t="s">
        <v>6</v>
      </c>
      <c r="E8977" s="27" t="s">
        <v>17</v>
      </c>
      <c r="F8977" s="29"/>
      <c r="G8977" s="30">
        <v>3135.6350321011482</v>
      </c>
    </row>
    <row r="8978" spans="1:7" hidden="1" x14ac:dyDescent="0.25">
      <c r="A8978" s="28">
        <v>44317</v>
      </c>
      <c r="B8978" s="27" t="s">
        <v>26</v>
      </c>
      <c r="C8978" s="27" t="s">
        <v>50</v>
      </c>
      <c r="D8978" s="27" t="s">
        <v>6</v>
      </c>
      <c r="E8978" s="27" t="s">
        <v>18</v>
      </c>
      <c r="F8978" s="29"/>
      <c r="G8978" s="30">
        <v>1603.690331509566</v>
      </c>
    </row>
    <row r="8979" spans="1:7" hidden="1" x14ac:dyDescent="0.25">
      <c r="A8979" s="28">
        <v>44317</v>
      </c>
      <c r="B8979" s="27" t="s">
        <v>26</v>
      </c>
      <c r="C8979" s="27" t="s">
        <v>50</v>
      </c>
      <c r="D8979" s="27" t="s">
        <v>6</v>
      </c>
      <c r="E8979" s="27" t="s">
        <v>19</v>
      </c>
      <c r="F8979" s="29"/>
      <c r="G8979" s="30">
        <v>2421.1417541901737</v>
      </c>
    </row>
    <row r="8980" spans="1:7" hidden="1" x14ac:dyDescent="0.25">
      <c r="A8980" s="28">
        <v>44317</v>
      </c>
      <c r="B8980" s="27" t="s">
        <v>26</v>
      </c>
      <c r="C8980" s="27" t="s">
        <v>50</v>
      </c>
      <c r="D8980" s="27" t="s">
        <v>6</v>
      </c>
      <c r="E8980" s="27" t="s">
        <v>20</v>
      </c>
      <c r="F8980" s="29"/>
      <c r="G8980" s="30">
        <v>1946.4814052941281</v>
      </c>
    </row>
    <row r="8981" spans="1:7" hidden="1" x14ac:dyDescent="0.25">
      <c r="A8981" s="28">
        <v>44317</v>
      </c>
      <c r="B8981" s="27" t="s">
        <v>26</v>
      </c>
      <c r="C8981" s="27" t="s">
        <v>50</v>
      </c>
      <c r="D8981" s="27" t="s">
        <v>6</v>
      </c>
      <c r="E8981" s="27" t="s">
        <v>38</v>
      </c>
      <c r="F8981" s="29"/>
      <c r="G8981" s="30">
        <v>760.63601728244464</v>
      </c>
    </row>
    <row r="8982" spans="1:7" hidden="1" x14ac:dyDescent="0.25">
      <c r="A8982" s="28">
        <v>44317</v>
      </c>
      <c r="B8982" s="27" t="s">
        <v>26</v>
      </c>
      <c r="C8982" s="27" t="s">
        <v>50</v>
      </c>
      <c r="D8982" s="27" t="s">
        <v>6</v>
      </c>
      <c r="E8982" s="27" t="s">
        <v>23</v>
      </c>
      <c r="F8982" s="29"/>
      <c r="G8982" s="30">
        <v>2589.0564485238838</v>
      </c>
    </row>
    <row r="8983" spans="1:7" hidden="1" x14ac:dyDescent="0.25">
      <c r="A8983" s="28">
        <v>44317</v>
      </c>
      <c r="B8983" s="27" t="s">
        <v>26</v>
      </c>
      <c r="C8983" s="27" t="s">
        <v>50</v>
      </c>
      <c r="D8983" s="27" t="s">
        <v>6</v>
      </c>
      <c r="E8983" s="27" t="s">
        <v>40</v>
      </c>
      <c r="F8983" s="29"/>
      <c r="G8983" s="30">
        <v>834.25152230214019</v>
      </c>
    </row>
    <row r="8984" spans="1:7" hidden="1" x14ac:dyDescent="0.25">
      <c r="A8984" s="28">
        <v>44317</v>
      </c>
      <c r="B8984" s="27" t="s">
        <v>26</v>
      </c>
      <c r="C8984" s="27" t="s">
        <v>50</v>
      </c>
      <c r="D8984" s="27" t="s">
        <v>6</v>
      </c>
      <c r="E8984" s="27" t="s">
        <v>37</v>
      </c>
      <c r="F8984" s="29"/>
      <c r="G8984" s="30">
        <v>791.10058149340887</v>
      </c>
    </row>
    <row r="8985" spans="1:7" hidden="1" x14ac:dyDescent="0.25">
      <c r="A8985" s="28">
        <v>44317</v>
      </c>
      <c r="B8985" s="27" t="s">
        <v>3</v>
      </c>
      <c r="C8985" s="27" t="s">
        <v>50</v>
      </c>
      <c r="D8985" s="27" t="s">
        <v>7</v>
      </c>
      <c r="E8985" s="27" t="s">
        <v>8</v>
      </c>
      <c r="F8985" s="29"/>
      <c r="G8985" s="30">
        <v>634.15619047619055</v>
      </c>
    </row>
    <row r="8986" spans="1:7" hidden="1" x14ac:dyDescent="0.25">
      <c r="A8986" s="28">
        <v>44317</v>
      </c>
      <c r="B8986" s="27" t="s">
        <v>3</v>
      </c>
      <c r="C8986" s="27" t="s">
        <v>50</v>
      </c>
      <c r="D8986" s="27" t="s">
        <v>7</v>
      </c>
      <c r="E8986" s="27" t="s">
        <v>9</v>
      </c>
      <c r="F8986" s="29"/>
      <c r="G8986" s="30">
        <v>634.15619047619055</v>
      </c>
    </row>
    <row r="8987" spans="1:7" hidden="1" x14ac:dyDescent="0.25">
      <c r="A8987" s="28">
        <v>44317</v>
      </c>
      <c r="B8987" s="27" t="s">
        <v>3</v>
      </c>
      <c r="C8987" s="27" t="s">
        <v>50</v>
      </c>
      <c r="D8987" s="27" t="s">
        <v>7</v>
      </c>
      <c r="E8987" s="27" t="s">
        <v>22</v>
      </c>
      <c r="F8987" s="29"/>
      <c r="G8987" s="30">
        <v>634.15619047619055</v>
      </c>
    </row>
    <row r="8988" spans="1:7" hidden="1" x14ac:dyDescent="0.25">
      <c r="A8988" s="28">
        <v>44317</v>
      </c>
      <c r="B8988" s="27" t="s">
        <v>3</v>
      </c>
      <c r="C8988" s="27" t="s">
        <v>50</v>
      </c>
      <c r="D8988" s="27" t="s">
        <v>7</v>
      </c>
      <c r="E8988" s="27" t="s">
        <v>39</v>
      </c>
      <c r="F8988" s="29"/>
      <c r="G8988" s="30">
        <v>634.15619047619055</v>
      </c>
    </row>
    <row r="8989" spans="1:7" hidden="1" x14ac:dyDescent="0.25">
      <c r="A8989" s="28">
        <v>44317</v>
      </c>
      <c r="B8989" s="27" t="s">
        <v>3</v>
      </c>
      <c r="C8989" s="27" t="s">
        <v>50</v>
      </c>
      <c r="D8989" s="27" t="s">
        <v>7</v>
      </c>
      <c r="E8989" s="27" t="s">
        <v>64</v>
      </c>
      <c r="F8989" s="29"/>
      <c r="G8989" s="30">
        <v>634.15619047619055</v>
      </c>
    </row>
    <row r="8990" spans="1:7" hidden="1" x14ac:dyDescent="0.25">
      <c r="A8990" s="28">
        <v>44317</v>
      </c>
      <c r="B8990" s="27" t="s">
        <v>3</v>
      </c>
      <c r="C8990" s="27" t="s">
        <v>50</v>
      </c>
      <c r="D8990" s="27" t="s">
        <v>7</v>
      </c>
      <c r="E8990" s="27" t="s">
        <v>21</v>
      </c>
      <c r="F8990" s="29"/>
      <c r="G8990" s="30">
        <v>634.15619047619055</v>
      </c>
    </row>
    <row r="8991" spans="1:7" hidden="1" x14ac:dyDescent="0.25">
      <c r="A8991" s="28">
        <v>44317</v>
      </c>
      <c r="B8991" s="27" t="s">
        <v>3</v>
      </c>
      <c r="C8991" s="27" t="s">
        <v>50</v>
      </c>
      <c r="D8991" s="27" t="s">
        <v>7</v>
      </c>
      <c r="E8991" s="27" t="s">
        <v>41</v>
      </c>
      <c r="F8991" s="29"/>
      <c r="G8991" s="30">
        <v>634.15619047619055</v>
      </c>
    </row>
    <row r="8992" spans="1:7" hidden="1" x14ac:dyDescent="0.25">
      <c r="A8992" s="28">
        <v>44317</v>
      </c>
      <c r="B8992" s="27" t="s">
        <v>3</v>
      </c>
      <c r="C8992" s="27" t="s">
        <v>50</v>
      </c>
      <c r="D8992" s="27" t="s">
        <v>7</v>
      </c>
      <c r="E8992" s="27" t="s">
        <v>10</v>
      </c>
      <c r="F8992" s="29"/>
      <c r="G8992" s="30">
        <v>634.15619047619055</v>
      </c>
    </row>
    <row r="8993" spans="1:7" hidden="1" x14ac:dyDescent="0.25">
      <c r="A8993" s="28">
        <v>44317</v>
      </c>
      <c r="B8993" s="27" t="s">
        <v>3</v>
      </c>
      <c r="C8993" s="27" t="s">
        <v>50</v>
      </c>
      <c r="D8993" s="27" t="s">
        <v>7</v>
      </c>
      <c r="E8993" s="27" t="s">
        <v>11</v>
      </c>
      <c r="F8993" s="29"/>
      <c r="G8993" s="30">
        <v>634.15619047619055</v>
      </c>
    </row>
    <row r="8994" spans="1:7" hidden="1" x14ac:dyDescent="0.25">
      <c r="A8994" s="28">
        <v>44317</v>
      </c>
      <c r="B8994" s="27" t="s">
        <v>3</v>
      </c>
      <c r="C8994" s="27" t="s">
        <v>50</v>
      </c>
      <c r="D8994" s="27" t="s">
        <v>7</v>
      </c>
      <c r="E8994" s="27" t="s">
        <v>12</v>
      </c>
      <c r="F8994" s="29"/>
      <c r="G8994" s="30">
        <v>634.15619047619055</v>
      </c>
    </row>
    <row r="8995" spans="1:7" hidden="1" x14ac:dyDescent="0.25">
      <c r="A8995" s="28">
        <v>44317</v>
      </c>
      <c r="B8995" s="27" t="s">
        <v>3</v>
      </c>
      <c r="C8995" s="27" t="s">
        <v>50</v>
      </c>
      <c r="D8995" s="27" t="s">
        <v>7</v>
      </c>
      <c r="E8995" s="27" t="s">
        <v>13</v>
      </c>
      <c r="F8995" s="29"/>
      <c r="G8995" s="30">
        <v>634.15619047619055</v>
      </c>
    </row>
    <row r="8996" spans="1:7" hidden="1" x14ac:dyDescent="0.25">
      <c r="A8996" s="28">
        <v>44317</v>
      </c>
      <c r="B8996" s="27" t="s">
        <v>3</v>
      </c>
      <c r="C8996" s="27" t="s">
        <v>50</v>
      </c>
      <c r="D8996" s="27" t="s">
        <v>7</v>
      </c>
      <c r="E8996" s="27" t="s">
        <v>14</v>
      </c>
      <c r="F8996" s="29"/>
      <c r="G8996" s="30">
        <v>634.15619047619055</v>
      </c>
    </row>
    <row r="8997" spans="1:7" hidden="1" x14ac:dyDescent="0.25">
      <c r="A8997" s="28">
        <v>44317</v>
      </c>
      <c r="B8997" s="27" t="s">
        <v>3</v>
      </c>
      <c r="C8997" s="27" t="s">
        <v>50</v>
      </c>
      <c r="D8997" s="27" t="s">
        <v>7</v>
      </c>
      <c r="E8997" s="27" t="s">
        <v>15</v>
      </c>
      <c r="F8997" s="29"/>
      <c r="G8997" s="30">
        <v>634.15619047619055</v>
      </c>
    </row>
    <row r="8998" spans="1:7" hidden="1" x14ac:dyDescent="0.25">
      <c r="A8998" s="28">
        <v>44317</v>
      </c>
      <c r="B8998" s="27" t="s">
        <v>3</v>
      </c>
      <c r="C8998" s="27" t="s">
        <v>50</v>
      </c>
      <c r="D8998" s="27" t="s">
        <v>7</v>
      </c>
      <c r="E8998" s="27" t="s">
        <v>16</v>
      </c>
      <c r="F8998" s="29"/>
      <c r="G8998" s="30">
        <v>634.15619047619055</v>
      </c>
    </row>
    <row r="8999" spans="1:7" hidden="1" x14ac:dyDescent="0.25">
      <c r="A8999" s="28">
        <v>44317</v>
      </c>
      <c r="B8999" s="27" t="s">
        <v>3</v>
      </c>
      <c r="C8999" s="27" t="s">
        <v>50</v>
      </c>
      <c r="D8999" s="27" t="s">
        <v>7</v>
      </c>
      <c r="E8999" s="27" t="s">
        <v>17</v>
      </c>
      <c r="F8999" s="29"/>
      <c r="G8999" s="30">
        <v>634.15619047619055</v>
      </c>
    </row>
    <row r="9000" spans="1:7" hidden="1" x14ac:dyDescent="0.25">
      <c r="A9000" s="28">
        <v>44317</v>
      </c>
      <c r="B9000" s="27" t="s">
        <v>3</v>
      </c>
      <c r="C9000" s="27" t="s">
        <v>50</v>
      </c>
      <c r="D9000" s="27" t="s">
        <v>7</v>
      </c>
      <c r="E9000" s="27" t="s">
        <v>18</v>
      </c>
      <c r="F9000" s="29"/>
      <c r="G9000" s="30">
        <v>634.15619047619055</v>
      </c>
    </row>
    <row r="9001" spans="1:7" hidden="1" x14ac:dyDescent="0.25">
      <c r="A9001" s="28">
        <v>44317</v>
      </c>
      <c r="B9001" s="27" t="s">
        <v>3</v>
      </c>
      <c r="C9001" s="27" t="s">
        <v>50</v>
      </c>
      <c r="D9001" s="27" t="s">
        <v>7</v>
      </c>
      <c r="E9001" s="27" t="s">
        <v>19</v>
      </c>
      <c r="F9001" s="29"/>
      <c r="G9001" s="30">
        <v>634.15619047619055</v>
      </c>
    </row>
    <row r="9002" spans="1:7" hidden="1" x14ac:dyDescent="0.25">
      <c r="A9002" s="28">
        <v>44317</v>
      </c>
      <c r="B9002" s="27" t="s">
        <v>3</v>
      </c>
      <c r="C9002" s="27" t="s">
        <v>50</v>
      </c>
      <c r="D9002" s="27" t="s">
        <v>7</v>
      </c>
      <c r="E9002" s="27" t="s">
        <v>20</v>
      </c>
      <c r="F9002" s="29"/>
      <c r="G9002" s="30">
        <v>634.15619047619055</v>
      </c>
    </row>
    <row r="9003" spans="1:7" hidden="1" x14ac:dyDescent="0.25">
      <c r="A9003" s="28">
        <v>44317</v>
      </c>
      <c r="B9003" s="27" t="s">
        <v>3</v>
      </c>
      <c r="C9003" s="27" t="s">
        <v>50</v>
      </c>
      <c r="D9003" s="27" t="s">
        <v>7</v>
      </c>
      <c r="E9003" s="27" t="s">
        <v>38</v>
      </c>
      <c r="F9003" s="29"/>
      <c r="G9003" s="30">
        <v>634.15619047619055</v>
      </c>
    </row>
    <row r="9004" spans="1:7" hidden="1" x14ac:dyDescent="0.25">
      <c r="A9004" s="28">
        <v>44317</v>
      </c>
      <c r="B9004" s="27" t="s">
        <v>3</v>
      </c>
      <c r="C9004" s="27" t="s">
        <v>50</v>
      </c>
      <c r="D9004" s="27" t="s">
        <v>7</v>
      </c>
      <c r="E9004" s="27" t="s">
        <v>23</v>
      </c>
      <c r="F9004" s="29"/>
      <c r="G9004" s="30">
        <v>634.15619047619055</v>
      </c>
    </row>
    <row r="9005" spans="1:7" hidden="1" x14ac:dyDescent="0.25">
      <c r="A9005" s="28">
        <v>44317</v>
      </c>
      <c r="B9005" s="27" t="s">
        <v>3</v>
      </c>
      <c r="C9005" s="27" t="s">
        <v>50</v>
      </c>
      <c r="D9005" s="27" t="s">
        <v>7</v>
      </c>
      <c r="E9005" s="27" t="s">
        <v>40</v>
      </c>
      <c r="F9005" s="29"/>
      <c r="G9005" s="30">
        <v>634.15619047619055</v>
      </c>
    </row>
    <row r="9006" spans="1:7" hidden="1" x14ac:dyDescent="0.25">
      <c r="A9006" s="28">
        <v>44317</v>
      </c>
      <c r="B9006" s="27" t="s">
        <v>179</v>
      </c>
      <c r="C9006" s="27" t="s">
        <v>50</v>
      </c>
      <c r="D9006" s="27" t="s">
        <v>6</v>
      </c>
      <c r="E9006" s="27" t="s">
        <v>8</v>
      </c>
      <c r="F9006" s="29"/>
      <c r="G9006" s="30">
        <v>54.168999999999997</v>
      </c>
    </row>
    <row r="9007" spans="1:7" hidden="1" x14ac:dyDescent="0.25">
      <c r="A9007" s="28">
        <v>44317</v>
      </c>
      <c r="B9007" s="27" t="s">
        <v>179</v>
      </c>
      <c r="C9007" s="27" t="s">
        <v>50</v>
      </c>
      <c r="D9007" s="27" t="s">
        <v>6</v>
      </c>
      <c r="E9007" s="27" t="s">
        <v>9</v>
      </c>
      <c r="F9007" s="29"/>
      <c r="G9007" s="30">
        <v>71.931666000000007</v>
      </c>
    </row>
    <row r="9008" spans="1:7" hidden="1" x14ac:dyDescent="0.25">
      <c r="A9008" s="28">
        <v>44317</v>
      </c>
      <c r="B9008" s="27" t="s">
        <v>179</v>
      </c>
      <c r="C9008" s="27" t="s">
        <v>50</v>
      </c>
      <c r="D9008" s="27" t="s">
        <v>6</v>
      </c>
      <c r="E9008" s="27" t="s">
        <v>22</v>
      </c>
      <c r="F9008" s="29"/>
      <c r="G9008" s="30">
        <v>95.266666000000001</v>
      </c>
    </row>
    <row r="9009" spans="1:7" hidden="1" x14ac:dyDescent="0.25">
      <c r="A9009" s="28">
        <v>44317</v>
      </c>
      <c r="B9009" s="27" t="s">
        <v>179</v>
      </c>
      <c r="C9009" s="27" t="s">
        <v>50</v>
      </c>
      <c r="D9009" s="27" t="s">
        <v>6</v>
      </c>
      <c r="E9009" s="27" t="s">
        <v>39</v>
      </c>
      <c r="F9009" s="29"/>
      <c r="G9009" s="30">
        <v>72.42</v>
      </c>
    </row>
    <row r="9010" spans="1:7" hidden="1" x14ac:dyDescent="0.25">
      <c r="A9010" s="28">
        <v>44317</v>
      </c>
      <c r="B9010" s="27" t="s">
        <v>179</v>
      </c>
      <c r="C9010" s="27" t="s">
        <v>50</v>
      </c>
      <c r="D9010" s="27" t="s">
        <v>6</v>
      </c>
      <c r="E9010" s="27" t="s">
        <v>21</v>
      </c>
      <c r="F9010" s="29"/>
      <c r="G9010" s="30">
        <v>66.441665999999998</v>
      </c>
    </row>
    <row r="9011" spans="1:7" hidden="1" x14ac:dyDescent="0.25">
      <c r="A9011" s="28">
        <v>44317</v>
      </c>
      <c r="B9011" s="27" t="s">
        <v>179</v>
      </c>
      <c r="C9011" s="27" t="s">
        <v>50</v>
      </c>
      <c r="D9011" s="27" t="s">
        <v>6</v>
      </c>
      <c r="E9011" s="27" t="s">
        <v>41</v>
      </c>
      <c r="F9011" s="29"/>
      <c r="G9011" s="30">
        <v>71.509165999999993</v>
      </c>
    </row>
    <row r="9012" spans="1:7" hidden="1" x14ac:dyDescent="0.25">
      <c r="A9012" s="28">
        <v>44317</v>
      </c>
      <c r="B9012" s="27" t="s">
        <v>179</v>
      </c>
      <c r="C9012" s="27" t="s">
        <v>50</v>
      </c>
      <c r="D9012" s="27" t="s">
        <v>6</v>
      </c>
      <c r="E9012" s="27" t="s">
        <v>10</v>
      </c>
      <c r="F9012" s="29"/>
      <c r="G9012" s="30">
        <v>86.698999999999998</v>
      </c>
    </row>
    <row r="9013" spans="1:7" hidden="1" x14ac:dyDescent="0.25">
      <c r="A9013" s="28">
        <v>44317</v>
      </c>
      <c r="B9013" s="27" t="s">
        <v>179</v>
      </c>
      <c r="C9013" s="27" t="s">
        <v>50</v>
      </c>
      <c r="D9013" s="27" t="s">
        <v>6</v>
      </c>
      <c r="E9013" s="27" t="s">
        <v>11</v>
      </c>
      <c r="F9013" s="29"/>
      <c r="G9013" s="30">
        <v>65.566665999999998</v>
      </c>
    </row>
    <row r="9014" spans="1:7" hidden="1" x14ac:dyDescent="0.25">
      <c r="A9014" s="28">
        <v>44317</v>
      </c>
      <c r="B9014" s="27" t="s">
        <v>179</v>
      </c>
      <c r="C9014" s="27" t="s">
        <v>50</v>
      </c>
      <c r="D9014" s="27" t="s">
        <v>6</v>
      </c>
      <c r="E9014" s="27" t="s">
        <v>12</v>
      </c>
      <c r="F9014" s="29"/>
      <c r="G9014" s="30">
        <v>67.331665999999998</v>
      </c>
    </row>
    <row r="9015" spans="1:7" hidden="1" x14ac:dyDescent="0.25">
      <c r="A9015" s="28">
        <v>44317</v>
      </c>
      <c r="B9015" s="27" t="s">
        <v>179</v>
      </c>
      <c r="C9015" s="27" t="s">
        <v>50</v>
      </c>
      <c r="D9015" s="27" t="s">
        <v>6</v>
      </c>
      <c r="E9015" s="27" t="s">
        <v>13</v>
      </c>
      <c r="F9015" s="29"/>
      <c r="G9015" s="30">
        <v>93.319165999999996</v>
      </c>
    </row>
    <row r="9016" spans="1:7" hidden="1" x14ac:dyDescent="0.25">
      <c r="A9016" s="28">
        <v>44317</v>
      </c>
      <c r="B9016" s="27" t="s">
        <v>179</v>
      </c>
      <c r="C9016" s="27" t="s">
        <v>50</v>
      </c>
      <c r="D9016" s="27" t="s">
        <v>6</v>
      </c>
      <c r="E9016" s="27" t="s">
        <v>14</v>
      </c>
      <c r="F9016" s="29"/>
      <c r="G9016" s="30">
        <v>79.181666000000007</v>
      </c>
    </row>
    <row r="9017" spans="1:7" hidden="1" x14ac:dyDescent="0.25">
      <c r="A9017" s="28">
        <v>44317</v>
      </c>
      <c r="B9017" s="27" t="s">
        <v>179</v>
      </c>
      <c r="C9017" s="27" t="s">
        <v>50</v>
      </c>
      <c r="D9017" s="27" t="s">
        <v>6</v>
      </c>
      <c r="E9017" s="27" t="s">
        <v>15</v>
      </c>
      <c r="F9017" s="29"/>
      <c r="G9017" s="30">
        <v>90.084165999999996</v>
      </c>
    </row>
    <row r="9018" spans="1:7" hidden="1" x14ac:dyDescent="0.25">
      <c r="A9018" s="28">
        <v>44317</v>
      </c>
      <c r="B9018" s="27" t="s">
        <v>179</v>
      </c>
      <c r="C9018" s="27" t="s">
        <v>50</v>
      </c>
      <c r="D9018" s="27" t="s">
        <v>6</v>
      </c>
      <c r="E9018" s="27" t="s">
        <v>16</v>
      </c>
      <c r="F9018" s="29"/>
      <c r="G9018" s="30">
        <v>91.176665999999997</v>
      </c>
    </row>
    <row r="9019" spans="1:7" hidden="1" x14ac:dyDescent="0.25">
      <c r="A9019" s="28">
        <v>44317</v>
      </c>
      <c r="B9019" s="27" t="s">
        <v>179</v>
      </c>
      <c r="C9019" s="27" t="s">
        <v>50</v>
      </c>
      <c r="D9019" s="27" t="s">
        <v>6</v>
      </c>
      <c r="E9019" s="27" t="s">
        <v>17</v>
      </c>
      <c r="F9019" s="29"/>
      <c r="G9019" s="30">
        <v>142.004166</v>
      </c>
    </row>
    <row r="9020" spans="1:7" hidden="1" x14ac:dyDescent="0.25">
      <c r="A9020" s="28">
        <v>44317</v>
      </c>
      <c r="B9020" s="27" t="s">
        <v>179</v>
      </c>
      <c r="C9020" s="27" t="s">
        <v>50</v>
      </c>
      <c r="D9020" s="27" t="s">
        <v>6</v>
      </c>
      <c r="E9020" s="27" t="s">
        <v>18</v>
      </c>
      <c r="F9020" s="29"/>
      <c r="G9020" s="30">
        <v>183.16666599999999</v>
      </c>
    </row>
    <row r="9021" spans="1:7" hidden="1" x14ac:dyDescent="0.25">
      <c r="A9021" s="28">
        <v>44317</v>
      </c>
      <c r="B9021" s="27" t="s">
        <v>179</v>
      </c>
      <c r="C9021" s="27" t="s">
        <v>50</v>
      </c>
      <c r="D9021" s="27" t="s">
        <v>6</v>
      </c>
      <c r="E9021" s="27" t="s">
        <v>19</v>
      </c>
      <c r="F9021" s="29"/>
      <c r="G9021" s="30">
        <v>120.299166</v>
      </c>
    </row>
    <row r="9022" spans="1:7" hidden="1" x14ac:dyDescent="0.25">
      <c r="A9022" s="28">
        <v>44317</v>
      </c>
      <c r="B9022" s="27" t="s">
        <v>179</v>
      </c>
      <c r="C9022" s="27" t="s">
        <v>50</v>
      </c>
      <c r="D9022" s="27" t="s">
        <v>6</v>
      </c>
      <c r="E9022" s="27" t="s">
        <v>20</v>
      </c>
      <c r="F9022" s="29"/>
      <c r="G9022" s="30">
        <v>231.341666</v>
      </c>
    </row>
    <row r="9023" spans="1:7" hidden="1" x14ac:dyDescent="0.25">
      <c r="A9023" s="28">
        <v>44317</v>
      </c>
      <c r="B9023" s="27" t="s">
        <v>179</v>
      </c>
      <c r="C9023" s="27" t="s">
        <v>50</v>
      </c>
      <c r="D9023" s="27" t="s">
        <v>6</v>
      </c>
      <c r="E9023" s="27" t="s">
        <v>38</v>
      </c>
      <c r="F9023" s="29"/>
      <c r="G9023" s="30">
        <v>99.366665999999995</v>
      </c>
    </row>
    <row r="9024" spans="1:7" hidden="1" x14ac:dyDescent="0.25">
      <c r="A9024" s="28">
        <v>44317</v>
      </c>
      <c r="B9024" s="27" t="s">
        <v>179</v>
      </c>
      <c r="C9024" s="27" t="s">
        <v>50</v>
      </c>
      <c r="D9024" s="27" t="s">
        <v>6</v>
      </c>
      <c r="E9024" s="27" t="s">
        <v>23</v>
      </c>
      <c r="F9024" s="29"/>
      <c r="G9024" s="30">
        <v>131.48916600000001</v>
      </c>
    </row>
    <row r="9025" spans="1:7" hidden="1" x14ac:dyDescent="0.25">
      <c r="A9025" s="28">
        <v>44317</v>
      </c>
      <c r="B9025" s="27" t="s">
        <v>179</v>
      </c>
      <c r="C9025" s="27" t="s">
        <v>50</v>
      </c>
      <c r="D9025" s="27" t="s">
        <v>6</v>
      </c>
      <c r="E9025" s="27" t="s">
        <v>40</v>
      </c>
      <c r="F9025" s="29"/>
      <c r="G9025" s="30">
        <v>130.52416600000001</v>
      </c>
    </row>
    <row r="9026" spans="1:7" hidden="1" x14ac:dyDescent="0.25">
      <c r="A9026" s="28">
        <v>44317</v>
      </c>
      <c r="B9026" s="27" t="s">
        <v>32</v>
      </c>
      <c r="C9026" s="27" t="s">
        <v>50</v>
      </c>
      <c r="D9026" s="27" t="s">
        <v>7</v>
      </c>
      <c r="E9026" s="27" t="s">
        <v>10</v>
      </c>
      <c r="F9026" s="29"/>
      <c r="G9026" s="30">
        <v>50</v>
      </c>
    </row>
    <row r="9027" spans="1:7" hidden="1" x14ac:dyDescent="0.25">
      <c r="A9027" s="28">
        <v>44317</v>
      </c>
      <c r="B9027" s="27" t="s">
        <v>32</v>
      </c>
      <c r="C9027" s="27" t="s">
        <v>50</v>
      </c>
      <c r="D9027" s="27" t="s">
        <v>7</v>
      </c>
      <c r="E9027" s="27" t="s">
        <v>17</v>
      </c>
      <c r="F9027" s="29"/>
      <c r="G9027" s="30">
        <v>50</v>
      </c>
    </row>
    <row r="9028" spans="1:7" hidden="1" x14ac:dyDescent="0.25">
      <c r="A9028" s="28">
        <v>44317</v>
      </c>
      <c r="B9028" s="27" t="s">
        <v>5</v>
      </c>
      <c r="C9028" s="27" t="s">
        <v>51</v>
      </c>
      <c r="D9028" s="27" t="s">
        <v>51</v>
      </c>
      <c r="E9028" s="27" t="s">
        <v>8</v>
      </c>
      <c r="F9028" s="29">
        <v>4395</v>
      </c>
      <c r="G9028" s="30">
        <v>2.6975578122656265</v>
      </c>
    </row>
    <row r="9029" spans="1:7" hidden="1" x14ac:dyDescent="0.25">
      <c r="A9029" s="28">
        <v>44317</v>
      </c>
      <c r="B9029" s="27" t="s">
        <v>5</v>
      </c>
      <c r="C9029" s="27" t="s">
        <v>51</v>
      </c>
      <c r="D9029" s="27" t="s">
        <v>51</v>
      </c>
      <c r="E9029" s="27" t="s">
        <v>9</v>
      </c>
      <c r="F9029" s="29">
        <v>4165</v>
      </c>
      <c r="G9029" s="30">
        <v>2.3225855859970563</v>
      </c>
    </row>
    <row r="9030" spans="1:7" hidden="1" x14ac:dyDescent="0.25">
      <c r="A9030" s="28">
        <v>44317</v>
      </c>
      <c r="B9030" s="27" t="s">
        <v>5</v>
      </c>
      <c r="C9030" s="27" t="s">
        <v>51</v>
      </c>
      <c r="D9030" s="27" t="s">
        <v>51</v>
      </c>
      <c r="E9030" s="27" t="s">
        <v>22</v>
      </c>
      <c r="F9030" s="29">
        <v>1989</v>
      </c>
      <c r="G9030" s="30">
        <v>10.533667964753768</v>
      </c>
    </row>
    <row r="9031" spans="1:7" hidden="1" x14ac:dyDescent="0.25">
      <c r="A9031" s="28">
        <v>44317</v>
      </c>
      <c r="B9031" s="27" t="s">
        <v>5</v>
      </c>
      <c r="C9031" s="27" t="s">
        <v>51</v>
      </c>
      <c r="D9031" s="27" t="s">
        <v>51</v>
      </c>
      <c r="E9031" s="27" t="s">
        <v>39</v>
      </c>
      <c r="F9031" s="29">
        <v>2268</v>
      </c>
      <c r="G9031" s="30">
        <v>3.1734512138811493</v>
      </c>
    </row>
    <row r="9032" spans="1:7" hidden="1" x14ac:dyDescent="0.25">
      <c r="A9032" s="28">
        <v>44317</v>
      </c>
      <c r="B9032" s="27" t="s">
        <v>5</v>
      </c>
      <c r="C9032" s="27" t="s">
        <v>51</v>
      </c>
      <c r="D9032" s="27" t="s">
        <v>51</v>
      </c>
      <c r="E9032" s="27" t="s">
        <v>64</v>
      </c>
      <c r="F9032" s="29">
        <v>2763</v>
      </c>
      <c r="G9032" s="30">
        <v>6.260797203085664</v>
      </c>
    </row>
    <row r="9033" spans="1:7" hidden="1" x14ac:dyDescent="0.25">
      <c r="A9033" s="28">
        <v>44317</v>
      </c>
      <c r="B9033" s="27" t="s">
        <v>5</v>
      </c>
      <c r="C9033" s="27" t="s">
        <v>51</v>
      </c>
      <c r="D9033" s="27" t="s">
        <v>51</v>
      </c>
      <c r="E9033" s="27" t="s">
        <v>21</v>
      </c>
      <c r="F9033" s="29">
        <v>4403</v>
      </c>
      <c r="G9033" s="30">
        <v>2.396315550531563</v>
      </c>
    </row>
    <row r="9034" spans="1:7" hidden="1" x14ac:dyDescent="0.25">
      <c r="A9034" s="28">
        <v>44317</v>
      </c>
      <c r="B9034" s="27" t="s">
        <v>5</v>
      </c>
      <c r="C9034" s="27" t="s">
        <v>51</v>
      </c>
      <c r="D9034" s="27" t="s">
        <v>51</v>
      </c>
      <c r="E9034" s="27" t="s">
        <v>41</v>
      </c>
      <c r="F9034" s="29">
        <v>2868</v>
      </c>
      <c r="G9034" s="30">
        <v>4.092359269433488</v>
      </c>
    </row>
    <row r="9035" spans="1:7" hidden="1" x14ac:dyDescent="0.25">
      <c r="A9035" s="28">
        <v>44317</v>
      </c>
      <c r="B9035" s="27" t="s">
        <v>5</v>
      </c>
      <c r="C9035" s="27" t="s">
        <v>51</v>
      </c>
      <c r="D9035" s="27" t="s">
        <v>51</v>
      </c>
      <c r="E9035" s="27" t="s">
        <v>10</v>
      </c>
      <c r="F9035" s="29">
        <v>3663</v>
      </c>
      <c r="G9035" s="30">
        <v>3.8154451844439361</v>
      </c>
    </row>
    <row r="9036" spans="1:7" hidden="1" x14ac:dyDescent="0.25">
      <c r="A9036" s="28">
        <v>44317</v>
      </c>
      <c r="B9036" s="27" t="s">
        <v>5</v>
      </c>
      <c r="C9036" s="27" t="s">
        <v>51</v>
      </c>
      <c r="D9036" s="27" t="s">
        <v>51</v>
      </c>
      <c r="E9036" s="27" t="s">
        <v>11</v>
      </c>
      <c r="F9036" s="29">
        <v>4387</v>
      </c>
      <c r="G9036" s="30">
        <v>2.2379593000071094</v>
      </c>
    </row>
    <row r="9037" spans="1:7" hidden="1" x14ac:dyDescent="0.25">
      <c r="A9037" s="28">
        <v>44317</v>
      </c>
      <c r="B9037" s="27" t="s">
        <v>5</v>
      </c>
      <c r="C9037" s="27" t="s">
        <v>51</v>
      </c>
      <c r="D9037" s="27" t="s">
        <v>51</v>
      </c>
      <c r="E9037" s="27" t="s">
        <v>12</v>
      </c>
      <c r="F9037" s="29">
        <v>1848</v>
      </c>
      <c r="G9037" s="30">
        <v>7.6629082618802444</v>
      </c>
    </row>
    <row r="9038" spans="1:7" hidden="1" x14ac:dyDescent="0.25">
      <c r="A9038" s="28">
        <v>44317</v>
      </c>
      <c r="B9038" s="27" t="s">
        <v>5</v>
      </c>
      <c r="C9038" s="27" t="s">
        <v>51</v>
      </c>
      <c r="D9038" s="27" t="s">
        <v>51</v>
      </c>
      <c r="E9038" s="27" t="s">
        <v>13</v>
      </c>
      <c r="F9038" s="29">
        <v>6143</v>
      </c>
      <c r="G9038" s="30">
        <v>1.6505503227876095</v>
      </c>
    </row>
    <row r="9039" spans="1:7" hidden="1" x14ac:dyDescent="0.25">
      <c r="A9039" s="28">
        <v>44317</v>
      </c>
      <c r="B9039" s="27" t="s">
        <v>5</v>
      </c>
      <c r="C9039" s="27" t="s">
        <v>51</v>
      </c>
      <c r="D9039" s="27" t="s">
        <v>51</v>
      </c>
      <c r="E9039" s="27" t="s">
        <v>14</v>
      </c>
      <c r="F9039" s="29">
        <v>2326</v>
      </c>
      <c r="G9039" s="30">
        <v>2.9807903340307647</v>
      </c>
    </row>
    <row r="9040" spans="1:7" hidden="1" x14ac:dyDescent="0.25">
      <c r="A9040" s="28">
        <v>44317</v>
      </c>
      <c r="B9040" s="27" t="s">
        <v>5</v>
      </c>
      <c r="C9040" s="27" t="s">
        <v>51</v>
      </c>
      <c r="D9040" s="27" t="s">
        <v>51</v>
      </c>
      <c r="E9040" s="27" t="s">
        <v>15</v>
      </c>
      <c r="F9040" s="29">
        <v>2704</v>
      </c>
      <c r="G9040" s="30">
        <v>3.9980207428612924</v>
      </c>
    </row>
    <row r="9041" spans="1:7" hidden="1" x14ac:dyDescent="0.25">
      <c r="A9041" s="28">
        <v>44317</v>
      </c>
      <c r="B9041" s="27" t="s">
        <v>5</v>
      </c>
      <c r="C9041" s="27" t="s">
        <v>51</v>
      </c>
      <c r="D9041" s="27" t="s">
        <v>51</v>
      </c>
      <c r="E9041" s="27" t="s">
        <v>16</v>
      </c>
      <c r="F9041" s="29">
        <v>2454</v>
      </c>
      <c r="G9041" s="30">
        <v>5.462843060011048</v>
      </c>
    </row>
    <row r="9042" spans="1:7" hidden="1" x14ac:dyDescent="0.25">
      <c r="A9042" s="28">
        <v>44317</v>
      </c>
      <c r="B9042" s="27" t="s">
        <v>5</v>
      </c>
      <c r="C9042" s="27" t="s">
        <v>51</v>
      </c>
      <c r="D9042" s="27" t="s">
        <v>51</v>
      </c>
      <c r="E9042" s="27" t="s">
        <v>17</v>
      </c>
      <c r="F9042" s="29">
        <v>5942</v>
      </c>
      <c r="G9042" s="30">
        <v>2.5559011168287427</v>
      </c>
    </row>
    <row r="9043" spans="1:7" hidden="1" x14ac:dyDescent="0.25">
      <c r="A9043" s="28">
        <v>44317</v>
      </c>
      <c r="B9043" s="27" t="s">
        <v>5</v>
      </c>
      <c r="C9043" s="27" t="s">
        <v>51</v>
      </c>
      <c r="D9043" s="27" t="s">
        <v>51</v>
      </c>
      <c r="E9043" s="27" t="s">
        <v>18</v>
      </c>
      <c r="F9043" s="29">
        <v>4511</v>
      </c>
      <c r="G9043" s="30">
        <v>2.3337380260706726</v>
      </c>
    </row>
    <row r="9044" spans="1:7" hidden="1" x14ac:dyDescent="0.25">
      <c r="A9044" s="28">
        <v>44317</v>
      </c>
      <c r="B9044" s="27" t="s">
        <v>5</v>
      </c>
      <c r="C9044" s="27" t="s">
        <v>51</v>
      </c>
      <c r="D9044" s="27" t="s">
        <v>51</v>
      </c>
      <c r="E9044" s="27" t="s">
        <v>19</v>
      </c>
      <c r="F9044" s="29">
        <v>5577</v>
      </c>
      <c r="G9044" s="30">
        <v>2.7519770769742538</v>
      </c>
    </row>
    <row r="9045" spans="1:7" hidden="1" x14ac:dyDescent="0.25">
      <c r="A9045" s="28">
        <v>44317</v>
      </c>
      <c r="B9045" s="27" t="s">
        <v>5</v>
      </c>
      <c r="C9045" s="27" t="s">
        <v>51</v>
      </c>
      <c r="D9045" s="27" t="s">
        <v>51</v>
      </c>
      <c r="E9045" s="27" t="s">
        <v>20</v>
      </c>
      <c r="F9045" s="29">
        <v>6043</v>
      </c>
      <c r="G9045" s="30">
        <v>1.7443038738026422</v>
      </c>
    </row>
    <row r="9046" spans="1:7" hidden="1" x14ac:dyDescent="0.25">
      <c r="A9046" s="28">
        <v>44317</v>
      </c>
      <c r="B9046" s="27" t="s">
        <v>5</v>
      </c>
      <c r="C9046" s="27" t="s">
        <v>51</v>
      </c>
      <c r="D9046" s="27" t="s">
        <v>51</v>
      </c>
      <c r="E9046" s="27" t="s">
        <v>38</v>
      </c>
      <c r="F9046" s="29">
        <v>4138</v>
      </c>
      <c r="G9046" s="30">
        <v>1.8985954377423109</v>
      </c>
    </row>
    <row r="9047" spans="1:7" hidden="1" x14ac:dyDescent="0.25">
      <c r="A9047" s="28">
        <v>44317</v>
      </c>
      <c r="B9047" s="27" t="s">
        <v>5</v>
      </c>
      <c r="C9047" s="27" t="s">
        <v>51</v>
      </c>
      <c r="D9047" s="27" t="s">
        <v>51</v>
      </c>
      <c r="E9047" s="27" t="s">
        <v>23</v>
      </c>
      <c r="F9047" s="29">
        <v>4824</v>
      </c>
      <c r="G9047" s="30">
        <v>2.7954541568447597</v>
      </c>
    </row>
    <row r="9048" spans="1:7" hidden="1" x14ac:dyDescent="0.25">
      <c r="A9048" s="28">
        <v>44317</v>
      </c>
      <c r="B9048" s="27" t="s">
        <v>5</v>
      </c>
      <c r="C9048" s="27" t="s">
        <v>51</v>
      </c>
      <c r="D9048" s="27" t="s">
        <v>51</v>
      </c>
      <c r="E9048" s="27" t="s">
        <v>40</v>
      </c>
      <c r="F9048" s="29">
        <v>2765</v>
      </c>
      <c r="G9048" s="30">
        <v>2.6669008775397391</v>
      </c>
    </row>
    <row r="9049" spans="1:7" hidden="1" x14ac:dyDescent="0.25">
      <c r="A9049" s="28">
        <v>44317</v>
      </c>
      <c r="B9049" s="27" t="s">
        <v>180</v>
      </c>
      <c r="C9049" s="27" t="s">
        <v>50</v>
      </c>
      <c r="D9049" s="27" t="s">
        <v>7</v>
      </c>
      <c r="E9049" s="27" t="s">
        <v>8</v>
      </c>
      <c r="F9049" s="29"/>
      <c r="G9049" s="30">
        <v>384</v>
      </c>
    </row>
    <row r="9050" spans="1:7" hidden="1" x14ac:dyDescent="0.25">
      <c r="A9050" s="28">
        <v>44317</v>
      </c>
      <c r="B9050" s="27" t="s">
        <v>180</v>
      </c>
      <c r="C9050" s="27" t="s">
        <v>50</v>
      </c>
      <c r="D9050" s="27" t="s">
        <v>7</v>
      </c>
      <c r="E9050" s="27" t="s">
        <v>22</v>
      </c>
      <c r="F9050" s="29"/>
      <c r="G9050" s="30">
        <v>10481.19</v>
      </c>
    </row>
    <row r="9051" spans="1:7" hidden="1" x14ac:dyDescent="0.25">
      <c r="A9051" s="28">
        <v>44317</v>
      </c>
      <c r="B9051" s="27" t="s">
        <v>180</v>
      </c>
      <c r="C9051" s="27" t="s">
        <v>50</v>
      </c>
      <c r="D9051" s="27" t="s">
        <v>7</v>
      </c>
      <c r="E9051" s="27" t="s">
        <v>64</v>
      </c>
      <c r="F9051" s="29"/>
      <c r="G9051" s="30">
        <v>6</v>
      </c>
    </row>
    <row r="9052" spans="1:7" hidden="1" x14ac:dyDescent="0.25">
      <c r="A9052" s="28">
        <v>44317</v>
      </c>
      <c r="B9052" s="27" t="s">
        <v>180</v>
      </c>
      <c r="C9052" s="27" t="s">
        <v>50</v>
      </c>
      <c r="D9052" s="27" t="s">
        <v>7</v>
      </c>
      <c r="E9052" s="27" t="s">
        <v>15</v>
      </c>
      <c r="F9052" s="29"/>
      <c r="G9052" s="30">
        <v>932.88</v>
      </c>
    </row>
    <row r="9053" spans="1:7" hidden="1" x14ac:dyDescent="0.25">
      <c r="A9053" s="28">
        <v>44317</v>
      </c>
      <c r="B9053" s="27" t="s">
        <v>180</v>
      </c>
      <c r="C9053" s="27" t="s">
        <v>50</v>
      </c>
      <c r="D9053" s="27" t="s">
        <v>7</v>
      </c>
      <c r="E9053" s="27" t="s">
        <v>37</v>
      </c>
      <c r="F9053" s="29"/>
      <c r="G9053" s="30">
        <v>1836.9</v>
      </c>
    </row>
    <row r="9054" spans="1:7" hidden="1" x14ac:dyDescent="0.25">
      <c r="A9054" s="28">
        <v>44317</v>
      </c>
      <c r="B9054" s="27" t="s">
        <v>181</v>
      </c>
      <c r="C9054" s="27" t="s">
        <v>50</v>
      </c>
      <c r="D9054" s="27" t="s">
        <v>6</v>
      </c>
      <c r="E9054" s="27" t="s">
        <v>8</v>
      </c>
      <c r="F9054" s="29"/>
      <c r="G9054" s="30">
        <v>100</v>
      </c>
    </row>
    <row r="9055" spans="1:7" hidden="1" x14ac:dyDescent="0.25">
      <c r="A9055" s="28">
        <v>44317</v>
      </c>
      <c r="B9055" s="27" t="s">
        <v>181</v>
      </c>
      <c r="C9055" s="27" t="s">
        <v>50</v>
      </c>
      <c r="D9055" s="27" t="s">
        <v>6</v>
      </c>
      <c r="E9055" s="27" t="s">
        <v>64</v>
      </c>
      <c r="F9055" s="29"/>
      <c r="G9055" s="30">
        <v>3770</v>
      </c>
    </row>
    <row r="9056" spans="1:7" hidden="1" x14ac:dyDescent="0.25">
      <c r="A9056" s="28">
        <v>44317</v>
      </c>
      <c r="B9056" s="27" t="s">
        <v>181</v>
      </c>
      <c r="C9056" s="27" t="s">
        <v>50</v>
      </c>
      <c r="D9056" s="27" t="s">
        <v>6</v>
      </c>
      <c r="E9056" s="27" t="s">
        <v>21</v>
      </c>
      <c r="F9056" s="29"/>
      <c r="G9056" s="30">
        <v>380</v>
      </c>
    </row>
    <row r="9057" spans="1:7" hidden="1" x14ac:dyDescent="0.25">
      <c r="A9057" s="28">
        <v>44317</v>
      </c>
      <c r="B9057" s="27" t="s">
        <v>181</v>
      </c>
      <c r="C9057" s="27" t="s">
        <v>50</v>
      </c>
      <c r="D9057" s="27" t="s">
        <v>6</v>
      </c>
      <c r="E9057" s="27" t="s">
        <v>15</v>
      </c>
      <c r="F9057" s="29"/>
      <c r="G9057" s="30">
        <v>262.77999999999997</v>
      </c>
    </row>
    <row r="9058" spans="1:7" hidden="1" x14ac:dyDescent="0.25">
      <c r="A9058" s="28">
        <v>44317</v>
      </c>
      <c r="B9058" s="27" t="s">
        <v>181</v>
      </c>
      <c r="C9058" s="27" t="s">
        <v>50</v>
      </c>
      <c r="D9058" s="27" t="s">
        <v>6</v>
      </c>
      <c r="E9058" s="27" t="s">
        <v>16</v>
      </c>
      <c r="F9058" s="29"/>
      <c r="G9058" s="30">
        <v>100</v>
      </c>
    </row>
    <row r="9059" spans="1:7" hidden="1" x14ac:dyDescent="0.25">
      <c r="A9059" s="28">
        <v>44317</v>
      </c>
      <c r="B9059" s="27" t="s">
        <v>181</v>
      </c>
      <c r="C9059" s="27" t="s">
        <v>50</v>
      </c>
      <c r="D9059" s="27" t="s">
        <v>6</v>
      </c>
      <c r="E9059" s="27" t="s">
        <v>40</v>
      </c>
      <c r="F9059" s="29"/>
      <c r="G9059" s="30">
        <v>75</v>
      </c>
    </row>
    <row r="9060" spans="1:7" hidden="1" x14ac:dyDescent="0.25">
      <c r="A9060" s="28">
        <v>44317</v>
      </c>
      <c r="B9060" s="27" t="s">
        <v>181</v>
      </c>
      <c r="C9060" s="27" t="s">
        <v>50</v>
      </c>
      <c r="D9060" s="27" t="s">
        <v>6</v>
      </c>
      <c r="E9060" s="27" t="s">
        <v>37</v>
      </c>
      <c r="F9060" s="29"/>
      <c r="G9060" s="30">
        <v>2401.64</v>
      </c>
    </row>
    <row r="9061" spans="1:7" hidden="1" x14ac:dyDescent="0.25">
      <c r="A9061" s="28">
        <v>44317</v>
      </c>
      <c r="B9061" s="27" t="s">
        <v>2</v>
      </c>
      <c r="C9061" s="27" t="s">
        <v>50</v>
      </c>
      <c r="D9061" s="27" t="s">
        <v>7</v>
      </c>
      <c r="E9061" s="27" t="s">
        <v>8</v>
      </c>
      <c r="F9061" s="29"/>
      <c r="G9061" s="30">
        <v>676.67</v>
      </c>
    </row>
    <row r="9062" spans="1:7" hidden="1" x14ac:dyDescent="0.25">
      <c r="A9062" s="28">
        <v>44317</v>
      </c>
      <c r="B9062" s="27" t="s">
        <v>2</v>
      </c>
      <c r="C9062" s="27" t="s">
        <v>50</v>
      </c>
      <c r="D9062" s="27" t="s">
        <v>7</v>
      </c>
      <c r="E9062" s="27" t="s">
        <v>9</v>
      </c>
      <c r="F9062" s="29"/>
      <c r="G9062" s="30">
        <v>804.31</v>
      </c>
    </row>
    <row r="9063" spans="1:7" hidden="1" x14ac:dyDescent="0.25">
      <c r="A9063" s="28">
        <v>44317</v>
      </c>
      <c r="B9063" s="27" t="s">
        <v>2</v>
      </c>
      <c r="C9063" s="27" t="s">
        <v>50</v>
      </c>
      <c r="D9063" s="27" t="s">
        <v>7</v>
      </c>
      <c r="E9063" s="27" t="s">
        <v>22</v>
      </c>
      <c r="F9063" s="29"/>
      <c r="G9063" s="30">
        <v>393.31</v>
      </c>
    </row>
    <row r="9064" spans="1:7" hidden="1" x14ac:dyDescent="0.25">
      <c r="A9064" s="28">
        <v>44317</v>
      </c>
      <c r="B9064" s="27" t="s">
        <v>2</v>
      </c>
      <c r="C9064" s="27" t="s">
        <v>50</v>
      </c>
      <c r="D9064" s="27" t="s">
        <v>7</v>
      </c>
      <c r="E9064" s="27" t="s">
        <v>39</v>
      </c>
      <c r="F9064" s="29"/>
      <c r="G9064" s="30">
        <v>370.2</v>
      </c>
    </row>
    <row r="9065" spans="1:7" hidden="1" x14ac:dyDescent="0.25">
      <c r="A9065" s="28">
        <v>44317</v>
      </c>
      <c r="B9065" s="27" t="s">
        <v>2</v>
      </c>
      <c r="C9065" s="27" t="s">
        <v>50</v>
      </c>
      <c r="D9065" s="27" t="s">
        <v>7</v>
      </c>
      <c r="E9065" s="27" t="s">
        <v>64</v>
      </c>
      <c r="F9065" s="29"/>
      <c r="G9065" s="30">
        <v>201.83</v>
      </c>
    </row>
    <row r="9066" spans="1:7" hidden="1" x14ac:dyDescent="0.25">
      <c r="A9066" s="28">
        <v>44317</v>
      </c>
      <c r="B9066" s="27" t="s">
        <v>2</v>
      </c>
      <c r="C9066" s="27" t="s">
        <v>50</v>
      </c>
      <c r="D9066" s="27" t="s">
        <v>7</v>
      </c>
      <c r="E9066" s="27" t="s">
        <v>21</v>
      </c>
      <c r="F9066" s="29"/>
      <c r="G9066" s="30">
        <v>835.93</v>
      </c>
    </row>
    <row r="9067" spans="1:7" hidden="1" x14ac:dyDescent="0.25">
      <c r="A9067" s="28">
        <v>44317</v>
      </c>
      <c r="B9067" s="27" t="s">
        <v>2</v>
      </c>
      <c r="C9067" s="27" t="s">
        <v>50</v>
      </c>
      <c r="D9067" s="27" t="s">
        <v>7</v>
      </c>
      <c r="E9067" s="27" t="s">
        <v>41</v>
      </c>
      <c r="F9067" s="29"/>
      <c r="G9067" s="30">
        <v>372.4</v>
      </c>
    </row>
    <row r="9068" spans="1:7" hidden="1" x14ac:dyDescent="0.25">
      <c r="A9068" s="28">
        <v>44317</v>
      </c>
      <c r="B9068" s="27" t="s">
        <v>2</v>
      </c>
      <c r="C9068" s="27" t="s">
        <v>50</v>
      </c>
      <c r="D9068" s="27" t="s">
        <v>7</v>
      </c>
      <c r="E9068" s="27" t="s">
        <v>10</v>
      </c>
      <c r="F9068" s="29"/>
      <c r="G9068" s="30">
        <v>564.77</v>
      </c>
    </row>
    <row r="9069" spans="1:7" hidden="1" x14ac:dyDescent="0.25">
      <c r="A9069" s="28">
        <v>44317</v>
      </c>
      <c r="B9069" s="27" t="s">
        <v>2</v>
      </c>
      <c r="C9069" s="27" t="s">
        <v>50</v>
      </c>
      <c r="D9069" s="27" t="s">
        <v>7</v>
      </c>
      <c r="E9069" s="27" t="s">
        <v>11</v>
      </c>
      <c r="F9069" s="29"/>
      <c r="G9069" s="30">
        <v>684.47</v>
      </c>
    </row>
    <row r="9070" spans="1:7" hidden="1" x14ac:dyDescent="0.25">
      <c r="A9070" s="28">
        <v>44317</v>
      </c>
      <c r="B9070" s="27" t="s">
        <v>2</v>
      </c>
      <c r="C9070" s="27" t="s">
        <v>50</v>
      </c>
      <c r="D9070" s="27" t="s">
        <v>7</v>
      </c>
      <c r="E9070" s="27" t="s">
        <v>12</v>
      </c>
      <c r="F9070" s="29"/>
      <c r="G9070" s="30">
        <v>523.57000000000005</v>
      </c>
    </row>
    <row r="9071" spans="1:7" hidden="1" x14ac:dyDescent="0.25">
      <c r="A9071" s="28">
        <v>44317</v>
      </c>
      <c r="B9071" s="27" t="s">
        <v>2</v>
      </c>
      <c r="C9071" s="27" t="s">
        <v>50</v>
      </c>
      <c r="D9071" s="27" t="s">
        <v>7</v>
      </c>
      <c r="E9071" s="27" t="s">
        <v>13</v>
      </c>
      <c r="F9071" s="29"/>
      <c r="G9071" s="30">
        <v>1233.55</v>
      </c>
    </row>
    <row r="9072" spans="1:7" hidden="1" x14ac:dyDescent="0.25">
      <c r="A9072" s="28">
        <v>44317</v>
      </c>
      <c r="B9072" s="27" t="s">
        <v>2</v>
      </c>
      <c r="C9072" s="27" t="s">
        <v>50</v>
      </c>
      <c r="D9072" s="27" t="s">
        <v>7</v>
      </c>
      <c r="E9072" s="27" t="s">
        <v>14</v>
      </c>
      <c r="F9072" s="29"/>
      <c r="G9072" s="30">
        <v>222.69</v>
      </c>
    </row>
    <row r="9073" spans="1:7" hidden="1" x14ac:dyDescent="0.25">
      <c r="A9073" s="28">
        <v>44317</v>
      </c>
      <c r="B9073" s="27" t="s">
        <v>2</v>
      </c>
      <c r="C9073" s="27" t="s">
        <v>50</v>
      </c>
      <c r="D9073" s="27" t="s">
        <v>7</v>
      </c>
      <c r="E9073" s="27" t="s">
        <v>15</v>
      </c>
      <c r="F9073" s="29"/>
      <c r="G9073" s="30">
        <v>479.77</v>
      </c>
    </row>
    <row r="9074" spans="1:7" hidden="1" x14ac:dyDescent="0.25">
      <c r="A9074" s="28">
        <v>44317</v>
      </c>
      <c r="B9074" s="27" t="s">
        <v>2</v>
      </c>
      <c r="C9074" s="27" t="s">
        <v>50</v>
      </c>
      <c r="D9074" s="27" t="s">
        <v>7</v>
      </c>
      <c r="E9074" s="27" t="s">
        <v>16</v>
      </c>
      <c r="F9074" s="29"/>
      <c r="G9074" s="30">
        <v>36.369999999999997</v>
      </c>
    </row>
    <row r="9075" spans="1:7" hidden="1" x14ac:dyDescent="0.25">
      <c r="A9075" s="28">
        <v>44317</v>
      </c>
      <c r="B9075" s="27" t="s">
        <v>2</v>
      </c>
      <c r="C9075" s="27" t="s">
        <v>50</v>
      </c>
      <c r="D9075" s="27" t="s">
        <v>7</v>
      </c>
      <c r="E9075" s="27" t="s">
        <v>17</v>
      </c>
      <c r="F9075" s="29"/>
      <c r="G9075" s="30">
        <v>868.37</v>
      </c>
    </row>
    <row r="9076" spans="1:7" hidden="1" x14ac:dyDescent="0.25">
      <c r="A9076" s="28">
        <v>44317</v>
      </c>
      <c r="B9076" s="27" t="s">
        <v>2</v>
      </c>
      <c r="C9076" s="27" t="s">
        <v>50</v>
      </c>
      <c r="D9076" s="27" t="s">
        <v>7</v>
      </c>
      <c r="E9076" s="27" t="s">
        <v>18</v>
      </c>
      <c r="F9076" s="29"/>
      <c r="G9076" s="30">
        <v>32.99</v>
      </c>
    </row>
    <row r="9077" spans="1:7" hidden="1" x14ac:dyDescent="0.25">
      <c r="A9077" s="28">
        <v>44317</v>
      </c>
      <c r="B9077" s="27" t="s">
        <v>2</v>
      </c>
      <c r="C9077" s="27" t="s">
        <v>50</v>
      </c>
      <c r="D9077" s="27" t="s">
        <v>7</v>
      </c>
      <c r="E9077" s="27" t="s">
        <v>19</v>
      </c>
      <c r="F9077" s="29"/>
      <c r="G9077" s="30">
        <v>1305.23</v>
      </c>
    </row>
    <row r="9078" spans="1:7" hidden="1" x14ac:dyDescent="0.25">
      <c r="A9078" s="28">
        <v>44317</v>
      </c>
      <c r="B9078" s="27" t="s">
        <v>2</v>
      </c>
      <c r="C9078" s="27" t="s">
        <v>50</v>
      </c>
      <c r="D9078" s="27" t="s">
        <v>7</v>
      </c>
      <c r="E9078" s="27" t="s">
        <v>20</v>
      </c>
      <c r="F9078" s="29"/>
      <c r="G9078" s="30">
        <v>743.49</v>
      </c>
    </row>
    <row r="9079" spans="1:7" hidden="1" x14ac:dyDescent="0.25">
      <c r="A9079" s="28">
        <v>44317</v>
      </c>
      <c r="B9079" s="27" t="s">
        <v>2</v>
      </c>
      <c r="C9079" s="27" t="s">
        <v>50</v>
      </c>
      <c r="D9079" s="27" t="s">
        <v>7</v>
      </c>
      <c r="E9079" s="27" t="s">
        <v>38</v>
      </c>
      <c r="F9079" s="29"/>
      <c r="G9079" s="30">
        <v>75.989999999999995</v>
      </c>
    </row>
    <row r="9080" spans="1:7" hidden="1" x14ac:dyDescent="0.25">
      <c r="A9080" s="28">
        <v>44317</v>
      </c>
      <c r="B9080" s="27" t="s">
        <v>2</v>
      </c>
      <c r="C9080" s="27" t="s">
        <v>50</v>
      </c>
      <c r="D9080" s="27" t="s">
        <v>7</v>
      </c>
      <c r="E9080" s="27" t="s">
        <v>23</v>
      </c>
      <c r="F9080" s="29"/>
      <c r="G9080" s="30">
        <v>715.22</v>
      </c>
    </row>
    <row r="9081" spans="1:7" hidden="1" x14ac:dyDescent="0.25">
      <c r="A9081" s="28">
        <v>44317</v>
      </c>
      <c r="B9081" s="27" t="s">
        <v>2</v>
      </c>
      <c r="C9081" s="27" t="s">
        <v>50</v>
      </c>
      <c r="D9081" s="27" t="s">
        <v>7</v>
      </c>
      <c r="E9081" s="27" t="s">
        <v>40</v>
      </c>
      <c r="F9081" s="29"/>
      <c r="G9081" s="30">
        <v>308.08999999999997</v>
      </c>
    </row>
    <row r="9082" spans="1:7" hidden="1" x14ac:dyDescent="0.25">
      <c r="A9082" s="28">
        <v>44317</v>
      </c>
      <c r="B9082" s="27" t="s">
        <v>36</v>
      </c>
      <c r="C9082" s="27" t="s">
        <v>50</v>
      </c>
      <c r="D9082" s="27" t="s">
        <v>6</v>
      </c>
      <c r="E9082" s="27" t="s">
        <v>8</v>
      </c>
      <c r="F9082" s="29"/>
      <c r="G9082" s="30">
        <v>225.33571428571429</v>
      </c>
    </row>
    <row r="9083" spans="1:7" hidden="1" x14ac:dyDescent="0.25">
      <c r="A9083" s="28">
        <v>44317</v>
      </c>
      <c r="B9083" s="27" t="s">
        <v>36</v>
      </c>
      <c r="C9083" s="27" t="s">
        <v>50</v>
      </c>
      <c r="D9083" s="27" t="s">
        <v>6</v>
      </c>
      <c r="E9083" s="27" t="s">
        <v>9</v>
      </c>
      <c r="F9083" s="29"/>
      <c r="G9083" s="30">
        <v>225.33571428571429</v>
      </c>
    </row>
    <row r="9084" spans="1:7" hidden="1" x14ac:dyDescent="0.25">
      <c r="A9084" s="28">
        <v>44317</v>
      </c>
      <c r="B9084" s="27" t="s">
        <v>36</v>
      </c>
      <c r="C9084" s="27" t="s">
        <v>50</v>
      </c>
      <c r="D9084" s="27" t="s">
        <v>6</v>
      </c>
      <c r="E9084" s="27" t="s">
        <v>22</v>
      </c>
      <c r="F9084" s="29"/>
      <c r="G9084" s="30">
        <v>225.33571428571429</v>
      </c>
    </row>
    <row r="9085" spans="1:7" hidden="1" x14ac:dyDescent="0.25">
      <c r="A9085" s="28">
        <v>44317</v>
      </c>
      <c r="B9085" s="27" t="s">
        <v>36</v>
      </c>
      <c r="C9085" s="27" t="s">
        <v>50</v>
      </c>
      <c r="D9085" s="27" t="s">
        <v>6</v>
      </c>
      <c r="E9085" s="27" t="s">
        <v>39</v>
      </c>
      <c r="F9085" s="29"/>
      <c r="G9085" s="30">
        <v>225.33571428571429</v>
      </c>
    </row>
    <row r="9086" spans="1:7" hidden="1" x14ac:dyDescent="0.25">
      <c r="A9086" s="28">
        <v>44317</v>
      </c>
      <c r="B9086" s="27" t="s">
        <v>36</v>
      </c>
      <c r="C9086" s="27" t="s">
        <v>50</v>
      </c>
      <c r="D9086" s="27" t="s">
        <v>6</v>
      </c>
      <c r="E9086" s="27" t="s">
        <v>64</v>
      </c>
      <c r="F9086" s="29"/>
      <c r="G9086" s="30">
        <v>225.33571428571429</v>
      </c>
    </row>
    <row r="9087" spans="1:7" hidden="1" x14ac:dyDescent="0.25">
      <c r="A9087" s="28">
        <v>44317</v>
      </c>
      <c r="B9087" s="27" t="s">
        <v>36</v>
      </c>
      <c r="C9087" s="27" t="s">
        <v>50</v>
      </c>
      <c r="D9087" s="27" t="s">
        <v>6</v>
      </c>
      <c r="E9087" s="27" t="s">
        <v>21</v>
      </c>
      <c r="F9087" s="29"/>
      <c r="G9087" s="30">
        <v>225.33571428571429</v>
      </c>
    </row>
    <row r="9088" spans="1:7" hidden="1" x14ac:dyDescent="0.25">
      <c r="A9088" s="28">
        <v>44317</v>
      </c>
      <c r="B9088" s="27" t="s">
        <v>36</v>
      </c>
      <c r="C9088" s="27" t="s">
        <v>50</v>
      </c>
      <c r="D9088" s="27" t="s">
        <v>6</v>
      </c>
      <c r="E9088" s="27" t="s">
        <v>41</v>
      </c>
      <c r="F9088" s="29"/>
      <c r="G9088" s="30">
        <v>225.33571428571429</v>
      </c>
    </row>
    <row r="9089" spans="1:7" hidden="1" x14ac:dyDescent="0.25">
      <c r="A9089" s="28">
        <v>44317</v>
      </c>
      <c r="B9089" s="27" t="s">
        <v>36</v>
      </c>
      <c r="C9089" s="27" t="s">
        <v>50</v>
      </c>
      <c r="D9089" s="27" t="s">
        <v>6</v>
      </c>
      <c r="E9089" s="27" t="s">
        <v>10</v>
      </c>
      <c r="F9089" s="29"/>
      <c r="G9089" s="30">
        <v>225.33571428571429</v>
      </c>
    </row>
    <row r="9090" spans="1:7" hidden="1" x14ac:dyDescent="0.25">
      <c r="A9090" s="28">
        <v>44317</v>
      </c>
      <c r="B9090" s="27" t="s">
        <v>36</v>
      </c>
      <c r="C9090" s="27" t="s">
        <v>50</v>
      </c>
      <c r="D9090" s="27" t="s">
        <v>6</v>
      </c>
      <c r="E9090" s="27" t="s">
        <v>11</v>
      </c>
      <c r="F9090" s="29"/>
      <c r="G9090" s="30">
        <v>225.33571428571429</v>
      </c>
    </row>
    <row r="9091" spans="1:7" hidden="1" x14ac:dyDescent="0.25">
      <c r="A9091" s="28">
        <v>44317</v>
      </c>
      <c r="B9091" s="27" t="s">
        <v>36</v>
      </c>
      <c r="C9091" s="27" t="s">
        <v>50</v>
      </c>
      <c r="D9091" s="27" t="s">
        <v>6</v>
      </c>
      <c r="E9091" s="27" t="s">
        <v>12</v>
      </c>
      <c r="F9091" s="29"/>
      <c r="G9091" s="30">
        <v>225.33571428571429</v>
      </c>
    </row>
    <row r="9092" spans="1:7" hidden="1" x14ac:dyDescent="0.25">
      <c r="A9092" s="28">
        <v>44317</v>
      </c>
      <c r="B9092" s="27" t="s">
        <v>36</v>
      </c>
      <c r="C9092" s="27" t="s">
        <v>50</v>
      </c>
      <c r="D9092" s="27" t="s">
        <v>6</v>
      </c>
      <c r="E9092" s="27" t="s">
        <v>13</v>
      </c>
      <c r="F9092" s="29"/>
      <c r="G9092" s="30">
        <v>225.33571428571429</v>
      </c>
    </row>
    <row r="9093" spans="1:7" hidden="1" x14ac:dyDescent="0.25">
      <c r="A9093" s="28">
        <v>44317</v>
      </c>
      <c r="B9093" s="27" t="s">
        <v>36</v>
      </c>
      <c r="C9093" s="27" t="s">
        <v>50</v>
      </c>
      <c r="D9093" s="27" t="s">
        <v>6</v>
      </c>
      <c r="E9093" s="27" t="s">
        <v>14</v>
      </c>
      <c r="F9093" s="29"/>
      <c r="G9093" s="30">
        <v>225.33571428571429</v>
      </c>
    </row>
    <row r="9094" spans="1:7" hidden="1" x14ac:dyDescent="0.25">
      <c r="A9094" s="28">
        <v>44317</v>
      </c>
      <c r="B9094" s="27" t="s">
        <v>36</v>
      </c>
      <c r="C9094" s="27" t="s">
        <v>50</v>
      </c>
      <c r="D9094" s="27" t="s">
        <v>6</v>
      </c>
      <c r="E9094" s="27" t="s">
        <v>15</v>
      </c>
      <c r="F9094" s="29"/>
      <c r="G9094" s="30">
        <v>225.33571428571429</v>
      </c>
    </row>
    <row r="9095" spans="1:7" hidden="1" x14ac:dyDescent="0.25">
      <c r="A9095" s="28">
        <v>44317</v>
      </c>
      <c r="B9095" s="27" t="s">
        <v>36</v>
      </c>
      <c r="C9095" s="27" t="s">
        <v>50</v>
      </c>
      <c r="D9095" s="27" t="s">
        <v>6</v>
      </c>
      <c r="E9095" s="27" t="s">
        <v>16</v>
      </c>
      <c r="F9095" s="29"/>
      <c r="G9095" s="30">
        <v>225.33571428571429</v>
      </c>
    </row>
    <row r="9096" spans="1:7" hidden="1" x14ac:dyDescent="0.25">
      <c r="A9096" s="28">
        <v>44317</v>
      </c>
      <c r="B9096" s="27" t="s">
        <v>36</v>
      </c>
      <c r="C9096" s="27" t="s">
        <v>50</v>
      </c>
      <c r="D9096" s="27" t="s">
        <v>6</v>
      </c>
      <c r="E9096" s="27" t="s">
        <v>17</v>
      </c>
      <c r="F9096" s="29"/>
      <c r="G9096" s="30">
        <v>225.33571428571429</v>
      </c>
    </row>
    <row r="9097" spans="1:7" hidden="1" x14ac:dyDescent="0.25">
      <c r="A9097" s="28">
        <v>44317</v>
      </c>
      <c r="B9097" s="27" t="s">
        <v>36</v>
      </c>
      <c r="C9097" s="27" t="s">
        <v>50</v>
      </c>
      <c r="D9097" s="27" t="s">
        <v>6</v>
      </c>
      <c r="E9097" s="27" t="s">
        <v>18</v>
      </c>
      <c r="F9097" s="29"/>
      <c r="G9097" s="30">
        <v>225.33571428571429</v>
      </c>
    </row>
    <row r="9098" spans="1:7" hidden="1" x14ac:dyDescent="0.25">
      <c r="A9098" s="28">
        <v>44317</v>
      </c>
      <c r="B9098" s="27" t="s">
        <v>36</v>
      </c>
      <c r="C9098" s="27" t="s">
        <v>50</v>
      </c>
      <c r="D9098" s="27" t="s">
        <v>6</v>
      </c>
      <c r="E9098" s="27" t="s">
        <v>19</v>
      </c>
      <c r="F9098" s="29"/>
      <c r="G9098" s="30">
        <v>225.33571428571429</v>
      </c>
    </row>
    <row r="9099" spans="1:7" hidden="1" x14ac:dyDescent="0.25">
      <c r="A9099" s="28">
        <v>44317</v>
      </c>
      <c r="B9099" s="27" t="s">
        <v>36</v>
      </c>
      <c r="C9099" s="27" t="s">
        <v>50</v>
      </c>
      <c r="D9099" s="27" t="s">
        <v>6</v>
      </c>
      <c r="E9099" s="27" t="s">
        <v>20</v>
      </c>
      <c r="F9099" s="29"/>
      <c r="G9099" s="30">
        <v>225.33571428571429</v>
      </c>
    </row>
    <row r="9100" spans="1:7" hidden="1" x14ac:dyDescent="0.25">
      <c r="A9100" s="28">
        <v>44317</v>
      </c>
      <c r="B9100" s="27" t="s">
        <v>36</v>
      </c>
      <c r="C9100" s="27" t="s">
        <v>50</v>
      </c>
      <c r="D9100" s="27" t="s">
        <v>6</v>
      </c>
      <c r="E9100" s="27" t="s">
        <v>38</v>
      </c>
      <c r="F9100" s="29"/>
      <c r="G9100" s="30">
        <v>225.33571428571429</v>
      </c>
    </row>
    <row r="9101" spans="1:7" hidden="1" x14ac:dyDescent="0.25">
      <c r="A9101" s="28">
        <v>44317</v>
      </c>
      <c r="B9101" s="27" t="s">
        <v>36</v>
      </c>
      <c r="C9101" s="27" t="s">
        <v>50</v>
      </c>
      <c r="D9101" s="27" t="s">
        <v>6</v>
      </c>
      <c r="E9101" s="27" t="s">
        <v>23</v>
      </c>
      <c r="F9101" s="29"/>
      <c r="G9101" s="30">
        <v>225.33571428571429</v>
      </c>
    </row>
    <row r="9102" spans="1:7" hidden="1" x14ac:dyDescent="0.25">
      <c r="A9102" s="28">
        <v>44317</v>
      </c>
      <c r="B9102" s="27" t="s">
        <v>36</v>
      </c>
      <c r="C9102" s="27" t="s">
        <v>50</v>
      </c>
      <c r="D9102" s="27" t="s">
        <v>6</v>
      </c>
      <c r="E9102" s="27" t="s">
        <v>40</v>
      </c>
      <c r="F9102" s="29"/>
      <c r="G9102" s="30">
        <v>225.33571428571429</v>
      </c>
    </row>
    <row r="9103" spans="1:7" hidden="1" x14ac:dyDescent="0.25">
      <c r="A9103" s="28">
        <v>44317</v>
      </c>
      <c r="B9103" s="27" t="s">
        <v>200</v>
      </c>
      <c r="C9103" s="27" t="s">
        <v>53</v>
      </c>
      <c r="D9103" s="27" t="s">
        <v>6</v>
      </c>
      <c r="E9103" s="27" t="s">
        <v>8</v>
      </c>
      <c r="F9103" s="29"/>
      <c r="G9103" s="30">
        <f t="shared" ref="G9103:G9123" si="167">10400.6275555556/21</f>
        <v>495.26797883598095</v>
      </c>
    </row>
    <row r="9104" spans="1:7" hidden="1" x14ac:dyDescent="0.25">
      <c r="A9104" s="28">
        <v>44317</v>
      </c>
      <c r="B9104" s="27" t="s">
        <v>200</v>
      </c>
      <c r="C9104" s="27" t="s">
        <v>53</v>
      </c>
      <c r="D9104" s="27" t="s">
        <v>6</v>
      </c>
      <c r="E9104" s="27" t="s">
        <v>9</v>
      </c>
      <c r="F9104" s="29"/>
      <c r="G9104" s="30">
        <f t="shared" si="167"/>
        <v>495.26797883598095</v>
      </c>
    </row>
    <row r="9105" spans="1:7" hidden="1" x14ac:dyDescent="0.25">
      <c r="A9105" s="28">
        <v>44317</v>
      </c>
      <c r="B9105" s="27" t="s">
        <v>200</v>
      </c>
      <c r="C9105" s="27" t="s">
        <v>53</v>
      </c>
      <c r="D9105" s="27" t="s">
        <v>6</v>
      </c>
      <c r="E9105" s="27" t="s">
        <v>22</v>
      </c>
      <c r="F9105" s="29"/>
      <c r="G9105" s="30">
        <f t="shared" si="167"/>
        <v>495.26797883598095</v>
      </c>
    </row>
    <row r="9106" spans="1:7" hidden="1" x14ac:dyDescent="0.25">
      <c r="A9106" s="28">
        <v>44317</v>
      </c>
      <c r="B9106" s="27" t="s">
        <v>200</v>
      </c>
      <c r="C9106" s="27" t="s">
        <v>53</v>
      </c>
      <c r="D9106" s="27" t="s">
        <v>6</v>
      </c>
      <c r="E9106" s="27" t="s">
        <v>39</v>
      </c>
      <c r="F9106" s="29"/>
      <c r="G9106" s="30">
        <f t="shared" si="167"/>
        <v>495.26797883598095</v>
      </c>
    </row>
    <row r="9107" spans="1:7" hidden="1" x14ac:dyDescent="0.25">
      <c r="A9107" s="28">
        <v>44317</v>
      </c>
      <c r="B9107" s="27" t="s">
        <v>200</v>
      </c>
      <c r="C9107" s="27" t="s">
        <v>53</v>
      </c>
      <c r="D9107" s="27" t="s">
        <v>6</v>
      </c>
      <c r="E9107" s="27" t="s">
        <v>64</v>
      </c>
      <c r="F9107" s="29"/>
      <c r="G9107" s="30">
        <f t="shared" si="167"/>
        <v>495.26797883598095</v>
      </c>
    </row>
    <row r="9108" spans="1:7" hidden="1" x14ac:dyDescent="0.25">
      <c r="A9108" s="28">
        <v>44317</v>
      </c>
      <c r="B9108" s="27" t="s">
        <v>200</v>
      </c>
      <c r="C9108" s="27" t="s">
        <v>53</v>
      </c>
      <c r="D9108" s="27" t="s">
        <v>6</v>
      </c>
      <c r="E9108" s="27" t="s">
        <v>21</v>
      </c>
      <c r="F9108" s="29"/>
      <c r="G9108" s="30">
        <f t="shared" si="167"/>
        <v>495.26797883598095</v>
      </c>
    </row>
    <row r="9109" spans="1:7" hidden="1" x14ac:dyDescent="0.25">
      <c r="A9109" s="28">
        <v>44317</v>
      </c>
      <c r="B9109" s="27" t="s">
        <v>200</v>
      </c>
      <c r="C9109" s="27" t="s">
        <v>53</v>
      </c>
      <c r="D9109" s="27" t="s">
        <v>6</v>
      </c>
      <c r="E9109" s="27" t="s">
        <v>41</v>
      </c>
      <c r="F9109" s="29"/>
      <c r="G9109" s="30">
        <f t="shared" si="167"/>
        <v>495.26797883598095</v>
      </c>
    </row>
    <row r="9110" spans="1:7" hidden="1" x14ac:dyDescent="0.25">
      <c r="A9110" s="28">
        <v>44317</v>
      </c>
      <c r="B9110" s="27" t="s">
        <v>200</v>
      </c>
      <c r="C9110" s="27" t="s">
        <v>53</v>
      </c>
      <c r="D9110" s="27" t="s">
        <v>6</v>
      </c>
      <c r="E9110" s="27" t="s">
        <v>10</v>
      </c>
      <c r="F9110" s="29"/>
      <c r="G9110" s="30">
        <f t="shared" si="167"/>
        <v>495.26797883598095</v>
      </c>
    </row>
    <row r="9111" spans="1:7" hidden="1" x14ac:dyDescent="0.25">
      <c r="A9111" s="28">
        <v>44317</v>
      </c>
      <c r="B9111" s="27" t="s">
        <v>200</v>
      </c>
      <c r="C9111" s="27" t="s">
        <v>53</v>
      </c>
      <c r="D9111" s="27" t="s">
        <v>6</v>
      </c>
      <c r="E9111" s="27" t="s">
        <v>11</v>
      </c>
      <c r="F9111" s="29"/>
      <c r="G9111" s="30">
        <f t="shared" si="167"/>
        <v>495.26797883598095</v>
      </c>
    </row>
    <row r="9112" spans="1:7" hidden="1" x14ac:dyDescent="0.25">
      <c r="A9112" s="28">
        <v>44317</v>
      </c>
      <c r="B9112" s="27" t="s">
        <v>200</v>
      </c>
      <c r="C9112" s="27" t="s">
        <v>53</v>
      </c>
      <c r="D9112" s="27" t="s">
        <v>6</v>
      </c>
      <c r="E9112" s="27" t="s">
        <v>12</v>
      </c>
      <c r="F9112" s="29"/>
      <c r="G9112" s="30">
        <f t="shared" si="167"/>
        <v>495.26797883598095</v>
      </c>
    </row>
    <row r="9113" spans="1:7" hidden="1" x14ac:dyDescent="0.25">
      <c r="A9113" s="28">
        <v>44317</v>
      </c>
      <c r="B9113" s="27" t="s">
        <v>200</v>
      </c>
      <c r="C9113" s="27" t="s">
        <v>53</v>
      </c>
      <c r="D9113" s="27" t="s">
        <v>6</v>
      </c>
      <c r="E9113" s="27" t="s">
        <v>13</v>
      </c>
      <c r="F9113" s="29"/>
      <c r="G9113" s="30">
        <f t="shared" si="167"/>
        <v>495.26797883598095</v>
      </c>
    </row>
    <row r="9114" spans="1:7" hidden="1" x14ac:dyDescent="0.25">
      <c r="A9114" s="28">
        <v>44317</v>
      </c>
      <c r="B9114" s="27" t="s">
        <v>200</v>
      </c>
      <c r="C9114" s="27" t="s">
        <v>53</v>
      </c>
      <c r="D9114" s="27" t="s">
        <v>6</v>
      </c>
      <c r="E9114" s="27" t="s">
        <v>14</v>
      </c>
      <c r="F9114" s="29"/>
      <c r="G9114" s="30">
        <f t="shared" si="167"/>
        <v>495.26797883598095</v>
      </c>
    </row>
    <row r="9115" spans="1:7" hidden="1" x14ac:dyDescent="0.25">
      <c r="A9115" s="28">
        <v>44317</v>
      </c>
      <c r="B9115" s="27" t="s">
        <v>200</v>
      </c>
      <c r="C9115" s="27" t="s">
        <v>53</v>
      </c>
      <c r="D9115" s="27" t="s">
        <v>6</v>
      </c>
      <c r="E9115" s="27" t="s">
        <v>15</v>
      </c>
      <c r="F9115" s="29"/>
      <c r="G9115" s="30">
        <f t="shared" si="167"/>
        <v>495.26797883598095</v>
      </c>
    </row>
    <row r="9116" spans="1:7" hidden="1" x14ac:dyDescent="0.25">
      <c r="A9116" s="28">
        <v>44317</v>
      </c>
      <c r="B9116" s="27" t="s">
        <v>200</v>
      </c>
      <c r="C9116" s="27" t="s">
        <v>53</v>
      </c>
      <c r="D9116" s="27" t="s">
        <v>6</v>
      </c>
      <c r="E9116" s="27" t="s">
        <v>16</v>
      </c>
      <c r="F9116" s="29"/>
      <c r="G9116" s="30">
        <f t="shared" si="167"/>
        <v>495.26797883598095</v>
      </c>
    </row>
    <row r="9117" spans="1:7" hidden="1" x14ac:dyDescent="0.25">
      <c r="A9117" s="28">
        <v>44317</v>
      </c>
      <c r="B9117" s="27" t="s">
        <v>200</v>
      </c>
      <c r="C9117" s="27" t="s">
        <v>53</v>
      </c>
      <c r="D9117" s="27" t="s">
        <v>6</v>
      </c>
      <c r="E9117" s="27" t="s">
        <v>17</v>
      </c>
      <c r="F9117" s="29"/>
      <c r="G9117" s="30">
        <f t="shared" si="167"/>
        <v>495.26797883598095</v>
      </c>
    </row>
    <row r="9118" spans="1:7" hidden="1" x14ac:dyDescent="0.25">
      <c r="A9118" s="28">
        <v>44317</v>
      </c>
      <c r="B9118" s="27" t="s">
        <v>200</v>
      </c>
      <c r="C9118" s="27" t="s">
        <v>53</v>
      </c>
      <c r="D9118" s="27" t="s">
        <v>6</v>
      </c>
      <c r="E9118" s="27" t="s">
        <v>18</v>
      </c>
      <c r="F9118" s="29"/>
      <c r="G9118" s="30">
        <f t="shared" si="167"/>
        <v>495.26797883598095</v>
      </c>
    </row>
    <row r="9119" spans="1:7" hidden="1" x14ac:dyDescent="0.25">
      <c r="A9119" s="28">
        <v>44317</v>
      </c>
      <c r="B9119" s="27" t="s">
        <v>200</v>
      </c>
      <c r="C9119" s="27" t="s">
        <v>53</v>
      </c>
      <c r="D9119" s="27" t="s">
        <v>6</v>
      </c>
      <c r="E9119" s="27" t="s">
        <v>19</v>
      </c>
      <c r="F9119" s="29"/>
      <c r="G9119" s="30">
        <f t="shared" si="167"/>
        <v>495.26797883598095</v>
      </c>
    </row>
    <row r="9120" spans="1:7" hidden="1" x14ac:dyDescent="0.25">
      <c r="A9120" s="28">
        <v>44317</v>
      </c>
      <c r="B9120" s="27" t="s">
        <v>200</v>
      </c>
      <c r="C9120" s="27" t="s">
        <v>53</v>
      </c>
      <c r="D9120" s="27" t="s">
        <v>6</v>
      </c>
      <c r="E9120" s="27" t="s">
        <v>20</v>
      </c>
      <c r="F9120" s="29"/>
      <c r="G9120" s="30">
        <f t="shared" si="167"/>
        <v>495.26797883598095</v>
      </c>
    </row>
    <row r="9121" spans="1:7" hidden="1" x14ac:dyDescent="0.25">
      <c r="A9121" s="28">
        <v>44317</v>
      </c>
      <c r="B9121" s="27" t="s">
        <v>200</v>
      </c>
      <c r="C9121" s="27" t="s">
        <v>53</v>
      </c>
      <c r="D9121" s="27" t="s">
        <v>6</v>
      </c>
      <c r="E9121" s="27" t="s">
        <v>38</v>
      </c>
      <c r="F9121" s="29"/>
      <c r="G9121" s="30">
        <f t="shared" si="167"/>
        <v>495.26797883598095</v>
      </c>
    </row>
    <row r="9122" spans="1:7" hidden="1" x14ac:dyDescent="0.25">
      <c r="A9122" s="28">
        <v>44317</v>
      </c>
      <c r="B9122" s="27" t="s">
        <v>200</v>
      </c>
      <c r="C9122" s="27" t="s">
        <v>53</v>
      </c>
      <c r="D9122" s="27" t="s">
        <v>6</v>
      </c>
      <c r="E9122" s="27" t="s">
        <v>23</v>
      </c>
      <c r="F9122" s="29"/>
      <c r="G9122" s="30">
        <f t="shared" si="167"/>
        <v>495.26797883598095</v>
      </c>
    </row>
    <row r="9123" spans="1:7" hidden="1" x14ac:dyDescent="0.25">
      <c r="A9123" s="28">
        <v>44317</v>
      </c>
      <c r="B9123" s="27" t="s">
        <v>200</v>
      </c>
      <c r="C9123" s="27" t="s">
        <v>53</v>
      </c>
      <c r="D9123" s="27" t="s">
        <v>6</v>
      </c>
      <c r="E9123" s="27" t="s">
        <v>40</v>
      </c>
      <c r="F9123" s="29"/>
      <c r="G9123" s="30">
        <f t="shared" si="167"/>
        <v>495.26797883598095</v>
      </c>
    </row>
    <row r="9124" spans="1:7" hidden="1" x14ac:dyDescent="0.25">
      <c r="A9124" s="28">
        <v>44317</v>
      </c>
      <c r="B9124" s="27" t="s">
        <v>200</v>
      </c>
      <c r="C9124" s="27" t="s">
        <v>54</v>
      </c>
      <c r="D9124" s="27" t="s">
        <v>7</v>
      </c>
      <c r="E9124" s="27" t="s">
        <v>8</v>
      </c>
      <c r="F9124" s="29"/>
      <c r="G9124" s="30">
        <f t="shared" ref="G9124:G9144" si="168">429.38/21</f>
        <v>20.446666666666665</v>
      </c>
    </row>
    <row r="9125" spans="1:7" hidden="1" x14ac:dyDescent="0.25">
      <c r="A9125" s="28">
        <v>44317</v>
      </c>
      <c r="B9125" s="27" t="s">
        <v>200</v>
      </c>
      <c r="C9125" s="27" t="s">
        <v>54</v>
      </c>
      <c r="D9125" s="27" t="s">
        <v>7</v>
      </c>
      <c r="E9125" s="27" t="s">
        <v>9</v>
      </c>
      <c r="F9125" s="29"/>
      <c r="G9125" s="30">
        <f t="shared" si="168"/>
        <v>20.446666666666665</v>
      </c>
    </row>
    <row r="9126" spans="1:7" hidden="1" x14ac:dyDescent="0.25">
      <c r="A9126" s="28">
        <v>44317</v>
      </c>
      <c r="B9126" s="27" t="s">
        <v>200</v>
      </c>
      <c r="C9126" s="27" t="s">
        <v>54</v>
      </c>
      <c r="D9126" s="27" t="s">
        <v>7</v>
      </c>
      <c r="E9126" s="27" t="s">
        <v>22</v>
      </c>
      <c r="F9126" s="29"/>
      <c r="G9126" s="30">
        <f t="shared" si="168"/>
        <v>20.446666666666665</v>
      </c>
    </row>
    <row r="9127" spans="1:7" hidden="1" x14ac:dyDescent="0.25">
      <c r="A9127" s="28">
        <v>44317</v>
      </c>
      <c r="B9127" s="27" t="s">
        <v>200</v>
      </c>
      <c r="C9127" s="27" t="s">
        <v>54</v>
      </c>
      <c r="D9127" s="27" t="s">
        <v>7</v>
      </c>
      <c r="E9127" s="27" t="s">
        <v>39</v>
      </c>
      <c r="F9127" s="29"/>
      <c r="G9127" s="30">
        <f t="shared" si="168"/>
        <v>20.446666666666665</v>
      </c>
    </row>
    <row r="9128" spans="1:7" hidden="1" x14ac:dyDescent="0.25">
      <c r="A9128" s="28">
        <v>44317</v>
      </c>
      <c r="B9128" s="27" t="s">
        <v>200</v>
      </c>
      <c r="C9128" s="27" t="s">
        <v>54</v>
      </c>
      <c r="D9128" s="27" t="s">
        <v>7</v>
      </c>
      <c r="E9128" s="27" t="s">
        <v>64</v>
      </c>
      <c r="F9128" s="29"/>
      <c r="G9128" s="30">
        <f t="shared" si="168"/>
        <v>20.446666666666665</v>
      </c>
    </row>
    <row r="9129" spans="1:7" hidden="1" x14ac:dyDescent="0.25">
      <c r="A9129" s="28">
        <v>44317</v>
      </c>
      <c r="B9129" s="27" t="s">
        <v>200</v>
      </c>
      <c r="C9129" s="27" t="s">
        <v>54</v>
      </c>
      <c r="D9129" s="27" t="s">
        <v>7</v>
      </c>
      <c r="E9129" s="27" t="s">
        <v>21</v>
      </c>
      <c r="F9129" s="29"/>
      <c r="G9129" s="30">
        <f t="shared" si="168"/>
        <v>20.446666666666665</v>
      </c>
    </row>
    <row r="9130" spans="1:7" hidden="1" x14ac:dyDescent="0.25">
      <c r="A9130" s="28">
        <v>44317</v>
      </c>
      <c r="B9130" s="27" t="s">
        <v>200</v>
      </c>
      <c r="C9130" s="27" t="s">
        <v>54</v>
      </c>
      <c r="D9130" s="27" t="s">
        <v>7</v>
      </c>
      <c r="E9130" s="27" t="s">
        <v>41</v>
      </c>
      <c r="F9130" s="29"/>
      <c r="G9130" s="30">
        <f t="shared" si="168"/>
        <v>20.446666666666665</v>
      </c>
    </row>
    <row r="9131" spans="1:7" hidden="1" x14ac:dyDescent="0.25">
      <c r="A9131" s="28">
        <v>44317</v>
      </c>
      <c r="B9131" s="27" t="s">
        <v>200</v>
      </c>
      <c r="C9131" s="27" t="s">
        <v>54</v>
      </c>
      <c r="D9131" s="27" t="s">
        <v>7</v>
      </c>
      <c r="E9131" s="27" t="s">
        <v>10</v>
      </c>
      <c r="F9131" s="29"/>
      <c r="G9131" s="30">
        <f t="shared" si="168"/>
        <v>20.446666666666665</v>
      </c>
    </row>
    <row r="9132" spans="1:7" hidden="1" x14ac:dyDescent="0.25">
      <c r="A9132" s="28">
        <v>44317</v>
      </c>
      <c r="B9132" s="27" t="s">
        <v>200</v>
      </c>
      <c r="C9132" s="27" t="s">
        <v>54</v>
      </c>
      <c r="D9132" s="27" t="s">
        <v>7</v>
      </c>
      <c r="E9132" s="27" t="s">
        <v>11</v>
      </c>
      <c r="F9132" s="29"/>
      <c r="G9132" s="30">
        <f t="shared" si="168"/>
        <v>20.446666666666665</v>
      </c>
    </row>
    <row r="9133" spans="1:7" hidden="1" x14ac:dyDescent="0.25">
      <c r="A9133" s="28">
        <v>44317</v>
      </c>
      <c r="B9133" s="27" t="s">
        <v>200</v>
      </c>
      <c r="C9133" s="27" t="s">
        <v>54</v>
      </c>
      <c r="D9133" s="27" t="s">
        <v>7</v>
      </c>
      <c r="E9133" s="27" t="s">
        <v>12</v>
      </c>
      <c r="F9133" s="29"/>
      <c r="G9133" s="30">
        <f t="shared" si="168"/>
        <v>20.446666666666665</v>
      </c>
    </row>
    <row r="9134" spans="1:7" hidden="1" x14ac:dyDescent="0.25">
      <c r="A9134" s="28">
        <v>44317</v>
      </c>
      <c r="B9134" s="27" t="s">
        <v>200</v>
      </c>
      <c r="C9134" s="27" t="s">
        <v>54</v>
      </c>
      <c r="D9134" s="27" t="s">
        <v>7</v>
      </c>
      <c r="E9134" s="27" t="s">
        <v>13</v>
      </c>
      <c r="F9134" s="29"/>
      <c r="G9134" s="30">
        <f t="shared" si="168"/>
        <v>20.446666666666665</v>
      </c>
    </row>
    <row r="9135" spans="1:7" hidden="1" x14ac:dyDescent="0.25">
      <c r="A9135" s="28">
        <v>44317</v>
      </c>
      <c r="B9135" s="27" t="s">
        <v>200</v>
      </c>
      <c r="C9135" s="27" t="s">
        <v>54</v>
      </c>
      <c r="D9135" s="27" t="s">
        <v>7</v>
      </c>
      <c r="E9135" s="27" t="s">
        <v>14</v>
      </c>
      <c r="F9135" s="29"/>
      <c r="G9135" s="30">
        <f t="shared" si="168"/>
        <v>20.446666666666665</v>
      </c>
    </row>
    <row r="9136" spans="1:7" hidden="1" x14ac:dyDescent="0.25">
      <c r="A9136" s="28">
        <v>44317</v>
      </c>
      <c r="B9136" s="27" t="s">
        <v>200</v>
      </c>
      <c r="C9136" s="27" t="s">
        <v>54</v>
      </c>
      <c r="D9136" s="27" t="s">
        <v>7</v>
      </c>
      <c r="E9136" s="27" t="s">
        <v>15</v>
      </c>
      <c r="F9136" s="29"/>
      <c r="G9136" s="30">
        <f t="shared" si="168"/>
        <v>20.446666666666665</v>
      </c>
    </row>
    <row r="9137" spans="1:7" hidden="1" x14ac:dyDescent="0.25">
      <c r="A9137" s="28">
        <v>44317</v>
      </c>
      <c r="B9137" s="27" t="s">
        <v>200</v>
      </c>
      <c r="C9137" s="27" t="s">
        <v>54</v>
      </c>
      <c r="D9137" s="27" t="s">
        <v>7</v>
      </c>
      <c r="E9137" s="27" t="s">
        <v>16</v>
      </c>
      <c r="F9137" s="29"/>
      <c r="G9137" s="30">
        <f t="shared" si="168"/>
        <v>20.446666666666665</v>
      </c>
    </row>
    <row r="9138" spans="1:7" hidden="1" x14ac:dyDescent="0.25">
      <c r="A9138" s="28">
        <v>44317</v>
      </c>
      <c r="B9138" s="27" t="s">
        <v>200</v>
      </c>
      <c r="C9138" s="27" t="s">
        <v>54</v>
      </c>
      <c r="D9138" s="27" t="s">
        <v>7</v>
      </c>
      <c r="E9138" s="27" t="s">
        <v>17</v>
      </c>
      <c r="F9138" s="29"/>
      <c r="G9138" s="30">
        <f t="shared" si="168"/>
        <v>20.446666666666665</v>
      </c>
    </row>
    <row r="9139" spans="1:7" hidden="1" x14ac:dyDescent="0.25">
      <c r="A9139" s="28">
        <v>44317</v>
      </c>
      <c r="B9139" s="27" t="s">
        <v>200</v>
      </c>
      <c r="C9139" s="27" t="s">
        <v>54</v>
      </c>
      <c r="D9139" s="27" t="s">
        <v>7</v>
      </c>
      <c r="E9139" s="27" t="s">
        <v>18</v>
      </c>
      <c r="F9139" s="29"/>
      <c r="G9139" s="30">
        <f t="shared" si="168"/>
        <v>20.446666666666665</v>
      </c>
    </row>
    <row r="9140" spans="1:7" hidden="1" x14ac:dyDescent="0.25">
      <c r="A9140" s="28">
        <v>44317</v>
      </c>
      <c r="B9140" s="27" t="s">
        <v>200</v>
      </c>
      <c r="C9140" s="27" t="s">
        <v>54</v>
      </c>
      <c r="D9140" s="27" t="s">
        <v>7</v>
      </c>
      <c r="E9140" s="27" t="s">
        <v>19</v>
      </c>
      <c r="F9140" s="29"/>
      <c r="G9140" s="30">
        <f t="shared" si="168"/>
        <v>20.446666666666665</v>
      </c>
    </row>
    <row r="9141" spans="1:7" hidden="1" x14ac:dyDescent="0.25">
      <c r="A9141" s="28">
        <v>44317</v>
      </c>
      <c r="B9141" s="27" t="s">
        <v>200</v>
      </c>
      <c r="C9141" s="27" t="s">
        <v>54</v>
      </c>
      <c r="D9141" s="27" t="s">
        <v>7</v>
      </c>
      <c r="E9141" s="27" t="s">
        <v>20</v>
      </c>
      <c r="F9141" s="29"/>
      <c r="G9141" s="30">
        <f t="shared" si="168"/>
        <v>20.446666666666665</v>
      </c>
    </row>
    <row r="9142" spans="1:7" hidden="1" x14ac:dyDescent="0.25">
      <c r="A9142" s="28">
        <v>44317</v>
      </c>
      <c r="B9142" s="27" t="s">
        <v>200</v>
      </c>
      <c r="C9142" s="27" t="s">
        <v>54</v>
      </c>
      <c r="D9142" s="27" t="s">
        <v>7</v>
      </c>
      <c r="E9142" s="27" t="s">
        <v>38</v>
      </c>
      <c r="F9142" s="29"/>
      <c r="G9142" s="30">
        <f t="shared" si="168"/>
        <v>20.446666666666665</v>
      </c>
    </row>
    <row r="9143" spans="1:7" hidden="1" x14ac:dyDescent="0.25">
      <c r="A9143" s="28">
        <v>44317</v>
      </c>
      <c r="B9143" s="27" t="s">
        <v>200</v>
      </c>
      <c r="C9143" s="27" t="s">
        <v>54</v>
      </c>
      <c r="D9143" s="27" t="s">
        <v>7</v>
      </c>
      <c r="E9143" s="27" t="s">
        <v>23</v>
      </c>
      <c r="F9143" s="29"/>
      <c r="G9143" s="30">
        <f t="shared" si="168"/>
        <v>20.446666666666665</v>
      </c>
    </row>
    <row r="9144" spans="1:7" hidden="1" x14ac:dyDescent="0.25">
      <c r="A9144" s="28">
        <v>44317</v>
      </c>
      <c r="B9144" s="27" t="s">
        <v>200</v>
      </c>
      <c r="C9144" s="27" t="s">
        <v>54</v>
      </c>
      <c r="D9144" s="27" t="s">
        <v>7</v>
      </c>
      <c r="E9144" s="27" t="s">
        <v>40</v>
      </c>
      <c r="F9144" s="29"/>
      <c r="G9144" s="30">
        <f t="shared" si="168"/>
        <v>20.446666666666665</v>
      </c>
    </row>
    <row r="9145" spans="1:7" hidden="1" x14ac:dyDescent="0.25">
      <c r="A9145" s="28">
        <v>44317</v>
      </c>
      <c r="B9145" s="27" t="s">
        <v>200</v>
      </c>
      <c r="C9145" s="27" t="s">
        <v>55</v>
      </c>
      <c r="D9145" s="27" t="s">
        <v>6</v>
      </c>
      <c r="E9145" s="27" t="s">
        <v>8</v>
      </c>
      <c r="F9145" s="29"/>
      <c r="G9145" s="30">
        <f t="shared" ref="G9145:G9165" si="169">32496.1379111111/21</f>
        <v>1547.4351386243379</v>
      </c>
    </row>
    <row r="9146" spans="1:7" hidden="1" x14ac:dyDescent="0.25">
      <c r="A9146" s="28">
        <v>44317</v>
      </c>
      <c r="B9146" s="27" t="s">
        <v>200</v>
      </c>
      <c r="C9146" s="27" t="s">
        <v>55</v>
      </c>
      <c r="D9146" s="27" t="s">
        <v>6</v>
      </c>
      <c r="E9146" s="27" t="s">
        <v>9</v>
      </c>
      <c r="F9146" s="29"/>
      <c r="G9146" s="30">
        <f t="shared" si="169"/>
        <v>1547.4351386243379</v>
      </c>
    </row>
    <row r="9147" spans="1:7" hidden="1" x14ac:dyDescent="0.25">
      <c r="A9147" s="28">
        <v>44317</v>
      </c>
      <c r="B9147" s="27" t="s">
        <v>200</v>
      </c>
      <c r="C9147" s="27" t="s">
        <v>55</v>
      </c>
      <c r="D9147" s="27" t="s">
        <v>6</v>
      </c>
      <c r="E9147" s="27" t="s">
        <v>22</v>
      </c>
      <c r="F9147" s="29"/>
      <c r="G9147" s="30">
        <f t="shared" si="169"/>
        <v>1547.4351386243379</v>
      </c>
    </row>
    <row r="9148" spans="1:7" hidden="1" x14ac:dyDescent="0.25">
      <c r="A9148" s="28">
        <v>44317</v>
      </c>
      <c r="B9148" s="27" t="s">
        <v>200</v>
      </c>
      <c r="C9148" s="27" t="s">
        <v>55</v>
      </c>
      <c r="D9148" s="27" t="s">
        <v>6</v>
      </c>
      <c r="E9148" s="27" t="s">
        <v>39</v>
      </c>
      <c r="F9148" s="29"/>
      <c r="G9148" s="30">
        <f t="shared" si="169"/>
        <v>1547.4351386243379</v>
      </c>
    </row>
    <row r="9149" spans="1:7" hidden="1" x14ac:dyDescent="0.25">
      <c r="A9149" s="28">
        <v>44317</v>
      </c>
      <c r="B9149" s="27" t="s">
        <v>200</v>
      </c>
      <c r="C9149" s="27" t="s">
        <v>55</v>
      </c>
      <c r="D9149" s="27" t="s">
        <v>6</v>
      </c>
      <c r="E9149" s="27" t="s">
        <v>64</v>
      </c>
      <c r="F9149" s="29"/>
      <c r="G9149" s="30">
        <f t="shared" si="169"/>
        <v>1547.4351386243379</v>
      </c>
    </row>
    <row r="9150" spans="1:7" hidden="1" x14ac:dyDescent="0.25">
      <c r="A9150" s="28">
        <v>44317</v>
      </c>
      <c r="B9150" s="27" t="s">
        <v>200</v>
      </c>
      <c r="C9150" s="27" t="s">
        <v>55</v>
      </c>
      <c r="D9150" s="27" t="s">
        <v>6</v>
      </c>
      <c r="E9150" s="27" t="s">
        <v>21</v>
      </c>
      <c r="F9150" s="29"/>
      <c r="G9150" s="30">
        <f t="shared" si="169"/>
        <v>1547.4351386243379</v>
      </c>
    </row>
    <row r="9151" spans="1:7" hidden="1" x14ac:dyDescent="0.25">
      <c r="A9151" s="28">
        <v>44317</v>
      </c>
      <c r="B9151" s="27" t="s">
        <v>200</v>
      </c>
      <c r="C9151" s="27" t="s">
        <v>55</v>
      </c>
      <c r="D9151" s="27" t="s">
        <v>6</v>
      </c>
      <c r="E9151" s="27" t="s">
        <v>41</v>
      </c>
      <c r="F9151" s="29"/>
      <c r="G9151" s="30">
        <f t="shared" si="169"/>
        <v>1547.4351386243379</v>
      </c>
    </row>
    <row r="9152" spans="1:7" hidden="1" x14ac:dyDescent="0.25">
      <c r="A9152" s="28">
        <v>44317</v>
      </c>
      <c r="B9152" s="27" t="s">
        <v>200</v>
      </c>
      <c r="C9152" s="27" t="s">
        <v>55</v>
      </c>
      <c r="D9152" s="27" t="s">
        <v>6</v>
      </c>
      <c r="E9152" s="27" t="s">
        <v>10</v>
      </c>
      <c r="F9152" s="29"/>
      <c r="G9152" s="30">
        <f t="shared" si="169"/>
        <v>1547.4351386243379</v>
      </c>
    </row>
    <row r="9153" spans="1:7" hidden="1" x14ac:dyDescent="0.25">
      <c r="A9153" s="28">
        <v>44317</v>
      </c>
      <c r="B9153" s="27" t="s">
        <v>200</v>
      </c>
      <c r="C9153" s="27" t="s">
        <v>55</v>
      </c>
      <c r="D9153" s="27" t="s">
        <v>6</v>
      </c>
      <c r="E9153" s="27" t="s">
        <v>11</v>
      </c>
      <c r="F9153" s="29"/>
      <c r="G9153" s="30">
        <f t="shared" si="169"/>
        <v>1547.4351386243379</v>
      </c>
    </row>
    <row r="9154" spans="1:7" hidden="1" x14ac:dyDescent="0.25">
      <c r="A9154" s="28">
        <v>44317</v>
      </c>
      <c r="B9154" s="27" t="s">
        <v>200</v>
      </c>
      <c r="C9154" s="27" t="s">
        <v>55</v>
      </c>
      <c r="D9154" s="27" t="s">
        <v>6</v>
      </c>
      <c r="E9154" s="27" t="s">
        <v>12</v>
      </c>
      <c r="F9154" s="29"/>
      <c r="G9154" s="30">
        <f t="shared" si="169"/>
        <v>1547.4351386243379</v>
      </c>
    </row>
    <row r="9155" spans="1:7" hidden="1" x14ac:dyDescent="0.25">
      <c r="A9155" s="28">
        <v>44317</v>
      </c>
      <c r="B9155" s="27" t="s">
        <v>200</v>
      </c>
      <c r="C9155" s="27" t="s">
        <v>55</v>
      </c>
      <c r="D9155" s="27" t="s">
        <v>6</v>
      </c>
      <c r="E9155" s="27" t="s">
        <v>13</v>
      </c>
      <c r="F9155" s="29"/>
      <c r="G9155" s="30">
        <f t="shared" si="169"/>
        <v>1547.4351386243379</v>
      </c>
    </row>
    <row r="9156" spans="1:7" hidden="1" x14ac:dyDescent="0.25">
      <c r="A9156" s="28">
        <v>44317</v>
      </c>
      <c r="B9156" s="27" t="s">
        <v>200</v>
      </c>
      <c r="C9156" s="27" t="s">
        <v>55</v>
      </c>
      <c r="D9156" s="27" t="s">
        <v>6</v>
      </c>
      <c r="E9156" s="27" t="s">
        <v>14</v>
      </c>
      <c r="F9156" s="29"/>
      <c r="G9156" s="30">
        <f t="shared" si="169"/>
        <v>1547.4351386243379</v>
      </c>
    </row>
    <row r="9157" spans="1:7" hidden="1" x14ac:dyDescent="0.25">
      <c r="A9157" s="28">
        <v>44317</v>
      </c>
      <c r="B9157" s="27" t="s">
        <v>200</v>
      </c>
      <c r="C9157" s="27" t="s">
        <v>55</v>
      </c>
      <c r="D9157" s="27" t="s">
        <v>6</v>
      </c>
      <c r="E9157" s="27" t="s">
        <v>15</v>
      </c>
      <c r="F9157" s="29"/>
      <c r="G9157" s="30">
        <f t="shared" si="169"/>
        <v>1547.4351386243379</v>
      </c>
    </row>
    <row r="9158" spans="1:7" hidden="1" x14ac:dyDescent="0.25">
      <c r="A9158" s="28">
        <v>44317</v>
      </c>
      <c r="B9158" s="27" t="s">
        <v>200</v>
      </c>
      <c r="C9158" s="27" t="s">
        <v>55</v>
      </c>
      <c r="D9158" s="27" t="s">
        <v>6</v>
      </c>
      <c r="E9158" s="27" t="s">
        <v>16</v>
      </c>
      <c r="F9158" s="29"/>
      <c r="G9158" s="30">
        <f t="shared" si="169"/>
        <v>1547.4351386243379</v>
      </c>
    </row>
    <row r="9159" spans="1:7" hidden="1" x14ac:dyDescent="0.25">
      <c r="A9159" s="28">
        <v>44317</v>
      </c>
      <c r="B9159" s="27" t="s">
        <v>200</v>
      </c>
      <c r="C9159" s="27" t="s">
        <v>55</v>
      </c>
      <c r="D9159" s="27" t="s">
        <v>6</v>
      </c>
      <c r="E9159" s="27" t="s">
        <v>17</v>
      </c>
      <c r="F9159" s="29"/>
      <c r="G9159" s="30">
        <f t="shared" si="169"/>
        <v>1547.4351386243379</v>
      </c>
    </row>
    <row r="9160" spans="1:7" hidden="1" x14ac:dyDescent="0.25">
      <c r="A9160" s="28">
        <v>44317</v>
      </c>
      <c r="B9160" s="27" t="s">
        <v>200</v>
      </c>
      <c r="C9160" s="27" t="s">
        <v>55</v>
      </c>
      <c r="D9160" s="27" t="s">
        <v>6</v>
      </c>
      <c r="E9160" s="27" t="s">
        <v>18</v>
      </c>
      <c r="F9160" s="29"/>
      <c r="G9160" s="30">
        <f t="shared" si="169"/>
        <v>1547.4351386243379</v>
      </c>
    </row>
    <row r="9161" spans="1:7" hidden="1" x14ac:dyDescent="0.25">
      <c r="A9161" s="28">
        <v>44317</v>
      </c>
      <c r="B9161" s="27" t="s">
        <v>200</v>
      </c>
      <c r="C9161" s="27" t="s">
        <v>55</v>
      </c>
      <c r="D9161" s="27" t="s">
        <v>6</v>
      </c>
      <c r="E9161" s="27" t="s">
        <v>19</v>
      </c>
      <c r="F9161" s="29"/>
      <c r="G9161" s="30">
        <f t="shared" si="169"/>
        <v>1547.4351386243379</v>
      </c>
    </row>
    <row r="9162" spans="1:7" hidden="1" x14ac:dyDescent="0.25">
      <c r="A9162" s="28">
        <v>44317</v>
      </c>
      <c r="B9162" s="27" t="s">
        <v>200</v>
      </c>
      <c r="C9162" s="27" t="s">
        <v>55</v>
      </c>
      <c r="D9162" s="27" t="s">
        <v>6</v>
      </c>
      <c r="E9162" s="27" t="s">
        <v>20</v>
      </c>
      <c r="F9162" s="29"/>
      <c r="G9162" s="30">
        <f t="shared" si="169"/>
        <v>1547.4351386243379</v>
      </c>
    </row>
    <row r="9163" spans="1:7" hidden="1" x14ac:dyDescent="0.25">
      <c r="A9163" s="28">
        <v>44317</v>
      </c>
      <c r="B9163" s="27" t="s">
        <v>200</v>
      </c>
      <c r="C9163" s="27" t="s">
        <v>55</v>
      </c>
      <c r="D9163" s="27" t="s">
        <v>6</v>
      </c>
      <c r="E9163" s="27" t="s">
        <v>38</v>
      </c>
      <c r="F9163" s="29"/>
      <c r="G9163" s="30">
        <f t="shared" si="169"/>
        <v>1547.4351386243379</v>
      </c>
    </row>
    <row r="9164" spans="1:7" hidden="1" x14ac:dyDescent="0.25">
      <c r="A9164" s="28">
        <v>44317</v>
      </c>
      <c r="B9164" s="27" t="s">
        <v>200</v>
      </c>
      <c r="C9164" s="27" t="s">
        <v>55</v>
      </c>
      <c r="D9164" s="27" t="s">
        <v>6</v>
      </c>
      <c r="E9164" s="27" t="s">
        <v>23</v>
      </c>
      <c r="F9164" s="29"/>
      <c r="G9164" s="30">
        <f t="shared" si="169"/>
        <v>1547.4351386243379</v>
      </c>
    </row>
    <row r="9165" spans="1:7" hidden="1" x14ac:dyDescent="0.25">
      <c r="A9165" s="28">
        <v>44317</v>
      </c>
      <c r="B9165" s="27" t="s">
        <v>200</v>
      </c>
      <c r="C9165" s="27" t="s">
        <v>55</v>
      </c>
      <c r="D9165" s="27" t="s">
        <v>6</v>
      </c>
      <c r="E9165" s="27" t="s">
        <v>40</v>
      </c>
      <c r="F9165" s="29"/>
      <c r="G9165" s="30">
        <f t="shared" si="169"/>
        <v>1547.4351386243379</v>
      </c>
    </row>
    <row r="9166" spans="1:7" hidden="1" x14ac:dyDescent="0.25">
      <c r="A9166" s="28">
        <v>44317</v>
      </c>
      <c r="B9166" s="27" t="s">
        <v>200</v>
      </c>
      <c r="C9166" s="27" t="s">
        <v>183</v>
      </c>
      <c r="D9166" s="27" t="s">
        <v>7</v>
      </c>
      <c r="E9166" s="27" t="s">
        <v>8</v>
      </c>
      <c r="F9166" s="29"/>
      <c r="G9166" s="30">
        <f t="shared" ref="G9166:G9186" si="170">3143.87/21</f>
        <v>149.70809523809524</v>
      </c>
    </row>
    <row r="9167" spans="1:7" hidden="1" x14ac:dyDescent="0.25">
      <c r="A9167" s="28">
        <v>44317</v>
      </c>
      <c r="B9167" s="27" t="s">
        <v>200</v>
      </c>
      <c r="C9167" s="27" t="s">
        <v>183</v>
      </c>
      <c r="D9167" s="27" t="s">
        <v>7</v>
      </c>
      <c r="E9167" s="27" t="s">
        <v>9</v>
      </c>
      <c r="F9167" s="29"/>
      <c r="G9167" s="30">
        <f t="shared" si="170"/>
        <v>149.70809523809524</v>
      </c>
    </row>
    <row r="9168" spans="1:7" hidden="1" x14ac:dyDescent="0.25">
      <c r="A9168" s="28">
        <v>44317</v>
      </c>
      <c r="B9168" s="27" t="s">
        <v>200</v>
      </c>
      <c r="C9168" s="27" t="s">
        <v>183</v>
      </c>
      <c r="D9168" s="27" t="s">
        <v>7</v>
      </c>
      <c r="E9168" s="27" t="s">
        <v>22</v>
      </c>
      <c r="F9168" s="29"/>
      <c r="G9168" s="30">
        <f t="shared" si="170"/>
        <v>149.70809523809524</v>
      </c>
    </row>
    <row r="9169" spans="1:7" hidden="1" x14ac:dyDescent="0.25">
      <c r="A9169" s="28">
        <v>44317</v>
      </c>
      <c r="B9169" s="27" t="s">
        <v>200</v>
      </c>
      <c r="C9169" s="27" t="s">
        <v>183</v>
      </c>
      <c r="D9169" s="27" t="s">
        <v>7</v>
      </c>
      <c r="E9169" s="27" t="s">
        <v>39</v>
      </c>
      <c r="F9169" s="29"/>
      <c r="G9169" s="30">
        <f t="shared" si="170"/>
        <v>149.70809523809524</v>
      </c>
    </row>
    <row r="9170" spans="1:7" hidden="1" x14ac:dyDescent="0.25">
      <c r="A9170" s="28">
        <v>44317</v>
      </c>
      <c r="B9170" s="27" t="s">
        <v>200</v>
      </c>
      <c r="C9170" s="27" t="s">
        <v>183</v>
      </c>
      <c r="D9170" s="27" t="s">
        <v>7</v>
      </c>
      <c r="E9170" s="27" t="s">
        <v>64</v>
      </c>
      <c r="F9170" s="29"/>
      <c r="G9170" s="30">
        <f t="shared" si="170"/>
        <v>149.70809523809524</v>
      </c>
    </row>
    <row r="9171" spans="1:7" hidden="1" x14ac:dyDescent="0.25">
      <c r="A9171" s="28">
        <v>44317</v>
      </c>
      <c r="B9171" s="27" t="s">
        <v>200</v>
      </c>
      <c r="C9171" s="27" t="s">
        <v>183</v>
      </c>
      <c r="D9171" s="27" t="s">
        <v>7</v>
      </c>
      <c r="E9171" s="27" t="s">
        <v>21</v>
      </c>
      <c r="F9171" s="29"/>
      <c r="G9171" s="30">
        <f t="shared" si="170"/>
        <v>149.70809523809524</v>
      </c>
    </row>
    <row r="9172" spans="1:7" hidden="1" x14ac:dyDescent="0.25">
      <c r="A9172" s="28">
        <v>44317</v>
      </c>
      <c r="B9172" s="27" t="s">
        <v>200</v>
      </c>
      <c r="C9172" s="27" t="s">
        <v>183</v>
      </c>
      <c r="D9172" s="27" t="s">
        <v>7</v>
      </c>
      <c r="E9172" s="27" t="s">
        <v>41</v>
      </c>
      <c r="F9172" s="29"/>
      <c r="G9172" s="30">
        <f t="shared" si="170"/>
        <v>149.70809523809524</v>
      </c>
    </row>
    <row r="9173" spans="1:7" hidden="1" x14ac:dyDescent="0.25">
      <c r="A9173" s="28">
        <v>44317</v>
      </c>
      <c r="B9173" s="27" t="s">
        <v>200</v>
      </c>
      <c r="C9173" s="27" t="s">
        <v>183</v>
      </c>
      <c r="D9173" s="27" t="s">
        <v>7</v>
      </c>
      <c r="E9173" s="27" t="s">
        <v>10</v>
      </c>
      <c r="F9173" s="29"/>
      <c r="G9173" s="30">
        <f t="shared" si="170"/>
        <v>149.70809523809524</v>
      </c>
    </row>
    <row r="9174" spans="1:7" hidden="1" x14ac:dyDescent="0.25">
      <c r="A9174" s="28">
        <v>44317</v>
      </c>
      <c r="B9174" s="27" t="s">
        <v>200</v>
      </c>
      <c r="C9174" s="27" t="s">
        <v>183</v>
      </c>
      <c r="D9174" s="27" t="s">
        <v>7</v>
      </c>
      <c r="E9174" s="27" t="s">
        <v>11</v>
      </c>
      <c r="F9174" s="29"/>
      <c r="G9174" s="30">
        <f t="shared" si="170"/>
        <v>149.70809523809524</v>
      </c>
    </row>
    <row r="9175" spans="1:7" hidden="1" x14ac:dyDescent="0.25">
      <c r="A9175" s="28">
        <v>44317</v>
      </c>
      <c r="B9175" s="27" t="s">
        <v>200</v>
      </c>
      <c r="C9175" s="27" t="s">
        <v>183</v>
      </c>
      <c r="D9175" s="27" t="s">
        <v>7</v>
      </c>
      <c r="E9175" s="27" t="s">
        <v>12</v>
      </c>
      <c r="F9175" s="29"/>
      <c r="G9175" s="30">
        <f t="shared" si="170"/>
        <v>149.70809523809524</v>
      </c>
    </row>
    <row r="9176" spans="1:7" hidden="1" x14ac:dyDescent="0.25">
      <c r="A9176" s="28">
        <v>44317</v>
      </c>
      <c r="B9176" s="27" t="s">
        <v>200</v>
      </c>
      <c r="C9176" s="27" t="s">
        <v>183</v>
      </c>
      <c r="D9176" s="27" t="s">
        <v>7</v>
      </c>
      <c r="E9176" s="27" t="s">
        <v>13</v>
      </c>
      <c r="F9176" s="29"/>
      <c r="G9176" s="30">
        <f t="shared" si="170"/>
        <v>149.70809523809524</v>
      </c>
    </row>
    <row r="9177" spans="1:7" hidden="1" x14ac:dyDescent="0.25">
      <c r="A9177" s="28">
        <v>44317</v>
      </c>
      <c r="B9177" s="27" t="s">
        <v>200</v>
      </c>
      <c r="C9177" s="27" t="s">
        <v>183</v>
      </c>
      <c r="D9177" s="27" t="s">
        <v>7</v>
      </c>
      <c r="E9177" s="27" t="s">
        <v>14</v>
      </c>
      <c r="F9177" s="29"/>
      <c r="G9177" s="30">
        <f t="shared" si="170"/>
        <v>149.70809523809524</v>
      </c>
    </row>
    <row r="9178" spans="1:7" hidden="1" x14ac:dyDescent="0.25">
      <c r="A9178" s="28">
        <v>44317</v>
      </c>
      <c r="B9178" s="27" t="s">
        <v>200</v>
      </c>
      <c r="C9178" s="27" t="s">
        <v>183</v>
      </c>
      <c r="D9178" s="27" t="s">
        <v>7</v>
      </c>
      <c r="E9178" s="27" t="s">
        <v>15</v>
      </c>
      <c r="F9178" s="29"/>
      <c r="G9178" s="30">
        <f t="shared" si="170"/>
        <v>149.70809523809524</v>
      </c>
    </row>
    <row r="9179" spans="1:7" hidden="1" x14ac:dyDescent="0.25">
      <c r="A9179" s="28">
        <v>44317</v>
      </c>
      <c r="B9179" s="27" t="s">
        <v>200</v>
      </c>
      <c r="C9179" s="27" t="s">
        <v>183</v>
      </c>
      <c r="D9179" s="27" t="s">
        <v>7</v>
      </c>
      <c r="E9179" s="27" t="s">
        <v>16</v>
      </c>
      <c r="F9179" s="29"/>
      <c r="G9179" s="30">
        <f t="shared" si="170"/>
        <v>149.70809523809524</v>
      </c>
    </row>
    <row r="9180" spans="1:7" hidden="1" x14ac:dyDescent="0.25">
      <c r="A9180" s="28">
        <v>44317</v>
      </c>
      <c r="B9180" s="27" t="s">
        <v>200</v>
      </c>
      <c r="C9180" s="27" t="s">
        <v>183</v>
      </c>
      <c r="D9180" s="27" t="s">
        <v>7</v>
      </c>
      <c r="E9180" s="27" t="s">
        <v>17</v>
      </c>
      <c r="F9180" s="29"/>
      <c r="G9180" s="30">
        <f t="shared" si="170"/>
        <v>149.70809523809524</v>
      </c>
    </row>
    <row r="9181" spans="1:7" hidden="1" x14ac:dyDescent="0.25">
      <c r="A9181" s="28">
        <v>44317</v>
      </c>
      <c r="B9181" s="27" t="s">
        <v>200</v>
      </c>
      <c r="C9181" s="27" t="s">
        <v>183</v>
      </c>
      <c r="D9181" s="27" t="s">
        <v>7</v>
      </c>
      <c r="E9181" s="27" t="s">
        <v>18</v>
      </c>
      <c r="F9181" s="29"/>
      <c r="G9181" s="30">
        <f t="shared" si="170"/>
        <v>149.70809523809524</v>
      </c>
    </row>
    <row r="9182" spans="1:7" hidden="1" x14ac:dyDescent="0.25">
      <c r="A9182" s="28">
        <v>44317</v>
      </c>
      <c r="B9182" s="27" t="s">
        <v>200</v>
      </c>
      <c r="C9182" s="27" t="s">
        <v>183</v>
      </c>
      <c r="D9182" s="27" t="s">
        <v>7</v>
      </c>
      <c r="E9182" s="27" t="s">
        <v>19</v>
      </c>
      <c r="F9182" s="29"/>
      <c r="G9182" s="30">
        <f t="shared" si="170"/>
        <v>149.70809523809524</v>
      </c>
    </row>
    <row r="9183" spans="1:7" hidden="1" x14ac:dyDescent="0.25">
      <c r="A9183" s="28">
        <v>44317</v>
      </c>
      <c r="B9183" s="27" t="s">
        <v>200</v>
      </c>
      <c r="C9183" s="27" t="s">
        <v>183</v>
      </c>
      <c r="D9183" s="27" t="s">
        <v>7</v>
      </c>
      <c r="E9183" s="27" t="s">
        <v>20</v>
      </c>
      <c r="F9183" s="29"/>
      <c r="G9183" s="30">
        <f t="shared" si="170"/>
        <v>149.70809523809524</v>
      </c>
    </row>
    <row r="9184" spans="1:7" hidden="1" x14ac:dyDescent="0.25">
      <c r="A9184" s="28">
        <v>44317</v>
      </c>
      <c r="B9184" s="27" t="s">
        <v>200</v>
      </c>
      <c r="C9184" s="27" t="s">
        <v>183</v>
      </c>
      <c r="D9184" s="27" t="s">
        <v>7</v>
      </c>
      <c r="E9184" s="27" t="s">
        <v>38</v>
      </c>
      <c r="F9184" s="29"/>
      <c r="G9184" s="30">
        <f t="shared" si="170"/>
        <v>149.70809523809524</v>
      </c>
    </row>
    <row r="9185" spans="1:7" hidden="1" x14ac:dyDescent="0.25">
      <c r="A9185" s="28">
        <v>44317</v>
      </c>
      <c r="B9185" s="27" t="s">
        <v>200</v>
      </c>
      <c r="C9185" s="27" t="s">
        <v>183</v>
      </c>
      <c r="D9185" s="27" t="s">
        <v>7</v>
      </c>
      <c r="E9185" s="27" t="s">
        <v>23</v>
      </c>
      <c r="F9185" s="29"/>
      <c r="G9185" s="30">
        <f t="shared" si="170"/>
        <v>149.70809523809524</v>
      </c>
    </row>
    <row r="9186" spans="1:7" hidden="1" x14ac:dyDescent="0.25">
      <c r="A9186" s="28">
        <v>44317</v>
      </c>
      <c r="B9186" s="27" t="s">
        <v>200</v>
      </c>
      <c r="C9186" s="27" t="s">
        <v>183</v>
      </c>
      <c r="D9186" s="27" t="s">
        <v>7</v>
      </c>
      <c r="E9186" s="27" t="s">
        <v>40</v>
      </c>
      <c r="F9186" s="29"/>
      <c r="G9186" s="30">
        <f t="shared" si="170"/>
        <v>149.70809523809524</v>
      </c>
    </row>
    <row r="9187" spans="1:7" hidden="1" x14ac:dyDescent="0.25">
      <c r="A9187" s="28">
        <v>44317</v>
      </c>
      <c r="B9187" s="27" t="s">
        <v>200</v>
      </c>
      <c r="C9187" s="27" t="s">
        <v>56</v>
      </c>
      <c r="D9187" s="27" t="s">
        <v>6</v>
      </c>
      <c r="E9187" s="27" t="s">
        <v>8</v>
      </c>
      <c r="F9187" s="29"/>
      <c r="G9187" s="30">
        <f t="shared" ref="G9187:G9207" si="171">53305.559111111/21</f>
        <v>2538.3599576719521</v>
      </c>
    </row>
    <row r="9188" spans="1:7" hidden="1" x14ac:dyDescent="0.25">
      <c r="A9188" s="28">
        <v>44317</v>
      </c>
      <c r="B9188" s="27" t="s">
        <v>200</v>
      </c>
      <c r="C9188" s="27" t="s">
        <v>56</v>
      </c>
      <c r="D9188" s="27" t="s">
        <v>6</v>
      </c>
      <c r="E9188" s="27" t="s">
        <v>9</v>
      </c>
      <c r="F9188" s="29"/>
      <c r="G9188" s="30">
        <f t="shared" si="171"/>
        <v>2538.3599576719521</v>
      </c>
    </row>
    <row r="9189" spans="1:7" hidden="1" x14ac:dyDescent="0.25">
      <c r="A9189" s="28">
        <v>44317</v>
      </c>
      <c r="B9189" s="27" t="s">
        <v>200</v>
      </c>
      <c r="C9189" s="27" t="s">
        <v>56</v>
      </c>
      <c r="D9189" s="27" t="s">
        <v>6</v>
      </c>
      <c r="E9189" s="27" t="s">
        <v>22</v>
      </c>
      <c r="F9189" s="29"/>
      <c r="G9189" s="30">
        <f t="shared" si="171"/>
        <v>2538.3599576719521</v>
      </c>
    </row>
    <row r="9190" spans="1:7" hidden="1" x14ac:dyDescent="0.25">
      <c r="A9190" s="28">
        <v>44317</v>
      </c>
      <c r="B9190" s="27" t="s">
        <v>200</v>
      </c>
      <c r="C9190" s="27" t="s">
        <v>56</v>
      </c>
      <c r="D9190" s="27" t="s">
        <v>6</v>
      </c>
      <c r="E9190" s="27" t="s">
        <v>39</v>
      </c>
      <c r="F9190" s="29"/>
      <c r="G9190" s="30">
        <f t="shared" si="171"/>
        <v>2538.3599576719521</v>
      </c>
    </row>
    <row r="9191" spans="1:7" hidden="1" x14ac:dyDescent="0.25">
      <c r="A9191" s="28">
        <v>44317</v>
      </c>
      <c r="B9191" s="27" t="s">
        <v>200</v>
      </c>
      <c r="C9191" s="27" t="s">
        <v>56</v>
      </c>
      <c r="D9191" s="27" t="s">
        <v>6</v>
      </c>
      <c r="E9191" s="27" t="s">
        <v>64</v>
      </c>
      <c r="F9191" s="29"/>
      <c r="G9191" s="30">
        <f t="shared" si="171"/>
        <v>2538.3599576719521</v>
      </c>
    </row>
    <row r="9192" spans="1:7" hidden="1" x14ac:dyDescent="0.25">
      <c r="A9192" s="28">
        <v>44317</v>
      </c>
      <c r="B9192" s="27" t="s">
        <v>200</v>
      </c>
      <c r="C9192" s="27" t="s">
        <v>56</v>
      </c>
      <c r="D9192" s="27" t="s">
        <v>6</v>
      </c>
      <c r="E9192" s="27" t="s">
        <v>21</v>
      </c>
      <c r="F9192" s="29"/>
      <c r="G9192" s="30">
        <f t="shared" si="171"/>
        <v>2538.3599576719521</v>
      </c>
    </row>
    <row r="9193" spans="1:7" hidden="1" x14ac:dyDescent="0.25">
      <c r="A9193" s="28">
        <v>44317</v>
      </c>
      <c r="B9193" s="27" t="s">
        <v>200</v>
      </c>
      <c r="C9193" s="27" t="s">
        <v>56</v>
      </c>
      <c r="D9193" s="27" t="s">
        <v>6</v>
      </c>
      <c r="E9193" s="27" t="s">
        <v>41</v>
      </c>
      <c r="F9193" s="29"/>
      <c r="G9193" s="30">
        <f t="shared" si="171"/>
        <v>2538.3599576719521</v>
      </c>
    </row>
    <row r="9194" spans="1:7" hidden="1" x14ac:dyDescent="0.25">
      <c r="A9194" s="28">
        <v>44317</v>
      </c>
      <c r="B9194" s="27" t="s">
        <v>200</v>
      </c>
      <c r="C9194" s="27" t="s">
        <v>56</v>
      </c>
      <c r="D9194" s="27" t="s">
        <v>6</v>
      </c>
      <c r="E9194" s="27" t="s">
        <v>10</v>
      </c>
      <c r="F9194" s="29"/>
      <c r="G9194" s="30">
        <f t="shared" si="171"/>
        <v>2538.3599576719521</v>
      </c>
    </row>
    <row r="9195" spans="1:7" hidden="1" x14ac:dyDescent="0.25">
      <c r="A9195" s="28">
        <v>44317</v>
      </c>
      <c r="B9195" s="27" t="s">
        <v>200</v>
      </c>
      <c r="C9195" s="27" t="s">
        <v>56</v>
      </c>
      <c r="D9195" s="27" t="s">
        <v>6</v>
      </c>
      <c r="E9195" s="27" t="s">
        <v>11</v>
      </c>
      <c r="F9195" s="29"/>
      <c r="G9195" s="30">
        <f t="shared" si="171"/>
        <v>2538.3599576719521</v>
      </c>
    </row>
    <row r="9196" spans="1:7" hidden="1" x14ac:dyDescent="0.25">
      <c r="A9196" s="28">
        <v>44317</v>
      </c>
      <c r="B9196" s="27" t="s">
        <v>200</v>
      </c>
      <c r="C9196" s="27" t="s">
        <v>56</v>
      </c>
      <c r="D9196" s="27" t="s">
        <v>6</v>
      </c>
      <c r="E9196" s="27" t="s">
        <v>12</v>
      </c>
      <c r="F9196" s="29"/>
      <c r="G9196" s="30">
        <f t="shared" si="171"/>
        <v>2538.3599576719521</v>
      </c>
    </row>
    <row r="9197" spans="1:7" hidden="1" x14ac:dyDescent="0.25">
      <c r="A9197" s="28">
        <v>44317</v>
      </c>
      <c r="B9197" s="27" t="s">
        <v>200</v>
      </c>
      <c r="C9197" s="27" t="s">
        <v>56</v>
      </c>
      <c r="D9197" s="27" t="s">
        <v>6</v>
      </c>
      <c r="E9197" s="27" t="s">
        <v>13</v>
      </c>
      <c r="F9197" s="29"/>
      <c r="G9197" s="30">
        <f t="shared" si="171"/>
        <v>2538.3599576719521</v>
      </c>
    </row>
    <row r="9198" spans="1:7" hidden="1" x14ac:dyDescent="0.25">
      <c r="A9198" s="28">
        <v>44317</v>
      </c>
      <c r="B9198" s="27" t="s">
        <v>200</v>
      </c>
      <c r="C9198" s="27" t="s">
        <v>56</v>
      </c>
      <c r="D9198" s="27" t="s">
        <v>6</v>
      </c>
      <c r="E9198" s="27" t="s">
        <v>14</v>
      </c>
      <c r="F9198" s="29"/>
      <c r="G9198" s="30">
        <f t="shared" si="171"/>
        <v>2538.3599576719521</v>
      </c>
    </row>
    <row r="9199" spans="1:7" hidden="1" x14ac:dyDescent="0.25">
      <c r="A9199" s="28">
        <v>44317</v>
      </c>
      <c r="B9199" s="27" t="s">
        <v>200</v>
      </c>
      <c r="C9199" s="27" t="s">
        <v>56</v>
      </c>
      <c r="D9199" s="27" t="s">
        <v>6</v>
      </c>
      <c r="E9199" s="27" t="s">
        <v>15</v>
      </c>
      <c r="F9199" s="29"/>
      <c r="G9199" s="30">
        <f t="shared" si="171"/>
        <v>2538.3599576719521</v>
      </c>
    </row>
    <row r="9200" spans="1:7" hidden="1" x14ac:dyDescent="0.25">
      <c r="A9200" s="28">
        <v>44317</v>
      </c>
      <c r="B9200" s="27" t="s">
        <v>200</v>
      </c>
      <c r="C9200" s="27" t="s">
        <v>56</v>
      </c>
      <c r="D9200" s="27" t="s">
        <v>6</v>
      </c>
      <c r="E9200" s="27" t="s">
        <v>16</v>
      </c>
      <c r="F9200" s="29"/>
      <c r="G9200" s="30">
        <f t="shared" si="171"/>
        <v>2538.3599576719521</v>
      </c>
    </row>
    <row r="9201" spans="1:7" hidden="1" x14ac:dyDescent="0.25">
      <c r="A9201" s="28">
        <v>44317</v>
      </c>
      <c r="B9201" s="27" t="s">
        <v>200</v>
      </c>
      <c r="C9201" s="27" t="s">
        <v>56</v>
      </c>
      <c r="D9201" s="27" t="s">
        <v>6</v>
      </c>
      <c r="E9201" s="27" t="s">
        <v>17</v>
      </c>
      <c r="F9201" s="29"/>
      <c r="G9201" s="30">
        <f t="shared" si="171"/>
        <v>2538.3599576719521</v>
      </c>
    </row>
    <row r="9202" spans="1:7" hidden="1" x14ac:dyDescent="0.25">
      <c r="A9202" s="28">
        <v>44317</v>
      </c>
      <c r="B9202" s="27" t="s">
        <v>200</v>
      </c>
      <c r="C9202" s="27" t="s">
        <v>56</v>
      </c>
      <c r="D9202" s="27" t="s">
        <v>6</v>
      </c>
      <c r="E9202" s="27" t="s">
        <v>18</v>
      </c>
      <c r="F9202" s="29"/>
      <c r="G9202" s="30">
        <f t="shared" si="171"/>
        <v>2538.3599576719521</v>
      </c>
    </row>
    <row r="9203" spans="1:7" hidden="1" x14ac:dyDescent="0.25">
      <c r="A9203" s="28">
        <v>44317</v>
      </c>
      <c r="B9203" s="27" t="s">
        <v>200</v>
      </c>
      <c r="C9203" s="27" t="s">
        <v>56</v>
      </c>
      <c r="D9203" s="27" t="s">
        <v>6</v>
      </c>
      <c r="E9203" s="27" t="s">
        <v>19</v>
      </c>
      <c r="F9203" s="29"/>
      <c r="G9203" s="30">
        <f t="shared" si="171"/>
        <v>2538.3599576719521</v>
      </c>
    </row>
    <row r="9204" spans="1:7" hidden="1" x14ac:dyDescent="0.25">
      <c r="A9204" s="28">
        <v>44317</v>
      </c>
      <c r="B9204" s="27" t="s">
        <v>200</v>
      </c>
      <c r="C9204" s="27" t="s">
        <v>56</v>
      </c>
      <c r="D9204" s="27" t="s">
        <v>6</v>
      </c>
      <c r="E9204" s="27" t="s">
        <v>20</v>
      </c>
      <c r="F9204" s="29"/>
      <c r="G9204" s="30">
        <f t="shared" si="171"/>
        <v>2538.3599576719521</v>
      </c>
    </row>
    <row r="9205" spans="1:7" hidden="1" x14ac:dyDescent="0.25">
      <c r="A9205" s="28">
        <v>44317</v>
      </c>
      <c r="B9205" s="27" t="s">
        <v>200</v>
      </c>
      <c r="C9205" s="27" t="s">
        <v>56</v>
      </c>
      <c r="D9205" s="27" t="s">
        <v>6</v>
      </c>
      <c r="E9205" s="27" t="s">
        <v>38</v>
      </c>
      <c r="F9205" s="29"/>
      <c r="G9205" s="30">
        <f t="shared" si="171"/>
        <v>2538.3599576719521</v>
      </c>
    </row>
    <row r="9206" spans="1:7" hidden="1" x14ac:dyDescent="0.25">
      <c r="A9206" s="28">
        <v>44317</v>
      </c>
      <c r="B9206" s="27" t="s">
        <v>200</v>
      </c>
      <c r="C9206" s="27" t="s">
        <v>56</v>
      </c>
      <c r="D9206" s="27" t="s">
        <v>6</v>
      </c>
      <c r="E9206" s="27" t="s">
        <v>23</v>
      </c>
      <c r="F9206" s="29"/>
      <c r="G9206" s="30">
        <f t="shared" si="171"/>
        <v>2538.3599576719521</v>
      </c>
    </row>
    <row r="9207" spans="1:7" hidden="1" x14ac:dyDescent="0.25">
      <c r="A9207" s="28">
        <v>44317</v>
      </c>
      <c r="B9207" s="27" t="s">
        <v>200</v>
      </c>
      <c r="C9207" s="27" t="s">
        <v>56</v>
      </c>
      <c r="D9207" s="27" t="s">
        <v>6</v>
      </c>
      <c r="E9207" s="27" t="s">
        <v>40</v>
      </c>
      <c r="F9207" s="29"/>
      <c r="G9207" s="30">
        <f t="shared" si="171"/>
        <v>2538.3599576719521</v>
      </c>
    </row>
    <row r="9208" spans="1:7" hidden="1" x14ac:dyDescent="0.25">
      <c r="A9208" s="28">
        <v>44317</v>
      </c>
      <c r="B9208" s="27" t="s">
        <v>200</v>
      </c>
      <c r="C9208" s="27" t="s">
        <v>182</v>
      </c>
      <c r="D9208" s="27" t="s">
        <v>7</v>
      </c>
      <c r="E9208" s="27" t="s">
        <v>8</v>
      </c>
      <c r="F9208" s="29"/>
      <c r="G9208" s="30">
        <f t="shared" ref="G9208:G9228" si="172">5716.36/21</f>
        <v>272.207619047619</v>
      </c>
    </row>
    <row r="9209" spans="1:7" hidden="1" x14ac:dyDescent="0.25">
      <c r="A9209" s="28">
        <v>44317</v>
      </c>
      <c r="B9209" s="27" t="s">
        <v>200</v>
      </c>
      <c r="C9209" s="27" t="s">
        <v>182</v>
      </c>
      <c r="D9209" s="27" t="s">
        <v>7</v>
      </c>
      <c r="E9209" s="27" t="s">
        <v>9</v>
      </c>
      <c r="F9209" s="29"/>
      <c r="G9209" s="30">
        <f t="shared" si="172"/>
        <v>272.207619047619</v>
      </c>
    </row>
    <row r="9210" spans="1:7" hidden="1" x14ac:dyDescent="0.25">
      <c r="A9210" s="28">
        <v>44317</v>
      </c>
      <c r="B9210" s="27" t="s">
        <v>200</v>
      </c>
      <c r="C9210" s="27" t="s">
        <v>182</v>
      </c>
      <c r="D9210" s="27" t="s">
        <v>7</v>
      </c>
      <c r="E9210" s="27" t="s">
        <v>22</v>
      </c>
      <c r="F9210" s="29"/>
      <c r="G9210" s="30">
        <f t="shared" si="172"/>
        <v>272.207619047619</v>
      </c>
    </row>
    <row r="9211" spans="1:7" hidden="1" x14ac:dyDescent="0.25">
      <c r="A9211" s="28">
        <v>44317</v>
      </c>
      <c r="B9211" s="27" t="s">
        <v>200</v>
      </c>
      <c r="C9211" s="27" t="s">
        <v>182</v>
      </c>
      <c r="D9211" s="27" t="s">
        <v>7</v>
      </c>
      <c r="E9211" s="27" t="s">
        <v>39</v>
      </c>
      <c r="F9211" s="29"/>
      <c r="G9211" s="30">
        <f t="shared" si="172"/>
        <v>272.207619047619</v>
      </c>
    </row>
    <row r="9212" spans="1:7" hidden="1" x14ac:dyDescent="0.25">
      <c r="A9212" s="28">
        <v>44317</v>
      </c>
      <c r="B9212" s="27" t="s">
        <v>200</v>
      </c>
      <c r="C9212" s="27" t="s">
        <v>182</v>
      </c>
      <c r="D9212" s="27" t="s">
        <v>7</v>
      </c>
      <c r="E9212" s="27" t="s">
        <v>64</v>
      </c>
      <c r="F9212" s="29"/>
      <c r="G9212" s="30">
        <f t="shared" si="172"/>
        <v>272.207619047619</v>
      </c>
    </row>
    <row r="9213" spans="1:7" hidden="1" x14ac:dyDescent="0.25">
      <c r="A9213" s="28">
        <v>44317</v>
      </c>
      <c r="B9213" s="27" t="s">
        <v>200</v>
      </c>
      <c r="C9213" s="27" t="s">
        <v>182</v>
      </c>
      <c r="D9213" s="27" t="s">
        <v>7</v>
      </c>
      <c r="E9213" s="27" t="s">
        <v>21</v>
      </c>
      <c r="F9213" s="29"/>
      <c r="G9213" s="30">
        <f t="shared" si="172"/>
        <v>272.207619047619</v>
      </c>
    </row>
    <row r="9214" spans="1:7" hidden="1" x14ac:dyDescent="0.25">
      <c r="A9214" s="28">
        <v>44317</v>
      </c>
      <c r="B9214" s="27" t="s">
        <v>200</v>
      </c>
      <c r="C9214" s="27" t="s">
        <v>182</v>
      </c>
      <c r="D9214" s="27" t="s">
        <v>7</v>
      </c>
      <c r="E9214" s="27" t="s">
        <v>41</v>
      </c>
      <c r="F9214" s="29"/>
      <c r="G9214" s="30">
        <f t="shared" si="172"/>
        <v>272.207619047619</v>
      </c>
    </row>
    <row r="9215" spans="1:7" hidden="1" x14ac:dyDescent="0.25">
      <c r="A9215" s="28">
        <v>44317</v>
      </c>
      <c r="B9215" s="27" t="s">
        <v>200</v>
      </c>
      <c r="C9215" s="27" t="s">
        <v>182</v>
      </c>
      <c r="D9215" s="27" t="s">
        <v>7</v>
      </c>
      <c r="E9215" s="27" t="s">
        <v>10</v>
      </c>
      <c r="F9215" s="29"/>
      <c r="G9215" s="30">
        <f t="shared" si="172"/>
        <v>272.207619047619</v>
      </c>
    </row>
    <row r="9216" spans="1:7" hidden="1" x14ac:dyDescent="0.25">
      <c r="A9216" s="28">
        <v>44317</v>
      </c>
      <c r="B9216" s="27" t="s">
        <v>200</v>
      </c>
      <c r="C9216" s="27" t="s">
        <v>182</v>
      </c>
      <c r="D9216" s="27" t="s">
        <v>7</v>
      </c>
      <c r="E9216" s="27" t="s">
        <v>11</v>
      </c>
      <c r="F9216" s="29"/>
      <c r="G9216" s="30">
        <f t="shared" si="172"/>
        <v>272.207619047619</v>
      </c>
    </row>
    <row r="9217" spans="1:7" hidden="1" x14ac:dyDescent="0.25">
      <c r="A9217" s="28">
        <v>44317</v>
      </c>
      <c r="B9217" s="27" t="s">
        <v>200</v>
      </c>
      <c r="C9217" s="27" t="s">
        <v>182</v>
      </c>
      <c r="D9217" s="27" t="s">
        <v>7</v>
      </c>
      <c r="E9217" s="27" t="s">
        <v>12</v>
      </c>
      <c r="F9217" s="29"/>
      <c r="G9217" s="30">
        <f t="shared" si="172"/>
        <v>272.207619047619</v>
      </c>
    </row>
    <row r="9218" spans="1:7" hidden="1" x14ac:dyDescent="0.25">
      <c r="A9218" s="28">
        <v>44317</v>
      </c>
      <c r="B9218" s="27" t="s">
        <v>200</v>
      </c>
      <c r="C9218" s="27" t="s">
        <v>182</v>
      </c>
      <c r="D9218" s="27" t="s">
        <v>7</v>
      </c>
      <c r="E9218" s="27" t="s">
        <v>13</v>
      </c>
      <c r="F9218" s="29"/>
      <c r="G9218" s="30">
        <f t="shared" si="172"/>
        <v>272.207619047619</v>
      </c>
    </row>
    <row r="9219" spans="1:7" hidden="1" x14ac:dyDescent="0.25">
      <c r="A9219" s="28">
        <v>44317</v>
      </c>
      <c r="B9219" s="27" t="s">
        <v>200</v>
      </c>
      <c r="C9219" s="27" t="s">
        <v>182</v>
      </c>
      <c r="D9219" s="27" t="s">
        <v>7</v>
      </c>
      <c r="E9219" s="27" t="s">
        <v>14</v>
      </c>
      <c r="F9219" s="29"/>
      <c r="G9219" s="30">
        <f t="shared" si="172"/>
        <v>272.207619047619</v>
      </c>
    </row>
    <row r="9220" spans="1:7" hidden="1" x14ac:dyDescent="0.25">
      <c r="A9220" s="28">
        <v>44317</v>
      </c>
      <c r="B9220" s="27" t="s">
        <v>200</v>
      </c>
      <c r="C9220" s="27" t="s">
        <v>182</v>
      </c>
      <c r="D9220" s="27" t="s">
        <v>7</v>
      </c>
      <c r="E9220" s="27" t="s">
        <v>15</v>
      </c>
      <c r="F9220" s="29"/>
      <c r="G9220" s="30">
        <f t="shared" si="172"/>
        <v>272.207619047619</v>
      </c>
    </row>
    <row r="9221" spans="1:7" hidden="1" x14ac:dyDescent="0.25">
      <c r="A9221" s="28">
        <v>44317</v>
      </c>
      <c r="B9221" s="27" t="s">
        <v>200</v>
      </c>
      <c r="C9221" s="27" t="s">
        <v>182</v>
      </c>
      <c r="D9221" s="27" t="s">
        <v>7</v>
      </c>
      <c r="E9221" s="27" t="s">
        <v>16</v>
      </c>
      <c r="F9221" s="29"/>
      <c r="G9221" s="30">
        <f t="shared" si="172"/>
        <v>272.207619047619</v>
      </c>
    </row>
    <row r="9222" spans="1:7" hidden="1" x14ac:dyDescent="0.25">
      <c r="A9222" s="28">
        <v>44317</v>
      </c>
      <c r="B9222" s="27" t="s">
        <v>200</v>
      </c>
      <c r="C9222" s="27" t="s">
        <v>182</v>
      </c>
      <c r="D9222" s="27" t="s">
        <v>7</v>
      </c>
      <c r="E9222" s="27" t="s">
        <v>17</v>
      </c>
      <c r="F9222" s="29"/>
      <c r="G9222" s="30">
        <f t="shared" si="172"/>
        <v>272.207619047619</v>
      </c>
    </row>
    <row r="9223" spans="1:7" hidden="1" x14ac:dyDescent="0.25">
      <c r="A9223" s="28">
        <v>44317</v>
      </c>
      <c r="B9223" s="27" t="s">
        <v>200</v>
      </c>
      <c r="C9223" s="27" t="s">
        <v>182</v>
      </c>
      <c r="D9223" s="27" t="s">
        <v>7</v>
      </c>
      <c r="E9223" s="27" t="s">
        <v>18</v>
      </c>
      <c r="F9223" s="29"/>
      <c r="G9223" s="30">
        <f t="shared" si="172"/>
        <v>272.207619047619</v>
      </c>
    </row>
    <row r="9224" spans="1:7" hidden="1" x14ac:dyDescent="0.25">
      <c r="A9224" s="28">
        <v>44317</v>
      </c>
      <c r="B9224" s="27" t="s">
        <v>200</v>
      </c>
      <c r="C9224" s="27" t="s">
        <v>182</v>
      </c>
      <c r="D9224" s="27" t="s">
        <v>7</v>
      </c>
      <c r="E9224" s="27" t="s">
        <v>19</v>
      </c>
      <c r="F9224" s="29"/>
      <c r="G9224" s="30">
        <f t="shared" si="172"/>
        <v>272.207619047619</v>
      </c>
    </row>
    <row r="9225" spans="1:7" hidden="1" x14ac:dyDescent="0.25">
      <c r="A9225" s="28">
        <v>44317</v>
      </c>
      <c r="B9225" s="27" t="s">
        <v>200</v>
      </c>
      <c r="C9225" s="27" t="s">
        <v>182</v>
      </c>
      <c r="D9225" s="27" t="s">
        <v>7</v>
      </c>
      <c r="E9225" s="27" t="s">
        <v>20</v>
      </c>
      <c r="F9225" s="29"/>
      <c r="G9225" s="30">
        <f t="shared" si="172"/>
        <v>272.207619047619</v>
      </c>
    </row>
    <row r="9226" spans="1:7" hidden="1" x14ac:dyDescent="0.25">
      <c r="A9226" s="28">
        <v>44317</v>
      </c>
      <c r="B9226" s="27" t="s">
        <v>200</v>
      </c>
      <c r="C9226" s="27" t="s">
        <v>182</v>
      </c>
      <c r="D9226" s="27" t="s">
        <v>7</v>
      </c>
      <c r="E9226" s="27" t="s">
        <v>38</v>
      </c>
      <c r="F9226" s="29"/>
      <c r="G9226" s="30">
        <f t="shared" si="172"/>
        <v>272.207619047619</v>
      </c>
    </row>
    <row r="9227" spans="1:7" hidden="1" x14ac:dyDescent="0.25">
      <c r="A9227" s="28">
        <v>44317</v>
      </c>
      <c r="B9227" s="27" t="s">
        <v>200</v>
      </c>
      <c r="C9227" s="27" t="s">
        <v>182</v>
      </c>
      <c r="D9227" s="27" t="s">
        <v>7</v>
      </c>
      <c r="E9227" s="27" t="s">
        <v>23</v>
      </c>
      <c r="F9227" s="29"/>
      <c r="G9227" s="30">
        <f t="shared" si="172"/>
        <v>272.207619047619</v>
      </c>
    </row>
    <row r="9228" spans="1:7" hidden="1" x14ac:dyDescent="0.25">
      <c r="A9228" s="28">
        <v>44317</v>
      </c>
      <c r="B9228" s="27" t="s">
        <v>200</v>
      </c>
      <c r="C9228" s="27" t="s">
        <v>182</v>
      </c>
      <c r="D9228" s="27" t="s">
        <v>7</v>
      </c>
      <c r="E9228" s="27" t="s">
        <v>40</v>
      </c>
      <c r="F9228" s="29"/>
      <c r="G9228" s="30">
        <f t="shared" si="172"/>
        <v>272.207619047619</v>
      </c>
    </row>
    <row r="9229" spans="1:7" hidden="1" x14ac:dyDescent="0.25">
      <c r="A9229" s="28">
        <v>44317</v>
      </c>
      <c r="B9229" s="27" t="s">
        <v>35</v>
      </c>
      <c r="C9229" s="27" t="s">
        <v>50</v>
      </c>
      <c r="D9229" s="27" t="s">
        <v>7</v>
      </c>
      <c r="E9229" s="27" t="s">
        <v>8</v>
      </c>
      <c r="F9229" s="29"/>
      <c r="G9229" s="30">
        <v>748.82285714285717</v>
      </c>
    </row>
    <row r="9230" spans="1:7" hidden="1" x14ac:dyDescent="0.25">
      <c r="A9230" s="28">
        <v>44317</v>
      </c>
      <c r="B9230" s="27" t="s">
        <v>35</v>
      </c>
      <c r="C9230" s="27" t="s">
        <v>50</v>
      </c>
      <c r="D9230" s="27" t="s">
        <v>7</v>
      </c>
      <c r="E9230" s="27" t="s">
        <v>9</v>
      </c>
      <c r="F9230" s="29"/>
      <c r="G9230" s="30">
        <v>748.82285714285717</v>
      </c>
    </row>
    <row r="9231" spans="1:7" hidden="1" x14ac:dyDescent="0.25">
      <c r="A9231" s="28">
        <v>44317</v>
      </c>
      <c r="B9231" s="27" t="s">
        <v>35</v>
      </c>
      <c r="C9231" s="27" t="s">
        <v>50</v>
      </c>
      <c r="D9231" s="27" t="s">
        <v>7</v>
      </c>
      <c r="E9231" s="27" t="s">
        <v>22</v>
      </c>
      <c r="F9231" s="29"/>
      <c r="G9231" s="30">
        <v>748.82285714285717</v>
      </c>
    </row>
    <row r="9232" spans="1:7" hidden="1" x14ac:dyDescent="0.25">
      <c r="A9232" s="28">
        <v>44317</v>
      </c>
      <c r="B9232" s="27" t="s">
        <v>35</v>
      </c>
      <c r="C9232" s="27" t="s">
        <v>50</v>
      </c>
      <c r="D9232" s="27" t="s">
        <v>7</v>
      </c>
      <c r="E9232" s="27" t="s">
        <v>39</v>
      </c>
      <c r="F9232" s="29"/>
      <c r="G9232" s="30">
        <v>748.82285714285717</v>
      </c>
    </row>
    <row r="9233" spans="1:7" hidden="1" x14ac:dyDescent="0.25">
      <c r="A9233" s="28">
        <v>44317</v>
      </c>
      <c r="B9233" s="27" t="s">
        <v>35</v>
      </c>
      <c r="C9233" s="27" t="s">
        <v>50</v>
      </c>
      <c r="D9233" s="27" t="s">
        <v>7</v>
      </c>
      <c r="E9233" s="27" t="s">
        <v>64</v>
      </c>
      <c r="F9233" s="29"/>
      <c r="G9233" s="30">
        <v>748.82285714285717</v>
      </c>
    </row>
    <row r="9234" spans="1:7" hidden="1" x14ac:dyDescent="0.25">
      <c r="A9234" s="28">
        <v>44317</v>
      </c>
      <c r="B9234" s="27" t="s">
        <v>35</v>
      </c>
      <c r="C9234" s="27" t="s">
        <v>50</v>
      </c>
      <c r="D9234" s="27" t="s">
        <v>7</v>
      </c>
      <c r="E9234" s="27" t="s">
        <v>21</v>
      </c>
      <c r="F9234" s="29"/>
      <c r="G9234" s="30">
        <v>748.82285714285717</v>
      </c>
    </row>
    <row r="9235" spans="1:7" hidden="1" x14ac:dyDescent="0.25">
      <c r="A9235" s="28">
        <v>44317</v>
      </c>
      <c r="B9235" s="27" t="s">
        <v>35</v>
      </c>
      <c r="C9235" s="27" t="s">
        <v>50</v>
      </c>
      <c r="D9235" s="27" t="s">
        <v>7</v>
      </c>
      <c r="E9235" s="27" t="s">
        <v>41</v>
      </c>
      <c r="F9235" s="29"/>
      <c r="G9235" s="30">
        <v>748.82285714285717</v>
      </c>
    </row>
    <row r="9236" spans="1:7" hidden="1" x14ac:dyDescent="0.25">
      <c r="A9236" s="28">
        <v>44317</v>
      </c>
      <c r="B9236" s="27" t="s">
        <v>35</v>
      </c>
      <c r="C9236" s="27" t="s">
        <v>50</v>
      </c>
      <c r="D9236" s="27" t="s">
        <v>7</v>
      </c>
      <c r="E9236" s="27" t="s">
        <v>10</v>
      </c>
      <c r="F9236" s="29"/>
      <c r="G9236" s="30">
        <v>748.82285714285717</v>
      </c>
    </row>
    <row r="9237" spans="1:7" hidden="1" x14ac:dyDescent="0.25">
      <c r="A9237" s="28">
        <v>44317</v>
      </c>
      <c r="B9237" s="27" t="s">
        <v>35</v>
      </c>
      <c r="C9237" s="27" t="s">
        <v>50</v>
      </c>
      <c r="D9237" s="27" t="s">
        <v>7</v>
      </c>
      <c r="E9237" s="27" t="s">
        <v>11</v>
      </c>
      <c r="F9237" s="29"/>
      <c r="G9237" s="30">
        <v>748.82285714285717</v>
      </c>
    </row>
    <row r="9238" spans="1:7" hidden="1" x14ac:dyDescent="0.25">
      <c r="A9238" s="28">
        <v>44317</v>
      </c>
      <c r="B9238" s="27" t="s">
        <v>35</v>
      </c>
      <c r="C9238" s="27" t="s">
        <v>50</v>
      </c>
      <c r="D9238" s="27" t="s">
        <v>7</v>
      </c>
      <c r="E9238" s="27" t="s">
        <v>12</v>
      </c>
      <c r="F9238" s="29"/>
      <c r="G9238" s="30">
        <v>748.82285714285717</v>
      </c>
    </row>
    <row r="9239" spans="1:7" hidden="1" x14ac:dyDescent="0.25">
      <c r="A9239" s="28">
        <v>44317</v>
      </c>
      <c r="B9239" s="27" t="s">
        <v>35</v>
      </c>
      <c r="C9239" s="27" t="s">
        <v>50</v>
      </c>
      <c r="D9239" s="27" t="s">
        <v>7</v>
      </c>
      <c r="E9239" s="27" t="s">
        <v>13</v>
      </c>
      <c r="F9239" s="29"/>
      <c r="G9239" s="30">
        <v>748.82285714285717</v>
      </c>
    </row>
    <row r="9240" spans="1:7" hidden="1" x14ac:dyDescent="0.25">
      <c r="A9240" s="28">
        <v>44317</v>
      </c>
      <c r="B9240" s="27" t="s">
        <v>35</v>
      </c>
      <c r="C9240" s="27" t="s">
        <v>50</v>
      </c>
      <c r="D9240" s="27" t="s">
        <v>7</v>
      </c>
      <c r="E9240" s="27" t="s">
        <v>14</v>
      </c>
      <c r="F9240" s="29"/>
      <c r="G9240" s="30">
        <v>748.82285714285717</v>
      </c>
    </row>
    <row r="9241" spans="1:7" hidden="1" x14ac:dyDescent="0.25">
      <c r="A9241" s="28">
        <v>44317</v>
      </c>
      <c r="B9241" s="27" t="s">
        <v>35</v>
      </c>
      <c r="C9241" s="27" t="s">
        <v>50</v>
      </c>
      <c r="D9241" s="27" t="s">
        <v>7</v>
      </c>
      <c r="E9241" s="27" t="s">
        <v>15</v>
      </c>
      <c r="F9241" s="29"/>
      <c r="G9241" s="30">
        <v>748.82285714285717</v>
      </c>
    </row>
    <row r="9242" spans="1:7" hidden="1" x14ac:dyDescent="0.25">
      <c r="A9242" s="28">
        <v>44317</v>
      </c>
      <c r="B9242" s="27" t="s">
        <v>35</v>
      </c>
      <c r="C9242" s="27" t="s">
        <v>50</v>
      </c>
      <c r="D9242" s="27" t="s">
        <v>7</v>
      </c>
      <c r="E9242" s="27" t="s">
        <v>16</v>
      </c>
      <c r="F9242" s="29"/>
      <c r="G9242" s="30">
        <v>748.82285714285717</v>
      </c>
    </row>
    <row r="9243" spans="1:7" hidden="1" x14ac:dyDescent="0.25">
      <c r="A9243" s="28">
        <v>44317</v>
      </c>
      <c r="B9243" s="27" t="s">
        <v>35</v>
      </c>
      <c r="C9243" s="27" t="s">
        <v>50</v>
      </c>
      <c r="D9243" s="27" t="s">
        <v>7</v>
      </c>
      <c r="E9243" s="27" t="s">
        <v>17</v>
      </c>
      <c r="F9243" s="29"/>
      <c r="G9243" s="30">
        <v>748.82285714285717</v>
      </c>
    </row>
    <row r="9244" spans="1:7" hidden="1" x14ac:dyDescent="0.25">
      <c r="A9244" s="28">
        <v>44317</v>
      </c>
      <c r="B9244" s="27" t="s">
        <v>35</v>
      </c>
      <c r="C9244" s="27" t="s">
        <v>50</v>
      </c>
      <c r="D9244" s="27" t="s">
        <v>7</v>
      </c>
      <c r="E9244" s="27" t="s">
        <v>18</v>
      </c>
      <c r="F9244" s="29"/>
      <c r="G9244" s="30">
        <v>748.82285714285717</v>
      </c>
    </row>
    <row r="9245" spans="1:7" hidden="1" x14ac:dyDescent="0.25">
      <c r="A9245" s="28">
        <v>44317</v>
      </c>
      <c r="B9245" s="27" t="s">
        <v>35</v>
      </c>
      <c r="C9245" s="27" t="s">
        <v>50</v>
      </c>
      <c r="D9245" s="27" t="s">
        <v>7</v>
      </c>
      <c r="E9245" s="27" t="s">
        <v>19</v>
      </c>
      <c r="F9245" s="29"/>
      <c r="G9245" s="30">
        <v>748.82285714285717</v>
      </c>
    </row>
    <row r="9246" spans="1:7" hidden="1" x14ac:dyDescent="0.25">
      <c r="A9246" s="28">
        <v>44317</v>
      </c>
      <c r="B9246" s="27" t="s">
        <v>35</v>
      </c>
      <c r="C9246" s="27" t="s">
        <v>50</v>
      </c>
      <c r="D9246" s="27" t="s">
        <v>7</v>
      </c>
      <c r="E9246" s="27" t="s">
        <v>20</v>
      </c>
      <c r="F9246" s="29"/>
      <c r="G9246" s="30">
        <v>748.82285714285717</v>
      </c>
    </row>
    <row r="9247" spans="1:7" hidden="1" x14ac:dyDescent="0.25">
      <c r="A9247" s="28">
        <v>44317</v>
      </c>
      <c r="B9247" s="27" t="s">
        <v>35</v>
      </c>
      <c r="C9247" s="27" t="s">
        <v>50</v>
      </c>
      <c r="D9247" s="27" t="s">
        <v>7</v>
      </c>
      <c r="E9247" s="27" t="s">
        <v>38</v>
      </c>
      <c r="F9247" s="29"/>
      <c r="G9247" s="30">
        <v>748.82285714285717</v>
      </c>
    </row>
    <row r="9248" spans="1:7" hidden="1" x14ac:dyDescent="0.25">
      <c r="A9248" s="28">
        <v>44317</v>
      </c>
      <c r="B9248" s="27" t="s">
        <v>35</v>
      </c>
      <c r="C9248" s="27" t="s">
        <v>50</v>
      </c>
      <c r="D9248" s="27" t="s">
        <v>7</v>
      </c>
      <c r="E9248" s="27" t="s">
        <v>23</v>
      </c>
      <c r="F9248" s="29"/>
      <c r="G9248" s="30">
        <v>748.82285714285717</v>
      </c>
    </row>
    <row r="9249" spans="1:7" hidden="1" x14ac:dyDescent="0.25">
      <c r="A9249" s="28">
        <v>44317</v>
      </c>
      <c r="B9249" s="27" t="s">
        <v>35</v>
      </c>
      <c r="C9249" s="27" t="s">
        <v>50</v>
      </c>
      <c r="D9249" s="27" t="s">
        <v>7</v>
      </c>
      <c r="E9249" s="27" t="s">
        <v>40</v>
      </c>
      <c r="F9249" s="29"/>
      <c r="G9249" s="30">
        <v>748.82285714285717</v>
      </c>
    </row>
    <row r="9250" spans="1:7" hidden="1" x14ac:dyDescent="0.25">
      <c r="A9250" s="28">
        <v>44317</v>
      </c>
      <c r="B9250" s="27" t="s">
        <v>34</v>
      </c>
      <c r="C9250" s="27" t="s">
        <v>50</v>
      </c>
      <c r="D9250" s="27" t="s">
        <v>6</v>
      </c>
      <c r="E9250" s="27" t="s">
        <v>8</v>
      </c>
      <c r="F9250" s="29"/>
      <c r="G9250" s="30">
        <v>512.69000000000005</v>
      </c>
    </row>
    <row r="9251" spans="1:7" hidden="1" x14ac:dyDescent="0.25">
      <c r="A9251" s="28">
        <v>44317</v>
      </c>
      <c r="B9251" s="27" t="s">
        <v>34</v>
      </c>
      <c r="C9251" s="27" t="s">
        <v>50</v>
      </c>
      <c r="D9251" s="27" t="s">
        <v>6</v>
      </c>
      <c r="E9251" s="27" t="s">
        <v>9</v>
      </c>
      <c r="F9251" s="29"/>
      <c r="G9251" s="30">
        <v>583.98</v>
      </c>
    </row>
    <row r="9252" spans="1:7" hidden="1" x14ac:dyDescent="0.25">
      <c r="A9252" s="28">
        <v>44317</v>
      </c>
      <c r="B9252" s="27" t="s">
        <v>34</v>
      </c>
      <c r="C9252" s="27" t="s">
        <v>50</v>
      </c>
      <c r="D9252" s="27" t="s">
        <v>6</v>
      </c>
      <c r="E9252" s="27" t="s">
        <v>22</v>
      </c>
      <c r="F9252" s="29"/>
      <c r="G9252" s="30">
        <v>717.29</v>
      </c>
    </row>
    <row r="9253" spans="1:7" hidden="1" x14ac:dyDescent="0.25">
      <c r="A9253" s="28">
        <v>44317</v>
      </c>
      <c r="B9253" s="27" t="s">
        <v>34</v>
      </c>
      <c r="C9253" s="27" t="s">
        <v>50</v>
      </c>
      <c r="D9253" s="27" t="s">
        <v>6</v>
      </c>
      <c r="E9253" s="27" t="s">
        <v>39</v>
      </c>
      <c r="F9253" s="29"/>
      <c r="G9253" s="30">
        <v>357.63</v>
      </c>
    </row>
    <row r="9254" spans="1:7" hidden="1" x14ac:dyDescent="0.25">
      <c r="A9254" s="28">
        <v>44317</v>
      </c>
      <c r="B9254" s="27" t="s">
        <v>34</v>
      </c>
      <c r="C9254" s="27" t="s">
        <v>50</v>
      </c>
      <c r="D9254" s="27" t="s">
        <v>6</v>
      </c>
      <c r="E9254" s="27" t="s">
        <v>64</v>
      </c>
      <c r="F9254" s="29"/>
      <c r="G9254" s="30">
        <v>632.99</v>
      </c>
    </row>
    <row r="9255" spans="1:7" hidden="1" x14ac:dyDescent="0.25">
      <c r="A9255" s="28">
        <v>44317</v>
      </c>
      <c r="B9255" s="27" t="s">
        <v>34</v>
      </c>
      <c r="C9255" s="27" t="s">
        <v>50</v>
      </c>
      <c r="D9255" s="27" t="s">
        <v>6</v>
      </c>
      <c r="E9255" s="27" t="s">
        <v>21</v>
      </c>
      <c r="F9255" s="29"/>
      <c r="G9255" s="30">
        <v>525.32000000000005</v>
      </c>
    </row>
    <row r="9256" spans="1:7" hidden="1" x14ac:dyDescent="0.25">
      <c r="A9256" s="28">
        <v>44317</v>
      </c>
      <c r="B9256" s="27" t="s">
        <v>34</v>
      </c>
      <c r="C9256" s="27" t="s">
        <v>50</v>
      </c>
      <c r="D9256" s="27" t="s">
        <v>6</v>
      </c>
      <c r="E9256" s="27" t="s">
        <v>41</v>
      </c>
      <c r="F9256" s="29"/>
      <c r="G9256" s="30">
        <v>541.32000000000005</v>
      </c>
    </row>
    <row r="9257" spans="1:7" hidden="1" x14ac:dyDescent="0.25">
      <c r="A9257" s="28">
        <v>44317</v>
      </c>
      <c r="B9257" s="27" t="s">
        <v>34</v>
      </c>
      <c r="C9257" s="27" t="s">
        <v>50</v>
      </c>
      <c r="D9257" s="27" t="s">
        <v>6</v>
      </c>
      <c r="E9257" s="27" t="s">
        <v>10</v>
      </c>
      <c r="F9257" s="29"/>
      <c r="G9257" s="30">
        <v>721.06</v>
      </c>
    </row>
    <row r="9258" spans="1:7" hidden="1" x14ac:dyDescent="0.25">
      <c r="A9258" s="28">
        <v>44317</v>
      </c>
      <c r="B9258" s="27" t="s">
        <v>34</v>
      </c>
      <c r="C9258" s="27" t="s">
        <v>50</v>
      </c>
      <c r="D9258" s="27" t="s">
        <v>6</v>
      </c>
      <c r="E9258" s="27" t="s">
        <v>11</v>
      </c>
      <c r="F9258" s="29"/>
      <c r="G9258" s="30">
        <v>309.66000000000003</v>
      </c>
    </row>
    <row r="9259" spans="1:7" hidden="1" x14ac:dyDescent="0.25">
      <c r="A9259" s="28">
        <v>44317</v>
      </c>
      <c r="B9259" s="27" t="s">
        <v>34</v>
      </c>
      <c r="C9259" s="27" t="s">
        <v>50</v>
      </c>
      <c r="D9259" s="27" t="s">
        <v>6</v>
      </c>
      <c r="E9259" s="27" t="s">
        <v>12</v>
      </c>
      <c r="F9259" s="29"/>
      <c r="G9259" s="30">
        <v>366.63</v>
      </c>
    </row>
    <row r="9260" spans="1:7" hidden="1" x14ac:dyDescent="0.25">
      <c r="A9260" s="28">
        <v>44317</v>
      </c>
      <c r="B9260" s="27" t="s">
        <v>34</v>
      </c>
      <c r="C9260" s="27" t="s">
        <v>50</v>
      </c>
      <c r="D9260" s="27" t="s">
        <v>6</v>
      </c>
      <c r="E9260" s="27" t="s">
        <v>13</v>
      </c>
      <c r="F9260" s="29"/>
      <c r="G9260" s="30">
        <v>444.8</v>
      </c>
    </row>
    <row r="9261" spans="1:7" hidden="1" x14ac:dyDescent="0.25">
      <c r="A9261" s="28">
        <v>44317</v>
      </c>
      <c r="B9261" s="27" t="s">
        <v>34</v>
      </c>
      <c r="C9261" s="27" t="s">
        <v>50</v>
      </c>
      <c r="D9261" s="27" t="s">
        <v>6</v>
      </c>
      <c r="E9261" s="27" t="s">
        <v>14</v>
      </c>
      <c r="F9261" s="29"/>
      <c r="G9261" s="30">
        <v>153.91999999999999</v>
      </c>
    </row>
    <row r="9262" spans="1:7" hidden="1" x14ac:dyDescent="0.25">
      <c r="A9262" s="28">
        <v>44317</v>
      </c>
      <c r="B9262" s="27" t="s">
        <v>34</v>
      </c>
      <c r="C9262" s="27" t="s">
        <v>50</v>
      </c>
      <c r="D9262" s="27" t="s">
        <v>6</v>
      </c>
      <c r="E9262" s="27" t="s">
        <v>15</v>
      </c>
      <c r="F9262" s="29"/>
      <c r="G9262" s="30">
        <v>377.23</v>
      </c>
    </row>
    <row r="9263" spans="1:7" hidden="1" x14ac:dyDescent="0.25">
      <c r="A9263" s="28">
        <v>44317</v>
      </c>
      <c r="B9263" s="27" t="s">
        <v>34</v>
      </c>
      <c r="C9263" s="27" t="s">
        <v>50</v>
      </c>
      <c r="D9263" s="27" t="s">
        <v>6</v>
      </c>
      <c r="E9263" s="27" t="s">
        <v>16</v>
      </c>
      <c r="F9263" s="29"/>
      <c r="G9263" s="30">
        <v>455.42</v>
      </c>
    </row>
    <row r="9264" spans="1:7" hidden="1" x14ac:dyDescent="0.25">
      <c r="A9264" s="28">
        <v>44317</v>
      </c>
      <c r="B9264" s="27" t="s">
        <v>34</v>
      </c>
      <c r="C9264" s="27" t="s">
        <v>50</v>
      </c>
      <c r="D9264" s="27" t="s">
        <v>6</v>
      </c>
      <c r="E9264" s="27" t="s">
        <v>17</v>
      </c>
      <c r="F9264" s="29"/>
      <c r="G9264" s="30">
        <v>825.43</v>
      </c>
    </row>
    <row r="9265" spans="1:7" hidden="1" x14ac:dyDescent="0.25">
      <c r="A9265" s="28">
        <v>44317</v>
      </c>
      <c r="B9265" s="27" t="s">
        <v>34</v>
      </c>
      <c r="C9265" s="27" t="s">
        <v>50</v>
      </c>
      <c r="D9265" s="27" t="s">
        <v>6</v>
      </c>
      <c r="E9265" s="27" t="s">
        <v>18</v>
      </c>
      <c r="F9265" s="29"/>
      <c r="G9265" s="30">
        <v>361.39</v>
      </c>
    </row>
    <row r="9266" spans="1:7" hidden="1" x14ac:dyDescent="0.25">
      <c r="A9266" s="28">
        <v>44317</v>
      </c>
      <c r="B9266" s="27" t="s">
        <v>34</v>
      </c>
      <c r="C9266" s="27" t="s">
        <v>50</v>
      </c>
      <c r="D9266" s="27" t="s">
        <v>6</v>
      </c>
      <c r="E9266" s="27" t="s">
        <v>19</v>
      </c>
      <c r="F9266" s="29"/>
      <c r="G9266" s="30">
        <v>492.72</v>
      </c>
    </row>
    <row r="9267" spans="1:7" hidden="1" x14ac:dyDescent="0.25">
      <c r="A9267" s="28">
        <v>44317</v>
      </c>
      <c r="B9267" s="27" t="s">
        <v>34</v>
      </c>
      <c r="C9267" s="27" t="s">
        <v>50</v>
      </c>
      <c r="D9267" s="27" t="s">
        <v>6</v>
      </c>
      <c r="E9267" s="27" t="s">
        <v>20</v>
      </c>
      <c r="F9267" s="29"/>
      <c r="G9267" s="30">
        <v>371.7</v>
      </c>
    </row>
    <row r="9268" spans="1:7" hidden="1" x14ac:dyDescent="0.25">
      <c r="A9268" s="28">
        <v>44317</v>
      </c>
      <c r="B9268" s="27" t="s">
        <v>34</v>
      </c>
      <c r="C9268" s="27" t="s">
        <v>50</v>
      </c>
      <c r="D9268" s="27" t="s">
        <v>6</v>
      </c>
      <c r="E9268" s="27" t="s">
        <v>38</v>
      </c>
      <c r="F9268" s="29"/>
      <c r="G9268" s="30">
        <v>182.93</v>
      </c>
    </row>
    <row r="9269" spans="1:7" hidden="1" x14ac:dyDescent="0.25">
      <c r="A9269" s="28">
        <v>44317</v>
      </c>
      <c r="B9269" s="27" t="s">
        <v>34</v>
      </c>
      <c r="C9269" s="27" t="s">
        <v>50</v>
      </c>
      <c r="D9269" s="27" t="s">
        <v>6</v>
      </c>
      <c r="E9269" s="27" t="s">
        <v>23</v>
      </c>
      <c r="F9269" s="29"/>
      <c r="G9269" s="30">
        <v>571.6</v>
      </c>
    </row>
    <row r="9270" spans="1:7" hidden="1" x14ac:dyDescent="0.25">
      <c r="A9270" s="28">
        <v>44317</v>
      </c>
      <c r="B9270" s="27" t="s">
        <v>34</v>
      </c>
      <c r="C9270" s="27" t="s">
        <v>50</v>
      </c>
      <c r="D9270" s="27" t="s">
        <v>6</v>
      </c>
      <c r="E9270" s="27" t="s">
        <v>40</v>
      </c>
      <c r="F9270" s="29"/>
      <c r="G9270" s="30">
        <v>169.73</v>
      </c>
    </row>
    <row r="9271" spans="1:7" hidden="1" x14ac:dyDescent="0.25">
      <c r="A9271" s="28">
        <v>44348</v>
      </c>
      <c r="B9271" s="27" t="s">
        <v>33</v>
      </c>
      <c r="C9271" s="27" t="s">
        <v>50</v>
      </c>
      <c r="D9271" s="27" t="s">
        <v>7</v>
      </c>
      <c r="E9271" s="27" t="s">
        <v>8</v>
      </c>
      <c r="F9271" s="29"/>
      <c r="G9271" s="30">
        <v>2477.9033333333332</v>
      </c>
    </row>
    <row r="9272" spans="1:7" hidden="1" x14ac:dyDescent="0.25">
      <c r="A9272" s="28">
        <v>44348</v>
      </c>
      <c r="B9272" s="27" t="s">
        <v>33</v>
      </c>
      <c r="C9272" s="27" t="s">
        <v>50</v>
      </c>
      <c r="D9272" s="27" t="s">
        <v>7</v>
      </c>
      <c r="E9272" s="27" t="s">
        <v>9</v>
      </c>
      <c r="F9272" s="29"/>
      <c r="G9272" s="30">
        <v>2477.9033333333332</v>
      </c>
    </row>
    <row r="9273" spans="1:7" hidden="1" x14ac:dyDescent="0.25">
      <c r="A9273" s="28">
        <v>44348</v>
      </c>
      <c r="B9273" s="27" t="s">
        <v>33</v>
      </c>
      <c r="C9273" s="27" t="s">
        <v>50</v>
      </c>
      <c r="D9273" s="27" t="s">
        <v>7</v>
      </c>
      <c r="E9273" s="27" t="s">
        <v>22</v>
      </c>
      <c r="F9273" s="29"/>
      <c r="G9273" s="30">
        <v>2477.9033333333332</v>
      </c>
    </row>
    <row r="9274" spans="1:7" hidden="1" x14ac:dyDescent="0.25">
      <c r="A9274" s="28">
        <v>44348</v>
      </c>
      <c r="B9274" s="27" t="s">
        <v>33</v>
      </c>
      <c r="C9274" s="27" t="s">
        <v>50</v>
      </c>
      <c r="D9274" s="27" t="s">
        <v>7</v>
      </c>
      <c r="E9274" s="27" t="s">
        <v>39</v>
      </c>
      <c r="F9274" s="29"/>
      <c r="G9274" s="30">
        <v>2477.9033333333332</v>
      </c>
    </row>
    <row r="9275" spans="1:7" hidden="1" x14ac:dyDescent="0.25">
      <c r="A9275" s="28">
        <v>44348</v>
      </c>
      <c r="B9275" s="27" t="s">
        <v>33</v>
      </c>
      <c r="C9275" s="27" t="s">
        <v>50</v>
      </c>
      <c r="D9275" s="27" t="s">
        <v>7</v>
      </c>
      <c r="E9275" s="27" t="s">
        <v>64</v>
      </c>
      <c r="F9275" s="29"/>
      <c r="G9275" s="30">
        <v>2477.9033333333332</v>
      </c>
    </row>
    <row r="9276" spans="1:7" hidden="1" x14ac:dyDescent="0.25">
      <c r="A9276" s="28">
        <v>44348</v>
      </c>
      <c r="B9276" s="27" t="s">
        <v>33</v>
      </c>
      <c r="C9276" s="27" t="s">
        <v>50</v>
      </c>
      <c r="D9276" s="27" t="s">
        <v>7</v>
      </c>
      <c r="E9276" s="27" t="s">
        <v>21</v>
      </c>
      <c r="F9276" s="29"/>
      <c r="G9276" s="30">
        <v>2477.9033333333332</v>
      </c>
    </row>
    <row r="9277" spans="1:7" hidden="1" x14ac:dyDescent="0.25">
      <c r="A9277" s="28">
        <v>44348</v>
      </c>
      <c r="B9277" s="27" t="s">
        <v>33</v>
      </c>
      <c r="C9277" s="27" t="s">
        <v>50</v>
      </c>
      <c r="D9277" s="27" t="s">
        <v>7</v>
      </c>
      <c r="E9277" s="27" t="s">
        <v>41</v>
      </c>
      <c r="F9277" s="29"/>
      <c r="G9277" s="30">
        <v>2477.9033333333332</v>
      </c>
    </row>
    <row r="9278" spans="1:7" hidden="1" x14ac:dyDescent="0.25">
      <c r="A9278" s="28">
        <v>44348</v>
      </c>
      <c r="B9278" s="27" t="s">
        <v>33</v>
      </c>
      <c r="C9278" s="27" t="s">
        <v>50</v>
      </c>
      <c r="D9278" s="27" t="s">
        <v>7</v>
      </c>
      <c r="E9278" s="27" t="s">
        <v>10</v>
      </c>
      <c r="F9278" s="29"/>
      <c r="G9278" s="30">
        <v>2477.9033333333332</v>
      </c>
    </row>
    <row r="9279" spans="1:7" hidden="1" x14ac:dyDescent="0.25">
      <c r="A9279" s="28">
        <v>44348</v>
      </c>
      <c r="B9279" s="27" t="s">
        <v>33</v>
      </c>
      <c r="C9279" s="27" t="s">
        <v>50</v>
      </c>
      <c r="D9279" s="27" t="s">
        <v>7</v>
      </c>
      <c r="E9279" s="27" t="s">
        <v>11</v>
      </c>
      <c r="F9279" s="29"/>
      <c r="G9279" s="30">
        <v>2477.9033333333332</v>
      </c>
    </row>
    <row r="9280" spans="1:7" hidden="1" x14ac:dyDescent="0.25">
      <c r="A9280" s="28">
        <v>44348</v>
      </c>
      <c r="B9280" s="27" t="s">
        <v>33</v>
      </c>
      <c r="C9280" s="27" t="s">
        <v>50</v>
      </c>
      <c r="D9280" s="27" t="s">
        <v>7</v>
      </c>
      <c r="E9280" s="27" t="s">
        <v>12</v>
      </c>
      <c r="F9280" s="29"/>
      <c r="G9280" s="30">
        <v>2477.9033333333332</v>
      </c>
    </row>
    <row r="9281" spans="1:7" hidden="1" x14ac:dyDescent="0.25">
      <c r="A9281" s="28">
        <v>44348</v>
      </c>
      <c r="B9281" s="27" t="s">
        <v>33</v>
      </c>
      <c r="C9281" s="27" t="s">
        <v>50</v>
      </c>
      <c r="D9281" s="27" t="s">
        <v>7</v>
      </c>
      <c r="E9281" s="27" t="s">
        <v>13</v>
      </c>
      <c r="F9281" s="29"/>
      <c r="G9281" s="30">
        <v>2477.9033333333332</v>
      </c>
    </row>
    <row r="9282" spans="1:7" hidden="1" x14ac:dyDescent="0.25">
      <c r="A9282" s="28">
        <v>44348</v>
      </c>
      <c r="B9282" s="27" t="s">
        <v>33</v>
      </c>
      <c r="C9282" s="27" t="s">
        <v>50</v>
      </c>
      <c r="D9282" s="27" t="s">
        <v>7</v>
      </c>
      <c r="E9282" s="27" t="s">
        <v>14</v>
      </c>
      <c r="F9282" s="29"/>
      <c r="G9282" s="30">
        <v>2477.9033333333332</v>
      </c>
    </row>
    <row r="9283" spans="1:7" hidden="1" x14ac:dyDescent="0.25">
      <c r="A9283" s="28">
        <v>44348</v>
      </c>
      <c r="B9283" s="27" t="s">
        <v>33</v>
      </c>
      <c r="C9283" s="27" t="s">
        <v>50</v>
      </c>
      <c r="D9283" s="27" t="s">
        <v>7</v>
      </c>
      <c r="E9283" s="27" t="s">
        <v>15</v>
      </c>
      <c r="F9283" s="29"/>
      <c r="G9283" s="30">
        <v>2477.9033333333332</v>
      </c>
    </row>
    <row r="9284" spans="1:7" hidden="1" x14ac:dyDescent="0.25">
      <c r="A9284" s="28">
        <v>44348</v>
      </c>
      <c r="B9284" s="27" t="s">
        <v>33</v>
      </c>
      <c r="C9284" s="27" t="s">
        <v>50</v>
      </c>
      <c r="D9284" s="27" t="s">
        <v>7</v>
      </c>
      <c r="E9284" s="27" t="s">
        <v>16</v>
      </c>
      <c r="F9284" s="29"/>
      <c r="G9284" s="30">
        <v>2477.9033333333332</v>
      </c>
    </row>
    <row r="9285" spans="1:7" hidden="1" x14ac:dyDescent="0.25">
      <c r="A9285" s="28">
        <v>44348</v>
      </c>
      <c r="B9285" s="27" t="s">
        <v>33</v>
      </c>
      <c r="C9285" s="27" t="s">
        <v>50</v>
      </c>
      <c r="D9285" s="27" t="s">
        <v>7</v>
      </c>
      <c r="E9285" s="27" t="s">
        <v>17</v>
      </c>
      <c r="F9285" s="29"/>
      <c r="G9285" s="30">
        <v>2477.9033333333332</v>
      </c>
    </row>
    <row r="9286" spans="1:7" hidden="1" x14ac:dyDescent="0.25">
      <c r="A9286" s="28">
        <v>44348</v>
      </c>
      <c r="B9286" s="27" t="s">
        <v>33</v>
      </c>
      <c r="C9286" s="27" t="s">
        <v>50</v>
      </c>
      <c r="D9286" s="27" t="s">
        <v>7</v>
      </c>
      <c r="E9286" s="27" t="s">
        <v>18</v>
      </c>
      <c r="F9286" s="29"/>
      <c r="G9286" s="30">
        <v>2477.9033333333332</v>
      </c>
    </row>
    <row r="9287" spans="1:7" hidden="1" x14ac:dyDescent="0.25">
      <c r="A9287" s="28">
        <v>44348</v>
      </c>
      <c r="B9287" s="27" t="s">
        <v>33</v>
      </c>
      <c r="C9287" s="27" t="s">
        <v>50</v>
      </c>
      <c r="D9287" s="27" t="s">
        <v>7</v>
      </c>
      <c r="E9287" s="27" t="s">
        <v>19</v>
      </c>
      <c r="F9287" s="29"/>
      <c r="G9287" s="30">
        <v>2477.9033333333332</v>
      </c>
    </row>
    <row r="9288" spans="1:7" hidden="1" x14ac:dyDescent="0.25">
      <c r="A9288" s="28">
        <v>44348</v>
      </c>
      <c r="B9288" s="27" t="s">
        <v>33</v>
      </c>
      <c r="C9288" s="27" t="s">
        <v>50</v>
      </c>
      <c r="D9288" s="27" t="s">
        <v>7</v>
      </c>
      <c r="E9288" s="27" t="s">
        <v>20</v>
      </c>
      <c r="F9288" s="29"/>
      <c r="G9288" s="30">
        <v>2477.9033333333332</v>
      </c>
    </row>
    <row r="9289" spans="1:7" hidden="1" x14ac:dyDescent="0.25">
      <c r="A9289" s="28">
        <v>44348</v>
      </c>
      <c r="B9289" s="27" t="s">
        <v>33</v>
      </c>
      <c r="C9289" s="27" t="s">
        <v>50</v>
      </c>
      <c r="D9289" s="27" t="s">
        <v>7</v>
      </c>
      <c r="E9289" s="27" t="s">
        <v>38</v>
      </c>
      <c r="F9289" s="29"/>
      <c r="G9289" s="30">
        <v>2477.9033333333332</v>
      </c>
    </row>
    <row r="9290" spans="1:7" hidden="1" x14ac:dyDescent="0.25">
      <c r="A9290" s="28">
        <v>44348</v>
      </c>
      <c r="B9290" s="27" t="s">
        <v>33</v>
      </c>
      <c r="C9290" s="27" t="s">
        <v>50</v>
      </c>
      <c r="D9290" s="27" t="s">
        <v>7</v>
      </c>
      <c r="E9290" s="27" t="s">
        <v>23</v>
      </c>
      <c r="F9290" s="29"/>
      <c r="G9290" s="30">
        <v>2477.9033333333332</v>
      </c>
    </row>
    <row r="9291" spans="1:7" hidden="1" x14ac:dyDescent="0.25">
      <c r="A9291" s="28">
        <v>44348</v>
      </c>
      <c r="B9291" s="27" t="s">
        <v>33</v>
      </c>
      <c r="C9291" s="27" t="s">
        <v>50</v>
      </c>
      <c r="D9291" s="27" t="s">
        <v>7</v>
      </c>
      <c r="E9291" s="27" t="s">
        <v>40</v>
      </c>
      <c r="F9291" s="29"/>
      <c r="G9291" s="30">
        <v>2477.9033333333332</v>
      </c>
    </row>
    <row r="9292" spans="1:7" hidden="1" x14ac:dyDescent="0.25">
      <c r="A9292" s="28">
        <v>44348</v>
      </c>
      <c r="B9292" s="27" t="s">
        <v>4</v>
      </c>
      <c r="C9292" s="27" t="s">
        <v>50</v>
      </c>
      <c r="D9292" s="27" t="s">
        <v>7</v>
      </c>
      <c r="E9292" s="27" t="s">
        <v>8</v>
      </c>
      <c r="F9292" s="29"/>
      <c r="G9292" s="30">
        <v>4869.91</v>
      </c>
    </row>
    <row r="9293" spans="1:7" hidden="1" x14ac:dyDescent="0.25">
      <c r="A9293" s="28">
        <v>44348</v>
      </c>
      <c r="B9293" s="27" t="s">
        <v>4</v>
      </c>
      <c r="C9293" s="27" t="s">
        <v>50</v>
      </c>
      <c r="D9293" s="27" t="s">
        <v>7</v>
      </c>
      <c r="E9293" s="27" t="s">
        <v>9</v>
      </c>
      <c r="F9293" s="29"/>
      <c r="G9293" s="30">
        <v>2751.39</v>
      </c>
    </row>
    <row r="9294" spans="1:7" hidden="1" x14ac:dyDescent="0.25">
      <c r="A9294" s="28">
        <v>44348</v>
      </c>
      <c r="B9294" s="27" t="s">
        <v>4</v>
      </c>
      <c r="C9294" s="27" t="s">
        <v>50</v>
      </c>
      <c r="D9294" s="27" t="s">
        <v>7</v>
      </c>
      <c r="E9294" s="27" t="s">
        <v>22</v>
      </c>
      <c r="F9294" s="29"/>
      <c r="G9294" s="30">
        <v>4129.84</v>
      </c>
    </row>
    <row r="9295" spans="1:7" hidden="1" x14ac:dyDescent="0.25">
      <c r="A9295" s="28">
        <v>44348</v>
      </c>
      <c r="B9295" s="27" t="s">
        <v>4</v>
      </c>
      <c r="C9295" s="27" t="s">
        <v>50</v>
      </c>
      <c r="D9295" s="27" t="s">
        <v>7</v>
      </c>
      <c r="E9295" s="27" t="s">
        <v>39</v>
      </c>
      <c r="F9295" s="29"/>
      <c r="G9295" s="30">
        <v>3577.5</v>
      </c>
    </row>
    <row r="9296" spans="1:7" hidden="1" x14ac:dyDescent="0.25">
      <c r="A9296" s="28">
        <v>44348</v>
      </c>
      <c r="B9296" s="27" t="s">
        <v>4</v>
      </c>
      <c r="C9296" s="27" t="s">
        <v>50</v>
      </c>
      <c r="D9296" s="27" t="s">
        <v>7</v>
      </c>
      <c r="E9296" s="27" t="s">
        <v>64</v>
      </c>
      <c r="F9296" s="29"/>
      <c r="G9296" s="30">
        <v>1435.5</v>
      </c>
    </row>
    <row r="9297" spans="1:7" hidden="1" x14ac:dyDescent="0.25">
      <c r="A9297" s="28">
        <v>44348</v>
      </c>
      <c r="B9297" s="27" t="s">
        <v>4</v>
      </c>
      <c r="C9297" s="27" t="s">
        <v>50</v>
      </c>
      <c r="D9297" s="27" t="s">
        <v>7</v>
      </c>
      <c r="E9297" s="27" t="s">
        <v>21</v>
      </c>
      <c r="F9297" s="29"/>
      <c r="G9297" s="30">
        <v>6082.76</v>
      </c>
    </row>
    <row r="9298" spans="1:7" hidden="1" x14ac:dyDescent="0.25">
      <c r="A9298" s="28">
        <v>44348</v>
      </c>
      <c r="B9298" s="27" t="s">
        <v>4</v>
      </c>
      <c r="C9298" s="27" t="s">
        <v>50</v>
      </c>
      <c r="D9298" s="27" t="s">
        <v>7</v>
      </c>
      <c r="E9298" s="27" t="s">
        <v>41</v>
      </c>
      <c r="F9298" s="29"/>
      <c r="G9298" s="30">
        <v>5534.2</v>
      </c>
    </row>
    <row r="9299" spans="1:7" hidden="1" x14ac:dyDescent="0.25">
      <c r="A9299" s="28">
        <v>44348</v>
      </c>
      <c r="B9299" s="27" t="s">
        <v>4</v>
      </c>
      <c r="C9299" s="27" t="s">
        <v>50</v>
      </c>
      <c r="D9299" s="27" t="s">
        <v>7</v>
      </c>
      <c r="E9299" s="27" t="s">
        <v>10</v>
      </c>
      <c r="F9299" s="29"/>
      <c r="G9299" s="30">
        <v>5320.43</v>
      </c>
    </row>
    <row r="9300" spans="1:7" hidden="1" x14ac:dyDescent="0.25">
      <c r="A9300" s="28">
        <v>44348</v>
      </c>
      <c r="B9300" s="27" t="s">
        <v>4</v>
      </c>
      <c r="C9300" s="27" t="s">
        <v>50</v>
      </c>
      <c r="D9300" s="27" t="s">
        <v>7</v>
      </c>
      <c r="E9300" s="27" t="s">
        <v>11</v>
      </c>
      <c r="F9300" s="29"/>
      <c r="G9300" s="30">
        <v>7368.34</v>
      </c>
    </row>
    <row r="9301" spans="1:7" hidden="1" x14ac:dyDescent="0.25">
      <c r="A9301" s="28">
        <v>44348</v>
      </c>
      <c r="B9301" s="27" t="s">
        <v>4</v>
      </c>
      <c r="C9301" s="27" t="s">
        <v>50</v>
      </c>
      <c r="D9301" s="27" t="s">
        <v>7</v>
      </c>
      <c r="E9301" s="27" t="s">
        <v>12</v>
      </c>
      <c r="F9301" s="29"/>
      <c r="G9301" s="30">
        <v>1501.11</v>
      </c>
    </row>
    <row r="9302" spans="1:7" hidden="1" x14ac:dyDescent="0.25">
      <c r="A9302" s="28">
        <v>44348</v>
      </c>
      <c r="B9302" s="27" t="s">
        <v>4</v>
      </c>
      <c r="C9302" s="27" t="s">
        <v>50</v>
      </c>
      <c r="D9302" s="27" t="s">
        <v>7</v>
      </c>
      <c r="E9302" s="27" t="s">
        <v>14</v>
      </c>
      <c r="F9302" s="29"/>
      <c r="G9302" s="30">
        <v>1763.11</v>
      </c>
    </row>
    <row r="9303" spans="1:7" hidden="1" x14ac:dyDescent="0.25">
      <c r="A9303" s="28">
        <v>44348</v>
      </c>
      <c r="B9303" s="27" t="s">
        <v>4</v>
      </c>
      <c r="C9303" s="27" t="s">
        <v>50</v>
      </c>
      <c r="D9303" s="27" t="s">
        <v>7</v>
      </c>
      <c r="E9303" s="27" t="s">
        <v>15</v>
      </c>
      <c r="F9303" s="29"/>
      <c r="G9303" s="30">
        <v>4866.0600000000004</v>
      </c>
    </row>
    <row r="9304" spans="1:7" hidden="1" x14ac:dyDescent="0.25">
      <c r="A9304" s="28">
        <v>44348</v>
      </c>
      <c r="B9304" s="27" t="s">
        <v>4</v>
      </c>
      <c r="C9304" s="27" t="s">
        <v>50</v>
      </c>
      <c r="D9304" s="27" t="s">
        <v>7</v>
      </c>
      <c r="E9304" s="27" t="s">
        <v>16</v>
      </c>
      <c r="F9304" s="29"/>
      <c r="G9304" s="30">
        <v>3058.1</v>
      </c>
    </row>
    <row r="9305" spans="1:7" hidden="1" x14ac:dyDescent="0.25">
      <c r="A9305" s="28">
        <v>44348</v>
      </c>
      <c r="B9305" s="27" t="s">
        <v>4</v>
      </c>
      <c r="C9305" s="27" t="s">
        <v>50</v>
      </c>
      <c r="D9305" s="27" t="s">
        <v>7</v>
      </c>
      <c r="E9305" s="27" t="s">
        <v>17</v>
      </c>
      <c r="F9305" s="29"/>
      <c r="G9305" s="30">
        <v>5601.4</v>
      </c>
    </row>
    <row r="9306" spans="1:7" hidden="1" x14ac:dyDescent="0.25">
      <c r="A9306" s="28">
        <v>44348</v>
      </c>
      <c r="B9306" s="27" t="s">
        <v>4</v>
      </c>
      <c r="C9306" s="27" t="s">
        <v>50</v>
      </c>
      <c r="D9306" s="27" t="s">
        <v>7</v>
      </c>
      <c r="E9306" s="27" t="s">
        <v>18</v>
      </c>
      <c r="F9306" s="29"/>
      <c r="G9306" s="30">
        <v>3630.37</v>
      </c>
    </row>
    <row r="9307" spans="1:7" hidden="1" x14ac:dyDescent="0.25">
      <c r="A9307" s="28">
        <v>44348</v>
      </c>
      <c r="B9307" s="27" t="s">
        <v>4</v>
      </c>
      <c r="C9307" s="27" t="s">
        <v>50</v>
      </c>
      <c r="D9307" s="27" t="s">
        <v>7</v>
      </c>
      <c r="E9307" s="27" t="s">
        <v>19</v>
      </c>
      <c r="F9307" s="29"/>
      <c r="G9307" s="30">
        <v>6830.14</v>
      </c>
    </row>
    <row r="9308" spans="1:7" hidden="1" x14ac:dyDescent="0.25">
      <c r="A9308" s="28">
        <v>44348</v>
      </c>
      <c r="B9308" s="27" t="s">
        <v>4</v>
      </c>
      <c r="C9308" s="27" t="s">
        <v>50</v>
      </c>
      <c r="D9308" s="27" t="s">
        <v>7</v>
      </c>
      <c r="E9308" s="27" t="s">
        <v>20</v>
      </c>
      <c r="F9308" s="29"/>
      <c r="G9308" s="30">
        <v>4783.05</v>
      </c>
    </row>
    <row r="9309" spans="1:7" hidden="1" x14ac:dyDescent="0.25">
      <c r="A9309" s="28">
        <v>44348</v>
      </c>
      <c r="B9309" s="27" t="s">
        <v>4</v>
      </c>
      <c r="C9309" s="27" t="s">
        <v>50</v>
      </c>
      <c r="D9309" s="27" t="s">
        <v>7</v>
      </c>
      <c r="E9309" s="27" t="s">
        <v>38</v>
      </c>
      <c r="F9309" s="29"/>
      <c r="G9309" s="30">
        <v>1143.5</v>
      </c>
    </row>
    <row r="9310" spans="1:7" hidden="1" x14ac:dyDescent="0.25">
      <c r="A9310" s="28">
        <v>44348</v>
      </c>
      <c r="B9310" s="27" t="s">
        <v>4</v>
      </c>
      <c r="C9310" s="27" t="s">
        <v>50</v>
      </c>
      <c r="D9310" s="27" t="s">
        <v>7</v>
      </c>
      <c r="E9310" s="27" t="s">
        <v>23</v>
      </c>
      <c r="F9310" s="29"/>
      <c r="G9310" s="30">
        <v>7162.26</v>
      </c>
    </row>
    <row r="9311" spans="1:7" hidden="1" x14ac:dyDescent="0.25">
      <c r="A9311" s="28">
        <v>44348</v>
      </c>
      <c r="B9311" s="27" t="s">
        <v>4</v>
      </c>
      <c r="C9311" s="27" t="s">
        <v>50</v>
      </c>
      <c r="D9311" s="27" t="s">
        <v>7</v>
      </c>
      <c r="E9311" s="27" t="s">
        <v>40</v>
      </c>
      <c r="F9311" s="29"/>
      <c r="G9311" s="30">
        <v>3496.71</v>
      </c>
    </row>
    <row r="9312" spans="1:7" hidden="1" x14ac:dyDescent="0.25">
      <c r="A9312" s="28">
        <v>44348</v>
      </c>
      <c r="B9312" s="27" t="s">
        <v>26</v>
      </c>
      <c r="C9312" s="27" t="s">
        <v>50</v>
      </c>
      <c r="D9312" s="27" t="s">
        <v>6</v>
      </c>
      <c r="E9312" s="27" t="s">
        <v>8</v>
      </c>
      <c r="F9312" s="29"/>
      <c r="G9312" s="30">
        <v>719.18234681218985</v>
      </c>
    </row>
    <row r="9313" spans="1:7" hidden="1" x14ac:dyDescent="0.25">
      <c r="A9313" s="28">
        <v>44348</v>
      </c>
      <c r="B9313" s="27" t="s">
        <v>26</v>
      </c>
      <c r="C9313" s="27" t="s">
        <v>50</v>
      </c>
      <c r="D9313" s="27" t="s">
        <v>6</v>
      </c>
      <c r="E9313" s="27" t="s">
        <v>9</v>
      </c>
      <c r="F9313" s="29"/>
      <c r="G9313" s="30">
        <v>1595.1320615825009</v>
      </c>
    </row>
    <row r="9314" spans="1:7" hidden="1" x14ac:dyDescent="0.25">
      <c r="A9314" s="28">
        <v>44348</v>
      </c>
      <c r="B9314" s="27" t="s">
        <v>26</v>
      </c>
      <c r="C9314" s="27" t="s">
        <v>50</v>
      </c>
      <c r="D9314" s="27" t="s">
        <v>6</v>
      </c>
      <c r="E9314" s="27" t="s">
        <v>22</v>
      </c>
      <c r="F9314" s="29"/>
      <c r="G9314" s="30">
        <v>2121.8036778000037</v>
      </c>
    </row>
    <row r="9315" spans="1:7" hidden="1" x14ac:dyDescent="0.25">
      <c r="A9315" s="28">
        <v>44348</v>
      </c>
      <c r="B9315" s="27" t="s">
        <v>26</v>
      </c>
      <c r="C9315" s="27" t="s">
        <v>50</v>
      </c>
      <c r="D9315" s="27" t="s">
        <v>6</v>
      </c>
      <c r="E9315" s="27" t="s">
        <v>39</v>
      </c>
      <c r="F9315" s="29"/>
      <c r="G9315" s="30">
        <v>1858.2521149872089</v>
      </c>
    </row>
    <row r="9316" spans="1:7" hidden="1" x14ac:dyDescent="0.25">
      <c r="A9316" s="28">
        <v>44348</v>
      </c>
      <c r="B9316" s="27" t="s">
        <v>26</v>
      </c>
      <c r="C9316" s="27" t="s">
        <v>50</v>
      </c>
      <c r="D9316" s="27" t="s">
        <v>6</v>
      </c>
      <c r="E9316" s="27" t="s">
        <v>64</v>
      </c>
      <c r="F9316" s="29"/>
      <c r="G9316" s="30">
        <v>1276.3329108875935</v>
      </c>
    </row>
    <row r="9317" spans="1:7" hidden="1" x14ac:dyDescent="0.25">
      <c r="A9317" s="28">
        <v>44348</v>
      </c>
      <c r="B9317" s="27" t="s">
        <v>26</v>
      </c>
      <c r="C9317" s="27" t="s">
        <v>50</v>
      </c>
      <c r="D9317" s="27" t="s">
        <v>6</v>
      </c>
      <c r="E9317" s="27" t="s">
        <v>21</v>
      </c>
      <c r="F9317" s="29"/>
      <c r="G9317" s="30">
        <v>1372.0704648952321</v>
      </c>
    </row>
    <row r="9318" spans="1:7" hidden="1" x14ac:dyDescent="0.25">
      <c r="A9318" s="28">
        <v>44348</v>
      </c>
      <c r="B9318" s="27" t="s">
        <v>26</v>
      </c>
      <c r="C9318" s="27" t="s">
        <v>50</v>
      </c>
      <c r="D9318" s="27" t="s">
        <v>6</v>
      </c>
      <c r="E9318" s="27" t="s">
        <v>41</v>
      </c>
      <c r="F9318" s="29"/>
      <c r="G9318" s="30">
        <v>1581.4819806400055</v>
      </c>
    </row>
    <row r="9319" spans="1:7" hidden="1" x14ac:dyDescent="0.25">
      <c r="A9319" s="28">
        <v>44348</v>
      </c>
      <c r="B9319" s="27" t="s">
        <v>26</v>
      </c>
      <c r="C9319" s="27" t="s">
        <v>50</v>
      </c>
      <c r="D9319" s="27" t="s">
        <v>6</v>
      </c>
      <c r="E9319" s="27" t="s">
        <v>10</v>
      </c>
      <c r="F9319" s="29"/>
      <c r="G9319" s="30">
        <v>2188.8314725228997</v>
      </c>
    </row>
    <row r="9320" spans="1:7" hidden="1" x14ac:dyDescent="0.25">
      <c r="A9320" s="28">
        <v>44348</v>
      </c>
      <c r="B9320" s="27" t="s">
        <v>26</v>
      </c>
      <c r="C9320" s="27" t="s">
        <v>50</v>
      </c>
      <c r="D9320" s="27" t="s">
        <v>6</v>
      </c>
      <c r="E9320" s="27" t="s">
        <v>11</v>
      </c>
      <c r="F9320" s="29"/>
      <c r="G9320" s="30">
        <v>1627.7110218930932</v>
      </c>
    </row>
    <row r="9321" spans="1:7" hidden="1" x14ac:dyDescent="0.25">
      <c r="A9321" s="28">
        <v>44348</v>
      </c>
      <c r="B9321" s="27" t="s">
        <v>26</v>
      </c>
      <c r="C9321" s="27" t="s">
        <v>50</v>
      </c>
      <c r="D9321" s="27" t="s">
        <v>6</v>
      </c>
      <c r="E9321" s="27" t="s">
        <v>12</v>
      </c>
      <c r="F9321" s="29"/>
      <c r="G9321" s="30">
        <v>1714.4875638594519</v>
      </c>
    </row>
    <row r="9322" spans="1:7" hidden="1" x14ac:dyDescent="0.25">
      <c r="A9322" s="28">
        <v>44348</v>
      </c>
      <c r="B9322" s="27" t="s">
        <v>26</v>
      </c>
      <c r="C9322" s="27" t="s">
        <v>50</v>
      </c>
      <c r="D9322" s="27" t="s">
        <v>6</v>
      </c>
      <c r="E9322" s="27" t="s">
        <v>13</v>
      </c>
      <c r="F9322" s="29"/>
      <c r="G9322" s="30">
        <v>1743.4562287890469</v>
      </c>
    </row>
    <row r="9323" spans="1:7" hidden="1" x14ac:dyDescent="0.25">
      <c r="A9323" s="28">
        <v>44348</v>
      </c>
      <c r="B9323" s="27" t="s">
        <v>26</v>
      </c>
      <c r="C9323" s="27" t="s">
        <v>50</v>
      </c>
      <c r="D9323" s="27" t="s">
        <v>6</v>
      </c>
      <c r="E9323" s="27" t="s">
        <v>14</v>
      </c>
      <c r="F9323" s="29"/>
      <c r="G9323" s="30">
        <v>561.68141286032039</v>
      </c>
    </row>
    <row r="9324" spans="1:7" hidden="1" x14ac:dyDescent="0.25">
      <c r="A9324" s="28">
        <v>44348</v>
      </c>
      <c r="B9324" s="27" t="s">
        <v>26</v>
      </c>
      <c r="C9324" s="27" t="s">
        <v>50</v>
      </c>
      <c r="D9324" s="27" t="s">
        <v>6</v>
      </c>
      <c r="E9324" s="27" t="s">
        <v>15</v>
      </c>
      <c r="F9324" s="29"/>
      <c r="G9324" s="30">
        <v>1903.4886846016955</v>
      </c>
    </row>
    <row r="9325" spans="1:7" hidden="1" x14ac:dyDescent="0.25">
      <c r="A9325" s="28">
        <v>44348</v>
      </c>
      <c r="B9325" s="27" t="s">
        <v>26</v>
      </c>
      <c r="C9325" s="27" t="s">
        <v>50</v>
      </c>
      <c r="D9325" s="27" t="s">
        <v>6</v>
      </c>
      <c r="E9325" s="27" t="s">
        <v>16</v>
      </c>
      <c r="F9325" s="29"/>
      <c r="G9325" s="30">
        <v>2154.0949651718715</v>
      </c>
    </row>
    <row r="9326" spans="1:7" hidden="1" x14ac:dyDescent="0.25">
      <c r="A9326" s="28">
        <v>44348</v>
      </c>
      <c r="B9326" s="27" t="s">
        <v>26</v>
      </c>
      <c r="C9326" s="27" t="s">
        <v>50</v>
      </c>
      <c r="D9326" s="27" t="s">
        <v>6</v>
      </c>
      <c r="E9326" s="27" t="s">
        <v>17</v>
      </c>
      <c r="F9326" s="29"/>
      <c r="G9326" s="30">
        <v>3135.6350321011482</v>
      </c>
    </row>
    <row r="9327" spans="1:7" hidden="1" x14ac:dyDescent="0.25">
      <c r="A9327" s="28">
        <v>44348</v>
      </c>
      <c r="B9327" s="27" t="s">
        <v>26</v>
      </c>
      <c r="C9327" s="27" t="s">
        <v>50</v>
      </c>
      <c r="D9327" s="27" t="s">
        <v>6</v>
      </c>
      <c r="E9327" s="27" t="s">
        <v>18</v>
      </c>
      <c r="F9327" s="29"/>
      <c r="G9327" s="30">
        <v>1603.690331509566</v>
      </c>
    </row>
    <row r="9328" spans="1:7" hidden="1" x14ac:dyDescent="0.25">
      <c r="A9328" s="28">
        <v>44348</v>
      </c>
      <c r="B9328" s="27" t="s">
        <v>26</v>
      </c>
      <c r="C9328" s="27" t="s">
        <v>50</v>
      </c>
      <c r="D9328" s="27" t="s">
        <v>6</v>
      </c>
      <c r="E9328" s="27" t="s">
        <v>19</v>
      </c>
      <c r="F9328" s="29"/>
      <c r="G9328" s="30">
        <v>2421.1417541901737</v>
      </c>
    </row>
    <row r="9329" spans="1:7" hidden="1" x14ac:dyDescent="0.25">
      <c r="A9329" s="28">
        <v>44348</v>
      </c>
      <c r="B9329" s="27" t="s">
        <v>26</v>
      </c>
      <c r="C9329" s="27" t="s">
        <v>50</v>
      </c>
      <c r="D9329" s="27" t="s">
        <v>6</v>
      </c>
      <c r="E9329" s="27" t="s">
        <v>20</v>
      </c>
      <c r="F9329" s="29"/>
      <c r="G9329" s="30">
        <v>1946.4814052941281</v>
      </c>
    </row>
    <row r="9330" spans="1:7" hidden="1" x14ac:dyDescent="0.25">
      <c r="A9330" s="28">
        <v>44348</v>
      </c>
      <c r="B9330" s="27" t="s">
        <v>26</v>
      </c>
      <c r="C9330" s="27" t="s">
        <v>50</v>
      </c>
      <c r="D9330" s="27" t="s">
        <v>6</v>
      </c>
      <c r="E9330" s="27" t="s">
        <v>38</v>
      </c>
      <c r="F9330" s="29"/>
      <c r="G9330" s="30">
        <v>760.63601728244464</v>
      </c>
    </row>
    <row r="9331" spans="1:7" hidden="1" x14ac:dyDescent="0.25">
      <c r="A9331" s="28">
        <v>44348</v>
      </c>
      <c r="B9331" s="27" t="s">
        <v>26</v>
      </c>
      <c r="C9331" s="27" t="s">
        <v>50</v>
      </c>
      <c r="D9331" s="27" t="s">
        <v>6</v>
      </c>
      <c r="E9331" s="27" t="s">
        <v>23</v>
      </c>
      <c r="F9331" s="29"/>
      <c r="G9331" s="30">
        <v>2589.0564485238838</v>
      </c>
    </row>
    <row r="9332" spans="1:7" hidden="1" x14ac:dyDescent="0.25">
      <c r="A9332" s="28">
        <v>44348</v>
      </c>
      <c r="B9332" s="27" t="s">
        <v>26</v>
      </c>
      <c r="C9332" s="27" t="s">
        <v>50</v>
      </c>
      <c r="D9332" s="27" t="s">
        <v>6</v>
      </c>
      <c r="E9332" s="27" t="s">
        <v>40</v>
      </c>
      <c r="F9332" s="29"/>
      <c r="G9332" s="30">
        <v>834.25152230214019</v>
      </c>
    </row>
    <row r="9333" spans="1:7" hidden="1" x14ac:dyDescent="0.25">
      <c r="A9333" s="28">
        <v>44348</v>
      </c>
      <c r="B9333" s="27" t="s">
        <v>26</v>
      </c>
      <c r="C9333" s="27" t="s">
        <v>50</v>
      </c>
      <c r="D9333" s="27" t="s">
        <v>6</v>
      </c>
      <c r="E9333" s="27" t="s">
        <v>37</v>
      </c>
      <c r="F9333" s="29"/>
      <c r="G9333" s="30">
        <v>791.10058149340887</v>
      </c>
    </row>
    <row r="9334" spans="1:7" hidden="1" x14ac:dyDescent="0.25">
      <c r="A9334" s="28">
        <v>44348</v>
      </c>
      <c r="B9334" s="27" t="s">
        <v>3</v>
      </c>
      <c r="C9334" s="27" t="s">
        <v>50</v>
      </c>
      <c r="D9334" s="27" t="s">
        <v>7</v>
      </c>
      <c r="E9334" s="27" t="s">
        <v>8</v>
      </c>
      <c r="F9334" s="29"/>
      <c r="G9334" s="30">
        <v>625.912380952381</v>
      </c>
    </row>
    <row r="9335" spans="1:7" hidden="1" x14ac:dyDescent="0.25">
      <c r="A9335" s="28">
        <v>44348</v>
      </c>
      <c r="B9335" s="27" t="s">
        <v>3</v>
      </c>
      <c r="C9335" s="27" t="s">
        <v>50</v>
      </c>
      <c r="D9335" s="27" t="s">
        <v>7</v>
      </c>
      <c r="E9335" s="27" t="s">
        <v>9</v>
      </c>
      <c r="F9335" s="29"/>
      <c r="G9335" s="30">
        <v>625.912380952381</v>
      </c>
    </row>
    <row r="9336" spans="1:7" hidden="1" x14ac:dyDescent="0.25">
      <c r="A9336" s="28">
        <v>44348</v>
      </c>
      <c r="B9336" s="27" t="s">
        <v>3</v>
      </c>
      <c r="C9336" s="27" t="s">
        <v>50</v>
      </c>
      <c r="D9336" s="27" t="s">
        <v>7</v>
      </c>
      <c r="E9336" s="27" t="s">
        <v>22</v>
      </c>
      <c r="F9336" s="29"/>
      <c r="G9336" s="30">
        <v>625.912380952381</v>
      </c>
    </row>
    <row r="9337" spans="1:7" hidden="1" x14ac:dyDescent="0.25">
      <c r="A9337" s="28">
        <v>44348</v>
      </c>
      <c r="B9337" s="27" t="s">
        <v>3</v>
      </c>
      <c r="C9337" s="27" t="s">
        <v>50</v>
      </c>
      <c r="D9337" s="27" t="s">
        <v>7</v>
      </c>
      <c r="E9337" s="27" t="s">
        <v>39</v>
      </c>
      <c r="F9337" s="29"/>
      <c r="G9337" s="30">
        <v>625.912380952381</v>
      </c>
    </row>
    <row r="9338" spans="1:7" hidden="1" x14ac:dyDescent="0.25">
      <c r="A9338" s="28">
        <v>44348</v>
      </c>
      <c r="B9338" s="27" t="s">
        <v>3</v>
      </c>
      <c r="C9338" s="27" t="s">
        <v>50</v>
      </c>
      <c r="D9338" s="27" t="s">
        <v>7</v>
      </c>
      <c r="E9338" s="27" t="s">
        <v>64</v>
      </c>
      <c r="F9338" s="29"/>
      <c r="G9338" s="30">
        <v>625.912380952381</v>
      </c>
    </row>
    <row r="9339" spans="1:7" hidden="1" x14ac:dyDescent="0.25">
      <c r="A9339" s="28">
        <v>44348</v>
      </c>
      <c r="B9339" s="27" t="s">
        <v>3</v>
      </c>
      <c r="C9339" s="27" t="s">
        <v>50</v>
      </c>
      <c r="D9339" s="27" t="s">
        <v>7</v>
      </c>
      <c r="E9339" s="27" t="s">
        <v>21</v>
      </c>
      <c r="F9339" s="29"/>
      <c r="G9339" s="30">
        <v>625.912380952381</v>
      </c>
    </row>
    <row r="9340" spans="1:7" hidden="1" x14ac:dyDescent="0.25">
      <c r="A9340" s="28">
        <v>44348</v>
      </c>
      <c r="B9340" s="27" t="s">
        <v>3</v>
      </c>
      <c r="C9340" s="27" t="s">
        <v>50</v>
      </c>
      <c r="D9340" s="27" t="s">
        <v>7</v>
      </c>
      <c r="E9340" s="27" t="s">
        <v>41</v>
      </c>
      <c r="F9340" s="29"/>
      <c r="G9340" s="30">
        <v>625.912380952381</v>
      </c>
    </row>
    <row r="9341" spans="1:7" hidden="1" x14ac:dyDescent="0.25">
      <c r="A9341" s="28">
        <v>44348</v>
      </c>
      <c r="B9341" s="27" t="s">
        <v>3</v>
      </c>
      <c r="C9341" s="27" t="s">
        <v>50</v>
      </c>
      <c r="D9341" s="27" t="s">
        <v>7</v>
      </c>
      <c r="E9341" s="27" t="s">
        <v>10</v>
      </c>
      <c r="F9341" s="29"/>
      <c r="G9341" s="30">
        <v>625.912380952381</v>
      </c>
    </row>
    <row r="9342" spans="1:7" hidden="1" x14ac:dyDescent="0.25">
      <c r="A9342" s="28">
        <v>44348</v>
      </c>
      <c r="B9342" s="27" t="s">
        <v>3</v>
      </c>
      <c r="C9342" s="27" t="s">
        <v>50</v>
      </c>
      <c r="D9342" s="27" t="s">
        <v>7</v>
      </c>
      <c r="E9342" s="27" t="s">
        <v>11</v>
      </c>
      <c r="F9342" s="29"/>
      <c r="G9342" s="30">
        <v>625.912380952381</v>
      </c>
    </row>
    <row r="9343" spans="1:7" hidden="1" x14ac:dyDescent="0.25">
      <c r="A9343" s="28">
        <v>44348</v>
      </c>
      <c r="B9343" s="27" t="s">
        <v>3</v>
      </c>
      <c r="C9343" s="27" t="s">
        <v>50</v>
      </c>
      <c r="D9343" s="27" t="s">
        <v>7</v>
      </c>
      <c r="E9343" s="27" t="s">
        <v>12</v>
      </c>
      <c r="F9343" s="29"/>
      <c r="G9343" s="30">
        <v>625.912380952381</v>
      </c>
    </row>
    <row r="9344" spans="1:7" hidden="1" x14ac:dyDescent="0.25">
      <c r="A9344" s="28">
        <v>44348</v>
      </c>
      <c r="B9344" s="27" t="s">
        <v>3</v>
      </c>
      <c r="C9344" s="27" t="s">
        <v>50</v>
      </c>
      <c r="D9344" s="27" t="s">
        <v>7</v>
      </c>
      <c r="E9344" s="27" t="s">
        <v>13</v>
      </c>
      <c r="F9344" s="29"/>
      <c r="G9344" s="30">
        <v>625.912380952381</v>
      </c>
    </row>
    <row r="9345" spans="1:7" hidden="1" x14ac:dyDescent="0.25">
      <c r="A9345" s="28">
        <v>44348</v>
      </c>
      <c r="B9345" s="27" t="s">
        <v>3</v>
      </c>
      <c r="C9345" s="27" t="s">
        <v>50</v>
      </c>
      <c r="D9345" s="27" t="s">
        <v>7</v>
      </c>
      <c r="E9345" s="27" t="s">
        <v>14</v>
      </c>
      <c r="F9345" s="29"/>
      <c r="G9345" s="30">
        <v>625.912380952381</v>
      </c>
    </row>
    <row r="9346" spans="1:7" hidden="1" x14ac:dyDescent="0.25">
      <c r="A9346" s="28">
        <v>44348</v>
      </c>
      <c r="B9346" s="27" t="s">
        <v>3</v>
      </c>
      <c r="C9346" s="27" t="s">
        <v>50</v>
      </c>
      <c r="D9346" s="27" t="s">
        <v>7</v>
      </c>
      <c r="E9346" s="27" t="s">
        <v>15</v>
      </c>
      <c r="F9346" s="29"/>
      <c r="G9346" s="30">
        <v>625.912380952381</v>
      </c>
    </row>
    <row r="9347" spans="1:7" hidden="1" x14ac:dyDescent="0.25">
      <c r="A9347" s="28">
        <v>44348</v>
      </c>
      <c r="B9347" s="27" t="s">
        <v>3</v>
      </c>
      <c r="C9347" s="27" t="s">
        <v>50</v>
      </c>
      <c r="D9347" s="27" t="s">
        <v>7</v>
      </c>
      <c r="E9347" s="27" t="s">
        <v>16</v>
      </c>
      <c r="F9347" s="29"/>
      <c r="G9347" s="30">
        <v>625.912380952381</v>
      </c>
    </row>
    <row r="9348" spans="1:7" hidden="1" x14ac:dyDescent="0.25">
      <c r="A9348" s="28">
        <v>44348</v>
      </c>
      <c r="B9348" s="27" t="s">
        <v>3</v>
      </c>
      <c r="C9348" s="27" t="s">
        <v>50</v>
      </c>
      <c r="D9348" s="27" t="s">
        <v>7</v>
      </c>
      <c r="E9348" s="27" t="s">
        <v>17</v>
      </c>
      <c r="F9348" s="29"/>
      <c r="G9348" s="30">
        <v>625.912380952381</v>
      </c>
    </row>
    <row r="9349" spans="1:7" hidden="1" x14ac:dyDescent="0.25">
      <c r="A9349" s="28">
        <v>44348</v>
      </c>
      <c r="B9349" s="27" t="s">
        <v>3</v>
      </c>
      <c r="C9349" s="27" t="s">
        <v>50</v>
      </c>
      <c r="D9349" s="27" t="s">
        <v>7</v>
      </c>
      <c r="E9349" s="27" t="s">
        <v>18</v>
      </c>
      <c r="F9349" s="29"/>
      <c r="G9349" s="30">
        <v>625.912380952381</v>
      </c>
    </row>
    <row r="9350" spans="1:7" hidden="1" x14ac:dyDescent="0.25">
      <c r="A9350" s="28">
        <v>44348</v>
      </c>
      <c r="B9350" s="27" t="s">
        <v>3</v>
      </c>
      <c r="C9350" s="27" t="s">
        <v>50</v>
      </c>
      <c r="D9350" s="27" t="s">
        <v>7</v>
      </c>
      <c r="E9350" s="27" t="s">
        <v>19</v>
      </c>
      <c r="F9350" s="29"/>
      <c r="G9350" s="30">
        <v>625.912380952381</v>
      </c>
    </row>
    <row r="9351" spans="1:7" hidden="1" x14ac:dyDescent="0.25">
      <c r="A9351" s="28">
        <v>44348</v>
      </c>
      <c r="B9351" s="27" t="s">
        <v>3</v>
      </c>
      <c r="C9351" s="27" t="s">
        <v>50</v>
      </c>
      <c r="D9351" s="27" t="s">
        <v>7</v>
      </c>
      <c r="E9351" s="27" t="s">
        <v>20</v>
      </c>
      <c r="F9351" s="29"/>
      <c r="G9351" s="30">
        <v>625.912380952381</v>
      </c>
    </row>
    <row r="9352" spans="1:7" hidden="1" x14ac:dyDescent="0.25">
      <c r="A9352" s="28">
        <v>44348</v>
      </c>
      <c r="B9352" s="27" t="s">
        <v>3</v>
      </c>
      <c r="C9352" s="27" t="s">
        <v>50</v>
      </c>
      <c r="D9352" s="27" t="s">
        <v>7</v>
      </c>
      <c r="E9352" s="27" t="s">
        <v>38</v>
      </c>
      <c r="F9352" s="29"/>
      <c r="G9352" s="30">
        <v>625.912380952381</v>
      </c>
    </row>
    <row r="9353" spans="1:7" hidden="1" x14ac:dyDescent="0.25">
      <c r="A9353" s="28">
        <v>44348</v>
      </c>
      <c r="B9353" s="27" t="s">
        <v>3</v>
      </c>
      <c r="C9353" s="27" t="s">
        <v>50</v>
      </c>
      <c r="D9353" s="27" t="s">
        <v>7</v>
      </c>
      <c r="E9353" s="27" t="s">
        <v>23</v>
      </c>
      <c r="F9353" s="29"/>
      <c r="G9353" s="30">
        <v>625.912380952381</v>
      </c>
    </row>
    <row r="9354" spans="1:7" hidden="1" x14ac:dyDescent="0.25">
      <c r="A9354" s="28">
        <v>44348</v>
      </c>
      <c r="B9354" s="27" t="s">
        <v>3</v>
      </c>
      <c r="C9354" s="27" t="s">
        <v>50</v>
      </c>
      <c r="D9354" s="27" t="s">
        <v>7</v>
      </c>
      <c r="E9354" s="27" t="s">
        <v>40</v>
      </c>
      <c r="F9354" s="29"/>
      <c r="G9354" s="30">
        <v>625.912380952381</v>
      </c>
    </row>
    <row r="9355" spans="1:7" hidden="1" x14ac:dyDescent="0.25">
      <c r="A9355" s="28">
        <v>44348</v>
      </c>
      <c r="B9355" s="27" t="s">
        <v>179</v>
      </c>
      <c r="C9355" s="27" t="s">
        <v>50</v>
      </c>
      <c r="D9355" s="27" t="s">
        <v>6</v>
      </c>
      <c r="E9355" s="27" t="s">
        <v>8</v>
      </c>
      <c r="F9355" s="29"/>
      <c r="G9355" s="30">
        <v>54.168999999999997</v>
      </c>
    </row>
    <row r="9356" spans="1:7" hidden="1" x14ac:dyDescent="0.25">
      <c r="A9356" s="28">
        <v>44348</v>
      </c>
      <c r="B9356" s="27" t="s">
        <v>179</v>
      </c>
      <c r="C9356" s="27" t="s">
        <v>50</v>
      </c>
      <c r="D9356" s="27" t="s">
        <v>6</v>
      </c>
      <c r="E9356" s="27" t="s">
        <v>9</v>
      </c>
      <c r="F9356" s="29"/>
      <c r="G9356" s="30">
        <v>71.931666000000007</v>
      </c>
    </row>
    <row r="9357" spans="1:7" hidden="1" x14ac:dyDescent="0.25">
      <c r="A9357" s="28">
        <v>44348</v>
      </c>
      <c r="B9357" s="27" t="s">
        <v>179</v>
      </c>
      <c r="C9357" s="27" t="s">
        <v>50</v>
      </c>
      <c r="D9357" s="27" t="s">
        <v>6</v>
      </c>
      <c r="E9357" s="27" t="s">
        <v>22</v>
      </c>
      <c r="F9357" s="29"/>
      <c r="G9357" s="30">
        <v>95.266666000000001</v>
      </c>
    </row>
    <row r="9358" spans="1:7" hidden="1" x14ac:dyDescent="0.25">
      <c r="A9358" s="28">
        <v>44348</v>
      </c>
      <c r="B9358" s="27" t="s">
        <v>179</v>
      </c>
      <c r="C9358" s="27" t="s">
        <v>50</v>
      </c>
      <c r="D9358" s="27" t="s">
        <v>6</v>
      </c>
      <c r="E9358" s="27" t="s">
        <v>39</v>
      </c>
      <c r="F9358" s="29"/>
      <c r="G9358" s="30">
        <v>72.42</v>
      </c>
    </row>
    <row r="9359" spans="1:7" hidden="1" x14ac:dyDescent="0.25">
      <c r="A9359" s="28">
        <v>44348</v>
      </c>
      <c r="B9359" s="27" t="s">
        <v>179</v>
      </c>
      <c r="C9359" s="27" t="s">
        <v>50</v>
      </c>
      <c r="D9359" s="27" t="s">
        <v>6</v>
      </c>
      <c r="E9359" s="27" t="s">
        <v>21</v>
      </c>
      <c r="F9359" s="29"/>
      <c r="G9359" s="30">
        <v>66.441665999999998</v>
      </c>
    </row>
    <row r="9360" spans="1:7" hidden="1" x14ac:dyDescent="0.25">
      <c r="A9360" s="28">
        <v>44348</v>
      </c>
      <c r="B9360" s="27" t="s">
        <v>179</v>
      </c>
      <c r="C9360" s="27" t="s">
        <v>50</v>
      </c>
      <c r="D9360" s="27" t="s">
        <v>6</v>
      </c>
      <c r="E9360" s="27" t="s">
        <v>41</v>
      </c>
      <c r="F9360" s="29"/>
      <c r="G9360" s="30">
        <v>71.509165999999993</v>
      </c>
    </row>
    <row r="9361" spans="1:7" hidden="1" x14ac:dyDescent="0.25">
      <c r="A9361" s="28">
        <v>44348</v>
      </c>
      <c r="B9361" s="27" t="s">
        <v>179</v>
      </c>
      <c r="C9361" s="27" t="s">
        <v>50</v>
      </c>
      <c r="D9361" s="27" t="s">
        <v>6</v>
      </c>
      <c r="E9361" s="27" t="s">
        <v>10</v>
      </c>
      <c r="F9361" s="29"/>
      <c r="G9361" s="30">
        <v>86.698999999999998</v>
      </c>
    </row>
    <row r="9362" spans="1:7" hidden="1" x14ac:dyDescent="0.25">
      <c r="A9362" s="28">
        <v>44348</v>
      </c>
      <c r="B9362" s="27" t="s">
        <v>179</v>
      </c>
      <c r="C9362" s="27" t="s">
        <v>50</v>
      </c>
      <c r="D9362" s="27" t="s">
        <v>6</v>
      </c>
      <c r="E9362" s="27" t="s">
        <v>11</v>
      </c>
      <c r="F9362" s="29"/>
      <c r="G9362" s="30">
        <v>65.566665999999998</v>
      </c>
    </row>
    <row r="9363" spans="1:7" hidden="1" x14ac:dyDescent="0.25">
      <c r="A9363" s="28">
        <v>44348</v>
      </c>
      <c r="B9363" s="27" t="s">
        <v>179</v>
      </c>
      <c r="C9363" s="27" t="s">
        <v>50</v>
      </c>
      <c r="D9363" s="27" t="s">
        <v>6</v>
      </c>
      <c r="E9363" s="27" t="s">
        <v>12</v>
      </c>
      <c r="F9363" s="29"/>
      <c r="G9363" s="30">
        <v>67.331665999999998</v>
      </c>
    </row>
    <row r="9364" spans="1:7" hidden="1" x14ac:dyDescent="0.25">
      <c r="A9364" s="28">
        <v>44348</v>
      </c>
      <c r="B9364" s="27" t="s">
        <v>179</v>
      </c>
      <c r="C9364" s="27" t="s">
        <v>50</v>
      </c>
      <c r="D9364" s="27" t="s">
        <v>6</v>
      </c>
      <c r="E9364" s="27" t="s">
        <v>13</v>
      </c>
      <c r="F9364" s="29"/>
      <c r="G9364" s="30">
        <v>93.319165999999996</v>
      </c>
    </row>
    <row r="9365" spans="1:7" hidden="1" x14ac:dyDescent="0.25">
      <c r="A9365" s="28">
        <v>44348</v>
      </c>
      <c r="B9365" s="27" t="s">
        <v>179</v>
      </c>
      <c r="C9365" s="27" t="s">
        <v>50</v>
      </c>
      <c r="D9365" s="27" t="s">
        <v>6</v>
      </c>
      <c r="E9365" s="27" t="s">
        <v>14</v>
      </c>
      <c r="F9365" s="29"/>
      <c r="G9365" s="30">
        <v>79.181666000000007</v>
      </c>
    </row>
    <row r="9366" spans="1:7" hidden="1" x14ac:dyDescent="0.25">
      <c r="A9366" s="28">
        <v>44348</v>
      </c>
      <c r="B9366" s="27" t="s">
        <v>179</v>
      </c>
      <c r="C9366" s="27" t="s">
        <v>50</v>
      </c>
      <c r="D9366" s="27" t="s">
        <v>6</v>
      </c>
      <c r="E9366" s="27" t="s">
        <v>15</v>
      </c>
      <c r="F9366" s="29"/>
      <c r="G9366" s="30">
        <v>90.084165999999996</v>
      </c>
    </row>
    <row r="9367" spans="1:7" hidden="1" x14ac:dyDescent="0.25">
      <c r="A9367" s="28">
        <v>44348</v>
      </c>
      <c r="B9367" s="27" t="s">
        <v>179</v>
      </c>
      <c r="C9367" s="27" t="s">
        <v>50</v>
      </c>
      <c r="D9367" s="27" t="s">
        <v>6</v>
      </c>
      <c r="E9367" s="27" t="s">
        <v>16</v>
      </c>
      <c r="F9367" s="29"/>
      <c r="G9367" s="30">
        <v>91.176665999999997</v>
      </c>
    </row>
    <row r="9368" spans="1:7" hidden="1" x14ac:dyDescent="0.25">
      <c r="A9368" s="28">
        <v>44348</v>
      </c>
      <c r="B9368" s="27" t="s">
        <v>179</v>
      </c>
      <c r="C9368" s="27" t="s">
        <v>50</v>
      </c>
      <c r="D9368" s="27" t="s">
        <v>6</v>
      </c>
      <c r="E9368" s="27" t="s">
        <v>17</v>
      </c>
      <c r="F9368" s="29"/>
      <c r="G9368" s="30">
        <v>142.004166</v>
      </c>
    </row>
    <row r="9369" spans="1:7" hidden="1" x14ac:dyDescent="0.25">
      <c r="A9369" s="28">
        <v>44348</v>
      </c>
      <c r="B9369" s="27" t="s">
        <v>179</v>
      </c>
      <c r="C9369" s="27" t="s">
        <v>50</v>
      </c>
      <c r="D9369" s="27" t="s">
        <v>6</v>
      </c>
      <c r="E9369" s="27" t="s">
        <v>18</v>
      </c>
      <c r="F9369" s="29"/>
      <c r="G9369" s="30">
        <v>183.16666599999999</v>
      </c>
    </row>
    <row r="9370" spans="1:7" hidden="1" x14ac:dyDescent="0.25">
      <c r="A9370" s="28">
        <v>44348</v>
      </c>
      <c r="B9370" s="27" t="s">
        <v>179</v>
      </c>
      <c r="C9370" s="27" t="s">
        <v>50</v>
      </c>
      <c r="D9370" s="27" t="s">
        <v>6</v>
      </c>
      <c r="E9370" s="27" t="s">
        <v>19</v>
      </c>
      <c r="F9370" s="29"/>
      <c r="G9370" s="30">
        <v>120.299166</v>
      </c>
    </row>
    <row r="9371" spans="1:7" hidden="1" x14ac:dyDescent="0.25">
      <c r="A9371" s="28">
        <v>44348</v>
      </c>
      <c r="B9371" s="27" t="s">
        <v>179</v>
      </c>
      <c r="C9371" s="27" t="s">
        <v>50</v>
      </c>
      <c r="D9371" s="27" t="s">
        <v>6</v>
      </c>
      <c r="E9371" s="27" t="s">
        <v>20</v>
      </c>
      <c r="F9371" s="29"/>
      <c r="G9371" s="30">
        <v>231.341666</v>
      </c>
    </row>
    <row r="9372" spans="1:7" hidden="1" x14ac:dyDescent="0.25">
      <c r="A9372" s="28">
        <v>44348</v>
      </c>
      <c r="B9372" s="27" t="s">
        <v>179</v>
      </c>
      <c r="C9372" s="27" t="s">
        <v>50</v>
      </c>
      <c r="D9372" s="27" t="s">
        <v>6</v>
      </c>
      <c r="E9372" s="27" t="s">
        <v>38</v>
      </c>
      <c r="F9372" s="29"/>
      <c r="G9372" s="30">
        <v>99.366665999999995</v>
      </c>
    </row>
    <row r="9373" spans="1:7" hidden="1" x14ac:dyDescent="0.25">
      <c r="A9373" s="28">
        <v>44348</v>
      </c>
      <c r="B9373" s="27" t="s">
        <v>179</v>
      </c>
      <c r="C9373" s="27" t="s">
        <v>50</v>
      </c>
      <c r="D9373" s="27" t="s">
        <v>6</v>
      </c>
      <c r="E9373" s="27" t="s">
        <v>23</v>
      </c>
      <c r="F9373" s="29"/>
      <c r="G9373" s="30">
        <v>131.48916600000001</v>
      </c>
    </row>
    <row r="9374" spans="1:7" hidden="1" x14ac:dyDescent="0.25">
      <c r="A9374" s="28">
        <v>44348</v>
      </c>
      <c r="B9374" s="27" t="s">
        <v>179</v>
      </c>
      <c r="C9374" s="27" t="s">
        <v>50</v>
      </c>
      <c r="D9374" s="27" t="s">
        <v>6</v>
      </c>
      <c r="E9374" s="27" t="s">
        <v>40</v>
      </c>
      <c r="F9374" s="29"/>
      <c r="G9374" s="30">
        <v>130.52416600000001</v>
      </c>
    </row>
    <row r="9375" spans="1:7" hidden="1" x14ac:dyDescent="0.25">
      <c r="A9375" s="28">
        <v>44348</v>
      </c>
      <c r="B9375" s="27" t="s">
        <v>32</v>
      </c>
      <c r="C9375" s="27" t="s">
        <v>50</v>
      </c>
      <c r="D9375" s="27" t="s">
        <v>7</v>
      </c>
      <c r="E9375" s="27" t="s">
        <v>10</v>
      </c>
      <c r="F9375" s="29"/>
      <c r="G9375" s="30">
        <v>50</v>
      </c>
    </row>
    <row r="9376" spans="1:7" hidden="1" x14ac:dyDescent="0.25">
      <c r="A9376" s="28">
        <v>44348</v>
      </c>
      <c r="B9376" s="27" t="s">
        <v>32</v>
      </c>
      <c r="C9376" s="27" t="s">
        <v>50</v>
      </c>
      <c r="D9376" s="27" t="s">
        <v>7</v>
      </c>
      <c r="E9376" s="27" t="s">
        <v>17</v>
      </c>
      <c r="F9376" s="29"/>
      <c r="G9376" s="30">
        <v>50</v>
      </c>
    </row>
    <row r="9377" spans="1:7" hidden="1" x14ac:dyDescent="0.25">
      <c r="A9377" s="28">
        <v>44348</v>
      </c>
      <c r="B9377" s="27" t="s">
        <v>5</v>
      </c>
      <c r="C9377" s="27" t="s">
        <v>51</v>
      </c>
      <c r="D9377" s="27" t="s">
        <v>51</v>
      </c>
      <c r="E9377" s="27" t="s">
        <v>8</v>
      </c>
      <c r="F9377" s="29">
        <v>4022</v>
      </c>
      <c r="G9377" s="30">
        <v>3.5701130482708909</v>
      </c>
    </row>
    <row r="9378" spans="1:7" hidden="1" x14ac:dyDescent="0.25">
      <c r="A9378" s="28">
        <v>44348</v>
      </c>
      <c r="B9378" s="27" t="s">
        <v>5</v>
      </c>
      <c r="C9378" s="27" t="s">
        <v>51</v>
      </c>
      <c r="D9378" s="27" t="s">
        <v>51</v>
      </c>
      <c r="E9378" s="27" t="s">
        <v>9</v>
      </c>
      <c r="F9378" s="29">
        <v>2623</v>
      </c>
      <c r="G9378" s="30">
        <v>3.8303953720609352</v>
      </c>
    </row>
    <row r="9379" spans="1:7" hidden="1" x14ac:dyDescent="0.25">
      <c r="A9379" s="28">
        <v>44348</v>
      </c>
      <c r="B9379" s="27" t="s">
        <v>5</v>
      </c>
      <c r="C9379" s="27" t="s">
        <v>51</v>
      </c>
      <c r="D9379" s="27" t="s">
        <v>51</v>
      </c>
      <c r="E9379" s="27" t="s">
        <v>22</v>
      </c>
      <c r="F9379" s="29">
        <v>3639</v>
      </c>
      <c r="G9379" s="30">
        <v>3.5105258799487049</v>
      </c>
    </row>
    <row r="9380" spans="1:7" hidden="1" x14ac:dyDescent="0.25">
      <c r="A9380" s="28">
        <v>44348</v>
      </c>
      <c r="B9380" s="27" t="s">
        <v>5</v>
      </c>
      <c r="C9380" s="27" t="s">
        <v>51</v>
      </c>
      <c r="D9380" s="27" t="s">
        <v>51</v>
      </c>
      <c r="E9380" s="27" t="s">
        <v>39</v>
      </c>
      <c r="F9380" s="29">
        <v>3706</v>
      </c>
      <c r="G9380" s="30">
        <v>2.7668633157907561</v>
      </c>
    </row>
    <row r="9381" spans="1:7" hidden="1" x14ac:dyDescent="0.25">
      <c r="A9381" s="28">
        <v>44348</v>
      </c>
      <c r="B9381" s="27" t="s">
        <v>5</v>
      </c>
      <c r="C9381" s="27" t="s">
        <v>51</v>
      </c>
      <c r="D9381" s="27" t="s">
        <v>51</v>
      </c>
      <c r="E9381" s="27" t="s">
        <v>64</v>
      </c>
      <c r="F9381" s="29">
        <v>1268</v>
      </c>
      <c r="G9381" s="30">
        <v>6.2776153345590897</v>
      </c>
    </row>
    <row r="9382" spans="1:7" hidden="1" x14ac:dyDescent="0.25">
      <c r="A9382" s="28">
        <v>44348</v>
      </c>
      <c r="B9382" s="27" t="s">
        <v>5</v>
      </c>
      <c r="C9382" s="27" t="s">
        <v>51</v>
      </c>
      <c r="D9382" s="27" t="s">
        <v>51</v>
      </c>
      <c r="E9382" s="27" t="s">
        <v>21</v>
      </c>
      <c r="F9382" s="29">
        <v>6153</v>
      </c>
      <c r="G9382" s="30">
        <v>2.3924305971442492</v>
      </c>
    </row>
    <row r="9383" spans="1:7" hidden="1" x14ac:dyDescent="0.25">
      <c r="A9383" s="28">
        <v>44348</v>
      </c>
      <c r="B9383" s="27" t="s">
        <v>5</v>
      </c>
      <c r="C9383" s="27" t="s">
        <v>51</v>
      </c>
      <c r="D9383" s="27" t="s">
        <v>51</v>
      </c>
      <c r="E9383" s="27" t="s">
        <v>41</v>
      </c>
      <c r="F9383" s="29">
        <v>4681</v>
      </c>
      <c r="G9383" s="30">
        <v>2.5711823285565774</v>
      </c>
    </row>
    <row r="9384" spans="1:7" hidden="1" x14ac:dyDescent="0.25">
      <c r="A9384" s="28">
        <v>44348</v>
      </c>
      <c r="B9384" s="27" t="s">
        <v>5</v>
      </c>
      <c r="C9384" s="27" t="s">
        <v>51</v>
      </c>
      <c r="D9384" s="27" t="s">
        <v>51</v>
      </c>
      <c r="E9384" s="27" t="s">
        <v>10</v>
      </c>
      <c r="F9384" s="29">
        <v>4507</v>
      </c>
      <c r="G9384" s="30">
        <v>2.8308617275030472</v>
      </c>
    </row>
    <row r="9385" spans="1:7" hidden="1" x14ac:dyDescent="0.25">
      <c r="A9385" s="28">
        <v>44348</v>
      </c>
      <c r="B9385" s="27" t="s">
        <v>5</v>
      </c>
      <c r="C9385" s="27" t="s">
        <v>51</v>
      </c>
      <c r="D9385" s="27" t="s">
        <v>51</v>
      </c>
      <c r="E9385" s="27" t="s">
        <v>11</v>
      </c>
      <c r="F9385" s="29">
        <v>7056</v>
      </c>
      <c r="G9385" s="30">
        <v>2.3229059121028706</v>
      </c>
    </row>
    <row r="9386" spans="1:7" hidden="1" x14ac:dyDescent="0.25">
      <c r="A9386" s="28">
        <v>44348</v>
      </c>
      <c r="B9386" s="27" t="s">
        <v>5</v>
      </c>
      <c r="C9386" s="27" t="s">
        <v>51</v>
      </c>
      <c r="D9386" s="27" t="s">
        <v>51</v>
      </c>
      <c r="E9386" s="27" t="s">
        <v>12</v>
      </c>
      <c r="F9386" s="29">
        <v>1598</v>
      </c>
      <c r="G9386" s="30">
        <v>5.7670416540630693</v>
      </c>
    </row>
    <row r="9387" spans="1:7" hidden="1" x14ac:dyDescent="0.25">
      <c r="A9387" s="28">
        <v>44348</v>
      </c>
      <c r="B9387" s="27" t="s">
        <v>5</v>
      </c>
      <c r="C9387" s="27" t="s">
        <v>51</v>
      </c>
      <c r="D9387" s="27" t="s">
        <v>51</v>
      </c>
      <c r="E9387" s="27" t="s">
        <v>14</v>
      </c>
      <c r="F9387" s="29">
        <v>2986</v>
      </c>
      <c r="G9387" s="30">
        <v>2.2536123282631126</v>
      </c>
    </row>
    <row r="9388" spans="1:7" hidden="1" x14ac:dyDescent="0.25">
      <c r="A9388" s="28">
        <v>44348</v>
      </c>
      <c r="B9388" s="27" t="s">
        <v>5</v>
      </c>
      <c r="C9388" s="27" t="s">
        <v>51</v>
      </c>
      <c r="D9388" s="27" t="s">
        <v>51</v>
      </c>
      <c r="E9388" s="27" t="s">
        <v>15</v>
      </c>
      <c r="F9388" s="29">
        <v>5201</v>
      </c>
      <c r="G9388" s="30">
        <v>2.5137793085820093</v>
      </c>
    </row>
    <row r="9389" spans="1:7" hidden="1" x14ac:dyDescent="0.25">
      <c r="A9389" s="28">
        <v>44348</v>
      </c>
      <c r="B9389" s="27" t="s">
        <v>5</v>
      </c>
      <c r="C9389" s="27" t="s">
        <v>51</v>
      </c>
      <c r="D9389" s="27" t="s">
        <v>51</v>
      </c>
      <c r="E9389" s="27" t="s">
        <v>16</v>
      </c>
      <c r="F9389" s="29">
        <v>3351</v>
      </c>
      <c r="G9389" s="30">
        <v>2.9268740568502549</v>
      </c>
    </row>
    <row r="9390" spans="1:7" hidden="1" x14ac:dyDescent="0.25">
      <c r="A9390" s="28">
        <v>44348</v>
      </c>
      <c r="B9390" s="27" t="s">
        <v>5</v>
      </c>
      <c r="C9390" s="27" t="s">
        <v>51</v>
      </c>
      <c r="D9390" s="27" t="s">
        <v>51</v>
      </c>
      <c r="E9390" s="27" t="s">
        <v>17</v>
      </c>
      <c r="F9390" s="29">
        <v>4871</v>
      </c>
      <c r="G9390" s="30">
        <v>2.917087360179528</v>
      </c>
    </row>
    <row r="9391" spans="1:7" hidden="1" x14ac:dyDescent="0.25">
      <c r="A9391" s="28">
        <v>44348</v>
      </c>
      <c r="B9391" s="27" t="s">
        <v>5</v>
      </c>
      <c r="C9391" s="27" t="s">
        <v>51</v>
      </c>
      <c r="D9391" s="27" t="s">
        <v>51</v>
      </c>
      <c r="E9391" s="27" t="s">
        <v>18</v>
      </c>
      <c r="F9391" s="29">
        <v>5547</v>
      </c>
      <c r="G9391" s="30">
        <v>1.831352141850171</v>
      </c>
    </row>
    <row r="9392" spans="1:7" hidden="1" x14ac:dyDescent="0.25">
      <c r="A9392" s="28">
        <v>44348</v>
      </c>
      <c r="B9392" s="27" t="s">
        <v>5</v>
      </c>
      <c r="C9392" s="27" t="s">
        <v>51</v>
      </c>
      <c r="D9392" s="27" t="s">
        <v>51</v>
      </c>
      <c r="E9392" s="27" t="s">
        <v>19</v>
      </c>
      <c r="F9392" s="29">
        <v>6883</v>
      </c>
      <c r="G9392" s="30">
        <v>2.4646395835425694</v>
      </c>
    </row>
    <row r="9393" spans="1:7" hidden="1" x14ac:dyDescent="0.25">
      <c r="A9393" s="28">
        <v>44348</v>
      </c>
      <c r="B9393" s="27" t="s">
        <v>5</v>
      </c>
      <c r="C9393" s="27" t="s">
        <v>51</v>
      </c>
      <c r="D9393" s="27" t="s">
        <v>51</v>
      </c>
      <c r="E9393" s="27" t="s">
        <v>20</v>
      </c>
      <c r="F9393" s="29">
        <v>7209</v>
      </c>
      <c r="G9393" s="30">
        <v>1.6223895692367125</v>
      </c>
    </row>
    <row r="9394" spans="1:7" hidden="1" x14ac:dyDescent="0.25">
      <c r="A9394" s="28">
        <v>44348</v>
      </c>
      <c r="B9394" s="27" t="s">
        <v>5</v>
      </c>
      <c r="C9394" s="27" t="s">
        <v>51</v>
      </c>
      <c r="D9394" s="27" t="s">
        <v>51</v>
      </c>
      <c r="E9394" s="27" t="s">
        <v>38</v>
      </c>
      <c r="F9394" s="29">
        <v>2163</v>
      </c>
      <c r="G9394" s="30">
        <v>2.8939556248801557</v>
      </c>
    </row>
    <row r="9395" spans="1:7" hidden="1" x14ac:dyDescent="0.25">
      <c r="A9395" s="28">
        <v>44348</v>
      </c>
      <c r="B9395" s="27" t="s">
        <v>5</v>
      </c>
      <c r="C9395" s="27" t="s">
        <v>51</v>
      </c>
      <c r="D9395" s="27" t="s">
        <v>51</v>
      </c>
      <c r="E9395" s="27" t="s">
        <v>23</v>
      </c>
      <c r="F9395" s="29">
        <v>7379</v>
      </c>
      <c r="G9395" s="30">
        <v>2.128267915416346</v>
      </c>
    </row>
    <row r="9396" spans="1:7" hidden="1" x14ac:dyDescent="0.25">
      <c r="A9396" s="28">
        <v>44348</v>
      </c>
      <c r="B9396" s="27" t="s">
        <v>5</v>
      </c>
      <c r="C9396" s="27" t="s">
        <v>51</v>
      </c>
      <c r="D9396" s="27" t="s">
        <v>51</v>
      </c>
      <c r="E9396" s="27" t="s">
        <v>40</v>
      </c>
      <c r="F9396" s="29">
        <v>5905</v>
      </c>
      <c r="G9396" s="30">
        <v>1.5648279460856009</v>
      </c>
    </row>
    <row r="9397" spans="1:7" hidden="1" x14ac:dyDescent="0.25">
      <c r="A9397" s="28">
        <v>44348</v>
      </c>
      <c r="B9397" s="27" t="s">
        <v>180</v>
      </c>
      <c r="C9397" s="27" t="s">
        <v>50</v>
      </c>
      <c r="D9397" s="27" t="s">
        <v>7</v>
      </c>
      <c r="E9397" s="27" t="s">
        <v>8</v>
      </c>
      <c r="F9397" s="29"/>
      <c r="G9397" s="30">
        <v>2922.34</v>
      </c>
    </row>
    <row r="9398" spans="1:7" hidden="1" x14ac:dyDescent="0.25">
      <c r="A9398" s="28">
        <v>44348</v>
      </c>
      <c r="B9398" s="27" t="s">
        <v>180</v>
      </c>
      <c r="C9398" s="27" t="s">
        <v>50</v>
      </c>
      <c r="D9398" s="27" t="s">
        <v>7</v>
      </c>
      <c r="E9398" s="27" t="s">
        <v>9</v>
      </c>
      <c r="F9398" s="29"/>
      <c r="G9398" s="30">
        <v>541.49</v>
      </c>
    </row>
    <row r="9399" spans="1:7" hidden="1" x14ac:dyDescent="0.25">
      <c r="A9399" s="28">
        <v>44348</v>
      </c>
      <c r="B9399" s="27" t="s">
        <v>180</v>
      </c>
      <c r="C9399" s="27" t="s">
        <v>50</v>
      </c>
      <c r="D9399" s="27" t="s">
        <v>7</v>
      </c>
      <c r="E9399" s="27" t="s">
        <v>22</v>
      </c>
      <c r="F9399" s="29"/>
      <c r="G9399" s="30">
        <v>405</v>
      </c>
    </row>
    <row r="9400" spans="1:7" hidden="1" x14ac:dyDescent="0.25">
      <c r="A9400" s="28">
        <v>44348</v>
      </c>
      <c r="B9400" s="27" t="s">
        <v>180</v>
      </c>
      <c r="C9400" s="27" t="s">
        <v>50</v>
      </c>
      <c r="D9400" s="27" t="s">
        <v>7</v>
      </c>
      <c r="E9400" s="27" t="s">
        <v>21</v>
      </c>
      <c r="F9400" s="29"/>
      <c r="G9400" s="30">
        <v>1700</v>
      </c>
    </row>
    <row r="9401" spans="1:7" hidden="1" x14ac:dyDescent="0.25">
      <c r="A9401" s="28">
        <v>44348</v>
      </c>
      <c r="B9401" s="27" t="s">
        <v>180</v>
      </c>
      <c r="C9401" s="27" t="s">
        <v>50</v>
      </c>
      <c r="D9401" s="27" t="s">
        <v>7</v>
      </c>
      <c r="E9401" s="27" t="s">
        <v>11</v>
      </c>
      <c r="F9401" s="29"/>
      <c r="G9401" s="30">
        <v>1500</v>
      </c>
    </row>
    <row r="9402" spans="1:7" hidden="1" x14ac:dyDescent="0.25">
      <c r="A9402" s="28">
        <v>44348</v>
      </c>
      <c r="B9402" s="27" t="s">
        <v>180</v>
      </c>
      <c r="C9402" s="27" t="s">
        <v>50</v>
      </c>
      <c r="D9402" s="27" t="s">
        <v>7</v>
      </c>
      <c r="E9402" s="27" t="s">
        <v>15</v>
      </c>
      <c r="F9402" s="29"/>
      <c r="G9402" s="30">
        <v>539.34</v>
      </c>
    </row>
    <row r="9403" spans="1:7" hidden="1" x14ac:dyDescent="0.25">
      <c r="A9403" s="28">
        <v>44348</v>
      </c>
      <c r="B9403" s="27" t="s">
        <v>180</v>
      </c>
      <c r="C9403" s="27" t="s">
        <v>50</v>
      </c>
      <c r="D9403" s="27" t="s">
        <v>7</v>
      </c>
      <c r="E9403" s="27" t="s">
        <v>19</v>
      </c>
      <c r="F9403" s="29"/>
      <c r="G9403" s="30">
        <v>2270</v>
      </c>
    </row>
    <row r="9404" spans="1:7" hidden="1" x14ac:dyDescent="0.25">
      <c r="A9404" s="28">
        <v>44348</v>
      </c>
      <c r="B9404" s="27" t="s">
        <v>180</v>
      </c>
      <c r="C9404" s="27" t="s">
        <v>50</v>
      </c>
      <c r="D9404" s="27" t="s">
        <v>7</v>
      </c>
      <c r="E9404" s="27" t="s">
        <v>23</v>
      </c>
      <c r="F9404" s="29"/>
      <c r="G9404" s="30">
        <v>300</v>
      </c>
    </row>
    <row r="9405" spans="1:7" hidden="1" x14ac:dyDescent="0.25">
      <c r="A9405" s="28">
        <v>44348</v>
      </c>
      <c r="B9405" s="27" t="s">
        <v>180</v>
      </c>
      <c r="C9405" s="27" t="s">
        <v>50</v>
      </c>
      <c r="D9405" s="27" t="s">
        <v>7</v>
      </c>
      <c r="E9405" s="27" t="s">
        <v>37</v>
      </c>
      <c r="F9405" s="29"/>
      <c r="G9405" s="30">
        <v>3087.39</v>
      </c>
    </row>
    <row r="9406" spans="1:7" hidden="1" x14ac:dyDescent="0.25">
      <c r="A9406" s="28">
        <v>44348</v>
      </c>
      <c r="B9406" s="27" t="s">
        <v>181</v>
      </c>
      <c r="C9406" s="27" t="s">
        <v>50</v>
      </c>
      <c r="D9406" s="27" t="s">
        <v>6</v>
      </c>
      <c r="E9406" s="27" t="s">
        <v>8</v>
      </c>
      <c r="F9406" s="29"/>
      <c r="G9406" s="30">
        <v>1202.83</v>
      </c>
    </row>
    <row r="9407" spans="1:7" hidden="1" x14ac:dyDescent="0.25">
      <c r="A9407" s="28">
        <v>44348</v>
      </c>
      <c r="B9407" s="27" t="s">
        <v>181</v>
      </c>
      <c r="C9407" s="27" t="s">
        <v>50</v>
      </c>
      <c r="D9407" s="27" t="s">
        <v>6</v>
      </c>
      <c r="E9407" s="27" t="s">
        <v>22</v>
      </c>
      <c r="F9407" s="29"/>
      <c r="G9407" s="30">
        <v>585</v>
      </c>
    </row>
    <row r="9408" spans="1:7" hidden="1" x14ac:dyDescent="0.25">
      <c r="A9408" s="28">
        <v>44348</v>
      </c>
      <c r="B9408" s="27" t="s">
        <v>181</v>
      </c>
      <c r="C9408" s="27" t="s">
        <v>50</v>
      </c>
      <c r="D9408" s="27" t="s">
        <v>6</v>
      </c>
      <c r="E9408" s="27" t="s">
        <v>21</v>
      </c>
      <c r="F9408" s="29"/>
      <c r="G9408" s="30">
        <v>180</v>
      </c>
    </row>
    <row r="9409" spans="1:7" hidden="1" x14ac:dyDescent="0.25">
      <c r="A9409" s="28">
        <v>44348</v>
      </c>
      <c r="B9409" s="27" t="s">
        <v>181</v>
      </c>
      <c r="C9409" s="27" t="s">
        <v>50</v>
      </c>
      <c r="D9409" s="27" t="s">
        <v>6</v>
      </c>
      <c r="E9409" s="27" t="s">
        <v>12</v>
      </c>
      <c r="F9409" s="29"/>
      <c r="G9409" s="30">
        <v>1195</v>
      </c>
    </row>
    <row r="9410" spans="1:7" hidden="1" x14ac:dyDescent="0.25">
      <c r="A9410" s="28">
        <v>44348</v>
      </c>
      <c r="B9410" s="27" t="s">
        <v>181</v>
      </c>
      <c r="C9410" s="27" t="s">
        <v>50</v>
      </c>
      <c r="D9410" s="27" t="s">
        <v>6</v>
      </c>
      <c r="E9410" s="27" t="s">
        <v>15</v>
      </c>
      <c r="F9410" s="29"/>
      <c r="G9410" s="30">
        <v>475</v>
      </c>
    </row>
    <row r="9411" spans="1:7" hidden="1" x14ac:dyDescent="0.25">
      <c r="A9411" s="28">
        <v>44348</v>
      </c>
      <c r="B9411" s="27" t="s">
        <v>181</v>
      </c>
      <c r="C9411" s="27" t="s">
        <v>50</v>
      </c>
      <c r="D9411" s="27" t="s">
        <v>6</v>
      </c>
      <c r="E9411" s="27" t="s">
        <v>18</v>
      </c>
      <c r="F9411" s="29"/>
      <c r="G9411" s="30">
        <v>120</v>
      </c>
    </row>
    <row r="9412" spans="1:7" hidden="1" x14ac:dyDescent="0.25">
      <c r="A9412" s="28">
        <v>44348</v>
      </c>
      <c r="B9412" s="27" t="s">
        <v>181</v>
      </c>
      <c r="C9412" s="27" t="s">
        <v>50</v>
      </c>
      <c r="D9412" s="27" t="s">
        <v>6</v>
      </c>
      <c r="E9412" s="27" t="s">
        <v>23</v>
      </c>
      <c r="F9412" s="29"/>
      <c r="G9412" s="30">
        <v>300</v>
      </c>
    </row>
    <row r="9413" spans="1:7" hidden="1" x14ac:dyDescent="0.25">
      <c r="A9413" s="28">
        <v>44348</v>
      </c>
      <c r="B9413" s="27" t="s">
        <v>181</v>
      </c>
      <c r="C9413" s="27" t="s">
        <v>50</v>
      </c>
      <c r="D9413" s="27" t="s">
        <v>6</v>
      </c>
      <c r="E9413" s="27" t="s">
        <v>37</v>
      </c>
      <c r="F9413" s="29"/>
      <c r="G9413" s="30">
        <v>3599.23</v>
      </c>
    </row>
    <row r="9414" spans="1:7" hidden="1" x14ac:dyDescent="0.25">
      <c r="A9414" s="28">
        <v>44348</v>
      </c>
      <c r="B9414" s="27" t="s">
        <v>2</v>
      </c>
      <c r="C9414" s="27" t="s">
        <v>50</v>
      </c>
      <c r="D9414" s="27" t="s">
        <v>7</v>
      </c>
      <c r="E9414" s="27" t="s">
        <v>8</v>
      </c>
      <c r="F9414" s="29"/>
      <c r="G9414" s="30">
        <v>92.38</v>
      </c>
    </row>
    <row r="9415" spans="1:7" hidden="1" x14ac:dyDescent="0.25">
      <c r="A9415" s="28">
        <v>44348</v>
      </c>
      <c r="B9415" s="27" t="s">
        <v>2</v>
      </c>
      <c r="C9415" s="27" t="s">
        <v>50</v>
      </c>
      <c r="D9415" s="27" t="s">
        <v>7</v>
      </c>
      <c r="E9415" s="27" t="s">
        <v>9</v>
      </c>
      <c r="F9415" s="29"/>
      <c r="G9415" s="30">
        <v>517.71</v>
      </c>
    </row>
    <row r="9416" spans="1:7" hidden="1" x14ac:dyDescent="0.25">
      <c r="A9416" s="28">
        <v>44348</v>
      </c>
      <c r="B9416" s="27" t="s">
        <v>2</v>
      </c>
      <c r="C9416" s="27" t="s">
        <v>50</v>
      </c>
      <c r="D9416" s="27" t="s">
        <v>7</v>
      </c>
      <c r="E9416" s="27" t="s">
        <v>22</v>
      </c>
      <c r="F9416" s="29"/>
      <c r="G9416" s="30">
        <v>735.11</v>
      </c>
    </row>
    <row r="9417" spans="1:7" hidden="1" x14ac:dyDescent="0.25">
      <c r="A9417" s="28">
        <v>44348</v>
      </c>
      <c r="B9417" s="27" t="s">
        <v>2</v>
      </c>
      <c r="C9417" s="27" t="s">
        <v>50</v>
      </c>
      <c r="D9417" s="27" t="s">
        <v>7</v>
      </c>
      <c r="E9417" s="27" t="s">
        <v>39</v>
      </c>
      <c r="F9417" s="29"/>
      <c r="G9417" s="30">
        <v>402.7</v>
      </c>
    </row>
    <row r="9418" spans="1:7" hidden="1" x14ac:dyDescent="0.25">
      <c r="A9418" s="28">
        <v>44348</v>
      </c>
      <c r="B9418" s="27" t="s">
        <v>2</v>
      </c>
      <c r="C9418" s="27" t="s">
        <v>50</v>
      </c>
      <c r="D9418" s="27" t="s">
        <v>7</v>
      </c>
      <c r="E9418" s="27" t="s">
        <v>64</v>
      </c>
      <c r="F9418" s="29"/>
      <c r="G9418" s="30">
        <v>629.70000000000005</v>
      </c>
    </row>
    <row r="9419" spans="1:7" hidden="1" x14ac:dyDescent="0.25">
      <c r="A9419" s="28">
        <v>44348</v>
      </c>
      <c r="B9419" s="27" t="s">
        <v>2</v>
      </c>
      <c r="C9419" s="27" t="s">
        <v>50</v>
      </c>
      <c r="D9419" s="27" t="s">
        <v>7</v>
      </c>
      <c r="E9419" s="27" t="s">
        <v>21</v>
      </c>
      <c r="F9419" s="29"/>
      <c r="G9419" s="30">
        <v>808.54</v>
      </c>
    </row>
    <row r="9420" spans="1:7" hidden="1" x14ac:dyDescent="0.25">
      <c r="A9420" s="28">
        <v>44348</v>
      </c>
      <c r="B9420" s="27" t="s">
        <v>2</v>
      </c>
      <c r="C9420" s="27" t="s">
        <v>50</v>
      </c>
      <c r="D9420" s="27" t="s">
        <v>7</v>
      </c>
      <c r="E9420" s="27" t="s">
        <v>41</v>
      </c>
      <c r="F9420" s="29"/>
      <c r="G9420" s="30">
        <v>321.7</v>
      </c>
    </row>
    <row r="9421" spans="1:7" hidden="1" x14ac:dyDescent="0.25">
      <c r="A9421" s="28">
        <v>44348</v>
      </c>
      <c r="B9421" s="27" t="s">
        <v>2</v>
      </c>
      <c r="C9421" s="27" t="s">
        <v>50</v>
      </c>
      <c r="D9421" s="27" t="s">
        <v>7</v>
      </c>
      <c r="E9421" s="27" t="s">
        <v>10</v>
      </c>
      <c r="F9421" s="29"/>
      <c r="G9421" s="30">
        <v>406.18</v>
      </c>
    </row>
    <row r="9422" spans="1:7" hidden="1" x14ac:dyDescent="0.25">
      <c r="A9422" s="28">
        <v>44348</v>
      </c>
      <c r="B9422" s="27" t="s">
        <v>2</v>
      </c>
      <c r="C9422" s="27" t="s">
        <v>50</v>
      </c>
      <c r="D9422" s="27" t="s">
        <v>7</v>
      </c>
      <c r="E9422" s="27" t="s">
        <v>11</v>
      </c>
      <c r="F9422" s="29"/>
      <c r="G9422" s="30">
        <v>758.08</v>
      </c>
    </row>
    <row r="9423" spans="1:7" hidden="1" x14ac:dyDescent="0.25">
      <c r="A9423" s="28">
        <v>44348</v>
      </c>
      <c r="B9423" s="27" t="s">
        <v>2</v>
      </c>
      <c r="C9423" s="27" t="s">
        <v>50</v>
      </c>
      <c r="D9423" s="27" t="s">
        <v>7</v>
      </c>
      <c r="E9423" s="27" t="s">
        <v>12</v>
      </c>
      <c r="F9423" s="29"/>
      <c r="G9423" s="30">
        <v>385.68</v>
      </c>
    </row>
    <row r="9424" spans="1:7" hidden="1" x14ac:dyDescent="0.25">
      <c r="A9424" s="28">
        <v>44348</v>
      </c>
      <c r="B9424" s="27" t="s">
        <v>2</v>
      </c>
      <c r="C9424" s="27" t="s">
        <v>50</v>
      </c>
      <c r="D9424" s="27" t="s">
        <v>7</v>
      </c>
      <c r="E9424" s="27" t="s">
        <v>13</v>
      </c>
      <c r="F9424" s="29"/>
      <c r="G9424" s="30">
        <v>79.680000000000007</v>
      </c>
    </row>
    <row r="9425" spans="1:7" hidden="1" x14ac:dyDescent="0.25">
      <c r="A9425" s="28">
        <v>44348</v>
      </c>
      <c r="B9425" s="27" t="s">
        <v>2</v>
      </c>
      <c r="C9425" s="27" t="s">
        <v>50</v>
      </c>
      <c r="D9425" s="27" t="s">
        <v>7</v>
      </c>
      <c r="E9425" s="27" t="s">
        <v>14</v>
      </c>
      <c r="F9425" s="29"/>
      <c r="G9425" s="30">
        <v>185.9</v>
      </c>
    </row>
    <row r="9426" spans="1:7" hidden="1" x14ac:dyDescent="0.25">
      <c r="A9426" s="28">
        <v>44348</v>
      </c>
      <c r="B9426" s="27" t="s">
        <v>2</v>
      </c>
      <c r="C9426" s="27" t="s">
        <v>50</v>
      </c>
      <c r="D9426" s="27" t="s">
        <v>7</v>
      </c>
      <c r="E9426" s="27" t="s">
        <v>15</v>
      </c>
      <c r="F9426" s="29"/>
      <c r="G9426" s="30">
        <v>837.47</v>
      </c>
    </row>
    <row r="9427" spans="1:7" hidden="1" x14ac:dyDescent="0.25">
      <c r="A9427" s="28">
        <v>44348</v>
      </c>
      <c r="B9427" s="27" t="s">
        <v>2</v>
      </c>
      <c r="C9427" s="27" t="s">
        <v>50</v>
      </c>
      <c r="D9427" s="27" t="s">
        <v>7</v>
      </c>
      <c r="E9427" s="27" t="s">
        <v>16</v>
      </c>
      <c r="F9427" s="29"/>
      <c r="G9427" s="30">
        <v>63.67</v>
      </c>
    </row>
    <row r="9428" spans="1:7" hidden="1" x14ac:dyDescent="0.25">
      <c r="A9428" s="28">
        <v>44348</v>
      </c>
      <c r="B9428" s="27" t="s">
        <v>2</v>
      </c>
      <c r="C9428" s="27" t="s">
        <v>50</v>
      </c>
      <c r="D9428" s="27" t="s">
        <v>7</v>
      </c>
      <c r="E9428" s="27" t="s">
        <v>17</v>
      </c>
      <c r="F9428" s="29"/>
      <c r="G9428" s="30">
        <v>469.17</v>
      </c>
    </row>
    <row r="9429" spans="1:7" hidden="1" x14ac:dyDescent="0.25">
      <c r="A9429" s="28">
        <v>44348</v>
      </c>
      <c r="B9429" s="27" t="s">
        <v>2</v>
      </c>
      <c r="C9429" s="27" t="s">
        <v>50</v>
      </c>
      <c r="D9429" s="27" t="s">
        <v>7</v>
      </c>
      <c r="E9429" s="27" t="s">
        <v>18</v>
      </c>
      <c r="F9429" s="29"/>
      <c r="G9429" s="30">
        <v>274.39999999999998</v>
      </c>
    </row>
    <row r="9430" spans="1:7" hidden="1" x14ac:dyDescent="0.25">
      <c r="A9430" s="28">
        <v>44348</v>
      </c>
      <c r="B9430" s="27" t="s">
        <v>2</v>
      </c>
      <c r="C9430" s="27" t="s">
        <v>50</v>
      </c>
      <c r="D9430" s="27" t="s">
        <v>7</v>
      </c>
      <c r="E9430" s="27" t="s">
        <v>19</v>
      </c>
      <c r="F9430" s="29"/>
      <c r="G9430" s="30">
        <v>844.32</v>
      </c>
    </row>
    <row r="9431" spans="1:7" hidden="1" x14ac:dyDescent="0.25">
      <c r="A9431" s="28">
        <v>44348</v>
      </c>
      <c r="B9431" s="27" t="s">
        <v>2</v>
      </c>
      <c r="C9431" s="27" t="s">
        <v>50</v>
      </c>
      <c r="D9431" s="27" t="s">
        <v>7</v>
      </c>
      <c r="E9431" s="27" t="s">
        <v>20</v>
      </c>
      <c r="F9431" s="29"/>
      <c r="G9431" s="30">
        <v>377.74</v>
      </c>
    </row>
    <row r="9432" spans="1:7" hidden="1" x14ac:dyDescent="0.25">
      <c r="A9432" s="28">
        <v>44348</v>
      </c>
      <c r="B9432" s="27" t="s">
        <v>2</v>
      </c>
      <c r="C9432" s="27" t="s">
        <v>50</v>
      </c>
      <c r="D9432" s="27" t="s">
        <v>7</v>
      </c>
      <c r="E9432" s="27" t="s">
        <v>38</v>
      </c>
      <c r="F9432" s="29"/>
      <c r="G9432" s="30">
        <v>87.7</v>
      </c>
    </row>
    <row r="9433" spans="1:7" hidden="1" x14ac:dyDescent="0.25">
      <c r="A9433" s="28">
        <v>44348</v>
      </c>
      <c r="B9433" s="27" t="s">
        <v>2</v>
      </c>
      <c r="C9433" s="27" t="s">
        <v>50</v>
      </c>
      <c r="D9433" s="27" t="s">
        <v>7</v>
      </c>
      <c r="E9433" s="27" t="s">
        <v>23</v>
      </c>
      <c r="F9433" s="29"/>
      <c r="G9433" s="30">
        <v>664.59</v>
      </c>
    </row>
    <row r="9434" spans="1:7" hidden="1" x14ac:dyDescent="0.25">
      <c r="A9434" s="28">
        <v>44348</v>
      </c>
      <c r="B9434" s="27" t="s">
        <v>2</v>
      </c>
      <c r="C9434" s="27" t="s">
        <v>50</v>
      </c>
      <c r="D9434" s="27" t="s">
        <v>7</v>
      </c>
      <c r="E9434" s="27" t="s">
        <v>40</v>
      </c>
      <c r="F9434" s="29"/>
      <c r="G9434" s="30">
        <v>623.6</v>
      </c>
    </row>
    <row r="9435" spans="1:7" hidden="1" x14ac:dyDescent="0.25">
      <c r="A9435" s="28">
        <v>44348</v>
      </c>
      <c r="B9435" s="27" t="s">
        <v>36</v>
      </c>
      <c r="C9435" s="27" t="s">
        <v>50</v>
      </c>
      <c r="D9435" s="27" t="s">
        <v>6</v>
      </c>
      <c r="E9435" s="27" t="s">
        <v>8</v>
      </c>
      <c r="F9435" s="29"/>
      <c r="G9435" s="30">
        <v>172.54619047619047</v>
      </c>
    </row>
    <row r="9436" spans="1:7" hidden="1" x14ac:dyDescent="0.25">
      <c r="A9436" s="28">
        <v>44348</v>
      </c>
      <c r="B9436" s="27" t="s">
        <v>36</v>
      </c>
      <c r="C9436" s="27" t="s">
        <v>50</v>
      </c>
      <c r="D9436" s="27" t="s">
        <v>6</v>
      </c>
      <c r="E9436" s="27" t="s">
        <v>9</v>
      </c>
      <c r="F9436" s="29"/>
      <c r="G9436" s="30">
        <v>172.54619047619047</v>
      </c>
    </row>
    <row r="9437" spans="1:7" hidden="1" x14ac:dyDescent="0.25">
      <c r="A9437" s="28">
        <v>44348</v>
      </c>
      <c r="B9437" s="27" t="s">
        <v>36</v>
      </c>
      <c r="C9437" s="27" t="s">
        <v>50</v>
      </c>
      <c r="D9437" s="27" t="s">
        <v>6</v>
      </c>
      <c r="E9437" s="27" t="s">
        <v>22</v>
      </c>
      <c r="F9437" s="29"/>
      <c r="G9437" s="30">
        <v>172.54619047619047</v>
      </c>
    </row>
    <row r="9438" spans="1:7" hidden="1" x14ac:dyDescent="0.25">
      <c r="A9438" s="28">
        <v>44348</v>
      </c>
      <c r="B9438" s="27" t="s">
        <v>36</v>
      </c>
      <c r="C9438" s="27" t="s">
        <v>50</v>
      </c>
      <c r="D9438" s="27" t="s">
        <v>6</v>
      </c>
      <c r="E9438" s="27" t="s">
        <v>39</v>
      </c>
      <c r="F9438" s="29"/>
      <c r="G9438" s="30">
        <v>172.54619047619047</v>
      </c>
    </row>
    <row r="9439" spans="1:7" hidden="1" x14ac:dyDescent="0.25">
      <c r="A9439" s="28">
        <v>44348</v>
      </c>
      <c r="B9439" s="27" t="s">
        <v>36</v>
      </c>
      <c r="C9439" s="27" t="s">
        <v>50</v>
      </c>
      <c r="D9439" s="27" t="s">
        <v>6</v>
      </c>
      <c r="E9439" s="27" t="s">
        <v>64</v>
      </c>
      <c r="F9439" s="29"/>
      <c r="G9439" s="30">
        <v>172.54619047619047</v>
      </c>
    </row>
    <row r="9440" spans="1:7" hidden="1" x14ac:dyDescent="0.25">
      <c r="A9440" s="28">
        <v>44348</v>
      </c>
      <c r="B9440" s="27" t="s">
        <v>36</v>
      </c>
      <c r="C9440" s="27" t="s">
        <v>50</v>
      </c>
      <c r="D9440" s="27" t="s">
        <v>6</v>
      </c>
      <c r="E9440" s="27" t="s">
        <v>21</v>
      </c>
      <c r="F9440" s="29"/>
      <c r="G9440" s="30">
        <v>172.54619047619047</v>
      </c>
    </row>
    <row r="9441" spans="1:7" hidden="1" x14ac:dyDescent="0.25">
      <c r="A9441" s="28">
        <v>44348</v>
      </c>
      <c r="B9441" s="27" t="s">
        <v>36</v>
      </c>
      <c r="C9441" s="27" t="s">
        <v>50</v>
      </c>
      <c r="D9441" s="27" t="s">
        <v>6</v>
      </c>
      <c r="E9441" s="27" t="s">
        <v>41</v>
      </c>
      <c r="F9441" s="29"/>
      <c r="G9441" s="30">
        <v>172.54619047619047</v>
      </c>
    </row>
    <row r="9442" spans="1:7" hidden="1" x14ac:dyDescent="0.25">
      <c r="A9442" s="28">
        <v>44348</v>
      </c>
      <c r="B9442" s="27" t="s">
        <v>36</v>
      </c>
      <c r="C9442" s="27" t="s">
        <v>50</v>
      </c>
      <c r="D9442" s="27" t="s">
        <v>6</v>
      </c>
      <c r="E9442" s="27" t="s">
        <v>10</v>
      </c>
      <c r="F9442" s="29"/>
      <c r="G9442" s="30">
        <v>172.54619047619047</v>
      </c>
    </row>
    <row r="9443" spans="1:7" hidden="1" x14ac:dyDescent="0.25">
      <c r="A9443" s="28">
        <v>44348</v>
      </c>
      <c r="B9443" s="27" t="s">
        <v>36</v>
      </c>
      <c r="C9443" s="27" t="s">
        <v>50</v>
      </c>
      <c r="D9443" s="27" t="s">
        <v>6</v>
      </c>
      <c r="E9443" s="27" t="s">
        <v>11</v>
      </c>
      <c r="F9443" s="29"/>
      <c r="G9443" s="30">
        <v>172.54619047619047</v>
      </c>
    </row>
    <row r="9444" spans="1:7" hidden="1" x14ac:dyDescent="0.25">
      <c r="A9444" s="28">
        <v>44348</v>
      </c>
      <c r="B9444" s="27" t="s">
        <v>36</v>
      </c>
      <c r="C9444" s="27" t="s">
        <v>50</v>
      </c>
      <c r="D9444" s="27" t="s">
        <v>6</v>
      </c>
      <c r="E9444" s="27" t="s">
        <v>12</v>
      </c>
      <c r="F9444" s="29"/>
      <c r="G9444" s="30">
        <v>172.54619047619047</v>
      </c>
    </row>
    <row r="9445" spans="1:7" hidden="1" x14ac:dyDescent="0.25">
      <c r="A9445" s="28">
        <v>44348</v>
      </c>
      <c r="B9445" s="27" t="s">
        <v>36</v>
      </c>
      <c r="C9445" s="27" t="s">
        <v>50</v>
      </c>
      <c r="D9445" s="27" t="s">
        <v>6</v>
      </c>
      <c r="E9445" s="27" t="s">
        <v>13</v>
      </c>
      <c r="F9445" s="29"/>
      <c r="G9445" s="30">
        <v>172.54619047619047</v>
      </c>
    </row>
    <row r="9446" spans="1:7" hidden="1" x14ac:dyDescent="0.25">
      <c r="A9446" s="28">
        <v>44348</v>
      </c>
      <c r="B9446" s="27" t="s">
        <v>36</v>
      </c>
      <c r="C9446" s="27" t="s">
        <v>50</v>
      </c>
      <c r="D9446" s="27" t="s">
        <v>6</v>
      </c>
      <c r="E9446" s="27" t="s">
        <v>14</v>
      </c>
      <c r="F9446" s="29"/>
      <c r="G9446" s="30">
        <v>172.54619047619047</v>
      </c>
    </row>
    <row r="9447" spans="1:7" hidden="1" x14ac:dyDescent="0.25">
      <c r="A9447" s="28">
        <v>44348</v>
      </c>
      <c r="B9447" s="27" t="s">
        <v>36</v>
      </c>
      <c r="C9447" s="27" t="s">
        <v>50</v>
      </c>
      <c r="D9447" s="27" t="s">
        <v>6</v>
      </c>
      <c r="E9447" s="27" t="s">
        <v>15</v>
      </c>
      <c r="F9447" s="29"/>
      <c r="G9447" s="30">
        <v>172.54619047619047</v>
      </c>
    </row>
    <row r="9448" spans="1:7" hidden="1" x14ac:dyDescent="0.25">
      <c r="A9448" s="28">
        <v>44348</v>
      </c>
      <c r="B9448" s="27" t="s">
        <v>36</v>
      </c>
      <c r="C9448" s="27" t="s">
        <v>50</v>
      </c>
      <c r="D9448" s="27" t="s">
        <v>6</v>
      </c>
      <c r="E9448" s="27" t="s">
        <v>16</v>
      </c>
      <c r="F9448" s="29"/>
      <c r="G9448" s="30">
        <v>172.54619047619047</v>
      </c>
    </row>
    <row r="9449" spans="1:7" hidden="1" x14ac:dyDescent="0.25">
      <c r="A9449" s="28">
        <v>44348</v>
      </c>
      <c r="B9449" s="27" t="s">
        <v>36</v>
      </c>
      <c r="C9449" s="27" t="s">
        <v>50</v>
      </c>
      <c r="D9449" s="27" t="s">
        <v>6</v>
      </c>
      <c r="E9449" s="27" t="s">
        <v>17</v>
      </c>
      <c r="F9449" s="29"/>
      <c r="G9449" s="30">
        <v>172.54619047619047</v>
      </c>
    </row>
    <row r="9450" spans="1:7" hidden="1" x14ac:dyDescent="0.25">
      <c r="A9450" s="28">
        <v>44348</v>
      </c>
      <c r="B9450" s="27" t="s">
        <v>36</v>
      </c>
      <c r="C9450" s="27" t="s">
        <v>50</v>
      </c>
      <c r="D9450" s="27" t="s">
        <v>6</v>
      </c>
      <c r="E9450" s="27" t="s">
        <v>18</v>
      </c>
      <c r="F9450" s="29"/>
      <c r="G9450" s="30">
        <v>172.54619047619047</v>
      </c>
    </row>
    <row r="9451" spans="1:7" hidden="1" x14ac:dyDescent="0.25">
      <c r="A9451" s="28">
        <v>44348</v>
      </c>
      <c r="B9451" s="27" t="s">
        <v>36</v>
      </c>
      <c r="C9451" s="27" t="s">
        <v>50</v>
      </c>
      <c r="D9451" s="27" t="s">
        <v>6</v>
      </c>
      <c r="E9451" s="27" t="s">
        <v>19</v>
      </c>
      <c r="F9451" s="29"/>
      <c r="G9451" s="30">
        <v>172.54619047619047</v>
      </c>
    </row>
    <row r="9452" spans="1:7" hidden="1" x14ac:dyDescent="0.25">
      <c r="A9452" s="28">
        <v>44348</v>
      </c>
      <c r="B9452" s="27" t="s">
        <v>36</v>
      </c>
      <c r="C9452" s="27" t="s">
        <v>50</v>
      </c>
      <c r="D9452" s="27" t="s">
        <v>6</v>
      </c>
      <c r="E9452" s="27" t="s">
        <v>20</v>
      </c>
      <c r="F9452" s="29"/>
      <c r="G9452" s="30">
        <v>172.54619047619047</v>
      </c>
    </row>
    <row r="9453" spans="1:7" hidden="1" x14ac:dyDescent="0.25">
      <c r="A9453" s="28">
        <v>44348</v>
      </c>
      <c r="B9453" s="27" t="s">
        <v>36</v>
      </c>
      <c r="C9453" s="27" t="s">
        <v>50</v>
      </c>
      <c r="D9453" s="27" t="s">
        <v>6</v>
      </c>
      <c r="E9453" s="27" t="s">
        <v>38</v>
      </c>
      <c r="F9453" s="29"/>
      <c r="G9453" s="30">
        <v>172.54619047619047</v>
      </c>
    </row>
    <row r="9454" spans="1:7" hidden="1" x14ac:dyDescent="0.25">
      <c r="A9454" s="28">
        <v>44348</v>
      </c>
      <c r="B9454" s="27" t="s">
        <v>36</v>
      </c>
      <c r="C9454" s="27" t="s">
        <v>50</v>
      </c>
      <c r="D9454" s="27" t="s">
        <v>6</v>
      </c>
      <c r="E9454" s="27" t="s">
        <v>23</v>
      </c>
      <c r="F9454" s="29"/>
      <c r="G9454" s="30">
        <v>172.54619047619047</v>
      </c>
    </row>
    <row r="9455" spans="1:7" hidden="1" x14ac:dyDescent="0.25">
      <c r="A9455" s="28">
        <v>44348</v>
      </c>
      <c r="B9455" s="27" t="s">
        <v>36</v>
      </c>
      <c r="C9455" s="27" t="s">
        <v>50</v>
      </c>
      <c r="D9455" s="27" t="s">
        <v>6</v>
      </c>
      <c r="E9455" s="27" t="s">
        <v>40</v>
      </c>
      <c r="F9455" s="29"/>
      <c r="G9455" s="30">
        <v>172.54619047619047</v>
      </c>
    </row>
    <row r="9456" spans="1:7" hidden="1" x14ac:dyDescent="0.25">
      <c r="A9456" s="28">
        <v>44348</v>
      </c>
      <c r="B9456" s="27" t="s">
        <v>200</v>
      </c>
      <c r="C9456" s="27" t="s">
        <v>53</v>
      </c>
      <c r="D9456" s="27" t="s">
        <v>6</v>
      </c>
      <c r="E9456" s="27" t="s">
        <v>8</v>
      </c>
      <c r="F9456" s="29"/>
      <c r="G9456" s="30">
        <f t="shared" ref="G9456:G9476" si="173">10287.1491555556/21</f>
        <v>489.86424550264763</v>
      </c>
    </row>
    <row r="9457" spans="1:7" hidden="1" x14ac:dyDescent="0.25">
      <c r="A9457" s="28">
        <v>44348</v>
      </c>
      <c r="B9457" s="27" t="s">
        <v>200</v>
      </c>
      <c r="C9457" s="27" t="s">
        <v>53</v>
      </c>
      <c r="D9457" s="27" t="s">
        <v>6</v>
      </c>
      <c r="E9457" s="27" t="s">
        <v>9</v>
      </c>
      <c r="F9457" s="29"/>
      <c r="G9457" s="30">
        <f t="shared" si="173"/>
        <v>489.86424550264763</v>
      </c>
    </row>
    <row r="9458" spans="1:7" hidden="1" x14ac:dyDescent="0.25">
      <c r="A9458" s="28">
        <v>44348</v>
      </c>
      <c r="B9458" s="27" t="s">
        <v>200</v>
      </c>
      <c r="C9458" s="27" t="s">
        <v>53</v>
      </c>
      <c r="D9458" s="27" t="s">
        <v>6</v>
      </c>
      <c r="E9458" s="27" t="s">
        <v>22</v>
      </c>
      <c r="F9458" s="29"/>
      <c r="G9458" s="30">
        <f t="shared" si="173"/>
        <v>489.86424550264763</v>
      </c>
    </row>
    <row r="9459" spans="1:7" hidden="1" x14ac:dyDescent="0.25">
      <c r="A9459" s="28">
        <v>44348</v>
      </c>
      <c r="B9459" s="27" t="s">
        <v>200</v>
      </c>
      <c r="C9459" s="27" t="s">
        <v>53</v>
      </c>
      <c r="D9459" s="27" t="s">
        <v>6</v>
      </c>
      <c r="E9459" s="27" t="s">
        <v>39</v>
      </c>
      <c r="F9459" s="29"/>
      <c r="G9459" s="30">
        <f t="shared" si="173"/>
        <v>489.86424550264763</v>
      </c>
    </row>
    <row r="9460" spans="1:7" hidden="1" x14ac:dyDescent="0.25">
      <c r="A9460" s="28">
        <v>44348</v>
      </c>
      <c r="B9460" s="27" t="s">
        <v>200</v>
      </c>
      <c r="C9460" s="27" t="s">
        <v>53</v>
      </c>
      <c r="D9460" s="27" t="s">
        <v>6</v>
      </c>
      <c r="E9460" s="27" t="s">
        <v>64</v>
      </c>
      <c r="F9460" s="29"/>
      <c r="G9460" s="30">
        <f t="shared" si="173"/>
        <v>489.86424550264763</v>
      </c>
    </row>
    <row r="9461" spans="1:7" hidden="1" x14ac:dyDescent="0.25">
      <c r="A9461" s="28">
        <v>44348</v>
      </c>
      <c r="B9461" s="27" t="s">
        <v>200</v>
      </c>
      <c r="C9461" s="27" t="s">
        <v>53</v>
      </c>
      <c r="D9461" s="27" t="s">
        <v>6</v>
      </c>
      <c r="E9461" s="27" t="s">
        <v>21</v>
      </c>
      <c r="F9461" s="29"/>
      <c r="G9461" s="30">
        <f t="shared" si="173"/>
        <v>489.86424550264763</v>
      </c>
    </row>
    <row r="9462" spans="1:7" hidden="1" x14ac:dyDescent="0.25">
      <c r="A9462" s="28">
        <v>44348</v>
      </c>
      <c r="B9462" s="27" t="s">
        <v>200</v>
      </c>
      <c r="C9462" s="27" t="s">
        <v>53</v>
      </c>
      <c r="D9462" s="27" t="s">
        <v>6</v>
      </c>
      <c r="E9462" s="27" t="s">
        <v>41</v>
      </c>
      <c r="F9462" s="29"/>
      <c r="G9462" s="30">
        <f t="shared" si="173"/>
        <v>489.86424550264763</v>
      </c>
    </row>
    <row r="9463" spans="1:7" hidden="1" x14ac:dyDescent="0.25">
      <c r="A9463" s="28">
        <v>44348</v>
      </c>
      <c r="B9463" s="27" t="s">
        <v>200</v>
      </c>
      <c r="C9463" s="27" t="s">
        <v>53</v>
      </c>
      <c r="D9463" s="27" t="s">
        <v>6</v>
      </c>
      <c r="E9463" s="27" t="s">
        <v>10</v>
      </c>
      <c r="F9463" s="29"/>
      <c r="G9463" s="30">
        <f t="shared" si="173"/>
        <v>489.86424550264763</v>
      </c>
    </row>
    <row r="9464" spans="1:7" hidden="1" x14ac:dyDescent="0.25">
      <c r="A9464" s="28">
        <v>44348</v>
      </c>
      <c r="B9464" s="27" t="s">
        <v>200</v>
      </c>
      <c r="C9464" s="27" t="s">
        <v>53</v>
      </c>
      <c r="D9464" s="27" t="s">
        <v>6</v>
      </c>
      <c r="E9464" s="27" t="s">
        <v>11</v>
      </c>
      <c r="F9464" s="29"/>
      <c r="G9464" s="30">
        <f t="shared" si="173"/>
        <v>489.86424550264763</v>
      </c>
    </row>
    <row r="9465" spans="1:7" hidden="1" x14ac:dyDescent="0.25">
      <c r="A9465" s="28">
        <v>44348</v>
      </c>
      <c r="B9465" s="27" t="s">
        <v>200</v>
      </c>
      <c r="C9465" s="27" t="s">
        <v>53</v>
      </c>
      <c r="D9465" s="27" t="s">
        <v>6</v>
      </c>
      <c r="E9465" s="27" t="s">
        <v>12</v>
      </c>
      <c r="F9465" s="29"/>
      <c r="G9465" s="30">
        <f t="shared" si="173"/>
        <v>489.86424550264763</v>
      </c>
    </row>
    <row r="9466" spans="1:7" hidden="1" x14ac:dyDescent="0.25">
      <c r="A9466" s="28">
        <v>44348</v>
      </c>
      <c r="B9466" s="27" t="s">
        <v>200</v>
      </c>
      <c r="C9466" s="27" t="s">
        <v>53</v>
      </c>
      <c r="D9466" s="27" t="s">
        <v>6</v>
      </c>
      <c r="E9466" s="27" t="s">
        <v>13</v>
      </c>
      <c r="F9466" s="29"/>
      <c r="G9466" s="30">
        <f t="shared" si="173"/>
        <v>489.86424550264763</v>
      </c>
    </row>
    <row r="9467" spans="1:7" hidden="1" x14ac:dyDescent="0.25">
      <c r="A9467" s="28">
        <v>44348</v>
      </c>
      <c r="B9467" s="27" t="s">
        <v>200</v>
      </c>
      <c r="C9467" s="27" t="s">
        <v>53</v>
      </c>
      <c r="D9467" s="27" t="s">
        <v>6</v>
      </c>
      <c r="E9467" s="27" t="s">
        <v>14</v>
      </c>
      <c r="F9467" s="29"/>
      <c r="G9467" s="30">
        <f t="shared" si="173"/>
        <v>489.86424550264763</v>
      </c>
    </row>
    <row r="9468" spans="1:7" hidden="1" x14ac:dyDescent="0.25">
      <c r="A9468" s="28">
        <v>44348</v>
      </c>
      <c r="B9468" s="27" t="s">
        <v>200</v>
      </c>
      <c r="C9468" s="27" t="s">
        <v>53</v>
      </c>
      <c r="D9468" s="27" t="s">
        <v>6</v>
      </c>
      <c r="E9468" s="27" t="s">
        <v>15</v>
      </c>
      <c r="F9468" s="29"/>
      <c r="G9468" s="30">
        <f t="shared" si="173"/>
        <v>489.86424550264763</v>
      </c>
    </row>
    <row r="9469" spans="1:7" hidden="1" x14ac:dyDescent="0.25">
      <c r="A9469" s="28">
        <v>44348</v>
      </c>
      <c r="B9469" s="27" t="s">
        <v>200</v>
      </c>
      <c r="C9469" s="27" t="s">
        <v>53</v>
      </c>
      <c r="D9469" s="27" t="s">
        <v>6</v>
      </c>
      <c r="E9469" s="27" t="s">
        <v>16</v>
      </c>
      <c r="F9469" s="29"/>
      <c r="G9469" s="30">
        <f t="shared" si="173"/>
        <v>489.86424550264763</v>
      </c>
    </row>
    <row r="9470" spans="1:7" hidden="1" x14ac:dyDescent="0.25">
      <c r="A9470" s="28">
        <v>44348</v>
      </c>
      <c r="B9470" s="27" t="s">
        <v>200</v>
      </c>
      <c r="C9470" s="27" t="s">
        <v>53</v>
      </c>
      <c r="D9470" s="27" t="s">
        <v>6</v>
      </c>
      <c r="E9470" s="27" t="s">
        <v>17</v>
      </c>
      <c r="F9470" s="29"/>
      <c r="G9470" s="30">
        <f t="shared" si="173"/>
        <v>489.86424550264763</v>
      </c>
    </row>
    <row r="9471" spans="1:7" hidden="1" x14ac:dyDescent="0.25">
      <c r="A9471" s="28">
        <v>44348</v>
      </c>
      <c r="B9471" s="27" t="s">
        <v>200</v>
      </c>
      <c r="C9471" s="27" t="s">
        <v>53</v>
      </c>
      <c r="D9471" s="27" t="s">
        <v>6</v>
      </c>
      <c r="E9471" s="27" t="s">
        <v>18</v>
      </c>
      <c r="F9471" s="29"/>
      <c r="G9471" s="30">
        <f t="shared" si="173"/>
        <v>489.86424550264763</v>
      </c>
    </row>
    <row r="9472" spans="1:7" hidden="1" x14ac:dyDescent="0.25">
      <c r="A9472" s="28">
        <v>44348</v>
      </c>
      <c r="B9472" s="27" t="s">
        <v>200</v>
      </c>
      <c r="C9472" s="27" t="s">
        <v>53</v>
      </c>
      <c r="D9472" s="27" t="s">
        <v>6</v>
      </c>
      <c r="E9472" s="27" t="s">
        <v>19</v>
      </c>
      <c r="F9472" s="29"/>
      <c r="G9472" s="30">
        <f t="shared" si="173"/>
        <v>489.86424550264763</v>
      </c>
    </row>
    <row r="9473" spans="1:7" hidden="1" x14ac:dyDescent="0.25">
      <c r="A9473" s="28">
        <v>44348</v>
      </c>
      <c r="B9473" s="27" t="s">
        <v>200</v>
      </c>
      <c r="C9473" s="27" t="s">
        <v>53</v>
      </c>
      <c r="D9473" s="27" t="s">
        <v>6</v>
      </c>
      <c r="E9473" s="27" t="s">
        <v>20</v>
      </c>
      <c r="F9473" s="29"/>
      <c r="G9473" s="30">
        <f t="shared" si="173"/>
        <v>489.86424550264763</v>
      </c>
    </row>
    <row r="9474" spans="1:7" hidden="1" x14ac:dyDescent="0.25">
      <c r="A9474" s="28">
        <v>44348</v>
      </c>
      <c r="B9474" s="27" t="s">
        <v>200</v>
      </c>
      <c r="C9474" s="27" t="s">
        <v>53</v>
      </c>
      <c r="D9474" s="27" t="s">
        <v>6</v>
      </c>
      <c r="E9474" s="27" t="s">
        <v>38</v>
      </c>
      <c r="F9474" s="29"/>
      <c r="G9474" s="30">
        <f t="shared" si="173"/>
        <v>489.86424550264763</v>
      </c>
    </row>
    <row r="9475" spans="1:7" hidden="1" x14ac:dyDescent="0.25">
      <c r="A9475" s="28">
        <v>44348</v>
      </c>
      <c r="B9475" s="27" t="s">
        <v>200</v>
      </c>
      <c r="C9475" s="27" t="s">
        <v>53</v>
      </c>
      <c r="D9475" s="27" t="s">
        <v>6</v>
      </c>
      <c r="E9475" s="27" t="s">
        <v>23</v>
      </c>
      <c r="F9475" s="29"/>
      <c r="G9475" s="30">
        <f t="shared" si="173"/>
        <v>489.86424550264763</v>
      </c>
    </row>
    <row r="9476" spans="1:7" hidden="1" x14ac:dyDescent="0.25">
      <c r="A9476" s="28">
        <v>44348</v>
      </c>
      <c r="B9476" s="27" t="s">
        <v>200</v>
      </c>
      <c r="C9476" s="27" t="s">
        <v>53</v>
      </c>
      <c r="D9476" s="27" t="s">
        <v>6</v>
      </c>
      <c r="E9476" s="27" t="s">
        <v>40</v>
      </c>
      <c r="F9476" s="29"/>
      <c r="G9476" s="30">
        <f t="shared" si="173"/>
        <v>489.86424550264763</v>
      </c>
    </row>
    <row r="9477" spans="1:7" hidden="1" x14ac:dyDescent="0.25">
      <c r="A9477" s="28">
        <v>44348</v>
      </c>
      <c r="B9477" s="27" t="s">
        <v>200</v>
      </c>
      <c r="C9477" s="27" t="s">
        <v>54</v>
      </c>
      <c r="D9477" s="27" t="s">
        <v>7</v>
      </c>
      <c r="E9477" s="27" t="s">
        <v>8</v>
      </c>
      <c r="F9477" s="29"/>
      <c r="G9477" s="30">
        <f t="shared" ref="G9477:G9497" si="174">214.82/21</f>
        <v>10.229523809523808</v>
      </c>
    </row>
    <row r="9478" spans="1:7" hidden="1" x14ac:dyDescent="0.25">
      <c r="A9478" s="28">
        <v>44348</v>
      </c>
      <c r="B9478" s="27" t="s">
        <v>200</v>
      </c>
      <c r="C9478" s="27" t="s">
        <v>54</v>
      </c>
      <c r="D9478" s="27" t="s">
        <v>7</v>
      </c>
      <c r="E9478" s="27" t="s">
        <v>9</v>
      </c>
      <c r="F9478" s="29"/>
      <c r="G9478" s="30">
        <f t="shared" si="174"/>
        <v>10.229523809523808</v>
      </c>
    </row>
    <row r="9479" spans="1:7" hidden="1" x14ac:dyDescent="0.25">
      <c r="A9479" s="28">
        <v>44348</v>
      </c>
      <c r="B9479" s="27" t="s">
        <v>200</v>
      </c>
      <c r="C9479" s="27" t="s">
        <v>54</v>
      </c>
      <c r="D9479" s="27" t="s">
        <v>7</v>
      </c>
      <c r="E9479" s="27" t="s">
        <v>22</v>
      </c>
      <c r="F9479" s="29"/>
      <c r="G9479" s="30">
        <f t="shared" si="174"/>
        <v>10.229523809523808</v>
      </c>
    </row>
    <row r="9480" spans="1:7" hidden="1" x14ac:dyDescent="0.25">
      <c r="A9480" s="28">
        <v>44348</v>
      </c>
      <c r="B9480" s="27" t="s">
        <v>200</v>
      </c>
      <c r="C9480" s="27" t="s">
        <v>54</v>
      </c>
      <c r="D9480" s="27" t="s">
        <v>7</v>
      </c>
      <c r="E9480" s="27" t="s">
        <v>39</v>
      </c>
      <c r="F9480" s="29"/>
      <c r="G9480" s="30">
        <f t="shared" si="174"/>
        <v>10.229523809523808</v>
      </c>
    </row>
    <row r="9481" spans="1:7" hidden="1" x14ac:dyDescent="0.25">
      <c r="A9481" s="28">
        <v>44348</v>
      </c>
      <c r="B9481" s="27" t="s">
        <v>200</v>
      </c>
      <c r="C9481" s="27" t="s">
        <v>54</v>
      </c>
      <c r="D9481" s="27" t="s">
        <v>7</v>
      </c>
      <c r="E9481" s="27" t="s">
        <v>64</v>
      </c>
      <c r="F9481" s="29"/>
      <c r="G9481" s="30">
        <f t="shared" si="174"/>
        <v>10.229523809523808</v>
      </c>
    </row>
    <row r="9482" spans="1:7" hidden="1" x14ac:dyDescent="0.25">
      <c r="A9482" s="28">
        <v>44348</v>
      </c>
      <c r="B9482" s="27" t="s">
        <v>200</v>
      </c>
      <c r="C9482" s="27" t="s">
        <v>54</v>
      </c>
      <c r="D9482" s="27" t="s">
        <v>7</v>
      </c>
      <c r="E9482" s="27" t="s">
        <v>21</v>
      </c>
      <c r="F9482" s="29"/>
      <c r="G9482" s="30">
        <f t="shared" si="174"/>
        <v>10.229523809523808</v>
      </c>
    </row>
    <row r="9483" spans="1:7" hidden="1" x14ac:dyDescent="0.25">
      <c r="A9483" s="28">
        <v>44348</v>
      </c>
      <c r="B9483" s="27" t="s">
        <v>200</v>
      </c>
      <c r="C9483" s="27" t="s">
        <v>54</v>
      </c>
      <c r="D9483" s="27" t="s">
        <v>7</v>
      </c>
      <c r="E9483" s="27" t="s">
        <v>41</v>
      </c>
      <c r="F9483" s="29"/>
      <c r="G9483" s="30">
        <f t="shared" si="174"/>
        <v>10.229523809523808</v>
      </c>
    </row>
    <row r="9484" spans="1:7" hidden="1" x14ac:dyDescent="0.25">
      <c r="A9484" s="28">
        <v>44348</v>
      </c>
      <c r="B9484" s="27" t="s">
        <v>200</v>
      </c>
      <c r="C9484" s="27" t="s">
        <v>54</v>
      </c>
      <c r="D9484" s="27" t="s">
        <v>7</v>
      </c>
      <c r="E9484" s="27" t="s">
        <v>10</v>
      </c>
      <c r="F9484" s="29"/>
      <c r="G9484" s="30">
        <f t="shared" si="174"/>
        <v>10.229523809523808</v>
      </c>
    </row>
    <row r="9485" spans="1:7" hidden="1" x14ac:dyDescent="0.25">
      <c r="A9485" s="28">
        <v>44348</v>
      </c>
      <c r="B9485" s="27" t="s">
        <v>200</v>
      </c>
      <c r="C9485" s="27" t="s">
        <v>54</v>
      </c>
      <c r="D9485" s="27" t="s">
        <v>7</v>
      </c>
      <c r="E9485" s="27" t="s">
        <v>11</v>
      </c>
      <c r="F9485" s="29"/>
      <c r="G9485" s="30">
        <f t="shared" si="174"/>
        <v>10.229523809523808</v>
      </c>
    </row>
    <row r="9486" spans="1:7" hidden="1" x14ac:dyDescent="0.25">
      <c r="A9486" s="28">
        <v>44348</v>
      </c>
      <c r="B9486" s="27" t="s">
        <v>200</v>
      </c>
      <c r="C9486" s="27" t="s">
        <v>54</v>
      </c>
      <c r="D9486" s="27" t="s">
        <v>7</v>
      </c>
      <c r="E9486" s="27" t="s">
        <v>12</v>
      </c>
      <c r="F9486" s="29"/>
      <c r="G9486" s="30">
        <f t="shared" si="174"/>
        <v>10.229523809523808</v>
      </c>
    </row>
    <row r="9487" spans="1:7" hidden="1" x14ac:dyDescent="0.25">
      <c r="A9487" s="28">
        <v>44348</v>
      </c>
      <c r="B9487" s="27" t="s">
        <v>200</v>
      </c>
      <c r="C9487" s="27" t="s">
        <v>54</v>
      </c>
      <c r="D9487" s="27" t="s">
        <v>7</v>
      </c>
      <c r="E9487" s="27" t="s">
        <v>13</v>
      </c>
      <c r="F9487" s="29"/>
      <c r="G9487" s="30">
        <f t="shared" si="174"/>
        <v>10.229523809523808</v>
      </c>
    </row>
    <row r="9488" spans="1:7" hidden="1" x14ac:dyDescent="0.25">
      <c r="A9488" s="28">
        <v>44348</v>
      </c>
      <c r="B9488" s="27" t="s">
        <v>200</v>
      </c>
      <c r="C9488" s="27" t="s">
        <v>54</v>
      </c>
      <c r="D9488" s="27" t="s">
        <v>7</v>
      </c>
      <c r="E9488" s="27" t="s">
        <v>14</v>
      </c>
      <c r="F9488" s="29"/>
      <c r="G9488" s="30">
        <f t="shared" si="174"/>
        <v>10.229523809523808</v>
      </c>
    </row>
    <row r="9489" spans="1:7" hidden="1" x14ac:dyDescent="0.25">
      <c r="A9489" s="28">
        <v>44348</v>
      </c>
      <c r="B9489" s="27" t="s">
        <v>200</v>
      </c>
      <c r="C9489" s="27" t="s">
        <v>54</v>
      </c>
      <c r="D9489" s="27" t="s">
        <v>7</v>
      </c>
      <c r="E9489" s="27" t="s">
        <v>15</v>
      </c>
      <c r="F9489" s="29"/>
      <c r="G9489" s="30">
        <f t="shared" si="174"/>
        <v>10.229523809523808</v>
      </c>
    </row>
    <row r="9490" spans="1:7" hidden="1" x14ac:dyDescent="0.25">
      <c r="A9490" s="28">
        <v>44348</v>
      </c>
      <c r="B9490" s="27" t="s">
        <v>200</v>
      </c>
      <c r="C9490" s="27" t="s">
        <v>54</v>
      </c>
      <c r="D9490" s="27" t="s">
        <v>7</v>
      </c>
      <c r="E9490" s="27" t="s">
        <v>16</v>
      </c>
      <c r="F9490" s="29"/>
      <c r="G9490" s="30">
        <f t="shared" si="174"/>
        <v>10.229523809523808</v>
      </c>
    </row>
    <row r="9491" spans="1:7" hidden="1" x14ac:dyDescent="0.25">
      <c r="A9491" s="28">
        <v>44348</v>
      </c>
      <c r="B9491" s="27" t="s">
        <v>200</v>
      </c>
      <c r="C9491" s="27" t="s">
        <v>54</v>
      </c>
      <c r="D9491" s="27" t="s">
        <v>7</v>
      </c>
      <c r="E9491" s="27" t="s">
        <v>17</v>
      </c>
      <c r="F9491" s="29"/>
      <c r="G9491" s="30">
        <f t="shared" si="174"/>
        <v>10.229523809523808</v>
      </c>
    </row>
    <row r="9492" spans="1:7" hidden="1" x14ac:dyDescent="0.25">
      <c r="A9492" s="28">
        <v>44348</v>
      </c>
      <c r="B9492" s="27" t="s">
        <v>200</v>
      </c>
      <c r="C9492" s="27" t="s">
        <v>54</v>
      </c>
      <c r="D9492" s="27" t="s">
        <v>7</v>
      </c>
      <c r="E9492" s="27" t="s">
        <v>18</v>
      </c>
      <c r="F9492" s="29"/>
      <c r="G9492" s="30">
        <f t="shared" si="174"/>
        <v>10.229523809523808</v>
      </c>
    </row>
    <row r="9493" spans="1:7" hidden="1" x14ac:dyDescent="0.25">
      <c r="A9493" s="28">
        <v>44348</v>
      </c>
      <c r="B9493" s="27" t="s">
        <v>200</v>
      </c>
      <c r="C9493" s="27" t="s">
        <v>54</v>
      </c>
      <c r="D9493" s="27" t="s">
        <v>7</v>
      </c>
      <c r="E9493" s="27" t="s">
        <v>19</v>
      </c>
      <c r="F9493" s="29"/>
      <c r="G9493" s="30">
        <f t="shared" si="174"/>
        <v>10.229523809523808</v>
      </c>
    </row>
    <row r="9494" spans="1:7" hidden="1" x14ac:dyDescent="0.25">
      <c r="A9494" s="28">
        <v>44348</v>
      </c>
      <c r="B9494" s="27" t="s">
        <v>200</v>
      </c>
      <c r="C9494" s="27" t="s">
        <v>54</v>
      </c>
      <c r="D9494" s="27" t="s">
        <v>7</v>
      </c>
      <c r="E9494" s="27" t="s">
        <v>20</v>
      </c>
      <c r="F9494" s="29"/>
      <c r="G9494" s="30">
        <f t="shared" si="174"/>
        <v>10.229523809523808</v>
      </c>
    </row>
    <row r="9495" spans="1:7" hidden="1" x14ac:dyDescent="0.25">
      <c r="A9495" s="28">
        <v>44348</v>
      </c>
      <c r="B9495" s="27" t="s">
        <v>200</v>
      </c>
      <c r="C9495" s="27" t="s">
        <v>54</v>
      </c>
      <c r="D9495" s="27" t="s">
        <v>7</v>
      </c>
      <c r="E9495" s="27" t="s">
        <v>38</v>
      </c>
      <c r="F9495" s="29"/>
      <c r="G9495" s="30">
        <f t="shared" si="174"/>
        <v>10.229523809523808</v>
      </c>
    </row>
    <row r="9496" spans="1:7" hidden="1" x14ac:dyDescent="0.25">
      <c r="A9496" s="28">
        <v>44348</v>
      </c>
      <c r="B9496" s="27" t="s">
        <v>200</v>
      </c>
      <c r="C9496" s="27" t="s">
        <v>54</v>
      </c>
      <c r="D9496" s="27" t="s">
        <v>7</v>
      </c>
      <c r="E9496" s="27" t="s">
        <v>23</v>
      </c>
      <c r="F9496" s="29"/>
      <c r="G9496" s="30">
        <f t="shared" si="174"/>
        <v>10.229523809523808</v>
      </c>
    </row>
    <row r="9497" spans="1:7" hidden="1" x14ac:dyDescent="0.25">
      <c r="A9497" s="28">
        <v>44348</v>
      </c>
      <c r="B9497" s="27" t="s">
        <v>200</v>
      </c>
      <c r="C9497" s="27" t="s">
        <v>54</v>
      </c>
      <c r="D9497" s="27" t="s">
        <v>7</v>
      </c>
      <c r="E9497" s="27" t="s">
        <v>40</v>
      </c>
      <c r="F9497" s="29"/>
      <c r="G9497" s="30">
        <f t="shared" si="174"/>
        <v>10.229523809523808</v>
      </c>
    </row>
    <row r="9498" spans="1:7" hidden="1" x14ac:dyDescent="0.25">
      <c r="A9498" s="28">
        <v>44348</v>
      </c>
      <c r="B9498" s="27" t="s">
        <v>200</v>
      </c>
      <c r="C9498" s="27" t="s">
        <v>55</v>
      </c>
      <c r="D9498" s="27" t="s">
        <v>6</v>
      </c>
      <c r="E9498" s="27" t="s">
        <v>8</v>
      </c>
      <c r="F9498" s="29"/>
      <c r="G9498" s="30">
        <f t="shared" ref="G9498:G9518" si="175">29746.1078222222/21</f>
        <v>1416.4813248677237</v>
      </c>
    </row>
    <row r="9499" spans="1:7" hidden="1" x14ac:dyDescent="0.25">
      <c r="A9499" s="28">
        <v>44348</v>
      </c>
      <c r="B9499" s="27" t="s">
        <v>200</v>
      </c>
      <c r="C9499" s="27" t="s">
        <v>55</v>
      </c>
      <c r="D9499" s="27" t="s">
        <v>6</v>
      </c>
      <c r="E9499" s="27" t="s">
        <v>9</v>
      </c>
      <c r="F9499" s="29"/>
      <c r="G9499" s="30">
        <f t="shared" si="175"/>
        <v>1416.4813248677237</v>
      </c>
    </row>
    <row r="9500" spans="1:7" hidden="1" x14ac:dyDescent="0.25">
      <c r="A9500" s="28">
        <v>44348</v>
      </c>
      <c r="B9500" s="27" t="s">
        <v>200</v>
      </c>
      <c r="C9500" s="27" t="s">
        <v>55</v>
      </c>
      <c r="D9500" s="27" t="s">
        <v>6</v>
      </c>
      <c r="E9500" s="27" t="s">
        <v>22</v>
      </c>
      <c r="F9500" s="29"/>
      <c r="G9500" s="30">
        <f t="shared" si="175"/>
        <v>1416.4813248677237</v>
      </c>
    </row>
    <row r="9501" spans="1:7" hidden="1" x14ac:dyDescent="0.25">
      <c r="A9501" s="28">
        <v>44348</v>
      </c>
      <c r="B9501" s="27" t="s">
        <v>200</v>
      </c>
      <c r="C9501" s="27" t="s">
        <v>55</v>
      </c>
      <c r="D9501" s="27" t="s">
        <v>6</v>
      </c>
      <c r="E9501" s="27" t="s">
        <v>39</v>
      </c>
      <c r="F9501" s="29"/>
      <c r="G9501" s="30">
        <f t="shared" si="175"/>
        <v>1416.4813248677237</v>
      </c>
    </row>
    <row r="9502" spans="1:7" hidden="1" x14ac:dyDescent="0.25">
      <c r="A9502" s="28">
        <v>44348</v>
      </c>
      <c r="B9502" s="27" t="s">
        <v>200</v>
      </c>
      <c r="C9502" s="27" t="s">
        <v>55</v>
      </c>
      <c r="D9502" s="27" t="s">
        <v>6</v>
      </c>
      <c r="E9502" s="27" t="s">
        <v>64</v>
      </c>
      <c r="F9502" s="29"/>
      <c r="G9502" s="30">
        <f t="shared" si="175"/>
        <v>1416.4813248677237</v>
      </c>
    </row>
    <row r="9503" spans="1:7" hidden="1" x14ac:dyDescent="0.25">
      <c r="A9503" s="28">
        <v>44348</v>
      </c>
      <c r="B9503" s="27" t="s">
        <v>200</v>
      </c>
      <c r="C9503" s="27" t="s">
        <v>55</v>
      </c>
      <c r="D9503" s="27" t="s">
        <v>6</v>
      </c>
      <c r="E9503" s="27" t="s">
        <v>21</v>
      </c>
      <c r="F9503" s="29"/>
      <c r="G9503" s="30">
        <f t="shared" si="175"/>
        <v>1416.4813248677237</v>
      </c>
    </row>
    <row r="9504" spans="1:7" hidden="1" x14ac:dyDescent="0.25">
      <c r="A9504" s="28">
        <v>44348</v>
      </c>
      <c r="B9504" s="27" t="s">
        <v>200</v>
      </c>
      <c r="C9504" s="27" t="s">
        <v>55</v>
      </c>
      <c r="D9504" s="27" t="s">
        <v>6</v>
      </c>
      <c r="E9504" s="27" t="s">
        <v>41</v>
      </c>
      <c r="F9504" s="29"/>
      <c r="G9504" s="30">
        <f t="shared" si="175"/>
        <v>1416.4813248677237</v>
      </c>
    </row>
    <row r="9505" spans="1:7" hidden="1" x14ac:dyDescent="0.25">
      <c r="A9505" s="28">
        <v>44348</v>
      </c>
      <c r="B9505" s="27" t="s">
        <v>200</v>
      </c>
      <c r="C9505" s="27" t="s">
        <v>55</v>
      </c>
      <c r="D9505" s="27" t="s">
        <v>6</v>
      </c>
      <c r="E9505" s="27" t="s">
        <v>10</v>
      </c>
      <c r="F9505" s="29"/>
      <c r="G9505" s="30">
        <f t="shared" si="175"/>
        <v>1416.4813248677237</v>
      </c>
    </row>
    <row r="9506" spans="1:7" hidden="1" x14ac:dyDescent="0.25">
      <c r="A9506" s="28">
        <v>44348</v>
      </c>
      <c r="B9506" s="27" t="s">
        <v>200</v>
      </c>
      <c r="C9506" s="27" t="s">
        <v>55</v>
      </c>
      <c r="D9506" s="27" t="s">
        <v>6</v>
      </c>
      <c r="E9506" s="27" t="s">
        <v>11</v>
      </c>
      <c r="F9506" s="29"/>
      <c r="G9506" s="30">
        <f t="shared" si="175"/>
        <v>1416.4813248677237</v>
      </c>
    </row>
    <row r="9507" spans="1:7" hidden="1" x14ac:dyDescent="0.25">
      <c r="A9507" s="28">
        <v>44348</v>
      </c>
      <c r="B9507" s="27" t="s">
        <v>200</v>
      </c>
      <c r="C9507" s="27" t="s">
        <v>55</v>
      </c>
      <c r="D9507" s="27" t="s">
        <v>6</v>
      </c>
      <c r="E9507" s="27" t="s">
        <v>12</v>
      </c>
      <c r="F9507" s="29"/>
      <c r="G9507" s="30">
        <f t="shared" si="175"/>
        <v>1416.4813248677237</v>
      </c>
    </row>
    <row r="9508" spans="1:7" hidden="1" x14ac:dyDescent="0.25">
      <c r="A9508" s="28">
        <v>44348</v>
      </c>
      <c r="B9508" s="27" t="s">
        <v>200</v>
      </c>
      <c r="C9508" s="27" t="s">
        <v>55</v>
      </c>
      <c r="D9508" s="27" t="s">
        <v>6</v>
      </c>
      <c r="E9508" s="27" t="s">
        <v>13</v>
      </c>
      <c r="F9508" s="29"/>
      <c r="G9508" s="30">
        <f t="shared" si="175"/>
        <v>1416.4813248677237</v>
      </c>
    </row>
    <row r="9509" spans="1:7" hidden="1" x14ac:dyDescent="0.25">
      <c r="A9509" s="28">
        <v>44348</v>
      </c>
      <c r="B9509" s="27" t="s">
        <v>200</v>
      </c>
      <c r="C9509" s="27" t="s">
        <v>55</v>
      </c>
      <c r="D9509" s="27" t="s">
        <v>6</v>
      </c>
      <c r="E9509" s="27" t="s">
        <v>14</v>
      </c>
      <c r="F9509" s="29"/>
      <c r="G9509" s="30">
        <f t="shared" si="175"/>
        <v>1416.4813248677237</v>
      </c>
    </row>
    <row r="9510" spans="1:7" hidden="1" x14ac:dyDescent="0.25">
      <c r="A9510" s="28">
        <v>44348</v>
      </c>
      <c r="B9510" s="27" t="s">
        <v>200</v>
      </c>
      <c r="C9510" s="27" t="s">
        <v>55</v>
      </c>
      <c r="D9510" s="27" t="s">
        <v>6</v>
      </c>
      <c r="E9510" s="27" t="s">
        <v>15</v>
      </c>
      <c r="F9510" s="29"/>
      <c r="G9510" s="30">
        <f t="shared" si="175"/>
        <v>1416.4813248677237</v>
      </c>
    </row>
    <row r="9511" spans="1:7" hidden="1" x14ac:dyDescent="0.25">
      <c r="A9511" s="28">
        <v>44348</v>
      </c>
      <c r="B9511" s="27" t="s">
        <v>200</v>
      </c>
      <c r="C9511" s="27" t="s">
        <v>55</v>
      </c>
      <c r="D9511" s="27" t="s">
        <v>6</v>
      </c>
      <c r="E9511" s="27" t="s">
        <v>16</v>
      </c>
      <c r="F9511" s="29"/>
      <c r="G9511" s="30">
        <f t="shared" si="175"/>
        <v>1416.4813248677237</v>
      </c>
    </row>
    <row r="9512" spans="1:7" hidden="1" x14ac:dyDescent="0.25">
      <c r="A9512" s="28">
        <v>44348</v>
      </c>
      <c r="B9512" s="27" t="s">
        <v>200</v>
      </c>
      <c r="C9512" s="27" t="s">
        <v>55</v>
      </c>
      <c r="D9512" s="27" t="s">
        <v>6</v>
      </c>
      <c r="E9512" s="27" t="s">
        <v>17</v>
      </c>
      <c r="F9512" s="29"/>
      <c r="G9512" s="30">
        <f t="shared" si="175"/>
        <v>1416.4813248677237</v>
      </c>
    </row>
    <row r="9513" spans="1:7" hidden="1" x14ac:dyDescent="0.25">
      <c r="A9513" s="28">
        <v>44348</v>
      </c>
      <c r="B9513" s="27" t="s">
        <v>200</v>
      </c>
      <c r="C9513" s="27" t="s">
        <v>55</v>
      </c>
      <c r="D9513" s="27" t="s">
        <v>6</v>
      </c>
      <c r="E9513" s="27" t="s">
        <v>18</v>
      </c>
      <c r="F9513" s="29"/>
      <c r="G9513" s="30">
        <f t="shared" si="175"/>
        <v>1416.4813248677237</v>
      </c>
    </row>
    <row r="9514" spans="1:7" hidden="1" x14ac:dyDescent="0.25">
      <c r="A9514" s="28">
        <v>44348</v>
      </c>
      <c r="B9514" s="27" t="s">
        <v>200</v>
      </c>
      <c r="C9514" s="27" t="s">
        <v>55</v>
      </c>
      <c r="D9514" s="27" t="s">
        <v>6</v>
      </c>
      <c r="E9514" s="27" t="s">
        <v>19</v>
      </c>
      <c r="F9514" s="29"/>
      <c r="G9514" s="30">
        <f t="shared" si="175"/>
        <v>1416.4813248677237</v>
      </c>
    </row>
    <row r="9515" spans="1:7" hidden="1" x14ac:dyDescent="0.25">
      <c r="A9515" s="28">
        <v>44348</v>
      </c>
      <c r="B9515" s="27" t="s">
        <v>200</v>
      </c>
      <c r="C9515" s="27" t="s">
        <v>55</v>
      </c>
      <c r="D9515" s="27" t="s">
        <v>6</v>
      </c>
      <c r="E9515" s="27" t="s">
        <v>20</v>
      </c>
      <c r="F9515" s="29"/>
      <c r="G9515" s="30">
        <f t="shared" si="175"/>
        <v>1416.4813248677237</v>
      </c>
    </row>
    <row r="9516" spans="1:7" hidden="1" x14ac:dyDescent="0.25">
      <c r="A9516" s="28">
        <v>44348</v>
      </c>
      <c r="B9516" s="27" t="s">
        <v>200</v>
      </c>
      <c r="C9516" s="27" t="s">
        <v>55</v>
      </c>
      <c r="D9516" s="27" t="s">
        <v>6</v>
      </c>
      <c r="E9516" s="27" t="s">
        <v>38</v>
      </c>
      <c r="F9516" s="29"/>
      <c r="G9516" s="30">
        <f t="shared" si="175"/>
        <v>1416.4813248677237</v>
      </c>
    </row>
    <row r="9517" spans="1:7" hidden="1" x14ac:dyDescent="0.25">
      <c r="A9517" s="28">
        <v>44348</v>
      </c>
      <c r="B9517" s="27" t="s">
        <v>200</v>
      </c>
      <c r="C9517" s="27" t="s">
        <v>55</v>
      </c>
      <c r="D9517" s="27" t="s">
        <v>6</v>
      </c>
      <c r="E9517" s="27" t="s">
        <v>23</v>
      </c>
      <c r="F9517" s="29"/>
      <c r="G9517" s="30">
        <f t="shared" si="175"/>
        <v>1416.4813248677237</v>
      </c>
    </row>
    <row r="9518" spans="1:7" hidden="1" x14ac:dyDescent="0.25">
      <c r="A9518" s="28">
        <v>44348</v>
      </c>
      <c r="B9518" s="27" t="s">
        <v>200</v>
      </c>
      <c r="C9518" s="27" t="s">
        <v>55</v>
      </c>
      <c r="D9518" s="27" t="s">
        <v>6</v>
      </c>
      <c r="E9518" s="27" t="s">
        <v>40</v>
      </c>
      <c r="F9518" s="29"/>
      <c r="G9518" s="30">
        <f t="shared" si="175"/>
        <v>1416.4813248677237</v>
      </c>
    </row>
    <row r="9519" spans="1:7" hidden="1" x14ac:dyDescent="0.25">
      <c r="A9519" s="28">
        <v>44348</v>
      </c>
      <c r="B9519" s="27" t="s">
        <v>200</v>
      </c>
      <c r="C9519" s="27" t="s">
        <v>183</v>
      </c>
      <c r="D9519" s="27" t="s">
        <v>7</v>
      </c>
      <c r="E9519" s="27" t="s">
        <v>8</v>
      </c>
      <c r="F9519" s="29"/>
      <c r="G9519" s="30">
        <f t="shared" ref="G9519:G9539" si="176">1419.04/21</f>
        <v>67.573333333333338</v>
      </c>
    </row>
    <row r="9520" spans="1:7" hidden="1" x14ac:dyDescent="0.25">
      <c r="A9520" s="28">
        <v>44348</v>
      </c>
      <c r="B9520" s="27" t="s">
        <v>200</v>
      </c>
      <c r="C9520" s="27" t="s">
        <v>183</v>
      </c>
      <c r="D9520" s="27" t="s">
        <v>7</v>
      </c>
      <c r="E9520" s="27" t="s">
        <v>9</v>
      </c>
      <c r="F9520" s="29"/>
      <c r="G9520" s="30">
        <f t="shared" si="176"/>
        <v>67.573333333333338</v>
      </c>
    </row>
    <row r="9521" spans="1:7" hidden="1" x14ac:dyDescent="0.25">
      <c r="A9521" s="28">
        <v>44348</v>
      </c>
      <c r="B9521" s="27" t="s">
        <v>200</v>
      </c>
      <c r="C9521" s="27" t="s">
        <v>183</v>
      </c>
      <c r="D9521" s="27" t="s">
        <v>7</v>
      </c>
      <c r="E9521" s="27" t="s">
        <v>22</v>
      </c>
      <c r="F9521" s="29"/>
      <c r="G9521" s="30">
        <f t="shared" si="176"/>
        <v>67.573333333333338</v>
      </c>
    </row>
    <row r="9522" spans="1:7" hidden="1" x14ac:dyDescent="0.25">
      <c r="A9522" s="28">
        <v>44348</v>
      </c>
      <c r="B9522" s="27" t="s">
        <v>200</v>
      </c>
      <c r="C9522" s="27" t="s">
        <v>183</v>
      </c>
      <c r="D9522" s="27" t="s">
        <v>7</v>
      </c>
      <c r="E9522" s="27" t="s">
        <v>39</v>
      </c>
      <c r="F9522" s="29"/>
      <c r="G9522" s="30">
        <f t="shared" si="176"/>
        <v>67.573333333333338</v>
      </c>
    </row>
    <row r="9523" spans="1:7" hidden="1" x14ac:dyDescent="0.25">
      <c r="A9523" s="28">
        <v>44348</v>
      </c>
      <c r="B9523" s="27" t="s">
        <v>200</v>
      </c>
      <c r="C9523" s="27" t="s">
        <v>183</v>
      </c>
      <c r="D9523" s="27" t="s">
        <v>7</v>
      </c>
      <c r="E9523" s="27" t="s">
        <v>64</v>
      </c>
      <c r="F9523" s="29"/>
      <c r="G9523" s="30">
        <f t="shared" si="176"/>
        <v>67.573333333333338</v>
      </c>
    </row>
    <row r="9524" spans="1:7" hidden="1" x14ac:dyDescent="0.25">
      <c r="A9524" s="28">
        <v>44348</v>
      </c>
      <c r="B9524" s="27" t="s">
        <v>200</v>
      </c>
      <c r="C9524" s="27" t="s">
        <v>183</v>
      </c>
      <c r="D9524" s="27" t="s">
        <v>7</v>
      </c>
      <c r="E9524" s="27" t="s">
        <v>21</v>
      </c>
      <c r="F9524" s="29"/>
      <c r="G9524" s="30">
        <f t="shared" si="176"/>
        <v>67.573333333333338</v>
      </c>
    </row>
    <row r="9525" spans="1:7" hidden="1" x14ac:dyDescent="0.25">
      <c r="A9525" s="28">
        <v>44348</v>
      </c>
      <c r="B9525" s="27" t="s">
        <v>200</v>
      </c>
      <c r="C9525" s="27" t="s">
        <v>183</v>
      </c>
      <c r="D9525" s="27" t="s">
        <v>7</v>
      </c>
      <c r="E9525" s="27" t="s">
        <v>41</v>
      </c>
      <c r="F9525" s="29"/>
      <c r="G9525" s="30">
        <f t="shared" si="176"/>
        <v>67.573333333333338</v>
      </c>
    </row>
    <row r="9526" spans="1:7" hidden="1" x14ac:dyDescent="0.25">
      <c r="A9526" s="28">
        <v>44348</v>
      </c>
      <c r="B9526" s="27" t="s">
        <v>200</v>
      </c>
      <c r="C9526" s="27" t="s">
        <v>183</v>
      </c>
      <c r="D9526" s="27" t="s">
        <v>7</v>
      </c>
      <c r="E9526" s="27" t="s">
        <v>10</v>
      </c>
      <c r="F9526" s="29"/>
      <c r="G9526" s="30">
        <f t="shared" si="176"/>
        <v>67.573333333333338</v>
      </c>
    </row>
    <row r="9527" spans="1:7" hidden="1" x14ac:dyDescent="0.25">
      <c r="A9527" s="28">
        <v>44348</v>
      </c>
      <c r="B9527" s="27" t="s">
        <v>200</v>
      </c>
      <c r="C9527" s="27" t="s">
        <v>183</v>
      </c>
      <c r="D9527" s="27" t="s">
        <v>7</v>
      </c>
      <c r="E9527" s="27" t="s">
        <v>11</v>
      </c>
      <c r="F9527" s="29"/>
      <c r="G9527" s="30">
        <f t="shared" si="176"/>
        <v>67.573333333333338</v>
      </c>
    </row>
    <row r="9528" spans="1:7" hidden="1" x14ac:dyDescent="0.25">
      <c r="A9528" s="28">
        <v>44348</v>
      </c>
      <c r="B9528" s="27" t="s">
        <v>200</v>
      </c>
      <c r="C9528" s="27" t="s">
        <v>183</v>
      </c>
      <c r="D9528" s="27" t="s">
        <v>7</v>
      </c>
      <c r="E9528" s="27" t="s">
        <v>12</v>
      </c>
      <c r="F9528" s="29"/>
      <c r="G9528" s="30">
        <f t="shared" si="176"/>
        <v>67.573333333333338</v>
      </c>
    </row>
    <row r="9529" spans="1:7" hidden="1" x14ac:dyDescent="0.25">
      <c r="A9529" s="28">
        <v>44348</v>
      </c>
      <c r="B9529" s="27" t="s">
        <v>200</v>
      </c>
      <c r="C9529" s="27" t="s">
        <v>183</v>
      </c>
      <c r="D9529" s="27" t="s">
        <v>7</v>
      </c>
      <c r="E9529" s="27" t="s">
        <v>13</v>
      </c>
      <c r="F9529" s="29"/>
      <c r="G9529" s="30">
        <f t="shared" si="176"/>
        <v>67.573333333333338</v>
      </c>
    </row>
    <row r="9530" spans="1:7" hidden="1" x14ac:dyDescent="0.25">
      <c r="A9530" s="28">
        <v>44348</v>
      </c>
      <c r="B9530" s="27" t="s">
        <v>200</v>
      </c>
      <c r="C9530" s="27" t="s">
        <v>183</v>
      </c>
      <c r="D9530" s="27" t="s">
        <v>7</v>
      </c>
      <c r="E9530" s="27" t="s">
        <v>14</v>
      </c>
      <c r="F9530" s="29"/>
      <c r="G9530" s="30">
        <f t="shared" si="176"/>
        <v>67.573333333333338</v>
      </c>
    </row>
    <row r="9531" spans="1:7" hidden="1" x14ac:dyDescent="0.25">
      <c r="A9531" s="28">
        <v>44348</v>
      </c>
      <c r="B9531" s="27" t="s">
        <v>200</v>
      </c>
      <c r="C9531" s="27" t="s">
        <v>183</v>
      </c>
      <c r="D9531" s="27" t="s">
        <v>7</v>
      </c>
      <c r="E9531" s="27" t="s">
        <v>15</v>
      </c>
      <c r="F9531" s="29"/>
      <c r="G9531" s="30">
        <f t="shared" si="176"/>
        <v>67.573333333333338</v>
      </c>
    </row>
    <row r="9532" spans="1:7" hidden="1" x14ac:dyDescent="0.25">
      <c r="A9532" s="28">
        <v>44348</v>
      </c>
      <c r="B9532" s="27" t="s">
        <v>200</v>
      </c>
      <c r="C9532" s="27" t="s">
        <v>183</v>
      </c>
      <c r="D9532" s="27" t="s">
        <v>7</v>
      </c>
      <c r="E9532" s="27" t="s">
        <v>16</v>
      </c>
      <c r="F9532" s="29"/>
      <c r="G9532" s="30">
        <f t="shared" si="176"/>
        <v>67.573333333333338</v>
      </c>
    </row>
    <row r="9533" spans="1:7" hidden="1" x14ac:dyDescent="0.25">
      <c r="A9533" s="28">
        <v>44348</v>
      </c>
      <c r="B9533" s="27" t="s">
        <v>200</v>
      </c>
      <c r="C9533" s="27" t="s">
        <v>183</v>
      </c>
      <c r="D9533" s="27" t="s">
        <v>7</v>
      </c>
      <c r="E9533" s="27" t="s">
        <v>17</v>
      </c>
      <c r="F9533" s="29"/>
      <c r="G9533" s="30">
        <f t="shared" si="176"/>
        <v>67.573333333333338</v>
      </c>
    </row>
    <row r="9534" spans="1:7" hidden="1" x14ac:dyDescent="0.25">
      <c r="A9534" s="28">
        <v>44348</v>
      </c>
      <c r="B9534" s="27" t="s">
        <v>200</v>
      </c>
      <c r="C9534" s="27" t="s">
        <v>183</v>
      </c>
      <c r="D9534" s="27" t="s">
        <v>7</v>
      </c>
      <c r="E9534" s="27" t="s">
        <v>18</v>
      </c>
      <c r="F9534" s="29"/>
      <c r="G9534" s="30">
        <f t="shared" si="176"/>
        <v>67.573333333333338</v>
      </c>
    </row>
    <row r="9535" spans="1:7" hidden="1" x14ac:dyDescent="0.25">
      <c r="A9535" s="28">
        <v>44348</v>
      </c>
      <c r="B9535" s="27" t="s">
        <v>200</v>
      </c>
      <c r="C9535" s="27" t="s">
        <v>183</v>
      </c>
      <c r="D9535" s="27" t="s">
        <v>7</v>
      </c>
      <c r="E9535" s="27" t="s">
        <v>19</v>
      </c>
      <c r="F9535" s="29"/>
      <c r="G9535" s="30">
        <f t="shared" si="176"/>
        <v>67.573333333333338</v>
      </c>
    </row>
    <row r="9536" spans="1:7" hidden="1" x14ac:dyDescent="0.25">
      <c r="A9536" s="28">
        <v>44348</v>
      </c>
      <c r="B9536" s="27" t="s">
        <v>200</v>
      </c>
      <c r="C9536" s="27" t="s">
        <v>183</v>
      </c>
      <c r="D9536" s="27" t="s">
        <v>7</v>
      </c>
      <c r="E9536" s="27" t="s">
        <v>20</v>
      </c>
      <c r="F9536" s="29"/>
      <c r="G9536" s="30">
        <f t="shared" si="176"/>
        <v>67.573333333333338</v>
      </c>
    </row>
    <row r="9537" spans="1:7" hidden="1" x14ac:dyDescent="0.25">
      <c r="A9537" s="28">
        <v>44348</v>
      </c>
      <c r="B9537" s="27" t="s">
        <v>200</v>
      </c>
      <c r="C9537" s="27" t="s">
        <v>183</v>
      </c>
      <c r="D9537" s="27" t="s">
        <v>7</v>
      </c>
      <c r="E9537" s="27" t="s">
        <v>38</v>
      </c>
      <c r="F9537" s="29"/>
      <c r="G9537" s="30">
        <f t="shared" si="176"/>
        <v>67.573333333333338</v>
      </c>
    </row>
    <row r="9538" spans="1:7" hidden="1" x14ac:dyDescent="0.25">
      <c r="A9538" s="28">
        <v>44348</v>
      </c>
      <c r="B9538" s="27" t="s">
        <v>200</v>
      </c>
      <c r="C9538" s="27" t="s">
        <v>183</v>
      </c>
      <c r="D9538" s="27" t="s">
        <v>7</v>
      </c>
      <c r="E9538" s="27" t="s">
        <v>23</v>
      </c>
      <c r="F9538" s="29"/>
      <c r="G9538" s="30">
        <f t="shared" si="176"/>
        <v>67.573333333333338</v>
      </c>
    </row>
    <row r="9539" spans="1:7" hidden="1" x14ac:dyDescent="0.25">
      <c r="A9539" s="28">
        <v>44348</v>
      </c>
      <c r="B9539" s="27" t="s">
        <v>200</v>
      </c>
      <c r="C9539" s="27" t="s">
        <v>183</v>
      </c>
      <c r="D9539" s="27" t="s">
        <v>7</v>
      </c>
      <c r="E9539" s="27" t="s">
        <v>40</v>
      </c>
      <c r="F9539" s="29"/>
      <c r="G9539" s="30">
        <f t="shared" si="176"/>
        <v>67.573333333333338</v>
      </c>
    </row>
    <row r="9540" spans="1:7" hidden="1" x14ac:dyDescent="0.25">
      <c r="A9540" s="28">
        <v>44348</v>
      </c>
      <c r="B9540" s="27" t="s">
        <v>200</v>
      </c>
      <c r="C9540" s="27" t="s">
        <v>56</v>
      </c>
      <c r="D9540" s="27" t="s">
        <v>6</v>
      </c>
      <c r="E9540" s="27" t="s">
        <v>8</v>
      </c>
      <c r="F9540" s="29"/>
      <c r="G9540" s="30">
        <f t="shared" ref="G9540:G9560" si="177">52080.0586222222/21</f>
        <v>2480.0027915343903</v>
      </c>
    </row>
    <row r="9541" spans="1:7" hidden="1" x14ac:dyDescent="0.25">
      <c r="A9541" s="28">
        <v>44348</v>
      </c>
      <c r="B9541" s="27" t="s">
        <v>200</v>
      </c>
      <c r="C9541" s="27" t="s">
        <v>56</v>
      </c>
      <c r="D9541" s="27" t="s">
        <v>6</v>
      </c>
      <c r="E9541" s="27" t="s">
        <v>9</v>
      </c>
      <c r="F9541" s="29"/>
      <c r="G9541" s="30">
        <f t="shared" si="177"/>
        <v>2480.0027915343903</v>
      </c>
    </row>
    <row r="9542" spans="1:7" hidden="1" x14ac:dyDescent="0.25">
      <c r="A9542" s="28">
        <v>44348</v>
      </c>
      <c r="B9542" s="27" t="s">
        <v>200</v>
      </c>
      <c r="C9542" s="27" t="s">
        <v>56</v>
      </c>
      <c r="D9542" s="27" t="s">
        <v>6</v>
      </c>
      <c r="E9542" s="27" t="s">
        <v>22</v>
      </c>
      <c r="F9542" s="29"/>
      <c r="G9542" s="30">
        <f t="shared" si="177"/>
        <v>2480.0027915343903</v>
      </c>
    </row>
    <row r="9543" spans="1:7" hidden="1" x14ac:dyDescent="0.25">
      <c r="A9543" s="28">
        <v>44348</v>
      </c>
      <c r="B9543" s="27" t="s">
        <v>200</v>
      </c>
      <c r="C9543" s="27" t="s">
        <v>56</v>
      </c>
      <c r="D9543" s="27" t="s">
        <v>6</v>
      </c>
      <c r="E9543" s="27" t="s">
        <v>39</v>
      </c>
      <c r="F9543" s="29"/>
      <c r="G9543" s="30">
        <f t="shared" si="177"/>
        <v>2480.0027915343903</v>
      </c>
    </row>
    <row r="9544" spans="1:7" hidden="1" x14ac:dyDescent="0.25">
      <c r="A9544" s="28">
        <v>44348</v>
      </c>
      <c r="B9544" s="27" t="s">
        <v>200</v>
      </c>
      <c r="C9544" s="27" t="s">
        <v>56</v>
      </c>
      <c r="D9544" s="27" t="s">
        <v>6</v>
      </c>
      <c r="E9544" s="27" t="s">
        <v>64</v>
      </c>
      <c r="F9544" s="29"/>
      <c r="G9544" s="30">
        <f t="shared" si="177"/>
        <v>2480.0027915343903</v>
      </c>
    </row>
    <row r="9545" spans="1:7" hidden="1" x14ac:dyDescent="0.25">
      <c r="A9545" s="28">
        <v>44348</v>
      </c>
      <c r="B9545" s="27" t="s">
        <v>200</v>
      </c>
      <c r="C9545" s="27" t="s">
        <v>56</v>
      </c>
      <c r="D9545" s="27" t="s">
        <v>6</v>
      </c>
      <c r="E9545" s="27" t="s">
        <v>21</v>
      </c>
      <c r="F9545" s="29"/>
      <c r="G9545" s="30">
        <f t="shared" si="177"/>
        <v>2480.0027915343903</v>
      </c>
    </row>
    <row r="9546" spans="1:7" hidden="1" x14ac:dyDescent="0.25">
      <c r="A9546" s="28">
        <v>44348</v>
      </c>
      <c r="B9546" s="27" t="s">
        <v>200</v>
      </c>
      <c r="C9546" s="27" t="s">
        <v>56</v>
      </c>
      <c r="D9546" s="27" t="s">
        <v>6</v>
      </c>
      <c r="E9546" s="27" t="s">
        <v>41</v>
      </c>
      <c r="F9546" s="29"/>
      <c r="G9546" s="30">
        <f t="shared" si="177"/>
        <v>2480.0027915343903</v>
      </c>
    </row>
    <row r="9547" spans="1:7" hidden="1" x14ac:dyDescent="0.25">
      <c r="A9547" s="28">
        <v>44348</v>
      </c>
      <c r="B9547" s="27" t="s">
        <v>200</v>
      </c>
      <c r="C9547" s="27" t="s">
        <v>56</v>
      </c>
      <c r="D9547" s="27" t="s">
        <v>6</v>
      </c>
      <c r="E9547" s="27" t="s">
        <v>10</v>
      </c>
      <c r="F9547" s="29"/>
      <c r="G9547" s="30">
        <f t="shared" si="177"/>
        <v>2480.0027915343903</v>
      </c>
    </row>
    <row r="9548" spans="1:7" hidden="1" x14ac:dyDescent="0.25">
      <c r="A9548" s="28">
        <v>44348</v>
      </c>
      <c r="B9548" s="27" t="s">
        <v>200</v>
      </c>
      <c r="C9548" s="27" t="s">
        <v>56</v>
      </c>
      <c r="D9548" s="27" t="s">
        <v>6</v>
      </c>
      <c r="E9548" s="27" t="s">
        <v>11</v>
      </c>
      <c r="F9548" s="29"/>
      <c r="G9548" s="30">
        <f t="shared" si="177"/>
        <v>2480.0027915343903</v>
      </c>
    </row>
    <row r="9549" spans="1:7" hidden="1" x14ac:dyDescent="0.25">
      <c r="A9549" s="28">
        <v>44348</v>
      </c>
      <c r="B9549" s="27" t="s">
        <v>200</v>
      </c>
      <c r="C9549" s="27" t="s">
        <v>56</v>
      </c>
      <c r="D9549" s="27" t="s">
        <v>6</v>
      </c>
      <c r="E9549" s="27" t="s">
        <v>12</v>
      </c>
      <c r="F9549" s="29"/>
      <c r="G9549" s="30">
        <f t="shared" si="177"/>
        <v>2480.0027915343903</v>
      </c>
    </row>
    <row r="9550" spans="1:7" hidden="1" x14ac:dyDescent="0.25">
      <c r="A9550" s="28">
        <v>44348</v>
      </c>
      <c r="B9550" s="27" t="s">
        <v>200</v>
      </c>
      <c r="C9550" s="27" t="s">
        <v>56</v>
      </c>
      <c r="D9550" s="27" t="s">
        <v>6</v>
      </c>
      <c r="E9550" s="27" t="s">
        <v>13</v>
      </c>
      <c r="F9550" s="29"/>
      <c r="G9550" s="30">
        <f t="shared" si="177"/>
        <v>2480.0027915343903</v>
      </c>
    </row>
    <row r="9551" spans="1:7" hidden="1" x14ac:dyDescent="0.25">
      <c r="A9551" s="28">
        <v>44348</v>
      </c>
      <c r="B9551" s="27" t="s">
        <v>200</v>
      </c>
      <c r="C9551" s="27" t="s">
        <v>56</v>
      </c>
      <c r="D9551" s="27" t="s">
        <v>6</v>
      </c>
      <c r="E9551" s="27" t="s">
        <v>14</v>
      </c>
      <c r="F9551" s="29"/>
      <c r="G9551" s="30">
        <f t="shared" si="177"/>
        <v>2480.0027915343903</v>
      </c>
    </row>
    <row r="9552" spans="1:7" hidden="1" x14ac:dyDescent="0.25">
      <c r="A9552" s="28">
        <v>44348</v>
      </c>
      <c r="B9552" s="27" t="s">
        <v>200</v>
      </c>
      <c r="C9552" s="27" t="s">
        <v>56</v>
      </c>
      <c r="D9552" s="27" t="s">
        <v>6</v>
      </c>
      <c r="E9552" s="27" t="s">
        <v>15</v>
      </c>
      <c r="F9552" s="29"/>
      <c r="G9552" s="30">
        <f t="shared" si="177"/>
        <v>2480.0027915343903</v>
      </c>
    </row>
    <row r="9553" spans="1:7" hidden="1" x14ac:dyDescent="0.25">
      <c r="A9553" s="28">
        <v>44348</v>
      </c>
      <c r="B9553" s="27" t="s">
        <v>200</v>
      </c>
      <c r="C9553" s="27" t="s">
        <v>56</v>
      </c>
      <c r="D9553" s="27" t="s">
        <v>6</v>
      </c>
      <c r="E9553" s="27" t="s">
        <v>16</v>
      </c>
      <c r="F9553" s="29"/>
      <c r="G9553" s="30">
        <f t="shared" si="177"/>
        <v>2480.0027915343903</v>
      </c>
    </row>
    <row r="9554" spans="1:7" hidden="1" x14ac:dyDescent="0.25">
      <c r="A9554" s="28">
        <v>44348</v>
      </c>
      <c r="B9554" s="27" t="s">
        <v>200</v>
      </c>
      <c r="C9554" s="27" t="s">
        <v>56</v>
      </c>
      <c r="D9554" s="27" t="s">
        <v>6</v>
      </c>
      <c r="E9554" s="27" t="s">
        <v>17</v>
      </c>
      <c r="F9554" s="29"/>
      <c r="G9554" s="30">
        <f t="shared" si="177"/>
        <v>2480.0027915343903</v>
      </c>
    </row>
    <row r="9555" spans="1:7" hidden="1" x14ac:dyDescent="0.25">
      <c r="A9555" s="28">
        <v>44348</v>
      </c>
      <c r="B9555" s="27" t="s">
        <v>200</v>
      </c>
      <c r="C9555" s="27" t="s">
        <v>56</v>
      </c>
      <c r="D9555" s="27" t="s">
        <v>6</v>
      </c>
      <c r="E9555" s="27" t="s">
        <v>18</v>
      </c>
      <c r="F9555" s="29"/>
      <c r="G9555" s="30">
        <f t="shared" si="177"/>
        <v>2480.0027915343903</v>
      </c>
    </row>
    <row r="9556" spans="1:7" hidden="1" x14ac:dyDescent="0.25">
      <c r="A9556" s="28">
        <v>44348</v>
      </c>
      <c r="B9556" s="27" t="s">
        <v>200</v>
      </c>
      <c r="C9556" s="27" t="s">
        <v>56</v>
      </c>
      <c r="D9556" s="27" t="s">
        <v>6</v>
      </c>
      <c r="E9556" s="27" t="s">
        <v>19</v>
      </c>
      <c r="F9556" s="29"/>
      <c r="G9556" s="30">
        <f t="shared" si="177"/>
        <v>2480.0027915343903</v>
      </c>
    </row>
    <row r="9557" spans="1:7" hidden="1" x14ac:dyDescent="0.25">
      <c r="A9557" s="28">
        <v>44348</v>
      </c>
      <c r="B9557" s="27" t="s">
        <v>200</v>
      </c>
      <c r="C9557" s="27" t="s">
        <v>56</v>
      </c>
      <c r="D9557" s="27" t="s">
        <v>6</v>
      </c>
      <c r="E9557" s="27" t="s">
        <v>20</v>
      </c>
      <c r="F9557" s="29"/>
      <c r="G9557" s="30">
        <f t="shared" si="177"/>
        <v>2480.0027915343903</v>
      </c>
    </row>
    <row r="9558" spans="1:7" hidden="1" x14ac:dyDescent="0.25">
      <c r="A9558" s="28">
        <v>44348</v>
      </c>
      <c r="B9558" s="27" t="s">
        <v>200</v>
      </c>
      <c r="C9558" s="27" t="s">
        <v>56</v>
      </c>
      <c r="D9558" s="27" t="s">
        <v>6</v>
      </c>
      <c r="E9558" s="27" t="s">
        <v>38</v>
      </c>
      <c r="F9558" s="29"/>
      <c r="G9558" s="30">
        <f t="shared" si="177"/>
        <v>2480.0027915343903</v>
      </c>
    </row>
    <row r="9559" spans="1:7" hidden="1" x14ac:dyDescent="0.25">
      <c r="A9559" s="28">
        <v>44348</v>
      </c>
      <c r="B9559" s="27" t="s">
        <v>200</v>
      </c>
      <c r="C9559" s="27" t="s">
        <v>56</v>
      </c>
      <c r="D9559" s="27" t="s">
        <v>6</v>
      </c>
      <c r="E9559" s="27" t="s">
        <v>23</v>
      </c>
      <c r="F9559" s="29"/>
      <c r="G9559" s="30">
        <f t="shared" si="177"/>
        <v>2480.0027915343903</v>
      </c>
    </row>
    <row r="9560" spans="1:7" hidden="1" x14ac:dyDescent="0.25">
      <c r="A9560" s="28">
        <v>44348</v>
      </c>
      <c r="B9560" s="27" t="s">
        <v>200</v>
      </c>
      <c r="C9560" s="27" t="s">
        <v>56</v>
      </c>
      <c r="D9560" s="27" t="s">
        <v>6</v>
      </c>
      <c r="E9560" s="27" t="s">
        <v>40</v>
      </c>
      <c r="F9560" s="29"/>
      <c r="G9560" s="30">
        <f t="shared" si="177"/>
        <v>2480.0027915343903</v>
      </c>
    </row>
    <row r="9561" spans="1:7" hidden="1" x14ac:dyDescent="0.25">
      <c r="A9561" s="28">
        <v>44348</v>
      </c>
      <c r="B9561" s="27" t="s">
        <v>200</v>
      </c>
      <c r="C9561" s="27" t="s">
        <v>182</v>
      </c>
      <c r="D9561" s="27" t="s">
        <v>7</v>
      </c>
      <c r="E9561" s="27" t="s">
        <v>8</v>
      </c>
      <c r="F9561" s="29"/>
      <c r="G9561" s="30">
        <f t="shared" ref="G9561:G9581" si="178">3011.29/21</f>
        <v>143.39476190476191</v>
      </c>
    </row>
    <row r="9562" spans="1:7" hidden="1" x14ac:dyDescent="0.25">
      <c r="A9562" s="28">
        <v>44348</v>
      </c>
      <c r="B9562" s="27" t="s">
        <v>200</v>
      </c>
      <c r="C9562" s="27" t="s">
        <v>182</v>
      </c>
      <c r="D9562" s="27" t="s">
        <v>7</v>
      </c>
      <c r="E9562" s="27" t="s">
        <v>9</v>
      </c>
      <c r="F9562" s="29"/>
      <c r="G9562" s="30">
        <f t="shared" si="178"/>
        <v>143.39476190476191</v>
      </c>
    </row>
    <row r="9563" spans="1:7" hidden="1" x14ac:dyDescent="0.25">
      <c r="A9563" s="28">
        <v>44348</v>
      </c>
      <c r="B9563" s="27" t="s">
        <v>200</v>
      </c>
      <c r="C9563" s="27" t="s">
        <v>182</v>
      </c>
      <c r="D9563" s="27" t="s">
        <v>7</v>
      </c>
      <c r="E9563" s="27" t="s">
        <v>22</v>
      </c>
      <c r="F9563" s="29"/>
      <c r="G9563" s="30">
        <f t="shared" si="178"/>
        <v>143.39476190476191</v>
      </c>
    </row>
    <row r="9564" spans="1:7" hidden="1" x14ac:dyDescent="0.25">
      <c r="A9564" s="28">
        <v>44348</v>
      </c>
      <c r="B9564" s="27" t="s">
        <v>200</v>
      </c>
      <c r="C9564" s="27" t="s">
        <v>182</v>
      </c>
      <c r="D9564" s="27" t="s">
        <v>7</v>
      </c>
      <c r="E9564" s="27" t="s">
        <v>39</v>
      </c>
      <c r="F9564" s="29"/>
      <c r="G9564" s="30">
        <f t="shared" si="178"/>
        <v>143.39476190476191</v>
      </c>
    </row>
    <row r="9565" spans="1:7" hidden="1" x14ac:dyDescent="0.25">
      <c r="A9565" s="28">
        <v>44348</v>
      </c>
      <c r="B9565" s="27" t="s">
        <v>200</v>
      </c>
      <c r="C9565" s="27" t="s">
        <v>182</v>
      </c>
      <c r="D9565" s="27" t="s">
        <v>7</v>
      </c>
      <c r="E9565" s="27" t="s">
        <v>64</v>
      </c>
      <c r="F9565" s="29"/>
      <c r="G9565" s="30">
        <f t="shared" si="178"/>
        <v>143.39476190476191</v>
      </c>
    </row>
    <row r="9566" spans="1:7" hidden="1" x14ac:dyDescent="0.25">
      <c r="A9566" s="28">
        <v>44348</v>
      </c>
      <c r="B9566" s="27" t="s">
        <v>200</v>
      </c>
      <c r="C9566" s="27" t="s">
        <v>182</v>
      </c>
      <c r="D9566" s="27" t="s">
        <v>7</v>
      </c>
      <c r="E9566" s="27" t="s">
        <v>21</v>
      </c>
      <c r="F9566" s="29"/>
      <c r="G9566" s="30">
        <f t="shared" si="178"/>
        <v>143.39476190476191</v>
      </c>
    </row>
    <row r="9567" spans="1:7" hidden="1" x14ac:dyDescent="0.25">
      <c r="A9567" s="28">
        <v>44348</v>
      </c>
      <c r="B9567" s="27" t="s">
        <v>200</v>
      </c>
      <c r="C9567" s="27" t="s">
        <v>182</v>
      </c>
      <c r="D9567" s="27" t="s">
        <v>7</v>
      </c>
      <c r="E9567" s="27" t="s">
        <v>41</v>
      </c>
      <c r="F9567" s="29"/>
      <c r="G9567" s="30">
        <f t="shared" si="178"/>
        <v>143.39476190476191</v>
      </c>
    </row>
    <row r="9568" spans="1:7" hidden="1" x14ac:dyDescent="0.25">
      <c r="A9568" s="28">
        <v>44348</v>
      </c>
      <c r="B9568" s="27" t="s">
        <v>200</v>
      </c>
      <c r="C9568" s="27" t="s">
        <v>182</v>
      </c>
      <c r="D9568" s="27" t="s">
        <v>7</v>
      </c>
      <c r="E9568" s="27" t="s">
        <v>10</v>
      </c>
      <c r="F9568" s="29"/>
      <c r="G9568" s="30">
        <f t="shared" si="178"/>
        <v>143.39476190476191</v>
      </c>
    </row>
    <row r="9569" spans="1:7" hidden="1" x14ac:dyDescent="0.25">
      <c r="A9569" s="28">
        <v>44348</v>
      </c>
      <c r="B9569" s="27" t="s">
        <v>200</v>
      </c>
      <c r="C9569" s="27" t="s">
        <v>182</v>
      </c>
      <c r="D9569" s="27" t="s">
        <v>7</v>
      </c>
      <c r="E9569" s="27" t="s">
        <v>11</v>
      </c>
      <c r="F9569" s="29"/>
      <c r="G9569" s="30">
        <f t="shared" si="178"/>
        <v>143.39476190476191</v>
      </c>
    </row>
    <row r="9570" spans="1:7" hidden="1" x14ac:dyDescent="0.25">
      <c r="A9570" s="28">
        <v>44348</v>
      </c>
      <c r="B9570" s="27" t="s">
        <v>200</v>
      </c>
      <c r="C9570" s="27" t="s">
        <v>182</v>
      </c>
      <c r="D9570" s="27" t="s">
        <v>7</v>
      </c>
      <c r="E9570" s="27" t="s">
        <v>12</v>
      </c>
      <c r="F9570" s="29"/>
      <c r="G9570" s="30">
        <f t="shared" si="178"/>
        <v>143.39476190476191</v>
      </c>
    </row>
    <row r="9571" spans="1:7" hidden="1" x14ac:dyDescent="0.25">
      <c r="A9571" s="28">
        <v>44348</v>
      </c>
      <c r="B9571" s="27" t="s">
        <v>200</v>
      </c>
      <c r="C9571" s="27" t="s">
        <v>182</v>
      </c>
      <c r="D9571" s="27" t="s">
        <v>7</v>
      </c>
      <c r="E9571" s="27" t="s">
        <v>13</v>
      </c>
      <c r="F9571" s="29"/>
      <c r="G9571" s="30">
        <f t="shared" si="178"/>
        <v>143.39476190476191</v>
      </c>
    </row>
    <row r="9572" spans="1:7" hidden="1" x14ac:dyDescent="0.25">
      <c r="A9572" s="28">
        <v>44348</v>
      </c>
      <c r="B9572" s="27" t="s">
        <v>200</v>
      </c>
      <c r="C9572" s="27" t="s">
        <v>182</v>
      </c>
      <c r="D9572" s="27" t="s">
        <v>7</v>
      </c>
      <c r="E9572" s="27" t="s">
        <v>14</v>
      </c>
      <c r="F9572" s="29"/>
      <c r="G9572" s="30">
        <f t="shared" si="178"/>
        <v>143.39476190476191</v>
      </c>
    </row>
    <row r="9573" spans="1:7" hidden="1" x14ac:dyDescent="0.25">
      <c r="A9573" s="28">
        <v>44348</v>
      </c>
      <c r="B9573" s="27" t="s">
        <v>200</v>
      </c>
      <c r="C9573" s="27" t="s">
        <v>182</v>
      </c>
      <c r="D9573" s="27" t="s">
        <v>7</v>
      </c>
      <c r="E9573" s="27" t="s">
        <v>15</v>
      </c>
      <c r="F9573" s="29"/>
      <c r="G9573" s="30">
        <f t="shared" si="178"/>
        <v>143.39476190476191</v>
      </c>
    </row>
    <row r="9574" spans="1:7" hidden="1" x14ac:dyDescent="0.25">
      <c r="A9574" s="28">
        <v>44348</v>
      </c>
      <c r="B9574" s="27" t="s">
        <v>200</v>
      </c>
      <c r="C9574" s="27" t="s">
        <v>182</v>
      </c>
      <c r="D9574" s="27" t="s">
        <v>7</v>
      </c>
      <c r="E9574" s="27" t="s">
        <v>16</v>
      </c>
      <c r="F9574" s="29"/>
      <c r="G9574" s="30">
        <f t="shared" si="178"/>
        <v>143.39476190476191</v>
      </c>
    </row>
    <row r="9575" spans="1:7" hidden="1" x14ac:dyDescent="0.25">
      <c r="A9575" s="28">
        <v>44348</v>
      </c>
      <c r="B9575" s="27" t="s">
        <v>200</v>
      </c>
      <c r="C9575" s="27" t="s">
        <v>182</v>
      </c>
      <c r="D9575" s="27" t="s">
        <v>7</v>
      </c>
      <c r="E9575" s="27" t="s">
        <v>17</v>
      </c>
      <c r="F9575" s="29"/>
      <c r="G9575" s="30">
        <f t="shared" si="178"/>
        <v>143.39476190476191</v>
      </c>
    </row>
    <row r="9576" spans="1:7" hidden="1" x14ac:dyDescent="0.25">
      <c r="A9576" s="28">
        <v>44348</v>
      </c>
      <c r="B9576" s="27" t="s">
        <v>200</v>
      </c>
      <c r="C9576" s="27" t="s">
        <v>182</v>
      </c>
      <c r="D9576" s="27" t="s">
        <v>7</v>
      </c>
      <c r="E9576" s="27" t="s">
        <v>18</v>
      </c>
      <c r="F9576" s="29"/>
      <c r="G9576" s="30">
        <f t="shared" si="178"/>
        <v>143.39476190476191</v>
      </c>
    </row>
    <row r="9577" spans="1:7" hidden="1" x14ac:dyDescent="0.25">
      <c r="A9577" s="28">
        <v>44348</v>
      </c>
      <c r="B9577" s="27" t="s">
        <v>200</v>
      </c>
      <c r="C9577" s="27" t="s">
        <v>182</v>
      </c>
      <c r="D9577" s="27" t="s">
        <v>7</v>
      </c>
      <c r="E9577" s="27" t="s">
        <v>19</v>
      </c>
      <c r="F9577" s="29"/>
      <c r="G9577" s="30">
        <f t="shared" si="178"/>
        <v>143.39476190476191</v>
      </c>
    </row>
    <row r="9578" spans="1:7" hidden="1" x14ac:dyDescent="0.25">
      <c r="A9578" s="28">
        <v>44348</v>
      </c>
      <c r="B9578" s="27" t="s">
        <v>200</v>
      </c>
      <c r="C9578" s="27" t="s">
        <v>182</v>
      </c>
      <c r="D9578" s="27" t="s">
        <v>7</v>
      </c>
      <c r="E9578" s="27" t="s">
        <v>20</v>
      </c>
      <c r="F9578" s="29"/>
      <c r="G9578" s="30">
        <f t="shared" si="178"/>
        <v>143.39476190476191</v>
      </c>
    </row>
    <row r="9579" spans="1:7" hidden="1" x14ac:dyDescent="0.25">
      <c r="A9579" s="28">
        <v>44348</v>
      </c>
      <c r="B9579" s="27" t="s">
        <v>200</v>
      </c>
      <c r="C9579" s="27" t="s">
        <v>182</v>
      </c>
      <c r="D9579" s="27" t="s">
        <v>7</v>
      </c>
      <c r="E9579" s="27" t="s">
        <v>38</v>
      </c>
      <c r="F9579" s="29"/>
      <c r="G9579" s="30">
        <f t="shared" si="178"/>
        <v>143.39476190476191</v>
      </c>
    </row>
    <row r="9580" spans="1:7" hidden="1" x14ac:dyDescent="0.25">
      <c r="A9580" s="28">
        <v>44348</v>
      </c>
      <c r="B9580" s="27" t="s">
        <v>200</v>
      </c>
      <c r="C9580" s="27" t="s">
        <v>182</v>
      </c>
      <c r="D9580" s="27" t="s">
        <v>7</v>
      </c>
      <c r="E9580" s="27" t="s">
        <v>23</v>
      </c>
      <c r="F9580" s="29"/>
      <c r="G9580" s="30">
        <f t="shared" si="178"/>
        <v>143.39476190476191</v>
      </c>
    </row>
    <row r="9581" spans="1:7" hidden="1" x14ac:dyDescent="0.25">
      <c r="A9581" s="28">
        <v>44348</v>
      </c>
      <c r="B9581" s="27" t="s">
        <v>200</v>
      </c>
      <c r="C9581" s="27" t="s">
        <v>182</v>
      </c>
      <c r="D9581" s="27" t="s">
        <v>7</v>
      </c>
      <c r="E9581" s="27" t="s">
        <v>40</v>
      </c>
      <c r="F9581" s="29"/>
      <c r="G9581" s="30">
        <f t="shared" si="178"/>
        <v>143.39476190476191</v>
      </c>
    </row>
    <row r="9582" spans="1:7" hidden="1" x14ac:dyDescent="0.25">
      <c r="A9582" s="28">
        <v>44348</v>
      </c>
      <c r="B9582" s="27" t="s">
        <v>35</v>
      </c>
      <c r="C9582" s="27" t="s">
        <v>50</v>
      </c>
      <c r="D9582" s="27" t="s">
        <v>7</v>
      </c>
      <c r="E9582" s="27" t="s">
        <v>8</v>
      </c>
      <c r="F9582" s="29"/>
      <c r="G9582" s="30">
        <v>709.13142857142861</v>
      </c>
    </row>
    <row r="9583" spans="1:7" hidden="1" x14ac:dyDescent="0.25">
      <c r="A9583" s="28">
        <v>44348</v>
      </c>
      <c r="B9583" s="27" t="s">
        <v>35</v>
      </c>
      <c r="C9583" s="27" t="s">
        <v>50</v>
      </c>
      <c r="D9583" s="27" t="s">
        <v>7</v>
      </c>
      <c r="E9583" s="27" t="s">
        <v>9</v>
      </c>
      <c r="F9583" s="29"/>
      <c r="G9583" s="30">
        <v>709.13142857142861</v>
      </c>
    </row>
    <row r="9584" spans="1:7" hidden="1" x14ac:dyDescent="0.25">
      <c r="A9584" s="28">
        <v>44348</v>
      </c>
      <c r="B9584" s="27" t="s">
        <v>35</v>
      </c>
      <c r="C9584" s="27" t="s">
        <v>50</v>
      </c>
      <c r="D9584" s="27" t="s">
        <v>7</v>
      </c>
      <c r="E9584" s="27" t="s">
        <v>22</v>
      </c>
      <c r="F9584" s="29"/>
      <c r="G9584" s="30">
        <v>709.13142857142861</v>
      </c>
    </row>
    <row r="9585" spans="1:7" hidden="1" x14ac:dyDescent="0.25">
      <c r="A9585" s="28">
        <v>44348</v>
      </c>
      <c r="B9585" s="27" t="s">
        <v>35</v>
      </c>
      <c r="C9585" s="27" t="s">
        <v>50</v>
      </c>
      <c r="D9585" s="27" t="s">
        <v>7</v>
      </c>
      <c r="E9585" s="27" t="s">
        <v>39</v>
      </c>
      <c r="F9585" s="29"/>
      <c r="G9585" s="30">
        <v>709.13142857142861</v>
      </c>
    </row>
    <row r="9586" spans="1:7" hidden="1" x14ac:dyDescent="0.25">
      <c r="A9586" s="28">
        <v>44348</v>
      </c>
      <c r="B9586" s="27" t="s">
        <v>35</v>
      </c>
      <c r="C9586" s="27" t="s">
        <v>50</v>
      </c>
      <c r="D9586" s="27" t="s">
        <v>7</v>
      </c>
      <c r="E9586" s="27" t="s">
        <v>64</v>
      </c>
      <c r="F9586" s="29"/>
      <c r="G9586" s="30">
        <v>709.13142857142861</v>
      </c>
    </row>
    <row r="9587" spans="1:7" hidden="1" x14ac:dyDescent="0.25">
      <c r="A9587" s="28">
        <v>44348</v>
      </c>
      <c r="B9587" s="27" t="s">
        <v>35</v>
      </c>
      <c r="C9587" s="27" t="s">
        <v>50</v>
      </c>
      <c r="D9587" s="27" t="s">
        <v>7</v>
      </c>
      <c r="E9587" s="27" t="s">
        <v>21</v>
      </c>
      <c r="F9587" s="29"/>
      <c r="G9587" s="30">
        <v>709.13142857142861</v>
      </c>
    </row>
    <row r="9588" spans="1:7" hidden="1" x14ac:dyDescent="0.25">
      <c r="A9588" s="28">
        <v>44348</v>
      </c>
      <c r="B9588" s="27" t="s">
        <v>35</v>
      </c>
      <c r="C9588" s="27" t="s">
        <v>50</v>
      </c>
      <c r="D9588" s="27" t="s">
        <v>7</v>
      </c>
      <c r="E9588" s="27" t="s">
        <v>41</v>
      </c>
      <c r="F9588" s="29"/>
      <c r="G9588" s="30">
        <v>709.13142857142861</v>
      </c>
    </row>
    <row r="9589" spans="1:7" hidden="1" x14ac:dyDescent="0.25">
      <c r="A9589" s="28">
        <v>44348</v>
      </c>
      <c r="B9589" s="27" t="s">
        <v>35</v>
      </c>
      <c r="C9589" s="27" t="s">
        <v>50</v>
      </c>
      <c r="D9589" s="27" t="s">
        <v>7</v>
      </c>
      <c r="E9589" s="27" t="s">
        <v>10</v>
      </c>
      <c r="F9589" s="29"/>
      <c r="G9589" s="30">
        <v>709.13142857142861</v>
      </c>
    </row>
    <row r="9590" spans="1:7" hidden="1" x14ac:dyDescent="0.25">
      <c r="A9590" s="28">
        <v>44348</v>
      </c>
      <c r="B9590" s="27" t="s">
        <v>35</v>
      </c>
      <c r="C9590" s="27" t="s">
        <v>50</v>
      </c>
      <c r="D9590" s="27" t="s">
        <v>7</v>
      </c>
      <c r="E9590" s="27" t="s">
        <v>11</v>
      </c>
      <c r="F9590" s="29"/>
      <c r="G9590" s="30">
        <v>709.13142857142861</v>
      </c>
    </row>
    <row r="9591" spans="1:7" hidden="1" x14ac:dyDescent="0.25">
      <c r="A9591" s="28">
        <v>44348</v>
      </c>
      <c r="B9591" s="27" t="s">
        <v>35</v>
      </c>
      <c r="C9591" s="27" t="s">
        <v>50</v>
      </c>
      <c r="D9591" s="27" t="s">
        <v>7</v>
      </c>
      <c r="E9591" s="27" t="s">
        <v>12</v>
      </c>
      <c r="F9591" s="29"/>
      <c r="G9591" s="30">
        <v>709.13142857142861</v>
      </c>
    </row>
    <row r="9592" spans="1:7" hidden="1" x14ac:dyDescent="0.25">
      <c r="A9592" s="28">
        <v>44348</v>
      </c>
      <c r="B9592" s="27" t="s">
        <v>35</v>
      </c>
      <c r="C9592" s="27" t="s">
        <v>50</v>
      </c>
      <c r="D9592" s="27" t="s">
        <v>7</v>
      </c>
      <c r="E9592" s="27" t="s">
        <v>13</v>
      </c>
      <c r="F9592" s="29"/>
      <c r="G9592" s="30">
        <v>709.13142857142861</v>
      </c>
    </row>
    <row r="9593" spans="1:7" hidden="1" x14ac:dyDescent="0.25">
      <c r="A9593" s="28">
        <v>44348</v>
      </c>
      <c r="B9593" s="27" t="s">
        <v>35</v>
      </c>
      <c r="C9593" s="27" t="s">
        <v>50</v>
      </c>
      <c r="D9593" s="27" t="s">
        <v>7</v>
      </c>
      <c r="E9593" s="27" t="s">
        <v>14</v>
      </c>
      <c r="F9593" s="29"/>
      <c r="G9593" s="30">
        <v>709.13142857142861</v>
      </c>
    </row>
    <row r="9594" spans="1:7" hidden="1" x14ac:dyDescent="0.25">
      <c r="A9594" s="28">
        <v>44348</v>
      </c>
      <c r="B9594" s="27" t="s">
        <v>35</v>
      </c>
      <c r="C9594" s="27" t="s">
        <v>50</v>
      </c>
      <c r="D9594" s="27" t="s">
        <v>7</v>
      </c>
      <c r="E9594" s="27" t="s">
        <v>15</v>
      </c>
      <c r="F9594" s="29"/>
      <c r="G9594" s="30">
        <v>709.13142857142861</v>
      </c>
    </row>
    <row r="9595" spans="1:7" hidden="1" x14ac:dyDescent="0.25">
      <c r="A9595" s="28">
        <v>44348</v>
      </c>
      <c r="B9595" s="27" t="s">
        <v>35</v>
      </c>
      <c r="C9595" s="27" t="s">
        <v>50</v>
      </c>
      <c r="D9595" s="27" t="s">
        <v>7</v>
      </c>
      <c r="E9595" s="27" t="s">
        <v>16</v>
      </c>
      <c r="F9595" s="29"/>
      <c r="G9595" s="30">
        <v>709.13142857142861</v>
      </c>
    </row>
    <row r="9596" spans="1:7" hidden="1" x14ac:dyDescent="0.25">
      <c r="A9596" s="28">
        <v>44348</v>
      </c>
      <c r="B9596" s="27" t="s">
        <v>35</v>
      </c>
      <c r="C9596" s="27" t="s">
        <v>50</v>
      </c>
      <c r="D9596" s="27" t="s">
        <v>7</v>
      </c>
      <c r="E9596" s="27" t="s">
        <v>17</v>
      </c>
      <c r="F9596" s="29"/>
      <c r="G9596" s="30">
        <v>709.13142857142861</v>
      </c>
    </row>
    <row r="9597" spans="1:7" hidden="1" x14ac:dyDescent="0.25">
      <c r="A9597" s="28">
        <v>44348</v>
      </c>
      <c r="B9597" s="27" t="s">
        <v>35</v>
      </c>
      <c r="C9597" s="27" t="s">
        <v>50</v>
      </c>
      <c r="D9597" s="27" t="s">
        <v>7</v>
      </c>
      <c r="E9597" s="27" t="s">
        <v>18</v>
      </c>
      <c r="F9597" s="29"/>
      <c r="G9597" s="30">
        <v>709.13142857142861</v>
      </c>
    </row>
    <row r="9598" spans="1:7" hidden="1" x14ac:dyDescent="0.25">
      <c r="A9598" s="28">
        <v>44348</v>
      </c>
      <c r="B9598" s="27" t="s">
        <v>35</v>
      </c>
      <c r="C9598" s="27" t="s">
        <v>50</v>
      </c>
      <c r="D9598" s="27" t="s">
        <v>7</v>
      </c>
      <c r="E9598" s="27" t="s">
        <v>19</v>
      </c>
      <c r="F9598" s="29"/>
      <c r="G9598" s="30">
        <v>709.13142857142861</v>
      </c>
    </row>
    <row r="9599" spans="1:7" hidden="1" x14ac:dyDescent="0.25">
      <c r="A9599" s="28">
        <v>44348</v>
      </c>
      <c r="B9599" s="27" t="s">
        <v>35</v>
      </c>
      <c r="C9599" s="27" t="s">
        <v>50</v>
      </c>
      <c r="D9599" s="27" t="s">
        <v>7</v>
      </c>
      <c r="E9599" s="27" t="s">
        <v>20</v>
      </c>
      <c r="F9599" s="29"/>
      <c r="G9599" s="30">
        <v>709.13142857142861</v>
      </c>
    </row>
    <row r="9600" spans="1:7" hidden="1" x14ac:dyDescent="0.25">
      <c r="A9600" s="28">
        <v>44348</v>
      </c>
      <c r="B9600" s="27" t="s">
        <v>35</v>
      </c>
      <c r="C9600" s="27" t="s">
        <v>50</v>
      </c>
      <c r="D9600" s="27" t="s">
        <v>7</v>
      </c>
      <c r="E9600" s="27" t="s">
        <v>38</v>
      </c>
      <c r="F9600" s="29"/>
      <c r="G9600" s="30">
        <v>709.13142857142861</v>
      </c>
    </row>
    <row r="9601" spans="1:7" hidden="1" x14ac:dyDescent="0.25">
      <c r="A9601" s="28">
        <v>44348</v>
      </c>
      <c r="B9601" s="27" t="s">
        <v>35</v>
      </c>
      <c r="C9601" s="27" t="s">
        <v>50</v>
      </c>
      <c r="D9601" s="27" t="s">
        <v>7</v>
      </c>
      <c r="E9601" s="27" t="s">
        <v>23</v>
      </c>
      <c r="F9601" s="29"/>
      <c r="G9601" s="30">
        <v>709.13142857142861</v>
      </c>
    </row>
    <row r="9602" spans="1:7" hidden="1" x14ac:dyDescent="0.25">
      <c r="A9602" s="28">
        <v>44348</v>
      </c>
      <c r="B9602" s="27" t="s">
        <v>35</v>
      </c>
      <c r="C9602" s="27" t="s">
        <v>50</v>
      </c>
      <c r="D9602" s="27" t="s">
        <v>7</v>
      </c>
      <c r="E9602" s="27" t="s">
        <v>40</v>
      </c>
      <c r="F9602" s="29"/>
      <c r="G9602" s="30">
        <v>709.13142857142861</v>
      </c>
    </row>
    <row r="9603" spans="1:7" hidden="1" x14ac:dyDescent="0.25">
      <c r="A9603" s="28">
        <v>44348</v>
      </c>
      <c r="B9603" s="27" t="s">
        <v>34</v>
      </c>
      <c r="C9603" s="27" t="s">
        <v>50</v>
      </c>
      <c r="D9603" s="27" t="s">
        <v>6</v>
      </c>
      <c r="E9603" s="27" t="s">
        <v>8</v>
      </c>
      <c r="F9603" s="29"/>
      <c r="G9603" s="30">
        <v>512.69000000000005</v>
      </c>
    </row>
    <row r="9604" spans="1:7" hidden="1" x14ac:dyDescent="0.25">
      <c r="A9604" s="28">
        <v>44348</v>
      </c>
      <c r="B9604" s="27" t="s">
        <v>34</v>
      </c>
      <c r="C9604" s="27" t="s">
        <v>50</v>
      </c>
      <c r="D9604" s="27" t="s">
        <v>6</v>
      </c>
      <c r="E9604" s="27" t="s">
        <v>9</v>
      </c>
      <c r="F9604" s="29"/>
      <c r="G9604" s="30">
        <v>583.98</v>
      </c>
    </row>
    <row r="9605" spans="1:7" hidden="1" x14ac:dyDescent="0.25">
      <c r="A9605" s="28">
        <v>44348</v>
      </c>
      <c r="B9605" s="27" t="s">
        <v>34</v>
      </c>
      <c r="C9605" s="27" t="s">
        <v>50</v>
      </c>
      <c r="D9605" s="27" t="s">
        <v>6</v>
      </c>
      <c r="E9605" s="27" t="s">
        <v>22</v>
      </c>
      <c r="F9605" s="29"/>
      <c r="G9605" s="30">
        <v>717.29</v>
      </c>
    </row>
    <row r="9606" spans="1:7" hidden="1" x14ac:dyDescent="0.25">
      <c r="A9606" s="28">
        <v>44348</v>
      </c>
      <c r="B9606" s="27" t="s">
        <v>34</v>
      </c>
      <c r="C9606" s="27" t="s">
        <v>50</v>
      </c>
      <c r="D9606" s="27" t="s">
        <v>6</v>
      </c>
      <c r="E9606" s="27" t="s">
        <v>39</v>
      </c>
      <c r="F9606" s="29"/>
      <c r="G9606" s="30">
        <v>357.63</v>
      </c>
    </row>
    <row r="9607" spans="1:7" hidden="1" x14ac:dyDescent="0.25">
      <c r="A9607" s="28">
        <v>44348</v>
      </c>
      <c r="B9607" s="27" t="s">
        <v>34</v>
      </c>
      <c r="C9607" s="27" t="s">
        <v>50</v>
      </c>
      <c r="D9607" s="27" t="s">
        <v>6</v>
      </c>
      <c r="E9607" s="27" t="s">
        <v>64</v>
      </c>
      <c r="F9607" s="29"/>
      <c r="G9607" s="30">
        <v>632.99</v>
      </c>
    </row>
    <row r="9608" spans="1:7" hidden="1" x14ac:dyDescent="0.25">
      <c r="A9608" s="28">
        <v>44348</v>
      </c>
      <c r="B9608" s="27" t="s">
        <v>34</v>
      </c>
      <c r="C9608" s="27" t="s">
        <v>50</v>
      </c>
      <c r="D9608" s="27" t="s">
        <v>6</v>
      </c>
      <c r="E9608" s="27" t="s">
        <v>21</v>
      </c>
      <c r="F9608" s="29"/>
      <c r="G9608" s="30">
        <v>525.32000000000005</v>
      </c>
    </row>
    <row r="9609" spans="1:7" hidden="1" x14ac:dyDescent="0.25">
      <c r="A9609" s="28">
        <v>44348</v>
      </c>
      <c r="B9609" s="27" t="s">
        <v>34</v>
      </c>
      <c r="C9609" s="27" t="s">
        <v>50</v>
      </c>
      <c r="D9609" s="27" t="s">
        <v>6</v>
      </c>
      <c r="E9609" s="27" t="s">
        <v>41</v>
      </c>
      <c r="F9609" s="29"/>
      <c r="G9609" s="30">
        <v>541.32000000000005</v>
      </c>
    </row>
    <row r="9610" spans="1:7" hidden="1" x14ac:dyDescent="0.25">
      <c r="A9610" s="28">
        <v>44348</v>
      </c>
      <c r="B9610" s="27" t="s">
        <v>34</v>
      </c>
      <c r="C9610" s="27" t="s">
        <v>50</v>
      </c>
      <c r="D9610" s="27" t="s">
        <v>6</v>
      </c>
      <c r="E9610" s="27" t="s">
        <v>10</v>
      </c>
      <c r="F9610" s="29"/>
      <c r="G9610" s="30">
        <v>721.06</v>
      </c>
    </row>
    <row r="9611" spans="1:7" hidden="1" x14ac:dyDescent="0.25">
      <c r="A9611" s="28">
        <v>44348</v>
      </c>
      <c r="B9611" s="27" t="s">
        <v>34</v>
      </c>
      <c r="C9611" s="27" t="s">
        <v>50</v>
      </c>
      <c r="D9611" s="27" t="s">
        <v>6</v>
      </c>
      <c r="E9611" s="27" t="s">
        <v>11</v>
      </c>
      <c r="F9611" s="29"/>
      <c r="G9611" s="30">
        <v>309.66000000000003</v>
      </c>
    </row>
    <row r="9612" spans="1:7" hidden="1" x14ac:dyDescent="0.25">
      <c r="A9612" s="28">
        <v>44348</v>
      </c>
      <c r="B9612" s="27" t="s">
        <v>34</v>
      </c>
      <c r="C9612" s="27" t="s">
        <v>50</v>
      </c>
      <c r="D9612" s="27" t="s">
        <v>6</v>
      </c>
      <c r="E9612" s="27" t="s">
        <v>12</v>
      </c>
      <c r="F9612" s="29"/>
      <c r="G9612" s="30">
        <v>366.63</v>
      </c>
    </row>
    <row r="9613" spans="1:7" hidden="1" x14ac:dyDescent="0.25">
      <c r="A9613" s="28">
        <v>44348</v>
      </c>
      <c r="B9613" s="27" t="s">
        <v>34</v>
      </c>
      <c r="C9613" s="27" t="s">
        <v>50</v>
      </c>
      <c r="D9613" s="27" t="s">
        <v>6</v>
      </c>
      <c r="E9613" s="27" t="s">
        <v>13</v>
      </c>
      <c r="F9613" s="29"/>
      <c r="G9613" s="30">
        <v>444.8</v>
      </c>
    </row>
    <row r="9614" spans="1:7" hidden="1" x14ac:dyDescent="0.25">
      <c r="A9614" s="28">
        <v>44348</v>
      </c>
      <c r="B9614" s="27" t="s">
        <v>34</v>
      </c>
      <c r="C9614" s="27" t="s">
        <v>50</v>
      </c>
      <c r="D9614" s="27" t="s">
        <v>6</v>
      </c>
      <c r="E9614" s="27" t="s">
        <v>14</v>
      </c>
      <c r="F9614" s="29"/>
      <c r="G9614" s="30">
        <v>153.91999999999999</v>
      </c>
    </row>
    <row r="9615" spans="1:7" hidden="1" x14ac:dyDescent="0.25">
      <c r="A9615" s="28">
        <v>44348</v>
      </c>
      <c r="B9615" s="27" t="s">
        <v>34</v>
      </c>
      <c r="C9615" s="27" t="s">
        <v>50</v>
      </c>
      <c r="D9615" s="27" t="s">
        <v>6</v>
      </c>
      <c r="E9615" s="27" t="s">
        <v>15</v>
      </c>
      <c r="F9615" s="29"/>
      <c r="G9615" s="30">
        <v>377.23</v>
      </c>
    </row>
    <row r="9616" spans="1:7" hidden="1" x14ac:dyDescent="0.25">
      <c r="A9616" s="28">
        <v>44348</v>
      </c>
      <c r="B9616" s="27" t="s">
        <v>34</v>
      </c>
      <c r="C9616" s="27" t="s">
        <v>50</v>
      </c>
      <c r="D9616" s="27" t="s">
        <v>6</v>
      </c>
      <c r="E9616" s="27" t="s">
        <v>16</v>
      </c>
      <c r="F9616" s="29"/>
      <c r="G9616" s="30">
        <v>455.42</v>
      </c>
    </row>
    <row r="9617" spans="1:7" hidden="1" x14ac:dyDescent="0.25">
      <c r="A9617" s="28">
        <v>44348</v>
      </c>
      <c r="B9617" s="27" t="s">
        <v>34</v>
      </c>
      <c r="C9617" s="27" t="s">
        <v>50</v>
      </c>
      <c r="D9617" s="27" t="s">
        <v>6</v>
      </c>
      <c r="E9617" s="27" t="s">
        <v>17</v>
      </c>
      <c r="F9617" s="29"/>
      <c r="G9617" s="30">
        <v>825.43</v>
      </c>
    </row>
    <row r="9618" spans="1:7" hidden="1" x14ac:dyDescent="0.25">
      <c r="A9618" s="28">
        <v>44348</v>
      </c>
      <c r="B9618" s="27" t="s">
        <v>34</v>
      </c>
      <c r="C9618" s="27" t="s">
        <v>50</v>
      </c>
      <c r="D9618" s="27" t="s">
        <v>6</v>
      </c>
      <c r="E9618" s="27" t="s">
        <v>18</v>
      </c>
      <c r="F9618" s="29"/>
      <c r="G9618" s="30">
        <v>361.39</v>
      </c>
    </row>
    <row r="9619" spans="1:7" hidden="1" x14ac:dyDescent="0.25">
      <c r="A9619" s="28">
        <v>44348</v>
      </c>
      <c r="B9619" s="27" t="s">
        <v>34</v>
      </c>
      <c r="C9619" s="27" t="s">
        <v>50</v>
      </c>
      <c r="D9619" s="27" t="s">
        <v>6</v>
      </c>
      <c r="E9619" s="27" t="s">
        <v>19</v>
      </c>
      <c r="F9619" s="29"/>
      <c r="G9619" s="30">
        <v>492.72</v>
      </c>
    </row>
    <row r="9620" spans="1:7" hidden="1" x14ac:dyDescent="0.25">
      <c r="A9620" s="28">
        <v>44348</v>
      </c>
      <c r="B9620" s="27" t="s">
        <v>34</v>
      </c>
      <c r="C9620" s="27" t="s">
        <v>50</v>
      </c>
      <c r="D9620" s="27" t="s">
        <v>6</v>
      </c>
      <c r="E9620" s="27" t="s">
        <v>20</v>
      </c>
      <c r="F9620" s="29"/>
      <c r="G9620" s="30">
        <v>371.7</v>
      </c>
    </row>
    <row r="9621" spans="1:7" hidden="1" x14ac:dyDescent="0.25">
      <c r="A9621" s="28">
        <v>44348</v>
      </c>
      <c r="B9621" s="27" t="s">
        <v>34</v>
      </c>
      <c r="C9621" s="27" t="s">
        <v>50</v>
      </c>
      <c r="D9621" s="27" t="s">
        <v>6</v>
      </c>
      <c r="E9621" s="27" t="s">
        <v>38</v>
      </c>
      <c r="F9621" s="29"/>
      <c r="G9621" s="30">
        <v>182.93</v>
      </c>
    </row>
    <row r="9622" spans="1:7" hidden="1" x14ac:dyDescent="0.25">
      <c r="A9622" s="28">
        <v>44348</v>
      </c>
      <c r="B9622" s="27" t="s">
        <v>34</v>
      </c>
      <c r="C9622" s="27" t="s">
        <v>50</v>
      </c>
      <c r="D9622" s="27" t="s">
        <v>6</v>
      </c>
      <c r="E9622" s="27" t="s">
        <v>23</v>
      </c>
      <c r="F9622" s="29"/>
      <c r="G9622" s="30">
        <v>571.6</v>
      </c>
    </row>
    <row r="9623" spans="1:7" hidden="1" x14ac:dyDescent="0.25">
      <c r="A9623" s="28">
        <v>44348</v>
      </c>
      <c r="B9623" s="27" t="s">
        <v>34</v>
      </c>
      <c r="C9623" s="27" t="s">
        <v>50</v>
      </c>
      <c r="D9623" s="27" t="s">
        <v>6</v>
      </c>
      <c r="E9623" s="27" t="s">
        <v>40</v>
      </c>
      <c r="F9623" s="29"/>
      <c r="G9623" s="30">
        <v>169.73</v>
      </c>
    </row>
    <row r="9624" spans="1:7" hidden="1" x14ac:dyDescent="0.25">
      <c r="A9624" s="28">
        <v>44348</v>
      </c>
      <c r="B9624" s="27" t="s">
        <v>24</v>
      </c>
      <c r="C9624" s="27" t="s">
        <v>50</v>
      </c>
      <c r="D9624" s="27" t="s">
        <v>7</v>
      </c>
      <c r="E9624" s="27" t="s">
        <v>13</v>
      </c>
      <c r="F9624" s="29"/>
      <c r="G9624" s="30">
        <v>8891.68</v>
      </c>
    </row>
    <row r="9625" spans="1:7" hidden="1" x14ac:dyDescent="0.25">
      <c r="A9625" s="28">
        <v>44378</v>
      </c>
      <c r="B9625" s="27" t="s">
        <v>33</v>
      </c>
      <c r="C9625" s="27" t="s">
        <v>50</v>
      </c>
      <c r="D9625" s="27" t="s">
        <v>7</v>
      </c>
      <c r="E9625" s="27" t="s">
        <v>8</v>
      </c>
      <c r="F9625" s="29"/>
      <c r="G9625" s="30">
        <v>2090.0981818181822</v>
      </c>
    </row>
    <row r="9626" spans="1:7" hidden="1" x14ac:dyDescent="0.25">
      <c r="A9626" s="28">
        <v>44378</v>
      </c>
      <c r="B9626" s="27" t="s">
        <v>33</v>
      </c>
      <c r="C9626" s="27" t="s">
        <v>50</v>
      </c>
      <c r="D9626" s="27" t="s">
        <v>7</v>
      </c>
      <c r="E9626" s="27" t="s">
        <v>9</v>
      </c>
      <c r="F9626" s="29"/>
      <c r="G9626" s="30">
        <v>2090.0981818181822</v>
      </c>
    </row>
    <row r="9627" spans="1:7" hidden="1" x14ac:dyDescent="0.25">
      <c r="A9627" s="28">
        <v>44378</v>
      </c>
      <c r="B9627" s="27" t="s">
        <v>33</v>
      </c>
      <c r="C9627" s="27" t="s">
        <v>50</v>
      </c>
      <c r="D9627" s="27" t="s">
        <v>7</v>
      </c>
      <c r="E9627" s="27" t="s">
        <v>22</v>
      </c>
      <c r="F9627" s="29"/>
      <c r="G9627" s="30">
        <v>2090.0981818181822</v>
      </c>
    </row>
    <row r="9628" spans="1:7" hidden="1" x14ac:dyDescent="0.25">
      <c r="A9628" s="28">
        <v>44378</v>
      </c>
      <c r="B9628" s="27" t="s">
        <v>33</v>
      </c>
      <c r="C9628" s="27" t="s">
        <v>50</v>
      </c>
      <c r="D9628" s="27" t="s">
        <v>7</v>
      </c>
      <c r="E9628" s="27" t="s">
        <v>39</v>
      </c>
      <c r="F9628" s="29"/>
      <c r="G9628" s="30">
        <v>2090.0981818181822</v>
      </c>
    </row>
    <row r="9629" spans="1:7" hidden="1" x14ac:dyDescent="0.25">
      <c r="A9629" s="28">
        <v>44378</v>
      </c>
      <c r="B9629" s="27" t="s">
        <v>33</v>
      </c>
      <c r="C9629" s="27" t="s">
        <v>50</v>
      </c>
      <c r="D9629" s="27" t="s">
        <v>7</v>
      </c>
      <c r="E9629" s="27" t="s">
        <v>64</v>
      </c>
      <c r="F9629" s="29"/>
      <c r="G9629" s="30">
        <v>2090.0981818181822</v>
      </c>
    </row>
    <row r="9630" spans="1:7" hidden="1" x14ac:dyDescent="0.25">
      <c r="A9630" s="28">
        <v>44378</v>
      </c>
      <c r="B9630" s="27" t="s">
        <v>33</v>
      </c>
      <c r="C9630" s="27" t="s">
        <v>50</v>
      </c>
      <c r="D9630" s="27" t="s">
        <v>7</v>
      </c>
      <c r="E9630" s="27" t="s">
        <v>21</v>
      </c>
      <c r="F9630" s="29"/>
      <c r="G9630" s="30">
        <v>2090.0981818181822</v>
      </c>
    </row>
    <row r="9631" spans="1:7" hidden="1" x14ac:dyDescent="0.25">
      <c r="A9631" s="28">
        <v>44378</v>
      </c>
      <c r="B9631" s="27" t="s">
        <v>33</v>
      </c>
      <c r="C9631" s="27" t="s">
        <v>50</v>
      </c>
      <c r="D9631" s="27" t="s">
        <v>7</v>
      </c>
      <c r="E9631" s="27" t="s">
        <v>41</v>
      </c>
      <c r="F9631" s="29"/>
      <c r="G9631" s="30">
        <v>2090.0981818181822</v>
      </c>
    </row>
    <row r="9632" spans="1:7" hidden="1" x14ac:dyDescent="0.25">
      <c r="A9632" s="28">
        <v>44378</v>
      </c>
      <c r="B9632" s="27" t="s">
        <v>33</v>
      </c>
      <c r="C9632" s="27" t="s">
        <v>50</v>
      </c>
      <c r="D9632" s="27" t="s">
        <v>7</v>
      </c>
      <c r="E9632" s="27" t="s">
        <v>10</v>
      </c>
      <c r="F9632" s="29"/>
      <c r="G9632" s="30">
        <v>2090.0981818181822</v>
      </c>
    </row>
    <row r="9633" spans="1:7" hidden="1" x14ac:dyDescent="0.25">
      <c r="A9633" s="28">
        <v>44378</v>
      </c>
      <c r="B9633" s="27" t="s">
        <v>33</v>
      </c>
      <c r="C9633" s="27" t="s">
        <v>50</v>
      </c>
      <c r="D9633" s="27" t="s">
        <v>7</v>
      </c>
      <c r="E9633" s="27" t="s">
        <v>11</v>
      </c>
      <c r="F9633" s="29"/>
      <c r="G9633" s="30">
        <v>2090.0981818181822</v>
      </c>
    </row>
    <row r="9634" spans="1:7" hidden="1" x14ac:dyDescent="0.25">
      <c r="A9634" s="28">
        <v>44378</v>
      </c>
      <c r="B9634" s="27" t="s">
        <v>33</v>
      </c>
      <c r="C9634" s="27" t="s">
        <v>50</v>
      </c>
      <c r="D9634" s="27" t="s">
        <v>7</v>
      </c>
      <c r="E9634" s="27" t="s">
        <v>12</v>
      </c>
      <c r="F9634" s="29"/>
      <c r="G9634" s="30">
        <v>2090.0981818181822</v>
      </c>
    </row>
    <row r="9635" spans="1:7" hidden="1" x14ac:dyDescent="0.25">
      <c r="A9635" s="28">
        <v>44378</v>
      </c>
      <c r="B9635" s="27" t="s">
        <v>33</v>
      </c>
      <c r="C9635" s="27" t="s">
        <v>50</v>
      </c>
      <c r="D9635" s="27" t="s">
        <v>7</v>
      </c>
      <c r="E9635" s="27" t="s">
        <v>13</v>
      </c>
      <c r="F9635" s="29"/>
      <c r="G9635" s="30">
        <v>2090.0981818181822</v>
      </c>
    </row>
    <row r="9636" spans="1:7" hidden="1" x14ac:dyDescent="0.25">
      <c r="A9636" s="28">
        <v>44378</v>
      </c>
      <c r="B9636" s="27" t="s">
        <v>33</v>
      </c>
      <c r="C9636" s="27" t="s">
        <v>50</v>
      </c>
      <c r="D9636" s="27" t="s">
        <v>7</v>
      </c>
      <c r="E9636" s="27" t="s">
        <v>14</v>
      </c>
      <c r="F9636" s="29"/>
      <c r="G9636" s="30">
        <v>2090.0981818181822</v>
      </c>
    </row>
    <row r="9637" spans="1:7" hidden="1" x14ac:dyDescent="0.25">
      <c r="A9637" s="28">
        <v>44378</v>
      </c>
      <c r="B9637" s="27" t="s">
        <v>33</v>
      </c>
      <c r="C9637" s="27" t="s">
        <v>50</v>
      </c>
      <c r="D9637" s="27" t="s">
        <v>7</v>
      </c>
      <c r="E9637" s="27" t="s">
        <v>15</v>
      </c>
      <c r="F9637" s="29"/>
      <c r="G9637" s="30">
        <v>2090.0981818181822</v>
      </c>
    </row>
    <row r="9638" spans="1:7" hidden="1" x14ac:dyDescent="0.25">
      <c r="A9638" s="28">
        <v>44378</v>
      </c>
      <c r="B9638" s="27" t="s">
        <v>33</v>
      </c>
      <c r="C9638" s="27" t="s">
        <v>50</v>
      </c>
      <c r="D9638" s="27" t="s">
        <v>7</v>
      </c>
      <c r="E9638" s="27" t="s">
        <v>16</v>
      </c>
      <c r="F9638" s="29"/>
      <c r="G9638" s="30">
        <v>2090.0981818181822</v>
      </c>
    </row>
    <row r="9639" spans="1:7" hidden="1" x14ac:dyDescent="0.25">
      <c r="A9639" s="28">
        <v>44378</v>
      </c>
      <c r="B9639" s="27" t="s">
        <v>33</v>
      </c>
      <c r="C9639" s="27" t="s">
        <v>50</v>
      </c>
      <c r="D9639" s="27" t="s">
        <v>7</v>
      </c>
      <c r="E9639" s="27" t="s">
        <v>17</v>
      </c>
      <c r="F9639" s="29"/>
      <c r="G9639" s="30">
        <v>2090.0981818181822</v>
      </c>
    </row>
    <row r="9640" spans="1:7" hidden="1" x14ac:dyDescent="0.25">
      <c r="A9640" s="28">
        <v>44378</v>
      </c>
      <c r="B9640" s="27" t="s">
        <v>33</v>
      </c>
      <c r="C9640" s="27" t="s">
        <v>50</v>
      </c>
      <c r="D9640" s="27" t="s">
        <v>7</v>
      </c>
      <c r="E9640" s="27" t="s">
        <v>18</v>
      </c>
      <c r="F9640" s="29"/>
      <c r="G9640" s="30">
        <v>2090.0981818181822</v>
      </c>
    </row>
    <row r="9641" spans="1:7" hidden="1" x14ac:dyDescent="0.25">
      <c r="A9641" s="28">
        <v>44378</v>
      </c>
      <c r="B9641" s="27" t="s">
        <v>33</v>
      </c>
      <c r="C9641" s="27" t="s">
        <v>50</v>
      </c>
      <c r="D9641" s="27" t="s">
        <v>7</v>
      </c>
      <c r="E9641" s="27" t="s">
        <v>19</v>
      </c>
      <c r="F9641" s="29"/>
      <c r="G9641" s="30">
        <v>2090.0981818181822</v>
      </c>
    </row>
    <row r="9642" spans="1:7" hidden="1" x14ac:dyDescent="0.25">
      <c r="A9642" s="28">
        <v>44378</v>
      </c>
      <c r="B9642" s="27" t="s">
        <v>33</v>
      </c>
      <c r="C9642" s="27" t="s">
        <v>50</v>
      </c>
      <c r="D9642" s="27" t="s">
        <v>7</v>
      </c>
      <c r="E9642" s="27" t="s">
        <v>20</v>
      </c>
      <c r="F9642" s="29"/>
      <c r="G9642" s="30">
        <v>2090.0981818181822</v>
      </c>
    </row>
    <row r="9643" spans="1:7" hidden="1" x14ac:dyDescent="0.25">
      <c r="A9643" s="28">
        <v>44378</v>
      </c>
      <c r="B9643" s="27" t="s">
        <v>33</v>
      </c>
      <c r="C9643" s="27" t="s">
        <v>50</v>
      </c>
      <c r="D9643" s="27" t="s">
        <v>7</v>
      </c>
      <c r="E9643" s="27" t="s">
        <v>38</v>
      </c>
      <c r="F9643" s="29"/>
      <c r="G9643" s="30">
        <v>2090.0981818181822</v>
      </c>
    </row>
    <row r="9644" spans="1:7" hidden="1" x14ac:dyDescent="0.25">
      <c r="A9644" s="28">
        <v>44378</v>
      </c>
      <c r="B9644" s="27" t="s">
        <v>33</v>
      </c>
      <c r="C9644" s="27" t="s">
        <v>50</v>
      </c>
      <c r="D9644" s="27" t="s">
        <v>7</v>
      </c>
      <c r="E9644" s="27" t="s">
        <v>23</v>
      </c>
      <c r="F9644" s="29"/>
      <c r="G9644" s="30">
        <v>2090.0981818181822</v>
      </c>
    </row>
    <row r="9645" spans="1:7" hidden="1" x14ac:dyDescent="0.25">
      <c r="A9645" s="28">
        <v>44378</v>
      </c>
      <c r="B9645" s="27" t="s">
        <v>33</v>
      </c>
      <c r="C9645" s="27" t="s">
        <v>50</v>
      </c>
      <c r="D9645" s="27" t="s">
        <v>7</v>
      </c>
      <c r="E9645" s="27" t="s">
        <v>40</v>
      </c>
      <c r="F9645" s="29"/>
      <c r="G9645" s="30">
        <v>2090.0981818181822</v>
      </c>
    </row>
    <row r="9646" spans="1:7" hidden="1" x14ac:dyDescent="0.25">
      <c r="A9646" s="28">
        <v>44378</v>
      </c>
      <c r="B9646" s="27" t="s">
        <v>33</v>
      </c>
      <c r="C9646" s="27" t="s">
        <v>50</v>
      </c>
      <c r="D9646" s="27" t="s">
        <v>7</v>
      </c>
      <c r="E9646" s="27" t="s">
        <v>42</v>
      </c>
      <c r="F9646" s="29"/>
      <c r="G9646" s="30">
        <v>2090.0981818181822</v>
      </c>
    </row>
    <row r="9647" spans="1:7" hidden="1" x14ac:dyDescent="0.25">
      <c r="A9647" s="28">
        <v>44378</v>
      </c>
      <c r="B9647" s="27" t="s">
        <v>4</v>
      </c>
      <c r="C9647" s="27" t="s">
        <v>50</v>
      </c>
      <c r="D9647" s="27" t="s">
        <v>7</v>
      </c>
      <c r="E9647" s="27" t="s">
        <v>8</v>
      </c>
      <c r="F9647" s="29"/>
      <c r="G9647" s="30">
        <v>1885.31</v>
      </c>
    </row>
    <row r="9648" spans="1:7" hidden="1" x14ac:dyDescent="0.25">
      <c r="A9648" s="28">
        <v>44378</v>
      </c>
      <c r="B9648" s="27" t="s">
        <v>4</v>
      </c>
      <c r="C9648" s="27" t="s">
        <v>50</v>
      </c>
      <c r="D9648" s="27" t="s">
        <v>7</v>
      </c>
      <c r="E9648" s="27" t="s">
        <v>9</v>
      </c>
      <c r="F9648" s="29"/>
      <c r="G9648" s="30">
        <f>1857.68+500.76</f>
        <v>2358.44</v>
      </c>
    </row>
    <row r="9649" spans="1:7" hidden="1" x14ac:dyDescent="0.25">
      <c r="A9649" s="28">
        <v>44378</v>
      </c>
      <c r="B9649" s="27" t="s">
        <v>4</v>
      </c>
      <c r="C9649" s="27" t="s">
        <v>50</v>
      </c>
      <c r="D9649" s="27" t="s">
        <v>7</v>
      </c>
      <c r="E9649" s="27" t="s">
        <v>22</v>
      </c>
      <c r="F9649" s="29"/>
      <c r="G9649" s="30">
        <f>38814.38/5</f>
        <v>7762.8759999999993</v>
      </c>
    </row>
    <row r="9650" spans="1:7" hidden="1" x14ac:dyDescent="0.25">
      <c r="A9650" s="28">
        <v>44378</v>
      </c>
      <c r="B9650" s="27" t="s">
        <v>4</v>
      </c>
      <c r="C9650" s="27" t="s">
        <v>50</v>
      </c>
      <c r="D9650" s="27" t="s">
        <v>7</v>
      </c>
      <c r="E9650" s="27" t="s">
        <v>39</v>
      </c>
      <c r="F9650" s="29"/>
      <c r="G9650" s="30">
        <v>1893.15</v>
      </c>
    </row>
    <row r="9651" spans="1:7" hidden="1" x14ac:dyDescent="0.25">
      <c r="A9651" s="28">
        <v>44378</v>
      </c>
      <c r="B9651" s="27" t="s">
        <v>4</v>
      </c>
      <c r="C9651" s="27" t="s">
        <v>50</v>
      </c>
      <c r="D9651" s="27" t="s">
        <v>7</v>
      </c>
      <c r="E9651" s="27" t="s">
        <v>64</v>
      </c>
      <c r="F9651" s="29"/>
      <c r="G9651" s="30">
        <v>4755.37</v>
      </c>
    </row>
    <row r="9652" spans="1:7" hidden="1" x14ac:dyDescent="0.25">
      <c r="A9652" s="28">
        <v>44378</v>
      </c>
      <c r="B9652" s="27" t="s">
        <v>4</v>
      </c>
      <c r="C9652" s="27" t="s">
        <v>50</v>
      </c>
      <c r="D9652" s="27" t="s">
        <v>7</v>
      </c>
      <c r="E9652" s="27" t="s">
        <v>21</v>
      </c>
      <c r="F9652" s="29"/>
      <c r="G9652" s="30">
        <v>4381.95</v>
      </c>
    </row>
    <row r="9653" spans="1:7" hidden="1" x14ac:dyDescent="0.25">
      <c r="A9653" s="28">
        <v>44378</v>
      </c>
      <c r="B9653" s="27" t="s">
        <v>4</v>
      </c>
      <c r="C9653" s="27" t="s">
        <v>50</v>
      </c>
      <c r="D9653" s="27" t="s">
        <v>7</v>
      </c>
      <c r="E9653" s="27" t="s">
        <v>41</v>
      </c>
      <c r="F9653" s="29"/>
      <c r="G9653" s="30">
        <v>3027.65</v>
      </c>
    </row>
    <row r="9654" spans="1:7" hidden="1" x14ac:dyDescent="0.25">
      <c r="A9654" s="28">
        <v>44378</v>
      </c>
      <c r="B9654" s="27" t="s">
        <v>4</v>
      </c>
      <c r="C9654" s="27" t="s">
        <v>50</v>
      </c>
      <c r="D9654" s="27" t="s">
        <v>7</v>
      </c>
      <c r="E9654" s="27" t="s">
        <v>10</v>
      </c>
      <c r="F9654" s="29"/>
      <c r="G9654" s="30">
        <v>4701.91</v>
      </c>
    </row>
    <row r="9655" spans="1:7" hidden="1" x14ac:dyDescent="0.25">
      <c r="A9655" s="28">
        <v>44378</v>
      </c>
      <c r="B9655" s="27" t="s">
        <v>4</v>
      </c>
      <c r="C9655" s="27" t="s">
        <v>50</v>
      </c>
      <c r="D9655" s="27" t="s">
        <v>7</v>
      </c>
      <c r="E9655" s="27" t="s">
        <v>11</v>
      </c>
      <c r="F9655" s="29"/>
      <c r="G9655" s="30">
        <v>2286.38</v>
      </c>
    </row>
    <row r="9656" spans="1:7" hidden="1" x14ac:dyDescent="0.25">
      <c r="A9656" s="28">
        <v>44378</v>
      </c>
      <c r="B9656" s="27" t="s">
        <v>4</v>
      </c>
      <c r="C9656" s="27" t="s">
        <v>50</v>
      </c>
      <c r="D9656" s="27" t="s">
        <v>7</v>
      </c>
      <c r="E9656" s="27" t="s">
        <v>12</v>
      </c>
      <c r="F9656" s="29"/>
      <c r="G9656" s="30">
        <f>38814.38/5</f>
        <v>7762.8759999999993</v>
      </c>
    </row>
    <row r="9657" spans="1:7" hidden="1" x14ac:dyDescent="0.25">
      <c r="A9657" s="28">
        <v>44378</v>
      </c>
      <c r="B9657" s="27" t="s">
        <v>4</v>
      </c>
      <c r="C9657" s="27" t="s">
        <v>50</v>
      </c>
      <c r="D9657" s="27" t="s">
        <v>7</v>
      </c>
      <c r="E9657" s="27" t="s">
        <v>13</v>
      </c>
      <c r="F9657" s="29"/>
      <c r="G9657" s="30">
        <f>38814.38/5</f>
        <v>7762.8759999999993</v>
      </c>
    </row>
    <row r="9658" spans="1:7" hidden="1" x14ac:dyDescent="0.25">
      <c r="A9658" s="28">
        <v>44378</v>
      </c>
      <c r="B9658" s="27" t="s">
        <v>4</v>
      </c>
      <c r="C9658" s="27" t="s">
        <v>50</v>
      </c>
      <c r="D9658" s="27" t="s">
        <v>7</v>
      </c>
      <c r="E9658" s="27" t="s">
        <v>14</v>
      </c>
      <c r="F9658" s="29"/>
      <c r="G9658" s="30">
        <v>967.42</v>
      </c>
    </row>
    <row r="9659" spans="1:7" hidden="1" x14ac:dyDescent="0.25">
      <c r="A9659" s="28">
        <v>44378</v>
      </c>
      <c r="B9659" s="27" t="s">
        <v>4</v>
      </c>
      <c r="C9659" s="27" t="s">
        <v>50</v>
      </c>
      <c r="D9659" s="27" t="s">
        <v>7</v>
      </c>
      <c r="E9659" s="27" t="s">
        <v>15</v>
      </c>
      <c r="F9659" s="29"/>
      <c r="G9659" s="30">
        <v>1411.69</v>
      </c>
    </row>
    <row r="9660" spans="1:7" hidden="1" x14ac:dyDescent="0.25">
      <c r="A9660" s="28">
        <v>44378</v>
      </c>
      <c r="B9660" s="27" t="s">
        <v>4</v>
      </c>
      <c r="C9660" s="27" t="s">
        <v>50</v>
      </c>
      <c r="D9660" s="27" t="s">
        <v>7</v>
      </c>
      <c r="E9660" s="27" t="s">
        <v>16</v>
      </c>
      <c r="F9660" s="29"/>
      <c r="G9660" s="30">
        <f>38814.38/5</f>
        <v>7762.8759999999993</v>
      </c>
    </row>
    <row r="9661" spans="1:7" hidden="1" x14ac:dyDescent="0.25">
      <c r="A9661" s="28">
        <v>44378</v>
      </c>
      <c r="B9661" s="27" t="s">
        <v>4</v>
      </c>
      <c r="C9661" s="27" t="s">
        <v>50</v>
      </c>
      <c r="D9661" s="27" t="s">
        <v>7</v>
      </c>
      <c r="E9661" s="27" t="s">
        <v>17</v>
      </c>
      <c r="F9661" s="29"/>
      <c r="G9661" s="30">
        <v>5235.32</v>
      </c>
    </row>
    <row r="9662" spans="1:7" hidden="1" x14ac:dyDescent="0.25">
      <c r="A9662" s="28">
        <v>44378</v>
      </c>
      <c r="B9662" s="27" t="s">
        <v>4</v>
      </c>
      <c r="C9662" s="27" t="s">
        <v>50</v>
      </c>
      <c r="D9662" s="27" t="s">
        <v>7</v>
      </c>
      <c r="E9662" s="27" t="s">
        <v>18</v>
      </c>
      <c r="F9662" s="29"/>
      <c r="G9662" s="30">
        <v>291.01</v>
      </c>
    </row>
    <row r="9663" spans="1:7" hidden="1" x14ac:dyDescent="0.25">
      <c r="A9663" s="28">
        <v>44378</v>
      </c>
      <c r="B9663" s="27" t="s">
        <v>4</v>
      </c>
      <c r="C9663" s="27" t="s">
        <v>50</v>
      </c>
      <c r="D9663" s="27" t="s">
        <v>7</v>
      </c>
      <c r="E9663" s="27" t="s">
        <v>19</v>
      </c>
      <c r="F9663" s="29"/>
      <c r="G9663" s="30">
        <v>4761.55</v>
      </c>
    </row>
    <row r="9664" spans="1:7" hidden="1" x14ac:dyDescent="0.25">
      <c r="A9664" s="28">
        <v>44378</v>
      </c>
      <c r="B9664" s="27" t="s">
        <v>4</v>
      </c>
      <c r="C9664" s="27" t="s">
        <v>50</v>
      </c>
      <c r="D9664" s="27" t="s">
        <v>7</v>
      </c>
      <c r="E9664" s="27" t="s">
        <v>20</v>
      </c>
      <c r="F9664" s="29"/>
      <c r="G9664" s="30">
        <v>2226.7199999999998</v>
      </c>
    </row>
    <row r="9665" spans="1:7" hidden="1" x14ac:dyDescent="0.25">
      <c r="A9665" s="28">
        <v>44378</v>
      </c>
      <c r="B9665" s="27" t="s">
        <v>4</v>
      </c>
      <c r="C9665" s="27" t="s">
        <v>50</v>
      </c>
      <c r="D9665" s="27" t="s">
        <v>7</v>
      </c>
      <c r="E9665" s="27" t="s">
        <v>38</v>
      </c>
      <c r="F9665" s="29"/>
      <c r="G9665" s="30">
        <f>38814.38/5</f>
        <v>7762.8759999999993</v>
      </c>
    </row>
    <row r="9666" spans="1:7" hidden="1" x14ac:dyDescent="0.25">
      <c r="A9666" s="28">
        <v>44378</v>
      </c>
      <c r="B9666" s="27" t="s">
        <v>4</v>
      </c>
      <c r="C9666" s="27" t="s">
        <v>50</v>
      </c>
      <c r="D9666" s="27" t="s">
        <v>7</v>
      </c>
      <c r="E9666" s="27" t="s">
        <v>23</v>
      </c>
      <c r="F9666" s="29"/>
      <c r="G9666" s="30">
        <v>2516.64</v>
      </c>
    </row>
    <row r="9667" spans="1:7" hidden="1" x14ac:dyDescent="0.25">
      <c r="A9667" s="28">
        <v>44378</v>
      </c>
      <c r="B9667" s="27" t="s">
        <v>4</v>
      </c>
      <c r="C9667" s="27" t="s">
        <v>50</v>
      </c>
      <c r="D9667" s="27" t="s">
        <v>7</v>
      </c>
      <c r="E9667" s="27" t="s">
        <v>40</v>
      </c>
      <c r="F9667" s="29"/>
      <c r="G9667" s="30">
        <v>544.16999999999996</v>
      </c>
    </row>
    <row r="9668" spans="1:7" hidden="1" x14ac:dyDescent="0.25">
      <c r="A9668" s="28">
        <v>44378</v>
      </c>
      <c r="B9668" s="27" t="s">
        <v>4</v>
      </c>
      <c r="C9668" s="27" t="s">
        <v>50</v>
      </c>
      <c r="D9668" s="27" t="s">
        <v>7</v>
      </c>
      <c r="E9668" s="27" t="s">
        <v>42</v>
      </c>
      <c r="F9668" s="29"/>
      <c r="G9668" s="30">
        <v>3573.6386363636366</v>
      </c>
    </row>
    <row r="9669" spans="1:7" hidden="1" x14ac:dyDescent="0.25">
      <c r="A9669" s="28">
        <v>44378</v>
      </c>
      <c r="B9669" s="27" t="s">
        <v>26</v>
      </c>
      <c r="C9669" s="27" t="s">
        <v>50</v>
      </c>
      <c r="D9669" s="27" t="s">
        <v>6</v>
      </c>
      <c r="E9669" s="27" t="s">
        <v>8</v>
      </c>
      <c r="F9669" s="29"/>
      <c r="G9669" s="30">
        <v>719.18234681218985</v>
      </c>
    </row>
    <row r="9670" spans="1:7" hidden="1" x14ac:dyDescent="0.25">
      <c r="A9670" s="28">
        <v>44378</v>
      </c>
      <c r="B9670" s="27" t="s">
        <v>26</v>
      </c>
      <c r="C9670" s="27" t="s">
        <v>50</v>
      </c>
      <c r="D9670" s="27" t="s">
        <v>6</v>
      </c>
      <c r="E9670" s="27" t="s">
        <v>9</v>
      </c>
      <c r="F9670" s="29"/>
      <c r="G9670" s="30">
        <v>1595.1320615825009</v>
      </c>
    </row>
    <row r="9671" spans="1:7" hidden="1" x14ac:dyDescent="0.25">
      <c r="A9671" s="28">
        <v>44378</v>
      </c>
      <c r="B9671" s="27" t="s">
        <v>26</v>
      </c>
      <c r="C9671" s="27" t="s">
        <v>50</v>
      </c>
      <c r="D9671" s="27" t="s">
        <v>6</v>
      </c>
      <c r="E9671" s="27" t="s">
        <v>22</v>
      </c>
      <c r="F9671" s="29"/>
      <c r="G9671" s="30">
        <v>2121.8036778000037</v>
      </c>
    </row>
    <row r="9672" spans="1:7" hidden="1" x14ac:dyDescent="0.25">
      <c r="A9672" s="28">
        <v>44378</v>
      </c>
      <c r="B9672" s="27" t="s">
        <v>26</v>
      </c>
      <c r="C9672" s="27" t="s">
        <v>50</v>
      </c>
      <c r="D9672" s="27" t="s">
        <v>6</v>
      </c>
      <c r="E9672" s="27" t="s">
        <v>39</v>
      </c>
      <c r="F9672" s="29"/>
      <c r="G9672" s="30">
        <v>1858.2521149872089</v>
      </c>
    </row>
    <row r="9673" spans="1:7" hidden="1" x14ac:dyDescent="0.25">
      <c r="A9673" s="28">
        <v>44378</v>
      </c>
      <c r="B9673" s="27" t="s">
        <v>26</v>
      </c>
      <c r="C9673" s="27" t="s">
        <v>50</v>
      </c>
      <c r="D9673" s="27" t="s">
        <v>6</v>
      </c>
      <c r="E9673" s="27" t="s">
        <v>64</v>
      </c>
      <c r="F9673" s="29"/>
      <c r="G9673" s="30">
        <v>1276.3329108875935</v>
      </c>
    </row>
    <row r="9674" spans="1:7" hidden="1" x14ac:dyDescent="0.25">
      <c r="A9674" s="28">
        <v>44378</v>
      </c>
      <c r="B9674" s="27" t="s">
        <v>26</v>
      </c>
      <c r="C9674" s="27" t="s">
        <v>50</v>
      </c>
      <c r="D9674" s="27" t="s">
        <v>6</v>
      </c>
      <c r="E9674" s="27" t="s">
        <v>21</v>
      </c>
      <c r="F9674" s="29"/>
      <c r="G9674" s="30">
        <v>1372.0704648952321</v>
      </c>
    </row>
    <row r="9675" spans="1:7" hidden="1" x14ac:dyDescent="0.25">
      <c r="A9675" s="28">
        <v>44378</v>
      </c>
      <c r="B9675" s="27" t="s">
        <v>26</v>
      </c>
      <c r="C9675" s="27" t="s">
        <v>50</v>
      </c>
      <c r="D9675" s="27" t="s">
        <v>6</v>
      </c>
      <c r="E9675" s="27" t="s">
        <v>41</v>
      </c>
      <c r="F9675" s="29"/>
      <c r="G9675" s="30">
        <v>1581.4819806400055</v>
      </c>
    </row>
    <row r="9676" spans="1:7" hidden="1" x14ac:dyDescent="0.25">
      <c r="A9676" s="28">
        <v>44378</v>
      </c>
      <c r="B9676" s="27" t="s">
        <v>26</v>
      </c>
      <c r="C9676" s="27" t="s">
        <v>50</v>
      </c>
      <c r="D9676" s="27" t="s">
        <v>6</v>
      </c>
      <c r="E9676" s="27" t="s">
        <v>10</v>
      </c>
      <c r="F9676" s="29"/>
      <c r="G9676" s="30">
        <v>2188.8314725228997</v>
      </c>
    </row>
    <row r="9677" spans="1:7" hidden="1" x14ac:dyDescent="0.25">
      <c r="A9677" s="28">
        <v>44378</v>
      </c>
      <c r="B9677" s="27" t="s">
        <v>26</v>
      </c>
      <c r="C9677" s="27" t="s">
        <v>50</v>
      </c>
      <c r="D9677" s="27" t="s">
        <v>6</v>
      </c>
      <c r="E9677" s="27" t="s">
        <v>11</v>
      </c>
      <c r="F9677" s="29"/>
      <c r="G9677" s="30">
        <v>1627.7110218930932</v>
      </c>
    </row>
    <row r="9678" spans="1:7" hidden="1" x14ac:dyDescent="0.25">
      <c r="A9678" s="28">
        <v>44378</v>
      </c>
      <c r="B9678" s="27" t="s">
        <v>26</v>
      </c>
      <c r="C9678" s="27" t="s">
        <v>50</v>
      </c>
      <c r="D9678" s="27" t="s">
        <v>6</v>
      </c>
      <c r="E9678" s="27" t="s">
        <v>12</v>
      </c>
      <c r="F9678" s="29"/>
      <c r="G9678" s="30">
        <v>1714.4875638594519</v>
      </c>
    </row>
    <row r="9679" spans="1:7" hidden="1" x14ac:dyDescent="0.25">
      <c r="A9679" s="28">
        <v>44378</v>
      </c>
      <c r="B9679" s="27" t="s">
        <v>26</v>
      </c>
      <c r="C9679" s="27" t="s">
        <v>50</v>
      </c>
      <c r="D9679" s="27" t="s">
        <v>6</v>
      </c>
      <c r="E9679" s="27" t="s">
        <v>13</v>
      </c>
      <c r="F9679" s="29"/>
      <c r="G9679" s="30">
        <v>1743.4562287890469</v>
      </c>
    </row>
    <row r="9680" spans="1:7" hidden="1" x14ac:dyDescent="0.25">
      <c r="A9680" s="28">
        <v>44378</v>
      </c>
      <c r="B9680" s="27" t="s">
        <v>26</v>
      </c>
      <c r="C9680" s="27" t="s">
        <v>50</v>
      </c>
      <c r="D9680" s="27" t="s">
        <v>6</v>
      </c>
      <c r="E9680" s="27" t="s">
        <v>14</v>
      </c>
      <c r="F9680" s="29"/>
      <c r="G9680" s="30">
        <v>561.68141286032039</v>
      </c>
    </row>
    <row r="9681" spans="1:7" hidden="1" x14ac:dyDescent="0.25">
      <c r="A9681" s="28">
        <v>44378</v>
      </c>
      <c r="B9681" s="27" t="s">
        <v>26</v>
      </c>
      <c r="C9681" s="27" t="s">
        <v>50</v>
      </c>
      <c r="D9681" s="27" t="s">
        <v>6</v>
      </c>
      <c r="E9681" s="27" t="s">
        <v>15</v>
      </c>
      <c r="F9681" s="29"/>
      <c r="G9681" s="30">
        <v>1903.4886846016955</v>
      </c>
    </row>
    <row r="9682" spans="1:7" hidden="1" x14ac:dyDescent="0.25">
      <c r="A9682" s="28">
        <v>44378</v>
      </c>
      <c r="B9682" s="27" t="s">
        <v>26</v>
      </c>
      <c r="C9682" s="27" t="s">
        <v>50</v>
      </c>
      <c r="D9682" s="27" t="s">
        <v>6</v>
      </c>
      <c r="E9682" s="27" t="s">
        <v>16</v>
      </c>
      <c r="F9682" s="29"/>
      <c r="G9682" s="30">
        <v>2154.0949651718715</v>
      </c>
    </row>
    <row r="9683" spans="1:7" hidden="1" x14ac:dyDescent="0.25">
      <c r="A9683" s="28">
        <v>44378</v>
      </c>
      <c r="B9683" s="27" t="s">
        <v>26</v>
      </c>
      <c r="C9683" s="27" t="s">
        <v>50</v>
      </c>
      <c r="D9683" s="27" t="s">
        <v>6</v>
      </c>
      <c r="E9683" s="27" t="s">
        <v>17</v>
      </c>
      <c r="F9683" s="29"/>
      <c r="G9683" s="30">
        <v>3135.6350321011482</v>
      </c>
    </row>
    <row r="9684" spans="1:7" hidden="1" x14ac:dyDescent="0.25">
      <c r="A9684" s="28">
        <v>44378</v>
      </c>
      <c r="B9684" s="27" t="s">
        <v>26</v>
      </c>
      <c r="C9684" s="27" t="s">
        <v>50</v>
      </c>
      <c r="D9684" s="27" t="s">
        <v>6</v>
      </c>
      <c r="E9684" s="27" t="s">
        <v>18</v>
      </c>
      <c r="F9684" s="29"/>
      <c r="G9684" s="30">
        <v>1603.690331509566</v>
      </c>
    </row>
    <row r="9685" spans="1:7" hidden="1" x14ac:dyDescent="0.25">
      <c r="A9685" s="28">
        <v>44378</v>
      </c>
      <c r="B9685" s="27" t="s">
        <v>26</v>
      </c>
      <c r="C9685" s="27" t="s">
        <v>50</v>
      </c>
      <c r="D9685" s="27" t="s">
        <v>6</v>
      </c>
      <c r="E9685" s="27" t="s">
        <v>19</v>
      </c>
      <c r="F9685" s="29"/>
      <c r="G9685" s="30">
        <v>2421.1417541901737</v>
      </c>
    </row>
    <row r="9686" spans="1:7" hidden="1" x14ac:dyDescent="0.25">
      <c r="A9686" s="28">
        <v>44378</v>
      </c>
      <c r="B9686" s="27" t="s">
        <v>26</v>
      </c>
      <c r="C9686" s="27" t="s">
        <v>50</v>
      </c>
      <c r="D9686" s="27" t="s">
        <v>6</v>
      </c>
      <c r="E9686" s="27" t="s">
        <v>20</v>
      </c>
      <c r="F9686" s="29"/>
      <c r="G9686" s="30">
        <v>1946.4814052941281</v>
      </c>
    </row>
    <row r="9687" spans="1:7" hidden="1" x14ac:dyDescent="0.25">
      <c r="A9687" s="28">
        <v>44378</v>
      </c>
      <c r="B9687" s="27" t="s">
        <v>26</v>
      </c>
      <c r="C9687" s="27" t="s">
        <v>50</v>
      </c>
      <c r="D9687" s="27" t="s">
        <v>6</v>
      </c>
      <c r="E9687" s="27" t="s">
        <v>38</v>
      </c>
      <c r="F9687" s="29"/>
      <c r="G9687" s="30">
        <v>760.63601728244464</v>
      </c>
    </row>
    <row r="9688" spans="1:7" hidden="1" x14ac:dyDescent="0.25">
      <c r="A9688" s="28">
        <v>44378</v>
      </c>
      <c r="B9688" s="27" t="s">
        <v>26</v>
      </c>
      <c r="C9688" s="27" t="s">
        <v>50</v>
      </c>
      <c r="D9688" s="27" t="s">
        <v>6</v>
      </c>
      <c r="E9688" s="27" t="s">
        <v>23</v>
      </c>
      <c r="F9688" s="29"/>
      <c r="G9688" s="30">
        <v>2589.0564485238838</v>
      </c>
    </row>
    <row r="9689" spans="1:7" hidden="1" x14ac:dyDescent="0.25">
      <c r="A9689" s="28">
        <v>44378</v>
      </c>
      <c r="B9689" s="27" t="s">
        <v>26</v>
      </c>
      <c r="C9689" s="27" t="s">
        <v>50</v>
      </c>
      <c r="D9689" s="27" t="s">
        <v>6</v>
      </c>
      <c r="E9689" s="27" t="s">
        <v>40</v>
      </c>
      <c r="F9689" s="29"/>
      <c r="G9689" s="30">
        <v>834.25152230214019</v>
      </c>
    </row>
    <row r="9690" spans="1:7" hidden="1" x14ac:dyDescent="0.25">
      <c r="A9690" s="28">
        <v>44378</v>
      </c>
      <c r="B9690" s="27" t="s">
        <v>26</v>
      </c>
      <c r="C9690" s="27" t="s">
        <v>50</v>
      </c>
      <c r="D9690" s="27" t="s">
        <v>6</v>
      </c>
      <c r="E9690" s="27" t="s">
        <v>37</v>
      </c>
      <c r="F9690" s="29"/>
      <c r="G9690" s="30">
        <v>791.10058149340887</v>
      </c>
    </row>
    <row r="9691" spans="1:7" hidden="1" x14ac:dyDescent="0.25">
      <c r="A9691" s="28">
        <v>44378</v>
      </c>
      <c r="B9691" s="27" t="s">
        <v>3</v>
      </c>
      <c r="C9691" s="27" t="s">
        <v>50</v>
      </c>
      <c r="D9691" s="27" t="s">
        <v>7</v>
      </c>
      <c r="E9691" s="27" t="s">
        <v>8</v>
      </c>
      <c r="F9691" s="29"/>
      <c r="G9691" s="30">
        <v>707.46095238095245</v>
      </c>
    </row>
    <row r="9692" spans="1:7" hidden="1" x14ac:dyDescent="0.25">
      <c r="A9692" s="28">
        <v>44378</v>
      </c>
      <c r="B9692" s="27" t="s">
        <v>3</v>
      </c>
      <c r="C9692" s="27" t="s">
        <v>50</v>
      </c>
      <c r="D9692" s="27" t="s">
        <v>7</v>
      </c>
      <c r="E9692" s="27" t="s">
        <v>9</v>
      </c>
      <c r="F9692" s="29"/>
      <c r="G9692" s="30">
        <v>707.46095238095245</v>
      </c>
    </row>
    <row r="9693" spans="1:7" hidden="1" x14ac:dyDescent="0.25">
      <c r="A9693" s="28">
        <v>44378</v>
      </c>
      <c r="B9693" s="27" t="s">
        <v>3</v>
      </c>
      <c r="C9693" s="27" t="s">
        <v>50</v>
      </c>
      <c r="D9693" s="27" t="s">
        <v>7</v>
      </c>
      <c r="E9693" s="27" t="s">
        <v>22</v>
      </c>
      <c r="F9693" s="29"/>
      <c r="G9693" s="30">
        <v>707.46095238095245</v>
      </c>
    </row>
    <row r="9694" spans="1:7" hidden="1" x14ac:dyDescent="0.25">
      <c r="A9694" s="28">
        <v>44378</v>
      </c>
      <c r="B9694" s="27" t="s">
        <v>3</v>
      </c>
      <c r="C9694" s="27" t="s">
        <v>50</v>
      </c>
      <c r="D9694" s="27" t="s">
        <v>7</v>
      </c>
      <c r="E9694" s="27" t="s">
        <v>39</v>
      </c>
      <c r="F9694" s="29"/>
      <c r="G9694" s="30">
        <v>707.46095238095245</v>
      </c>
    </row>
    <row r="9695" spans="1:7" hidden="1" x14ac:dyDescent="0.25">
      <c r="A9695" s="28">
        <v>44378</v>
      </c>
      <c r="B9695" s="27" t="s">
        <v>3</v>
      </c>
      <c r="C9695" s="27" t="s">
        <v>50</v>
      </c>
      <c r="D9695" s="27" t="s">
        <v>7</v>
      </c>
      <c r="E9695" s="27" t="s">
        <v>64</v>
      </c>
      <c r="F9695" s="29"/>
      <c r="G9695" s="30">
        <v>707.46095238095245</v>
      </c>
    </row>
    <row r="9696" spans="1:7" hidden="1" x14ac:dyDescent="0.25">
      <c r="A9696" s="28">
        <v>44378</v>
      </c>
      <c r="B9696" s="27" t="s">
        <v>3</v>
      </c>
      <c r="C9696" s="27" t="s">
        <v>50</v>
      </c>
      <c r="D9696" s="27" t="s">
        <v>7</v>
      </c>
      <c r="E9696" s="27" t="s">
        <v>21</v>
      </c>
      <c r="F9696" s="29"/>
      <c r="G9696" s="30">
        <v>707.46095238095245</v>
      </c>
    </row>
    <row r="9697" spans="1:7" hidden="1" x14ac:dyDescent="0.25">
      <c r="A9697" s="28">
        <v>44378</v>
      </c>
      <c r="B9697" s="27" t="s">
        <v>3</v>
      </c>
      <c r="C9697" s="27" t="s">
        <v>50</v>
      </c>
      <c r="D9697" s="27" t="s">
        <v>7</v>
      </c>
      <c r="E9697" s="27" t="s">
        <v>41</v>
      </c>
      <c r="F9697" s="29"/>
      <c r="G9697" s="30">
        <v>707.46095238095245</v>
      </c>
    </row>
    <row r="9698" spans="1:7" hidden="1" x14ac:dyDescent="0.25">
      <c r="A9698" s="28">
        <v>44378</v>
      </c>
      <c r="B9698" s="27" t="s">
        <v>3</v>
      </c>
      <c r="C9698" s="27" t="s">
        <v>50</v>
      </c>
      <c r="D9698" s="27" t="s">
        <v>7</v>
      </c>
      <c r="E9698" s="27" t="s">
        <v>10</v>
      </c>
      <c r="F9698" s="29"/>
      <c r="G9698" s="30">
        <v>707.46095238095245</v>
      </c>
    </row>
    <row r="9699" spans="1:7" hidden="1" x14ac:dyDescent="0.25">
      <c r="A9699" s="28">
        <v>44378</v>
      </c>
      <c r="B9699" s="27" t="s">
        <v>3</v>
      </c>
      <c r="C9699" s="27" t="s">
        <v>50</v>
      </c>
      <c r="D9699" s="27" t="s">
        <v>7</v>
      </c>
      <c r="E9699" s="27" t="s">
        <v>11</v>
      </c>
      <c r="F9699" s="29"/>
      <c r="G9699" s="30">
        <v>707.46095238095245</v>
      </c>
    </row>
    <row r="9700" spans="1:7" hidden="1" x14ac:dyDescent="0.25">
      <c r="A9700" s="28">
        <v>44378</v>
      </c>
      <c r="B9700" s="27" t="s">
        <v>3</v>
      </c>
      <c r="C9700" s="27" t="s">
        <v>50</v>
      </c>
      <c r="D9700" s="27" t="s">
        <v>7</v>
      </c>
      <c r="E9700" s="27" t="s">
        <v>12</v>
      </c>
      <c r="F9700" s="29"/>
      <c r="G9700" s="30">
        <v>707.46095238095245</v>
      </c>
    </row>
    <row r="9701" spans="1:7" hidden="1" x14ac:dyDescent="0.25">
      <c r="A9701" s="28">
        <v>44378</v>
      </c>
      <c r="B9701" s="27" t="s">
        <v>3</v>
      </c>
      <c r="C9701" s="27" t="s">
        <v>50</v>
      </c>
      <c r="D9701" s="27" t="s">
        <v>7</v>
      </c>
      <c r="E9701" s="27" t="s">
        <v>13</v>
      </c>
      <c r="F9701" s="29"/>
      <c r="G9701" s="30">
        <v>707.46095238095245</v>
      </c>
    </row>
    <row r="9702" spans="1:7" hidden="1" x14ac:dyDescent="0.25">
      <c r="A9702" s="28">
        <v>44378</v>
      </c>
      <c r="B9702" s="27" t="s">
        <v>3</v>
      </c>
      <c r="C9702" s="27" t="s">
        <v>50</v>
      </c>
      <c r="D9702" s="27" t="s">
        <v>7</v>
      </c>
      <c r="E9702" s="27" t="s">
        <v>14</v>
      </c>
      <c r="F9702" s="29"/>
      <c r="G9702" s="30">
        <v>707.46095238095245</v>
      </c>
    </row>
    <row r="9703" spans="1:7" hidden="1" x14ac:dyDescent="0.25">
      <c r="A9703" s="28">
        <v>44378</v>
      </c>
      <c r="B9703" s="27" t="s">
        <v>3</v>
      </c>
      <c r="C9703" s="27" t="s">
        <v>50</v>
      </c>
      <c r="D9703" s="27" t="s">
        <v>7</v>
      </c>
      <c r="E9703" s="27" t="s">
        <v>15</v>
      </c>
      <c r="F9703" s="29"/>
      <c r="G9703" s="30">
        <v>707.46095238095245</v>
      </c>
    </row>
    <row r="9704" spans="1:7" hidden="1" x14ac:dyDescent="0.25">
      <c r="A9704" s="28">
        <v>44378</v>
      </c>
      <c r="B9704" s="27" t="s">
        <v>3</v>
      </c>
      <c r="C9704" s="27" t="s">
        <v>50</v>
      </c>
      <c r="D9704" s="27" t="s">
        <v>7</v>
      </c>
      <c r="E9704" s="27" t="s">
        <v>16</v>
      </c>
      <c r="F9704" s="29"/>
      <c r="G9704" s="30">
        <v>707.46095238095245</v>
      </c>
    </row>
    <row r="9705" spans="1:7" hidden="1" x14ac:dyDescent="0.25">
      <c r="A9705" s="28">
        <v>44378</v>
      </c>
      <c r="B9705" s="27" t="s">
        <v>3</v>
      </c>
      <c r="C9705" s="27" t="s">
        <v>50</v>
      </c>
      <c r="D9705" s="27" t="s">
        <v>7</v>
      </c>
      <c r="E9705" s="27" t="s">
        <v>17</v>
      </c>
      <c r="F9705" s="29"/>
      <c r="G9705" s="30">
        <v>707.46095238095245</v>
      </c>
    </row>
    <row r="9706" spans="1:7" hidden="1" x14ac:dyDescent="0.25">
      <c r="A9706" s="28">
        <v>44378</v>
      </c>
      <c r="B9706" s="27" t="s">
        <v>3</v>
      </c>
      <c r="C9706" s="27" t="s">
        <v>50</v>
      </c>
      <c r="D9706" s="27" t="s">
        <v>7</v>
      </c>
      <c r="E9706" s="27" t="s">
        <v>18</v>
      </c>
      <c r="F9706" s="29"/>
      <c r="G9706" s="30">
        <v>707.46095238095245</v>
      </c>
    </row>
    <row r="9707" spans="1:7" hidden="1" x14ac:dyDescent="0.25">
      <c r="A9707" s="28">
        <v>44378</v>
      </c>
      <c r="B9707" s="27" t="s">
        <v>3</v>
      </c>
      <c r="C9707" s="27" t="s">
        <v>50</v>
      </c>
      <c r="D9707" s="27" t="s">
        <v>7</v>
      </c>
      <c r="E9707" s="27" t="s">
        <v>19</v>
      </c>
      <c r="F9707" s="29"/>
      <c r="G9707" s="30">
        <v>707.46095238095245</v>
      </c>
    </row>
    <row r="9708" spans="1:7" hidden="1" x14ac:dyDescent="0.25">
      <c r="A9708" s="28">
        <v>44378</v>
      </c>
      <c r="B9708" s="27" t="s">
        <v>3</v>
      </c>
      <c r="C9708" s="27" t="s">
        <v>50</v>
      </c>
      <c r="D9708" s="27" t="s">
        <v>7</v>
      </c>
      <c r="E9708" s="27" t="s">
        <v>20</v>
      </c>
      <c r="F9708" s="29"/>
      <c r="G9708" s="30">
        <v>707.46095238095245</v>
      </c>
    </row>
    <row r="9709" spans="1:7" hidden="1" x14ac:dyDescent="0.25">
      <c r="A9709" s="28">
        <v>44378</v>
      </c>
      <c r="B9709" s="27" t="s">
        <v>3</v>
      </c>
      <c r="C9709" s="27" t="s">
        <v>50</v>
      </c>
      <c r="D9709" s="27" t="s">
        <v>7</v>
      </c>
      <c r="E9709" s="27" t="s">
        <v>38</v>
      </c>
      <c r="F9709" s="29"/>
      <c r="G9709" s="30">
        <v>707.46095238095245</v>
      </c>
    </row>
    <row r="9710" spans="1:7" hidden="1" x14ac:dyDescent="0.25">
      <c r="A9710" s="28">
        <v>44378</v>
      </c>
      <c r="B9710" s="27" t="s">
        <v>3</v>
      </c>
      <c r="C9710" s="27" t="s">
        <v>50</v>
      </c>
      <c r="D9710" s="27" t="s">
        <v>7</v>
      </c>
      <c r="E9710" s="27" t="s">
        <v>23</v>
      </c>
      <c r="F9710" s="29"/>
      <c r="G9710" s="30">
        <v>707.46095238095245</v>
      </c>
    </row>
    <row r="9711" spans="1:7" hidden="1" x14ac:dyDescent="0.25">
      <c r="A9711" s="28">
        <v>44378</v>
      </c>
      <c r="B9711" s="27" t="s">
        <v>3</v>
      </c>
      <c r="C9711" s="27" t="s">
        <v>50</v>
      </c>
      <c r="D9711" s="27" t="s">
        <v>7</v>
      </c>
      <c r="E9711" s="27" t="s">
        <v>40</v>
      </c>
      <c r="F9711" s="29"/>
      <c r="G9711" s="30">
        <v>707.46095238095245</v>
      </c>
    </row>
    <row r="9712" spans="1:7" hidden="1" x14ac:dyDescent="0.25">
      <c r="A9712" s="28">
        <v>44378</v>
      </c>
      <c r="B9712" s="27" t="s">
        <v>179</v>
      </c>
      <c r="C9712" s="27" t="s">
        <v>50</v>
      </c>
      <c r="D9712" s="27" t="s">
        <v>6</v>
      </c>
      <c r="E9712" s="27" t="s">
        <v>8</v>
      </c>
      <c r="F9712" s="29"/>
      <c r="G9712" s="30">
        <v>54.168999999999997</v>
      </c>
    </row>
    <row r="9713" spans="1:7" hidden="1" x14ac:dyDescent="0.25">
      <c r="A9713" s="28">
        <v>44378</v>
      </c>
      <c r="B9713" s="27" t="s">
        <v>179</v>
      </c>
      <c r="C9713" s="27" t="s">
        <v>50</v>
      </c>
      <c r="D9713" s="27" t="s">
        <v>6</v>
      </c>
      <c r="E9713" s="27" t="s">
        <v>9</v>
      </c>
      <c r="F9713" s="29"/>
      <c r="G9713" s="30">
        <v>71.931666000000007</v>
      </c>
    </row>
    <row r="9714" spans="1:7" hidden="1" x14ac:dyDescent="0.25">
      <c r="A9714" s="28">
        <v>44378</v>
      </c>
      <c r="B9714" s="27" t="s">
        <v>179</v>
      </c>
      <c r="C9714" s="27" t="s">
        <v>50</v>
      </c>
      <c r="D9714" s="27" t="s">
        <v>6</v>
      </c>
      <c r="E9714" s="27" t="s">
        <v>22</v>
      </c>
      <c r="F9714" s="29"/>
      <c r="G9714" s="30">
        <v>95.266666000000001</v>
      </c>
    </row>
    <row r="9715" spans="1:7" hidden="1" x14ac:dyDescent="0.25">
      <c r="A9715" s="28">
        <v>44378</v>
      </c>
      <c r="B9715" s="27" t="s">
        <v>179</v>
      </c>
      <c r="C9715" s="27" t="s">
        <v>50</v>
      </c>
      <c r="D9715" s="27" t="s">
        <v>6</v>
      </c>
      <c r="E9715" s="27" t="s">
        <v>39</v>
      </c>
      <c r="F9715" s="29"/>
      <c r="G9715" s="30">
        <v>72.42</v>
      </c>
    </row>
    <row r="9716" spans="1:7" hidden="1" x14ac:dyDescent="0.25">
      <c r="A9716" s="28">
        <v>44378</v>
      </c>
      <c r="B9716" s="27" t="s">
        <v>179</v>
      </c>
      <c r="C9716" s="27" t="s">
        <v>50</v>
      </c>
      <c r="D9716" s="27" t="s">
        <v>6</v>
      </c>
      <c r="E9716" s="27" t="s">
        <v>21</v>
      </c>
      <c r="F9716" s="29"/>
      <c r="G9716" s="30">
        <v>66.441665999999998</v>
      </c>
    </row>
    <row r="9717" spans="1:7" hidden="1" x14ac:dyDescent="0.25">
      <c r="A9717" s="28">
        <v>44378</v>
      </c>
      <c r="B9717" s="27" t="s">
        <v>179</v>
      </c>
      <c r="C9717" s="27" t="s">
        <v>50</v>
      </c>
      <c r="D9717" s="27" t="s">
        <v>6</v>
      </c>
      <c r="E9717" s="27" t="s">
        <v>41</v>
      </c>
      <c r="F9717" s="29"/>
      <c r="G9717" s="30">
        <v>71.509165999999993</v>
      </c>
    </row>
    <row r="9718" spans="1:7" hidden="1" x14ac:dyDescent="0.25">
      <c r="A9718" s="28">
        <v>44378</v>
      </c>
      <c r="B9718" s="27" t="s">
        <v>179</v>
      </c>
      <c r="C9718" s="27" t="s">
        <v>50</v>
      </c>
      <c r="D9718" s="27" t="s">
        <v>6</v>
      </c>
      <c r="E9718" s="27" t="s">
        <v>10</v>
      </c>
      <c r="F9718" s="29"/>
      <c r="G9718" s="30">
        <v>86.698999999999998</v>
      </c>
    </row>
    <row r="9719" spans="1:7" hidden="1" x14ac:dyDescent="0.25">
      <c r="A9719" s="28">
        <v>44378</v>
      </c>
      <c r="B9719" s="27" t="s">
        <v>179</v>
      </c>
      <c r="C9719" s="27" t="s">
        <v>50</v>
      </c>
      <c r="D9719" s="27" t="s">
        <v>6</v>
      </c>
      <c r="E9719" s="27" t="s">
        <v>11</v>
      </c>
      <c r="F9719" s="29"/>
      <c r="G9719" s="30">
        <v>65.566665999999998</v>
      </c>
    </row>
    <row r="9720" spans="1:7" hidden="1" x14ac:dyDescent="0.25">
      <c r="A9720" s="28">
        <v>44378</v>
      </c>
      <c r="B9720" s="27" t="s">
        <v>179</v>
      </c>
      <c r="C9720" s="27" t="s">
        <v>50</v>
      </c>
      <c r="D9720" s="27" t="s">
        <v>6</v>
      </c>
      <c r="E9720" s="27" t="s">
        <v>12</v>
      </c>
      <c r="F9720" s="29"/>
      <c r="G9720" s="30">
        <v>67.331665999999998</v>
      </c>
    </row>
    <row r="9721" spans="1:7" hidden="1" x14ac:dyDescent="0.25">
      <c r="A9721" s="28">
        <v>44378</v>
      </c>
      <c r="B9721" s="27" t="s">
        <v>179</v>
      </c>
      <c r="C9721" s="27" t="s">
        <v>50</v>
      </c>
      <c r="D9721" s="27" t="s">
        <v>6</v>
      </c>
      <c r="E9721" s="27" t="s">
        <v>13</v>
      </c>
      <c r="F9721" s="29"/>
      <c r="G9721" s="30">
        <v>93.319165999999996</v>
      </c>
    </row>
    <row r="9722" spans="1:7" hidden="1" x14ac:dyDescent="0.25">
      <c r="A9722" s="28">
        <v>44378</v>
      </c>
      <c r="B9722" s="27" t="s">
        <v>179</v>
      </c>
      <c r="C9722" s="27" t="s">
        <v>50</v>
      </c>
      <c r="D9722" s="27" t="s">
        <v>6</v>
      </c>
      <c r="E9722" s="27" t="s">
        <v>14</v>
      </c>
      <c r="F9722" s="29"/>
      <c r="G9722" s="30">
        <v>79.181666000000007</v>
      </c>
    </row>
    <row r="9723" spans="1:7" hidden="1" x14ac:dyDescent="0.25">
      <c r="A9723" s="28">
        <v>44378</v>
      </c>
      <c r="B9723" s="27" t="s">
        <v>179</v>
      </c>
      <c r="C9723" s="27" t="s">
        <v>50</v>
      </c>
      <c r="D9723" s="27" t="s">
        <v>6</v>
      </c>
      <c r="E9723" s="27" t="s">
        <v>15</v>
      </c>
      <c r="F9723" s="29"/>
      <c r="G9723" s="30">
        <v>90.084165999999996</v>
      </c>
    </row>
    <row r="9724" spans="1:7" hidden="1" x14ac:dyDescent="0.25">
      <c r="A9724" s="28">
        <v>44378</v>
      </c>
      <c r="B9724" s="27" t="s">
        <v>179</v>
      </c>
      <c r="C9724" s="27" t="s">
        <v>50</v>
      </c>
      <c r="D9724" s="27" t="s">
        <v>6</v>
      </c>
      <c r="E9724" s="27" t="s">
        <v>16</v>
      </c>
      <c r="F9724" s="29"/>
      <c r="G9724" s="30">
        <v>91.176665999999997</v>
      </c>
    </row>
    <row r="9725" spans="1:7" hidden="1" x14ac:dyDescent="0.25">
      <c r="A9725" s="28">
        <v>44378</v>
      </c>
      <c r="B9725" s="27" t="s">
        <v>179</v>
      </c>
      <c r="C9725" s="27" t="s">
        <v>50</v>
      </c>
      <c r="D9725" s="27" t="s">
        <v>6</v>
      </c>
      <c r="E9725" s="27" t="s">
        <v>17</v>
      </c>
      <c r="F9725" s="29"/>
      <c r="G9725" s="30">
        <v>142.004166</v>
      </c>
    </row>
    <row r="9726" spans="1:7" hidden="1" x14ac:dyDescent="0.25">
      <c r="A9726" s="28">
        <v>44378</v>
      </c>
      <c r="B9726" s="27" t="s">
        <v>179</v>
      </c>
      <c r="C9726" s="27" t="s">
        <v>50</v>
      </c>
      <c r="D9726" s="27" t="s">
        <v>6</v>
      </c>
      <c r="E9726" s="27" t="s">
        <v>18</v>
      </c>
      <c r="F9726" s="29"/>
      <c r="G9726" s="30">
        <v>183.16666599999999</v>
      </c>
    </row>
    <row r="9727" spans="1:7" hidden="1" x14ac:dyDescent="0.25">
      <c r="A9727" s="28">
        <v>44378</v>
      </c>
      <c r="B9727" s="27" t="s">
        <v>179</v>
      </c>
      <c r="C9727" s="27" t="s">
        <v>50</v>
      </c>
      <c r="D9727" s="27" t="s">
        <v>6</v>
      </c>
      <c r="E9727" s="27" t="s">
        <v>19</v>
      </c>
      <c r="F9727" s="29"/>
      <c r="G9727" s="30">
        <v>120.299166</v>
      </c>
    </row>
    <row r="9728" spans="1:7" hidden="1" x14ac:dyDescent="0.25">
      <c r="A9728" s="28">
        <v>44378</v>
      </c>
      <c r="B9728" s="27" t="s">
        <v>179</v>
      </c>
      <c r="C9728" s="27" t="s">
        <v>50</v>
      </c>
      <c r="D9728" s="27" t="s">
        <v>6</v>
      </c>
      <c r="E9728" s="27" t="s">
        <v>20</v>
      </c>
      <c r="F9728" s="29"/>
      <c r="G9728" s="30">
        <v>231.341666</v>
      </c>
    </row>
    <row r="9729" spans="1:7" hidden="1" x14ac:dyDescent="0.25">
      <c r="A9729" s="28">
        <v>44378</v>
      </c>
      <c r="B9729" s="27" t="s">
        <v>179</v>
      </c>
      <c r="C9729" s="27" t="s">
        <v>50</v>
      </c>
      <c r="D9729" s="27" t="s">
        <v>6</v>
      </c>
      <c r="E9729" s="27" t="s">
        <v>38</v>
      </c>
      <c r="F9729" s="29"/>
      <c r="G9729" s="30">
        <v>99.366665999999995</v>
      </c>
    </row>
    <row r="9730" spans="1:7" hidden="1" x14ac:dyDescent="0.25">
      <c r="A9730" s="28">
        <v>44378</v>
      </c>
      <c r="B9730" s="27" t="s">
        <v>179</v>
      </c>
      <c r="C9730" s="27" t="s">
        <v>50</v>
      </c>
      <c r="D9730" s="27" t="s">
        <v>6</v>
      </c>
      <c r="E9730" s="27" t="s">
        <v>23</v>
      </c>
      <c r="F9730" s="29"/>
      <c r="G9730" s="30">
        <v>131.48916600000001</v>
      </c>
    </row>
    <row r="9731" spans="1:7" hidden="1" x14ac:dyDescent="0.25">
      <c r="A9731" s="28">
        <v>44378</v>
      </c>
      <c r="B9731" s="27" t="s">
        <v>179</v>
      </c>
      <c r="C9731" s="27" t="s">
        <v>50</v>
      </c>
      <c r="D9731" s="27" t="s">
        <v>6</v>
      </c>
      <c r="E9731" s="27" t="s">
        <v>40</v>
      </c>
      <c r="F9731" s="29"/>
      <c r="G9731" s="30">
        <v>130.52416600000001</v>
      </c>
    </row>
    <row r="9732" spans="1:7" hidden="1" x14ac:dyDescent="0.25">
      <c r="A9732" s="28">
        <v>44378</v>
      </c>
      <c r="B9732" s="27" t="s">
        <v>32</v>
      </c>
      <c r="C9732" s="27" t="s">
        <v>50</v>
      </c>
      <c r="D9732" s="27" t="s">
        <v>7</v>
      </c>
      <c r="E9732" s="27" t="s">
        <v>10</v>
      </c>
      <c r="F9732" s="29"/>
      <c r="G9732" s="30">
        <v>50</v>
      </c>
    </row>
    <row r="9733" spans="1:7" hidden="1" x14ac:dyDescent="0.25">
      <c r="A9733" s="28">
        <v>44378</v>
      </c>
      <c r="B9733" s="27" t="s">
        <v>32</v>
      </c>
      <c r="C9733" s="27" t="s">
        <v>50</v>
      </c>
      <c r="D9733" s="27" t="s">
        <v>7</v>
      </c>
      <c r="E9733" s="27" t="s">
        <v>17</v>
      </c>
      <c r="F9733" s="29"/>
      <c r="G9733" s="30">
        <v>50</v>
      </c>
    </row>
    <row r="9734" spans="1:7" hidden="1" x14ac:dyDescent="0.25">
      <c r="A9734" s="28">
        <v>44378</v>
      </c>
      <c r="B9734" s="27" t="s">
        <v>5</v>
      </c>
      <c r="C9734" s="27" t="s">
        <v>51</v>
      </c>
      <c r="D9734" s="27" t="s">
        <v>51</v>
      </c>
      <c r="E9734" s="27" t="s">
        <v>8</v>
      </c>
      <c r="F9734" s="29">
        <v>2340</v>
      </c>
      <c r="G9734" s="30">
        <v>4.0569234767336662</v>
      </c>
    </row>
    <row r="9735" spans="1:7" hidden="1" x14ac:dyDescent="0.25">
      <c r="A9735" s="28">
        <v>44378</v>
      </c>
      <c r="B9735" s="27" t="s">
        <v>5</v>
      </c>
      <c r="C9735" s="27" t="s">
        <v>51</v>
      </c>
      <c r="D9735" s="27" t="s">
        <v>51</v>
      </c>
      <c r="E9735" s="27" t="s">
        <v>9</v>
      </c>
      <c r="F9735" s="29">
        <v>4512</v>
      </c>
      <c r="G9735" s="30">
        <v>2.4029063201079546</v>
      </c>
    </row>
    <row r="9736" spans="1:7" hidden="1" x14ac:dyDescent="0.25">
      <c r="A9736" s="28">
        <v>44378</v>
      </c>
      <c r="B9736" s="27" t="s">
        <v>5</v>
      </c>
      <c r="C9736" s="27" t="s">
        <v>51</v>
      </c>
      <c r="D9736" s="27" t="s">
        <v>51</v>
      </c>
      <c r="E9736" s="27" t="s">
        <v>22</v>
      </c>
      <c r="F9736" s="29">
        <v>4185</v>
      </c>
      <c r="G9736" s="30">
        <v>2.6231947270118501</v>
      </c>
    </row>
    <row r="9737" spans="1:7" hidden="1" x14ac:dyDescent="0.25">
      <c r="A9737" s="28">
        <v>44378</v>
      </c>
      <c r="B9737" s="27" t="s">
        <v>5</v>
      </c>
      <c r="C9737" s="27" t="s">
        <v>51</v>
      </c>
      <c r="D9737" s="27" t="s">
        <v>51</v>
      </c>
      <c r="E9737" s="27" t="s">
        <v>39</v>
      </c>
      <c r="F9737" s="29">
        <v>2640</v>
      </c>
      <c r="G9737" s="30">
        <v>3.7925764029287112</v>
      </c>
    </row>
    <row r="9738" spans="1:7" hidden="1" x14ac:dyDescent="0.25">
      <c r="A9738" s="28">
        <v>44378</v>
      </c>
      <c r="B9738" s="27" t="s">
        <v>5</v>
      </c>
      <c r="C9738" s="27" t="s">
        <v>51</v>
      </c>
      <c r="D9738" s="27" t="s">
        <v>51</v>
      </c>
      <c r="E9738" s="27" t="s">
        <v>64</v>
      </c>
      <c r="F9738" s="29">
        <v>3807</v>
      </c>
      <c r="G9738" s="30">
        <v>2.605732203738425</v>
      </c>
    </row>
    <row r="9739" spans="1:7" hidden="1" x14ac:dyDescent="0.25">
      <c r="A9739" s="28">
        <v>44378</v>
      </c>
      <c r="B9739" s="27" t="s">
        <v>5</v>
      </c>
      <c r="C9739" s="27" t="s">
        <v>51</v>
      </c>
      <c r="D9739" s="27" t="s">
        <v>51</v>
      </c>
      <c r="E9739" s="27" t="s">
        <v>21</v>
      </c>
      <c r="F9739" s="29">
        <v>5376</v>
      </c>
      <c r="G9739" s="30">
        <v>2.172128296063955</v>
      </c>
    </row>
    <row r="9740" spans="1:7" hidden="1" x14ac:dyDescent="0.25">
      <c r="A9740" s="28">
        <v>44378</v>
      </c>
      <c r="B9740" s="27" t="s">
        <v>5</v>
      </c>
      <c r="C9740" s="27" t="s">
        <v>51</v>
      </c>
      <c r="D9740" s="27" t="s">
        <v>51</v>
      </c>
      <c r="E9740" s="27" t="s">
        <v>41</v>
      </c>
      <c r="F9740" s="29">
        <v>3851</v>
      </c>
      <c r="G9740" s="30">
        <v>2.8648015412580095</v>
      </c>
    </row>
    <row r="9741" spans="1:7" hidden="1" x14ac:dyDescent="0.25">
      <c r="A9741" s="28">
        <v>44378</v>
      </c>
      <c r="B9741" s="27" t="s">
        <v>5</v>
      </c>
      <c r="C9741" s="27" t="s">
        <v>51</v>
      </c>
      <c r="D9741" s="27" t="s">
        <v>51</v>
      </c>
      <c r="E9741" s="27" t="s">
        <v>10</v>
      </c>
      <c r="F9741" s="29">
        <v>3893</v>
      </c>
      <c r="G9741" s="30">
        <v>2.8092705012246313</v>
      </c>
    </row>
    <row r="9742" spans="1:7" hidden="1" x14ac:dyDescent="0.25">
      <c r="A9742" s="28">
        <v>44378</v>
      </c>
      <c r="B9742" s="27" t="s">
        <v>5</v>
      </c>
      <c r="C9742" s="27" t="s">
        <v>51</v>
      </c>
      <c r="D9742" s="27" t="s">
        <v>51</v>
      </c>
      <c r="E9742" s="27" t="s">
        <v>11</v>
      </c>
      <c r="F9742" s="29">
        <v>6327</v>
      </c>
      <c r="G9742" s="30">
        <v>1.8818823852898041</v>
      </c>
    </row>
    <row r="9743" spans="1:7" hidden="1" x14ac:dyDescent="0.25">
      <c r="A9743" s="28">
        <v>44378</v>
      </c>
      <c r="B9743" s="27" t="s">
        <v>5</v>
      </c>
      <c r="C9743" s="27" t="s">
        <v>51</v>
      </c>
      <c r="D9743" s="27" t="s">
        <v>51</v>
      </c>
      <c r="E9743" s="27" t="s">
        <v>12</v>
      </c>
      <c r="F9743" s="29">
        <v>2282</v>
      </c>
      <c r="G9743" s="30">
        <v>5.0887155208606671</v>
      </c>
    </row>
    <row r="9744" spans="1:7" hidden="1" x14ac:dyDescent="0.25">
      <c r="A9744" s="28">
        <v>44378</v>
      </c>
      <c r="B9744" s="27" t="s">
        <v>5</v>
      </c>
      <c r="C9744" s="27" t="s">
        <v>51</v>
      </c>
      <c r="D9744" s="27" t="s">
        <v>51</v>
      </c>
      <c r="E9744" s="27" t="s">
        <v>14</v>
      </c>
      <c r="F9744" s="29">
        <v>3663</v>
      </c>
      <c r="G9744" s="30">
        <v>2.3178767861329268</v>
      </c>
    </row>
    <row r="9745" spans="1:7" hidden="1" x14ac:dyDescent="0.25">
      <c r="A9745" s="28">
        <v>44378</v>
      </c>
      <c r="B9745" s="27" t="s">
        <v>5</v>
      </c>
      <c r="C9745" s="27" t="s">
        <v>51</v>
      </c>
      <c r="D9745" s="27" t="s">
        <v>51</v>
      </c>
      <c r="E9745" s="27" t="s">
        <v>15</v>
      </c>
      <c r="F9745" s="29">
        <v>5331</v>
      </c>
      <c r="G9745" s="30">
        <v>2.1240503544074816</v>
      </c>
    </row>
    <row r="9746" spans="1:7" hidden="1" x14ac:dyDescent="0.25">
      <c r="A9746" s="28">
        <v>44378</v>
      </c>
      <c r="B9746" s="27" t="s">
        <v>5</v>
      </c>
      <c r="C9746" s="27" t="s">
        <v>51</v>
      </c>
      <c r="D9746" s="27" t="s">
        <v>51</v>
      </c>
      <c r="E9746" s="27" t="s">
        <v>16</v>
      </c>
      <c r="F9746" s="29">
        <v>2772</v>
      </c>
      <c r="G9746" s="30">
        <v>3.7030884631733261</v>
      </c>
    </row>
    <row r="9747" spans="1:7" hidden="1" x14ac:dyDescent="0.25">
      <c r="A9747" s="28">
        <v>44378</v>
      </c>
      <c r="B9747" s="27" t="s">
        <v>5</v>
      </c>
      <c r="C9747" s="27" t="s">
        <v>51</v>
      </c>
      <c r="D9747" s="27" t="s">
        <v>51</v>
      </c>
      <c r="E9747" s="27" t="s">
        <v>17</v>
      </c>
      <c r="F9747" s="29">
        <v>4807</v>
      </c>
      <c r="G9747" s="30">
        <v>2.5618761778335215</v>
      </c>
    </row>
    <row r="9748" spans="1:7" hidden="1" x14ac:dyDescent="0.25">
      <c r="A9748" s="28">
        <v>44378</v>
      </c>
      <c r="B9748" s="27" t="s">
        <v>5</v>
      </c>
      <c r="C9748" s="27" t="s">
        <v>51</v>
      </c>
      <c r="D9748" s="27" t="s">
        <v>51</v>
      </c>
      <c r="E9748" s="27" t="s">
        <v>18</v>
      </c>
      <c r="F9748" s="29">
        <v>7169</v>
      </c>
      <c r="G9748" s="30">
        <v>1.3923066796281427</v>
      </c>
    </row>
    <row r="9749" spans="1:7" hidden="1" x14ac:dyDescent="0.25">
      <c r="A9749" s="28">
        <v>44378</v>
      </c>
      <c r="B9749" s="27" t="s">
        <v>5</v>
      </c>
      <c r="C9749" s="27" t="s">
        <v>51</v>
      </c>
      <c r="D9749" s="27" t="s">
        <v>51</v>
      </c>
      <c r="E9749" s="27" t="s">
        <v>19</v>
      </c>
      <c r="F9749" s="29">
        <v>6230</v>
      </c>
      <c r="G9749" s="30">
        <v>1.9059872405994807</v>
      </c>
    </row>
    <row r="9750" spans="1:7" hidden="1" x14ac:dyDescent="0.25">
      <c r="A9750" s="28">
        <v>44378</v>
      </c>
      <c r="B9750" s="27" t="s">
        <v>5</v>
      </c>
      <c r="C9750" s="27" t="s">
        <v>51</v>
      </c>
      <c r="D9750" s="27" t="s">
        <v>51</v>
      </c>
      <c r="E9750" s="27" t="s">
        <v>20</v>
      </c>
      <c r="F9750" s="29">
        <v>6890</v>
      </c>
      <c r="G9750" s="30">
        <v>1.6054895007313088</v>
      </c>
    </row>
    <row r="9751" spans="1:7" hidden="1" x14ac:dyDescent="0.25">
      <c r="A9751" s="28">
        <v>44378</v>
      </c>
      <c r="B9751" s="27" t="s">
        <v>5</v>
      </c>
      <c r="C9751" s="27" t="s">
        <v>51</v>
      </c>
      <c r="D9751" s="27" t="s">
        <v>51</v>
      </c>
      <c r="E9751" s="27" t="s">
        <v>38</v>
      </c>
      <c r="F9751" s="29">
        <v>3371</v>
      </c>
      <c r="G9751" s="30">
        <v>2.660110433707219</v>
      </c>
    </row>
    <row r="9752" spans="1:7" hidden="1" x14ac:dyDescent="0.25">
      <c r="A9752" s="28">
        <v>44378</v>
      </c>
      <c r="B9752" s="27" t="s">
        <v>5</v>
      </c>
      <c r="C9752" s="27" t="s">
        <v>51</v>
      </c>
      <c r="D9752" s="27" t="s">
        <v>51</v>
      </c>
      <c r="E9752" s="27" t="s">
        <v>23</v>
      </c>
      <c r="F9752" s="29">
        <v>4558</v>
      </c>
      <c r="G9752" s="30">
        <v>3.1176404570575853</v>
      </c>
    </row>
    <row r="9753" spans="1:7" hidden="1" x14ac:dyDescent="0.25">
      <c r="A9753" s="28">
        <v>44378</v>
      </c>
      <c r="B9753" s="27" t="s">
        <v>5</v>
      </c>
      <c r="C9753" s="27" t="s">
        <v>51</v>
      </c>
      <c r="D9753" s="27" t="s">
        <v>51</v>
      </c>
      <c r="E9753" s="27" t="s">
        <v>40</v>
      </c>
      <c r="F9753" s="29">
        <v>6167</v>
      </c>
      <c r="G9753" s="30">
        <v>1.5486533609610393</v>
      </c>
    </row>
    <row r="9754" spans="1:7" hidden="1" x14ac:dyDescent="0.25">
      <c r="A9754" s="28">
        <v>44378</v>
      </c>
      <c r="B9754" s="27" t="s">
        <v>5</v>
      </c>
      <c r="C9754" s="27" t="s">
        <v>51</v>
      </c>
      <c r="D9754" s="27" t="s">
        <v>51</v>
      </c>
      <c r="E9754" s="27" t="s">
        <v>42</v>
      </c>
      <c r="F9754" s="29">
        <v>1160</v>
      </c>
      <c r="G9754" s="30">
        <v>5.8109815830721017</v>
      </c>
    </row>
    <row r="9755" spans="1:7" hidden="1" x14ac:dyDescent="0.25">
      <c r="A9755" s="28">
        <v>44378</v>
      </c>
      <c r="B9755" s="27" t="s">
        <v>180</v>
      </c>
      <c r="C9755" s="27" t="s">
        <v>50</v>
      </c>
      <c r="D9755" s="27" t="s">
        <v>7</v>
      </c>
      <c r="E9755" s="27" t="s">
        <v>8</v>
      </c>
      <c r="F9755" s="29"/>
      <c r="G9755" s="30">
        <v>373.06</v>
      </c>
    </row>
    <row r="9756" spans="1:7" hidden="1" x14ac:dyDescent="0.25">
      <c r="A9756" s="28">
        <v>44378</v>
      </c>
      <c r="B9756" s="27" t="s">
        <v>180</v>
      </c>
      <c r="C9756" s="27" t="s">
        <v>50</v>
      </c>
      <c r="D9756" s="27" t="s">
        <v>7</v>
      </c>
      <c r="E9756" s="27" t="s">
        <v>41</v>
      </c>
      <c r="F9756" s="29"/>
      <c r="G9756" s="30">
        <v>343</v>
      </c>
    </row>
    <row r="9757" spans="1:7" hidden="1" x14ac:dyDescent="0.25">
      <c r="A9757" s="28">
        <v>44378</v>
      </c>
      <c r="B9757" s="27" t="s">
        <v>180</v>
      </c>
      <c r="C9757" s="27" t="s">
        <v>50</v>
      </c>
      <c r="D9757" s="27" t="s">
        <v>7</v>
      </c>
      <c r="E9757" s="27" t="s">
        <v>11</v>
      </c>
      <c r="F9757" s="29"/>
      <c r="G9757" s="30">
        <v>923.06</v>
      </c>
    </row>
    <row r="9758" spans="1:7" hidden="1" x14ac:dyDescent="0.25">
      <c r="A9758" s="28">
        <v>44378</v>
      </c>
      <c r="B9758" s="27" t="s">
        <v>180</v>
      </c>
      <c r="C9758" s="27" t="s">
        <v>50</v>
      </c>
      <c r="D9758" s="27" t="s">
        <v>7</v>
      </c>
      <c r="E9758" s="27" t="s">
        <v>12</v>
      </c>
      <c r="F9758" s="29"/>
      <c r="G9758" s="30">
        <v>1644.3</v>
      </c>
    </row>
    <row r="9759" spans="1:7" hidden="1" x14ac:dyDescent="0.25">
      <c r="A9759" s="28">
        <v>44378</v>
      </c>
      <c r="B9759" s="27" t="s">
        <v>180</v>
      </c>
      <c r="C9759" s="27" t="s">
        <v>50</v>
      </c>
      <c r="D9759" s="27" t="s">
        <v>7</v>
      </c>
      <c r="E9759" s="27" t="s">
        <v>14</v>
      </c>
      <c r="F9759" s="29"/>
      <c r="G9759" s="30">
        <v>20</v>
      </c>
    </row>
    <row r="9760" spans="1:7" hidden="1" x14ac:dyDescent="0.25">
      <c r="A9760" s="28">
        <v>44378</v>
      </c>
      <c r="B9760" s="27" t="s">
        <v>180</v>
      </c>
      <c r="C9760" s="27" t="s">
        <v>50</v>
      </c>
      <c r="D9760" s="27" t="s">
        <v>7</v>
      </c>
      <c r="E9760" s="27" t="s">
        <v>15</v>
      </c>
      <c r="F9760" s="29"/>
      <c r="G9760" s="30">
        <v>720</v>
      </c>
    </row>
    <row r="9761" spans="1:7" hidden="1" x14ac:dyDescent="0.25">
      <c r="A9761" s="28">
        <v>44378</v>
      </c>
      <c r="B9761" s="27" t="s">
        <v>180</v>
      </c>
      <c r="C9761" s="27" t="s">
        <v>50</v>
      </c>
      <c r="D9761" s="27" t="s">
        <v>7</v>
      </c>
      <c r="E9761" s="27" t="s">
        <v>16</v>
      </c>
      <c r="F9761" s="29"/>
      <c r="G9761" s="30">
        <v>80</v>
      </c>
    </row>
    <row r="9762" spans="1:7" hidden="1" x14ac:dyDescent="0.25">
      <c r="A9762" s="28">
        <v>44378</v>
      </c>
      <c r="B9762" s="27" t="s">
        <v>180</v>
      </c>
      <c r="C9762" s="27" t="s">
        <v>50</v>
      </c>
      <c r="D9762" s="27" t="s">
        <v>7</v>
      </c>
      <c r="E9762" s="27" t="s">
        <v>18</v>
      </c>
      <c r="F9762" s="29"/>
      <c r="G9762" s="30">
        <v>385</v>
      </c>
    </row>
    <row r="9763" spans="1:7" hidden="1" x14ac:dyDescent="0.25">
      <c r="A9763" s="28">
        <v>44378</v>
      </c>
      <c r="B9763" s="27" t="s">
        <v>180</v>
      </c>
      <c r="C9763" s="27" t="s">
        <v>50</v>
      </c>
      <c r="D9763" s="27" t="s">
        <v>7</v>
      </c>
      <c r="E9763" s="27" t="s">
        <v>20</v>
      </c>
      <c r="F9763" s="29"/>
      <c r="G9763" s="30">
        <v>390</v>
      </c>
    </row>
    <row r="9764" spans="1:7" hidden="1" x14ac:dyDescent="0.25">
      <c r="A9764" s="28">
        <v>44378</v>
      </c>
      <c r="B9764" s="27" t="s">
        <v>180</v>
      </c>
      <c r="C9764" s="27" t="s">
        <v>50</v>
      </c>
      <c r="D9764" s="27" t="s">
        <v>7</v>
      </c>
      <c r="E9764" s="27" t="s">
        <v>38</v>
      </c>
      <c r="F9764" s="29"/>
      <c r="G9764" s="30">
        <v>379</v>
      </c>
    </row>
    <row r="9765" spans="1:7" hidden="1" x14ac:dyDescent="0.25">
      <c r="A9765" s="28">
        <v>44378</v>
      </c>
      <c r="B9765" s="27" t="s">
        <v>180</v>
      </c>
      <c r="C9765" s="27" t="s">
        <v>50</v>
      </c>
      <c r="D9765" s="27" t="s">
        <v>7</v>
      </c>
      <c r="E9765" s="27" t="s">
        <v>23</v>
      </c>
      <c r="F9765" s="29"/>
      <c r="G9765" s="30">
        <v>2706.5699999999997</v>
      </c>
    </row>
    <row r="9766" spans="1:7" hidden="1" x14ac:dyDescent="0.25">
      <c r="A9766" s="28">
        <v>44378</v>
      </c>
      <c r="B9766" s="27" t="s">
        <v>180</v>
      </c>
      <c r="C9766" s="27" t="s">
        <v>50</v>
      </c>
      <c r="D9766" s="27" t="s">
        <v>7</v>
      </c>
      <c r="E9766" s="27" t="s">
        <v>40</v>
      </c>
      <c r="F9766" s="29"/>
      <c r="G9766" s="30">
        <v>515.74</v>
      </c>
    </row>
    <row r="9767" spans="1:7" hidden="1" x14ac:dyDescent="0.25">
      <c r="A9767" s="28">
        <v>44378</v>
      </c>
      <c r="B9767" s="27" t="s">
        <v>180</v>
      </c>
      <c r="C9767" s="27" t="s">
        <v>50</v>
      </c>
      <c r="D9767" s="27" t="s">
        <v>7</v>
      </c>
      <c r="E9767" s="27" t="s">
        <v>37</v>
      </c>
      <c r="F9767" s="29"/>
      <c r="G9767" s="30">
        <v>4553</v>
      </c>
    </row>
    <row r="9768" spans="1:7" hidden="1" x14ac:dyDescent="0.25">
      <c r="A9768" s="28">
        <v>44378</v>
      </c>
      <c r="B9768" s="27" t="s">
        <v>181</v>
      </c>
      <c r="C9768" s="27" t="s">
        <v>50</v>
      </c>
      <c r="D9768" s="27" t="s">
        <v>6</v>
      </c>
      <c r="E9768" s="27" t="s">
        <v>9</v>
      </c>
      <c r="F9768" s="29"/>
      <c r="G9768" s="30">
        <v>240</v>
      </c>
    </row>
    <row r="9769" spans="1:7" hidden="1" x14ac:dyDescent="0.25">
      <c r="A9769" s="28">
        <v>44378</v>
      </c>
      <c r="B9769" s="27" t="s">
        <v>181</v>
      </c>
      <c r="C9769" s="27" t="s">
        <v>50</v>
      </c>
      <c r="D9769" s="27" t="s">
        <v>6</v>
      </c>
      <c r="E9769" s="27" t="s">
        <v>21</v>
      </c>
      <c r="F9769" s="29"/>
      <c r="G9769" s="30">
        <v>1337</v>
      </c>
    </row>
    <row r="9770" spans="1:7" hidden="1" x14ac:dyDescent="0.25">
      <c r="A9770" s="28">
        <v>44378</v>
      </c>
      <c r="B9770" s="27" t="s">
        <v>181</v>
      </c>
      <c r="C9770" s="27" t="s">
        <v>50</v>
      </c>
      <c r="D9770" s="27" t="s">
        <v>6</v>
      </c>
      <c r="E9770" s="27" t="s">
        <v>41</v>
      </c>
      <c r="F9770" s="29"/>
      <c r="G9770" s="30">
        <v>341.44</v>
      </c>
    </row>
    <row r="9771" spans="1:7" hidden="1" x14ac:dyDescent="0.25">
      <c r="A9771" s="28">
        <v>44378</v>
      </c>
      <c r="B9771" s="27" t="s">
        <v>181</v>
      </c>
      <c r="C9771" s="27" t="s">
        <v>50</v>
      </c>
      <c r="D9771" s="27" t="s">
        <v>6</v>
      </c>
      <c r="E9771" s="27" t="s">
        <v>37</v>
      </c>
      <c r="F9771" s="29"/>
      <c r="G9771" s="30">
        <v>3121</v>
      </c>
    </row>
    <row r="9772" spans="1:7" hidden="1" x14ac:dyDescent="0.25">
      <c r="A9772" s="28">
        <v>44378</v>
      </c>
      <c r="B9772" s="27" t="s">
        <v>2</v>
      </c>
      <c r="C9772" s="27" t="s">
        <v>50</v>
      </c>
      <c r="D9772" s="27" t="s">
        <v>7</v>
      </c>
      <c r="E9772" s="27" t="s">
        <v>8</v>
      </c>
      <c r="F9772" s="29"/>
      <c r="G9772" s="30">
        <v>385.9</v>
      </c>
    </row>
    <row r="9773" spans="1:7" hidden="1" x14ac:dyDescent="0.25">
      <c r="A9773" s="28">
        <v>44378</v>
      </c>
      <c r="B9773" s="27" t="s">
        <v>2</v>
      </c>
      <c r="C9773" s="27" t="s">
        <v>50</v>
      </c>
      <c r="D9773" s="27" t="s">
        <v>7</v>
      </c>
      <c r="E9773" s="27" t="s">
        <v>9</v>
      </c>
      <c r="F9773" s="29"/>
      <c r="G9773" s="30">
        <v>902.67</v>
      </c>
    </row>
    <row r="9774" spans="1:7" hidden="1" x14ac:dyDescent="0.25">
      <c r="A9774" s="28">
        <v>44378</v>
      </c>
      <c r="B9774" s="27" t="s">
        <v>2</v>
      </c>
      <c r="C9774" s="27" t="s">
        <v>50</v>
      </c>
      <c r="D9774" s="27" t="s">
        <v>7</v>
      </c>
      <c r="E9774" s="27" t="s">
        <v>22</v>
      </c>
      <c r="F9774" s="29"/>
      <c r="G9774" s="30">
        <v>595.51</v>
      </c>
    </row>
    <row r="9775" spans="1:7" hidden="1" x14ac:dyDescent="0.25">
      <c r="A9775" s="28">
        <v>44378</v>
      </c>
      <c r="B9775" s="27" t="s">
        <v>2</v>
      </c>
      <c r="C9775" s="27" t="s">
        <v>50</v>
      </c>
      <c r="D9775" s="27" t="s">
        <v>7</v>
      </c>
      <c r="E9775" s="27" t="s">
        <v>39</v>
      </c>
      <c r="F9775" s="29"/>
      <c r="G9775" s="30">
        <v>275.89999999999998</v>
      </c>
    </row>
    <row r="9776" spans="1:7" hidden="1" x14ac:dyDescent="0.25">
      <c r="A9776" s="28">
        <v>44378</v>
      </c>
      <c r="B9776" s="27" t="s">
        <v>2</v>
      </c>
      <c r="C9776" s="27" t="s">
        <v>50</v>
      </c>
      <c r="D9776" s="27" t="s">
        <v>7</v>
      </c>
      <c r="E9776" s="27" t="s">
        <v>64</v>
      </c>
      <c r="F9776" s="29"/>
      <c r="G9776" s="30">
        <v>562.5</v>
      </c>
    </row>
    <row r="9777" spans="1:7" hidden="1" x14ac:dyDescent="0.25">
      <c r="A9777" s="28">
        <v>44378</v>
      </c>
      <c r="B9777" s="27" t="s">
        <v>2</v>
      </c>
      <c r="C9777" s="27" t="s">
        <v>50</v>
      </c>
      <c r="D9777" s="27" t="s">
        <v>7</v>
      </c>
      <c r="E9777" s="27" t="s">
        <v>21</v>
      </c>
      <c r="F9777" s="29"/>
      <c r="G9777" s="30">
        <v>928.33</v>
      </c>
    </row>
    <row r="9778" spans="1:7" hidden="1" x14ac:dyDescent="0.25">
      <c r="A9778" s="28">
        <v>44378</v>
      </c>
      <c r="B9778" s="27" t="s">
        <v>2</v>
      </c>
      <c r="C9778" s="27" t="s">
        <v>50</v>
      </c>
      <c r="D9778" s="27" t="s">
        <v>7</v>
      </c>
      <c r="E9778" s="27" t="s">
        <v>41</v>
      </c>
      <c r="F9778" s="29"/>
      <c r="G9778" s="30">
        <v>705.4</v>
      </c>
    </row>
    <row r="9779" spans="1:7" hidden="1" x14ac:dyDescent="0.25">
      <c r="A9779" s="28">
        <v>44378</v>
      </c>
      <c r="B9779" s="27" t="s">
        <v>2</v>
      </c>
      <c r="C9779" s="27" t="s">
        <v>50</v>
      </c>
      <c r="D9779" s="27" t="s">
        <v>7</v>
      </c>
      <c r="E9779" s="27" t="s">
        <v>10</v>
      </c>
      <c r="F9779" s="29"/>
      <c r="G9779" s="30">
        <v>441.7</v>
      </c>
    </row>
    <row r="9780" spans="1:7" hidden="1" x14ac:dyDescent="0.25">
      <c r="A9780" s="28">
        <v>44378</v>
      </c>
      <c r="B9780" s="27" t="s">
        <v>2</v>
      </c>
      <c r="C9780" s="27" t="s">
        <v>50</v>
      </c>
      <c r="D9780" s="27" t="s">
        <v>7</v>
      </c>
      <c r="E9780" s="27" t="s">
        <v>11</v>
      </c>
      <c r="F9780" s="29"/>
      <c r="G9780" s="30">
        <v>736.9</v>
      </c>
    </row>
    <row r="9781" spans="1:7" hidden="1" x14ac:dyDescent="0.25">
      <c r="A9781" s="28">
        <v>44378</v>
      </c>
      <c r="B9781" s="27" t="s">
        <v>2</v>
      </c>
      <c r="C9781" s="27" t="s">
        <v>50</v>
      </c>
      <c r="D9781" s="27" t="s">
        <v>7</v>
      </c>
      <c r="E9781" s="27" t="s">
        <v>12</v>
      </c>
      <c r="F9781" s="29"/>
      <c r="G9781" s="30">
        <v>371.5</v>
      </c>
    </row>
    <row r="9782" spans="1:7" hidden="1" x14ac:dyDescent="0.25">
      <c r="A9782" s="28">
        <v>44378</v>
      </c>
      <c r="B9782" s="27" t="s">
        <v>2</v>
      </c>
      <c r="C9782" s="27" t="s">
        <v>50</v>
      </c>
      <c r="D9782" s="27" t="s">
        <v>7</v>
      </c>
      <c r="E9782" s="27" t="s">
        <v>13</v>
      </c>
      <c r="F9782" s="29"/>
      <c r="G9782" s="30">
        <v>34.9</v>
      </c>
    </row>
    <row r="9783" spans="1:7" hidden="1" x14ac:dyDescent="0.25">
      <c r="A9783" s="28">
        <v>44378</v>
      </c>
      <c r="B9783" s="27" t="s">
        <v>2</v>
      </c>
      <c r="C9783" s="27" t="s">
        <v>50</v>
      </c>
      <c r="D9783" s="27" t="s">
        <v>7</v>
      </c>
      <c r="E9783" s="27" t="s">
        <v>14</v>
      </c>
      <c r="F9783" s="29"/>
      <c r="G9783" s="30">
        <v>227.4</v>
      </c>
    </row>
    <row r="9784" spans="1:7" hidden="1" x14ac:dyDescent="0.25">
      <c r="A9784" s="28">
        <v>44378</v>
      </c>
      <c r="B9784" s="27" t="s">
        <v>2</v>
      </c>
      <c r="C9784" s="27" t="s">
        <v>50</v>
      </c>
      <c r="D9784" s="27" t="s">
        <v>7</v>
      </c>
      <c r="E9784" s="27" t="s">
        <v>15</v>
      </c>
      <c r="F9784" s="29"/>
      <c r="G9784" s="30">
        <v>784.31</v>
      </c>
    </row>
    <row r="9785" spans="1:7" hidden="1" x14ac:dyDescent="0.25">
      <c r="A9785" s="28">
        <v>44378</v>
      </c>
      <c r="B9785" s="27" t="s">
        <v>2</v>
      </c>
      <c r="C9785" s="27" t="s">
        <v>50</v>
      </c>
      <c r="D9785" s="27" t="s">
        <v>7</v>
      </c>
      <c r="E9785" s="27" t="s">
        <v>16</v>
      </c>
      <c r="F9785" s="29"/>
      <c r="G9785" s="30">
        <v>36.07</v>
      </c>
    </row>
    <row r="9786" spans="1:7" hidden="1" x14ac:dyDescent="0.25">
      <c r="A9786" s="28">
        <v>44378</v>
      </c>
      <c r="B9786" s="27" t="s">
        <v>2</v>
      </c>
      <c r="C9786" s="27" t="s">
        <v>50</v>
      </c>
      <c r="D9786" s="27" t="s">
        <v>7</v>
      </c>
      <c r="E9786" s="27" t="s">
        <v>17</v>
      </c>
      <c r="F9786" s="29"/>
      <c r="G9786" s="30">
        <v>713.67</v>
      </c>
    </row>
    <row r="9787" spans="1:7" hidden="1" x14ac:dyDescent="0.25">
      <c r="A9787" s="28">
        <v>44378</v>
      </c>
      <c r="B9787" s="27" t="s">
        <v>2</v>
      </c>
      <c r="C9787" s="27" t="s">
        <v>50</v>
      </c>
      <c r="D9787" s="27" t="s">
        <v>7</v>
      </c>
      <c r="E9787" s="27" t="s">
        <v>19</v>
      </c>
      <c r="F9787" s="29"/>
      <c r="G9787" s="30">
        <v>1391.94</v>
      </c>
    </row>
    <row r="9788" spans="1:7" hidden="1" x14ac:dyDescent="0.25">
      <c r="A9788" s="28">
        <v>44378</v>
      </c>
      <c r="B9788" s="27" t="s">
        <v>2</v>
      </c>
      <c r="C9788" s="27" t="s">
        <v>50</v>
      </c>
      <c r="D9788" s="27" t="s">
        <v>7</v>
      </c>
      <c r="E9788" s="27" t="s">
        <v>20</v>
      </c>
      <c r="F9788" s="29"/>
      <c r="G9788" s="30">
        <v>674.1</v>
      </c>
    </row>
    <row r="9789" spans="1:7" hidden="1" x14ac:dyDescent="0.25">
      <c r="A9789" s="28">
        <v>44378</v>
      </c>
      <c r="B9789" s="27" t="s">
        <v>2</v>
      </c>
      <c r="C9789" s="27" t="s">
        <v>50</v>
      </c>
      <c r="D9789" s="27" t="s">
        <v>7</v>
      </c>
      <c r="E9789" s="27" t="s">
        <v>38</v>
      </c>
      <c r="F9789" s="29"/>
      <c r="G9789" s="30">
        <v>97.1</v>
      </c>
    </row>
    <row r="9790" spans="1:7" hidden="1" x14ac:dyDescent="0.25">
      <c r="A9790" s="28">
        <v>44378</v>
      </c>
      <c r="B9790" s="27" t="s">
        <v>2</v>
      </c>
      <c r="C9790" s="27" t="s">
        <v>50</v>
      </c>
      <c r="D9790" s="27" t="s">
        <v>7</v>
      </c>
      <c r="E9790" s="27" t="s">
        <v>23</v>
      </c>
      <c r="F9790" s="29"/>
      <c r="G9790" s="30">
        <v>763.29</v>
      </c>
    </row>
    <row r="9791" spans="1:7" hidden="1" x14ac:dyDescent="0.25">
      <c r="A9791" s="28">
        <v>44378</v>
      </c>
      <c r="B9791" s="27" t="s">
        <v>2</v>
      </c>
      <c r="C9791" s="27" t="s">
        <v>50</v>
      </c>
      <c r="D9791" s="27" t="s">
        <v>7</v>
      </c>
      <c r="E9791" s="27" t="s">
        <v>40</v>
      </c>
      <c r="F9791" s="29"/>
      <c r="G9791" s="30">
        <v>452.1</v>
      </c>
    </row>
    <row r="9792" spans="1:7" hidden="1" x14ac:dyDescent="0.25">
      <c r="A9792" s="28">
        <v>44378</v>
      </c>
      <c r="B9792" s="27" t="s">
        <v>36</v>
      </c>
      <c r="C9792" s="27" t="s">
        <v>50</v>
      </c>
      <c r="D9792" s="27" t="s">
        <v>6</v>
      </c>
      <c r="E9792" s="27" t="s">
        <v>8</v>
      </c>
      <c r="F9792" s="29"/>
      <c r="G9792" s="30">
        <v>347.87090909090909</v>
      </c>
    </row>
    <row r="9793" spans="1:7" hidden="1" x14ac:dyDescent="0.25">
      <c r="A9793" s="28">
        <v>44378</v>
      </c>
      <c r="B9793" s="27" t="s">
        <v>36</v>
      </c>
      <c r="C9793" s="27" t="s">
        <v>50</v>
      </c>
      <c r="D9793" s="27" t="s">
        <v>6</v>
      </c>
      <c r="E9793" s="27" t="s">
        <v>9</v>
      </c>
      <c r="F9793" s="29"/>
      <c r="G9793" s="30">
        <v>347.87090909090909</v>
      </c>
    </row>
    <row r="9794" spans="1:7" hidden="1" x14ac:dyDescent="0.25">
      <c r="A9794" s="28">
        <v>44378</v>
      </c>
      <c r="B9794" s="27" t="s">
        <v>36</v>
      </c>
      <c r="C9794" s="27" t="s">
        <v>50</v>
      </c>
      <c r="D9794" s="27" t="s">
        <v>6</v>
      </c>
      <c r="E9794" s="27" t="s">
        <v>22</v>
      </c>
      <c r="F9794" s="29"/>
      <c r="G9794" s="30">
        <v>347.87090909090909</v>
      </c>
    </row>
    <row r="9795" spans="1:7" hidden="1" x14ac:dyDescent="0.25">
      <c r="A9795" s="28">
        <v>44378</v>
      </c>
      <c r="B9795" s="27" t="s">
        <v>36</v>
      </c>
      <c r="C9795" s="27" t="s">
        <v>50</v>
      </c>
      <c r="D9795" s="27" t="s">
        <v>6</v>
      </c>
      <c r="E9795" s="27" t="s">
        <v>39</v>
      </c>
      <c r="F9795" s="29"/>
      <c r="G9795" s="30">
        <v>347.87090909090909</v>
      </c>
    </row>
    <row r="9796" spans="1:7" hidden="1" x14ac:dyDescent="0.25">
      <c r="A9796" s="28">
        <v>44378</v>
      </c>
      <c r="B9796" s="27" t="s">
        <v>36</v>
      </c>
      <c r="C9796" s="27" t="s">
        <v>50</v>
      </c>
      <c r="D9796" s="27" t="s">
        <v>6</v>
      </c>
      <c r="E9796" s="27" t="s">
        <v>64</v>
      </c>
      <c r="F9796" s="29"/>
      <c r="G9796" s="30">
        <v>347.87090909090909</v>
      </c>
    </row>
    <row r="9797" spans="1:7" hidden="1" x14ac:dyDescent="0.25">
      <c r="A9797" s="28">
        <v>44378</v>
      </c>
      <c r="B9797" s="27" t="s">
        <v>36</v>
      </c>
      <c r="C9797" s="27" t="s">
        <v>50</v>
      </c>
      <c r="D9797" s="27" t="s">
        <v>6</v>
      </c>
      <c r="E9797" s="27" t="s">
        <v>21</v>
      </c>
      <c r="F9797" s="29"/>
      <c r="G9797" s="30">
        <v>347.87090909090909</v>
      </c>
    </row>
    <row r="9798" spans="1:7" hidden="1" x14ac:dyDescent="0.25">
      <c r="A9798" s="28">
        <v>44378</v>
      </c>
      <c r="B9798" s="27" t="s">
        <v>36</v>
      </c>
      <c r="C9798" s="27" t="s">
        <v>50</v>
      </c>
      <c r="D9798" s="27" t="s">
        <v>6</v>
      </c>
      <c r="E9798" s="27" t="s">
        <v>41</v>
      </c>
      <c r="F9798" s="29"/>
      <c r="G9798" s="30">
        <v>347.87090909090909</v>
      </c>
    </row>
    <row r="9799" spans="1:7" hidden="1" x14ac:dyDescent="0.25">
      <c r="A9799" s="28">
        <v>44378</v>
      </c>
      <c r="B9799" s="27" t="s">
        <v>36</v>
      </c>
      <c r="C9799" s="27" t="s">
        <v>50</v>
      </c>
      <c r="D9799" s="27" t="s">
        <v>6</v>
      </c>
      <c r="E9799" s="27" t="s">
        <v>10</v>
      </c>
      <c r="F9799" s="29"/>
      <c r="G9799" s="30">
        <v>347.87090909090909</v>
      </c>
    </row>
    <row r="9800" spans="1:7" hidden="1" x14ac:dyDescent="0.25">
      <c r="A9800" s="28">
        <v>44378</v>
      </c>
      <c r="B9800" s="27" t="s">
        <v>36</v>
      </c>
      <c r="C9800" s="27" t="s">
        <v>50</v>
      </c>
      <c r="D9800" s="27" t="s">
        <v>6</v>
      </c>
      <c r="E9800" s="27" t="s">
        <v>11</v>
      </c>
      <c r="F9800" s="29"/>
      <c r="G9800" s="30">
        <v>347.87090909090909</v>
      </c>
    </row>
    <row r="9801" spans="1:7" hidden="1" x14ac:dyDescent="0.25">
      <c r="A9801" s="28">
        <v>44378</v>
      </c>
      <c r="B9801" s="27" t="s">
        <v>36</v>
      </c>
      <c r="C9801" s="27" t="s">
        <v>50</v>
      </c>
      <c r="D9801" s="27" t="s">
        <v>6</v>
      </c>
      <c r="E9801" s="27" t="s">
        <v>12</v>
      </c>
      <c r="F9801" s="29"/>
      <c r="G9801" s="30">
        <v>347.87090909090909</v>
      </c>
    </row>
    <row r="9802" spans="1:7" hidden="1" x14ac:dyDescent="0.25">
      <c r="A9802" s="28">
        <v>44378</v>
      </c>
      <c r="B9802" s="27" t="s">
        <v>36</v>
      </c>
      <c r="C9802" s="27" t="s">
        <v>50</v>
      </c>
      <c r="D9802" s="27" t="s">
        <v>6</v>
      </c>
      <c r="E9802" s="27" t="s">
        <v>13</v>
      </c>
      <c r="F9802" s="29"/>
      <c r="G9802" s="30">
        <v>347.87090909090909</v>
      </c>
    </row>
    <row r="9803" spans="1:7" hidden="1" x14ac:dyDescent="0.25">
      <c r="A9803" s="28">
        <v>44378</v>
      </c>
      <c r="B9803" s="27" t="s">
        <v>36</v>
      </c>
      <c r="C9803" s="27" t="s">
        <v>50</v>
      </c>
      <c r="D9803" s="27" t="s">
        <v>6</v>
      </c>
      <c r="E9803" s="27" t="s">
        <v>14</v>
      </c>
      <c r="F9803" s="29"/>
      <c r="G9803" s="30">
        <v>347.87090909090909</v>
      </c>
    </row>
    <row r="9804" spans="1:7" hidden="1" x14ac:dyDescent="0.25">
      <c r="A9804" s="28">
        <v>44378</v>
      </c>
      <c r="B9804" s="27" t="s">
        <v>36</v>
      </c>
      <c r="C9804" s="27" t="s">
        <v>50</v>
      </c>
      <c r="D9804" s="27" t="s">
        <v>6</v>
      </c>
      <c r="E9804" s="27" t="s">
        <v>15</v>
      </c>
      <c r="F9804" s="29"/>
      <c r="G9804" s="30">
        <v>347.87090909090909</v>
      </c>
    </row>
    <row r="9805" spans="1:7" hidden="1" x14ac:dyDescent="0.25">
      <c r="A9805" s="28">
        <v>44378</v>
      </c>
      <c r="B9805" s="27" t="s">
        <v>36</v>
      </c>
      <c r="C9805" s="27" t="s">
        <v>50</v>
      </c>
      <c r="D9805" s="27" t="s">
        <v>6</v>
      </c>
      <c r="E9805" s="27" t="s">
        <v>16</v>
      </c>
      <c r="F9805" s="29"/>
      <c r="G9805" s="30">
        <v>347.87090909090909</v>
      </c>
    </row>
    <row r="9806" spans="1:7" hidden="1" x14ac:dyDescent="0.25">
      <c r="A9806" s="28">
        <v>44378</v>
      </c>
      <c r="B9806" s="27" t="s">
        <v>36</v>
      </c>
      <c r="C9806" s="27" t="s">
        <v>50</v>
      </c>
      <c r="D9806" s="27" t="s">
        <v>6</v>
      </c>
      <c r="E9806" s="27" t="s">
        <v>17</v>
      </c>
      <c r="F9806" s="29"/>
      <c r="G9806" s="30">
        <v>347.87090909090909</v>
      </c>
    </row>
    <row r="9807" spans="1:7" hidden="1" x14ac:dyDescent="0.25">
      <c r="A9807" s="28">
        <v>44378</v>
      </c>
      <c r="B9807" s="27" t="s">
        <v>36</v>
      </c>
      <c r="C9807" s="27" t="s">
        <v>50</v>
      </c>
      <c r="D9807" s="27" t="s">
        <v>6</v>
      </c>
      <c r="E9807" s="27" t="s">
        <v>18</v>
      </c>
      <c r="F9807" s="29"/>
      <c r="G9807" s="30">
        <v>347.87090909090909</v>
      </c>
    </row>
    <row r="9808" spans="1:7" hidden="1" x14ac:dyDescent="0.25">
      <c r="A9808" s="28">
        <v>44378</v>
      </c>
      <c r="B9808" s="27" t="s">
        <v>36</v>
      </c>
      <c r="C9808" s="27" t="s">
        <v>50</v>
      </c>
      <c r="D9808" s="27" t="s">
        <v>6</v>
      </c>
      <c r="E9808" s="27" t="s">
        <v>19</v>
      </c>
      <c r="F9808" s="29"/>
      <c r="G9808" s="30">
        <v>347.87090909090909</v>
      </c>
    </row>
    <row r="9809" spans="1:7" hidden="1" x14ac:dyDescent="0.25">
      <c r="A9809" s="28">
        <v>44378</v>
      </c>
      <c r="B9809" s="27" t="s">
        <v>36</v>
      </c>
      <c r="C9809" s="27" t="s">
        <v>50</v>
      </c>
      <c r="D9809" s="27" t="s">
        <v>6</v>
      </c>
      <c r="E9809" s="27" t="s">
        <v>20</v>
      </c>
      <c r="F9809" s="29"/>
      <c r="G9809" s="30">
        <v>347.87090909090909</v>
      </c>
    </row>
    <row r="9810" spans="1:7" hidden="1" x14ac:dyDescent="0.25">
      <c r="A9810" s="28">
        <v>44378</v>
      </c>
      <c r="B9810" s="27" t="s">
        <v>36</v>
      </c>
      <c r="C9810" s="27" t="s">
        <v>50</v>
      </c>
      <c r="D9810" s="27" t="s">
        <v>6</v>
      </c>
      <c r="E9810" s="27" t="s">
        <v>38</v>
      </c>
      <c r="F9810" s="29"/>
      <c r="G9810" s="30">
        <v>347.87090909090909</v>
      </c>
    </row>
    <row r="9811" spans="1:7" hidden="1" x14ac:dyDescent="0.25">
      <c r="A9811" s="28">
        <v>44378</v>
      </c>
      <c r="B9811" s="27" t="s">
        <v>36</v>
      </c>
      <c r="C9811" s="27" t="s">
        <v>50</v>
      </c>
      <c r="D9811" s="27" t="s">
        <v>6</v>
      </c>
      <c r="E9811" s="27" t="s">
        <v>23</v>
      </c>
      <c r="F9811" s="29"/>
      <c r="G9811" s="30">
        <v>347.87090909090909</v>
      </c>
    </row>
    <row r="9812" spans="1:7" hidden="1" x14ac:dyDescent="0.25">
      <c r="A9812" s="28">
        <v>44378</v>
      </c>
      <c r="B9812" s="27" t="s">
        <v>36</v>
      </c>
      <c r="C9812" s="27" t="s">
        <v>50</v>
      </c>
      <c r="D9812" s="27" t="s">
        <v>6</v>
      </c>
      <c r="E9812" s="27" t="s">
        <v>40</v>
      </c>
      <c r="F9812" s="29"/>
      <c r="G9812" s="30">
        <v>347.87090909090909</v>
      </c>
    </row>
    <row r="9813" spans="1:7" hidden="1" x14ac:dyDescent="0.25">
      <c r="A9813" s="28">
        <v>44378</v>
      </c>
      <c r="B9813" s="27" t="s">
        <v>36</v>
      </c>
      <c r="C9813" s="27" t="s">
        <v>50</v>
      </c>
      <c r="D9813" s="27" t="s">
        <v>6</v>
      </c>
      <c r="E9813" s="27" t="s">
        <v>42</v>
      </c>
      <c r="F9813" s="29"/>
      <c r="G9813" s="30">
        <v>347.87090909090909</v>
      </c>
    </row>
    <row r="9814" spans="1:7" hidden="1" x14ac:dyDescent="0.25">
      <c r="A9814" s="28">
        <v>44378</v>
      </c>
      <c r="B9814" s="27" t="s">
        <v>200</v>
      </c>
      <c r="C9814" s="27" t="s">
        <v>53</v>
      </c>
      <c r="D9814" s="27" t="s">
        <v>6</v>
      </c>
      <c r="E9814" s="27" t="s">
        <v>8</v>
      </c>
      <c r="F9814" s="29"/>
      <c r="G9814" s="30">
        <f t="shared" ref="G9814:G9834" si="179">10652.2935555556/21</f>
        <v>507.25207407407618</v>
      </c>
    </row>
    <row r="9815" spans="1:7" hidden="1" x14ac:dyDescent="0.25">
      <c r="A9815" s="28">
        <v>44378</v>
      </c>
      <c r="B9815" s="27" t="s">
        <v>200</v>
      </c>
      <c r="C9815" s="27" t="s">
        <v>53</v>
      </c>
      <c r="D9815" s="27" t="s">
        <v>6</v>
      </c>
      <c r="E9815" s="27" t="s">
        <v>9</v>
      </c>
      <c r="F9815" s="29"/>
      <c r="G9815" s="30">
        <f t="shared" si="179"/>
        <v>507.25207407407618</v>
      </c>
    </row>
    <row r="9816" spans="1:7" hidden="1" x14ac:dyDescent="0.25">
      <c r="A9816" s="28">
        <v>44378</v>
      </c>
      <c r="B9816" s="27" t="s">
        <v>200</v>
      </c>
      <c r="C9816" s="27" t="s">
        <v>53</v>
      </c>
      <c r="D9816" s="27" t="s">
        <v>6</v>
      </c>
      <c r="E9816" s="27" t="s">
        <v>22</v>
      </c>
      <c r="F9816" s="29"/>
      <c r="G9816" s="30">
        <f t="shared" si="179"/>
        <v>507.25207407407618</v>
      </c>
    </row>
    <row r="9817" spans="1:7" hidden="1" x14ac:dyDescent="0.25">
      <c r="A9817" s="28">
        <v>44378</v>
      </c>
      <c r="B9817" s="27" t="s">
        <v>200</v>
      </c>
      <c r="C9817" s="27" t="s">
        <v>53</v>
      </c>
      <c r="D9817" s="27" t="s">
        <v>6</v>
      </c>
      <c r="E9817" s="27" t="s">
        <v>39</v>
      </c>
      <c r="F9817" s="29"/>
      <c r="G9817" s="30">
        <f t="shared" si="179"/>
        <v>507.25207407407618</v>
      </c>
    </row>
    <row r="9818" spans="1:7" hidden="1" x14ac:dyDescent="0.25">
      <c r="A9818" s="28">
        <v>44378</v>
      </c>
      <c r="B9818" s="27" t="s">
        <v>200</v>
      </c>
      <c r="C9818" s="27" t="s">
        <v>53</v>
      </c>
      <c r="D9818" s="27" t="s">
        <v>6</v>
      </c>
      <c r="E9818" s="27" t="s">
        <v>64</v>
      </c>
      <c r="F9818" s="29"/>
      <c r="G9818" s="30">
        <f t="shared" si="179"/>
        <v>507.25207407407618</v>
      </c>
    </row>
    <row r="9819" spans="1:7" hidden="1" x14ac:dyDescent="0.25">
      <c r="A9819" s="28">
        <v>44378</v>
      </c>
      <c r="B9819" s="27" t="s">
        <v>200</v>
      </c>
      <c r="C9819" s="27" t="s">
        <v>53</v>
      </c>
      <c r="D9819" s="27" t="s">
        <v>6</v>
      </c>
      <c r="E9819" s="27" t="s">
        <v>21</v>
      </c>
      <c r="F9819" s="29"/>
      <c r="G9819" s="30">
        <f t="shared" si="179"/>
        <v>507.25207407407618</v>
      </c>
    </row>
    <row r="9820" spans="1:7" hidden="1" x14ac:dyDescent="0.25">
      <c r="A9820" s="28">
        <v>44378</v>
      </c>
      <c r="B9820" s="27" t="s">
        <v>200</v>
      </c>
      <c r="C9820" s="27" t="s">
        <v>53</v>
      </c>
      <c r="D9820" s="27" t="s">
        <v>6</v>
      </c>
      <c r="E9820" s="27" t="s">
        <v>41</v>
      </c>
      <c r="F9820" s="29"/>
      <c r="G9820" s="30">
        <f t="shared" si="179"/>
        <v>507.25207407407618</v>
      </c>
    </row>
    <row r="9821" spans="1:7" hidden="1" x14ac:dyDescent="0.25">
      <c r="A9821" s="28">
        <v>44378</v>
      </c>
      <c r="B9821" s="27" t="s">
        <v>200</v>
      </c>
      <c r="C9821" s="27" t="s">
        <v>53</v>
      </c>
      <c r="D9821" s="27" t="s">
        <v>6</v>
      </c>
      <c r="E9821" s="27" t="s">
        <v>10</v>
      </c>
      <c r="F9821" s="29"/>
      <c r="G9821" s="30">
        <f t="shared" si="179"/>
        <v>507.25207407407618</v>
      </c>
    </row>
    <row r="9822" spans="1:7" hidden="1" x14ac:dyDescent="0.25">
      <c r="A9822" s="28">
        <v>44378</v>
      </c>
      <c r="B9822" s="27" t="s">
        <v>200</v>
      </c>
      <c r="C9822" s="27" t="s">
        <v>53</v>
      </c>
      <c r="D9822" s="27" t="s">
        <v>6</v>
      </c>
      <c r="E9822" s="27" t="s">
        <v>11</v>
      </c>
      <c r="F9822" s="29"/>
      <c r="G9822" s="30">
        <f t="shared" si="179"/>
        <v>507.25207407407618</v>
      </c>
    </row>
    <row r="9823" spans="1:7" hidden="1" x14ac:dyDescent="0.25">
      <c r="A9823" s="28">
        <v>44378</v>
      </c>
      <c r="B9823" s="27" t="s">
        <v>200</v>
      </c>
      <c r="C9823" s="27" t="s">
        <v>53</v>
      </c>
      <c r="D9823" s="27" t="s">
        <v>6</v>
      </c>
      <c r="E9823" s="27" t="s">
        <v>12</v>
      </c>
      <c r="F9823" s="29"/>
      <c r="G9823" s="30">
        <f t="shared" si="179"/>
        <v>507.25207407407618</v>
      </c>
    </row>
    <row r="9824" spans="1:7" hidden="1" x14ac:dyDescent="0.25">
      <c r="A9824" s="28">
        <v>44378</v>
      </c>
      <c r="B9824" s="27" t="s">
        <v>200</v>
      </c>
      <c r="C9824" s="27" t="s">
        <v>53</v>
      </c>
      <c r="D9824" s="27" t="s">
        <v>6</v>
      </c>
      <c r="E9824" s="27" t="s">
        <v>13</v>
      </c>
      <c r="F9824" s="29"/>
      <c r="G9824" s="30">
        <f t="shared" si="179"/>
        <v>507.25207407407618</v>
      </c>
    </row>
    <row r="9825" spans="1:7" hidden="1" x14ac:dyDescent="0.25">
      <c r="A9825" s="28">
        <v>44378</v>
      </c>
      <c r="B9825" s="27" t="s">
        <v>200</v>
      </c>
      <c r="C9825" s="27" t="s">
        <v>53</v>
      </c>
      <c r="D9825" s="27" t="s">
        <v>6</v>
      </c>
      <c r="E9825" s="27" t="s">
        <v>14</v>
      </c>
      <c r="F9825" s="29"/>
      <c r="G9825" s="30">
        <f t="shared" si="179"/>
        <v>507.25207407407618</v>
      </c>
    </row>
    <row r="9826" spans="1:7" hidden="1" x14ac:dyDescent="0.25">
      <c r="A9826" s="28">
        <v>44378</v>
      </c>
      <c r="B9826" s="27" t="s">
        <v>200</v>
      </c>
      <c r="C9826" s="27" t="s">
        <v>53</v>
      </c>
      <c r="D9826" s="27" t="s">
        <v>6</v>
      </c>
      <c r="E9826" s="27" t="s">
        <v>15</v>
      </c>
      <c r="F9826" s="29"/>
      <c r="G9826" s="30">
        <f t="shared" si="179"/>
        <v>507.25207407407618</v>
      </c>
    </row>
    <row r="9827" spans="1:7" hidden="1" x14ac:dyDescent="0.25">
      <c r="A9827" s="28">
        <v>44378</v>
      </c>
      <c r="B9827" s="27" t="s">
        <v>200</v>
      </c>
      <c r="C9827" s="27" t="s">
        <v>53</v>
      </c>
      <c r="D9827" s="27" t="s">
        <v>6</v>
      </c>
      <c r="E9827" s="27" t="s">
        <v>16</v>
      </c>
      <c r="F9827" s="29"/>
      <c r="G9827" s="30">
        <f t="shared" si="179"/>
        <v>507.25207407407618</v>
      </c>
    </row>
    <row r="9828" spans="1:7" hidden="1" x14ac:dyDescent="0.25">
      <c r="A9828" s="28">
        <v>44378</v>
      </c>
      <c r="B9828" s="27" t="s">
        <v>200</v>
      </c>
      <c r="C9828" s="27" t="s">
        <v>53</v>
      </c>
      <c r="D9828" s="27" t="s">
        <v>6</v>
      </c>
      <c r="E9828" s="27" t="s">
        <v>17</v>
      </c>
      <c r="F9828" s="29"/>
      <c r="G9828" s="30">
        <f t="shared" si="179"/>
        <v>507.25207407407618</v>
      </c>
    </row>
    <row r="9829" spans="1:7" hidden="1" x14ac:dyDescent="0.25">
      <c r="A9829" s="28">
        <v>44378</v>
      </c>
      <c r="B9829" s="27" t="s">
        <v>200</v>
      </c>
      <c r="C9829" s="27" t="s">
        <v>53</v>
      </c>
      <c r="D9829" s="27" t="s">
        <v>6</v>
      </c>
      <c r="E9829" s="27" t="s">
        <v>18</v>
      </c>
      <c r="F9829" s="29"/>
      <c r="G9829" s="30">
        <f t="shared" si="179"/>
        <v>507.25207407407618</v>
      </c>
    </row>
    <row r="9830" spans="1:7" hidden="1" x14ac:dyDescent="0.25">
      <c r="A9830" s="28">
        <v>44378</v>
      </c>
      <c r="B9830" s="27" t="s">
        <v>200</v>
      </c>
      <c r="C9830" s="27" t="s">
        <v>53</v>
      </c>
      <c r="D9830" s="27" t="s">
        <v>6</v>
      </c>
      <c r="E9830" s="27" t="s">
        <v>19</v>
      </c>
      <c r="F9830" s="29"/>
      <c r="G9830" s="30">
        <f t="shared" si="179"/>
        <v>507.25207407407618</v>
      </c>
    </row>
    <row r="9831" spans="1:7" hidden="1" x14ac:dyDescent="0.25">
      <c r="A9831" s="28">
        <v>44378</v>
      </c>
      <c r="B9831" s="27" t="s">
        <v>200</v>
      </c>
      <c r="C9831" s="27" t="s">
        <v>53</v>
      </c>
      <c r="D9831" s="27" t="s">
        <v>6</v>
      </c>
      <c r="E9831" s="27" t="s">
        <v>20</v>
      </c>
      <c r="F9831" s="29"/>
      <c r="G9831" s="30">
        <f t="shared" si="179"/>
        <v>507.25207407407618</v>
      </c>
    </row>
    <row r="9832" spans="1:7" hidden="1" x14ac:dyDescent="0.25">
      <c r="A9832" s="28">
        <v>44378</v>
      </c>
      <c r="B9832" s="27" t="s">
        <v>200</v>
      </c>
      <c r="C9832" s="27" t="s">
        <v>53</v>
      </c>
      <c r="D9832" s="27" t="s">
        <v>6</v>
      </c>
      <c r="E9832" s="27" t="s">
        <v>38</v>
      </c>
      <c r="F9832" s="29"/>
      <c r="G9832" s="30">
        <f t="shared" si="179"/>
        <v>507.25207407407618</v>
      </c>
    </row>
    <row r="9833" spans="1:7" hidden="1" x14ac:dyDescent="0.25">
      <c r="A9833" s="28">
        <v>44378</v>
      </c>
      <c r="B9833" s="27" t="s">
        <v>200</v>
      </c>
      <c r="C9833" s="27" t="s">
        <v>53</v>
      </c>
      <c r="D9833" s="27" t="s">
        <v>6</v>
      </c>
      <c r="E9833" s="27" t="s">
        <v>23</v>
      </c>
      <c r="F9833" s="29"/>
      <c r="G9833" s="30">
        <f t="shared" si="179"/>
        <v>507.25207407407618</v>
      </c>
    </row>
    <row r="9834" spans="1:7" hidden="1" x14ac:dyDescent="0.25">
      <c r="A9834" s="28">
        <v>44378</v>
      </c>
      <c r="B9834" s="27" t="s">
        <v>200</v>
      </c>
      <c r="C9834" s="27" t="s">
        <v>53</v>
      </c>
      <c r="D9834" s="27" t="s">
        <v>6</v>
      </c>
      <c r="E9834" s="27" t="s">
        <v>40</v>
      </c>
      <c r="F9834" s="29"/>
      <c r="G9834" s="30">
        <f t="shared" si="179"/>
        <v>507.25207407407618</v>
      </c>
    </row>
    <row r="9835" spans="1:7" hidden="1" x14ac:dyDescent="0.25">
      <c r="A9835" s="28">
        <v>44378</v>
      </c>
      <c r="B9835" s="27" t="s">
        <v>200</v>
      </c>
      <c r="C9835" s="27" t="s">
        <v>54</v>
      </c>
      <c r="D9835" s="27" t="s">
        <v>7</v>
      </c>
      <c r="E9835" s="27" t="s">
        <v>8</v>
      </c>
      <c r="F9835" s="29"/>
      <c r="G9835" s="30">
        <f t="shared" ref="G9835:G9856" si="180">432.53/22</f>
        <v>19.660454545454545</v>
      </c>
    </row>
    <row r="9836" spans="1:7" hidden="1" x14ac:dyDescent="0.25">
      <c r="A9836" s="28">
        <v>44378</v>
      </c>
      <c r="B9836" s="27" t="s">
        <v>200</v>
      </c>
      <c r="C9836" s="27" t="s">
        <v>54</v>
      </c>
      <c r="D9836" s="27" t="s">
        <v>7</v>
      </c>
      <c r="E9836" s="27" t="s">
        <v>9</v>
      </c>
      <c r="F9836" s="29"/>
      <c r="G9836" s="30">
        <f t="shared" si="180"/>
        <v>19.660454545454545</v>
      </c>
    </row>
    <row r="9837" spans="1:7" hidden="1" x14ac:dyDescent="0.25">
      <c r="A9837" s="28">
        <v>44378</v>
      </c>
      <c r="B9837" s="27" t="s">
        <v>200</v>
      </c>
      <c r="C9837" s="27" t="s">
        <v>54</v>
      </c>
      <c r="D9837" s="27" t="s">
        <v>7</v>
      </c>
      <c r="E9837" s="27" t="s">
        <v>22</v>
      </c>
      <c r="F9837" s="29"/>
      <c r="G9837" s="30">
        <f t="shared" si="180"/>
        <v>19.660454545454545</v>
      </c>
    </row>
    <row r="9838" spans="1:7" hidden="1" x14ac:dyDescent="0.25">
      <c r="A9838" s="28">
        <v>44378</v>
      </c>
      <c r="B9838" s="27" t="s">
        <v>200</v>
      </c>
      <c r="C9838" s="27" t="s">
        <v>54</v>
      </c>
      <c r="D9838" s="27" t="s">
        <v>7</v>
      </c>
      <c r="E9838" s="27" t="s">
        <v>39</v>
      </c>
      <c r="F9838" s="29"/>
      <c r="G9838" s="30">
        <f t="shared" si="180"/>
        <v>19.660454545454545</v>
      </c>
    </row>
    <row r="9839" spans="1:7" hidden="1" x14ac:dyDescent="0.25">
      <c r="A9839" s="28">
        <v>44378</v>
      </c>
      <c r="B9839" s="27" t="s">
        <v>200</v>
      </c>
      <c r="C9839" s="27" t="s">
        <v>54</v>
      </c>
      <c r="D9839" s="27" t="s">
        <v>7</v>
      </c>
      <c r="E9839" s="27" t="s">
        <v>64</v>
      </c>
      <c r="F9839" s="29"/>
      <c r="G9839" s="30">
        <f t="shared" si="180"/>
        <v>19.660454545454545</v>
      </c>
    </row>
    <row r="9840" spans="1:7" hidden="1" x14ac:dyDescent="0.25">
      <c r="A9840" s="28">
        <v>44378</v>
      </c>
      <c r="B9840" s="27" t="s">
        <v>200</v>
      </c>
      <c r="C9840" s="27" t="s">
        <v>54</v>
      </c>
      <c r="D9840" s="27" t="s">
        <v>7</v>
      </c>
      <c r="E9840" s="27" t="s">
        <v>21</v>
      </c>
      <c r="F9840" s="29"/>
      <c r="G9840" s="30">
        <f t="shared" si="180"/>
        <v>19.660454545454545</v>
      </c>
    </row>
    <row r="9841" spans="1:7" hidden="1" x14ac:dyDescent="0.25">
      <c r="A9841" s="28">
        <v>44378</v>
      </c>
      <c r="B9841" s="27" t="s">
        <v>200</v>
      </c>
      <c r="C9841" s="27" t="s">
        <v>54</v>
      </c>
      <c r="D9841" s="27" t="s">
        <v>7</v>
      </c>
      <c r="E9841" s="27" t="s">
        <v>41</v>
      </c>
      <c r="F9841" s="29"/>
      <c r="G9841" s="30">
        <f t="shared" si="180"/>
        <v>19.660454545454545</v>
      </c>
    </row>
    <row r="9842" spans="1:7" hidden="1" x14ac:dyDescent="0.25">
      <c r="A9842" s="28">
        <v>44378</v>
      </c>
      <c r="B9842" s="27" t="s">
        <v>200</v>
      </c>
      <c r="C9842" s="27" t="s">
        <v>54</v>
      </c>
      <c r="D9842" s="27" t="s">
        <v>7</v>
      </c>
      <c r="E9842" s="27" t="s">
        <v>10</v>
      </c>
      <c r="F9842" s="29"/>
      <c r="G9842" s="30">
        <f t="shared" si="180"/>
        <v>19.660454545454545</v>
      </c>
    </row>
    <row r="9843" spans="1:7" hidden="1" x14ac:dyDescent="0.25">
      <c r="A9843" s="28">
        <v>44378</v>
      </c>
      <c r="B9843" s="27" t="s">
        <v>200</v>
      </c>
      <c r="C9843" s="27" t="s">
        <v>54</v>
      </c>
      <c r="D9843" s="27" t="s">
        <v>7</v>
      </c>
      <c r="E9843" s="27" t="s">
        <v>11</v>
      </c>
      <c r="F9843" s="29"/>
      <c r="G9843" s="30">
        <f t="shared" si="180"/>
        <v>19.660454545454545</v>
      </c>
    </row>
    <row r="9844" spans="1:7" hidden="1" x14ac:dyDescent="0.25">
      <c r="A9844" s="28">
        <v>44378</v>
      </c>
      <c r="B9844" s="27" t="s">
        <v>200</v>
      </c>
      <c r="C9844" s="27" t="s">
        <v>54</v>
      </c>
      <c r="D9844" s="27" t="s">
        <v>7</v>
      </c>
      <c r="E9844" s="27" t="s">
        <v>12</v>
      </c>
      <c r="F9844" s="29"/>
      <c r="G9844" s="30">
        <f t="shared" si="180"/>
        <v>19.660454545454545</v>
      </c>
    </row>
    <row r="9845" spans="1:7" hidden="1" x14ac:dyDescent="0.25">
      <c r="A9845" s="28">
        <v>44378</v>
      </c>
      <c r="B9845" s="27" t="s">
        <v>200</v>
      </c>
      <c r="C9845" s="27" t="s">
        <v>54</v>
      </c>
      <c r="D9845" s="27" t="s">
        <v>7</v>
      </c>
      <c r="E9845" s="27" t="s">
        <v>13</v>
      </c>
      <c r="F9845" s="29"/>
      <c r="G9845" s="30">
        <f t="shared" si="180"/>
        <v>19.660454545454545</v>
      </c>
    </row>
    <row r="9846" spans="1:7" hidden="1" x14ac:dyDescent="0.25">
      <c r="A9846" s="28">
        <v>44378</v>
      </c>
      <c r="B9846" s="27" t="s">
        <v>200</v>
      </c>
      <c r="C9846" s="27" t="s">
        <v>54</v>
      </c>
      <c r="D9846" s="27" t="s">
        <v>7</v>
      </c>
      <c r="E9846" s="27" t="s">
        <v>14</v>
      </c>
      <c r="F9846" s="29"/>
      <c r="G9846" s="30">
        <f t="shared" si="180"/>
        <v>19.660454545454545</v>
      </c>
    </row>
    <row r="9847" spans="1:7" hidden="1" x14ac:dyDescent="0.25">
      <c r="A9847" s="28">
        <v>44378</v>
      </c>
      <c r="B9847" s="27" t="s">
        <v>200</v>
      </c>
      <c r="C9847" s="27" t="s">
        <v>54</v>
      </c>
      <c r="D9847" s="27" t="s">
        <v>7</v>
      </c>
      <c r="E9847" s="27" t="s">
        <v>15</v>
      </c>
      <c r="F9847" s="29"/>
      <c r="G9847" s="30">
        <f t="shared" si="180"/>
        <v>19.660454545454545</v>
      </c>
    </row>
    <row r="9848" spans="1:7" hidden="1" x14ac:dyDescent="0.25">
      <c r="A9848" s="28">
        <v>44378</v>
      </c>
      <c r="B9848" s="27" t="s">
        <v>200</v>
      </c>
      <c r="C9848" s="27" t="s">
        <v>54</v>
      </c>
      <c r="D9848" s="27" t="s">
        <v>7</v>
      </c>
      <c r="E9848" s="27" t="s">
        <v>16</v>
      </c>
      <c r="F9848" s="29"/>
      <c r="G9848" s="30">
        <f t="shared" si="180"/>
        <v>19.660454545454545</v>
      </c>
    </row>
    <row r="9849" spans="1:7" hidden="1" x14ac:dyDescent="0.25">
      <c r="A9849" s="28">
        <v>44378</v>
      </c>
      <c r="B9849" s="27" t="s">
        <v>200</v>
      </c>
      <c r="C9849" s="27" t="s">
        <v>54</v>
      </c>
      <c r="D9849" s="27" t="s">
        <v>7</v>
      </c>
      <c r="E9849" s="27" t="s">
        <v>17</v>
      </c>
      <c r="F9849" s="29"/>
      <c r="G9849" s="30">
        <f t="shared" si="180"/>
        <v>19.660454545454545</v>
      </c>
    </row>
    <row r="9850" spans="1:7" hidden="1" x14ac:dyDescent="0.25">
      <c r="A9850" s="28">
        <v>44378</v>
      </c>
      <c r="B9850" s="27" t="s">
        <v>200</v>
      </c>
      <c r="C9850" s="27" t="s">
        <v>54</v>
      </c>
      <c r="D9850" s="27" t="s">
        <v>7</v>
      </c>
      <c r="E9850" s="27" t="s">
        <v>18</v>
      </c>
      <c r="F9850" s="29"/>
      <c r="G9850" s="30">
        <f t="shared" si="180"/>
        <v>19.660454545454545</v>
      </c>
    </row>
    <row r="9851" spans="1:7" hidden="1" x14ac:dyDescent="0.25">
      <c r="A9851" s="28">
        <v>44378</v>
      </c>
      <c r="B9851" s="27" t="s">
        <v>200</v>
      </c>
      <c r="C9851" s="27" t="s">
        <v>54</v>
      </c>
      <c r="D9851" s="27" t="s">
        <v>7</v>
      </c>
      <c r="E9851" s="27" t="s">
        <v>19</v>
      </c>
      <c r="F9851" s="29"/>
      <c r="G9851" s="30">
        <f t="shared" si="180"/>
        <v>19.660454545454545</v>
      </c>
    </row>
    <row r="9852" spans="1:7" hidden="1" x14ac:dyDescent="0.25">
      <c r="A9852" s="28">
        <v>44378</v>
      </c>
      <c r="B9852" s="27" t="s">
        <v>200</v>
      </c>
      <c r="C9852" s="27" t="s">
        <v>54</v>
      </c>
      <c r="D9852" s="27" t="s">
        <v>7</v>
      </c>
      <c r="E9852" s="27" t="s">
        <v>20</v>
      </c>
      <c r="F9852" s="29"/>
      <c r="G9852" s="30">
        <f t="shared" si="180"/>
        <v>19.660454545454545</v>
      </c>
    </row>
    <row r="9853" spans="1:7" hidden="1" x14ac:dyDescent="0.25">
      <c r="A9853" s="28">
        <v>44378</v>
      </c>
      <c r="B9853" s="27" t="s">
        <v>200</v>
      </c>
      <c r="C9853" s="27" t="s">
        <v>54</v>
      </c>
      <c r="D9853" s="27" t="s">
        <v>7</v>
      </c>
      <c r="E9853" s="27" t="s">
        <v>38</v>
      </c>
      <c r="F9853" s="29"/>
      <c r="G9853" s="30">
        <f t="shared" si="180"/>
        <v>19.660454545454545</v>
      </c>
    </row>
    <row r="9854" spans="1:7" hidden="1" x14ac:dyDescent="0.25">
      <c r="A9854" s="28">
        <v>44378</v>
      </c>
      <c r="B9854" s="27" t="s">
        <v>200</v>
      </c>
      <c r="C9854" s="27" t="s">
        <v>54</v>
      </c>
      <c r="D9854" s="27" t="s">
        <v>7</v>
      </c>
      <c r="E9854" s="27" t="s">
        <v>23</v>
      </c>
      <c r="F9854" s="29"/>
      <c r="G9854" s="30">
        <f t="shared" si="180"/>
        <v>19.660454545454545</v>
      </c>
    </row>
    <row r="9855" spans="1:7" hidden="1" x14ac:dyDescent="0.25">
      <c r="A9855" s="28">
        <v>44378</v>
      </c>
      <c r="B9855" s="27" t="s">
        <v>200</v>
      </c>
      <c r="C9855" s="27" t="s">
        <v>54</v>
      </c>
      <c r="D9855" s="27" t="s">
        <v>7</v>
      </c>
      <c r="E9855" s="27" t="s">
        <v>40</v>
      </c>
      <c r="F9855" s="29"/>
      <c r="G9855" s="30">
        <f t="shared" si="180"/>
        <v>19.660454545454545</v>
      </c>
    </row>
    <row r="9856" spans="1:7" hidden="1" x14ac:dyDescent="0.25">
      <c r="A9856" s="28">
        <v>44378</v>
      </c>
      <c r="B9856" s="27" t="s">
        <v>200</v>
      </c>
      <c r="C9856" s="27" t="s">
        <v>54</v>
      </c>
      <c r="D9856" s="27" t="s">
        <v>7</v>
      </c>
      <c r="E9856" s="27" t="s">
        <v>42</v>
      </c>
      <c r="F9856" s="29"/>
      <c r="G9856" s="30">
        <f t="shared" si="180"/>
        <v>19.660454545454545</v>
      </c>
    </row>
    <row r="9857" spans="1:7" hidden="1" x14ac:dyDescent="0.25">
      <c r="A9857" s="28">
        <v>44378</v>
      </c>
      <c r="B9857" s="27" t="s">
        <v>200</v>
      </c>
      <c r="C9857" s="27" t="s">
        <v>55</v>
      </c>
      <c r="D9857" s="27" t="s">
        <v>6</v>
      </c>
      <c r="E9857" s="27" t="s">
        <v>8</v>
      </c>
      <c r="F9857" s="29"/>
      <c r="G9857" s="30">
        <f t="shared" ref="G9857:G9877" si="181">33494.0469777778/21</f>
        <v>1594.9546179894189</v>
      </c>
    </row>
    <row r="9858" spans="1:7" hidden="1" x14ac:dyDescent="0.25">
      <c r="A9858" s="28">
        <v>44378</v>
      </c>
      <c r="B9858" s="27" t="s">
        <v>200</v>
      </c>
      <c r="C9858" s="27" t="s">
        <v>55</v>
      </c>
      <c r="D9858" s="27" t="s">
        <v>6</v>
      </c>
      <c r="E9858" s="27" t="s">
        <v>9</v>
      </c>
      <c r="F9858" s="29"/>
      <c r="G9858" s="30">
        <f t="shared" si="181"/>
        <v>1594.9546179894189</v>
      </c>
    </row>
    <row r="9859" spans="1:7" hidden="1" x14ac:dyDescent="0.25">
      <c r="A9859" s="28">
        <v>44378</v>
      </c>
      <c r="B9859" s="27" t="s">
        <v>200</v>
      </c>
      <c r="C9859" s="27" t="s">
        <v>55</v>
      </c>
      <c r="D9859" s="27" t="s">
        <v>6</v>
      </c>
      <c r="E9859" s="27" t="s">
        <v>22</v>
      </c>
      <c r="F9859" s="29"/>
      <c r="G9859" s="30">
        <f t="shared" si="181"/>
        <v>1594.9546179894189</v>
      </c>
    </row>
    <row r="9860" spans="1:7" hidden="1" x14ac:dyDescent="0.25">
      <c r="A9860" s="28">
        <v>44378</v>
      </c>
      <c r="B9860" s="27" t="s">
        <v>200</v>
      </c>
      <c r="C9860" s="27" t="s">
        <v>55</v>
      </c>
      <c r="D9860" s="27" t="s">
        <v>6</v>
      </c>
      <c r="E9860" s="27" t="s">
        <v>39</v>
      </c>
      <c r="F9860" s="29"/>
      <c r="G9860" s="30">
        <f t="shared" si="181"/>
        <v>1594.9546179894189</v>
      </c>
    </row>
    <row r="9861" spans="1:7" hidden="1" x14ac:dyDescent="0.25">
      <c r="A9861" s="28">
        <v>44378</v>
      </c>
      <c r="B9861" s="27" t="s">
        <v>200</v>
      </c>
      <c r="C9861" s="27" t="s">
        <v>55</v>
      </c>
      <c r="D9861" s="27" t="s">
        <v>6</v>
      </c>
      <c r="E9861" s="27" t="s">
        <v>64</v>
      </c>
      <c r="F9861" s="29"/>
      <c r="G9861" s="30">
        <f t="shared" si="181"/>
        <v>1594.9546179894189</v>
      </c>
    </row>
    <row r="9862" spans="1:7" hidden="1" x14ac:dyDescent="0.25">
      <c r="A9862" s="28">
        <v>44378</v>
      </c>
      <c r="B9862" s="27" t="s">
        <v>200</v>
      </c>
      <c r="C9862" s="27" t="s">
        <v>55</v>
      </c>
      <c r="D9862" s="27" t="s">
        <v>6</v>
      </c>
      <c r="E9862" s="27" t="s">
        <v>21</v>
      </c>
      <c r="F9862" s="29"/>
      <c r="G9862" s="30">
        <f t="shared" si="181"/>
        <v>1594.9546179894189</v>
      </c>
    </row>
    <row r="9863" spans="1:7" hidden="1" x14ac:dyDescent="0.25">
      <c r="A9863" s="28">
        <v>44378</v>
      </c>
      <c r="B9863" s="27" t="s">
        <v>200</v>
      </c>
      <c r="C9863" s="27" t="s">
        <v>55</v>
      </c>
      <c r="D9863" s="27" t="s">
        <v>6</v>
      </c>
      <c r="E9863" s="27" t="s">
        <v>41</v>
      </c>
      <c r="F9863" s="29"/>
      <c r="G9863" s="30">
        <f t="shared" si="181"/>
        <v>1594.9546179894189</v>
      </c>
    </row>
    <row r="9864" spans="1:7" hidden="1" x14ac:dyDescent="0.25">
      <c r="A9864" s="28">
        <v>44378</v>
      </c>
      <c r="B9864" s="27" t="s">
        <v>200</v>
      </c>
      <c r="C9864" s="27" t="s">
        <v>55</v>
      </c>
      <c r="D9864" s="27" t="s">
        <v>6</v>
      </c>
      <c r="E9864" s="27" t="s">
        <v>10</v>
      </c>
      <c r="F9864" s="29"/>
      <c r="G9864" s="30">
        <f t="shared" si="181"/>
        <v>1594.9546179894189</v>
      </c>
    </row>
    <row r="9865" spans="1:7" hidden="1" x14ac:dyDescent="0.25">
      <c r="A9865" s="28">
        <v>44378</v>
      </c>
      <c r="B9865" s="27" t="s">
        <v>200</v>
      </c>
      <c r="C9865" s="27" t="s">
        <v>55</v>
      </c>
      <c r="D9865" s="27" t="s">
        <v>6</v>
      </c>
      <c r="E9865" s="27" t="s">
        <v>11</v>
      </c>
      <c r="F9865" s="29"/>
      <c r="G9865" s="30">
        <f t="shared" si="181"/>
        <v>1594.9546179894189</v>
      </c>
    </row>
    <row r="9866" spans="1:7" hidden="1" x14ac:dyDescent="0.25">
      <c r="A9866" s="28">
        <v>44378</v>
      </c>
      <c r="B9866" s="27" t="s">
        <v>200</v>
      </c>
      <c r="C9866" s="27" t="s">
        <v>55</v>
      </c>
      <c r="D9866" s="27" t="s">
        <v>6</v>
      </c>
      <c r="E9866" s="27" t="s">
        <v>12</v>
      </c>
      <c r="F9866" s="29"/>
      <c r="G9866" s="30">
        <f t="shared" si="181"/>
        <v>1594.9546179894189</v>
      </c>
    </row>
    <row r="9867" spans="1:7" hidden="1" x14ac:dyDescent="0.25">
      <c r="A9867" s="28">
        <v>44378</v>
      </c>
      <c r="B9867" s="27" t="s">
        <v>200</v>
      </c>
      <c r="C9867" s="27" t="s">
        <v>55</v>
      </c>
      <c r="D9867" s="27" t="s">
        <v>6</v>
      </c>
      <c r="E9867" s="27" t="s">
        <v>13</v>
      </c>
      <c r="F9867" s="29"/>
      <c r="G9867" s="30">
        <f t="shared" si="181"/>
        <v>1594.9546179894189</v>
      </c>
    </row>
    <row r="9868" spans="1:7" hidden="1" x14ac:dyDescent="0.25">
      <c r="A9868" s="28">
        <v>44378</v>
      </c>
      <c r="B9868" s="27" t="s">
        <v>200</v>
      </c>
      <c r="C9868" s="27" t="s">
        <v>55</v>
      </c>
      <c r="D9868" s="27" t="s">
        <v>6</v>
      </c>
      <c r="E9868" s="27" t="s">
        <v>14</v>
      </c>
      <c r="F9868" s="29"/>
      <c r="G9868" s="30">
        <f t="shared" si="181"/>
        <v>1594.9546179894189</v>
      </c>
    </row>
    <row r="9869" spans="1:7" hidden="1" x14ac:dyDescent="0.25">
      <c r="A9869" s="28">
        <v>44378</v>
      </c>
      <c r="B9869" s="27" t="s">
        <v>200</v>
      </c>
      <c r="C9869" s="27" t="s">
        <v>55</v>
      </c>
      <c r="D9869" s="27" t="s">
        <v>6</v>
      </c>
      <c r="E9869" s="27" t="s">
        <v>15</v>
      </c>
      <c r="F9869" s="29"/>
      <c r="G9869" s="30">
        <f t="shared" si="181"/>
        <v>1594.9546179894189</v>
      </c>
    </row>
    <row r="9870" spans="1:7" hidden="1" x14ac:dyDescent="0.25">
      <c r="A9870" s="28">
        <v>44378</v>
      </c>
      <c r="B9870" s="27" t="s">
        <v>200</v>
      </c>
      <c r="C9870" s="27" t="s">
        <v>55</v>
      </c>
      <c r="D9870" s="27" t="s">
        <v>6</v>
      </c>
      <c r="E9870" s="27" t="s">
        <v>16</v>
      </c>
      <c r="F9870" s="29"/>
      <c r="G9870" s="30">
        <f t="shared" si="181"/>
        <v>1594.9546179894189</v>
      </c>
    </row>
    <row r="9871" spans="1:7" hidden="1" x14ac:dyDescent="0.25">
      <c r="A9871" s="28">
        <v>44378</v>
      </c>
      <c r="B9871" s="27" t="s">
        <v>200</v>
      </c>
      <c r="C9871" s="27" t="s">
        <v>55</v>
      </c>
      <c r="D9871" s="27" t="s">
        <v>6</v>
      </c>
      <c r="E9871" s="27" t="s">
        <v>17</v>
      </c>
      <c r="F9871" s="29"/>
      <c r="G9871" s="30">
        <f t="shared" si="181"/>
        <v>1594.9546179894189</v>
      </c>
    </row>
    <row r="9872" spans="1:7" hidden="1" x14ac:dyDescent="0.25">
      <c r="A9872" s="28">
        <v>44378</v>
      </c>
      <c r="B9872" s="27" t="s">
        <v>200</v>
      </c>
      <c r="C9872" s="27" t="s">
        <v>55</v>
      </c>
      <c r="D9872" s="27" t="s">
        <v>6</v>
      </c>
      <c r="E9872" s="27" t="s">
        <v>18</v>
      </c>
      <c r="F9872" s="29"/>
      <c r="G9872" s="30">
        <f t="shared" si="181"/>
        <v>1594.9546179894189</v>
      </c>
    </row>
    <row r="9873" spans="1:7" hidden="1" x14ac:dyDescent="0.25">
      <c r="A9873" s="28">
        <v>44378</v>
      </c>
      <c r="B9873" s="27" t="s">
        <v>200</v>
      </c>
      <c r="C9873" s="27" t="s">
        <v>55</v>
      </c>
      <c r="D9873" s="27" t="s">
        <v>6</v>
      </c>
      <c r="E9873" s="27" t="s">
        <v>19</v>
      </c>
      <c r="F9873" s="29"/>
      <c r="G9873" s="30">
        <f t="shared" si="181"/>
        <v>1594.9546179894189</v>
      </c>
    </row>
    <row r="9874" spans="1:7" hidden="1" x14ac:dyDescent="0.25">
      <c r="A9874" s="28">
        <v>44378</v>
      </c>
      <c r="B9874" s="27" t="s">
        <v>200</v>
      </c>
      <c r="C9874" s="27" t="s">
        <v>55</v>
      </c>
      <c r="D9874" s="27" t="s">
        <v>6</v>
      </c>
      <c r="E9874" s="27" t="s">
        <v>20</v>
      </c>
      <c r="F9874" s="29"/>
      <c r="G9874" s="30">
        <f t="shared" si="181"/>
        <v>1594.9546179894189</v>
      </c>
    </row>
    <row r="9875" spans="1:7" hidden="1" x14ac:dyDescent="0.25">
      <c r="A9875" s="28">
        <v>44378</v>
      </c>
      <c r="B9875" s="27" t="s">
        <v>200</v>
      </c>
      <c r="C9875" s="27" t="s">
        <v>55</v>
      </c>
      <c r="D9875" s="27" t="s">
        <v>6</v>
      </c>
      <c r="E9875" s="27" t="s">
        <v>38</v>
      </c>
      <c r="F9875" s="29"/>
      <c r="G9875" s="30">
        <f t="shared" si="181"/>
        <v>1594.9546179894189</v>
      </c>
    </row>
    <row r="9876" spans="1:7" hidden="1" x14ac:dyDescent="0.25">
      <c r="A9876" s="28">
        <v>44378</v>
      </c>
      <c r="B9876" s="27" t="s">
        <v>200</v>
      </c>
      <c r="C9876" s="27" t="s">
        <v>55</v>
      </c>
      <c r="D9876" s="27" t="s">
        <v>6</v>
      </c>
      <c r="E9876" s="27" t="s">
        <v>23</v>
      </c>
      <c r="F9876" s="29"/>
      <c r="G9876" s="30">
        <f t="shared" si="181"/>
        <v>1594.9546179894189</v>
      </c>
    </row>
    <row r="9877" spans="1:7" hidden="1" x14ac:dyDescent="0.25">
      <c r="A9877" s="28">
        <v>44378</v>
      </c>
      <c r="B9877" s="27" t="s">
        <v>200</v>
      </c>
      <c r="C9877" s="27" t="s">
        <v>55</v>
      </c>
      <c r="D9877" s="27" t="s">
        <v>6</v>
      </c>
      <c r="E9877" s="27" t="s">
        <v>40</v>
      </c>
      <c r="F9877" s="29"/>
      <c r="G9877" s="30">
        <f t="shared" si="181"/>
        <v>1594.9546179894189</v>
      </c>
    </row>
    <row r="9878" spans="1:7" hidden="1" x14ac:dyDescent="0.25">
      <c r="A9878" s="28">
        <v>44378</v>
      </c>
      <c r="B9878" s="27" t="s">
        <v>200</v>
      </c>
      <c r="C9878" s="27" t="s">
        <v>183</v>
      </c>
      <c r="D9878" s="27" t="s">
        <v>7</v>
      </c>
      <c r="E9878" s="27" t="s">
        <v>8</v>
      </c>
      <c r="F9878" s="29"/>
      <c r="G9878" s="30">
        <f t="shared" ref="G9878:G9899" si="182">4118.78/22</f>
        <v>187.21727272727273</v>
      </c>
    </row>
    <row r="9879" spans="1:7" hidden="1" x14ac:dyDescent="0.25">
      <c r="A9879" s="28">
        <v>44378</v>
      </c>
      <c r="B9879" s="27" t="s">
        <v>200</v>
      </c>
      <c r="C9879" s="27" t="s">
        <v>183</v>
      </c>
      <c r="D9879" s="27" t="s">
        <v>7</v>
      </c>
      <c r="E9879" s="27" t="s">
        <v>9</v>
      </c>
      <c r="F9879" s="29"/>
      <c r="G9879" s="30">
        <f t="shared" si="182"/>
        <v>187.21727272727273</v>
      </c>
    </row>
    <row r="9880" spans="1:7" hidden="1" x14ac:dyDescent="0.25">
      <c r="A9880" s="28">
        <v>44378</v>
      </c>
      <c r="B9880" s="27" t="s">
        <v>200</v>
      </c>
      <c r="C9880" s="27" t="s">
        <v>183</v>
      </c>
      <c r="D9880" s="27" t="s">
        <v>7</v>
      </c>
      <c r="E9880" s="27" t="s">
        <v>22</v>
      </c>
      <c r="F9880" s="29"/>
      <c r="G9880" s="30">
        <f t="shared" si="182"/>
        <v>187.21727272727273</v>
      </c>
    </row>
    <row r="9881" spans="1:7" hidden="1" x14ac:dyDescent="0.25">
      <c r="A9881" s="28">
        <v>44378</v>
      </c>
      <c r="B9881" s="27" t="s">
        <v>200</v>
      </c>
      <c r="C9881" s="27" t="s">
        <v>183</v>
      </c>
      <c r="D9881" s="27" t="s">
        <v>7</v>
      </c>
      <c r="E9881" s="27" t="s">
        <v>39</v>
      </c>
      <c r="F9881" s="29"/>
      <c r="G9881" s="30">
        <f t="shared" si="182"/>
        <v>187.21727272727273</v>
      </c>
    </row>
    <row r="9882" spans="1:7" hidden="1" x14ac:dyDescent="0.25">
      <c r="A9882" s="28">
        <v>44378</v>
      </c>
      <c r="B9882" s="27" t="s">
        <v>200</v>
      </c>
      <c r="C9882" s="27" t="s">
        <v>183</v>
      </c>
      <c r="D9882" s="27" t="s">
        <v>7</v>
      </c>
      <c r="E9882" s="27" t="s">
        <v>64</v>
      </c>
      <c r="F9882" s="29"/>
      <c r="G9882" s="30">
        <f t="shared" si="182"/>
        <v>187.21727272727273</v>
      </c>
    </row>
    <row r="9883" spans="1:7" hidden="1" x14ac:dyDescent="0.25">
      <c r="A9883" s="28">
        <v>44378</v>
      </c>
      <c r="B9883" s="27" t="s">
        <v>200</v>
      </c>
      <c r="C9883" s="27" t="s">
        <v>183</v>
      </c>
      <c r="D9883" s="27" t="s">
        <v>7</v>
      </c>
      <c r="E9883" s="27" t="s">
        <v>21</v>
      </c>
      <c r="F9883" s="29"/>
      <c r="G9883" s="30">
        <f t="shared" si="182"/>
        <v>187.21727272727273</v>
      </c>
    </row>
    <row r="9884" spans="1:7" hidden="1" x14ac:dyDescent="0.25">
      <c r="A9884" s="28">
        <v>44378</v>
      </c>
      <c r="B9884" s="27" t="s">
        <v>200</v>
      </c>
      <c r="C9884" s="27" t="s">
        <v>183</v>
      </c>
      <c r="D9884" s="27" t="s">
        <v>7</v>
      </c>
      <c r="E9884" s="27" t="s">
        <v>41</v>
      </c>
      <c r="F9884" s="29"/>
      <c r="G9884" s="30">
        <f t="shared" si="182"/>
        <v>187.21727272727273</v>
      </c>
    </row>
    <row r="9885" spans="1:7" hidden="1" x14ac:dyDescent="0.25">
      <c r="A9885" s="28">
        <v>44378</v>
      </c>
      <c r="B9885" s="27" t="s">
        <v>200</v>
      </c>
      <c r="C9885" s="27" t="s">
        <v>183</v>
      </c>
      <c r="D9885" s="27" t="s">
        <v>7</v>
      </c>
      <c r="E9885" s="27" t="s">
        <v>10</v>
      </c>
      <c r="F9885" s="29"/>
      <c r="G9885" s="30">
        <f t="shared" si="182"/>
        <v>187.21727272727273</v>
      </c>
    </row>
    <row r="9886" spans="1:7" hidden="1" x14ac:dyDescent="0.25">
      <c r="A9886" s="28">
        <v>44378</v>
      </c>
      <c r="B9886" s="27" t="s">
        <v>200</v>
      </c>
      <c r="C9886" s="27" t="s">
        <v>183</v>
      </c>
      <c r="D9886" s="27" t="s">
        <v>7</v>
      </c>
      <c r="E9886" s="27" t="s">
        <v>11</v>
      </c>
      <c r="F9886" s="29"/>
      <c r="G9886" s="30">
        <f t="shared" si="182"/>
        <v>187.21727272727273</v>
      </c>
    </row>
    <row r="9887" spans="1:7" hidden="1" x14ac:dyDescent="0.25">
      <c r="A9887" s="28">
        <v>44378</v>
      </c>
      <c r="B9887" s="27" t="s">
        <v>200</v>
      </c>
      <c r="C9887" s="27" t="s">
        <v>183</v>
      </c>
      <c r="D9887" s="27" t="s">
        <v>7</v>
      </c>
      <c r="E9887" s="27" t="s">
        <v>12</v>
      </c>
      <c r="F9887" s="29"/>
      <c r="G9887" s="30">
        <f t="shared" si="182"/>
        <v>187.21727272727273</v>
      </c>
    </row>
    <row r="9888" spans="1:7" hidden="1" x14ac:dyDescent="0.25">
      <c r="A9888" s="28">
        <v>44378</v>
      </c>
      <c r="B9888" s="27" t="s">
        <v>200</v>
      </c>
      <c r="C9888" s="27" t="s">
        <v>183</v>
      </c>
      <c r="D9888" s="27" t="s">
        <v>7</v>
      </c>
      <c r="E9888" s="27" t="s">
        <v>13</v>
      </c>
      <c r="F9888" s="29"/>
      <c r="G9888" s="30">
        <f t="shared" si="182"/>
        <v>187.21727272727273</v>
      </c>
    </row>
    <row r="9889" spans="1:7" hidden="1" x14ac:dyDescent="0.25">
      <c r="A9889" s="28">
        <v>44378</v>
      </c>
      <c r="B9889" s="27" t="s">
        <v>200</v>
      </c>
      <c r="C9889" s="27" t="s">
        <v>183</v>
      </c>
      <c r="D9889" s="27" t="s">
        <v>7</v>
      </c>
      <c r="E9889" s="27" t="s">
        <v>14</v>
      </c>
      <c r="F9889" s="29"/>
      <c r="G9889" s="30">
        <f t="shared" si="182"/>
        <v>187.21727272727273</v>
      </c>
    </row>
    <row r="9890" spans="1:7" hidden="1" x14ac:dyDescent="0.25">
      <c r="A9890" s="28">
        <v>44378</v>
      </c>
      <c r="B9890" s="27" t="s">
        <v>200</v>
      </c>
      <c r="C9890" s="27" t="s">
        <v>183</v>
      </c>
      <c r="D9890" s="27" t="s">
        <v>7</v>
      </c>
      <c r="E9890" s="27" t="s">
        <v>15</v>
      </c>
      <c r="F9890" s="29"/>
      <c r="G9890" s="30">
        <f t="shared" si="182"/>
        <v>187.21727272727273</v>
      </c>
    </row>
    <row r="9891" spans="1:7" hidden="1" x14ac:dyDescent="0.25">
      <c r="A9891" s="28">
        <v>44378</v>
      </c>
      <c r="B9891" s="27" t="s">
        <v>200</v>
      </c>
      <c r="C9891" s="27" t="s">
        <v>183</v>
      </c>
      <c r="D9891" s="27" t="s">
        <v>7</v>
      </c>
      <c r="E9891" s="27" t="s">
        <v>16</v>
      </c>
      <c r="F9891" s="29"/>
      <c r="G9891" s="30">
        <f t="shared" si="182"/>
        <v>187.21727272727273</v>
      </c>
    </row>
    <row r="9892" spans="1:7" hidden="1" x14ac:dyDescent="0.25">
      <c r="A9892" s="28">
        <v>44378</v>
      </c>
      <c r="B9892" s="27" t="s">
        <v>200</v>
      </c>
      <c r="C9892" s="27" t="s">
        <v>183</v>
      </c>
      <c r="D9892" s="27" t="s">
        <v>7</v>
      </c>
      <c r="E9892" s="27" t="s">
        <v>17</v>
      </c>
      <c r="F9892" s="29"/>
      <c r="G9892" s="30">
        <f t="shared" si="182"/>
        <v>187.21727272727273</v>
      </c>
    </row>
    <row r="9893" spans="1:7" hidden="1" x14ac:dyDescent="0.25">
      <c r="A9893" s="28">
        <v>44378</v>
      </c>
      <c r="B9893" s="27" t="s">
        <v>200</v>
      </c>
      <c r="C9893" s="27" t="s">
        <v>183</v>
      </c>
      <c r="D9893" s="27" t="s">
        <v>7</v>
      </c>
      <c r="E9893" s="27" t="s">
        <v>18</v>
      </c>
      <c r="F9893" s="29"/>
      <c r="G9893" s="30">
        <f t="shared" si="182"/>
        <v>187.21727272727273</v>
      </c>
    </row>
    <row r="9894" spans="1:7" hidden="1" x14ac:dyDescent="0.25">
      <c r="A9894" s="28">
        <v>44378</v>
      </c>
      <c r="B9894" s="27" t="s">
        <v>200</v>
      </c>
      <c r="C9894" s="27" t="s">
        <v>183</v>
      </c>
      <c r="D9894" s="27" t="s">
        <v>7</v>
      </c>
      <c r="E9894" s="27" t="s">
        <v>19</v>
      </c>
      <c r="F9894" s="29"/>
      <c r="G9894" s="30">
        <f t="shared" si="182"/>
        <v>187.21727272727273</v>
      </c>
    </row>
    <row r="9895" spans="1:7" hidden="1" x14ac:dyDescent="0.25">
      <c r="A9895" s="28">
        <v>44378</v>
      </c>
      <c r="B9895" s="27" t="s">
        <v>200</v>
      </c>
      <c r="C9895" s="27" t="s">
        <v>183</v>
      </c>
      <c r="D9895" s="27" t="s">
        <v>7</v>
      </c>
      <c r="E9895" s="27" t="s">
        <v>20</v>
      </c>
      <c r="F9895" s="29"/>
      <c r="G9895" s="30">
        <f t="shared" si="182"/>
        <v>187.21727272727273</v>
      </c>
    </row>
    <row r="9896" spans="1:7" hidden="1" x14ac:dyDescent="0.25">
      <c r="A9896" s="28">
        <v>44378</v>
      </c>
      <c r="B9896" s="27" t="s">
        <v>200</v>
      </c>
      <c r="C9896" s="27" t="s">
        <v>183</v>
      </c>
      <c r="D9896" s="27" t="s">
        <v>7</v>
      </c>
      <c r="E9896" s="27" t="s">
        <v>38</v>
      </c>
      <c r="F9896" s="29"/>
      <c r="G9896" s="30">
        <f t="shared" si="182"/>
        <v>187.21727272727273</v>
      </c>
    </row>
    <row r="9897" spans="1:7" hidden="1" x14ac:dyDescent="0.25">
      <c r="A9897" s="28">
        <v>44378</v>
      </c>
      <c r="B9897" s="27" t="s">
        <v>200</v>
      </c>
      <c r="C9897" s="27" t="s">
        <v>183</v>
      </c>
      <c r="D9897" s="27" t="s">
        <v>7</v>
      </c>
      <c r="E9897" s="27" t="s">
        <v>23</v>
      </c>
      <c r="F9897" s="29"/>
      <c r="G9897" s="30">
        <f t="shared" si="182"/>
        <v>187.21727272727273</v>
      </c>
    </row>
    <row r="9898" spans="1:7" hidden="1" x14ac:dyDescent="0.25">
      <c r="A9898" s="28">
        <v>44378</v>
      </c>
      <c r="B9898" s="27" t="s">
        <v>200</v>
      </c>
      <c r="C9898" s="27" t="s">
        <v>183</v>
      </c>
      <c r="D9898" s="27" t="s">
        <v>7</v>
      </c>
      <c r="E9898" s="27" t="s">
        <v>40</v>
      </c>
      <c r="F9898" s="29"/>
      <c r="G9898" s="30">
        <f t="shared" si="182"/>
        <v>187.21727272727273</v>
      </c>
    </row>
    <row r="9899" spans="1:7" hidden="1" x14ac:dyDescent="0.25">
      <c r="A9899" s="28">
        <v>44378</v>
      </c>
      <c r="B9899" s="27" t="s">
        <v>200</v>
      </c>
      <c r="C9899" s="27" t="s">
        <v>183</v>
      </c>
      <c r="D9899" s="27" t="s">
        <v>7</v>
      </c>
      <c r="E9899" s="27" t="s">
        <v>42</v>
      </c>
      <c r="F9899" s="29"/>
      <c r="G9899" s="30">
        <f t="shared" si="182"/>
        <v>187.21727272727273</v>
      </c>
    </row>
    <row r="9900" spans="1:7" hidden="1" x14ac:dyDescent="0.25">
      <c r="A9900" s="28">
        <v>44378</v>
      </c>
      <c r="B9900" s="27" t="s">
        <v>200</v>
      </c>
      <c r="C9900" s="27" t="s">
        <v>56</v>
      </c>
      <c r="D9900" s="27" t="s">
        <v>6</v>
      </c>
      <c r="E9900" s="27" t="s">
        <v>8</v>
      </c>
      <c r="F9900" s="29"/>
      <c r="G9900" s="30">
        <f t="shared" ref="G9900:G9920" si="183">55112.2337333333/21</f>
        <v>2624.3920825396808</v>
      </c>
    </row>
    <row r="9901" spans="1:7" hidden="1" x14ac:dyDescent="0.25">
      <c r="A9901" s="28">
        <v>44378</v>
      </c>
      <c r="B9901" s="27" t="s">
        <v>200</v>
      </c>
      <c r="C9901" s="27" t="s">
        <v>56</v>
      </c>
      <c r="D9901" s="27" t="s">
        <v>6</v>
      </c>
      <c r="E9901" s="27" t="s">
        <v>9</v>
      </c>
      <c r="F9901" s="29"/>
      <c r="G9901" s="30">
        <f t="shared" si="183"/>
        <v>2624.3920825396808</v>
      </c>
    </row>
    <row r="9902" spans="1:7" hidden="1" x14ac:dyDescent="0.25">
      <c r="A9902" s="28">
        <v>44378</v>
      </c>
      <c r="B9902" s="27" t="s">
        <v>200</v>
      </c>
      <c r="C9902" s="27" t="s">
        <v>56</v>
      </c>
      <c r="D9902" s="27" t="s">
        <v>6</v>
      </c>
      <c r="E9902" s="27" t="s">
        <v>22</v>
      </c>
      <c r="F9902" s="29"/>
      <c r="G9902" s="30">
        <f t="shared" si="183"/>
        <v>2624.3920825396808</v>
      </c>
    </row>
    <row r="9903" spans="1:7" hidden="1" x14ac:dyDescent="0.25">
      <c r="A9903" s="28">
        <v>44378</v>
      </c>
      <c r="B9903" s="27" t="s">
        <v>200</v>
      </c>
      <c r="C9903" s="27" t="s">
        <v>56</v>
      </c>
      <c r="D9903" s="27" t="s">
        <v>6</v>
      </c>
      <c r="E9903" s="27" t="s">
        <v>39</v>
      </c>
      <c r="F9903" s="29"/>
      <c r="G9903" s="30">
        <f t="shared" si="183"/>
        <v>2624.3920825396808</v>
      </c>
    </row>
    <row r="9904" spans="1:7" hidden="1" x14ac:dyDescent="0.25">
      <c r="A9904" s="28">
        <v>44378</v>
      </c>
      <c r="B9904" s="27" t="s">
        <v>200</v>
      </c>
      <c r="C9904" s="27" t="s">
        <v>56</v>
      </c>
      <c r="D9904" s="27" t="s">
        <v>6</v>
      </c>
      <c r="E9904" s="27" t="s">
        <v>64</v>
      </c>
      <c r="F9904" s="29"/>
      <c r="G9904" s="30">
        <f t="shared" si="183"/>
        <v>2624.3920825396808</v>
      </c>
    </row>
    <row r="9905" spans="1:7" hidden="1" x14ac:dyDescent="0.25">
      <c r="A9905" s="28">
        <v>44378</v>
      </c>
      <c r="B9905" s="27" t="s">
        <v>200</v>
      </c>
      <c r="C9905" s="27" t="s">
        <v>56</v>
      </c>
      <c r="D9905" s="27" t="s">
        <v>6</v>
      </c>
      <c r="E9905" s="27" t="s">
        <v>21</v>
      </c>
      <c r="F9905" s="29"/>
      <c r="G9905" s="30">
        <f t="shared" si="183"/>
        <v>2624.3920825396808</v>
      </c>
    </row>
    <row r="9906" spans="1:7" hidden="1" x14ac:dyDescent="0.25">
      <c r="A9906" s="28">
        <v>44378</v>
      </c>
      <c r="B9906" s="27" t="s">
        <v>200</v>
      </c>
      <c r="C9906" s="27" t="s">
        <v>56</v>
      </c>
      <c r="D9906" s="27" t="s">
        <v>6</v>
      </c>
      <c r="E9906" s="27" t="s">
        <v>41</v>
      </c>
      <c r="F9906" s="29"/>
      <c r="G9906" s="30">
        <f t="shared" si="183"/>
        <v>2624.3920825396808</v>
      </c>
    </row>
    <row r="9907" spans="1:7" hidden="1" x14ac:dyDescent="0.25">
      <c r="A9907" s="28">
        <v>44378</v>
      </c>
      <c r="B9907" s="27" t="s">
        <v>200</v>
      </c>
      <c r="C9907" s="27" t="s">
        <v>56</v>
      </c>
      <c r="D9907" s="27" t="s">
        <v>6</v>
      </c>
      <c r="E9907" s="27" t="s">
        <v>10</v>
      </c>
      <c r="F9907" s="29"/>
      <c r="G9907" s="30">
        <f t="shared" si="183"/>
        <v>2624.3920825396808</v>
      </c>
    </row>
    <row r="9908" spans="1:7" hidden="1" x14ac:dyDescent="0.25">
      <c r="A9908" s="28">
        <v>44378</v>
      </c>
      <c r="B9908" s="27" t="s">
        <v>200</v>
      </c>
      <c r="C9908" s="27" t="s">
        <v>56</v>
      </c>
      <c r="D9908" s="27" t="s">
        <v>6</v>
      </c>
      <c r="E9908" s="27" t="s">
        <v>11</v>
      </c>
      <c r="F9908" s="29"/>
      <c r="G9908" s="30">
        <f t="shared" si="183"/>
        <v>2624.3920825396808</v>
      </c>
    </row>
    <row r="9909" spans="1:7" hidden="1" x14ac:dyDescent="0.25">
      <c r="A9909" s="28">
        <v>44378</v>
      </c>
      <c r="B9909" s="27" t="s">
        <v>200</v>
      </c>
      <c r="C9909" s="27" t="s">
        <v>56</v>
      </c>
      <c r="D9909" s="27" t="s">
        <v>6</v>
      </c>
      <c r="E9909" s="27" t="s">
        <v>12</v>
      </c>
      <c r="F9909" s="29"/>
      <c r="G9909" s="30">
        <f t="shared" si="183"/>
        <v>2624.3920825396808</v>
      </c>
    </row>
    <row r="9910" spans="1:7" hidden="1" x14ac:dyDescent="0.25">
      <c r="A9910" s="28">
        <v>44378</v>
      </c>
      <c r="B9910" s="27" t="s">
        <v>200</v>
      </c>
      <c r="C9910" s="27" t="s">
        <v>56</v>
      </c>
      <c r="D9910" s="27" t="s">
        <v>6</v>
      </c>
      <c r="E9910" s="27" t="s">
        <v>13</v>
      </c>
      <c r="F9910" s="29"/>
      <c r="G9910" s="30">
        <f t="shared" si="183"/>
        <v>2624.3920825396808</v>
      </c>
    </row>
    <row r="9911" spans="1:7" hidden="1" x14ac:dyDescent="0.25">
      <c r="A9911" s="28">
        <v>44378</v>
      </c>
      <c r="B9911" s="27" t="s">
        <v>200</v>
      </c>
      <c r="C9911" s="27" t="s">
        <v>56</v>
      </c>
      <c r="D9911" s="27" t="s">
        <v>6</v>
      </c>
      <c r="E9911" s="27" t="s">
        <v>14</v>
      </c>
      <c r="F9911" s="29"/>
      <c r="G9911" s="30">
        <f t="shared" si="183"/>
        <v>2624.3920825396808</v>
      </c>
    </row>
    <row r="9912" spans="1:7" hidden="1" x14ac:dyDescent="0.25">
      <c r="A9912" s="28">
        <v>44378</v>
      </c>
      <c r="B9912" s="27" t="s">
        <v>200</v>
      </c>
      <c r="C9912" s="27" t="s">
        <v>56</v>
      </c>
      <c r="D9912" s="27" t="s">
        <v>6</v>
      </c>
      <c r="E9912" s="27" t="s">
        <v>15</v>
      </c>
      <c r="F9912" s="29"/>
      <c r="G9912" s="30">
        <f t="shared" si="183"/>
        <v>2624.3920825396808</v>
      </c>
    </row>
    <row r="9913" spans="1:7" hidden="1" x14ac:dyDescent="0.25">
      <c r="A9913" s="28">
        <v>44378</v>
      </c>
      <c r="B9913" s="27" t="s">
        <v>200</v>
      </c>
      <c r="C9913" s="27" t="s">
        <v>56</v>
      </c>
      <c r="D9913" s="27" t="s">
        <v>6</v>
      </c>
      <c r="E9913" s="27" t="s">
        <v>16</v>
      </c>
      <c r="F9913" s="29"/>
      <c r="G9913" s="30">
        <f t="shared" si="183"/>
        <v>2624.3920825396808</v>
      </c>
    </row>
    <row r="9914" spans="1:7" hidden="1" x14ac:dyDescent="0.25">
      <c r="A9914" s="28">
        <v>44378</v>
      </c>
      <c r="B9914" s="27" t="s">
        <v>200</v>
      </c>
      <c r="C9914" s="27" t="s">
        <v>56</v>
      </c>
      <c r="D9914" s="27" t="s">
        <v>6</v>
      </c>
      <c r="E9914" s="27" t="s">
        <v>17</v>
      </c>
      <c r="F9914" s="29"/>
      <c r="G9914" s="30">
        <f t="shared" si="183"/>
        <v>2624.3920825396808</v>
      </c>
    </row>
    <row r="9915" spans="1:7" hidden="1" x14ac:dyDescent="0.25">
      <c r="A9915" s="28">
        <v>44378</v>
      </c>
      <c r="B9915" s="27" t="s">
        <v>200</v>
      </c>
      <c r="C9915" s="27" t="s">
        <v>56</v>
      </c>
      <c r="D9915" s="27" t="s">
        <v>6</v>
      </c>
      <c r="E9915" s="27" t="s">
        <v>18</v>
      </c>
      <c r="F9915" s="29"/>
      <c r="G9915" s="30">
        <f t="shared" si="183"/>
        <v>2624.3920825396808</v>
      </c>
    </row>
    <row r="9916" spans="1:7" hidden="1" x14ac:dyDescent="0.25">
      <c r="A9916" s="28">
        <v>44378</v>
      </c>
      <c r="B9916" s="27" t="s">
        <v>200</v>
      </c>
      <c r="C9916" s="27" t="s">
        <v>56</v>
      </c>
      <c r="D9916" s="27" t="s">
        <v>6</v>
      </c>
      <c r="E9916" s="27" t="s">
        <v>19</v>
      </c>
      <c r="F9916" s="29"/>
      <c r="G9916" s="30">
        <f t="shared" si="183"/>
        <v>2624.3920825396808</v>
      </c>
    </row>
    <row r="9917" spans="1:7" hidden="1" x14ac:dyDescent="0.25">
      <c r="A9917" s="28">
        <v>44378</v>
      </c>
      <c r="B9917" s="27" t="s">
        <v>200</v>
      </c>
      <c r="C9917" s="27" t="s">
        <v>56</v>
      </c>
      <c r="D9917" s="27" t="s">
        <v>6</v>
      </c>
      <c r="E9917" s="27" t="s">
        <v>20</v>
      </c>
      <c r="F9917" s="29"/>
      <c r="G9917" s="30">
        <f t="shared" si="183"/>
        <v>2624.3920825396808</v>
      </c>
    </row>
    <row r="9918" spans="1:7" hidden="1" x14ac:dyDescent="0.25">
      <c r="A9918" s="28">
        <v>44378</v>
      </c>
      <c r="B9918" s="27" t="s">
        <v>200</v>
      </c>
      <c r="C9918" s="27" t="s">
        <v>56</v>
      </c>
      <c r="D9918" s="27" t="s">
        <v>6</v>
      </c>
      <c r="E9918" s="27" t="s">
        <v>38</v>
      </c>
      <c r="F9918" s="29"/>
      <c r="G9918" s="30">
        <f t="shared" si="183"/>
        <v>2624.3920825396808</v>
      </c>
    </row>
    <row r="9919" spans="1:7" hidden="1" x14ac:dyDescent="0.25">
      <c r="A9919" s="28">
        <v>44378</v>
      </c>
      <c r="B9919" s="27" t="s">
        <v>200</v>
      </c>
      <c r="C9919" s="27" t="s">
        <v>56</v>
      </c>
      <c r="D9919" s="27" t="s">
        <v>6</v>
      </c>
      <c r="E9919" s="27" t="s">
        <v>23</v>
      </c>
      <c r="F9919" s="29"/>
      <c r="G9919" s="30">
        <f t="shared" si="183"/>
        <v>2624.3920825396808</v>
      </c>
    </row>
    <row r="9920" spans="1:7" hidden="1" x14ac:dyDescent="0.25">
      <c r="A9920" s="28">
        <v>44378</v>
      </c>
      <c r="B9920" s="27" t="s">
        <v>200</v>
      </c>
      <c r="C9920" s="27" t="s">
        <v>56</v>
      </c>
      <c r="D9920" s="27" t="s">
        <v>6</v>
      </c>
      <c r="E9920" s="27" t="s">
        <v>40</v>
      </c>
      <c r="F9920" s="29"/>
      <c r="G9920" s="30">
        <f t="shared" si="183"/>
        <v>2624.3920825396808</v>
      </c>
    </row>
    <row r="9921" spans="1:7" hidden="1" x14ac:dyDescent="0.25">
      <c r="A9921" s="28">
        <v>44378</v>
      </c>
      <c r="B9921" s="27" t="s">
        <v>200</v>
      </c>
      <c r="C9921" s="27" t="s">
        <v>182</v>
      </c>
      <c r="D9921" s="27" t="s">
        <v>7</v>
      </c>
      <c r="E9921" s="27" t="s">
        <v>8</v>
      </c>
      <c r="F9921" s="29"/>
      <c r="G9921" s="30">
        <f t="shared" ref="G9921:G9941" si="184">3253.62/21</f>
        <v>154.93428571428572</v>
      </c>
    </row>
    <row r="9922" spans="1:7" hidden="1" x14ac:dyDescent="0.25">
      <c r="A9922" s="28">
        <v>44378</v>
      </c>
      <c r="B9922" s="27" t="s">
        <v>200</v>
      </c>
      <c r="C9922" s="27" t="s">
        <v>182</v>
      </c>
      <c r="D9922" s="27" t="s">
        <v>7</v>
      </c>
      <c r="E9922" s="27" t="s">
        <v>9</v>
      </c>
      <c r="F9922" s="29"/>
      <c r="G9922" s="30">
        <f t="shared" si="184"/>
        <v>154.93428571428572</v>
      </c>
    </row>
    <row r="9923" spans="1:7" hidden="1" x14ac:dyDescent="0.25">
      <c r="A9923" s="28">
        <v>44378</v>
      </c>
      <c r="B9923" s="27" t="s">
        <v>200</v>
      </c>
      <c r="C9923" s="27" t="s">
        <v>182</v>
      </c>
      <c r="D9923" s="27" t="s">
        <v>7</v>
      </c>
      <c r="E9923" s="27" t="s">
        <v>22</v>
      </c>
      <c r="F9923" s="29"/>
      <c r="G9923" s="30">
        <f t="shared" si="184"/>
        <v>154.93428571428572</v>
      </c>
    </row>
    <row r="9924" spans="1:7" hidden="1" x14ac:dyDescent="0.25">
      <c r="A9924" s="28">
        <v>44378</v>
      </c>
      <c r="B9924" s="27" t="s">
        <v>200</v>
      </c>
      <c r="C9924" s="27" t="s">
        <v>182</v>
      </c>
      <c r="D9924" s="27" t="s">
        <v>7</v>
      </c>
      <c r="E9924" s="27" t="s">
        <v>39</v>
      </c>
      <c r="F9924" s="29"/>
      <c r="G9924" s="30">
        <f t="shared" si="184"/>
        <v>154.93428571428572</v>
      </c>
    </row>
    <row r="9925" spans="1:7" hidden="1" x14ac:dyDescent="0.25">
      <c r="A9925" s="28">
        <v>44378</v>
      </c>
      <c r="B9925" s="27" t="s">
        <v>200</v>
      </c>
      <c r="C9925" s="27" t="s">
        <v>182</v>
      </c>
      <c r="D9925" s="27" t="s">
        <v>7</v>
      </c>
      <c r="E9925" s="27" t="s">
        <v>64</v>
      </c>
      <c r="F9925" s="29"/>
      <c r="G9925" s="30">
        <f t="shared" si="184"/>
        <v>154.93428571428572</v>
      </c>
    </row>
    <row r="9926" spans="1:7" hidden="1" x14ac:dyDescent="0.25">
      <c r="A9926" s="28">
        <v>44378</v>
      </c>
      <c r="B9926" s="27" t="s">
        <v>200</v>
      </c>
      <c r="C9926" s="27" t="s">
        <v>182</v>
      </c>
      <c r="D9926" s="27" t="s">
        <v>7</v>
      </c>
      <c r="E9926" s="27" t="s">
        <v>21</v>
      </c>
      <c r="F9926" s="29"/>
      <c r="G9926" s="30">
        <f t="shared" si="184"/>
        <v>154.93428571428572</v>
      </c>
    </row>
    <row r="9927" spans="1:7" hidden="1" x14ac:dyDescent="0.25">
      <c r="A9927" s="28">
        <v>44378</v>
      </c>
      <c r="B9927" s="27" t="s">
        <v>200</v>
      </c>
      <c r="C9927" s="27" t="s">
        <v>182</v>
      </c>
      <c r="D9927" s="27" t="s">
        <v>7</v>
      </c>
      <c r="E9927" s="27" t="s">
        <v>41</v>
      </c>
      <c r="F9927" s="29"/>
      <c r="G9927" s="30">
        <f t="shared" si="184"/>
        <v>154.93428571428572</v>
      </c>
    </row>
    <row r="9928" spans="1:7" hidden="1" x14ac:dyDescent="0.25">
      <c r="A9928" s="28">
        <v>44378</v>
      </c>
      <c r="B9928" s="27" t="s">
        <v>200</v>
      </c>
      <c r="C9928" s="27" t="s">
        <v>182</v>
      </c>
      <c r="D9928" s="27" t="s">
        <v>7</v>
      </c>
      <c r="E9928" s="27" t="s">
        <v>10</v>
      </c>
      <c r="F9928" s="29"/>
      <c r="G9928" s="30">
        <f t="shared" si="184"/>
        <v>154.93428571428572</v>
      </c>
    </row>
    <row r="9929" spans="1:7" hidden="1" x14ac:dyDescent="0.25">
      <c r="A9929" s="28">
        <v>44378</v>
      </c>
      <c r="B9929" s="27" t="s">
        <v>200</v>
      </c>
      <c r="C9929" s="27" t="s">
        <v>182</v>
      </c>
      <c r="D9929" s="27" t="s">
        <v>7</v>
      </c>
      <c r="E9929" s="27" t="s">
        <v>11</v>
      </c>
      <c r="F9929" s="29"/>
      <c r="G9929" s="30">
        <f t="shared" si="184"/>
        <v>154.93428571428572</v>
      </c>
    </row>
    <row r="9930" spans="1:7" hidden="1" x14ac:dyDescent="0.25">
      <c r="A9930" s="28">
        <v>44378</v>
      </c>
      <c r="B9930" s="27" t="s">
        <v>200</v>
      </c>
      <c r="C9930" s="27" t="s">
        <v>182</v>
      </c>
      <c r="D9930" s="27" t="s">
        <v>7</v>
      </c>
      <c r="E9930" s="27" t="s">
        <v>12</v>
      </c>
      <c r="F9930" s="29"/>
      <c r="G9930" s="30">
        <f t="shared" si="184"/>
        <v>154.93428571428572</v>
      </c>
    </row>
    <row r="9931" spans="1:7" hidden="1" x14ac:dyDescent="0.25">
      <c r="A9931" s="28">
        <v>44378</v>
      </c>
      <c r="B9931" s="27" t="s">
        <v>200</v>
      </c>
      <c r="C9931" s="27" t="s">
        <v>182</v>
      </c>
      <c r="D9931" s="27" t="s">
        <v>7</v>
      </c>
      <c r="E9931" s="27" t="s">
        <v>13</v>
      </c>
      <c r="F9931" s="29"/>
      <c r="G9931" s="30">
        <f t="shared" si="184"/>
        <v>154.93428571428572</v>
      </c>
    </row>
    <row r="9932" spans="1:7" hidden="1" x14ac:dyDescent="0.25">
      <c r="A9932" s="28">
        <v>44378</v>
      </c>
      <c r="B9932" s="27" t="s">
        <v>200</v>
      </c>
      <c r="C9932" s="27" t="s">
        <v>182</v>
      </c>
      <c r="D9932" s="27" t="s">
        <v>7</v>
      </c>
      <c r="E9932" s="27" t="s">
        <v>14</v>
      </c>
      <c r="F9932" s="29"/>
      <c r="G9932" s="30">
        <f t="shared" si="184"/>
        <v>154.93428571428572</v>
      </c>
    </row>
    <row r="9933" spans="1:7" hidden="1" x14ac:dyDescent="0.25">
      <c r="A9933" s="28">
        <v>44378</v>
      </c>
      <c r="B9933" s="27" t="s">
        <v>200</v>
      </c>
      <c r="C9933" s="27" t="s">
        <v>182</v>
      </c>
      <c r="D9933" s="27" t="s">
        <v>7</v>
      </c>
      <c r="E9933" s="27" t="s">
        <v>15</v>
      </c>
      <c r="F9933" s="29"/>
      <c r="G9933" s="30">
        <f t="shared" si="184"/>
        <v>154.93428571428572</v>
      </c>
    </row>
    <row r="9934" spans="1:7" hidden="1" x14ac:dyDescent="0.25">
      <c r="A9934" s="28">
        <v>44378</v>
      </c>
      <c r="B9934" s="27" t="s">
        <v>200</v>
      </c>
      <c r="C9934" s="27" t="s">
        <v>182</v>
      </c>
      <c r="D9934" s="27" t="s">
        <v>7</v>
      </c>
      <c r="E9934" s="27" t="s">
        <v>16</v>
      </c>
      <c r="F9934" s="29"/>
      <c r="G9934" s="30">
        <f t="shared" si="184"/>
        <v>154.93428571428572</v>
      </c>
    </row>
    <row r="9935" spans="1:7" hidden="1" x14ac:dyDescent="0.25">
      <c r="A9935" s="28">
        <v>44378</v>
      </c>
      <c r="B9935" s="27" t="s">
        <v>200</v>
      </c>
      <c r="C9935" s="27" t="s">
        <v>182</v>
      </c>
      <c r="D9935" s="27" t="s">
        <v>7</v>
      </c>
      <c r="E9935" s="27" t="s">
        <v>17</v>
      </c>
      <c r="F9935" s="29"/>
      <c r="G9935" s="30">
        <f t="shared" si="184"/>
        <v>154.93428571428572</v>
      </c>
    </row>
    <row r="9936" spans="1:7" hidden="1" x14ac:dyDescent="0.25">
      <c r="A9936" s="28">
        <v>44378</v>
      </c>
      <c r="B9936" s="27" t="s">
        <v>200</v>
      </c>
      <c r="C9936" s="27" t="s">
        <v>182</v>
      </c>
      <c r="D9936" s="27" t="s">
        <v>7</v>
      </c>
      <c r="E9936" s="27" t="s">
        <v>18</v>
      </c>
      <c r="F9936" s="29"/>
      <c r="G9936" s="30">
        <f t="shared" si="184"/>
        <v>154.93428571428572</v>
      </c>
    </row>
    <row r="9937" spans="1:7" hidden="1" x14ac:dyDescent="0.25">
      <c r="A9937" s="28">
        <v>44378</v>
      </c>
      <c r="B9937" s="27" t="s">
        <v>200</v>
      </c>
      <c r="C9937" s="27" t="s">
        <v>182</v>
      </c>
      <c r="D9937" s="27" t="s">
        <v>7</v>
      </c>
      <c r="E9937" s="27" t="s">
        <v>19</v>
      </c>
      <c r="F9937" s="29"/>
      <c r="G9937" s="30">
        <f t="shared" si="184"/>
        <v>154.93428571428572</v>
      </c>
    </row>
    <row r="9938" spans="1:7" hidden="1" x14ac:dyDescent="0.25">
      <c r="A9938" s="28">
        <v>44378</v>
      </c>
      <c r="B9938" s="27" t="s">
        <v>200</v>
      </c>
      <c r="C9938" s="27" t="s">
        <v>182</v>
      </c>
      <c r="D9938" s="27" t="s">
        <v>7</v>
      </c>
      <c r="E9938" s="27" t="s">
        <v>20</v>
      </c>
      <c r="F9938" s="29"/>
      <c r="G9938" s="30">
        <f t="shared" si="184"/>
        <v>154.93428571428572</v>
      </c>
    </row>
    <row r="9939" spans="1:7" hidden="1" x14ac:dyDescent="0.25">
      <c r="A9939" s="28">
        <v>44378</v>
      </c>
      <c r="B9939" s="27" t="s">
        <v>200</v>
      </c>
      <c r="C9939" s="27" t="s">
        <v>182</v>
      </c>
      <c r="D9939" s="27" t="s">
        <v>7</v>
      </c>
      <c r="E9939" s="27" t="s">
        <v>38</v>
      </c>
      <c r="F9939" s="29"/>
      <c r="G9939" s="30">
        <f t="shared" si="184"/>
        <v>154.93428571428572</v>
      </c>
    </row>
    <row r="9940" spans="1:7" hidden="1" x14ac:dyDescent="0.25">
      <c r="A9940" s="28">
        <v>44378</v>
      </c>
      <c r="B9940" s="27" t="s">
        <v>200</v>
      </c>
      <c r="C9940" s="27" t="s">
        <v>182</v>
      </c>
      <c r="D9940" s="27" t="s">
        <v>7</v>
      </c>
      <c r="E9940" s="27" t="s">
        <v>23</v>
      </c>
      <c r="F9940" s="29"/>
      <c r="G9940" s="30">
        <f t="shared" si="184"/>
        <v>154.93428571428572</v>
      </c>
    </row>
    <row r="9941" spans="1:7" hidden="1" x14ac:dyDescent="0.25">
      <c r="A9941" s="28">
        <v>44378</v>
      </c>
      <c r="B9941" s="27" t="s">
        <v>200</v>
      </c>
      <c r="C9941" s="27" t="s">
        <v>182</v>
      </c>
      <c r="D9941" s="27" t="s">
        <v>7</v>
      </c>
      <c r="E9941" s="27" t="s">
        <v>40</v>
      </c>
      <c r="F9941" s="29"/>
      <c r="G9941" s="30">
        <f t="shared" si="184"/>
        <v>154.93428571428572</v>
      </c>
    </row>
    <row r="9942" spans="1:7" hidden="1" x14ac:dyDescent="0.25">
      <c r="A9942" s="28">
        <v>44378</v>
      </c>
      <c r="B9942" s="27" t="s">
        <v>35</v>
      </c>
      <c r="C9942" s="27" t="s">
        <v>50</v>
      </c>
      <c r="D9942" s="27" t="s">
        <v>7</v>
      </c>
      <c r="E9942" s="27" t="s">
        <v>8</v>
      </c>
      <c r="F9942" s="29"/>
      <c r="G9942" s="30">
        <v>729.13090909090909</v>
      </c>
    </row>
    <row r="9943" spans="1:7" hidden="1" x14ac:dyDescent="0.25">
      <c r="A9943" s="28">
        <v>44378</v>
      </c>
      <c r="B9943" s="27" t="s">
        <v>35</v>
      </c>
      <c r="C9943" s="27" t="s">
        <v>50</v>
      </c>
      <c r="D9943" s="27" t="s">
        <v>7</v>
      </c>
      <c r="E9943" s="27" t="s">
        <v>9</v>
      </c>
      <c r="F9943" s="29"/>
      <c r="G9943" s="30">
        <v>729.13090909090909</v>
      </c>
    </row>
    <row r="9944" spans="1:7" hidden="1" x14ac:dyDescent="0.25">
      <c r="A9944" s="28">
        <v>44378</v>
      </c>
      <c r="B9944" s="27" t="s">
        <v>35</v>
      </c>
      <c r="C9944" s="27" t="s">
        <v>50</v>
      </c>
      <c r="D9944" s="27" t="s">
        <v>7</v>
      </c>
      <c r="E9944" s="27" t="s">
        <v>22</v>
      </c>
      <c r="F9944" s="29"/>
      <c r="G9944" s="30">
        <v>729.13090909090909</v>
      </c>
    </row>
    <row r="9945" spans="1:7" hidden="1" x14ac:dyDescent="0.25">
      <c r="A9945" s="28">
        <v>44378</v>
      </c>
      <c r="B9945" s="27" t="s">
        <v>35</v>
      </c>
      <c r="C9945" s="27" t="s">
        <v>50</v>
      </c>
      <c r="D9945" s="27" t="s">
        <v>7</v>
      </c>
      <c r="E9945" s="27" t="s">
        <v>39</v>
      </c>
      <c r="F9945" s="29"/>
      <c r="G9945" s="30">
        <v>729.13090909090909</v>
      </c>
    </row>
    <row r="9946" spans="1:7" hidden="1" x14ac:dyDescent="0.25">
      <c r="A9946" s="28">
        <v>44378</v>
      </c>
      <c r="B9946" s="27" t="s">
        <v>35</v>
      </c>
      <c r="C9946" s="27" t="s">
        <v>50</v>
      </c>
      <c r="D9946" s="27" t="s">
        <v>7</v>
      </c>
      <c r="E9946" s="27" t="s">
        <v>64</v>
      </c>
      <c r="F9946" s="29"/>
      <c r="G9946" s="30">
        <v>729.13090909090909</v>
      </c>
    </row>
    <row r="9947" spans="1:7" hidden="1" x14ac:dyDescent="0.25">
      <c r="A9947" s="28">
        <v>44378</v>
      </c>
      <c r="B9947" s="27" t="s">
        <v>35</v>
      </c>
      <c r="C9947" s="27" t="s">
        <v>50</v>
      </c>
      <c r="D9947" s="27" t="s">
        <v>7</v>
      </c>
      <c r="E9947" s="27" t="s">
        <v>21</v>
      </c>
      <c r="F9947" s="29"/>
      <c r="G9947" s="30">
        <v>729.13090909090909</v>
      </c>
    </row>
    <row r="9948" spans="1:7" hidden="1" x14ac:dyDescent="0.25">
      <c r="A9948" s="28">
        <v>44378</v>
      </c>
      <c r="B9948" s="27" t="s">
        <v>35</v>
      </c>
      <c r="C9948" s="27" t="s">
        <v>50</v>
      </c>
      <c r="D9948" s="27" t="s">
        <v>7</v>
      </c>
      <c r="E9948" s="27" t="s">
        <v>41</v>
      </c>
      <c r="F9948" s="29"/>
      <c r="G9948" s="30">
        <v>729.13090909090909</v>
      </c>
    </row>
    <row r="9949" spans="1:7" hidden="1" x14ac:dyDescent="0.25">
      <c r="A9949" s="28">
        <v>44378</v>
      </c>
      <c r="B9949" s="27" t="s">
        <v>35</v>
      </c>
      <c r="C9949" s="27" t="s">
        <v>50</v>
      </c>
      <c r="D9949" s="27" t="s">
        <v>7</v>
      </c>
      <c r="E9949" s="27" t="s">
        <v>10</v>
      </c>
      <c r="F9949" s="29"/>
      <c r="G9949" s="30">
        <v>729.13090909090909</v>
      </c>
    </row>
    <row r="9950" spans="1:7" hidden="1" x14ac:dyDescent="0.25">
      <c r="A9950" s="28">
        <v>44378</v>
      </c>
      <c r="B9950" s="27" t="s">
        <v>35</v>
      </c>
      <c r="C9950" s="27" t="s">
        <v>50</v>
      </c>
      <c r="D9950" s="27" t="s">
        <v>7</v>
      </c>
      <c r="E9950" s="27" t="s">
        <v>11</v>
      </c>
      <c r="F9950" s="29"/>
      <c r="G9950" s="30">
        <v>729.13090909090909</v>
      </c>
    </row>
    <row r="9951" spans="1:7" hidden="1" x14ac:dyDescent="0.25">
      <c r="A9951" s="28">
        <v>44378</v>
      </c>
      <c r="B9951" s="27" t="s">
        <v>35</v>
      </c>
      <c r="C9951" s="27" t="s">
        <v>50</v>
      </c>
      <c r="D9951" s="27" t="s">
        <v>7</v>
      </c>
      <c r="E9951" s="27" t="s">
        <v>12</v>
      </c>
      <c r="F9951" s="29"/>
      <c r="G9951" s="30">
        <v>729.13090909090909</v>
      </c>
    </row>
    <row r="9952" spans="1:7" hidden="1" x14ac:dyDescent="0.25">
      <c r="A9952" s="28">
        <v>44378</v>
      </c>
      <c r="B9952" s="27" t="s">
        <v>35</v>
      </c>
      <c r="C9952" s="27" t="s">
        <v>50</v>
      </c>
      <c r="D9952" s="27" t="s">
        <v>7</v>
      </c>
      <c r="E9952" s="27" t="s">
        <v>13</v>
      </c>
      <c r="F9952" s="29"/>
      <c r="G9952" s="30">
        <v>729.13090909090909</v>
      </c>
    </row>
    <row r="9953" spans="1:7" hidden="1" x14ac:dyDescent="0.25">
      <c r="A9953" s="28">
        <v>44378</v>
      </c>
      <c r="B9953" s="27" t="s">
        <v>35</v>
      </c>
      <c r="C9953" s="27" t="s">
        <v>50</v>
      </c>
      <c r="D9953" s="27" t="s">
        <v>7</v>
      </c>
      <c r="E9953" s="27" t="s">
        <v>14</v>
      </c>
      <c r="F9953" s="29"/>
      <c r="G9953" s="30">
        <v>729.13090909090909</v>
      </c>
    </row>
    <row r="9954" spans="1:7" hidden="1" x14ac:dyDescent="0.25">
      <c r="A9954" s="28">
        <v>44378</v>
      </c>
      <c r="B9954" s="27" t="s">
        <v>35</v>
      </c>
      <c r="C9954" s="27" t="s">
        <v>50</v>
      </c>
      <c r="D9954" s="27" t="s">
        <v>7</v>
      </c>
      <c r="E9954" s="27" t="s">
        <v>15</v>
      </c>
      <c r="F9954" s="29"/>
      <c r="G9954" s="30">
        <v>729.13090909090909</v>
      </c>
    </row>
    <row r="9955" spans="1:7" hidden="1" x14ac:dyDescent="0.25">
      <c r="A9955" s="28">
        <v>44378</v>
      </c>
      <c r="B9955" s="27" t="s">
        <v>35</v>
      </c>
      <c r="C9955" s="27" t="s">
        <v>50</v>
      </c>
      <c r="D9955" s="27" t="s">
        <v>7</v>
      </c>
      <c r="E9955" s="27" t="s">
        <v>16</v>
      </c>
      <c r="F9955" s="29"/>
      <c r="G9955" s="30">
        <v>729.13090909090909</v>
      </c>
    </row>
    <row r="9956" spans="1:7" hidden="1" x14ac:dyDescent="0.25">
      <c r="A9956" s="28">
        <v>44378</v>
      </c>
      <c r="B9956" s="27" t="s">
        <v>35</v>
      </c>
      <c r="C9956" s="27" t="s">
        <v>50</v>
      </c>
      <c r="D9956" s="27" t="s">
        <v>7</v>
      </c>
      <c r="E9956" s="27" t="s">
        <v>17</v>
      </c>
      <c r="F9956" s="29"/>
      <c r="G9956" s="30">
        <v>729.13090909090909</v>
      </c>
    </row>
    <row r="9957" spans="1:7" hidden="1" x14ac:dyDescent="0.25">
      <c r="A9957" s="28">
        <v>44378</v>
      </c>
      <c r="B9957" s="27" t="s">
        <v>35</v>
      </c>
      <c r="C9957" s="27" t="s">
        <v>50</v>
      </c>
      <c r="D9957" s="27" t="s">
        <v>7</v>
      </c>
      <c r="E9957" s="27" t="s">
        <v>18</v>
      </c>
      <c r="F9957" s="29"/>
      <c r="G9957" s="30">
        <v>729.13090909090909</v>
      </c>
    </row>
    <row r="9958" spans="1:7" hidden="1" x14ac:dyDescent="0.25">
      <c r="A9958" s="28">
        <v>44378</v>
      </c>
      <c r="B9958" s="27" t="s">
        <v>35</v>
      </c>
      <c r="C9958" s="27" t="s">
        <v>50</v>
      </c>
      <c r="D9958" s="27" t="s">
        <v>7</v>
      </c>
      <c r="E9958" s="27" t="s">
        <v>19</v>
      </c>
      <c r="F9958" s="29"/>
      <c r="G9958" s="30">
        <v>729.13090909090909</v>
      </c>
    </row>
    <row r="9959" spans="1:7" hidden="1" x14ac:dyDescent="0.25">
      <c r="A9959" s="28">
        <v>44378</v>
      </c>
      <c r="B9959" s="27" t="s">
        <v>35</v>
      </c>
      <c r="C9959" s="27" t="s">
        <v>50</v>
      </c>
      <c r="D9959" s="27" t="s">
        <v>7</v>
      </c>
      <c r="E9959" s="27" t="s">
        <v>20</v>
      </c>
      <c r="F9959" s="29"/>
      <c r="G9959" s="30">
        <v>729.13090909090909</v>
      </c>
    </row>
    <row r="9960" spans="1:7" hidden="1" x14ac:dyDescent="0.25">
      <c r="A9960" s="28">
        <v>44378</v>
      </c>
      <c r="B9960" s="27" t="s">
        <v>35</v>
      </c>
      <c r="C9960" s="27" t="s">
        <v>50</v>
      </c>
      <c r="D9960" s="27" t="s">
        <v>7</v>
      </c>
      <c r="E9960" s="27" t="s">
        <v>38</v>
      </c>
      <c r="F9960" s="29"/>
      <c r="G9960" s="30">
        <v>729.13090909090909</v>
      </c>
    </row>
    <row r="9961" spans="1:7" hidden="1" x14ac:dyDescent="0.25">
      <c r="A9961" s="28">
        <v>44378</v>
      </c>
      <c r="B9961" s="27" t="s">
        <v>35</v>
      </c>
      <c r="C9961" s="27" t="s">
        <v>50</v>
      </c>
      <c r="D9961" s="27" t="s">
        <v>7</v>
      </c>
      <c r="E9961" s="27" t="s">
        <v>23</v>
      </c>
      <c r="F9961" s="29"/>
      <c r="G9961" s="30">
        <v>729.13090909090909</v>
      </c>
    </row>
    <row r="9962" spans="1:7" hidden="1" x14ac:dyDescent="0.25">
      <c r="A9962" s="28">
        <v>44378</v>
      </c>
      <c r="B9962" s="27" t="s">
        <v>35</v>
      </c>
      <c r="C9962" s="27" t="s">
        <v>50</v>
      </c>
      <c r="D9962" s="27" t="s">
        <v>7</v>
      </c>
      <c r="E9962" s="27" t="s">
        <v>40</v>
      </c>
      <c r="F9962" s="29"/>
      <c r="G9962" s="30">
        <v>729.13090909090909</v>
      </c>
    </row>
    <row r="9963" spans="1:7" hidden="1" x14ac:dyDescent="0.25">
      <c r="A9963" s="28">
        <v>44378</v>
      </c>
      <c r="B9963" s="27" t="s">
        <v>35</v>
      </c>
      <c r="C9963" s="27" t="s">
        <v>50</v>
      </c>
      <c r="D9963" s="27" t="s">
        <v>7</v>
      </c>
      <c r="E9963" s="27" t="s">
        <v>42</v>
      </c>
      <c r="F9963" s="29"/>
      <c r="G9963" s="30">
        <v>729.13090909090909</v>
      </c>
    </row>
    <row r="9964" spans="1:7" hidden="1" x14ac:dyDescent="0.25">
      <c r="A9964" s="28">
        <v>44378</v>
      </c>
      <c r="B9964" s="27" t="s">
        <v>34</v>
      </c>
      <c r="C9964" s="27" t="s">
        <v>50</v>
      </c>
      <c r="D9964" s="27" t="s">
        <v>6</v>
      </c>
      <c r="E9964" s="27" t="s">
        <v>8</v>
      </c>
      <c r="F9964" s="29"/>
      <c r="G9964" s="30">
        <v>512.69000000000005</v>
      </c>
    </row>
    <row r="9965" spans="1:7" hidden="1" x14ac:dyDescent="0.25">
      <c r="A9965" s="28">
        <v>44378</v>
      </c>
      <c r="B9965" s="27" t="s">
        <v>34</v>
      </c>
      <c r="C9965" s="27" t="s">
        <v>50</v>
      </c>
      <c r="D9965" s="27" t="s">
        <v>6</v>
      </c>
      <c r="E9965" s="27" t="s">
        <v>9</v>
      </c>
      <c r="F9965" s="29"/>
      <c r="G9965" s="30">
        <v>583.98</v>
      </c>
    </row>
    <row r="9966" spans="1:7" hidden="1" x14ac:dyDescent="0.25">
      <c r="A9966" s="28">
        <v>44378</v>
      </c>
      <c r="B9966" s="27" t="s">
        <v>34</v>
      </c>
      <c r="C9966" s="27" t="s">
        <v>50</v>
      </c>
      <c r="D9966" s="27" t="s">
        <v>6</v>
      </c>
      <c r="E9966" s="27" t="s">
        <v>22</v>
      </c>
      <c r="F9966" s="29"/>
      <c r="G9966" s="30">
        <v>717.29</v>
      </c>
    </row>
    <row r="9967" spans="1:7" hidden="1" x14ac:dyDescent="0.25">
      <c r="A9967" s="28">
        <v>44378</v>
      </c>
      <c r="B9967" s="27" t="s">
        <v>34</v>
      </c>
      <c r="C9967" s="27" t="s">
        <v>50</v>
      </c>
      <c r="D9967" s="27" t="s">
        <v>6</v>
      </c>
      <c r="E9967" s="27" t="s">
        <v>39</v>
      </c>
      <c r="F9967" s="29"/>
      <c r="G9967" s="30">
        <v>357.63</v>
      </c>
    </row>
    <row r="9968" spans="1:7" hidden="1" x14ac:dyDescent="0.25">
      <c r="A9968" s="28">
        <v>44378</v>
      </c>
      <c r="B9968" s="27" t="s">
        <v>34</v>
      </c>
      <c r="C9968" s="27" t="s">
        <v>50</v>
      </c>
      <c r="D9968" s="27" t="s">
        <v>6</v>
      </c>
      <c r="E9968" s="27" t="s">
        <v>64</v>
      </c>
      <c r="F9968" s="29"/>
      <c r="G9968" s="30">
        <v>632.99</v>
      </c>
    </row>
    <row r="9969" spans="1:7" hidden="1" x14ac:dyDescent="0.25">
      <c r="A9969" s="28">
        <v>44378</v>
      </c>
      <c r="B9969" s="27" t="s">
        <v>34</v>
      </c>
      <c r="C9969" s="27" t="s">
        <v>50</v>
      </c>
      <c r="D9969" s="27" t="s">
        <v>6</v>
      </c>
      <c r="E9969" s="27" t="s">
        <v>21</v>
      </c>
      <c r="F9969" s="29"/>
      <c r="G9969" s="30">
        <v>525.32000000000005</v>
      </c>
    </row>
    <row r="9970" spans="1:7" hidden="1" x14ac:dyDescent="0.25">
      <c r="A9970" s="28">
        <v>44378</v>
      </c>
      <c r="B9970" s="27" t="s">
        <v>34</v>
      </c>
      <c r="C9970" s="27" t="s">
        <v>50</v>
      </c>
      <c r="D9970" s="27" t="s">
        <v>6</v>
      </c>
      <c r="E9970" s="27" t="s">
        <v>41</v>
      </c>
      <c r="F9970" s="29"/>
      <c r="G9970" s="30">
        <v>541.32000000000005</v>
      </c>
    </row>
    <row r="9971" spans="1:7" hidden="1" x14ac:dyDescent="0.25">
      <c r="A9971" s="28">
        <v>44378</v>
      </c>
      <c r="B9971" s="27" t="s">
        <v>34</v>
      </c>
      <c r="C9971" s="27" t="s">
        <v>50</v>
      </c>
      <c r="D9971" s="27" t="s">
        <v>6</v>
      </c>
      <c r="E9971" s="27" t="s">
        <v>10</v>
      </c>
      <c r="F9971" s="29"/>
      <c r="G9971" s="30">
        <v>721.06</v>
      </c>
    </row>
    <row r="9972" spans="1:7" hidden="1" x14ac:dyDescent="0.25">
      <c r="A9972" s="28">
        <v>44378</v>
      </c>
      <c r="B9972" s="27" t="s">
        <v>34</v>
      </c>
      <c r="C9972" s="27" t="s">
        <v>50</v>
      </c>
      <c r="D9972" s="27" t="s">
        <v>6</v>
      </c>
      <c r="E9972" s="27" t="s">
        <v>11</v>
      </c>
      <c r="F9972" s="29"/>
      <c r="G9972" s="30">
        <v>309.66000000000003</v>
      </c>
    </row>
    <row r="9973" spans="1:7" hidden="1" x14ac:dyDescent="0.25">
      <c r="A9973" s="28">
        <v>44378</v>
      </c>
      <c r="B9973" s="27" t="s">
        <v>34</v>
      </c>
      <c r="C9973" s="27" t="s">
        <v>50</v>
      </c>
      <c r="D9973" s="27" t="s">
        <v>6</v>
      </c>
      <c r="E9973" s="27" t="s">
        <v>12</v>
      </c>
      <c r="F9973" s="29"/>
      <c r="G9973" s="30">
        <v>366.63</v>
      </c>
    </row>
    <row r="9974" spans="1:7" hidden="1" x14ac:dyDescent="0.25">
      <c r="A9974" s="28">
        <v>44378</v>
      </c>
      <c r="B9974" s="27" t="s">
        <v>34</v>
      </c>
      <c r="C9974" s="27" t="s">
        <v>50</v>
      </c>
      <c r="D9974" s="27" t="s">
        <v>6</v>
      </c>
      <c r="E9974" s="27" t="s">
        <v>13</v>
      </c>
      <c r="F9974" s="29"/>
      <c r="G9974" s="30">
        <v>444.8</v>
      </c>
    </row>
    <row r="9975" spans="1:7" hidden="1" x14ac:dyDescent="0.25">
      <c r="A9975" s="28">
        <v>44378</v>
      </c>
      <c r="B9975" s="27" t="s">
        <v>34</v>
      </c>
      <c r="C9975" s="27" t="s">
        <v>50</v>
      </c>
      <c r="D9975" s="27" t="s">
        <v>6</v>
      </c>
      <c r="E9975" s="27" t="s">
        <v>14</v>
      </c>
      <c r="F9975" s="29"/>
      <c r="G9975" s="30">
        <v>153.91999999999999</v>
      </c>
    </row>
    <row r="9976" spans="1:7" hidden="1" x14ac:dyDescent="0.25">
      <c r="A9976" s="28">
        <v>44378</v>
      </c>
      <c r="B9976" s="27" t="s">
        <v>34</v>
      </c>
      <c r="C9976" s="27" t="s">
        <v>50</v>
      </c>
      <c r="D9976" s="27" t="s">
        <v>6</v>
      </c>
      <c r="E9976" s="27" t="s">
        <v>15</v>
      </c>
      <c r="F9976" s="29"/>
      <c r="G9976" s="30">
        <v>377.23</v>
      </c>
    </row>
    <row r="9977" spans="1:7" hidden="1" x14ac:dyDescent="0.25">
      <c r="A9977" s="28">
        <v>44378</v>
      </c>
      <c r="B9977" s="27" t="s">
        <v>34</v>
      </c>
      <c r="C9977" s="27" t="s">
        <v>50</v>
      </c>
      <c r="D9977" s="27" t="s">
        <v>6</v>
      </c>
      <c r="E9977" s="27" t="s">
        <v>16</v>
      </c>
      <c r="F9977" s="29"/>
      <c r="G9977" s="30">
        <v>455.42</v>
      </c>
    </row>
    <row r="9978" spans="1:7" hidden="1" x14ac:dyDescent="0.25">
      <c r="A9978" s="28">
        <v>44378</v>
      </c>
      <c r="B9978" s="27" t="s">
        <v>34</v>
      </c>
      <c r="C9978" s="27" t="s">
        <v>50</v>
      </c>
      <c r="D9978" s="27" t="s">
        <v>6</v>
      </c>
      <c r="E9978" s="27" t="s">
        <v>17</v>
      </c>
      <c r="F9978" s="29"/>
      <c r="G9978" s="30">
        <v>825.43</v>
      </c>
    </row>
    <row r="9979" spans="1:7" hidden="1" x14ac:dyDescent="0.25">
      <c r="A9979" s="28">
        <v>44378</v>
      </c>
      <c r="B9979" s="27" t="s">
        <v>34</v>
      </c>
      <c r="C9979" s="27" t="s">
        <v>50</v>
      </c>
      <c r="D9979" s="27" t="s">
        <v>6</v>
      </c>
      <c r="E9979" s="27" t="s">
        <v>18</v>
      </c>
      <c r="F9979" s="29"/>
      <c r="G9979" s="30">
        <v>361.39</v>
      </c>
    </row>
    <row r="9980" spans="1:7" hidden="1" x14ac:dyDescent="0.25">
      <c r="A9980" s="28">
        <v>44378</v>
      </c>
      <c r="B9980" s="27" t="s">
        <v>34</v>
      </c>
      <c r="C9980" s="27" t="s">
        <v>50</v>
      </c>
      <c r="D9980" s="27" t="s">
        <v>6</v>
      </c>
      <c r="E9980" s="27" t="s">
        <v>19</v>
      </c>
      <c r="F9980" s="29"/>
      <c r="G9980" s="30">
        <v>492.72</v>
      </c>
    </row>
    <row r="9981" spans="1:7" hidden="1" x14ac:dyDescent="0.25">
      <c r="A9981" s="28">
        <v>44378</v>
      </c>
      <c r="B9981" s="27" t="s">
        <v>34</v>
      </c>
      <c r="C9981" s="27" t="s">
        <v>50</v>
      </c>
      <c r="D9981" s="27" t="s">
        <v>6</v>
      </c>
      <c r="E9981" s="27" t="s">
        <v>20</v>
      </c>
      <c r="F9981" s="29"/>
      <c r="G9981" s="30">
        <v>371.7</v>
      </c>
    </row>
    <row r="9982" spans="1:7" hidden="1" x14ac:dyDescent="0.25">
      <c r="A9982" s="28">
        <v>44378</v>
      </c>
      <c r="B9982" s="27" t="s">
        <v>34</v>
      </c>
      <c r="C9982" s="27" t="s">
        <v>50</v>
      </c>
      <c r="D9982" s="27" t="s">
        <v>6</v>
      </c>
      <c r="E9982" s="27" t="s">
        <v>38</v>
      </c>
      <c r="F9982" s="29"/>
      <c r="G9982" s="30">
        <v>182.93</v>
      </c>
    </row>
    <row r="9983" spans="1:7" hidden="1" x14ac:dyDescent="0.25">
      <c r="A9983" s="28">
        <v>44378</v>
      </c>
      <c r="B9983" s="27" t="s">
        <v>34</v>
      </c>
      <c r="C9983" s="27" t="s">
        <v>50</v>
      </c>
      <c r="D9983" s="27" t="s">
        <v>6</v>
      </c>
      <c r="E9983" s="27" t="s">
        <v>23</v>
      </c>
      <c r="F9983" s="29"/>
      <c r="G9983" s="30">
        <v>571.6</v>
      </c>
    </row>
    <row r="9984" spans="1:7" hidden="1" x14ac:dyDescent="0.25">
      <c r="A9984" s="28">
        <v>44378</v>
      </c>
      <c r="B9984" s="27" t="s">
        <v>34</v>
      </c>
      <c r="C9984" s="27" t="s">
        <v>50</v>
      </c>
      <c r="D9984" s="27" t="s">
        <v>6</v>
      </c>
      <c r="E9984" s="27" t="s">
        <v>40</v>
      </c>
      <c r="F9984" s="29"/>
      <c r="G9984" s="30">
        <v>169.73</v>
      </c>
    </row>
    <row r="9985" spans="1:7" hidden="1" x14ac:dyDescent="0.25">
      <c r="A9985" s="28">
        <v>44409</v>
      </c>
      <c r="B9985" s="27" t="s">
        <v>33</v>
      </c>
      <c r="C9985" s="27" t="s">
        <v>50</v>
      </c>
      <c r="D9985" s="27" t="s">
        <v>7</v>
      </c>
      <c r="E9985" s="27" t="s">
        <v>8</v>
      </c>
      <c r="F9985" s="29"/>
      <c r="G9985" s="30">
        <v>1541.0754166666666</v>
      </c>
    </row>
    <row r="9986" spans="1:7" hidden="1" x14ac:dyDescent="0.25">
      <c r="A9986" s="28">
        <v>44409</v>
      </c>
      <c r="B9986" s="27" t="s">
        <v>33</v>
      </c>
      <c r="C9986" s="27" t="s">
        <v>50</v>
      </c>
      <c r="D9986" s="27" t="s">
        <v>7</v>
      </c>
      <c r="E9986" s="27" t="s">
        <v>9</v>
      </c>
      <c r="F9986" s="29"/>
      <c r="G9986" s="30">
        <v>1541.0754166666666</v>
      </c>
    </row>
    <row r="9987" spans="1:7" hidden="1" x14ac:dyDescent="0.25">
      <c r="A9987" s="28">
        <v>44409</v>
      </c>
      <c r="B9987" s="27" t="s">
        <v>33</v>
      </c>
      <c r="C9987" s="27" t="s">
        <v>50</v>
      </c>
      <c r="D9987" s="27" t="s">
        <v>7</v>
      </c>
      <c r="E9987" s="27" t="s">
        <v>22</v>
      </c>
      <c r="F9987" s="29"/>
      <c r="G9987" s="30">
        <v>1541.0754166666666</v>
      </c>
    </row>
    <row r="9988" spans="1:7" hidden="1" x14ac:dyDescent="0.25">
      <c r="A9988" s="28">
        <v>44409</v>
      </c>
      <c r="B9988" s="27" t="s">
        <v>33</v>
      </c>
      <c r="C9988" s="27" t="s">
        <v>50</v>
      </c>
      <c r="D9988" s="27" t="s">
        <v>7</v>
      </c>
      <c r="E9988" s="27" t="s">
        <v>39</v>
      </c>
      <c r="F9988" s="29"/>
      <c r="G9988" s="30">
        <v>1541.0754166666666</v>
      </c>
    </row>
    <row r="9989" spans="1:7" hidden="1" x14ac:dyDescent="0.25">
      <c r="A9989" s="28">
        <v>44409</v>
      </c>
      <c r="B9989" s="27" t="s">
        <v>33</v>
      </c>
      <c r="C9989" s="27" t="s">
        <v>50</v>
      </c>
      <c r="D9989" s="27" t="s">
        <v>7</v>
      </c>
      <c r="E9989" s="27" t="s">
        <v>64</v>
      </c>
      <c r="F9989" s="29"/>
      <c r="G9989" s="30">
        <v>1541.0754166666666</v>
      </c>
    </row>
    <row r="9990" spans="1:7" hidden="1" x14ac:dyDescent="0.25">
      <c r="A9990" s="28">
        <v>44409</v>
      </c>
      <c r="B9990" s="27" t="s">
        <v>33</v>
      </c>
      <c r="C9990" s="27" t="s">
        <v>50</v>
      </c>
      <c r="D9990" s="27" t="s">
        <v>7</v>
      </c>
      <c r="E9990" s="27" t="s">
        <v>21</v>
      </c>
      <c r="F9990" s="29"/>
      <c r="G9990" s="30">
        <v>1541.0754166666666</v>
      </c>
    </row>
    <row r="9991" spans="1:7" hidden="1" x14ac:dyDescent="0.25">
      <c r="A9991" s="28">
        <v>44409</v>
      </c>
      <c r="B9991" s="27" t="s">
        <v>33</v>
      </c>
      <c r="C9991" s="27" t="s">
        <v>50</v>
      </c>
      <c r="D9991" s="27" t="s">
        <v>7</v>
      </c>
      <c r="E9991" s="27" t="s">
        <v>41</v>
      </c>
      <c r="F9991" s="29"/>
      <c r="G9991" s="30">
        <v>1541.0754166666666</v>
      </c>
    </row>
    <row r="9992" spans="1:7" hidden="1" x14ac:dyDescent="0.25">
      <c r="A9992" s="28">
        <v>44409</v>
      </c>
      <c r="B9992" s="27" t="s">
        <v>33</v>
      </c>
      <c r="C9992" s="27" t="s">
        <v>50</v>
      </c>
      <c r="D9992" s="27" t="s">
        <v>7</v>
      </c>
      <c r="E9992" s="27" t="s">
        <v>10</v>
      </c>
      <c r="F9992" s="29"/>
      <c r="G9992" s="30">
        <v>1541.0754166666666</v>
      </c>
    </row>
    <row r="9993" spans="1:7" hidden="1" x14ac:dyDescent="0.25">
      <c r="A9993" s="28">
        <v>44409</v>
      </c>
      <c r="B9993" s="27" t="s">
        <v>33</v>
      </c>
      <c r="C9993" s="27" t="s">
        <v>50</v>
      </c>
      <c r="D9993" s="27" t="s">
        <v>7</v>
      </c>
      <c r="E9993" s="27" t="s">
        <v>11</v>
      </c>
      <c r="F9993" s="29"/>
      <c r="G9993" s="30">
        <v>1541.0754166666666</v>
      </c>
    </row>
    <row r="9994" spans="1:7" hidden="1" x14ac:dyDescent="0.25">
      <c r="A9994" s="28">
        <v>44409</v>
      </c>
      <c r="B9994" s="27" t="s">
        <v>33</v>
      </c>
      <c r="C9994" s="27" t="s">
        <v>50</v>
      </c>
      <c r="D9994" s="27" t="s">
        <v>7</v>
      </c>
      <c r="E9994" s="27" t="s">
        <v>12</v>
      </c>
      <c r="F9994" s="29"/>
      <c r="G9994" s="30">
        <v>1541.0754166666666</v>
      </c>
    </row>
    <row r="9995" spans="1:7" hidden="1" x14ac:dyDescent="0.25">
      <c r="A9995" s="28">
        <v>44409</v>
      </c>
      <c r="B9995" s="27" t="s">
        <v>33</v>
      </c>
      <c r="C9995" s="27" t="s">
        <v>50</v>
      </c>
      <c r="D9995" s="27" t="s">
        <v>7</v>
      </c>
      <c r="E9995" s="27" t="s">
        <v>13</v>
      </c>
      <c r="F9995" s="29"/>
      <c r="G9995" s="30">
        <v>1541.0754166666666</v>
      </c>
    </row>
    <row r="9996" spans="1:7" hidden="1" x14ac:dyDescent="0.25">
      <c r="A9996" s="28">
        <v>44409</v>
      </c>
      <c r="B9996" s="27" t="s">
        <v>33</v>
      </c>
      <c r="C9996" s="27" t="s">
        <v>50</v>
      </c>
      <c r="D9996" s="27" t="s">
        <v>7</v>
      </c>
      <c r="E9996" s="27" t="s">
        <v>14</v>
      </c>
      <c r="F9996" s="29"/>
      <c r="G9996" s="30">
        <v>1541.0754166666666</v>
      </c>
    </row>
    <row r="9997" spans="1:7" hidden="1" x14ac:dyDescent="0.25">
      <c r="A9997" s="28">
        <v>44409</v>
      </c>
      <c r="B9997" s="27" t="s">
        <v>33</v>
      </c>
      <c r="C9997" s="27" t="s">
        <v>50</v>
      </c>
      <c r="D9997" s="27" t="s">
        <v>7</v>
      </c>
      <c r="E9997" s="27" t="s">
        <v>15</v>
      </c>
      <c r="F9997" s="29"/>
      <c r="G9997" s="30">
        <v>1541.0754166666666</v>
      </c>
    </row>
    <row r="9998" spans="1:7" hidden="1" x14ac:dyDescent="0.25">
      <c r="A9998" s="28">
        <v>44409</v>
      </c>
      <c r="B9998" s="27" t="s">
        <v>33</v>
      </c>
      <c r="C9998" s="27" t="s">
        <v>50</v>
      </c>
      <c r="D9998" s="27" t="s">
        <v>7</v>
      </c>
      <c r="E9998" s="27" t="s">
        <v>16</v>
      </c>
      <c r="F9998" s="29"/>
      <c r="G9998" s="30">
        <v>1541.0754166666666</v>
      </c>
    </row>
    <row r="9999" spans="1:7" hidden="1" x14ac:dyDescent="0.25">
      <c r="A9999" s="28">
        <v>44409</v>
      </c>
      <c r="B9999" s="27" t="s">
        <v>33</v>
      </c>
      <c r="C9999" s="27" t="s">
        <v>50</v>
      </c>
      <c r="D9999" s="27" t="s">
        <v>7</v>
      </c>
      <c r="E9999" s="27" t="s">
        <v>17</v>
      </c>
      <c r="F9999" s="29"/>
      <c r="G9999" s="30">
        <v>1541.0754166666666</v>
      </c>
    </row>
    <row r="10000" spans="1:7" hidden="1" x14ac:dyDescent="0.25">
      <c r="A10000" s="28">
        <v>44409</v>
      </c>
      <c r="B10000" s="27" t="s">
        <v>33</v>
      </c>
      <c r="C10000" s="27" t="s">
        <v>50</v>
      </c>
      <c r="D10000" s="27" t="s">
        <v>7</v>
      </c>
      <c r="E10000" s="27" t="s">
        <v>18</v>
      </c>
      <c r="F10000" s="29"/>
      <c r="G10000" s="30">
        <v>1541.0754166666666</v>
      </c>
    </row>
    <row r="10001" spans="1:7" hidden="1" x14ac:dyDescent="0.25">
      <c r="A10001" s="28">
        <v>44409</v>
      </c>
      <c r="B10001" s="27" t="s">
        <v>33</v>
      </c>
      <c r="C10001" s="27" t="s">
        <v>50</v>
      </c>
      <c r="D10001" s="27" t="s">
        <v>7</v>
      </c>
      <c r="E10001" s="27" t="s">
        <v>19</v>
      </c>
      <c r="F10001" s="29"/>
      <c r="G10001" s="30">
        <v>1541.0754166666666</v>
      </c>
    </row>
    <row r="10002" spans="1:7" hidden="1" x14ac:dyDescent="0.25">
      <c r="A10002" s="28">
        <v>44409</v>
      </c>
      <c r="B10002" s="27" t="s">
        <v>33</v>
      </c>
      <c r="C10002" s="27" t="s">
        <v>50</v>
      </c>
      <c r="D10002" s="27" t="s">
        <v>7</v>
      </c>
      <c r="E10002" s="27" t="s">
        <v>20</v>
      </c>
      <c r="F10002" s="29"/>
      <c r="G10002" s="30">
        <v>1541.0754166666666</v>
      </c>
    </row>
    <row r="10003" spans="1:7" hidden="1" x14ac:dyDescent="0.25">
      <c r="A10003" s="28">
        <v>44409</v>
      </c>
      <c r="B10003" s="27" t="s">
        <v>33</v>
      </c>
      <c r="C10003" s="27" t="s">
        <v>50</v>
      </c>
      <c r="D10003" s="27" t="s">
        <v>7</v>
      </c>
      <c r="E10003" s="27" t="s">
        <v>38</v>
      </c>
      <c r="F10003" s="29"/>
      <c r="G10003" s="30">
        <v>1541.0754166666666</v>
      </c>
    </row>
    <row r="10004" spans="1:7" hidden="1" x14ac:dyDescent="0.25">
      <c r="A10004" s="28">
        <v>44409</v>
      </c>
      <c r="B10004" s="27" t="s">
        <v>33</v>
      </c>
      <c r="C10004" s="27" t="s">
        <v>50</v>
      </c>
      <c r="D10004" s="27" t="s">
        <v>7</v>
      </c>
      <c r="E10004" s="27" t="s">
        <v>23</v>
      </c>
      <c r="F10004" s="29"/>
      <c r="G10004" s="30">
        <v>1541.0754166666666</v>
      </c>
    </row>
    <row r="10005" spans="1:7" hidden="1" x14ac:dyDescent="0.25">
      <c r="A10005" s="28">
        <v>44409</v>
      </c>
      <c r="B10005" s="27" t="s">
        <v>33</v>
      </c>
      <c r="C10005" s="27" t="s">
        <v>50</v>
      </c>
      <c r="D10005" s="27" t="s">
        <v>7</v>
      </c>
      <c r="E10005" s="27" t="s">
        <v>40</v>
      </c>
      <c r="F10005" s="29"/>
      <c r="G10005" s="30">
        <v>1541.0754166666666</v>
      </c>
    </row>
    <row r="10006" spans="1:7" hidden="1" x14ac:dyDescent="0.25">
      <c r="A10006" s="28">
        <v>44409</v>
      </c>
      <c r="B10006" s="27" t="s">
        <v>33</v>
      </c>
      <c r="C10006" s="27" t="s">
        <v>50</v>
      </c>
      <c r="D10006" s="27" t="s">
        <v>7</v>
      </c>
      <c r="E10006" s="27" t="s">
        <v>42</v>
      </c>
      <c r="F10006" s="29"/>
      <c r="G10006" s="30">
        <v>1541.0754166666666</v>
      </c>
    </row>
    <row r="10007" spans="1:7" hidden="1" x14ac:dyDescent="0.25">
      <c r="A10007" s="28">
        <v>44409</v>
      </c>
      <c r="B10007" s="27" t="s">
        <v>33</v>
      </c>
      <c r="C10007" s="27" t="s">
        <v>50</v>
      </c>
      <c r="D10007" s="27" t="s">
        <v>7</v>
      </c>
      <c r="E10007" s="27" t="s">
        <v>43</v>
      </c>
      <c r="F10007" s="29"/>
      <c r="G10007" s="30">
        <v>1541.0754166666666</v>
      </c>
    </row>
    <row r="10008" spans="1:7" hidden="1" x14ac:dyDescent="0.25">
      <c r="A10008" s="28">
        <v>44409</v>
      </c>
      <c r="B10008" s="27" t="s">
        <v>33</v>
      </c>
      <c r="C10008" s="27" t="s">
        <v>50</v>
      </c>
      <c r="D10008" s="27" t="s">
        <v>7</v>
      </c>
      <c r="E10008" s="27" t="s">
        <v>72</v>
      </c>
      <c r="F10008" s="29"/>
      <c r="G10008" s="30">
        <v>1541.0754166666666</v>
      </c>
    </row>
    <row r="10009" spans="1:7" hidden="1" x14ac:dyDescent="0.25">
      <c r="A10009" s="28">
        <v>44409</v>
      </c>
      <c r="B10009" s="27" t="s">
        <v>4</v>
      </c>
      <c r="C10009" s="27" t="s">
        <v>50</v>
      </c>
      <c r="D10009" s="27" t="s">
        <v>7</v>
      </c>
      <c r="E10009" s="27" t="s">
        <v>8</v>
      </c>
      <c r="F10009" s="29"/>
      <c r="G10009" s="30">
        <v>409.23</v>
      </c>
    </row>
    <row r="10010" spans="1:7" hidden="1" x14ac:dyDescent="0.25">
      <c r="A10010" s="28">
        <v>44409</v>
      </c>
      <c r="B10010" s="27" t="s">
        <v>4</v>
      </c>
      <c r="C10010" s="27" t="s">
        <v>50</v>
      </c>
      <c r="D10010" s="27" t="s">
        <v>7</v>
      </c>
      <c r="E10010" s="27" t="s">
        <v>9</v>
      </c>
      <c r="F10010" s="29"/>
      <c r="G10010" s="30">
        <v>3849.67</v>
      </c>
    </row>
    <row r="10011" spans="1:7" hidden="1" x14ac:dyDescent="0.25">
      <c r="A10011" s="28">
        <v>44409</v>
      </c>
      <c r="B10011" s="27" t="s">
        <v>4</v>
      </c>
      <c r="C10011" s="27" t="s">
        <v>50</v>
      </c>
      <c r="D10011" s="27" t="s">
        <v>7</v>
      </c>
      <c r="E10011" s="27" t="s">
        <v>22</v>
      </c>
      <c r="F10011" s="29"/>
      <c r="G10011" s="30">
        <v>2014.54</v>
      </c>
    </row>
    <row r="10012" spans="1:7" hidden="1" x14ac:dyDescent="0.25">
      <c r="A10012" s="28">
        <v>44409</v>
      </c>
      <c r="B10012" s="27" t="s">
        <v>4</v>
      </c>
      <c r="C10012" s="27" t="s">
        <v>50</v>
      </c>
      <c r="D10012" s="27" t="s">
        <v>7</v>
      </c>
      <c r="E10012" s="27" t="s">
        <v>39</v>
      </c>
      <c r="F10012" s="29"/>
      <c r="G10012" s="30">
        <v>1768.42</v>
      </c>
    </row>
    <row r="10013" spans="1:7" hidden="1" x14ac:dyDescent="0.25">
      <c r="A10013" s="28">
        <v>44409</v>
      </c>
      <c r="B10013" s="27" t="s">
        <v>4</v>
      </c>
      <c r="C10013" s="27" t="s">
        <v>50</v>
      </c>
      <c r="D10013" s="27" t="s">
        <v>7</v>
      </c>
      <c r="E10013" s="27" t="s">
        <v>64</v>
      </c>
      <c r="F10013" s="29"/>
      <c r="G10013" s="30">
        <v>4026.27</v>
      </c>
    </row>
    <row r="10014" spans="1:7" hidden="1" x14ac:dyDescent="0.25">
      <c r="A10014" s="28">
        <v>44409</v>
      </c>
      <c r="B10014" s="27" t="s">
        <v>4</v>
      </c>
      <c r="C10014" s="27" t="s">
        <v>50</v>
      </c>
      <c r="D10014" s="27" t="s">
        <v>7</v>
      </c>
      <c r="E10014" s="27" t="s">
        <v>21</v>
      </c>
      <c r="F10014" s="29"/>
      <c r="G10014" s="30">
        <v>5114.67</v>
      </c>
    </row>
    <row r="10015" spans="1:7" hidden="1" x14ac:dyDescent="0.25">
      <c r="A10015" s="28">
        <v>44409</v>
      </c>
      <c r="B10015" s="27" t="s">
        <v>4</v>
      </c>
      <c r="C10015" s="27" t="s">
        <v>50</v>
      </c>
      <c r="D10015" s="27" t="s">
        <v>7</v>
      </c>
      <c r="E10015" s="27" t="s">
        <v>41</v>
      </c>
      <c r="F10015" s="29"/>
      <c r="G10015" s="30">
        <v>3747.32</v>
      </c>
    </row>
    <row r="10016" spans="1:7" hidden="1" x14ac:dyDescent="0.25">
      <c r="A10016" s="28">
        <v>44409</v>
      </c>
      <c r="B10016" s="27" t="s">
        <v>4</v>
      </c>
      <c r="C10016" s="27" t="s">
        <v>50</v>
      </c>
      <c r="D10016" s="27" t="s">
        <v>7</v>
      </c>
      <c r="E10016" s="27" t="s">
        <v>10</v>
      </c>
      <c r="F10016" s="29"/>
      <c r="G10016" s="30">
        <v>2602.25</v>
      </c>
    </row>
    <row r="10017" spans="1:7" hidden="1" x14ac:dyDescent="0.25">
      <c r="A10017" s="28">
        <v>44409</v>
      </c>
      <c r="B10017" s="27" t="s">
        <v>4</v>
      </c>
      <c r="C10017" s="27" t="s">
        <v>50</v>
      </c>
      <c r="D10017" s="27" t="s">
        <v>7</v>
      </c>
      <c r="E10017" s="27" t="s">
        <v>11</v>
      </c>
      <c r="F10017" s="29"/>
      <c r="G10017" s="30">
        <v>3684.21</v>
      </c>
    </row>
    <row r="10018" spans="1:7" hidden="1" x14ac:dyDescent="0.25">
      <c r="A10018" s="28">
        <v>44409</v>
      </c>
      <c r="B10018" s="27" t="s">
        <v>4</v>
      </c>
      <c r="C10018" s="27" t="s">
        <v>50</v>
      </c>
      <c r="D10018" s="27" t="s">
        <v>7</v>
      </c>
      <c r="E10018" s="27" t="s">
        <v>12</v>
      </c>
      <c r="F10018" s="29"/>
      <c r="G10018" s="30">
        <f>30924.95/6</f>
        <v>5154.1583333333338</v>
      </c>
    </row>
    <row r="10019" spans="1:7" hidden="1" x14ac:dyDescent="0.25">
      <c r="A10019" s="28">
        <v>44409</v>
      </c>
      <c r="B10019" s="27" t="s">
        <v>4</v>
      </c>
      <c r="C10019" s="27" t="s">
        <v>50</v>
      </c>
      <c r="D10019" s="27" t="s">
        <v>7</v>
      </c>
      <c r="E10019" s="27" t="s">
        <v>13</v>
      </c>
      <c r="F10019" s="29"/>
      <c r="G10019" s="30">
        <f>30924.95/6</f>
        <v>5154.1583333333338</v>
      </c>
    </row>
    <row r="10020" spans="1:7" hidden="1" x14ac:dyDescent="0.25">
      <c r="A10020" s="28">
        <v>44409</v>
      </c>
      <c r="B10020" s="27" t="s">
        <v>4</v>
      </c>
      <c r="C10020" s="27" t="s">
        <v>50</v>
      </c>
      <c r="D10020" s="27" t="s">
        <v>7</v>
      </c>
      <c r="E10020" s="27" t="s">
        <v>14</v>
      </c>
      <c r="F10020" s="29"/>
      <c r="G10020" s="30">
        <v>946.04000000000008</v>
      </c>
    </row>
    <row r="10021" spans="1:7" hidden="1" x14ac:dyDescent="0.25">
      <c r="A10021" s="28">
        <v>44409</v>
      </c>
      <c r="B10021" s="27" t="s">
        <v>4</v>
      </c>
      <c r="C10021" s="27" t="s">
        <v>50</v>
      </c>
      <c r="D10021" s="27" t="s">
        <v>7</v>
      </c>
      <c r="E10021" s="27" t="s">
        <v>15</v>
      </c>
      <c r="F10021" s="29"/>
      <c r="G10021" s="30">
        <v>3332.4</v>
      </c>
    </row>
    <row r="10022" spans="1:7" hidden="1" x14ac:dyDescent="0.25">
      <c r="A10022" s="28">
        <v>44409</v>
      </c>
      <c r="B10022" s="27" t="s">
        <v>4</v>
      </c>
      <c r="C10022" s="27" t="s">
        <v>50</v>
      </c>
      <c r="D10022" s="27" t="s">
        <v>7</v>
      </c>
      <c r="E10022" s="27" t="s">
        <v>16</v>
      </c>
      <c r="F10022" s="29"/>
      <c r="G10022" s="30">
        <f>30924.95/6</f>
        <v>5154.1583333333338</v>
      </c>
    </row>
    <row r="10023" spans="1:7" hidden="1" x14ac:dyDescent="0.25">
      <c r="A10023" s="28">
        <v>44409</v>
      </c>
      <c r="B10023" s="27" t="s">
        <v>4</v>
      </c>
      <c r="C10023" s="27" t="s">
        <v>50</v>
      </c>
      <c r="D10023" s="27" t="s">
        <v>7</v>
      </c>
      <c r="E10023" s="27" t="s">
        <v>17</v>
      </c>
      <c r="F10023" s="29"/>
      <c r="G10023" s="30">
        <v>4595.83</v>
      </c>
    </row>
    <row r="10024" spans="1:7" hidden="1" x14ac:dyDescent="0.25">
      <c r="A10024" s="28">
        <v>44409</v>
      </c>
      <c r="B10024" s="27" t="s">
        <v>4</v>
      </c>
      <c r="C10024" s="27" t="s">
        <v>50</v>
      </c>
      <c r="D10024" s="27" t="s">
        <v>7</v>
      </c>
      <c r="E10024" s="27" t="s">
        <v>18</v>
      </c>
      <c r="F10024" s="29"/>
      <c r="G10024" s="30">
        <f>30924.95/6</f>
        <v>5154.1583333333338</v>
      </c>
    </row>
    <row r="10025" spans="1:7" hidden="1" x14ac:dyDescent="0.25">
      <c r="A10025" s="28">
        <v>44409</v>
      </c>
      <c r="B10025" s="27" t="s">
        <v>4</v>
      </c>
      <c r="C10025" s="27" t="s">
        <v>50</v>
      </c>
      <c r="D10025" s="27" t="s">
        <v>7</v>
      </c>
      <c r="E10025" s="27" t="s">
        <v>19</v>
      </c>
      <c r="F10025" s="29"/>
      <c r="G10025" s="30">
        <v>2771.5699999999997</v>
      </c>
    </row>
    <row r="10026" spans="1:7" hidden="1" x14ac:dyDescent="0.25">
      <c r="A10026" s="28">
        <v>44409</v>
      </c>
      <c r="B10026" s="27" t="s">
        <v>4</v>
      </c>
      <c r="C10026" s="27" t="s">
        <v>50</v>
      </c>
      <c r="D10026" s="27" t="s">
        <v>7</v>
      </c>
      <c r="E10026" s="27" t="s">
        <v>20</v>
      </c>
      <c r="F10026" s="29"/>
      <c r="G10026" s="30">
        <v>2162.86</v>
      </c>
    </row>
    <row r="10027" spans="1:7" hidden="1" x14ac:dyDescent="0.25">
      <c r="A10027" s="28">
        <v>44409</v>
      </c>
      <c r="B10027" s="27" t="s">
        <v>4</v>
      </c>
      <c r="C10027" s="27" t="s">
        <v>50</v>
      </c>
      <c r="D10027" s="27" t="s">
        <v>7</v>
      </c>
      <c r="E10027" s="27" t="s">
        <v>38</v>
      </c>
      <c r="F10027" s="29"/>
      <c r="G10027" s="30">
        <v>790.64</v>
      </c>
    </row>
    <row r="10028" spans="1:7" hidden="1" x14ac:dyDescent="0.25">
      <c r="A10028" s="28">
        <v>44409</v>
      </c>
      <c r="B10028" s="27" t="s">
        <v>4</v>
      </c>
      <c r="C10028" s="27" t="s">
        <v>50</v>
      </c>
      <c r="D10028" s="27" t="s">
        <v>7</v>
      </c>
      <c r="E10028" s="27" t="s">
        <v>23</v>
      </c>
      <c r="F10028" s="29"/>
      <c r="G10028" s="30">
        <v>3874.46</v>
      </c>
    </row>
    <row r="10029" spans="1:7" hidden="1" x14ac:dyDescent="0.25">
      <c r="A10029" s="28">
        <v>44409</v>
      </c>
      <c r="B10029" s="27" t="s">
        <v>4</v>
      </c>
      <c r="C10029" s="27" t="s">
        <v>50</v>
      </c>
      <c r="D10029" s="27" t="s">
        <v>7</v>
      </c>
      <c r="E10029" s="27" t="s">
        <v>40</v>
      </c>
      <c r="F10029" s="29"/>
      <c r="G10029" s="30">
        <v>1792.99</v>
      </c>
    </row>
    <row r="10030" spans="1:7" hidden="1" x14ac:dyDescent="0.25">
      <c r="A10030" s="28">
        <v>44409</v>
      </c>
      <c r="B10030" s="27" t="s">
        <v>4</v>
      </c>
      <c r="C10030" s="27" t="s">
        <v>50</v>
      </c>
      <c r="D10030" s="27" t="s">
        <v>7</v>
      </c>
      <c r="E10030" s="27" t="s">
        <v>42</v>
      </c>
      <c r="F10030" s="29"/>
      <c r="G10030" s="30">
        <v>1983.46</v>
      </c>
    </row>
    <row r="10031" spans="1:7" hidden="1" x14ac:dyDescent="0.25">
      <c r="A10031" s="28">
        <v>44409</v>
      </c>
      <c r="B10031" s="27" t="s">
        <v>4</v>
      </c>
      <c r="C10031" s="27" t="s">
        <v>50</v>
      </c>
      <c r="D10031" s="27" t="s">
        <v>7</v>
      </c>
      <c r="E10031" s="27" t="s">
        <v>43</v>
      </c>
      <c r="F10031" s="29"/>
      <c r="G10031" s="30">
        <f>30924.95/6</f>
        <v>5154.1583333333338</v>
      </c>
    </row>
    <row r="10032" spans="1:7" hidden="1" x14ac:dyDescent="0.25">
      <c r="A10032" s="28">
        <v>44409</v>
      </c>
      <c r="B10032" s="27" t="s">
        <v>4</v>
      </c>
      <c r="C10032" s="27" t="s">
        <v>50</v>
      </c>
      <c r="D10032" s="27" t="s">
        <v>7</v>
      </c>
      <c r="E10032" s="27" t="s">
        <v>72</v>
      </c>
      <c r="F10032" s="29"/>
      <c r="G10032" s="30">
        <f>30924.95/6</f>
        <v>5154.1583333333338</v>
      </c>
    </row>
    <row r="10033" spans="1:7" hidden="1" x14ac:dyDescent="0.25">
      <c r="A10033" s="28">
        <v>44409</v>
      </c>
      <c r="B10033" s="27" t="s">
        <v>26</v>
      </c>
      <c r="C10033" s="27" t="s">
        <v>50</v>
      </c>
      <c r="D10033" s="27" t="s">
        <v>6</v>
      </c>
      <c r="E10033" s="27" t="s">
        <v>8</v>
      </c>
      <c r="F10033" s="29"/>
      <c r="G10033" s="30">
        <v>719.18234681218985</v>
      </c>
    </row>
    <row r="10034" spans="1:7" hidden="1" x14ac:dyDescent="0.25">
      <c r="A10034" s="28">
        <v>44409</v>
      </c>
      <c r="B10034" s="27" t="s">
        <v>26</v>
      </c>
      <c r="C10034" s="27" t="s">
        <v>50</v>
      </c>
      <c r="D10034" s="27" t="s">
        <v>6</v>
      </c>
      <c r="E10034" s="27" t="s">
        <v>9</v>
      </c>
      <c r="F10034" s="29"/>
      <c r="G10034" s="30">
        <v>1595.1320615825009</v>
      </c>
    </row>
    <row r="10035" spans="1:7" hidden="1" x14ac:dyDescent="0.25">
      <c r="A10035" s="28">
        <v>44409</v>
      </c>
      <c r="B10035" s="27" t="s">
        <v>26</v>
      </c>
      <c r="C10035" s="27" t="s">
        <v>50</v>
      </c>
      <c r="D10035" s="27" t="s">
        <v>6</v>
      </c>
      <c r="E10035" s="27" t="s">
        <v>22</v>
      </c>
      <c r="F10035" s="29"/>
      <c r="G10035" s="30">
        <v>2121.8036778000037</v>
      </c>
    </row>
    <row r="10036" spans="1:7" hidden="1" x14ac:dyDescent="0.25">
      <c r="A10036" s="28">
        <v>44409</v>
      </c>
      <c r="B10036" s="27" t="s">
        <v>26</v>
      </c>
      <c r="C10036" s="27" t="s">
        <v>50</v>
      </c>
      <c r="D10036" s="27" t="s">
        <v>6</v>
      </c>
      <c r="E10036" s="27" t="s">
        <v>39</v>
      </c>
      <c r="F10036" s="29"/>
      <c r="G10036" s="30">
        <v>1858.2521149872089</v>
      </c>
    </row>
    <row r="10037" spans="1:7" hidden="1" x14ac:dyDescent="0.25">
      <c r="A10037" s="28">
        <v>44409</v>
      </c>
      <c r="B10037" s="27" t="s">
        <v>26</v>
      </c>
      <c r="C10037" s="27" t="s">
        <v>50</v>
      </c>
      <c r="D10037" s="27" t="s">
        <v>6</v>
      </c>
      <c r="E10037" s="27" t="s">
        <v>64</v>
      </c>
      <c r="F10037" s="29"/>
      <c r="G10037" s="30">
        <v>1276.3329108875935</v>
      </c>
    </row>
    <row r="10038" spans="1:7" hidden="1" x14ac:dyDescent="0.25">
      <c r="A10038" s="28">
        <v>44409</v>
      </c>
      <c r="B10038" s="27" t="s">
        <v>26</v>
      </c>
      <c r="C10038" s="27" t="s">
        <v>50</v>
      </c>
      <c r="D10038" s="27" t="s">
        <v>6</v>
      </c>
      <c r="E10038" s="27" t="s">
        <v>21</v>
      </c>
      <c r="F10038" s="29"/>
      <c r="G10038" s="30">
        <v>1372.0704648952321</v>
      </c>
    </row>
    <row r="10039" spans="1:7" hidden="1" x14ac:dyDescent="0.25">
      <c r="A10039" s="28">
        <v>44409</v>
      </c>
      <c r="B10039" s="27" t="s">
        <v>26</v>
      </c>
      <c r="C10039" s="27" t="s">
        <v>50</v>
      </c>
      <c r="D10039" s="27" t="s">
        <v>6</v>
      </c>
      <c r="E10039" s="27" t="s">
        <v>41</v>
      </c>
      <c r="F10039" s="29"/>
      <c r="G10039" s="30">
        <v>1581.4819806400055</v>
      </c>
    </row>
    <row r="10040" spans="1:7" hidden="1" x14ac:dyDescent="0.25">
      <c r="A10040" s="28">
        <v>44409</v>
      </c>
      <c r="B10040" s="27" t="s">
        <v>26</v>
      </c>
      <c r="C10040" s="27" t="s">
        <v>50</v>
      </c>
      <c r="D10040" s="27" t="s">
        <v>6</v>
      </c>
      <c r="E10040" s="27" t="s">
        <v>10</v>
      </c>
      <c r="F10040" s="29"/>
      <c r="G10040" s="30">
        <v>2188.8314725228997</v>
      </c>
    </row>
    <row r="10041" spans="1:7" hidden="1" x14ac:dyDescent="0.25">
      <c r="A10041" s="28">
        <v>44409</v>
      </c>
      <c r="B10041" s="27" t="s">
        <v>26</v>
      </c>
      <c r="C10041" s="27" t="s">
        <v>50</v>
      </c>
      <c r="D10041" s="27" t="s">
        <v>6</v>
      </c>
      <c r="E10041" s="27" t="s">
        <v>11</v>
      </c>
      <c r="F10041" s="29"/>
      <c r="G10041" s="30">
        <v>1627.7110218930932</v>
      </c>
    </row>
    <row r="10042" spans="1:7" hidden="1" x14ac:dyDescent="0.25">
      <c r="A10042" s="28">
        <v>44409</v>
      </c>
      <c r="B10042" s="27" t="s">
        <v>26</v>
      </c>
      <c r="C10042" s="27" t="s">
        <v>50</v>
      </c>
      <c r="D10042" s="27" t="s">
        <v>6</v>
      </c>
      <c r="E10042" s="27" t="s">
        <v>12</v>
      </c>
      <c r="F10042" s="29"/>
      <c r="G10042" s="30">
        <v>1714.4875638594519</v>
      </c>
    </row>
    <row r="10043" spans="1:7" hidden="1" x14ac:dyDescent="0.25">
      <c r="A10043" s="28">
        <v>44409</v>
      </c>
      <c r="B10043" s="27" t="s">
        <v>26</v>
      </c>
      <c r="C10043" s="27" t="s">
        <v>50</v>
      </c>
      <c r="D10043" s="27" t="s">
        <v>6</v>
      </c>
      <c r="E10043" s="27" t="s">
        <v>13</v>
      </c>
      <c r="F10043" s="29"/>
      <c r="G10043" s="30">
        <v>1743.4562287890469</v>
      </c>
    </row>
    <row r="10044" spans="1:7" hidden="1" x14ac:dyDescent="0.25">
      <c r="A10044" s="28">
        <v>44409</v>
      </c>
      <c r="B10044" s="27" t="s">
        <v>26</v>
      </c>
      <c r="C10044" s="27" t="s">
        <v>50</v>
      </c>
      <c r="D10044" s="27" t="s">
        <v>6</v>
      </c>
      <c r="E10044" s="27" t="s">
        <v>14</v>
      </c>
      <c r="F10044" s="29"/>
      <c r="G10044" s="30">
        <v>561.68141286032039</v>
      </c>
    </row>
    <row r="10045" spans="1:7" hidden="1" x14ac:dyDescent="0.25">
      <c r="A10045" s="28">
        <v>44409</v>
      </c>
      <c r="B10045" s="27" t="s">
        <v>26</v>
      </c>
      <c r="C10045" s="27" t="s">
        <v>50</v>
      </c>
      <c r="D10045" s="27" t="s">
        <v>6</v>
      </c>
      <c r="E10045" s="27" t="s">
        <v>15</v>
      </c>
      <c r="F10045" s="29"/>
      <c r="G10045" s="30">
        <v>1903.4886846016955</v>
      </c>
    </row>
    <row r="10046" spans="1:7" hidden="1" x14ac:dyDescent="0.25">
      <c r="A10046" s="28">
        <v>44409</v>
      </c>
      <c r="B10046" s="27" t="s">
        <v>26</v>
      </c>
      <c r="C10046" s="27" t="s">
        <v>50</v>
      </c>
      <c r="D10046" s="27" t="s">
        <v>6</v>
      </c>
      <c r="E10046" s="27" t="s">
        <v>16</v>
      </c>
      <c r="F10046" s="29"/>
      <c r="G10046" s="30">
        <v>2154.0949651718715</v>
      </c>
    </row>
    <row r="10047" spans="1:7" hidden="1" x14ac:dyDescent="0.25">
      <c r="A10047" s="28">
        <v>44409</v>
      </c>
      <c r="B10047" s="27" t="s">
        <v>26</v>
      </c>
      <c r="C10047" s="27" t="s">
        <v>50</v>
      </c>
      <c r="D10047" s="27" t="s">
        <v>6</v>
      </c>
      <c r="E10047" s="27" t="s">
        <v>17</v>
      </c>
      <c r="F10047" s="29"/>
      <c r="G10047" s="30">
        <v>3135.6350321011482</v>
      </c>
    </row>
    <row r="10048" spans="1:7" hidden="1" x14ac:dyDescent="0.25">
      <c r="A10048" s="28">
        <v>44409</v>
      </c>
      <c r="B10048" s="27" t="s">
        <v>26</v>
      </c>
      <c r="C10048" s="27" t="s">
        <v>50</v>
      </c>
      <c r="D10048" s="27" t="s">
        <v>6</v>
      </c>
      <c r="E10048" s="27" t="s">
        <v>18</v>
      </c>
      <c r="F10048" s="29"/>
      <c r="G10048" s="30">
        <v>1603.690331509566</v>
      </c>
    </row>
    <row r="10049" spans="1:7" hidden="1" x14ac:dyDescent="0.25">
      <c r="A10049" s="28">
        <v>44409</v>
      </c>
      <c r="B10049" s="27" t="s">
        <v>26</v>
      </c>
      <c r="C10049" s="27" t="s">
        <v>50</v>
      </c>
      <c r="D10049" s="27" t="s">
        <v>6</v>
      </c>
      <c r="E10049" s="27" t="s">
        <v>19</v>
      </c>
      <c r="F10049" s="29"/>
      <c r="G10049" s="30">
        <v>2421.1417541901737</v>
      </c>
    </row>
    <row r="10050" spans="1:7" hidden="1" x14ac:dyDescent="0.25">
      <c r="A10050" s="28">
        <v>44409</v>
      </c>
      <c r="B10050" s="27" t="s">
        <v>26</v>
      </c>
      <c r="C10050" s="27" t="s">
        <v>50</v>
      </c>
      <c r="D10050" s="27" t="s">
        <v>6</v>
      </c>
      <c r="E10050" s="27" t="s">
        <v>20</v>
      </c>
      <c r="F10050" s="29"/>
      <c r="G10050" s="30">
        <v>1946.4814052941281</v>
      </c>
    </row>
    <row r="10051" spans="1:7" hidden="1" x14ac:dyDescent="0.25">
      <c r="A10051" s="28">
        <v>44409</v>
      </c>
      <c r="B10051" s="27" t="s">
        <v>26</v>
      </c>
      <c r="C10051" s="27" t="s">
        <v>50</v>
      </c>
      <c r="D10051" s="27" t="s">
        <v>6</v>
      </c>
      <c r="E10051" s="27" t="s">
        <v>38</v>
      </c>
      <c r="F10051" s="29"/>
      <c r="G10051" s="30">
        <v>760.63601728244464</v>
      </c>
    </row>
    <row r="10052" spans="1:7" hidden="1" x14ac:dyDescent="0.25">
      <c r="A10052" s="28">
        <v>44409</v>
      </c>
      <c r="B10052" s="27" t="s">
        <v>26</v>
      </c>
      <c r="C10052" s="27" t="s">
        <v>50</v>
      </c>
      <c r="D10052" s="27" t="s">
        <v>6</v>
      </c>
      <c r="E10052" s="27" t="s">
        <v>23</v>
      </c>
      <c r="F10052" s="29"/>
      <c r="G10052" s="30">
        <v>2589.0564485238838</v>
      </c>
    </row>
    <row r="10053" spans="1:7" hidden="1" x14ac:dyDescent="0.25">
      <c r="A10053" s="28">
        <v>44409</v>
      </c>
      <c r="B10053" s="27" t="s">
        <v>26</v>
      </c>
      <c r="C10053" s="27" t="s">
        <v>50</v>
      </c>
      <c r="D10053" s="27" t="s">
        <v>6</v>
      </c>
      <c r="E10053" s="27" t="s">
        <v>40</v>
      </c>
      <c r="F10053" s="29"/>
      <c r="G10053" s="30">
        <v>834.25152230214019</v>
      </c>
    </row>
    <row r="10054" spans="1:7" hidden="1" x14ac:dyDescent="0.25">
      <c r="A10054" s="28">
        <v>44409</v>
      </c>
      <c r="B10054" s="27" t="s">
        <v>26</v>
      </c>
      <c r="C10054" s="27" t="s">
        <v>50</v>
      </c>
      <c r="D10054" s="27" t="s">
        <v>6</v>
      </c>
      <c r="E10054" s="27" t="s">
        <v>37</v>
      </c>
      <c r="F10054" s="29"/>
      <c r="G10054" s="30">
        <v>791.10058149340887</v>
      </c>
    </row>
    <row r="10055" spans="1:7" hidden="1" x14ac:dyDescent="0.25">
      <c r="A10055" s="28">
        <v>44409</v>
      </c>
      <c r="B10055" s="27" t="s">
        <v>3</v>
      </c>
      <c r="C10055" s="27" t="s">
        <v>50</v>
      </c>
      <c r="D10055" s="27" t="s">
        <v>7</v>
      </c>
      <c r="E10055" s="27" t="s">
        <v>8</v>
      </c>
      <c r="F10055" s="29"/>
      <c r="G10055" s="30">
        <v>638.23666666666668</v>
      </c>
    </row>
    <row r="10056" spans="1:7" hidden="1" x14ac:dyDescent="0.25">
      <c r="A10056" s="28">
        <v>44409</v>
      </c>
      <c r="B10056" s="27" t="s">
        <v>3</v>
      </c>
      <c r="C10056" s="27" t="s">
        <v>50</v>
      </c>
      <c r="D10056" s="27" t="s">
        <v>7</v>
      </c>
      <c r="E10056" s="27" t="s">
        <v>9</v>
      </c>
      <c r="F10056" s="29"/>
      <c r="G10056" s="30">
        <v>638.23666666666668</v>
      </c>
    </row>
    <row r="10057" spans="1:7" hidden="1" x14ac:dyDescent="0.25">
      <c r="A10057" s="28">
        <v>44409</v>
      </c>
      <c r="B10057" s="27" t="s">
        <v>3</v>
      </c>
      <c r="C10057" s="27" t="s">
        <v>50</v>
      </c>
      <c r="D10057" s="27" t="s">
        <v>7</v>
      </c>
      <c r="E10057" s="27" t="s">
        <v>22</v>
      </c>
      <c r="F10057" s="29"/>
      <c r="G10057" s="30">
        <v>638.23666666666668</v>
      </c>
    </row>
    <row r="10058" spans="1:7" hidden="1" x14ac:dyDescent="0.25">
      <c r="A10058" s="28">
        <v>44409</v>
      </c>
      <c r="B10058" s="27" t="s">
        <v>3</v>
      </c>
      <c r="C10058" s="27" t="s">
        <v>50</v>
      </c>
      <c r="D10058" s="27" t="s">
        <v>7</v>
      </c>
      <c r="E10058" s="27" t="s">
        <v>39</v>
      </c>
      <c r="F10058" s="29"/>
      <c r="G10058" s="30">
        <v>638.23666666666668</v>
      </c>
    </row>
    <row r="10059" spans="1:7" hidden="1" x14ac:dyDescent="0.25">
      <c r="A10059" s="28">
        <v>44409</v>
      </c>
      <c r="B10059" s="27" t="s">
        <v>3</v>
      </c>
      <c r="C10059" s="27" t="s">
        <v>50</v>
      </c>
      <c r="D10059" s="27" t="s">
        <v>7</v>
      </c>
      <c r="E10059" s="27" t="s">
        <v>64</v>
      </c>
      <c r="F10059" s="29"/>
      <c r="G10059" s="30">
        <v>638.23666666666668</v>
      </c>
    </row>
    <row r="10060" spans="1:7" hidden="1" x14ac:dyDescent="0.25">
      <c r="A10060" s="28">
        <v>44409</v>
      </c>
      <c r="B10060" s="27" t="s">
        <v>3</v>
      </c>
      <c r="C10060" s="27" t="s">
        <v>50</v>
      </c>
      <c r="D10060" s="27" t="s">
        <v>7</v>
      </c>
      <c r="E10060" s="27" t="s">
        <v>21</v>
      </c>
      <c r="F10060" s="29"/>
      <c r="G10060" s="30">
        <v>638.23666666666668</v>
      </c>
    </row>
    <row r="10061" spans="1:7" hidden="1" x14ac:dyDescent="0.25">
      <c r="A10061" s="28">
        <v>44409</v>
      </c>
      <c r="B10061" s="27" t="s">
        <v>3</v>
      </c>
      <c r="C10061" s="27" t="s">
        <v>50</v>
      </c>
      <c r="D10061" s="27" t="s">
        <v>7</v>
      </c>
      <c r="E10061" s="27" t="s">
        <v>41</v>
      </c>
      <c r="F10061" s="29"/>
      <c r="G10061" s="30">
        <v>638.23666666666668</v>
      </c>
    </row>
    <row r="10062" spans="1:7" hidden="1" x14ac:dyDescent="0.25">
      <c r="A10062" s="28">
        <v>44409</v>
      </c>
      <c r="B10062" s="27" t="s">
        <v>3</v>
      </c>
      <c r="C10062" s="27" t="s">
        <v>50</v>
      </c>
      <c r="D10062" s="27" t="s">
        <v>7</v>
      </c>
      <c r="E10062" s="27" t="s">
        <v>10</v>
      </c>
      <c r="F10062" s="29"/>
      <c r="G10062" s="30">
        <v>638.23666666666668</v>
      </c>
    </row>
    <row r="10063" spans="1:7" hidden="1" x14ac:dyDescent="0.25">
      <c r="A10063" s="28">
        <v>44409</v>
      </c>
      <c r="B10063" s="27" t="s">
        <v>3</v>
      </c>
      <c r="C10063" s="27" t="s">
        <v>50</v>
      </c>
      <c r="D10063" s="27" t="s">
        <v>7</v>
      </c>
      <c r="E10063" s="27" t="s">
        <v>11</v>
      </c>
      <c r="F10063" s="29"/>
      <c r="G10063" s="30">
        <v>638.23666666666668</v>
      </c>
    </row>
    <row r="10064" spans="1:7" hidden="1" x14ac:dyDescent="0.25">
      <c r="A10064" s="28">
        <v>44409</v>
      </c>
      <c r="B10064" s="27" t="s">
        <v>3</v>
      </c>
      <c r="C10064" s="27" t="s">
        <v>50</v>
      </c>
      <c r="D10064" s="27" t="s">
        <v>7</v>
      </c>
      <c r="E10064" s="27" t="s">
        <v>12</v>
      </c>
      <c r="F10064" s="29"/>
      <c r="G10064" s="30">
        <v>638.23666666666668</v>
      </c>
    </row>
    <row r="10065" spans="1:7" hidden="1" x14ac:dyDescent="0.25">
      <c r="A10065" s="28">
        <v>44409</v>
      </c>
      <c r="B10065" s="27" t="s">
        <v>3</v>
      </c>
      <c r="C10065" s="27" t="s">
        <v>50</v>
      </c>
      <c r="D10065" s="27" t="s">
        <v>7</v>
      </c>
      <c r="E10065" s="27" t="s">
        <v>13</v>
      </c>
      <c r="F10065" s="29"/>
      <c r="G10065" s="30">
        <v>638.23666666666668</v>
      </c>
    </row>
    <row r="10066" spans="1:7" hidden="1" x14ac:dyDescent="0.25">
      <c r="A10066" s="28">
        <v>44409</v>
      </c>
      <c r="B10066" s="27" t="s">
        <v>3</v>
      </c>
      <c r="C10066" s="27" t="s">
        <v>50</v>
      </c>
      <c r="D10066" s="27" t="s">
        <v>7</v>
      </c>
      <c r="E10066" s="27" t="s">
        <v>14</v>
      </c>
      <c r="F10066" s="29"/>
      <c r="G10066" s="30">
        <v>638.23666666666668</v>
      </c>
    </row>
    <row r="10067" spans="1:7" hidden="1" x14ac:dyDescent="0.25">
      <c r="A10067" s="28">
        <v>44409</v>
      </c>
      <c r="B10067" s="27" t="s">
        <v>3</v>
      </c>
      <c r="C10067" s="27" t="s">
        <v>50</v>
      </c>
      <c r="D10067" s="27" t="s">
        <v>7</v>
      </c>
      <c r="E10067" s="27" t="s">
        <v>15</v>
      </c>
      <c r="F10067" s="29"/>
      <c r="G10067" s="30">
        <v>638.23666666666668</v>
      </c>
    </row>
    <row r="10068" spans="1:7" hidden="1" x14ac:dyDescent="0.25">
      <c r="A10068" s="28">
        <v>44409</v>
      </c>
      <c r="B10068" s="27" t="s">
        <v>3</v>
      </c>
      <c r="C10068" s="27" t="s">
        <v>50</v>
      </c>
      <c r="D10068" s="27" t="s">
        <v>7</v>
      </c>
      <c r="E10068" s="27" t="s">
        <v>16</v>
      </c>
      <c r="F10068" s="29"/>
      <c r="G10068" s="30">
        <v>638.23666666666668</v>
      </c>
    </row>
    <row r="10069" spans="1:7" hidden="1" x14ac:dyDescent="0.25">
      <c r="A10069" s="28">
        <v>44409</v>
      </c>
      <c r="B10069" s="27" t="s">
        <v>3</v>
      </c>
      <c r="C10069" s="27" t="s">
        <v>50</v>
      </c>
      <c r="D10069" s="27" t="s">
        <v>7</v>
      </c>
      <c r="E10069" s="27" t="s">
        <v>17</v>
      </c>
      <c r="F10069" s="29"/>
      <c r="G10069" s="30">
        <v>638.23666666666668</v>
      </c>
    </row>
    <row r="10070" spans="1:7" hidden="1" x14ac:dyDescent="0.25">
      <c r="A10070" s="28">
        <v>44409</v>
      </c>
      <c r="B10070" s="27" t="s">
        <v>3</v>
      </c>
      <c r="C10070" s="27" t="s">
        <v>50</v>
      </c>
      <c r="D10070" s="27" t="s">
        <v>7</v>
      </c>
      <c r="E10070" s="27" t="s">
        <v>18</v>
      </c>
      <c r="F10070" s="29"/>
      <c r="G10070" s="30">
        <v>638.23666666666668</v>
      </c>
    </row>
    <row r="10071" spans="1:7" hidden="1" x14ac:dyDescent="0.25">
      <c r="A10071" s="28">
        <v>44409</v>
      </c>
      <c r="B10071" s="27" t="s">
        <v>3</v>
      </c>
      <c r="C10071" s="27" t="s">
        <v>50</v>
      </c>
      <c r="D10071" s="27" t="s">
        <v>7</v>
      </c>
      <c r="E10071" s="27" t="s">
        <v>19</v>
      </c>
      <c r="F10071" s="29"/>
      <c r="G10071" s="30">
        <v>638.23666666666668</v>
      </c>
    </row>
    <row r="10072" spans="1:7" hidden="1" x14ac:dyDescent="0.25">
      <c r="A10072" s="28">
        <v>44409</v>
      </c>
      <c r="B10072" s="27" t="s">
        <v>3</v>
      </c>
      <c r="C10072" s="27" t="s">
        <v>50</v>
      </c>
      <c r="D10072" s="27" t="s">
        <v>7</v>
      </c>
      <c r="E10072" s="27" t="s">
        <v>20</v>
      </c>
      <c r="F10072" s="29"/>
      <c r="G10072" s="30">
        <v>638.23666666666668</v>
      </c>
    </row>
    <row r="10073" spans="1:7" hidden="1" x14ac:dyDescent="0.25">
      <c r="A10073" s="28">
        <v>44409</v>
      </c>
      <c r="B10073" s="27" t="s">
        <v>3</v>
      </c>
      <c r="C10073" s="27" t="s">
        <v>50</v>
      </c>
      <c r="D10073" s="27" t="s">
        <v>7</v>
      </c>
      <c r="E10073" s="27" t="s">
        <v>38</v>
      </c>
      <c r="F10073" s="29"/>
      <c r="G10073" s="30">
        <v>638.23666666666668</v>
      </c>
    </row>
    <row r="10074" spans="1:7" hidden="1" x14ac:dyDescent="0.25">
      <c r="A10074" s="28">
        <v>44409</v>
      </c>
      <c r="B10074" s="27" t="s">
        <v>3</v>
      </c>
      <c r="C10074" s="27" t="s">
        <v>50</v>
      </c>
      <c r="D10074" s="27" t="s">
        <v>7</v>
      </c>
      <c r="E10074" s="27" t="s">
        <v>23</v>
      </c>
      <c r="F10074" s="29"/>
      <c r="G10074" s="30">
        <v>638.23666666666668</v>
      </c>
    </row>
    <row r="10075" spans="1:7" hidden="1" x14ac:dyDescent="0.25">
      <c r="A10075" s="28">
        <v>44409</v>
      </c>
      <c r="B10075" s="27" t="s">
        <v>3</v>
      </c>
      <c r="C10075" s="27" t="s">
        <v>50</v>
      </c>
      <c r="D10075" s="27" t="s">
        <v>7</v>
      </c>
      <c r="E10075" s="27" t="s">
        <v>40</v>
      </c>
      <c r="F10075" s="29"/>
      <c r="G10075" s="30">
        <v>638.23666666666668</v>
      </c>
    </row>
    <row r="10076" spans="1:7" hidden="1" x14ac:dyDescent="0.25">
      <c r="A10076" s="28">
        <v>44409</v>
      </c>
      <c r="B10076" s="27" t="s">
        <v>3</v>
      </c>
      <c r="C10076" s="27" t="s">
        <v>50</v>
      </c>
      <c r="D10076" s="27" t="s">
        <v>7</v>
      </c>
      <c r="E10076" s="27" t="s">
        <v>42</v>
      </c>
      <c r="F10076" s="29"/>
      <c r="G10076" s="30">
        <v>638.23666666666668</v>
      </c>
    </row>
    <row r="10077" spans="1:7" hidden="1" x14ac:dyDescent="0.25">
      <c r="A10077" s="28">
        <v>44409</v>
      </c>
      <c r="B10077" s="27" t="s">
        <v>3</v>
      </c>
      <c r="C10077" s="27" t="s">
        <v>50</v>
      </c>
      <c r="D10077" s="27" t="s">
        <v>7</v>
      </c>
      <c r="E10077" s="27" t="s">
        <v>43</v>
      </c>
      <c r="F10077" s="29"/>
      <c r="G10077" s="30">
        <v>638.23666666666668</v>
      </c>
    </row>
    <row r="10078" spans="1:7" hidden="1" x14ac:dyDescent="0.25">
      <c r="A10078" s="28">
        <v>44409</v>
      </c>
      <c r="B10078" s="27" t="s">
        <v>3</v>
      </c>
      <c r="C10078" s="27" t="s">
        <v>50</v>
      </c>
      <c r="D10078" s="27" t="s">
        <v>7</v>
      </c>
      <c r="E10078" s="27" t="s">
        <v>72</v>
      </c>
      <c r="F10078" s="29"/>
      <c r="G10078" s="30">
        <v>638.23666666666668</v>
      </c>
    </row>
    <row r="10079" spans="1:7" hidden="1" x14ac:dyDescent="0.25">
      <c r="A10079" s="28">
        <v>44409</v>
      </c>
      <c r="B10079" s="27" t="s">
        <v>179</v>
      </c>
      <c r="C10079" s="27" t="s">
        <v>50</v>
      </c>
      <c r="D10079" s="27" t="s">
        <v>6</v>
      </c>
      <c r="E10079" s="27" t="s">
        <v>8</v>
      </c>
      <c r="F10079" s="29"/>
      <c r="G10079" s="30">
        <v>54.168999999999997</v>
      </c>
    </row>
    <row r="10080" spans="1:7" hidden="1" x14ac:dyDescent="0.25">
      <c r="A10080" s="28">
        <v>44409</v>
      </c>
      <c r="B10080" s="27" t="s">
        <v>179</v>
      </c>
      <c r="C10080" s="27" t="s">
        <v>50</v>
      </c>
      <c r="D10080" s="27" t="s">
        <v>6</v>
      </c>
      <c r="E10080" s="27" t="s">
        <v>9</v>
      </c>
      <c r="F10080" s="29"/>
      <c r="G10080" s="30">
        <v>71.931666000000007</v>
      </c>
    </row>
    <row r="10081" spans="1:7" hidden="1" x14ac:dyDescent="0.25">
      <c r="A10081" s="28">
        <v>44409</v>
      </c>
      <c r="B10081" s="27" t="s">
        <v>179</v>
      </c>
      <c r="C10081" s="27" t="s">
        <v>50</v>
      </c>
      <c r="D10081" s="27" t="s">
        <v>6</v>
      </c>
      <c r="E10081" s="27" t="s">
        <v>22</v>
      </c>
      <c r="F10081" s="29"/>
      <c r="G10081" s="30">
        <v>95.266666000000001</v>
      </c>
    </row>
    <row r="10082" spans="1:7" hidden="1" x14ac:dyDescent="0.25">
      <c r="A10082" s="28">
        <v>44409</v>
      </c>
      <c r="B10082" s="27" t="s">
        <v>179</v>
      </c>
      <c r="C10082" s="27" t="s">
        <v>50</v>
      </c>
      <c r="D10082" s="27" t="s">
        <v>6</v>
      </c>
      <c r="E10082" s="27" t="s">
        <v>39</v>
      </c>
      <c r="F10082" s="29"/>
      <c r="G10082" s="30">
        <v>72.42</v>
      </c>
    </row>
    <row r="10083" spans="1:7" hidden="1" x14ac:dyDescent="0.25">
      <c r="A10083" s="28">
        <v>44409</v>
      </c>
      <c r="B10083" s="27" t="s">
        <v>179</v>
      </c>
      <c r="C10083" s="27" t="s">
        <v>50</v>
      </c>
      <c r="D10083" s="27" t="s">
        <v>6</v>
      </c>
      <c r="E10083" s="27" t="s">
        <v>21</v>
      </c>
      <c r="F10083" s="29"/>
      <c r="G10083" s="30">
        <v>66.441665999999998</v>
      </c>
    </row>
    <row r="10084" spans="1:7" hidden="1" x14ac:dyDescent="0.25">
      <c r="A10084" s="28">
        <v>44409</v>
      </c>
      <c r="B10084" s="27" t="s">
        <v>179</v>
      </c>
      <c r="C10084" s="27" t="s">
        <v>50</v>
      </c>
      <c r="D10084" s="27" t="s">
        <v>6</v>
      </c>
      <c r="E10084" s="27" t="s">
        <v>41</v>
      </c>
      <c r="F10084" s="29"/>
      <c r="G10084" s="30">
        <v>71.509165999999993</v>
      </c>
    </row>
    <row r="10085" spans="1:7" hidden="1" x14ac:dyDescent="0.25">
      <c r="A10085" s="28">
        <v>44409</v>
      </c>
      <c r="B10085" s="27" t="s">
        <v>179</v>
      </c>
      <c r="C10085" s="27" t="s">
        <v>50</v>
      </c>
      <c r="D10085" s="27" t="s">
        <v>6</v>
      </c>
      <c r="E10085" s="27" t="s">
        <v>10</v>
      </c>
      <c r="F10085" s="29"/>
      <c r="G10085" s="30">
        <v>86.698999999999998</v>
      </c>
    </row>
    <row r="10086" spans="1:7" hidden="1" x14ac:dyDescent="0.25">
      <c r="A10086" s="28">
        <v>44409</v>
      </c>
      <c r="B10086" s="27" t="s">
        <v>179</v>
      </c>
      <c r="C10086" s="27" t="s">
        <v>50</v>
      </c>
      <c r="D10086" s="27" t="s">
        <v>6</v>
      </c>
      <c r="E10086" s="27" t="s">
        <v>11</v>
      </c>
      <c r="F10086" s="29"/>
      <c r="G10086" s="30">
        <v>65.566665999999998</v>
      </c>
    </row>
    <row r="10087" spans="1:7" hidden="1" x14ac:dyDescent="0.25">
      <c r="A10087" s="28">
        <v>44409</v>
      </c>
      <c r="B10087" s="27" t="s">
        <v>179</v>
      </c>
      <c r="C10087" s="27" t="s">
        <v>50</v>
      </c>
      <c r="D10087" s="27" t="s">
        <v>6</v>
      </c>
      <c r="E10087" s="27" t="s">
        <v>12</v>
      </c>
      <c r="F10087" s="29"/>
      <c r="G10087" s="30">
        <v>67.331665999999998</v>
      </c>
    </row>
    <row r="10088" spans="1:7" hidden="1" x14ac:dyDescent="0.25">
      <c r="A10088" s="28">
        <v>44409</v>
      </c>
      <c r="B10088" s="27" t="s">
        <v>179</v>
      </c>
      <c r="C10088" s="27" t="s">
        <v>50</v>
      </c>
      <c r="D10088" s="27" t="s">
        <v>6</v>
      </c>
      <c r="E10088" s="27" t="s">
        <v>13</v>
      </c>
      <c r="F10088" s="29"/>
      <c r="G10088" s="30">
        <v>93.319165999999996</v>
      </c>
    </row>
    <row r="10089" spans="1:7" hidden="1" x14ac:dyDescent="0.25">
      <c r="A10089" s="28">
        <v>44409</v>
      </c>
      <c r="B10089" s="27" t="s">
        <v>179</v>
      </c>
      <c r="C10089" s="27" t="s">
        <v>50</v>
      </c>
      <c r="D10089" s="27" t="s">
        <v>6</v>
      </c>
      <c r="E10089" s="27" t="s">
        <v>14</v>
      </c>
      <c r="F10089" s="29"/>
      <c r="G10089" s="30">
        <v>79.181666000000007</v>
      </c>
    </row>
    <row r="10090" spans="1:7" hidden="1" x14ac:dyDescent="0.25">
      <c r="A10090" s="28">
        <v>44409</v>
      </c>
      <c r="B10090" s="27" t="s">
        <v>179</v>
      </c>
      <c r="C10090" s="27" t="s">
        <v>50</v>
      </c>
      <c r="D10090" s="27" t="s">
        <v>6</v>
      </c>
      <c r="E10090" s="27" t="s">
        <v>15</v>
      </c>
      <c r="F10090" s="29"/>
      <c r="G10090" s="30">
        <v>90.084165999999996</v>
      </c>
    </row>
    <row r="10091" spans="1:7" hidden="1" x14ac:dyDescent="0.25">
      <c r="A10091" s="28">
        <v>44409</v>
      </c>
      <c r="B10091" s="27" t="s">
        <v>179</v>
      </c>
      <c r="C10091" s="27" t="s">
        <v>50</v>
      </c>
      <c r="D10091" s="27" t="s">
        <v>6</v>
      </c>
      <c r="E10091" s="27" t="s">
        <v>16</v>
      </c>
      <c r="F10091" s="29"/>
      <c r="G10091" s="30">
        <v>91.176665999999997</v>
      </c>
    </row>
    <row r="10092" spans="1:7" hidden="1" x14ac:dyDescent="0.25">
      <c r="A10092" s="28">
        <v>44409</v>
      </c>
      <c r="B10092" s="27" t="s">
        <v>179</v>
      </c>
      <c r="C10092" s="27" t="s">
        <v>50</v>
      </c>
      <c r="D10092" s="27" t="s">
        <v>6</v>
      </c>
      <c r="E10092" s="27" t="s">
        <v>17</v>
      </c>
      <c r="F10092" s="29"/>
      <c r="G10092" s="30">
        <v>142.004166</v>
      </c>
    </row>
    <row r="10093" spans="1:7" hidden="1" x14ac:dyDescent="0.25">
      <c r="A10093" s="28">
        <v>44409</v>
      </c>
      <c r="B10093" s="27" t="s">
        <v>179</v>
      </c>
      <c r="C10093" s="27" t="s">
        <v>50</v>
      </c>
      <c r="D10093" s="27" t="s">
        <v>6</v>
      </c>
      <c r="E10093" s="27" t="s">
        <v>18</v>
      </c>
      <c r="F10093" s="29"/>
      <c r="G10093" s="30">
        <v>183.16666599999999</v>
      </c>
    </row>
    <row r="10094" spans="1:7" hidden="1" x14ac:dyDescent="0.25">
      <c r="A10094" s="28">
        <v>44409</v>
      </c>
      <c r="B10094" s="27" t="s">
        <v>179</v>
      </c>
      <c r="C10094" s="27" t="s">
        <v>50</v>
      </c>
      <c r="D10094" s="27" t="s">
        <v>6</v>
      </c>
      <c r="E10094" s="27" t="s">
        <v>19</v>
      </c>
      <c r="F10094" s="29"/>
      <c r="G10094" s="30">
        <v>120.299166</v>
      </c>
    </row>
    <row r="10095" spans="1:7" hidden="1" x14ac:dyDescent="0.25">
      <c r="A10095" s="28">
        <v>44409</v>
      </c>
      <c r="B10095" s="27" t="s">
        <v>179</v>
      </c>
      <c r="C10095" s="27" t="s">
        <v>50</v>
      </c>
      <c r="D10095" s="27" t="s">
        <v>6</v>
      </c>
      <c r="E10095" s="27" t="s">
        <v>20</v>
      </c>
      <c r="F10095" s="29"/>
      <c r="G10095" s="30">
        <v>231.341666</v>
      </c>
    </row>
    <row r="10096" spans="1:7" hidden="1" x14ac:dyDescent="0.25">
      <c r="A10096" s="28">
        <v>44409</v>
      </c>
      <c r="B10096" s="27" t="s">
        <v>179</v>
      </c>
      <c r="C10096" s="27" t="s">
        <v>50</v>
      </c>
      <c r="D10096" s="27" t="s">
        <v>6</v>
      </c>
      <c r="E10096" s="27" t="s">
        <v>38</v>
      </c>
      <c r="F10096" s="29"/>
      <c r="G10096" s="30">
        <v>99.366665999999995</v>
      </c>
    </row>
    <row r="10097" spans="1:7" hidden="1" x14ac:dyDescent="0.25">
      <c r="A10097" s="28">
        <v>44409</v>
      </c>
      <c r="B10097" s="27" t="s">
        <v>179</v>
      </c>
      <c r="C10097" s="27" t="s">
        <v>50</v>
      </c>
      <c r="D10097" s="27" t="s">
        <v>6</v>
      </c>
      <c r="E10097" s="27" t="s">
        <v>23</v>
      </c>
      <c r="F10097" s="29"/>
      <c r="G10097" s="30">
        <v>131.48916600000001</v>
      </c>
    </row>
    <row r="10098" spans="1:7" hidden="1" x14ac:dyDescent="0.25">
      <c r="A10098" s="28">
        <v>44409</v>
      </c>
      <c r="B10098" s="27" t="s">
        <v>179</v>
      </c>
      <c r="C10098" s="27" t="s">
        <v>50</v>
      </c>
      <c r="D10098" s="27" t="s">
        <v>6</v>
      </c>
      <c r="E10098" s="27" t="s">
        <v>40</v>
      </c>
      <c r="F10098" s="29"/>
      <c r="G10098" s="30">
        <v>130.52416600000001</v>
      </c>
    </row>
    <row r="10099" spans="1:7" hidden="1" x14ac:dyDescent="0.25">
      <c r="A10099" s="28">
        <v>44409</v>
      </c>
      <c r="B10099" s="27" t="s">
        <v>32</v>
      </c>
      <c r="C10099" s="27" t="s">
        <v>50</v>
      </c>
      <c r="D10099" s="27" t="s">
        <v>7</v>
      </c>
      <c r="E10099" s="27" t="s">
        <v>17</v>
      </c>
      <c r="F10099" s="29"/>
      <c r="G10099" s="30">
        <v>50</v>
      </c>
    </row>
    <row r="10100" spans="1:7" hidden="1" x14ac:dyDescent="0.25">
      <c r="A10100" s="28">
        <v>44409</v>
      </c>
      <c r="B10100" s="27" t="s">
        <v>5</v>
      </c>
      <c r="C10100" s="27" t="s">
        <v>51</v>
      </c>
      <c r="D10100" s="27" t="s">
        <v>51</v>
      </c>
      <c r="E10100" s="27" t="s">
        <v>8</v>
      </c>
      <c r="F10100" s="29">
        <v>2293</v>
      </c>
      <c r="G10100" s="30">
        <v>3.5491956011682757</v>
      </c>
    </row>
    <row r="10101" spans="1:7" hidden="1" x14ac:dyDescent="0.25">
      <c r="A10101" s="28">
        <v>44409</v>
      </c>
      <c r="B10101" s="27" t="s">
        <v>5</v>
      </c>
      <c r="C10101" s="27" t="s">
        <v>51</v>
      </c>
      <c r="D10101" s="27" t="s">
        <v>51</v>
      </c>
      <c r="E10101" s="27" t="s">
        <v>9</v>
      </c>
      <c r="F10101" s="29">
        <v>6806</v>
      </c>
      <c r="G10101" s="30">
        <v>1.5003552592196836</v>
      </c>
    </row>
    <row r="10102" spans="1:7" hidden="1" x14ac:dyDescent="0.25">
      <c r="A10102" s="28">
        <v>44409</v>
      </c>
      <c r="B10102" s="27" t="s">
        <v>5</v>
      </c>
      <c r="C10102" s="27" t="s">
        <v>51</v>
      </c>
      <c r="D10102" s="27" t="s">
        <v>51</v>
      </c>
      <c r="E10102" s="27" t="s">
        <v>22</v>
      </c>
      <c r="F10102" s="29">
        <v>3182</v>
      </c>
      <c r="G10102" s="30">
        <v>3.4298977091347167</v>
      </c>
    </row>
    <row r="10103" spans="1:7" hidden="1" x14ac:dyDescent="0.25">
      <c r="A10103" s="28">
        <v>44409</v>
      </c>
      <c r="B10103" s="27" t="s">
        <v>5</v>
      </c>
      <c r="C10103" s="27" t="s">
        <v>51</v>
      </c>
      <c r="D10103" s="27" t="s">
        <v>51</v>
      </c>
      <c r="E10103" s="27" t="s">
        <v>39</v>
      </c>
      <c r="F10103" s="29">
        <v>2561</v>
      </c>
      <c r="G10103" s="30">
        <v>3.6893386496110412</v>
      </c>
    </row>
    <row r="10104" spans="1:7" hidden="1" x14ac:dyDescent="0.25">
      <c r="A10104" s="28">
        <v>44409</v>
      </c>
      <c r="B10104" s="27" t="s">
        <v>5</v>
      </c>
      <c r="C10104" s="27" t="s">
        <v>51</v>
      </c>
      <c r="D10104" s="27" t="s">
        <v>51</v>
      </c>
      <c r="E10104" s="27" t="s">
        <v>64</v>
      </c>
      <c r="F10104" s="29">
        <v>4766</v>
      </c>
      <c r="G10104" s="30">
        <v>2.8205805869815905</v>
      </c>
    </row>
    <row r="10105" spans="1:7" hidden="1" x14ac:dyDescent="0.25">
      <c r="A10105" s="28">
        <v>44409</v>
      </c>
      <c r="B10105" s="27" t="s">
        <v>5</v>
      </c>
      <c r="C10105" s="27" t="s">
        <v>51</v>
      </c>
      <c r="D10105" s="27" t="s">
        <v>51</v>
      </c>
      <c r="E10105" s="27" t="s">
        <v>21</v>
      </c>
      <c r="F10105" s="29">
        <v>6086</v>
      </c>
      <c r="G10105" s="30">
        <v>1.4981591024584127</v>
      </c>
    </row>
    <row r="10106" spans="1:7" hidden="1" x14ac:dyDescent="0.25">
      <c r="A10106" s="28">
        <v>44409</v>
      </c>
      <c r="B10106" s="27" t="s">
        <v>5</v>
      </c>
      <c r="C10106" s="27" t="s">
        <v>51</v>
      </c>
      <c r="D10106" s="27" t="s">
        <v>51</v>
      </c>
      <c r="E10106" s="27" t="s">
        <v>41</v>
      </c>
      <c r="F10106" s="29">
        <v>4075</v>
      </c>
      <c r="G10106" s="30">
        <v>2.271395168909613</v>
      </c>
    </row>
    <row r="10107" spans="1:7" hidden="1" x14ac:dyDescent="0.25">
      <c r="A10107" s="28">
        <v>44409</v>
      </c>
      <c r="B10107" s="27" t="s">
        <v>5</v>
      </c>
      <c r="C10107" s="27" t="s">
        <v>51</v>
      </c>
      <c r="D10107" s="27" t="s">
        <v>51</v>
      </c>
      <c r="E10107" s="27" t="s">
        <v>10</v>
      </c>
      <c r="F10107" s="29">
        <v>2222</v>
      </c>
      <c r="G10107" s="30">
        <v>4.4218517728125857</v>
      </c>
    </row>
    <row r="10108" spans="1:7" hidden="1" x14ac:dyDescent="0.25">
      <c r="A10108" s="28">
        <v>44409</v>
      </c>
      <c r="B10108" s="27" t="s">
        <v>5</v>
      </c>
      <c r="C10108" s="27" t="s">
        <v>51</v>
      </c>
      <c r="D10108" s="27" t="s">
        <v>51</v>
      </c>
      <c r="E10108" s="27" t="s">
        <v>11</v>
      </c>
      <c r="F10108" s="29">
        <v>5954</v>
      </c>
      <c r="G10108" s="30">
        <v>1.7132230747777</v>
      </c>
    </row>
    <row r="10109" spans="1:7" hidden="1" x14ac:dyDescent="0.25">
      <c r="A10109" s="28">
        <v>44409</v>
      </c>
      <c r="B10109" s="27" t="s">
        <v>5</v>
      </c>
      <c r="C10109" s="27" t="s">
        <v>51</v>
      </c>
      <c r="D10109" s="27" t="s">
        <v>51</v>
      </c>
      <c r="E10109" s="27" t="s">
        <v>12</v>
      </c>
      <c r="F10109" s="29">
        <v>2455</v>
      </c>
      <c r="G10109" s="30">
        <v>3.8696184914566678</v>
      </c>
    </row>
    <row r="10110" spans="1:7" hidden="1" x14ac:dyDescent="0.25">
      <c r="A10110" s="28">
        <v>44409</v>
      </c>
      <c r="B10110" s="27" t="s">
        <v>5</v>
      </c>
      <c r="C10110" s="27" t="s">
        <v>51</v>
      </c>
      <c r="D10110" s="27" t="s">
        <v>51</v>
      </c>
      <c r="E10110" s="27" t="s">
        <v>14</v>
      </c>
      <c r="F10110" s="29">
        <v>2769</v>
      </c>
      <c r="G10110" s="30">
        <v>2.8549466397713927</v>
      </c>
    </row>
    <row r="10111" spans="1:7" hidden="1" x14ac:dyDescent="0.25">
      <c r="A10111" s="28">
        <v>44409</v>
      </c>
      <c r="B10111" s="27" t="s">
        <v>5</v>
      </c>
      <c r="C10111" s="27" t="s">
        <v>51</v>
      </c>
      <c r="D10111" s="27" t="s">
        <v>51</v>
      </c>
      <c r="E10111" s="27" t="s">
        <v>15</v>
      </c>
      <c r="F10111" s="29">
        <v>4392</v>
      </c>
      <c r="G10111" s="30">
        <v>2.1428590658625599</v>
      </c>
    </row>
    <row r="10112" spans="1:7" hidden="1" x14ac:dyDescent="0.25">
      <c r="A10112" s="28">
        <v>44409</v>
      </c>
      <c r="B10112" s="27" t="s">
        <v>5</v>
      </c>
      <c r="C10112" s="27" t="s">
        <v>51</v>
      </c>
      <c r="D10112" s="27" t="s">
        <v>51</v>
      </c>
      <c r="E10112" s="27" t="s">
        <v>16</v>
      </c>
      <c r="F10112" s="29">
        <v>1515</v>
      </c>
      <c r="G10112" s="30">
        <v>6.0746704936227962</v>
      </c>
    </row>
    <row r="10113" spans="1:7" hidden="1" x14ac:dyDescent="0.25">
      <c r="A10113" s="28">
        <v>44409</v>
      </c>
      <c r="B10113" s="27" t="s">
        <v>5</v>
      </c>
      <c r="C10113" s="27" t="s">
        <v>51</v>
      </c>
      <c r="D10113" s="27" t="s">
        <v>51</v>
      </c>
      <c r="E10113" s="27" t="s">
        <v>17</v>
      </c>
      <c r="F10113" s="29">
        <v>4439</v>
      </c>
      <c r="G10113" s="30">
        <v>3.3620868134191975</v>
      </c>
    </row>
    <row r="10114" spans="1:7" hidden="1" x14ac:dyDescent="0.25">
      <c r="A10114" s="28">
        <v>44409</v>
      </c>
      <c r="B10114" s="27" t="s">
        <v>5</v>
      </c>
      <c r="C10114" s="27" t="s">
        <v>51</v>
      </c>
      <c r="D10114" s="27" t="s">
        <v>51</v>
      </c>
      <c r="E10114" s="27" t="s">
        <v>18</v>
      </c>
      <c r="F10114" s="29">
        <v>5371</v>
      </c>
      <c r="G10114" s="30">
        <v>1.6197190772996151</v>
      </c>
    </row>
    <row r="10115" spans="1:7" hidden="1" x14ac:dyDescent="0.25">
      <c r="A10115" s="28">
        <v>44409</v>
      </c>
      <c r="B10115" s="27" t="s">
        <v>5</v>
      </c>
      <c r="C10115" s="27" t="s">
        <v>51</v>
      </c>
      <c r="D10115" s="27" t="s">
        <v>51</v>
      </c>
      <c r="E10115" s="27" t="s">
        <v>19</v>
      </c>
      <c r="F10115" s="29">
        <v>2474</v>
      </c>
      <c r="G10115" s="30">
        <v>4.0903779655848176</v>
      </c>
    </row>
    <row r="10116" spans="1:7" hidden="1" x14ac:dyDescent="0.25">
      <c r="A10116" s="28">
        <v>44409</v>
      </c>
      <c r="B10116" s="27" t="s">
        <v>5</v>
      </c>
      <c r="C10116" s="27" t="s">
        <v>51</v>
      </c>
      <c r="D10116" s="27" t="s">
        <v>51</v>
      </c>
      <c r="E10116" s="27" t="s">
        <v>20</v>
      </c>
      <c r="F10116" s="29">
        <v>6673</v>
      </c>
      <c r="G10116" s="30">
        <v>1.5598752042500819</v>
      </c>
    </row>
    <row r="10117" spans="1:7" hidden="1" x14ac:dyDescent="0.25">
      <c r="A10117" s="28">
        <v>44409</v>
      </c>
      <c r="B10117" s="27" t="s">
        <v>5</v>
      </c>
      <c r="C10117" s="27" t="s">
        <v>51</v>
      </c>
      <c r="D10117" s="27" t="s">
        <v>51</v>
      </c>
      <c r="E10117" s="27" t="s">
        <v>38</v>
      </c>
      <c r="F10117" s="29">
        <v>3088</v>
      </c>
      <c r="G10117" s="30">
        <v>2.4408668555534687</v>
      </c>
    </row>
    <row r="10118" spans="1:7" hidden="1" x14ac:dyDescent="0.25">
      <c r="A10118" s="28">
        <v>44409</v>
      </c>
      <c r="B10118" s="27" t="s">
        <v>5</v>
      </c>
      <c r="C10118" s="27" t="s">
        <v>51</v>
      </c>
      <c r="D10118" s="27" t="s">
        <v>51</v>
      </c>
      <c r="E10118" s="27" t="s">
        <v>23</v>
      </c>
      <c r="F10118" s="29">
        <v>4789</v>
      </c>
      <c r="G10118" s="30">
        <v>2.1340237588620901</v>
      </c>
    </row>
    <row r="10119" spans="1:7" hidden="1" x14ac:dyDescent="0.25">
      <c r="A10119" s="28">
        <v>44409</v>
      </c>
      <c r="B10119" s="27" t="s">
        <v>5</v>
      </c>
      <c r="C10119" s="27" t="s">
        <v>51</v>
      </c>
      <c r="D10119" s="27" t="s">
        <v>51</v>
      </c>
      <c r="E10119" s="27" t="s">
        <v>40</v>
      </c>
      <c r="F10119" s="29">
        <v>4146</v>
      </c>
      <c r="G10119" s="30">
        <v>2.0713410166350235</v>
      </c>
    </row>
    <row r="10120" spans="1:7" hidden="1" x14ac:dyDescent="0.25">
      <c r="A10120" s="28">
        <v>44409</v>
      </c>
      <c r="B10120" s="27" t="s">
        <v>5</v>
      </c>
      <c r="C10120" s="27" t="s">
        <v>51</v>
      </c>
      <c r="D10120" s="27" t="s">
        <v>51</v>
      </c>
      <c r="E10120" s="27" t="s">
        <v>42</v>
      </c>
      <c r="F10120" s="29">
        <v>1773</v>
      </c>
      <c r="G10120" s="30">
        <v>3.647131509682271</v>
      </c>
    </row>
    <row r="10121" spans="1:7" hidden="1" x14ac:dyDescent="0.25">
      <c r="A10121" s="28">
        <v>44409</v>
      </c>
      <c r="B10121" s="27" t="s">
        <v>5</v>
      </c>
      <c r="C10121" s="27" t="s">
        <v>51</v>
      </c>
      <c r="D10121" s="27" t="s">
        <v>51</v>
      </c>
      <c r="E10121" s="27" t="s">
        <v>43</v>
      </c>
      <c r="F10121" s="29">
        <v>243</v>
      </c>
      <c r="G10121" s="30">
        <v>26.610552126200272</v>
      </c>
    </row>
    <row r="10122" spans="1:7" hidden="1" x14ac:dyDescent="0.25">
      <c r="A10122" s="28">
        <v>44409</v>
      </c>
      <c r="B10122" s="27" t="s">
        <v>5</v>
      </c>
      <c r="C10122" s="27" t="s">
        <v>51</v>
      </c>
      <c r="D10122" s="27" t="s">
        <v>51</v>
      </c>
      <c r="E10122" s="27" t="s">
        <v>72</v>
      </c>
      <c r="F10122" s="29">
        <v>492</v>
      </c>
      <c r="G10122" s="30">
        <v>13.143016598915988</v>
      </c>
    </row>
    <row r="10123" spans="1:7" hidden="1" x14ac:dyDescent="0.25">
      <c r="A10123" s="28">
        <v>44409</v>
      </c>
      <c r="B10123" s="27" t="s">
        <v>180</v>
      </c>
      <c r="C10123" s="27" t="s">
        <v>50</v>
      </c>
      <c r="D10123" s="27" t="s">
        <v>7</v>
      </c>
      <c r="E10123" s="27" t="s">
        <v>39</v>
      </c>
      <c r="F10123" s="29"/>
      <c r="G10123" s="30">
        <v>412.63</v>
      </c>
    </row>
    <row r="10124" spans="1:7" hidden="1" x14ac:dyDescent="0.25">
      <c r="A10124" s="28">
        <v>44409</v>
      </c>
      <c r="B10124" s="27" t="s">
        <v>180</v>
      </c>
      <c r="C10124" s="27" t="s">
        <v>50</v>
      </c>
      <c r="D10124" s="27" t="s">
        <v>7</v>
      </c>
      <c r="E10124" s="27" t="s">
        <v>64</v>
      </c>
      <c r="F10124" s="29"/>
      <c r="G10124" s="30">
        <v>4544</v>
      </c>
    </row>
    <row r="10125" spans="1:7" hidden="1" x14ac:dyDescent="0.25">
      <c r="A10125" s="28">
        <v>44409</v>
      </c>
      <c r="B10125" s="27" t="s">
        <v>180</v>
      </c>
      <c r="C10125" s="27" t="s">
        <v>50</v>
      </c>
      <c r="D10125" s="27" t="s">
        <v>7</v>
      </c>
      <c r="E10125" s="27" t="s">
        <v>11</v>
      </c>
      <c r="F10125" s="29"/>
      <c r="G10125" s="30">
        <v>100</v>
      </c>
    </row>
    <row r="10126" spans="1:7" hidden="1" x14ac:dyDescent="0.25">
      <c r="A10126" s="28">
        <v>44409</v>
      </c>
      <c r="B10126" s="27" t="s">
        <v>180</v>
      </c>
      <c r="C10126" s="27" t="s">
        <v>50</v>
      </c>
      <c r="D10126" s="27" t="s">
        <v>7</v>
      </c>
      <c r="E10126" s="27" t="s">
        <v>12</v>
      </c>
      <c r="F10126" s="29"/>
      <c r="G10126" s="30">
        <v>380</v>
      </c>
    </row>
    <row r="10127" spans="1:7" hidden="1" x14ac:dyDescent="0.25">
      <c r="A10127" s="28">
        <v>44409</v>
      </c>
      <c r="B10127" s="27" t="s">
        <v>180</v>
      </c>
      <c r="C10127" s="27" t="s">
        <v>50</v>
      </c>
      <c r="D10127" s="27" t="s">
        <v>7</v>
      </c>
      <c r="E10127" s="27" t="s">
        <v>14</v>
      </c>
      <c r="F10127" s="29"/>
      <c r="G10127" s="30">
        <v>250</v>
      </c>
    </row>
    <row r="10128" spans="1:7" hidden="1" x14ac:dyDescent="0.25">
      <c r="A10128" s="28">
        <v>44409</v>
      </c>
      <c r="B10128" s="27" t="s">
        <v>180</v>
      </c>
      <c r="C10128" s="27" t="s">
        <v>50</v>
      </c>
      <c r="D10128" s="27" t="s">
        <v>7</v>
      </c>
      <c r="E10128" s="27" t="s">
        <v>17</v>
      </c>
      <c r="F10128" s="29"/>
      <c r="G10128" s="30">
        <v>460</v>
      </c>
    </row>
    <row r="10129" spans="1:7" hidden="1" x14ac:dyDescent="0.25">
      <c r="A10129" s="28">
        <v>44409</v>
      </c>
      <c r="B10129" s="27" t="s">
        <v>180</v>
      </c>
      <c r="C10129" s="27" t="s">
        <v>50</v>
      </c>
      <c r="D10129" s="27" t="s">
        <v>7</v>
      </c>
      <c r="E10129" s="27" t="s">
        <v>20</v>
      </c>
      <c r="F10129" s="29"/>
      <c r="G10129" s="30">
        <v>680.56</v>
      </c>
    </row>
    <row r="10130" spans="1:7" hidden="1" x14ac:dyDescent="0.25">
      <c r="A10130" s="28">
        <v>44409</v>
      </c>
      <c r="B10130" s="27" t="s">
        <v>180</v>
      </c>
      <c r="C10130" s="27" t="s">
        <v>50</v>
      </c>
      <c r="D10130" s="27" t="s">
        <v>7</v>
      </c>
      <c r="E10130" s="27" t="s">
        <v>37</v>
      </c>
      <c r="F10130" s="29"/>
      <c r="G10130" s="30">
        <v>1537</v>
      </c>
    </row>
    <row r="10131" spans="1:7" hidden="1" x14ac:dyDescent="0.25">
      <c r="A10131" s="28">
        <v>44409</v>
      </c>
      <c r="B10131" s="27" t="s">
        <v>181</v>
      </c>
      <c r="C10131" s="27" t="s">
        <v>50</v>
      </c>
      <c r="D10131" s="27" t="s">
        <v>6</v>
      </c>
      <c r="E10131" s="27" t="s">
        <v>9</v>
      </c>
      <c r="F10131" s="29"/>
      <c r="G10131" s="30">
        <v>396</v>
      </c>
    </row>
    <row r="10132" spans="1:7" hidden="1" x14ac:dyDescent="0.25">
      <c r="A10132" s="28">
        <v>44409</v>
      </c>
      <c r="B10132" s="27" t="s">
        <v>181</v>
      </c>
      <c r="C10132" s="27" t="s">
        <v>50</v>
      </c>
      <c r="D10132" s="27" t="s">
        <v>6</v>
      </c>
      <c r="E10132" s="27" t="s">
        <v>22</v>
      </c>
      <c r="F10132" s="29"/>
      <c r="G10132" s="30">
        <v>1131</v>
      </c>
    </row>
    <row r="10133" spans="1:7" hidden="1" x14ac:dyDescent="0.25">
      <c r="A10133" s="28">
        <v>44409</v>
      </c>
      <c r="B10133" s="27" t="s">
        <v>181</v>
      </c>
      <c r="C10133" s="27" t="s">
        <v>50</v>
      </c>
      <c r="D10133" s="27" t="s">
        <v>6</v>
      </c>
      <c r="E10133" s="27" t="s">
        <v>64</v>
      </c>
      <c r="F10133" s="29"/>
      <c r="G10133" s="30">
        <v>80</v>
      </c>
    </row>
    <row r="10134" spans="1:7" hidden="1" x14ac:dyDescent="0.25">
      <c r="A10134" s="28">
        <v>44409</v>
      </c>
      <c r="B10134" s="27" t="s">
        <v>181</v>
      </c>
      <c r="C10134" s="27" t="s">
        <v>50</v>
      </c>
      <c r="D10134" s="27" t="s">
        <v>6</v>
      </c>
      <c r="E10134" s="27" t="s">
        <v>12</v>
      </c>
      <c r="F10134" s="29"/>
      <c r="G10134" s="30">
        <v>160</v>
      </c>
    </row>
    <row r="10135" spans="1:7" hidden="1" x14ac:dyDescent="0.25">
      <c r="A10135" s="28">
        <v>44409</v>
      </c>
      <c r="B10135" s="27" t="s">
        <v>181</v>
      </c>
      <c r="C10135" s="27" t="s">
        <v>50</v>
      </c>
      <c r="D10135" s="27" t="s">
        <v>6</v>
      </c>
      <c r="E10135" s="27" t="s">
        <v>14</v>
      </c>
      <c r="F10135" s="29"/>
      <c r="G10135" s="30">
        <v>160</v>
      </c>
    </row>
    <row r="10136" spans="1:7" hidden="1" x14ac:dyDescent="0.25">
      <c r="A10136" s="28">
        <v>44409</v>
      </c>
      <c r="B10136" s="27" t="s">
        <v>181</v>
      </c>
      <c r="C10136" s="27" t="s">
        <v>50</v>
      </c>
      <c r="D10136" s="27" t="s">
        <v>6</v>
      </c>
      <c r="E10136" s="27" t="s">
        <v>17</v>
      </c>
      <c r="F10136" s="29"/>
      <c r="G10136" s="30">
        <v>3009</v>
      </c>
    </row>
    <row r="10137" spans="1:7" hidden="1" x14ac:dyDescent="0.25">
      <c r="A10137" s="28">
        <v>44409</v>
      </c>
      <c r="B10137" s="27" t="s">
        <v>181</v>
      </c>
      <c r="C10137" s="27" t="s">
        <v>50</v>
      </c>
      <c r="D10137" s="27" t="s">
        <v>6</v>
      </c>
      <c r="E10137" s="27" t="s">
        <v>20</v>
      </c>
      <c r="F10137" s="29"/>
      <c r="G10137" s="30">
        <v>200</v>
      </c>
    </row>
    <row r="10138" spans="1:7" hidden="1" x14ac:dyDescent="0.25">
      <c r="A10138" s="28">
        <v>44409</v>
      </c>
      <c r="B10138" s="27" t="s">
        <v>181</v>
      </c>
      <c r="C10138" s="27" t="s">
        <v>50</v>
      </c>
      <c r="D10138" s="27" t="s">
        <v>6</v>
      </c>
      <c r="E10138" s="27" t="s">
        <v>23</v>
      </c>
      <c r="F10138" s="29"/>
      <c r="G10138" s="30">
        <v>24</v>
      </c>
    </row>
    <row r="10139" spans="1:7" hidden="1" x14ac:dyDescent="0.25">
      <c r="A10139" s="28">
        <v>44409</v>
      </c>
      <c r="B10139" s="27" t="s">
        <v>181</v>
      </c>
      <c r="C10139" s="27" t="s">
        <v>50</v>
      </c>
      <c r="D10139" s="27" t="s">
        <v>6</v>
      </c>
      <c r="E10139" s="27" t="s">
        <v>40</v>
      </c>
      <c r="F10139" s="29"/>
      <c r="G10139" s="30">
        <v>561.11</v>
      </c>
    </row>
    <row r="10140" spans="1:7" hidden="1" x14ac:dyDescent="0.25">
      <c r="A10140" s="28">
        <v>44409</v>
      </c>
      <c r="B10140" s="27" t="s">
        <v>181</v>
      </c>
      <c r="C10140" s="27" t="s">
        <v>50</v>
      </c>
      <c r="D10140" s="27" t="s">
        <v>6</v>
      </c>
      <c r="E10140" s="27" t="s">
        <v>37</v>
      </c>
      <c r="F10140" s="29"/>
      <c r="G10140" s="30">
        <v>971.64</v>
      </c>
    </row>
    <row r="10141" spans="1:7" hidden="1" x14ac:dyDescent="0.25">
      <c r="A10141" s="28">
        <v>44409</v>
      </c>
      <c r="B10141" s="27" t="s">
        <v>2</v>
      </c>
      <c r="C10141" s="27" t="s">
        <v>50</v>
      </c>
      <c r="D10141" s="27" t="s">
        <v>7</v>
      </c>
      <c r="E10141" s="27" t="s">
        <v>8</v>
      </c>
      <c r="F10141" s="29"/>
      <c r="G10141" s="30">
        <v>385.9</v>
      </c>
    </row>
    <row r="10142" spans="1:7" hidden="1" x14ac:dyDescent="0.25">
      <c r="A10142" s="28">
        <v>44409</v>
      </c>
      <c r="B10142" s="27" t="s">
        <v>2</v>
      </c>
      <c r="C10142" s="27" t="s">
        <v>50</v>
      </c>
      <c r="D10142" s="27" t="s">
        <v>7</v>
      </c>
      <c r="E10142" s="27" t="s">
        <v>9</v>
      </c>
      <c r="F10142" s="29"/>
      <c r="G10142" s="30">
        <v>1098.01</v>
      </c>
    </row>
    <row r="10143" spans="1:7" hidden="1" x14ac:dyDescent="0.25">
      <c r="A10143" s="28">
        <v>44409</v>
      </c>
      <c r="B10143" s="27" t="s">
        <v>2</v>
      </c>
      <c r="C10143" s="27" t="s">
        <v>50</v>
      </c>
      <c r="D10143" s="27" t="s">
        <v>7</v>
      </c>
      <c r="E10143" s="27" t="s">
        <v>22</v>
      </c>
      <c r="F10143" s="29"/>
      <c r="G10143" s="30">
        <v>382.21</v>
      </c>
    </row>
    <row r="10144" spans="1:7" hidden="1" x14ac:dyDescent="0.25">
      <c r="A10144" s="28">
        <v>44409</v>
      </c>
      <c r="B10144" s="27" t="s">
        <v>2</v>
      </c>
      <c r="C10144" s="27" t="s">
        <v>50</v>
      </c>
      <c r="D10144" s="27" t="s">
        <v>7</v>
      </c>
      <c r="E10144" s="27" t="s">
        <v>39</v>
      </c>
      <c r="F10144" s="29"/>
      <c r="G10144" s="30">
        <v>281.10000000000002</v>
      </c>
    </row>
    <row r="10145" spans="1:7" hidden="1" x14ac:dyDescent="0.25">
      <c r="A10145" s="28">
        <v>44409</v>
      </c>
      <c r="B10145" s="27" t="s">
        <v>2</v>
      </c>
      <c r="C10145" s="27" t="s">
        <v>50</v>
      </c>
      <c r="D10145" s="27" t="s">
        <v>7</v>
      </c>
      <c r="E10145" s="27" t="s">
        <v>64</v>
      </c>
      <c r="F10145" s="29"/>
      <c r="G10145" s="30">
        <v>443.2</v>
      </c>
    </row>
    <row r="10146" spans="1:7" hidden="1" x14ac:dyDescent="0.25">
      <c r="A10146" s="28">
        <v>44409</v>
      </c>
      <c r="B10146" s="27" t="s">
        <v>2</v>
      </c>
      <c r="C10146" s="27" t="s">
        <v>50</v>
      </c>
      <c r="D10146" s="27" t="s">
        <v>7</v>
      </c>
      <c r="E10146" s="27" t="s">
        <v>21</v>
      </c>
      <c r="F10146" s="29"/>
      <c r="G10146" s="30">
        <v>687.6</v>
      </c>
    </row>
    <row r="10147" spans="1:7" hidden="1" x14ac:dyDescent="0.25">
      <c r="A10147" s="28">
        <v>44409</v>
      </c>
      <c r="B10147" s="27" t="s">
        <v>2</v>
      </c>
      <c r="C10147" s="27" t="s">
        <v>50</v>
      </c>
      <c r="D10147" s="27" t="s">
        <v>7</v>
      </c>
      <c r="E10147" s="27" t="s">
        <v>41</v>
      </c>
      <c r="F10147" s="29"/>
      <c r="G10147" s="30">
        <v>595.26</v>
      </c>
    </row>
    <row r="10148" spans="1:7" hidden="1" x14ac:dyDescent="0.25">
      <c r="A10148" s="28">
        <v>44409</v>
      </c>
      <c r="B10148" s="27" t="s">
        <v>2</v>
      </c>
      <c r="C10148" s="27" t="s">
        <v>50</v>
      </c>
      <c r="D10148" s="27" t="s">
        <v>7</v>
      </c>
      <c r="E10148" s="27" t="s">
        <v>10</v>
      </c>
      <c r="F10148" s="29"/>
      <c r="G10148" s="30">
        <v>362.4</v>
      </c>
    </row>
    <row r="10149" spans="1:7" hidden="1" x14ac:dyDescent="0.25">
      <c r="A10149" s="28">
        <v>44409</v>
      </c>
      <c r="B10149" s="27" t="s">
        <v>2</v>
      </c>
      <c r="C10149" s="27" t="s">
        <v>50</v>
      </c>
      <c r="D10149" s="27" t="s">
        <v>7</v>
      </c>
      <c r="E10149" s="27" t="s">
        <v>11</v>
      </c>
      <c r="F10149" s="29"/>
      <c r="G10149" s="30">
        <v>947.7</v>
      </c>
    </row>
    <row r="10150" spans="1:7" hidden="1" x14ac:dyDescent="0.25">
      <c r="A10150" s="28">
        <v>44409</v>
      </c>
      <c r="B10150" s="27" t="s">
        <v>2</v>
      </c>
      <c r="C10150" s="27" t="s">
        <v>50</v>
      </c>
      <c r="D10150" s="27" t="s">
        <v>7</v>
      </c>
      <c r="E10150" s="27" t="s">
        <v>12</v>
      </c>
      <c r="F10150" s="29"/>
      <c r="G10150" s="30">
        <v>345.1</v>
      </c>
    </row>
    <row r="10151" spans="1:7" hidden="1" x14ac:dyDescent="0.25">
      <c r="A10151" s="28">
        <v>44409</v>
      </c>
      <c r="B10151" s="27" t="s">
        <v>2</v>
      </c>
      <c r="C10151" s="27" t="s">
        <v>50</v>
      </c>
      <c r="D10151" s="27" t="s">
        <v>7</v>
      </c>
      <c r="E10151" s="27" t="s">
        <v>13</v>
      </c>
      <c r="F10151" s="29"/>
      <c r="G10151" s="30">
        <v>34.9</v>
      </c>
    </row>
    <row r="10152" spans="1:7" hidden="1" x14ac:dyDescent="0.25">
      <c r="A10152" s="28">
        <v>44409</v>
      </c>
      <c r="B10152" s="27" t="s">
        <v>2</v>
      </c>
      <c r="C10152" s="27" t="s">
        <v>50</v>
      </c>
      <c r="D10152" s="27" t="s">
        <v>7</v>
      </c>
      <c r="E10152" s="27" t="s">
        <v>14</v>
      </c>
      <c r="F10152" s="29"/>
      <c r="G10152" s="30">
        <v>234.2</v>
      </c>
    </row>
    <row r="10153" spans="1:7" hidden="1" x14ac:dyDescent="0.25">
      <c r="A10153" s="28">
        <v>44409</v>
      </c>
      <c r="B10153" s="27" t="s">
        <v>2</v>
      </c>
      <c r="C10153" s="27" t="s">
        <v>50</v>
      </c>
      <c r="D10153" s="27" t="s">
        <v>7</v>
      </c>
      <c r="E10153" s="27" t="s">
        <v>15</v>
      </c>
      <c r="F10153" s="29"/>
      <c r="G10153" s="30">
        <v>574.27</v>
      </c>
    </row>
    <row r="10154" spans="1:7" hidden="1" x14ac:dyDescent="0.25">
      <c r="A10154" s="28">
        <v>44409</v>
      </c>
      <c r="B10154" s="27" t="s">
        <v>2</v>
      </c>
      <c r="C10154" s="27" t="s">
        <v>50</v>
      </c>
      <c r="D10154" s="27" t="s">
        <v>7</v>
      </c>
      <c r="E10154" s="27" t="s">
        <v>16</v>
      </c>
      <c r="F10154" s="29"/>
      <c r="G10154" s="30">
        <v>36.07</v>
      </c>
    </row>
    <row r="10155" spans="1:7" hidden="1" x14ac:dyDescent="0.25">
      <c r="A10155" s="28">
        <v>44409</v>
      </c>
      <c r="B10155" s="27" t="s">
        <v>2</v>
      </c>
      <c r="C10155" s="27" t="s">
        <v>50</v>
      </c>
      <c r="D10155" s="27" t="s">
        <v>7</v>
      </c>
      <c r="E10155" s="27" t="s">
        <v>17</v>
      </c>
      <c r="F10155" s="29"/>
      <c r="G10155" s="30">
        <v>835.87</v>
      </c>
    </row>
    <row r="10156" spans="1:7" hidden="1" x14ac:dyDescent="0.25">
      <c r="A10156" s="28">
        <v>44409</v>
      </c>
      <c r="B10156" s="27" t="s">
        <v>2</v>
      </c>
      <c r="C10156" s="27" t="s">
        <v>50</v>
      </c>
      <c r="D10156" s="27" t="s">
        <v>7</v>
      </c>
      <c r="E10156" s="27" t="s">
        <v>18</v>
      </c>
      <c r="F10156" s="29"/>
      <c r="G10156" s="30">
        <v>84.9</v>
      </c>
    </row>
    <row r="10157" spans="1:7" hidden="1" x14ac:dyDescent="0.25">
      <c r="A10157" s="28">
        <v>44409</v>
      </c>
      <c r="B10157" s="27" t="s">
        <v>2</v>
      </c>
      <c r="C10157" s="27" t="s">
        <v>50</v>
      </c>
      <c r="D10157" s="27" t="s">
        <v>7</v>
      </c>
      <c r="E10157" s="27" t="s">
        <v>19</v>
      </c>
      <c r="F10157" s="29"/>
      <c r="G10157" s="30">
        <v>619.07000000000005</v>
      </c>
    </row>
    <row r="10158" spans="1:7" hidden="1" x14ac:dyDescent="0.25">
      <c r="A10158" s="28">
        <v>44409</v>
      </c>
      <c r="B10158" s="27" t="s">
        <v>2</v>
      </c>
      <c r="C10158" s="27" t="s">
        <v>50</v>
      </c>
      <c r="D10158" s="27" t="s">
        <v>7</v>
      </c>
      <c r="E10158" s="27" t="s">
        <v>20</v>
      </c>
      <c r="F10158" s="29"/>
      <c r="G10158" s="30">
        <v>512.6</v>
      </c>
    </row>
    <row r="10159" spans="1:7" hidden="1" x14ac:dyDescent="0.25">
      <c r="A10159" s="28">
        <v>44409</v>
      </c>
      <c r="B10159" s="27" t="s">
        <v>2</v>
      </c>
      <c r="C10159" s="27" t="s">
        <v>50</v>
      </c>
      <c r="D10159" s="27" t="s">
        <v>7</v>
      </c>
      <c r="E10159" s="27" t="s">
        <v>38</v>
      </c>
      <c r="F10159" s="29"/>
      <c r="G10159" s="30">
        <v>28.1</v>
      </c>
    </row>
    <row r="10160" spans="1:7" hidden="1" x14ac:dyDescent="0.25">
      <c r="A10160" s="28">
        <v>44409</v>
      </c>
      <c r="B10160" s="27" t="s">
        <v>2</v>
      </c>
      <c r="C10160" s="27" t="s">
        <v>50</v>
      </c>
      <c r="D10160" s="27" t="s">
        <v>7</v>
      </c>
      <c r="E10160" s="27" t="s">
        <v>23</v>
      </c>
      <c r="F10160" s="29"/>
      <c r="G10160" s="30">
        <v>437.33</v>
      </c>
    </row>
    <row r="10161" spans="1:7" hidden="1" x14ac:dyDescent="0.25">
      <c r="A10161" s="28">
        <v>44409</v>
      </c>
      <c r="B10161" s="27" t="s">
        <v>2</v>
      </c>
      <c r="C10161" s="27" t="s">
        <v>50</v>
      </c>
      <c r="D10161" s="27" t="s">
        <v>7</v>
      </c>
      <c r="E10161" s="27" t="s">
        <v>40</v>
      </c>
      <c r="F10161" s="29"/>
      <c r="G10161" s="30">
        <v>425.8</v>
      </c>
    </row>
    <row r="10162" spans="1:7" hidden="1" x14ac:dyDescent="0.25">
      <c r="A10162" s="28">
        <v>44409</v>
      </c>
      <c r="B10162" s="27" t="s">
        <v>36</v>
      </c>
      <c r="C10162" s="27" t="s">
        <v>50</v>
      </c>
      <c r="D10162" s="27" t="s">
        <v>6</v>
      </c>
      <c r="E10162" s="27" t="s">
        <v>8</v>
      </c>
      <c r="F10162" s="29"/>
      <c r="G10162" s="30">
        <v>317.19541666666663</v>
      </c>
    </row>
    <row r="10163" spans="1:7" hidden="1" x14ac:dyDescent="0.25">
      <c r="A10163" s="28">
        <v>44409</v>
      </c>
      <c r="B10163" s="27" t="s">
        <v>36</v>
      </c>
      <c r="C10163" s="27" t="s">
        <v>50</v>
      </c>
      <c r="D10163" s="27" t="s">
        <v>6</v>
      </c>
      <c r="E10163" s="27" t="s">
        <v>9</v>
      </c>
      <c r="F10163" s="29"/>
      <c r="G10163" s="30">
        <v>317.19541666666663</v>
      </c>
    </row>
    <row r="10164" spans="1:7" hidden="1" x14ac:dyDescent="0.25">
      <c r="A10164" s="28">
        <v>44409</v>
      </c>
      <c r="B10164" s="27" t="s">
        <v>36</v>
      </c>
      <c r="C10164" s="27" t="s">
        <v>50</v>
      </c>
      <c r="D10164" s="27" t="s">
        <v>6</v>
      </c>
      <c r="E10164" s="27" t="s">
        <v>22</v>
      </c>
      <c r="F10164" s="29"/>
      <c r="G10164" s="30">
        <v>317.19541666666663</v>
      </c>
    </row>
    <row r="10165" spans="1:7" hidden="1" x14ac:dyDescent="0.25">
      <c r="A10165" s="28">
        <v>44409</v>
      </c>
      <c r="B10165" s="27" t="s">
        <v>36</v>
      </c>
      <c r="C10165" s="27" t="s">
        <v>50</v>
      </c>
      <c r="D10165" s="27" t="s">
        <v>6</v>
      </c>
      <c r="E10165" s="27" t="s">
        <v>39</v>
      </c>
      <c r="F10165" s="29"/>
      <c r="G10165" s="30">
        <v>317.19541666666663</v>
      </c>
    </row>
    <row r="10166" spans="1:7" hidden="1" x14ac:dyDescent="0.25">
      <c r="A10166" s="28">
        <v>44409</v>
      </c>
      <c r="B10166" s="27" t="s">
        <v>36</v>
      </c>
      <c r="C10166" s="27" t="s">
        <v>50</v>
      </c>
      <c r="D10166" s="27" t="s">
        <v>6</v>
      </c>
      <c r="E10166" s="27" t="s">
        <v>64</v>
      </c>
      <c r="F10166" s="29"/>
      <c r="G10166" s="30">
        <v>317.19541666666663</v>
      </c>
    </row>
    <row r="10167" spans="1:7" hidden="1" x14ac:dyDescent="0.25">
      <c r="A10167" s="28">
        <v>44409</v>
      </c>
      <c r="B10167" s="27" t="s">
        <v>36</v>
      </c>
      <c r="C10167" s="27" t="s">
        <v>50</v>
      </c>
      <c r="D10167" s="27" t="s">
        <v>6</v>
      </c>
      <c r="E10167" s="27" t="s">
        <v>21</v>
      </c>
      <c r="F10167" s="29"/>
      <c r="G10167" s="30">
        <v>317.19541666666663</v>
      </c>
    </row>
    <row r="10168" spans="1:7" hidden="1" x14ac:dyDescent="0.25">
      <c r="A10168" s="28">
        <v>44409</v>
      </c>
      <c r="B10168" s="27" t="s">
        <v>36</v>
      </c>
      <c r="C10168" s="27" t="s">
        <v>50</v>
      </c>
      <c r="D10168" s="27" t="s">
        <v>6</v>
      </c>
      <c r="E10168" s="27" t="s">
        <v>41</v>
      </c>
      <c r="F10168" s="29"/>
      <c r="G10168" s="30">
        <v>317.19541666666663</v>
      </c>
    </row>
    <row r="10169" spans="1:7" hidden="1" x14ac:dyDescent="0.25">
      <c r="A10169" s="28">
        <v>44409</v>
      </c>
      <c r="B10169" s="27" t="s">
        <v>36</v>
      </c>
      <c r="C10169" s="27" t="s">
        <v>50</v>
      </c>
      <c r="D10169" s="27" t="s">
        <v>6</v>
      </c>
      <c r="E10169" s="27" t="s">
        <v>10</v>
      </c>
      <c r="F10169" s="29"/>
      <c r="G10169" s="30">
        <v>317.19541666666663</v>
      </c>
    </row>
    <row r="10170" spans="1:7" hidden="1" x14ac:dyDescent="0.25">
      <c r="A10170" s="28">
        <v>44409</v>
      </c>
      <c r="B10170" s="27" t="s">
        <v>36</v>
      </c>
      <c r="C10170" s="27" t="s">
        <v>50</v>
      </c>
      <c r="D10170" s="27" t="s">
        <v>6</v>
      </c>
      <c r="E10170" s="27" t="s">
        <v>11</v>
      </c>
      <c r="F10170" s="29"/>
      <c r="G10170" s="30">
        <v>317.19541666666663</v>
      </c>
    </row>
    <row r="10171" spans="1:7" hidden="1" x14ac:dyDescent="0.25">
      <c r="A10171" s="28">
        <v>44409</v>
      </c>
      <c r="B10171" s="27" t="s">
        <v>36</v>
      </c>
      <c r="C10171" s="27" t="s">
        <v>50</v>
      </c>
      <c r="D10171" s="27" t="s">
        <v>6</v>
      </c>
      <c r="E10171" s="27" t="s">
        <v>12</v>
      </c>
      <c r="F10171" s="29"/>
      <c r="G10171" s="30">
        <v>317.19541666666663</v>
      </c>
    </row>
    <row r="10172" spans="1:7" hidden="1" x14ac:dyDescent="0.25">
      <c r="A10172" s="28">
        <v>44409</v>
      </c>
      <c r="B10172" s="27" t="s">
        <v>36</v>
      </c>
      <c r="C10172" s="27" t="s">
        <v>50</v>
      </c>
      <c r="D10172" s="27" t="s">
        <v>6</v>
      </c>
      <c r="E10172" s="27" t="s">
        <v>13</v>
      </c>
      <c r="F10172" s="29"/>
      <c r="G10172" s="30">
        <v>317.19541666666663</v>
      </c>
    </row>
    <row r="10173" spans="1:7" hidden="1" x14ac:dyDescent="0.25">
      <c r="A10173" s="28">
        <v>44409</v>
      </c>
      <c r="B10173" s="27" t="s">
        <v>36</v>
      </c>
      <c r="C10173" s="27" t="s">
        <v>50</v>
      </c>
      <c r="D10173" s="27" t="s">
        <v>6</v>
      </c>
      <c r="E10173" s="27" t="s">
        <v>14</v>
      </c>
      <c r="F10173" s="29"/>
      <c r="G10173" s="30">
        <v>317.19541666666663</v>
      </c>
    </row>
    <row r="10174" spans="1:7" hidden="1" x14ac:dyDescent="0.25">
      <c r="A10174" s="28">
        <v>44409</v>
      </c>
      <c r="B10174" s="27" t="s">
        <v>36</v>
      </c>
      <c r="C10174" s="27" t="s">
        <v>50</v>
      </c>
      <c r="D10174" s="27" t="s">
        <v>6</v>
      </c>
      <c r="E10174" s="27" t="s">
        <v>15</v>
      </c>
      <c r="F10174" s="29"/>
      <c r="G10174" s="30">
        <v>317.19541666666663</v>
      </c>
    </row>
    <row r="10175" spans="1:7" hidden="1" x14ac:dyDescent="0.25">
      <c r="A10175" s="28">
        <v>44409</v>
      </c>
      <c r="B10175" s="27" t="s">
        <v>36</v>
      </c>
      <c r="C10175" s="27" t="s">
        <v>50</v>
      </c>
      <c r="D10175" s="27" t="s">
        <v>6</v>
      </c>
      <c r="E10175" s="27" t="s">
        <v>16</v>
      </c>
      <c r="F10175" s="29"/>
      <c r="G10175" s="30">
        <v>317.19541666666663</v>
      </c>
    </row>
    <row r="10176" spans="1:7" hidden="1" x14ac:dyDescent="0.25">
      <c r="A10176" s="28">
        <v>44409</v>
      </c>
      <c r="B10176" s="27" t="s">
        <v>36</v>
      </c>
      <c r="C10176" s="27" t="s">
        <v>50</v>
      </c>
      <c r="D10176" s="27" t="s">
        <v>6</v>
      </c>
      <c r="E10176" s="27" t="s">
        <v>17</v>
      </c>
      <c r="F10176" s="29"/>
      <c r="G10176" s="30">
        <v>317.19541666666663</v>
      </c>
    </row>
    <row r="10177" spans="1:7" hidden="1" x14ac:dyDescent="0.25">
      <c r="A10177" s="28">
        <v>44409</v>
      </c>
      <c r="B10177" s="27" t="s">
        <v>36</v>
      </c>
      <c r="C10177" s="27" t="s">
        <v>50</v>
      </c>
      <c r="D10177" s="27" t="s">
        <v>6</v>
      </c>
      <c r="E10177" s="27" t="s">
        <v>18</v>
      </c>
      <c r="F10177" s="29"/>
      <c r="G10177" s="30">
        <v>317.19541666666663</v>
      </c>
    </row>
    <row r="10178" spans="1:7" hidden="1" x14ac:dyDescent="0.25">
      <c r="A10178" s="28">
        <v>44409</v>
      </c>
      <c r="B10178" s="27" t="s">
        <v>36</v>
      </c>
      <c r="C10178" s="27" t="s">
        <v>50</v>
      </c>
      <c r="D10178" s="27" t="s">
        <v>6</v>
      </c>
      <c r="E10178" s="27" t="s">
        <v>19</v>
      </c>
      <c r="F10178" s="29"/>
      <c r="G10178" s="30">
        <v>317.19541666666663</v>
      </c>
    </row>
    <row r="10179" spans="1:7" hidden="1" x14ac:dyDescent="0.25">
      <c r="A10179" s="28">
        <v>44409</v>
      </c>
      <c r="B10179" s="27" t="s">
        <v>36</v>
      </c>
      <c r="C10179" s="27" t="s">
        <v>50</v>
      </c>
      <c r="D10179" s="27" t="s">
        <v>6</v>
      </c>
      <c r="E10179" s="27" t="s">
        <v>20</v>
      </c>
      <c r="F10179" s="29"/>
      <c r="G10179" s="30">
        <v>317.19541666666663</v>
      </c>
    </row>
    <row r="10180" spans="1:7" hidden="1" x14ac:dyDescent="0.25">
      <c r="A10180" s="28">
        <v>44409</v>
      </c>
      <c r="B10180" s="27" t="s">
        <v>36</v>
      </c>
      <c r="C10180" s="27" t="s">
        <v>50</v>
      </c>
      <c r="D10180" s="27" t="s">
        <v>6</v>
      </c>
      <c r="E10180" s="27" t="s">
        <v>38</v>
      </c>
      <c r="F10180" s="29"/>
      <c r="G10180" s="30">
        <v>317.19541666666663</v>
      </c>
    </row>
    <row r="10181" spans="1:7" hidden="1" x14ac:dyDescent="0.25">
      <c r="A10181" s="28">
        <v>44409</v>
      </c>
      <c r="B10181" s="27" t="s">
        <v>36</v>
      </c>
      <c r="C10181" s="27" t="s">
        <v>50</v>
      </c>
      <c r="D10181" s="27" t="s">
        <v>6</v>
      </c>
      <c r="E10181" s="27" t="s">
        <v>23</v>
      </c>
      <c r="F10181" s="29"/>
      <c r="G10181" s="30">
        <v>317.19541666666663</v>
      </c>
    </row>
    <row r="10182" spans="1:7" hidden="1" x14ac:dyDescent="0.25">
      <c r="A10182" s="28">
        <v>44409</v>
      </c>
      <c r="B10182" s="27" t="s">
        <v>36</v>
      </c>
      <c r="C10182" s="27" t="s">
        <v>50</v>
      </c>
      <c r="D10182" s="27" t="s">
        <v>6</v>
      </c>
      <c r="E10182" s="27" t="s">
        <v>40</v>
      </c>
      <c r="F10182" s="29"/>
      <c r="G10182" s="30">
        <v>317.19541666666663</v>
      </c>
    </row>
    <row r="10183" spans="1:7" hidden="1" x14ac:dyDescent="0.25">
      <c r="A10183" s="28">
        <v>44409</v>
      </c>
      <c r="B10183" s="27" t="s">
        <v>36</v>
      </c>
      <c r="C10183" s="27" t="s">
        <v>50</v>
      </c>
      <c r="D10183" s="27" t="s">
        <v>6</v>
      </c>
      <c r="E10183" s="27" t="s">
        <v>42</v>
      </c>
      <c r="F10183" s="29"/>
      <c r="G10183" s="30">
        <v>317.19541666666663</v>
      </c>
    </row>
    <row r="10184" spans="1:7" hidden="1" x14ac:dyDescent="0.25">
      <c r="A10184" s="28">
        <v>44409</v>
      </c>
      <c r="B10184" s="27" t="s">
        <v>36</v>
      </c>
      <c r="C10184" s="27" t="s">
        <v>50</v>
      </c>
      <c r="D10184" s="27" t="s">
        <v>6</v>
      </c>
      <c r="E10184" s="27" t="s">
        <v>43</v>
      </c>
      <c r="F10184" s="29"/>
      <c r="G10184" s="30">
        <v>317.19541666666663</v>
      </c>
    </row>
    <row r="10185" spans="1:7" hidden="1" x14ac:dyDescent="0.25">
      <c r="A10185" s="28">
        <v>44409</v>
      </c>
      <c r="B10185" s="27" t="s">
        <v>36</v>
      </c>
      <c r="C10185" s="27" t="s">
        <v>50</v>
      </c>
      <c r="D10185" s="27" t="s">
        <v>6</v>
      </c>
      <c r="E10185" s="27" t="s">
        <v>72</v>
      </c>
      <c r="F10185" s="29"/>
      <c r="G10185" s="30">
        <v>317.19541666666663</v>
      </c>
    </row>
    <row r="10186" spans="1:7" hidden="1" x14ac:dyDescent="0.25">
      <c r="A10186" s="28">
        <v>44409</v>
      </c>
      <c r="B10186" s="27" t="s">
        <v>200</v>
      </c>
      <c r="C10186" s="27" t="s">
        <v>53</v>
      </c>
      <c r="D10186" s="27" t="s">
        <v>6</v>
      </c>
      <c r="E10186" s="27" t="s">
        <v>8</v>
      </c>
      <c r="F10186" s="29"/>
      <c r="G10186" s="30">
        <f t="shared" ref="G10186:G10206" si="185">10549.9482666667/21</f>
        <v>502.3784888888905</v>
      </c>
    </row>
    <row r="10187" spans="1:7" hidden="1" x14ac:dyDescent="0.25">
      <c r="A10187" s="28">
        <v>44409</v>
      </c>
      <c r="B10187" s="27" t="s">
        <v>200</v>
      </c>
      <c r="C10187" s="27" t="s">
        <v>53</v>
      </c>
      <c r="D10187" s="27" t="s">
        <v>6</v>
      </c>
      <c r="E10187" s="27" t="s">
        <v>9</v>
      </c>
      <c r="F10187" s="29"/>
      <c r="G10187" s="30">
        <f t="shared" si="185"/>
        <v>502.3784888888905</v>
      </c>
    </row>
    <row r="10188" spans="1:7" hidden="1" x14ac:dyDescent="0.25">
      <c r="A10188" s="28">
        <v>44409</v>
      </c>
      <c r="B10188" s="27" t="s">
        <v>200</v>
      </c>
      <c r="C10188" s="27" t="s">
        <v>53</v>
      </c>
      <c r="D10188" s="27" t="s">
        <v>6</v>
      </c>
      <c r="E10188" s="27" t="s">
        <v>22</v>
      </c>
      <c r="F10188" s="29"/>
      <c r="G10188" s="30">
        <f t="shared" si="185"/>
        <v>502.3784888888905</v>
      </c>
    </row>
    <row r="10189" spans="1:7" hidden="1" x14ac:dyDescent="0.25">
      <c r="A10189" s="28">
        <v>44409</v>
      </c>
      <c r="B10189" s="27" t="s">
        <v>200</v>
      </c>
      <c r="C10189" s="27" t="s">
        <v>53</v>
      </c>
      <c r="D10189" s="27" t="s">
        <v>6</v>
      </c>
      <c r="E10189" s="27" t="s">
        <v>39</v>
      </c>
      <c r="F10189" s="29"/>
      <c r="G10189" s="30">
        <f t="shared" si="185"/>
        <v>502.3784888888905</v>
      </c>
    </row>
    <row r="10190" spans="1:7" hidden="1" x14ac:dyDescent="0.25">
      <c r="A10190" s="28">
        <v>44409</v>
      </c>
      <c r="B10190" s="27" t="s">
        <v>200</v>
      </c>
      <c r="C10190" s="27" t="s">
        <v>53</v>
      </c>
      <c r="D10190" s="27" t="s">
        <v>6</v>
      </c>
      <c r="E10190" s="27" t="s">
        <v>64</v>
      </c>
      <c r="F10190" s="29"/>
      <c r="G10190" s="30">
        <f t="shared" si="185"/>
        <v>502.3784888888905</v>
      </c>
    </row>
    <row r="10191" spans="1:7" hidden="1" x14ac:dyDescent="0.25">
      <c r="A10191" s="28">
        <v>44409</v>
      </c>
      <c r="B10191" s="27" t="s">
        <v>200</v>
      </c>
      <c r="C10191" s="27" t="s">
        <v>53</v>
      </c>
      <c r="D10191" s="27" t="s">
        <v>6</v>
      </c>
      <c r="E10191" s="27" t="s">
        <v>21</v>
      </c>
      <c r="F10191" s="29"/>
      <c r="G10191" s="30">
        <f t="shared" si="185"/>
        <v>502.3784888888905</v>
      </c>
    </row>
    <row r="10192" spans="1:7" hidden="1" x14ac:dyDescent="0.25">
      <c r="A10192" s="28">
        <v>44409</v>
      </c>
      <c r="B10192" s="27" t="s">
        <v>200</v>
      </c>
      <c r="C10192" s="27" t="s">
        <v>53</v>
      </c>
      <c r="D10192" s="27" t="s">
        <v>6</v>
      </c>
      <c r="E10192" s="27" t="s">
        <v>41</v>
      </c>
      <c r="F10192" s="29"/>
      <c r="G10192" s="30">
        <f t="shared" si="185"/>
        <v>502.3784888888905</v>
      </c>
    </row>
    <row r="10193" spans="1:7" hidden="1" x14ac:dyDescent="0.25">
      <c r="A10193" s="28">
        <v>44409</v>
      </c>
      <c r="B10193" s="27" t="s">
        <v>200</v>
      </c>
      <c r="C10193" s="27" t="s">
        <v>53</v>
      </c>
      <c r="D10193" s="27" t="s">
        <v>6</v>
      </c>
      <c r="E10193" s="27" t="s">
        <v>10</v>
      </c>
      <c r="F10193" s="29"/>
      <c r="G10193" s="30">
        <f t="shared" si="185"/>
        <v>502.3784888888905</v>
      </c>
    </row>
    <row r="10194" spans="1:7" hidden="1" x14ac:dyDescent="0.25">
      <c r="A10194" s="28">
        <v>44409</v>
      </c>
      <c r="B10194" s="27" t="s">
        <v>200</v>
      </c>
      <c r="C10194" s="27" t="s">
        <v>53</v>
      </c>
      <c r="D10194" s="27" t="s">
        <v>6</v>
      </c>
      <c r="E10194" s="27" t="s">
        <v>11</v>
      </c>
      <c r="F10194" s="29"/>
      <c r="G10194" s="30">
        <f t="shared" si="185"/>
        <v>502.3784888888905</v>
      </c>
    </row>
    <row r="10195" spans="1:7" hidden="1" x14ac:dyDescent="0.25">
      <c r="A10195" s="28">
        <v>44409</v>
      </c>
      <c r="B10195" s="27" t="s">
        <v>200</v>
      </c>
      <c r="C10195" s="27" t="s">
        <v>53</v>
      </c>
      <c r="D10195" s="27" t="s">
        <v>6</v>
      </c>
      <c r="E10195" s="27" t="s">
        <v>12</v>
      </c>
      <c r="F10195" s="29"/>
      <c r="G10195" s="30">
        <f t="shared" si="185"/>
        <v>502.3784888888905</v>
      </c>
    </row>
    <row r="10196" spans="1:7" hidden="1" x14ac:dyDescent="0.25">
      <c r="A10196" s="28">
        <v>44409</v>
      </c>
      <c r="B10196" s="27" t="s">
        <v>200</v>
      </c>
      <c r="C10196" s="27" t="s">
        <v>53</v>
      </c>
      <c r="D10196" s="27" t="s">
        <v>6</v>
      </c>
      <c r="E10196" s="27" t="s">
        <v>13</v>
      </c>
      <c r="F10196" s="29"/>
      <c r="G10196" s="30">
        <f t="shared" si="185"/>
        <v>502.3784888888905</v>
      </c>
    </row>
    <row r="10197" spans="1:7" hidden="1" x14ac:dyDescent="0.25">
      <c r="A10197" s="28">
        <v>44409</v>
      </c>
      <c r="B10197" s="27" t="s">
        <v>200</v>
      </c>
      <c r="C10197" s="27" t="s">
        <v>53</v>
      </c>
      <c r="D10197" s="27" t="s">
        <v>6</v>
      </c>
      <c r="E10197" s="27" t="s">
        <v>14</v>
      </c>
      <c r="F10197" s="29"/>
      <c r="G10197" s="30">
        <f t="shared" si="185"/>
        <v>502.3784888888905</v>
      </c>
    </row>
    <row r="10198" spans="1:7" hidden="1" x14ac:dyDescent="0.25">
      <c r="A10198" s="28">
        <v>44409</v>
      </c>
      <c r="B10198" s="27" t="s">
        <v>200</v>
      </c>
      <c r="C10198" s="27" t="s">
        <v>53</v>
      </c>
      <c r="D10198" s="27" t="s">
        <v>6</v>
      </c>
      <c r="E10198" s="27" t="s">
        <v>15</v>
      </c>
      <c r="F10198" s="29"/>
      <c r="G10198" s="30">
        <f t="shared" si="185"/>
        <v>502.3784888888905</v>
      </c>
    </row>
    <row r="10199" spans="1:7" hidden="1" x14ac:dyDescent="0.25">
      <c r="A10199" s="28">
        <v>44409</v>
      </c>
      <c r="B10199" s="27" t="s">
        <v>200</v>
      </c>
      <c r="C10199" s="27" t="s">
        <v>53</v>
      </c>
      <c r="D10199" s="27" t="s">
        <v>6</v>
      </c>
      <c r="E10199" s="27" t="s">
        <v>16</v>
      </c>
      <c r="F10199" s="29"/>
      <c r="G10199" s="30">
        <f t="shared" si="185"/>
        <v>502.3784888888905</v>
      </c>
    </row>
    <row r="10200" spans="1:7" hidden="1" x14ac:dyDescent="0.25">
      <c r="A10200" s="28">
        <v>44409</v>
      </c>
      <c r="B10200" s="27" t="s">
        <v>200</v>
      </c>
      <c r="C10200" s="27" t="s">
        <v>53</v>
      </c>
      <c r="D10200" s="27" t="s">
        <v>6</v>
      </c>
      <c r="E10200" s="27" t="s">
        <v>17</v>
      </c>
      <c r="F10200" s="29"/>
      <c r="G10200" s="30">
        <f t="shared" si="185"/>
        <v>502.3784888888905</v>
      </c>
    </row>
    <row r="10201" spans="1:7" hidden="1" x14ac:dyDescent="0.25">
      <c r="A10201" s="28">
        <v>44409</v>
      </c>
      <c r="B10201" s="27" t="s">
        <v>200</v>
      </c>
      <c r="C10201" s="27" t="s">
        <v>53</v>
      </c>
      <c r="D10201" s="27" t="s">
        <v>6</v>
      </c>
      <c r="E10201" s="27" t="s">
        <v>18</v>
      </c>
      <c r="F10201" s="29"/>
      <c r="G10201" s="30">
        <f t="shared" si="185"/>
        <v>502.3784888888905</v>
      </c>
    </row>
    <row r="10202" spans="1:7" hidden="1" x14ac:dyDescent="0.25">
      <c r="A10202" s="28">
        <v>44409</v>
      </c>
      <c r="B10202" s="27" t="s">
        <v>200</v>
      </c>
      <c r="C10202" s="27" t="s">
        <v>53</v>
      </c>
      <c r="D10202" s="27" t="s">
        <v>6</v>
      </c>
      <c r="E10202" s="27" t="s">
        <v>19</v>
      </c>
      <c r="F10202" s="29"/>
      <c r="G10202" s="30">
        <f t="shared" si="185"/>
        <v>502.3784888888905</v>
      </c>
    </row>
    <row r="10203" spans="1:7" hidden="1" x14ac:dyDescent="0.25">
      <c r="A10203" s="28">
        <v>44409</v>
      </c>
      <c r="B10203" s="27" t="s">
        <v>200</v>
      </c>
      <c r="C10203" s="27" t="s">
        <v>53</v>
      </c>
      <c r="D10203" s="27" t="s">
        <v>6</v>
      </c>
      <c r="E10203" s="27" t="s">
        <v>20</v>
      </c>
      <c r="F10203" s="29"/>
      <c r="G10203" s="30">
        <f t="shared" si="185"/>
        <v>502.3784888888905</v>
      </c>
    </row>
    <row r="10204" spans="1:7" hidden="1" x14ac:dyDescent="0.25">
      <c r="A10204" s="28">
        <v>44409</v>
      </c>
      <c r="B10204" s="27" t="s">
        <v>200</v>
      </c>
      <c r="C10204" s="27" t="s">
        <v>53</v>
      </c>
      <c r="D10204" s="27" t="s">
        <v>6</v>
      </c>
      <c r="E10204" s="27" t="s">
        <v>38</v>
      </c>
      <c r="F10204" s="29"/>
      <c r="G10204" s="30">
        <f t="shared" si="185"/>
        <v>502.3784888888905</v>
      </c>
    </row>
    <row r="10205" spans="1:7" hidden="1" x14ac:dyDescent="0.25">
      <c r="A10205" s="28">
        <v>44409</v>
      </c>
      <c r="B10205" s="27" t="s">
        <v>200</v>
      </c>
      <c r="C10205" s="27" t="s">
        <v>53</v>
      </c>
      <c r="D10205" s="27" t="s">
        <v>6</v>
      </c>
      <c r="E10205" s="27" t="s">
        <v>23</v>
      </c>
      <c r="F10205" s="29"/>
      <c r="G10205" s="30">
        <f t="shared" si="185"/>
        <v>502.3784888888905</v>
      </c>
    </row>
    <row r="10206" spans="1:7" hidden="1" x14ac:dyDescent="0.25">
      <c r="A10206" s="28">
        <v>44409</v>
      </c>
      <c r="B10206" s="27" t="s">
        <v>200</v>
      </c>
      <c r="C10206" s="27" t="s">
        <v>53</v>
      </c>
      <c r="D10206" s="27" t="s">
        <v>6</v>
      </c>
      <c r="E10206" s="27" t="s">
        <v>40</v>
      </c>
      <c r="F10206" s="29"/>
      <c r="G10206" s="30">
        <f t="shared" si="185"/>
        <v>502.3784888888905</v>
      </c>
    </row>
    <row r="10207" spans="1:7" hidden="1" x14ac:dyDescent="0.25">
      <c r="A10207" s="28">
        <v>44409</v>
      </c>
      <c r="B10207" s="27" t="s">
        <v>200</v>
      </c>
      <c r="C10207" s="27" t="s">
        <v>54</v>
      </c>
      <c r="D10207" s="27" t="s">
        <v>7</v>
      </c>
      <c r="E10207" s="27" t="s">
        <v>8</v>
      </c>
      <c r="F10207" s="29"/>
      <c r="G10207" s="30">
        <f t="shared" ref="G10207:G10230" si="186">239.02/24</f>
        <v>9.9591666666666665</v>
      </c>
    </row>
    <row r="10208" spans="1:7" hidden="1" x14ac:dyDescent="0.25">
      <c r="A10208" s="28">
        <v>44409</v>
      </c>
      <c r="B10208" s="27" t="s">
        <v>200</v>
      </c>
      <c r="C10208" s="27" t="s">
        <v>54</v>
      </c>
      <c r="D10208" s="27" t="s">
        <v>7</v>
      </c>
      <c r="E10208" s="27" t="s">
        <v>9</v>
      </c>
      <c r="F10208" s="29"/>
      <c r="G10208" s="30">
        <f t="shared" si="186"/>
        <v>9.9591666666666665</v>
      </c>
    </row>
    <row r="10209" spans="1:7" hidden="1" x14ac:dyDescent="0.25">
      <c r="A10209" s="28">
        <v>44409</v>
      </c>
      <c r="B10209" s="27" t="s">
        <v>200</v>
      </c>
      <c r="C10209" s="27" t="s">
        <v>54</v>
      </c>
      <c r="D10209" s="27" t="s">
        <v>7</v>
      </c>
      <c r="E10209" s="27" t="s">
        <v>22</v>
      </c>
      <c r="F10209" s="29"/>
      <c r="G10209" s="30">
        <f t="shared" si="186"/>
        <v>9.9591666666666665</v>
      </c>
    </row>
    <row r="10210" spans="1:7" hidden="1" x14ac:dyDescent="0.25">
      <c r="A10210" s="28">
        <v>44409</v>
      </c>
      <c r="B10210" s="27" t="s">
        <v>200</v>
      </c>
      <c r="C10210" s="27" t="s">
        <v>54</v>
      </c>
      <c r="D10210" s="27" t="s">
        <v>7</v>
      </c>
      <c r="E10210" s="27" t="s">
        <v>39</v>
      </c>
      <c r="F10210" s="29"/>
      <c r="G10210" s="30">
        <f t="shared" si="186"/>
        <v>9.9591666666666665</v>
      </c>
    </row>
    <row r="10211" spans="1:7" hidden="1" x14ac:dyDescent="0.25">
      <c r="A10211" s="28">
        <v>44409</v>
      </c>
      <c r="B10211" s="27" t="s">
        <v>200</v>
      </c>
      <c r="C10211" s="27" t="s">
        <v>54</v>
      </c>
      <c r="D10211" s="27" t="s">
        <v>7</v>
      </c>
      <c r="E10211" s="27" t="s">
        <v>64</v>
      </c>
      <c r="F10211" s="29"/>
      <c r="G10211" s="30">
        <f t="shared" si="186"/>
        <v>9.9591666666666665</v>
      </c>
    </row>
    <row r="10212" spans="1:7" hidden="1" x14ac:dyDescent="0.25">
      <c r="A10212" s="28">
        <v>44409</v>
      </c>
      <c r="B10212" s="27" t="s">
        <v>200</v>
      </c>
      <c r="C10212" s="27" t="s">
        <v>54</v>
      </c>
      <c r="D10212" s="27" t="s">
        <v>7</v>
      </c>
      <c r="E10212" s="27" t="s">
        <v>21</v>
      </c>
      <c r="F10212" s="29"/>
      <c r="G10212" s="30">
        <f t="shared" si="186"/>
        <v>9.9591666666666665</v>
      </c>
    </row>
    <row r="10213" spans="1:7" hidden="1" x14ac:dyDescent="0.25">
      <c r="A10213" s="28">
        <v>44409</v>
      </c>
      <c r="B10213" s="27" t="s">
        <v>200</v>
      </c>
      <c r="C10213" s="27" t="s">
        <v>54</v>
      </c>
      <c r="D10213" s="27" t="s">
        <v>7</v>
      </c>
      <c r="E10213" s="27" t="s">
        <v>41</v>
      </c>
      <c r="F10213" s="29"/>
      <c r="G10213" s="30">
        <f t="shared" si="186"/>
        <v>9.9591666666666665</v>
      </c>
    </row>
    <row r="10214" spans="1:7" hidden="1" x14ac:dyDescent="0.25">
      <c r="A10214" s="28">
        <v>44409</v>
      </c>
      <c r="B10214" s="27" t="s">
        <v>200</v>
      </c>
      <c r="C10214" s="27" t="s">
        <v>54</v>
      </c>
      <c r="D10214" s="27" t="s">
        <v>7</v>
      </c>
      <c r="E10214" s="27" t="s">
        <v>10</v>
      </c>
      <c r="F10214" s="29"/>
      <c r="G10214" s="30">
        <f t="shared" si="186"/>
        <v>9.9591666666666665</v>
      </c>
    </row>
    <row r="10215" spans="1:7" hidden="1" x14ac:dyDescent="0.25">
      <c r="A10215" s="28">
        <v>44409</v>
      </c>
      <c r="B10215" s="27" t="s">
        <v>200</v>
      </c>
      <c r="C10215" s="27" t="s">
        <v>54</v>
      </c>
      <c r="D10215" s="27" t="s">
        <v>7</v>
      </c>
      <c r="E10215" s="27" t="s">
        <v>11</v>
      </c>
      <c r="F10215" s="29"/>
      <c r="G10215" s="30">
        <f t="shared" si="186"/>
        <v>9.9591666666666665</v>
      </c>
    </row>
    <row r="10216" spans="1:7" hidden="1" x14ac:dyDescent="0.25">
      <c r="A10216" s="28">
        <v>44409</v>
      </c>
      <c r="B10216" s="27" t="s">
        <v>200</v>
      </c>
      <c r="C10216" s="27" t="s">
        <v>54</v>
      </c>
      <c r="D10216" s="27" t="s">
        <v>7</v>
      </c>
      <c r="E10216" s="27" t="s">
        <v>12</v>
      </c>
      <c r="F10216" s="29"/>
      <c r="G10216" s="30">
        <f t="shared" si="186"/>
        <v>9.9591666666666665</v>
      </c>
    </row>
    <row r="10217" spans="1:7" hidden="1" x14ac:dyDescent="0.25">
      <c r="A10217" s="28">
        <v>44409</v>
      </c>
      <c r="B10217" s="27" t="s">
        <v>200</v>
      </c>
      <c r="C10217" s="27" t="s">
        <v>54</v>
      </c>
      <c r="D10217" s="27" t="s">
        <v>7</v>
      </c>
      <c r="E10217" s="27" t="s">
        <v>13</v>
      </c>
      <c r="F10217" s="29"/>
      <c r="G10217" s="30">
        <f t="shared" si="186"/>
        <v>9.9591666666666665</v>
      </c>
    </row>
    <row r="10218" spans="1:7" hidden="1" x14ac:dyDescent="0.25">
      <c r="A10218" s="28">
        <v>44409</v>
      </c>
      <c r="B10218" s="27" t="s">
        <v>200</v>
      </c>
      <c r="C10218" s="27" t="s">
        <v>54</v>
      </c>
      <c r="D10218" s="27" t="s">
        <v>7</v>
      </c>
      <c r="E10218" s="27" t="s">
        <v>14</v>
      </c>
      <c r="F10218" s="29"/>
      <c r="G10218" s="30">
        <f t="shared" si="186"/>
        <v>9.9591666666666665</v>
      </c>
    </row>
    <row r="10219" spans="1:7" hidden="1" x14ac:dyDescent="0.25">
      <c r="A10219" s="28">
        <v>44409</v>
      </c>
      <c r="B10219" s="27" t="s">
        <v>200</v>
      </c>
      <c r="C10219" s="27" t="s">
        <v>54</v>
      </c>
      <c r="D10219" s="27" t="s">
        <v>7</v>
      </c>
      <c r="E10219" s="27" t="s">
        <v>15</v>
      </c>
      <c r="F10219" s="29"/>
      <c r="G10219" s="30">
        <f t="shared" si="186"/>
        <v>9.9591666666666665</v>
      </c>
    </row>
    <row r="10220" spans="1:7" hidden="1" x14ac:dyDescent="0.25">
      <c r="A10220" s="28">
        <v>44409</v>
      </c>
      <c r="B10220" s="27" t="s">
        <v>200</v>
      </c>
      <c r="C10220" s="27" t="s">
        <v>54</v>
      </c>
      <c r="D10220" s="27" t="s">
        <v>7</v>
      </c>
      <c r="E10220" s="27" t="s">
        <v>16</v>
      </c>
      <c r="F10220" s="29"/>
      <c r="G10220" s="30">
        <f t="shared" si="186"/>
        <v>9.9591666666666665</v>
      </c>
    </row>
    <row r="10221" spans="1:7" hidden="1" x14ac:dyDescent="0.25">
      <c r="A10221" s="28">
        <v>44409</v>
      </c>
      <c r="B10221" s="27" t="s">
        <v>200</v>
      </c>
      <c r="C10221" s="27" t="s">
        <v>54</v>
      </c>
      <c r="D10221" s="27" t="s">
        <v>7</v>
      </c>
      <c r="E10221" s="27" t="s">
        <v>17</v>
      </c>
      <c r="F10221" s="29"/>
      <c r="G10221" s="30">
        <f t="shared" si="186"/>
        <v>9.9591666666666665</v>
      </c>
    </row>
    <row r="10222" spans="1:7" hidden="1" x14ac:dyDescent="0.25">
      <c r="A10222" s="28">
        <v>44409</v>
      </c>
      <c r="B10222" s="27" t="s">
        <v>200</v>
      </c>
      <c r="C10222" s="27" t="s">
        <v>54</v>
      </c>
      <c r="D10222" s="27" t="s">
        <v>7</v>
      </c>
      <c r="E10222" s="27" t="s">
        <v>18</v>
      </c>
      <c r="F10222" s="29"/>
      <c r="G10222" s="30">
        <f t="shared" si="186"/>
        <v>9.9591666666666665</v>
      </c>
    </row>
    <row r="10223" spans="1:7" hidden="1" x14ac:dyDescent="0.25">
      <c r="A10223" s="28">
        <v>44409</v>
      </c>
      <c r="B10223" s="27" t="s">
        <v>200</v>
      </c>
      <c r="C10223" s="27" t="s">
        <v>54</v>
      </c>
      <c r="D10223" s="27" t="s">
        <v>7</v>
      </c>
      <c r="E10223" s="27" t="s">
        <v>19</v>
      </c>
      <c r="F10223" s="29"/>
      <c r="G10223" s="30">
        <f t="shared" si="186"/>
        <v>9.9591666666666665</v>
      </c>
    </row>
    <row r="10224" spans="1:7" hidden="1" x14ac:dyDescent="0.25">
      <c r="A10224" s="28">
        <v>44409</v>
      </c>
      <c r="B10224" s="27" t="s">
        <v>200</v>
      </c>
      <c r="C10224" s="27" t="s">
        <v>54</v>
      </c>
      <c r="D10224" s="27" t="s">
        <v>7</v>
      </c>
      <c r="E10224" s="27" t="s">
        <v>20</v>
      </c>
      <c r="F10224" s="29"/>
      <c r="G10224" s="30">
        <f t="shared" si="186"/>
        <v>9.9591666666666665</v>
      </c>
    </row>
    <row r="10225" spans="1:7" hidden="1" x14ac:dyDescent="0.25">
      <c r="A10225" s="28">
        <v>44409</v>
      </c>
      <c r="B10225" s="27" t="s">
        <v>200</v>
      </c>
      <c r="C10225" s="27" t="s">
        <v>54</v>
      </c>
      <c r="D10225" s="27" t="s">
        <v>7</v>
      </c>
      <c r="E10225" s="27" t="s">
        <v>38</v>
      </c>
      <c r="F10225" s="29"/>
      <c r="G10225" s="30">
        <f t="shared" si="186"/>
        <v>9.9591666666666665</v>
      </c>
    </row>
    <row r="10226" spans="1:7" hidden="1" x14ac:dyDescent="0.25">
      <c r="A10226" s="28">
        <v>44409</v>
      </c>
      <c r="B10226" s="27" t="s">
        <v>200</v>
      </c>
      <c r="C10226" s="27" t="s">
        <v>54</v>
      </c>
      <c r="D10226" s="27" t="s">
        <v>7</v>
      </c>
      <c r="E10226" s="27" t="s">
        <v>23</v>
      </c>
      <c r="F10226" s="29"/>
      <c r="G10226" s="30">
        <f t="shared" si="186"/>
        <v>9.9591666666666665</v>
      </c>
    </row>
    <row r="10227" spans="1:7" hidden="1" x14ac:dyDescent="0.25">
      <c r="A10227" s="28">
        <v>44409</v>
      </c>
      <c r="B10227" s="27" t="s">
        <v>200</v>
      </c>
      <c r="C10227" s="27" t="s">
        <v>54</v>
      </c>
      <c r="D10227" s="27" t="s">
        <v>7</v>
      </c>
      <c r="E10227" s="27" t="s">
        <v>40</v>
      </c>
      <c r="F10227" s="29"/>
      <c r="G10227" s="30">
        <f t="shared" si="186"/>
        <v>9.9591666666666665</v>
      </c>
    </row>
    <row r="10228" spans="1:7" hidden="1" x14ac:dyDescent="0.25">
      <c r="A10228" s="28">
        <v>44409</v>
      </c>
      <c r="B10228" s="27" t="s">
        <v>200</v>
      </c>
      <c r="C10228" s="27" t="s">
        <v>54</v>
      </c>
      <c r="D10228" s="27" t="s">
        <v>7</v>
      </c>
      <c r="E10228" s="27" t="s">
        <v>42</v>
      </c>
      <c r="F10228" s="29"/>
      <c r="G10228" s="30">
        <f t="shared" si="186"/>
        <v>9.9591666666666665</v>
      </c>
    </row>
    <row r="10229" spans="1:7" hidden="1" x14ac:dyDescent="0.25">
      <c r="A10229" s="28">
        <v>44409</v>
      </c>
      <c r="B10229" s="27" t="s">
        <v>200</v>
      </c>
      <c r="C10229" s="27" t="s">
        <v>54</v>
      </c>
      <c r="D10229" s="27" t="s">
        <v>7</v>
      </c>
      <c r="E10229" s="27" t="s">
        <v>43</v>
      </c>
      <c r="F10229" s="29"/>
      <c r="G10229" s="30">
        <f t="shared" si="186"/>
        <v>9.9591666666666665</v>
      </c>
    </row>
    <row r="10230" spans="1:7" hidden="1" x14ac:dyDescent="0.25">
      <c r="A10230" s="28">
        <v>44409</v>
      </c>
      <c r="B10230" s="27" t="s">
        <v>200</v>
      </c>
      <c r="C10230" s="27" t="s">
        <v>54</v>
      </c>
      <c r="D10230" s="27" t="s">
        <v>7</v>
      </c>
      <c r="E10230" s="27" t="s">
        <v>72</v>
      </c>
      <c r="F10230" s="29"/>
      <c r="G10230" s="30">
        <f t="shared" si="186"/>
        <v>9.9591666666666665</v>
      </c>
    </row>
    <row r="10231" spans="1:7" hidden="1" x14ac:dyDescent="0.25">
      <c r="A10231" s="28">
        <v>44409</v>
      </c>
      <c r="B10231" s="27" t="s">
        <v>200</v>
      </c>
      <c r="C10231" s="27" t="s">
        <v>55</v>
      </c>
      <c r="D10231" s="27" t="s">
        <v>6</v>
      </c>
      <c r="E10231" s="27" t="s">
        <v>8</v>
      </c>
      <c r="F10231" s="29"/>
      <c r="G10231" s="30">
        <f t="shared" ref="G10231:G10251" si="187">30999.8515111111/21</f>
        <v>1476.1834052910049</v>
      </c>
    </row>
    <row r="10232" spans="1:7" hidden="1" x14ac:dyDescent="0.25">
      <c r="A10232" s="28">
        <v>44409</v>
      </c>
      <c r="B10232" s="27" t="s">
        <v>200</v>
      </c>
      <c r="C10232" s="27" t="s">
        <v>55</v>
      </c>
      <c r="D10232" s="27" t="s">
        <v>6</v>
      </c>
      <c r="E10232" s="27" t="s">
        <v>9</v>
      </c>
      <c r="F10232" s="29"/>
      <c r="G10232" s="30">
        <f t="shared" si="187"/>
        <v>1476.1834052910049</v>
      </c>
    </row>
    <row r="10233" spans="1:7" hidden="1" x14ac:dyDescent="0.25">
      <c r="A10233" s="28">
        <v>44409</v>
      </c>
      <c r="B10233" s="27" t="s">
        <v>200</v>
      </c>
      <c r="C10233" s="27" t="s">
        <v>55</v>
      </c>
      <c r="D10233" s="27" t="s">
        <v>6</v>
      </c>
      <c r="E10233" s="27" t="s">
        <v>22</v>
      </c>
      <c r="F10233" s="29"/>
      <c r="G10233" s="30">
        <f t="shared" si="187"/>
        <v>1476.1834052910049</v>
      </c>
    </row>
    <row r="10234" spans="1:7" hidden="1" x14ac:dyDescent="0.25">
      <c r="A10234" s="28">
        <v>44409</v>
      </c>
      <c r="B10234" s="27" t="s">
        <v>200</v>
      </c>
      <c r="C10234" s="27" t="s">
        <v>55</v>
      </c>
      <c r="D10234" s="27" t="s">
        <v>6</v>
      </c>
      <c r="E10234" s="27" t="s">
        <v>39</v>
      </c>
      <c r="F10234" s="29"/>
      <c r="G10234" s="30">
        <f t="shared" si="187"/>
        <v>1476.1834052910049</v>
      </c>
    </row>
    <row r="10235" spans="1:7" hidden="1" x14ac:dyDescent="0.25">
      <c r="A10235" s="28">
        <v>44409</v>
      </c>
      <c r="B10235" s="27" t="s">
        <v>200</v>
      </c>
      <c r="C10235" s="27" t="s">
        <v>55</v>
      </c>
      <c r="D10235" s="27" t="s">
        <v>6</v>
      </c>
      <c r="E10235" s="27" t="s">
        <v>64</v>
      </c>
      <c r="F10235" s="29"/>
      <c r="G10235" s="30">
        <f t="shared" si="187"/>
        <v>1476.1834052910049</v>
      </c>
    </row>
    <row r="10236" spans="1:7" hidden="1" x14ac:dyDescent="0.25">
      <c r="A10236" s="28">
        <v>44409</v>
      </c>
      <c r="B10236" s="27" t="s">
        <v>200</v>
      </c>
      <c r="C10236" s="27" t="s">
        <v>55</v>
      </c>
      <c r="D10236" s="27" t="s">
        <v>6</v>
      </c>
      <c r="E10236" s="27" t="s">
        <v>21</v>
      </c>
      <c r="F10236" s="29"/>
      <c r="G10236" s="30">
        <f t="shared" si="187"/>
        <v>1476.1834052910049</v>
      </c>
    </row>
    <row r="10237" spans="1:7" hidden="1" x14ac:dyDescent="0.25">
      <c r="A10237" s="28">
        <v>44409</v>
      </c>
      <c r="B10237" s="27" t="s">
        <v>200</v>
      </c>
      <c r="C10237" s="27" t="s">
        <v>55</v>
      </c>
      <c r="D10237" s="27" t="s">
        <v>6</v>
      </c>
      <c r="E10237" s="27" t="s">
        <v>41</v>
      </c>
      <c r="F10237" s="29"/>
      <c r="G10237" s="30">
        <f t="shared" si="187"/>
        <v>1476.1834052910049</v>
      </c>
    </row>
    <row r="10238" spans="1:7" hidden="1" x14ac:dyDescent="0.25">
      <c r="A10238" s="28">
        <v>44409</v>
      </c>
      <c r="B10238" s="27" t="s">
        <v>200</v>
      </c>
      <c r="C10238" s="27" t="s">
        <v>55</v>
      </c>
      <c r="D10238" s="27" t="s">
        <v>6</v>
      </c>
      <c r="E10238" s="27" t="s">
        <v>10</v>
      </c>
      <c r="F10238" s="29"/>
      <c r="G10238" s="30">
        <f t="shared" si="187"/>
        <v>1476.1834052910049</v>
      </c>
    </row>
    <row r="10239" spans="1:7" hidden="1" x14ac:dyDescent="0.25">
      <c r="A10239" s="28">
        <v>44409</v>
      </c>
      <c r="B10239" s="27" t="s">
        <v>200</v>
      </c>
      <c r="C10239" s="27" t="s">
        <v>55</v>
      </c>
      <c r="D10239" s="27" t="s">
        <v>6</v>
      </c>
      <c r="E10239" s="27" t="s">
        <v>11</v>
      </c>
      <c r="F10239" s="29"/>
      <c r="G10239" s="30">
        <f t="shared" si="187"/>
        <v>1476.1834052910049</v>
      </c>
    </row>
    <row r="10240" spans="1:7" hidden="1" x14ac:dyDescent="0.25">
      <c r="A10240" s="28">
        <v>44409</v>
      </c>
      <c r="B10240" s="27" t="s">
        <v>200</v>
      </c>
      <c r="C10240" s="27" t="s">
        <v>55</v>
      </c>
      <c r="D10240" s="27" t="s">
        <v>6</v>
      </c>
      <c r="E10240" s="27" t="s">
        <v>12</v>
      </c>
      <c r="F10240" s="29"/>
      <c r="G10240" s="30">
        <f t="shared" si="187"/>
        <v>1476.1834052910049</v>
      </c>
    </row>
    <row r="10241" spans="1:7" hidden="1" x14ac:dyDescent="0.25">
      <c r="A10241" s="28">
        <v>44409</v>
      </c>
      <c r="B10241" s="27" t="s">
        <v>200</v>
      </c>
      <c r="C10241" s="27" t="s">
        <v>55</v>
      </c>
      <c r="D10241" s="27" t="s">
        <v>6</v>
      </c>
      <c r="E10241" s="27" t="s">
        <v>13</v>
      </c>
      <c r="F10241" s="29"/>
      <c r="G10241" s="30">
        <f t="shared" si="187"/>
        <v>1476.1834052910049</v>
      </c>
    </row>
    <row r="10242" spans="1:7" hidden="1" x14ac:dyDescent="0.25">
      <c r="A10242" s="28">
        <v>44409</v>
      </c>
      <c r="B10242" s="27" t="s">
        <v>200</v>
      </c>
      <c r="C10242" s="27" t="s">
        <v>55</v>
      </c>
      <c r="D10242" s="27" t="s">
        <v>6</v>
      </c>
      <c r="E10242" s="27" t="s">
        <v>14</v>
      </c>
      <c r="F10242" s="29"/>
      <c r="G10242" s="30">
        <f t="shared" si="187"/>
        <v>1476.1834052910049</v>
      </c>
    </row>
    <row r="10243" spans="1:7" hidden="1" x14ac:dyDescent="0.25">
      <c r="A10243" s="28">
        <v>44409</v>
      </c>
      <c r="B10243" s="27" t="s">
        <v>200</v>
      </c>
      <c r="C10243" s="27" t="s">
        <v>55</v>
      </c>
      <c r="D10243" s="27" t="s">
        <v>6</v>
      </c>
      <c r="E10243" s="27" t="s">
        <v>15</v>
      </c>
      <c r="F10243" s="29"/>
      <c r="G10243" s="30">
        <f t="shared" si="187"/>
        <v>1476.1834052910049</v>
      </c>
    </row>
    <row r="10244" spans="1:7" hidden="1" x14ac:dyDescent="0.25">
      <c r="A10244" s="28">
        <v>44409</v>
      </c>
      <c r="B10244" s="27" t="s">
        <v>200</v>
      </c>
      <c r="C10244" s="27" t="s">
        <v>55</v>
      </c>
      <c r="D10244" s="27" t="s">
        <v>6</v>
      </c>
      <c r="E10244" s="27" t="s">
        <v>16</v>
      </c>
      <c r="F10244" s="29"/>
      <c r="G10244" s="30">
        <f t="shared" si="187"/>
        <v>1476.1834052910049</v>
      </c>
    </row>
    <row r="10245" spans="1:7" hidden="1" x14ac:dyDescent="0.25">
      <c r="A10245" s="28">
        <v>44409</v>
      </c>
      <c r="B10245" s="27" t="s">
        <v>200</v>
      </c>
      <c r="C10245" s="27" t="s">
        <v>55</v>
      </c>
      <c r="D10245" s="27" t="s">
        <v>6</v>
      </c>
      <c r="E10245" s="27" t="s">
        <v>17</v>
      </c>
      <c r="F10245" s="29"/>
      <c r="G10245" s="30">
        <f t="shared" si="187"/>
        <v>1476.1834052910049</v>
      </c>
    </row>
    <row r="10246" spans="1:7" hidden="1" x14ac:dyDescent="0.25">
      <c r="A10246" s="28">
        <v>44409</v>
      </c>
      <c r="B10246" s="27" t="s">
        <v>200</v>
      </c>
      <c r="C10246" s="27" t="s">
        <v>55</v>
      </c>
      <c r="D10246" s="27" t="s">
        <v>6</v>
      </c>
      <c r="E10246" s="27" t="s">
        <v>18</v>
      </c>
      <c r="F10246" s="29"/>
      <c r="G10246" s="30">
        <f t="shared" si="187"/>
        <v>1476.1834052910049</v>
      </c>
    </row>
    <row r="10247" spans="1:7" hidden="1" x14ac:dyDescent="0.25">
      <c r="A10247" s="28">
        <v>44409</v>
      </c>
      <c r="B10247" s="27" t="s">
        <v>200</v>
      </c>
      <c r="C10247" s="27" t="s">
        <v>55</v>
      </c>
      <c r="D10247" s="27" t="s">
        <v>6</v>
      </c>
      <c r="E10247" s="27" t="s">
        <v>19</v>
      </c>
      <c r="F10247" s="29"/>
      <c r="G10247" s="30">
        <f t="shared" si="187"/>
        <v>1476.1834052910049</v>
      </c>
    </row>
    <row r="10248" spans="1:7" hidden="1" x14ac:dyDescent="0.25">
      <c r="A10248" s="28">
        <v>44409</v>
      </c>
      <c r="B10248" s="27" t="s">
        <v>200</v>
      </c>
      <c r="C10248" s="27" t="s">
        <v>55</v>
      </c>
      <c r="D10248" s="27" t="s">
        <v>6</v>
      </c>
      <c r="E10248" s="27" t="s">
        <v>20</v>
      </c>
      <c r="F10248" s="29"/>
      <c r="G10248" s="30">
        <f t="shared" si="187"/>
        <v>1476.1834052910049</v>
      </c>
    </row>
    <row r="10249" spans="1:7" hidden="1" x14ac:dyDescent="0.25">
      <c r="A10249" s="28">
        <v>44409</v>
      </c>
      <c r="B10249" s="27" t="s">
        <v>200</v>
      </c>
      <c r="C10249" s="27" t="s">
        <v>55</v>
      </c>
      <c r="D10249" s="27" t="s">
        <v>6</v>
      </c>
      <c r="E10249" s="27" t="s">
        <v>38</v>
      </c>
      <c r="F10249" s="29"/>
      <c r="G10249" s="30">
        <f t="shared" si="187"/>
        <v>1476.1834052910049</v>
      </c>
    </row>
    <row r="10250" spans="1:7" hidden="1" x14ac:dyDescent="0.25">
      <c r="A10250" s="28">
        <v>44409</v>
      </c>
      <c r="B10250" s="27" t="s">
        <v>200</v>
      </c>
      <c r="C10250" s="27" t="s">
        <v>55</v>
      </c>
      <c r="D10250" s="27" t="s">
        <v>6</v>
      </c>
      <c r="E10250" s="27" t="s">
        <v>23</v>
      </c>
      <c r="F10250" s="29"/>
      <c r="G10250" s="30">
        <f t="shared" si="187"/>
        <v>1476.1834052910049</v>
      </c>
    </row>
    <row r="10251" spans="1:7" hidden="1" x14ac:dyDescent="0.25">
      <c r="A10251" s="28">
        <v>44409</v>
      </c>
      <c r="B10251" s="27" t="s">
        <v>200</v>
      </c>
      <c r="C10251" s="27" t="s">
        <v>55</v>
      </c>
      <c r="D10251" s="27" t="s">
        <v>6</v>
      </c>
      <c r="E10251" s="27" t="s">
        <v>40</v>
      </c>
      <c r="F10251" s="29"/>
      <c r="G10251" s="30">
        <f t="shared" si="187"/>
        <v>1476.1834052910049</v>
      </c>
    </row>
    <row r="10252" spans="1:7" hidden="1" x14ac:dyDescent="0.25">
      <c r="A10252" s="28">
        <v>44409</v>
      </c>
      <c r="B10252" s="27" t="s">
        <v>200</v>
      </c>
      <c r="C10252" s="27" t="s">
        <v>183</v>
      </c>
      <c r="D10252" s="27" t="s">
        <v>7</v>
      </c>
      <c r="E10252" s="27" t="s">
        <v>8</v>
      </c>
      <c r="F10252" s="29"/>
      <c r="G10252" s="30">
        <f t="shared" ref="G10252:G10275" si="188">2504.36/24</f>
        <v>104.34833333333334</v>
      </c>
    </row>
    <row r="10253" spans="1:7" hidden="1" x14ac:dyDescent="0.25">
      <c r="A10253" s="28">
        <v>44409</v>
      </c>
      <c r="B10253" s="27" t="s">
        <v>200</v>
      </c>
      <c r="C10253" s="27" t="s">
        <v>183</v>
      </c>
      <c r="D10253" s="27" t="s">
        <v>7</v>
      </c>
      <c r="E10253" s="27" t="s">
        <v>9</v>
      </c>
      <c r="F10253" s="29"/>
      <c r="G10253" s="30">
        <f t="shared" si="188"/>
        <v>104.34833333333334</v>
      </c>
    </row>
    <row r="10254" spans="1:7" hidden="1" x14ac:dyDescent="0.25">
      <c r="A10254" s="28">
        <v>44409</v>
      </c>
      <c r="B10254" s="27" t="s">
        <v>200</v>
      </c>
      <c r="C10254" s="27" t="s">
        <v>183</v>
      </c>
      <c r="D10254" s="27" t="s">
        <v>7</v>
      </c>
      <c r="E10254" s="27" t="s">
        <v>22</v>
      </c>
      <c r="F10254" s="29"/>
      <c r="G10254" s="30">
        <f t="shared" si="188"/>
        <v>104.34833333333334</v>
      </c>
    </row>
    <row r="10255" spans="1:7" hidden="1" x14ac:dyDescent="0.25">
      <c r="A10255" s="28">
        <v>44409</v>
      </c>
      <c r="B10255" s="27" t="s">
        <v>200</v>
      </c>
      <c r="C10255" s="27" t="s">
        <v>183</v>
      </c>
      <c r="D10255" s="27" t="s">
        <v>7</v>
      </c>
      <c r="E10255" s="27" t="s">
        <v>39</v>
      </c>
      <c r="F10255" s="29"/>
      <c r="G10255" s="30">
        <f t="shared" si="188"/>
        <v>104.34833333333334</v>
      </c>
    </row>
    <row r="10256" spans="1:7" hidden="1" x14ac:dyDescent="0.25">
      <c r="A10256" s="28">
        <v>44409</v>
      </c>
      <c r="B10256" s="27" t="s">
        <v>200</v>
      </c>
      <c r="C10256" s="27" t="s">
        <v>183</v>
      </c>
      <c r="D10256" s="27" t="s">
        <v>7</v>
      </c>
      <c r="E10256" s="27" t="s">
        <v>64</v>
      </c>
      <c r="F10256" s="29"/>
      <c r="G10256" s="30">
        <f t="shared" si="188"/>
        <v>104.34833333333334</v>
      </c>
    </row>
    <row r="10257" spans="1:7" hidden="1" x14ac:dyDescent="0.25">
      <c r="A10257" s="28">
        <v>44409</v>
      </c>
      <c r="B10257" s="27" t="s">
        <v>200</v>
      </c>
      <c r="C10257" s="27" t="s">
        <v>183</v>
      </c>
      <c r="D10257" s="27" t="s">
        <v>7</v>
      </c>
      <c r="E10257" s="27" t="s">
        <v>21</v>
      </c>
      <c r="F10257" s="29"/>
      <c r="G10257" s="30">
        <f t="shared" si="188"/>
        <v>104.34833333333334</v>
      </c>
    </row>
    <row r="10258" spans="1:7" hidden="1" x14ac:dyDescent="0.25">
      <c r="A10258" s="28">
        <v>44409</v>
      </c>
      <c r="B10258" s="27" t="s">
        <v>200</v>
      </c>
      <c r="C10258" s="27" t="s">
        <v>183</v>
      </c>
      <c r="D10258" s="27" t="s">
        <v>7</v>
      </c>
      <c r="E10258" s="27" t="s">
        <v>41</v>
      </c>
      <c r="F10258" s="29"/>
      <c r="G10258" s="30">
        <f t="shared" si="188"/>
        <v>104.34833333333334</v>
      </c>
    </row>
    <row r="10259" spans="1:7" hidden="1" x14ac:dyDescent="0.25">
      <c r="A10259" s="28">
        <v>44409</v>
      </c>
      <c r="B10259" s="27" t="s">
        <v>200</v>
      </c>
      <c r="C10259" s="27" t="s">
        <v>183</v>
      </c>
      <c r="D10259" s="27" t="s">
        <v>7</v>
      </c>
      <c r="E10259" s="27" t="s">
        <v>10</v>
      </c>
      <c r="F10259" s="29"/>
      <c r="G10259" s="30">
        <f t="shared" si="188"/>
        <v>104.34833333333334</v>
      </c>
    </row>
    <row r="10260" spans="1:7" hidden="1" x14ac:dyDescent="0.25">
      <c r="A10260" s="28">
        <v>44409</v>
      </c>
      <c r="B10260" s="27" t="s">
        <v>200</v>
      </c>
      <c r="C10260" s="27" t="s">
        <v>183</v>
      </c>
      <c r="D10260" s="27" t="s">
        <v>7</v>
      </c>
      <c r="E10260" s="27" t="s">
        <v>11</v>
      </c>
      <c r="F10260" s="29"/>
      <c r="G10260" s="30">
        <f t="shared" si="188"/>
        <v>104.34833333333334</v>
      </c>
    </row>
    <row r="10261" spans="1:7" hidden="1" x14ac:dyDescent="0.25">
      <c r="A10261" s="28">
        <v>44409</v>
      </c>
      <c r="B10261" s="27" t="s">
        <v>200</v>
      </c>
      <c r="C10261" s="27" t="s">
        <v>183</v>
      </c>
      <c r="D10261" s="27" t="s">
        <v>7</v>
      </c>
      <c r="E10261" s="27" t="s">
        <v>12</v>
      </c>
      <c r="F10261" s="29"/>
      <c r="G10261" s="30">
        <f t="shared" si="188"/>
        <v>104.34833333333334</v>
      </c>
    </row>
    <row r="10262" spans="1:7" hidden="1" x14ac:dyDescent="0.25">
      <c r="A10262" s="28">
        <v>44409</v>
      </c>
      <c r="B10262" s="27" t="s">
        <v>200</v>
      </c>
      <c r="C10262" s="27" t="s">
        <v>183</v>
      </c>
      <c r="D10262" s="27" t="s">
        <v>7</v>
      </c>
      <c r="E10262" s="27" t="s">
        <v>13</v>
      </c>
      <c r="F10262" s="29"/>
      <c r="G10262" s="30">
        <f t="shared" si="188"/>
        <v>104.34833333333334</v>
      </c>
    </row>
    <row r="10263" spans="1:7" hidden="1" x14ac:dyDescent="0.25">
      <c r="A10263" s="28">
        <v>44409</v>
      </c>
      <c r="B10263" s="27" t="s">
        <v>200</v>
      </c>
      <c r="C10263" s="27" t="s">
        <v>183</v>
      </c>
      <c r="D10263" s="27" t="s">
        <v>7</v>
      </c>
      <c r="E10263" s="27" t="s">
        <v>14</v>
      </c>
      <c r="F10263" s="29"/>
      <c r="G10263" s="30">
        <f t="shared" si="188"/>
        <v>104.34833333333334</v>
      </c>
    </row>
    <row r="10264" spans="1:7" hidden="1" x14ac:dyDescent="0.25">
      <c r="A10264" s="28">
        <v>44409</v>
      </c>
      <c r="B10264" s="27" t="s">
        <v>200</v>
      </c>
      <c r="C10264" s="27" t="s">
        <v>183</v>
      </c>
      <c r="D10264" s="27" t="s">
        <v>7</v>
      </c>
      <c r="E10264" s="27" t="s">
        <v>15</v>
      </c>
      <c r="F10264" s="29"/>
      <c r="G10264" s="30">
        <f t="shared" si="188"/>
        <v>104.34833333333334</v>
      </c>
    </row>
    <row r="10265" spans="1:7" hidden="1" x14ac:dyDescent="0.25">
      <c r="A10265" s="28">
        <v>44409</v>
      </c>
      <c r="B10265" s="27" t="s">
        <v>200</v>
      </c>
      <c r="C10265" s="27" t="s">
        <v>183</v>
      </c>
      <c r="D10265" s="27" t="s">
        <v>7</v>
      </c>
      <c r="E10265" s="27" t="s">
        <v>16</v>
      </c>
      <c r="F10265" s="29"/>
      <c r="G10265" s="30">
        <f t="shared" si="188"/>
        <v>104.34833333333334</v>
      </c>
    </row>
    <row r="10266" spans="1:7" hidden="1" x14ac:dyDescent="0.25">
      <c r="A10266" s="28">
        <v>44409</v>
      </c>
      <c r="B10266" s="27" t="s">
        <v>200</v>
      </c>
      <c r="C10266" s="27" t="s">
        <v>183</v>
      </c>
      <c r="D10266" s="27" t="s">
        <v>7</v>
      </c>
      <c r="E10266" s="27" t="s">
        <v>17</v>
      </c>
      <c r="F10266" s="29"/>
      <c r="G10266" s="30">
        <f t="shared" si="188"/>
        <v>104.34833333333334</v>
      </c>
    </row>
    <row r="10267" spans="1:7" hidden="1" x14ac:dyDescent="0.25">
      <c r="A10267" s="28">
        <v>44409</v>
      </c>
      <c r="B10267" s="27" t="s">
        <v>200</v>
      </c>
      <c r="C10267" s="27" t="s">
        <v>183</v>
      </c>
      <c r="D10267" s="27" t="s">
        <v>7</v>
      </c>
      <c r="E10267" s="27" t="s">
        <v>18</v>
      </c>
      <c r="F10267" s="29"/>
      <c r="G10267" s="30">
        <f t="shared" si="188"/>
        <v>104.34833333333334</v>
      </c>
    </row>
    <row r="10268" spans="1:7" hidden="1" x14ac:dyDescent="0.25">
      <c r="A10268" s="28">
        <v>44409</v>
      </c>
      <c r="B10268" s="27" t="s">
        <v>200</v>
      </c>
      <c r="C10268" s="27" t="s">
        <v>183</v>
      </c>
      <c r="D10268" s="27" t="s">
        <v>7</v>
      </c>
      <c r="E10268" s="27" t="s">
        <v>19</v>
      </c>
      <c r="F10268" s="29"/>
      <c r="G10268" s="30">
        <f t="shared" si="188"/>
        <v>104.34833333333334</v>
      </c>
    </row>
    <row r="10269" spans="1:7" hidden="1" x14ac:dyDescent="0.25">
      <c r="A10269" s="28">
        <v>44409</v>
      </c>
      <c r="B10269" s="27" t="s">
        <v>200</v>
      </c>
      <c r="C10269" s="27" t="s">
        <v>183</v>
      </c>
      <c r="D10269" s="27" t="s">
        <v>7</v>
      </c>
      <c r="E10269" s="27" t="s">
        <v>20</v>
      </c>
      <c r="F10269" s="29"/>
      <c r="G10269" s="30">
        <f t="shared" si="188"/>
        <v>104.34833333333334</v>
      </c>
    </row>
    <row r="10270" spans="1:7" hidden="1" x14ac:dyDescent="0.25">
      <c r="A10270" s="28">
        <v>44409</v>
      </c>
      <c r="B10270" s="27" t="s">
        <v>200</v>
      </c>
      <c r="C10270" s="27" t="s">
        <v>183</v>
      </c>
      <c r="D10270" s="27" t="s">
        <v>7</v>
      </c>
      <c r="E10270" s="27" t="s">
        <v>38</v>
      </c>
      <c r="F10270" s="29"/>
      <c r="G10270" s="30">
        <f t="shared" si="188"/>
        <v>104.34833333333334</v>
      </c>
    </row>
    <row r="10271" spans="1:7" hidden="1" x14ac:dyDescent="0.25">
      <c r="A10271" s="28">
        <v>44409</v>
      </c>
      <c r="B10271" s="27" t="s">
        <v>200</v>
      </c>
      <c r="C10271" s="27" t="s">
        <v>183</v>
      </c>
      <c r="D10271" s="27" t="s">
        <v>7</v>
      </c>
      <c r="E10271" s="27" t="s">
        <v>23</v>
      </c>
      <c r="F10271" s="29"/>
      <c r="G10271" s="30">
        <f t="shared" si="188"/>
        <v>104.34833333333334</v>
      </c>
    </row>
    <row r="10272" spans="1:7" hidden="1" x14ac:dyDescent="0.25">
      <c r="A10272" s="28">
        <v>44409</v>
      </c>
      <c r="B10272" s="27" t="s">
        <v>200</v>
      </c>
      <c r="C10272" s="27" t="s">
        <v>183</v>
      </c>
      <c r="D10272" s="27" t="s">
        <v>7</v>
      </c>
      <c r="E10272" s="27" t="s">
        <v>40</v>
      </c>
      <c r="F10272" s="29"/>
      <c r="G10272" s="30">
        <f t="shared" si="188"/>
        <v>104.34833333333334</v>
      </c>
    </row>
    <row r="10273" spans="1:7" hidden="1" x14ac:dyDescent="0.25">
      <c r="A10273" s="28">
        <v>44409</v>
      </c>
      <c r="B10273" s="27" t="s">
        <v>200</v>
      </c>
      <c r="C10273" s="27" t="s">
        <v>183</v>
      </c>
      <c r="D10273" s="27" t="s">
        <v>7</v>
      </c>
      <c r="E10273" s="27" t="s">
        <v>42</v>
      </c>
      <c r="F10273" s="29"/>
      <c r="G10273" s="30">
        <f t="shared" si="188"/>
        <v>104.34833333333334</v>
      </c>
    </row>
    <row r="10274" spans="1:7" hidden="1" x14ac:dyDescent="0.25">
      <c r="A10274" s="28">
        <v>44409</v>
      </c>
      <c r="B10274" s="27" t="s">
        <v>200</v>
      </c>
      <c r="C10274" s="27" t="s">
        <v>183</v>
      </c>
      <c r="D10274" s="27" t="s">
        <v>7</v>
      </c>
      <c r="E10274" s="27" t="s">
        <v>43</v>
      </c>
      <c r="F10274" s="29"/>
      <c r="G10274" s="30">
        <f t="shared" si="188"/>
        <v>104.34833333333334</v>
      </c>
    </row>
    <row r="10275" spans="1:7" hidden="1" x14ac:dyDescent="0.25">
      <c r="A10275" s="28">
        <v>44409</v>
      </c>
      <c r="B10275" s="27" t="s">
        <v>200</v>
      </c>
      <c r="C10275" s="27" t="s">
        <v>183</v>
      </c>
      <c r="D10275" s="27" t="s">
        <v>7</v>
      </c>
      <c r="E10275" s="27" t="s">
        <v>72</v>
      </c>
      <c r="F10275" s="29"/>
      <c r="G10275" s="30">
        <f t="shared" si="188"/>
        <v>104.34833333333334</v>
      </c>
    </row>
    <row r="10276" spans="1:7" hidden="1" x14ac:dyDescent="0.25">
      <c r="A10276" s="28">
        <v>44409</v>
      </c>
      <c r="B10276" s="27" t="s">
        <v>200</v>
      </c>
      <c r="C10276" s="27" t="s">
        <v>56</v>
      </c>
      <c r="D10276" s="27" t="s">
        <v>6</v>
      </c>
      <c r="E10276" s="27" t="s">
        <v>8</v>
      </c>
      <c r="F10276" s="29"/>
      <c r="G10276" s="30">
        <f t="shared" ref="G10276:G10296" si="189">54369.8671555556/21</f>
        <v>2589.0412931216952</v>
      </c>
    </row>
    <row r="10277" spans="1:7" hidden="1" x14ac:dyDescent="0.25">
      <c r="A10277" s="28">
        <v>44409</v>
      </c>
      <c r="B10277" s="27" t="s">
        <v>200</v>
      </c>
      <c r="C10277" s="27" t="s">
        <v>56</v>
      </c>
      <c r="D10277" s="27" t="s">
        <v>6</v>
      </c>
      <c r="E10277" s="27" t="s">
        <v>9</v>
      </c>
      <c r="F10277" s="29"/>
      <c r="G10277" s="30">
        <f t="shared" si="189"/>
        <v>2589.0412931216952</v>
      </c>
    </row>
    <row r="10278" spans="1:7" hidden="1" x14ac:dyDescent="0.25">
      <c r="A10278" s="28">
        <v>44409</v>
      </c>
      <c r="B10278" s="27" t="s">
        <v>200</v>
      </c>
      <c r="C10278" s="27" t="s">
        <v>56</v>
      </c>
      <c r="D10278" s="27" t="s">
        <v>6</v>
      </c>
      <c r="E10278" s="27" t="s">
        <v>22</v>
      </c>
      <c r="F10278" s="29"/>
      <c r="G10278" s="30">
        <f t="shared" si="189"/>
        <v>2589.0412931216952</v>
      </c>
    </row>
    <row r="10279" spans="1:7" hidden="1" x14ac:dyDescent="0.25">
      <c r="A10279" s="28">
        <v>44409</v>
      </c>
      <c r="B10279" s="27" t="s">
        <v>200</v>
      </c>
      <c r="C10279" s="27" t="s">
        <v>56</v>
      </c>
      <c r="D10279" s="27" t="s">
        <v>6</v>
      </c>
      <c r="E10279" s="27" t="s">
        <v>39</v>
      </c>
      <c r="F10279" s="29"/>
      <c r="G10279" s="30">
        <f t="shared" si="189"/>
        <v>2589.0412931216952</v>
      </c>
    </row>
    <row r="10280" spans="1:7" hidden="1" x14ac:dyDescent="0.25">
      <c r="A10280" s="28">
        <v>44409</v>
      </c>
      <c r="B10280" s="27" t="s">
        <v>200</v>
      </c>
      <c r="C10280" s="27" t="s">
        <v>56</v>
      </c>
      <c r="D10280" s="27" t="s">
        <v>6</v>
      </c>
      <c r="E10280" s="27" t="s">
        <v>64</v>
      </c>
      <c r="F10280" s="29"/>
      <c r="G10280" s="30">
        <f t="shared" si="189"/>
        <v>2589.0412931216952</v>
      </c>
    </row>
    <row r="10281" spans="1:7" hidden="1" x14ac:dyDescent="0.25">
      <c r="A10281" s="28">
        <v>44409</v>
      </c>
      <c r="B10281" s="27" t="s">
        <v>200</v>
      </c>
      <c r="C10281" s="27" t="s">
        <v>56</v>
      </c>
      <c r="D10281" s="27" t="s">
        <v>6</v>
      </c>
      <c r="E10281" s="27" t="s">
        <v>21</v>
      </c>
      <c r="F10281" s="29"/>
      <c r="G10281" s="30">
        <f t="shared" si="189"/>
        <v>2589.0412931216952</v>
      </c>
    </row>
    <row r="10282" spans="1:7" hidden="1" x14ac:dyDescent="0.25">
      <c r="A10282" s="28">
        <v>44409</v>
      </c>
      <c r="B10282" s="27" t="s">
        <v>200</v>
      </c>
      <c r="C10282" s="27" t="s">
        <v>56</v>
      </c>
      <c r="D10282" s="27" t="s">
        <v>6</v>
      </c>
      <c r="E10282" s="27" t="s">
        <v>41</v>
      </c>
      <c r="F10282" s="29"/>
      <c r="G10282" s="30">
        <f t="shared" si="189"/>
        <v>2589.0412931216952</v>
      </c>
    </row>
    <row r="10283" spans="1:7" hidden="1" x14ac:dyDescent="0.25">
      <c r="A10283" s="28">
        <v>44409</v>
      </c>
      <c r="B10283" s="27" t="s">
        <v>200</v>
      </c>
      <c r="C10283" s="27" t="s">
        <v>56</v>
      </c>
      <c r="D10283" s="27" t="s">
        <v>6</v>
      </c>
      <c r="E10283" s="27" t="s">
        <v>10</v>
      </c>
      <c r="F10283" s="29"/>
      <c r="G10283" s="30">
        <f t="shared" si="189"/>
        <v>2589.0412931216952</v>
      </c>
    </row>
    <row r="10284" spans="1:7" hidden="1" x14ac:dyDescent="0.25">
      <c r="A10284" s="28">
        <v>44409</v>
      </c>
      <c r="B10284" s="27" t="s">
        <v>200</v>
      </c>
      <c r="C10284" s="27" t="s">
        <v>56</v>
      </c>
      <c r="D10284" s="27" t="s">
        <v>6</v>
      </c>
      <c r="E10284" s="27" t="s">
        <v>11</v>
      </c>
      <c r="F10284" s="29"/>
      <c r="G10284" s="30">
        <f t="shared" si="189"/>
        <v>2589.0412931216952</v>
      </c>
    </row>
    <row r="10285" spans="1:7" hidden="1" x14ac:dyDescent="0.25">
      <c r="A10285" s="28">
        <v>44409</v>
      </c>
      <c r="B10285" s="27" t="s">
        <v>200</v>
      </c>
      <c r="C10285" s="27" t="s">
        <v>56</v>
      </c>
      <c r="D10285" s="27" t="s">
        <v>6</v>
      </c>
      <c r="E10285" s="27" t="s">
        <v>12</v>
      </c>
      <c r="F10285" s="29"/>
      <c r="G10285" s="30">
        <f t="shared" si="189"/>
        <v>2589.0412931216952</v>
      </c>
    </row>
    <row r="10286" spans="1:7" hidden="1" x14ac:dyDescent="0.25">
      <c r="A10286" s="28">
        <v>44409</v>
      </c>
      <c r="B10286" s="27" t="s">
        <v>200</v>
      </c>
      <c r="C10286" s="27" t="s">
        <v>56</v>
      </c>
      <c r="D10286" s="27" t="s">
        <v>6</v>
      </c>
      <c r="E10286" s="27" t="s">
        <v>13</v>
      </c>
      <c r="F10286" s="29"/>
      <c r="G10286" s="30">
        <f t="shared" si="189"/>
        <v>2589.0412931216952</v>
      </c>
    </row>
    <row r="10287" spans="1:7" hidden="1" x14ac:dyDescent="0.25">
      <c r="A10287" s="28">
        <v>44409</v>
      </c>
      <c r="B10287" s="27" t="s">
        <v>200</v>
      </c>
      <c r="C10287" s="27" t="s">
        <v>56</v>
      </c>
      <c r="D10287" s="27" t="s">
        <v>6</v>
      </c>
      <c r="E10287" s="27" t="s">
        <v>14</v>
      </c>
      <c r="F10287" s="29"/>
      <c r="G10287" s="30">
        <f t="shared" si="189"/>
        <v>2589.0412931216952</v>
      </c>
    </row>
    <row r="10288" spans="1:7" hidden="1" x14ac:dyDescent="0.25">
      <c r="A10288" s="28">
        <v>44409</v>
      </c>
      <c r="B10288" s="27" t="s">
        <v>200</v>
      </c>
      <c r="C10288" s="27" t="s">
        <v>56</v>
      </c>
      <c r="D10288" s="27" t="s">
        <v>6</v>
      </c>
      <c r="E10288" s="27" t="s">
        <v>15</v>
      </c>
      <c r="F10288" s="29"/>
      <c r="G10288" s="30">
        <f t="shared" si="189"/>
        <v>2589.0412931216952</v>
      </c>
    </row>
    <row r="10289" spans="1:7" hidden="1" x14ac:dyDescent="0.25">
      <c r="A10289" s="28">
        <v>44409</v>
      </c>
      <c r="B10289" s="27" t="s">
        <v>200</v>
      </c>
      <c r="C10289" s="27" t="s">
        <v>56</v>
      </c>
      <c r="D10289" s="27" t="s">
        <v>6</v>
      </c>
      <c r="E10289" s="27" t="s">
        <v>16</v>
      </c>
      <c r="F10289" s="29"/>
      <c r="G10289" s="30">
        <f t="shared" si="189"/>
        <v>2589.0412931216952</v>
      </c>
    </row>
    <row r="10290" spans="1:7" hidden="1" x14ac:dyDescent="0.25">
      <c r="A10290" s="28">
        <v>44409</v>
      </c>
      <c r="B10290" s="27" t="s">
        <v>200</v>
      </c>
      <c r="C10290" s="27" t="s">
        <v>56</v>
      </c>
      <c r="D10290" s="27" t="s">
        <v>6</v>
      </c>
      <c r="E10290" s="27" t="s">
        <v>17</v>
      </c>
      <c r="F10290" s="29"/>
      <c r="G10290" s="30">
        <f t="shared" si="189"/>
        <v>2589.0412931216952</v>
      </c>
    </row>
    <row r="10291" spans="1:7" hidden="1" x14ac:dyDescent="0.25">
      <c r="A10291" s="28">
        <v>44409</v>
      </c>
      <c r="B10291" s="27" t="s">
        <v>200</v>
      </c>
      <c r="C10291" s="27" t="s">
        <v>56</v>
      </c>
      <c r="D10291" s="27" t="s">
        <v>6</v>
      </c>
      <c r="E10291" s="27" t="s">
        <v>18</v>
      </c>
      <c r="F10291" s="29"/>
      <c r="G10291" s="30">
        <f t="shared" si="189"/>
        <v>2589.0412931216952</v>
      </c>
    </row>
    <row r="10292" spans="1:7" hidden="1" x14ac:dyDescent="0.25">
      <c r="A10292" s="28">
        <v>44409</v>
      </c>
      <c r="B10292" s="27" t="s">
        <v>200</v>
      </c>
      <c r="C10292" s="27" t="s">
        <v>56</v>
      </c>
      <c r="D10292" s="27" t="s">
        <v>6</v>
      </c>
      <c r="E10292" s="27" t="s">
        <v>19</v>
      </c>
      <c r="F10292" s="29"/>
      <c r="G10292" s="30">
        <f t="shared" si="189"/>
        <v>2589.0412931216952</v>
      </c>
    </row>
    <row r="10293" spans="1:7" hidden="1" x14ac:dyDescent="0.25">
      <c r="A10293" s="28">
        <v>44409</v>
      </c>
      <c r="B10293" s="27" t="s">
        <v>200</v>
      </c>
      <c r="C10293" s="27" t="s">
        <v>56</v>
      </c>
      <c r="D10293" s="27" t="s">
        <v>6</v>
      </c>
      <c r="E10293" s="27" t="s">
        <v>20</v>
      </c>
      <c r="F10293" s="29"/>
      <c r="G10293" s="30">
        <f t="shared" si="189"/>
        <v>2589.0412931216952</v>
      </c>
    </row>
    <row r="10294" spans="1:7" hidden="1" x14ac:dyDescent="0.25">
      <c r="A10294" s="28">
        <v>44409</v>
      </c>
      <c r="B10294" s="27" t="s">
        <v>200</v>
      </c>
      <c r="C10294" s="27" t="s">
        <v>56</v>
      </c>
      <c r="D10294" s="27" t="s">
        <v>6</v>
      </c>
      <c r="E10294" s="27" t="s">
        <v>38</v>
      </c>
      <c r="F10294" s="29"/>
      <c r="G10294" s="30">
        <f t="shared" si="189"/>
        <v>2589.0412931216952</v>
      </c>
    </row>
    <row r="10295" spans="1:7" hidden="1" x14ac:dyDescent="0.25">
      <c r="A10295" s="28">
        <v>44409</v>
      </c>
      <c r="B10295" s="27" t="s">
        <v>200</v>
      </c>
      <c r="C10295" s="27" t="s">
        <v>56</v>
      </c>
      <c r="D10295" s="27" t="s">
        <v>6</v>
      </c>
      <c r="E10295" s="27" t="s">
        <v>23</v>
      </c>
      <c r="F10295" s="29"/>
      <c r="G10295" s="30">
        <f t="shared" si="189"/>
        <v>2589.0412931216952</v>
      </c>
    </row>
    <row r="10296" spans="1:7" hidden="1" x14ac:dyDescent="0.25">
      <c r="A10296" s="28">
        <v>44409</v>
      </c>
      <c r="B10296" s="27" t="s">
        <v>200</v>
      </c>
      <c r="C10296" s="27" t="s">
        <v>56</v>
      </c>
      <c r="D10296" s="27" t="s">
        <v>6</v>
      </c>
      <c r="E10296" s="27" t="s">
        <v>40</v>
      </c>
      <c r="F10296" s="29"/>
      <c r="G10296" s="30">
        <f t="shared" si="189"/>
        <v>2589.0412931216952</v>
      </c>
    </row>
    <row r="10297" spans="1:7" hidden="1" x14ac:dyDescent="0.25">
      <c r="A10297" s="28">
        <v>44409</v>
      </c>
      <c r="B10297" s="27" t="s">
        <v>200</v>
      </c>
      <c r="C10297" s="27" t="s">
        <v>182</v>
      </c>
      <c r="D10297" s="27" t="s">
        <v>7</v>
      </c>
      <c r="E10297" s="27" t="s">
        <v>8</v>
      </c>
      <c r="F10297" s="29"/>
      <c r="G10297" s="30">
        <f t="shared" ref="G10297:G10320" si="190">3203.67/24</f>
        <v>133.48625000000001</v>
      </c>
    </row>
    <row r="10298" spans="1:7" hidden="1" x14ac:dyDescent="0.25">
      <c r="A10298" s="28">
        <v>44409</v>
      </c>
      <c r="B10298" s="27" t="s">
        <v>200</v>
      </c>
      <c r="C10298" s="27" t="s">
        <v>182</v>
      </c>
      <c r="D10298" s="27" t="s">
        <v>7</v>
      </c>
      <c r="E10298" s="27" t="s">
        <v>9</v>
      </c>
      <c r="F10298" s="29"/>
      <c r="G10298" s="30">
        <f t="shared" si="190"/>
        <v>133.48625000000001</v>
      </c>
    </row>
    <row r="10299" spans="1:7" hidden="1" x14ac:dyDescent="0.25">
      <c r="A10299" s="28">
        <v>44409</v>
      </c>
      <c r="B10299" s="27" t="s">
        <v>200</v>
      </c>
      <c r="C10299" s="27" t="s">
        <v>182</v>
      </c>
      <c r="D10299" s="27" t="s">
        <v>7</v>
      </c>
      <c r="E10299" s="27" t="s">
        <v>22</v>
      </c>
      <c r="F10299" s="29"/>
      <c r="G10299" s="30">
        <f t="shared" si="190"/>
        <v>133.48625000000001</v>
      </c>
    </row>
    <row r="10300" spans="1:7" hidden="1" x14ac:dyDescent="0.25">
      <c r="A10300" s="28">
        <v>44409</v>
      </c>
      <c r="B10300" s="27" t="s">
        <v>200</v>
      </c>
      <c r="C10300" s="27" t="s">
        <v>182</v>
      </c>
      <c r="D10300" s="27" t="s">
        <v>7</v>
      </c>
      <c r="E10300" s="27" t="s">
        <v>39</v>
      </c>
      <c r="F10300" s="29"/>
      <c r="G10300" s="30">
        <f t="shared" si="190"/>
        <v>133.48625000000001</v>
      </c>
    </row>
    <row r="10301" spans="1:7" hidden="1" x14ac:dyDescent="0.25">
      <c r="A10301" s="28">
        <v>44409</v>
      </c>
      <c r="B10301" s="27" t="s">
        <v>200</v>
      </c>
      <c r="C10301" s="27" t="s">
        <v>182</v>
      </c>
      <c r="D10301" s="27" t="s">
        <v>7</v>
      </c>
      <c r="E10301" s="27" t="s">
        <v>64</v>
      </c>
      <c r="F10301" s="29"/>
      <c r="G10301" s="30">
        <f t="shared" si="190"/>
        <v>133.48625000000001</v>
      </c>
    </row>
    <row r="10302" spans="1:7" hidden="1" x14ac:dyDescent="0.25">
      <c r="A10302" s="28">
        <v>44409</v>
      </c>
      <c r="B10302" s="27" t="s">
        <v>200</v>
      </c>
      <c r="C10302" s="27" t="s">
        <v>182</v>
      </c>
      <c r="D10302" s="27" t="s">
        <v>7</v>
      </c>
      <c r="E10302" s="27" t="s">
        <v>21</v>
      </c>
      <c r="F10302" s="29"/>
      <c r="G10302" s="30">
        <f t="shared" si="190"/>
        <v>133.48625000000001</v>
      </c>
    </row>
    <row r="10303" spans="1:7" hidden="1" x14ac:dyDescent="0.25">
      <c r="A10303" s="28">
        <v>44409</v>
      </c>
      <c r="B10303" s="27" t="s">
        <v>200</v>
      </c>
      <c r="C10303" s="27" t="s">
        <v>182</v>
      </c>
      <c r="D10303" s="27" t="s">
        <v>7</v>
      </c>
      <c r="E10303" s="27" t="s">
        <v>41</v>
      </c>
      <c r="F10303" s="29"/>
      <c r="G10303" s="30">
        <f t="shared" si="190"/>
        <v>133.48625000000001</v>
      </c>
    </row>
    <row r="10304" spans="1:7" hidden="1" x14ac:dyDescent="0.25">
      <c r="A10304" s="28">
        <v>44409</v>
      </c>
      <c r="B10304" s="27" t="s">
        <v>200</v>
      </c>
      <c r="C10304" s="27" t="s">
        <v>182</v>
      </c>
      <c r="D10304" s="27" t="s">
        <v>7</v>
      </c>
      <c r="E10304" s="27" t="s">
        <v>10</v>
      </c>
      <c r="F10304" s="29"/>
      <c r="G10304" s="30">
        <f t="shared" si="190"/>
        <v>133.48625000000001</v>
      </c>
    </row>
    <row r="10305" spans="1:7" hidden="1" x14ac:dyDescent="0.25">
      <c r="A10305" s="28">
        <v>44409</v>
      </c>
      <c r="B10305" s="27" t="s">
        <v>200</v>
      </c>
      <c r="C10305" s="27" t="s">
        <v>182</v>
      </c>
      <c r="D10305" s="27" t="s">
        <v>7</v>
      </c>
      <c r="E10305" s="27" t="s">
        <v>11</v>
      </c>
      <c r="F10305" s="29"/>
      <c r="G10305" s="30">
        <f t="shared" si="190"/>
        <v>133.48625000000001</v>
      </c>
    </row>
    <row r="10306" spans="1:7" hidden="1" x14ac:dyDescent="0.25">
      <c r="A10306" s="28">
        <v>44409</v>
      </c>
      <c r="B10306" s="27" t="s">
        <v>200</v>
      </c>
      <c r="C10306" s="27" t="s">
        <v>182</v>
      </c>
      <c r="D10306" s="27" t="s">
        <v>7</v>
      </c>
      <c r="E10306" s="27" t="s">
        <v>12</v>
      </c>
      <c r="F10306" s="29"/>
      <c r="G10306" s="30">
        <f t="shared" si="190"/>
        <v>133.48625000000001</v>
      </c>
    </row>
    <row r="10307" spans="1:7" hidden="1" x14ac:dyDescent="0.25">
      <c r="A10307" s="28">
        <v>44409</v>
      </c>
      <c r="B10307" s="27" t="s">
        <v>200</v>
      </c>
      <c r="C10307" s="27" t="s">
        <v>182</v>
      </c>
      <c r="D10307" s="27" t="s">
        <v>7</v>
      </c>
      <c r="E10307" s="27" t="s">
        <v>13</v>
      </c>
      <c r="F10307" s="29"/>
      <c r="G10307" s="30">
        <f t="shared" si="190"/>
        <v>133.48625000000001</v>
      </c>
    </row>
    <row r="10308" spans="1:7" hidden="1" x14ac:dyDescent="0.25">
      <c r="A10308" s="28">
        <v>44409</v>
      </c>
      <c r="B10308" s="27" t="s">
        <v>200</v>
      </c>
      <c r="C10308" s="27" t="s">
        <v>182</v>
      </c>
      <c r="D10308" s="27" t="s">
        <v>7</v>
      </c>
      <c r="E10308" s="27" t="s">
        <v>14</v>
      </c>
      <c r="F10308" s="29"/>
      <c r="G10308" s="30">
        <f t="shared" si="190"/>
        <v>133.48625000000001</v>
      </c>
    </row>
    <row r="10309" spans="1:7" hidden="1" x14ac:dyDescent="0.25">
      <c r="A10309" s="28">
        <v>44409</v>
      </c>
      <c r="B10309" s="27" t="s">
        <v>200</v>
      </c>
      <c r="C10309" s="27" t="s">
        <v>182</v>
      </c>
      <c r="D10309" s="27" t="s">
        <v>7</v>
      </c>
      <c r="E10309" s="27" t="s">
        <v>15</v>
      </c>
      <c r="F10309" s="29"/>
      <c r="G10309" s="30">
        <f t="shared" si="190"/>
        <v>133.48625000000001</v>
      </c>
    </row>
    <row r="10310" spans="1:7" hidden="1" x14ac:dyDescent="0.25">
      <c r="A10310" s="28">
        <v>44409</v>
      </c>
      <c r="B10310" s="27" t="s">
        <v>200</v>
      </c>
      <c r="C10310" s="27" t="s">
        <v>182</v>
      </c>
      <c r="D10310" s="27" t="s">
        <v>7</v>
      </c>
      <c r="E10310" s="27" t="s">
        <v>16</v>
      </c>
      <c r="F10310" s="29"/>
      <c r="G10310" s="30">
        <f t="shared" si="190"/>
        <v>133.48625000000001</v>
      </c>
    </row>
    <row r="10311" spans="1:7" hidden="1" x14ac:dyDescent="0.25">
      <c r="A10311" s="28">
        <v>44409</v>
      </c>
      <c r="B10311" s="27" t="s">
        <v>200</v>
      </c>
      <c r="C10311" s="27" t="s">
        <v>182</v>
      </c>
      <c r="D10311" s="27" t="s">
        <v>7</v>
      </c>
      <c r="E10311" s="27" t="s">
        <v>17</v>
      </c>
      <c r="F10311" s="29"/>
      <c r="G10311" s="30">
        <f t="shared" si="190"/>
        <v>133.48625000000001</v>
      </c>
    </row>
    <row r="10312" spans="1:7" hidden="1" x14ac:dyDescent="0.25">
      <c r="A10312" s="28">
        <v>44409</v>
      </c>
      <c r="B10312" s="27" t="s">
        <v>200</v>
      </c>
      <c r="C10312" s="27" t="s">
        <v>182</v>
      </c>
      <c r="D10312" s="27" t="s">
        <v>7</v>
      </c>
      <c r="E10312" s="27" t="s">
        <v>18</v>
      </c>
      <c r="F10312" s="29"/>
      <c r="G10312" s="30">
        <f t="shared" si="190"/>
        <v>133.48625000000001</v>
      </c>
    </row>
    <row r="10313" spans="1:7" hidden="1" x14ac:dyDescent="0.25">
      <c r="A10313" s="28">
        <v>44409</v>
      </c>
      <c r="B10313" s="27" t="s">
        <v>200</v>
      </c>
      <c r="C10313" s="27" t="s">
        <v>182</v>
      </c>
      <c r="D10313" s="27" t="s">
        <v>7</v>
      </c>
      <c r="E10313" s="27" t="s">
        <v>19</v>
      </c>
      <c r="F10313" s="29"/>
      <c r="G10313" s="30">
        <f t="shared" si="190"/>
        <v>133.48625000000001</v>
      </c>
    </row>
    <row r="10314" spans="1:7" hidden="1" x14ac:dyDescent="0.25">
      <c r="A10314" s="28">
        <v>44409</v>
      </c>
      <c r="B10314" s="27" t="s">
        <v>200</v>
      </c>
      <c r="C10314" s="27" t="s">
        <v>182</v>
      </c>
      <c r="D10314" s="27" t="s">
        <v>7</v>
      </c>
      <c r="E10314" s="27" t="s">
        <v>20</v>
      </c>
      <c r="F10314" s="29"/>
      <c r="G10314" s="30">
        <f t="shared" si="190"/>
        <v>133.48625000000001</v>
      </c>
    </row>
    <row r="10315" spans="1:7" hidden="1" x14ac:dyDescent="0.25">
      <c r="A10315" s="28">
        <v>44409</v>
      </c>
      <c r="B10315" s="27" t="s">
        <v>200</v>
      </c>
      <c r="C10315" s="27" t="s">
        <v>182</v>
      </c>
      <c r="D10315" s="27" t="s">
        <v>7</v>
      </c>
      <c r="E10315" s="27" t="s">
        <v>38</v>
      </c>
      <c r="F10315" s="29"/>
      <c r="G10315" s="30">
        <f t="shared" si="190"/>
        <v>133.48625000000001</v>
      </c>
    </row>
    <row r="10316" spans="1:7" hidden="1" x14ac:dyDescent="0.25">
      <c r="A10316" s="28">
        <v>44409</v>
      </c>
      <c r="B10316" s="27" t="s">
        <v>200</v>
      </c>
      <c r="C10316" s="27" t="s">
        <v>182</v>
      </c>
      <c r="D10316" s="27" t="s">
        <v>7</v>
      </c>
      <c r="E10316" s="27" t="s">
        <v>23</v>
      </c>
      <c r="F10316" s="29"/>
      <c r="G10316" s="30">
        <f t="shared" si="190"/>
        <v>133.48625000000001</v>
      </c>
    </row>
    <row r="10317" spans="1:7" hidden="1" x14ac:dyDescent="0.25">
      <c r="A10317" s="28">
        <v>44409</v>
      </c>
      <c r="B10317" s="27" t="s">
        <v>200</v>
      </c>
      <c r="C10317" s="27" t="s">
        <v>182</v>
      </c>
      <c r="D10317" s="27" t="s">
        <v>7</v>
      </c>
      <c r="E10317" s="27" t="s">
        <v>40</v>
      </c>
      <c r="F10317" s="29"/>
      <c r="G10317" s="30">
        <f t="shared" si="190"/>
        <v>133.48625000000001</v>
      </c>
    </row>
    <row r="10318" spans="1:7" hidden="1" x14ac:dyDescent="0.25">
      <c r="A10318" s="28">
        <v>44409</v>
      </c>
      <c r="B10318" s="27" t="s">
        <v>200</v>
      </c>
      <c r="C10318" s="27" t="s">
        <v>182</v>
      </c>
      <c r="D10318" s="27" t="s">
        <v>7</v>
      </c>
      <c r="E10318" s="27" t="s">
        <v>42</v>
      </c>
      <c r="F10318" s="29"/>
      <c r="G10318" s="30">
        <f t="shared" si="190"/>
        <v>133.48625000000001</v>
      </c>
    </row>
    <row r="10319" spans="1:7" hidden="1" x14ac:dyDescent="0.25">
      <c r="A10319" s="28">
        <v>44409</v>
      </c>
      <c r="B10319" s="27" t="s">
        <v>200</v>
      </c>
      <c r="C10319" s="27" t="s">
        <v>182</v>
      </c>
      <c r="D10319" s="27" t="s">
        <v>7</v>
      </c>
      <c r="E10319" s="27" t="s">
        <v>43</v>
      </c>
      <c r="F10319" s="29"/>
      <c r="G10319" s="30">
        <f t="shared" si="190"/>
        <v>133.48625000000001</v>
      </c>
    </row>
    <row r="10320" spans="1:7" hidden="1" x14ac:dyDescent="0.25">
      <c r="A10320" s="28">
        <v>44409</v>
      </c>
      <c r="B10320" s="27" t="s">
        <v>200</v>
      </c>
      <c r="C10320" s="27" t="s">
        <v>182</v>
      </c>
      <c r="D10320" s="27" t="s">
        <v>7</v>
      </c>
      <c r="E10320" s="27" t="s">
        <v>72</v>
      </c>
      <c r="F10320" s="29"/>
      <c r="G10320" s="30">
        <f t="shared" si="190"/>
        <v>133.48625000000001</v>
      </c>
    </row>
    <row r="10321" spans="1:7" hidden="1" x14ac:dyDescent="0.25">
      <c r="A10321" s="28">
        <v>44409</v>
      </c>
      <c r="B10321" s="27" t="s">
        <v>35</v>
      </c>
      <c r="C10321" s="27" t="s">
        <v>50</v>
      </c>
      <c r="D10321" s="27" t="s">
        <v>7</v>
      </c>
      <c r="E10321" s="27" t="s">
        <v>8</v>
      </c>
      <c r="F10321" s="29"/>
      <c r="G10321" s="30">
        <v>617.0866666666667</v>
      </c>
    </row>
    <row r="10322" spans="1:7" hidden="1" x14ac:dyDescent="0.25">
      <c r="A10322" s="28">
        <v>44409</v>
      </c>
      <c r="B10322" s="27" t="s">
        <v>35</v>
      </c>
      <c r="C10322" s="27" t="s">
        <v>50</v>
      </c>
      <c r="D10322" s="27" t="s">
        <v>7</v>
      </c>
      <c r="E10322" s="27" t="s">
        <v>9</v>
      </c>
      <c r="F10322" s="29"/>
      <c r="G10322" s="30">
        <v>617.0866666666667</v>
      </c>
    </row>
    <row r="10323" spans="1:7" hidden="1" x14ac:dyDescent="0.25">
      <c r="A10323" s="28">
        <v>44409</v>
      </c>
      <c r="B10323" s="27" t="s">
        <v>35</v>
      </c>
      <c r="C10323" s="27" t="s">
        <v>50</v>
      </c>
      <c r="D10323" s="27" t="s">
        <v>7</v>
      </c>
      <c r="E10323" s="27" t="s">
        <v>22</v>
      </c>
      <c r="F10323" s="29"/>
      <c r="G10323" s="30">
        <v>617.0866666666667</v>
      </c>
    </row>
    <row r="10324" spans="1:7" hidden="1" x14ac:dyDescent="0.25">
      <c r="A10324" s="28">
        <v>44409</v>
      </c>
      <c r="B10324" s="27" t="s">
        <v>35</v>
      </c>
      <c r="C10324" s="27" t="s">
        <v>50</v>
      </c>
      <c r="D10324" s="27" t="s">
        <v>7</v>
      </c>
      <c r="E10324" s="27" t="s">
        <v>39</v>
      </c>
      <c r="F10324" s="29"/>
      <c r="G10324" s="30">
        <v>617.0866666666667</v>
      </c>
    </row>
    <row r="10325" spans="1:7" hidden="1" x14ac:dyDescent="0.25">
      <c r="A10325" s="28">
        <v>44409</v>
      </c>
      <c r="B10325" s="27" t="s">
        <v>35</v>
      </c>
      <c r="C10325" s="27" t="s">
        <v>50</v>
      </c>
      <c r="D10325" s="27" t="s">
        <v>7</v>
      </c>
      <c r="E10325" s="27" t="s">
        <v>64</v>
      </c>
      <c r="F10325" s="29"/>
      <c r="G10325" s="30">
        <v>617.0866666666667</v>
      </c>
    </row>
    <row r="10326" spans="1:7" hidden="1" x14ac:dyDescent="0.25">
      <c r="A10326" s="28">
        <v>44409</v>
      </c>
      <c r="B10326" s="27" t="s">
        <v>35</v>
      </c>
      <c r="C10326" s="27" t="s">
        <v>50</v>
      </c>
      <c r="D10326" s="27" t="s">
        <v>7</v>
      </c>
      <c r="E10326" s="27" t="s">
        <v>21</v>
      </c>
      <c r="F10326" s="29"/>
      <c r="G10326" s="30">
        <v>617.0866666666667</v>
      </c>
    </row>
    <row r="10327" spans="1:7" hidden="1" x14ac:dyDescent="0.25">
      <c r="A10327" s="28">
        <v>44409</v>
      </c>
      <c r="B10327" s="27" t="s">
        <v>35</v>
      </c>
      <c r="C10327" s="27" t="s">
        <v>50</v>
      </c>
      <c r="D10327" s="27" t="s">
        <v>7</v>
      </c>
      <c r="E10327" s="27" t="s">
        <v>41</v>
      </c>
      <c r="F10327" s="29"/>
      <c r="G10327" s="30">
        <v>617.0866666666667</v>
      </c>
    </row>
    <row r="10328" spans="1:7" hidden="1" x14ac:dyDescent="0.25">
      <c r="A10328" s="28">
        <v>44409</v>
      </c>
      <c r="B10328" s="27" t="s">
        <v>35</v>
      </c>
      <c r="C10328" s="27" t="s">
        <v>50</v>
      </c>
      <c r="D10328" s="27" t="s">
        <v>7</v>
      </c>
      <c r="E10328" s="27" t="s">
        <v>10</v>
      </c>
      <c r="F10328" s="29"/>
      <c r="G10328" s="30">
        <v>617.0866666666667</v>
      </c>
    </row>
    <row r="10329" spans="1:7" hidden="1" x14ac:dyDescent="0.25">
      <c r="A10329" s="28">
        <v>44409</v>
      </c>
      <c r="B10329" s="27" t="s">
        <v>35</v>
      </c>
      <c r="C10329" s="27" t="s">
        <v>50</v>
      </c>
      <c r="D10329" s="27" t="s">
        <v>7</v>
      </c>
      <c r="E10329" s="27" t="s">
        <v>11</v>
      </c>
      <c r="F10329" s="29"/>
      <c r="G10329" s="30">
        <v>617.0866666666667</v>
      </c>
    </row>
    <row r="10330" spans="1:7" hidden="1" x14ac:dyDescent="0.25">
      <c r="A10330" s="28">
        <v>44409</v>
      </c>
      <c r="B10330" s="27" t="s">
        <v>35</v>
      </c>
      <c r="C10330" s="27" t="s">
        <v>50</v>
      </c>
      <c r="D10330" s="27" t="s">
        <v>7</v>
      </c>
      <c r="E10330" s="27" t="s">
        <v>12</v>
      </c>
      <c r="F10330" s="29"/>
      <c r="G10330" s="30">
        <v>617.0866666666667</v>
      </c>
    </row>
    <row r="10331" spans="1:7" hidden="1" x14ac:dyDescent="0.25">
      <c r="A10331" s="28">
        <v>44409</v>
      </c>
      <c r="B10331" s="27" t="s">
        <v>35</v>
      </c>
      <c r="C10331" s="27" t="s">
        <v>50</v>
      </c>
      <c r="D10331" s="27" t="s">
        <v>7</v>
      </c>
      <c r="E10331" s="27" t="s">
        <v>13</v>
      </c>
      <c r="F10331" s="29"/>
      <c r="G10331" s="30">
        <v>617.0866666666667</v>
      </c>
    </row>
    <row r="10332" spans="1:7" hidden="1" x14ac:dyDescent="0.25">
      <c r="A10332" s="28">
        <v>44409</v>
      </c>
      <c r="B10332" s="27" t="s">
        <v>35</v>
      </c>
      <c r="C10332" s="27" t="s">
        <v>50</v>
      </c>
      <c r="D10332" s="27" t="s">
        <v>7</v>
      </c>
      <c r="E10332" s="27" t="s">
        <v>14</v>
      </c>
      <c r="F10332" s="29"/>
      <c r="G10332" s="30">
        <v>617.0866666666667</v>
      </c>
    </row>
    <row r="10333" spans="1:7" hidden="1" x14ac:dyDescent="0.25">
      <c r="A10333" s="28">
        <v>44409</v>
      </c>
      <c r="B10333" s="27" t="s">
        <v>35</v>
      </c>
      <c r="C10333" s="27" t="s">
        <v>50</v>
      </c>
      <c r="D10333" s="27" t="s">
        <v>7</v>
      </c>
      <c r="E10333" s="27" t="s">
        <v>15</v>
      </c>
      <c r="F10333" s="29"/>
      <c r="G10333" s="30">
        <v>617.0866666666667</v>
      </c>
    </row>
    <row r="10334" spans="1:7" hidden="1" x14ac:dyDescent="0.25">
      <c r="A10334" s="28">
        <v>44409</v>
      </c>
      <c r="B10334" s="27" t="s">
        <v>35</v>
      </c>
      <c r="C10334" s="27" t="s">
        <v>50</v>
      </c>
      <c r="D10334" s="27" t="s">
        <v>7</v>
      </c>
      <c r="E10334" s="27" t="s">
        <v>16</v>
      </c>
      <c r="F10334" s="29"/>
      <c r="G10334" s="30">
        <v>617.0866666666667</v>
      </c>
    </row>
    <row r="10335" spans="1:7" hidden="1" x14ac:dyDescent="0.25">
      <c r="A10335" s="28">
        <v>44409</v>
      </c>
      <c r="B10335" s="27" t="s">
        <v>35</v>
      </c>
      <c r="C10335" s="27" t="s">
        <v>50</v>
      </c>
      <c r="D10335" s="27" t="s">
        <v>7</v>
      </c>
      <c r="E10335" s="27" t="s">
        <v>17</v>
      </c>
      <c r="F10335" s="29"/>
      <c r="G10335" s="30">
        <v>617.0866666666667</v>
      </c>
    </row>
    <row r="10336" spans="1:7" hidden="1" x14ac:dyDescent="0.25">
      <c r="A10336" s="28">
        <v>44409</v>
      </c>
      <c r="B10336" s="27" t="s">
        <v>35</v>
      </c>
      <c r="C10336" s="27" t="s">
        <v>50</v>
      </c>
      <c r="D10336" s="27" t="s">
        <v>7</v>
      </c>
      <c r="E10336" s="27" t="s">
        <v>18</v>
      </c>
      <c r="F10336" s="29"/>
      <c r="G10336" s="30">
        <v>617.0866666666667</v>
      </c>
    </row>
    <row r="10337" spans="1:7" hidden="1" x14ac:dyDescent="0.25">
      <c r="A10337" s="28">
        <v>44409</v>
      </c>
      <c r="B10337" s="27" t="s">
        <v>35</v>
      </c>
      <c r="C10337" s="27" t="s">
        <v>50</v>
      </c>
      <c r="D10337" s="27" t="s">
        <v>7</v>
      </c>
      <c r="E10337" s="27" t="s">
        <v>19</v>
      </c>
      <c r="F10337" s="29"/>
      <c r="G10337" s="30">
        <v>617.0866666666667</v>
      </c>
    </row>
    <row r="10338" spans="1:7" hidden="1" x14ac:dyDescent="0.25">
      <c r="A10338" s="28">
        <v>44409</v>
      </c>
      <c r="B10338" s="27" t="s">
        <v>35</v>
      </c>
      <c r="C10338" s="27" t="s">
        <v>50</v>
      </c>
      <c r="D10338" s="27" t="s">
        <v>7</v>
      </c>
      <c r="E10338" s="27" t="s">
        <v>20</v>
      </c>
      <c r="F10338" s="29"/>
      <c r="G10338" s="30">
        <v>617.0866666666667</v>
      </c>
    </row>
    <row r="10339" spans="1:7" hidden="1" x14ac:dyDescent="0.25">
      <c r="A10339" s="28">
        <v>44409</v>
      </c>
      <c r="B10339" s="27" t="s">
        <v>35</v>
      </c>
      <c r="C10339" s="27" t="s">
        <v>50</v>
      </c>
      <c r="D10339" s="27" t="s">
        <v>7</v>
      </c>
      <c r="E10339" s="27" t="s">
        <v>38</v>
      </c>
      <c r="F10339" s="29"/>
      <c r="G10339" s="30">
        <v>617.0866666666667</v>
      </c>
    </row>
    <row r="10340" spans="1:7" hidden="1" x14ac:dyDescent="0.25">
      <c r="A10340" s="28">
        <v>44409</v>
      </c>
      <c r="B10340" s="27" t="s">
        <v>35</v>
      </c>
      <c r="C10340" s="27" t="s">
        <v>50</v>
      </c>
      <c r="D10340" s="27" t="s">
        <v>7</v>
      </c>
      <c r="E10340" s="27" t="s">
        <v>23</v>
      </c>
      <c r="F10340" s="29"/>
      <c r="G10340" s="30">
        <v>617.0866666666667</v>
      </c>
    </row>
    <row r="10341" spans="1:7" hidden="1" x14ac:dyDescent="0.25">
      <c r="A10341" s="28">
        <v>44409</v>
      </c>
      <c r="B10341" s="27" t="s">
        <v>35</v>
      </c>
      <c r="C10341" s="27" t="s">
        <v>50</v>
      </c>
      <c r="D10341" s="27" t="s">
        <v>7</v>
      </c>
      <c r="E10341" s="27" t="s">
        <v>40</v>
      </c>
      <c r="F10341" s="29"/>
      <c r="G10341" s="30">
        <v>617.0866666666667</v>
      </c>
    </row>
    <row r="10342" spans="1:7" hidden="1" x14ac:dyDescent="0.25">
      <c r="A10342" s="28">
        <v>44409</v>
      </c>
      <c r="B10342" s="27" t="s">
        <v>35</v>
      </c>
      <c r="C10342" s="27" t="s">
        <v>50</v>
      </c>
      <c r="D10342" s="27" t="s">
        <v>7</v>
      </c>
      <c r="E10342" s="27" t="s">
        <v>42</v>
      </c>
      <c r="F10342" s="29"/>
      <c r="G10342" s="30">
        <v>617.0866666666667</v>
      </c>
    </row>
    <row r="10343" spans="1:7" hidden="1" x14ac:dyDescent="0.25">
      <c r="A10343" s="28">
        <v>44409</v>
      </c>
      <c r="B10343" s="27" t="s">
        <v>35</v>
      </c>
      <c r="C10343" s="27" t="s">
        <v>50</v>
      </c>
      <c r="D10343" s="27" t="s">
        <v>7</v>
      </c>
      <c r="E10343" s="27" t="s">
        <v>43</v>
      </c>
      <c r="F10343" s="29"/>
      <c r="G10343" s="30">
        <v>617.0866666666667</v>
      </c>
    </row>
    <row r="10344" spans="1:7" hidden="1" x14ac:dyDescent="0.25">
      <c r="A10344" s="28">
        <v>44409</v>
      </c>
      <c r="B10344" s="27" t="s">
        <v>35</v>
      </c>
      <c r="C10344" s="27" t="s">
        <v>50</v>
      </c>
      <c r="D10344" s="27" t="s">
        <v>7</v>
      </c>
      <c r="E10344" s="27" t="s">
        <v>72</v>
      </c>
      <c r="F10344" s="29"/>
      <c r="G10344" s="30">
        <v>617.0866666666667</v>
      </c>
    </row>
    <row r="10345" spans="1:7" hidden="1" x14ac:dyDescent="0.25">
      <c r="A10345" s="28">
        <v>44409</v>
      </c>
      <c r="B10345" s="27" t="s">
        <v>34</v>
      </c>
      <c r="C10345" s="27" t="s">
        <v>50</v>
      </c>
      <c r="D10345" s="27" t="s">
        <v>6</v>
      </c>
      <c r="E10345" s="27" t="s">
        <v>8</v>
      </c>
      <c r="F10345" s="29"/>
      <c r="G10345" s="30">
        <v>512.69000000000005</v>
      </c>
    </row>
    <row r="10346" spans="1:7" hidden="1" x14ac:dyDescent="0.25">
      <c r="A10346" s="28">
        <v>44409</v>
      </c>
      <c r="B10346" s="27" t="s">
        <v>34</v>
      </c>
      <c r="C10346" s="27" t="s">
        <v>50</v>
      </c>
      <c r="D10346" s="27" t="s">
        <v>6</v>
      </c>
      <c r="E10346" s="27" t="s">
        <v>9</v>
      </c>
      <c r="F10346" s="29"/>
      <c r="G10346" s="30">
        <v>583.98</v>
      </c>
    </row>
    <row r="10347" spans="1:7" hidden="1" x14ac:dyDescent="0.25">
      <c r="A10347" s="28">
        <v>44409</v>
      </c>
      <c r="B10347" s="27" t="s">
        <v>34</v>
      </c>
      <c r="C10347" s="27" t="s">
        <v>50</v>
      </c>
      <c r="D10347" s="27" t="s">
        <v>6</v>
      </c>
      <c r="E10347" s="27" t="s">
        <v>22</v>
      </c>
      <c r="F10347" s="29"/>
      <c r="G10347" s="30">
        <v>717.29</v>
      </c>
    </row>
    <row r="10348" spans="1:7" hidden="1" x14ac:dyDescent="0.25">
      <c r="A10348" s="28">
        <v>44409</v>
      </c>
      <c r="B10348" s="27" t="s">
        <v>34</v>
      </c>
      <c r="C10348" s="27" t="s">
        <v>50</v>
      </c>
      <c r="D10348" s="27" t="s">
        <v>6</v>
      </c>
      <c r="E10348" s="27" t="s">
        <v>39</v>
      </c>
      <c r="F10348" s="29"/>
      <c r="G10348" s="30">
        <v>357.63</v>
      </c>
    </row>
    <row r="10349" spans="1:7" hidden="1" x14ac:dyDescent="0.25">
      <c r="A10349" s="28">
        <v>44409</v>
      </c>
      <c r="B10349" s="27" t="s">
        <v>34</v>
      </c>
      <c r="C10349" s="27" t="s">
        <v>50</v>
      </c>
      <c r="D10349" s="27" t="s">
        <v>6</v>
      </c>
      <c r="E10349" s="27" t="s">
        <v>64</v>
      </c>
      <c r="F10349" s="29"/>
      <c r="G10349" s="30">
        <v>632.99</v>
      </c>
    </row>
    <row r="10350" spans="1:7" hidden="1" x14ac:dyDescent="0.25">
      <c r="A10350" s="28">
        <v>44409</v>
      </c>
      <c r="B10350" s="27" t="s">
        <v>34</v>
      </c>
      <c r="C10350" s="27" t="s">
        <v>50</v>
      </c>
      <c r="D10350" s="27" t="s">
        <v>6</v>
      </c>
      <c r="E10350" s="27" t="s">
        <v>21</v>
      </c>
      <c r="F10350" s="29"/>
      <c r="G10350" s="30">
        <v>525.32000000000005</v>
      </c>
    </row>
    <row r="10351" spans="1:7" hidden="1" x14ac:dyDescent="0.25">
      <c r="A10351" s="28">
        <v>44409</v>
      </c>
      <c r="B10351" s="27" t="s">
        <v>34</v>
      </c>
      <c r="C10351" s="27" t="s">
        <v>50</v>
      </c>
      <c r="D10351" s="27" t="s">
        <v>6</v>
      </c>
      <c r="E10351" s="27" t="s">
        <v>41</v>
      </c>
      <c r="F10351" s="29"/>
      <c r="G10351" s="30">
        <v>541.32000000000005</v>
      </c>
    </row>
    <row r="10352" spans="1:7" hidden="1" x14ac:dyDescent="0.25">
      <c r="A10352" s="28">
        <v>44409</v>
      </c>
      <c r="B10352" s="27" t="s">
        <v>34</v>
      </c>
      <c r="C10352" s="27" t="s">
        <v>50</v>
      </c>
      <c r="D10352" s="27" t="s">
        <v>6</v>
      </c>
      <c r="E10352" s="27" t="s">
        <v>10</v>
      </c>
      <c r="F10352" s="29"/>
      <c r="G10352" s="30">
        <v>721.06</v>
      </c>
    </row>
    <row r="10353" spans="1:7" hidden="1" x14ac:dyDescent="0.25">
      <c r="A10353" s="28">
        <v>44409</v>
      </c>
      <c r="B10353" s="27" t="s">
        <v>34</v>
      </c>
      <c r="C10353" s="27" t="s">
        <v>50</v>
      </c>
      <c r="D10353" s="27" t="s">
        <v>6</v>
      </c>
      <c r="E10353" s="27" t="s">
        <v>11</v>
      </c>
      <c r="F10353" s="29"/>
      <c r="G10353" s="30">
        <v>309.66000000000003</v>
      </c>
    </row>
    <row r="10354" spans="1:7" hidden="1" x14ac:dyDescent="0.25">
      <c r="A10354" s="28">
        <v>44409</v>
      </c>
      <c r="B10354" s="27" t="s">
        <v>34</v>
      </c>
      <c r="C10354" s="27" t="s">
        <v>50</v>
      </c>
      <c r="D10354" s="27" t="s">
        <v>6</v>
      </c>
      <c r="E10354" s="27" t="s">
        <v>12</v>
      </c>
      <c r="F10354" s="29"/>
      <c r="G10354" s="30">
        <v>366.63</v>
      </c>
    </row>
    <row r="10355" spans="1:7" hidden="1" x14ac:dyDescent="0.25">
      <c r="A10355" s="28">
        <v>44409</v>
      </c>
      <c r="B10355" s="27" t="s">
        <v>34</v>
      </c>
      <c r="C10355" s="27" t="s">
        <v>50</v>
      </c>
      <c r="D10355" s="27" t="s">
        <v>6</v>
      </c>
      <c r="E10355" s="27" t="s">
        <v>13</v>
      </c>
      <c r="F10355" s="29"/>
      <c r="G10355" s="30">
        <v>444.8</v>
      </c>
    </row>
    <row r="10356" spans="1:7" hidden="1" x14ac:dyDescent="0.25">
      <c r="A10356" s="28">
        <v>44409</v>
      </c>
      <c r="B10356" s="27" t="s">
        <v>34</v>
      </c>
      <c r="C10356" s="27" t="s">
        <v>50</v>
      </c>
      <c r="D10356" s="27" t="s">
        <v>6</v>
      </c>
      <c r="E10356" s="27" t="s">
        <v>14</v>
      </c>
      <c r="F10356" s="29"/>
      <c r="G10356" s="30">
        <v>153.91999999999999</v>
      </c>
    </row>
    <row r="10357" spans="1:7" hidden="1" x14ac:dyDescent="0.25">
      <c r="A10357" s="28">
        <v>44409</v>
      </c>
      <c r="B10357" s="27" t="s">
        <v>34</v>
      </c>
      <c r="C10357" s="27" t="s">
        <v>50</v>
      </c>
      <c r="D10357" s="27" t="s">
        <v>6</v>
      </c>
      <c r="E10357" s="27" t="s">
        <v>15</v>
      </c>
      <c r="F10357" s="29"/>
      <c r="G10357" s="30">
        <v>377.23</v>
      </c>
    </row>
    <row r="10358" spans="1:7" hidden="1" x14ac:dyDescent="0.25">
      <c r="A10358" s="28">
        <v>44409</v>
      </c>
      <c r="B10358" s="27" t="s">
        <v>34</v>
      </c>
      <c r="C10358" s="27" t="s">
        <v>50</v>
      </c>
      <c r="D10358" s="27" t="s">
        <v>6</v>
      </c>
      <c r="E10358" s="27" t="s">
        <v>16</v>
      </c>
      <c r="F10358" s="29"/>
      <c r="G10358" s="30">
        <v>455.42</v>
      </c>
    </row>
    <row r="10359" spans="1:7" hidden="1" x14ac:dyDescent="0.25">
      <c r="A10359" s="28">
        <v>44409</v>
      </c>
      <c r="B10359" s="27" t="s">
        <v>34</v>
      </c>
      <c r="C10359" s="27" t="s">
        <v>50</v>
      </c>
      <c r="D10359" s="27" t="s">
        <v>6</v>
      </c>
      <c r="E10359" s="27" t="s">
        <v>17</v>
      </c>
      <c r="F10359" s="29"/>
      <c r="G10359" s="30">
        <v>825.43</v>
      </c>
    </row>
    <row r="10360" spans="1:7" hidden="1" x14ac:dyDescent="0.25">
      <c r="A10360" s="28">
        <v>44409</v>
      </c>
      <c r="B10360" s="27" t="s">
        <v>34</v>
      </c>
      <c r="C10360" s="27" t="s">
        <v>50</v>
      </c>
      <c r="D10360" s="27" t="s">
        <v>6</v>
      </c>
      <c r="E10360" s="27" t="s">
        <v>18</v>
      </c>
      <c r="F10360" s="29"/>
      <c r="G10360" s="30">
        <v>361.39</v>
      </c>
    </row>
    <row r="10361" spans="1:7" hidden="1" x14ac:dyDescent="0.25">
      <c r="A10361" s="28">
        <v>44409</v>
      </c>
      <c r="B10361" s="27" t="s">
        <v>34</v>
      </c>
      <c r="C10361" s="27" t="s">
        <v>50</v>
      </c>
      <c r="D10361" s="27" t="s">
        <v>6</v>
      </c>
      <c r="E10361" s="27" t="s">
        <v>19</v>
      </c>
      <c r="F10361" s="29"/>
      <c r="G10361" s="30">
        <v>492.72</v>
      </c>
    </row>
    <row r="10362" spans="1:7" hidden="1" x14ac:dyDescent="0.25">
      <c r="A10362" s="28">
        <v>44409</v>
      </c>
      <c r="B10362" s="27" t="s">
        <v>34</v>
      </c>
      <c r="C10362" s="27" t="s">
        <v>50</v>
      </c>
      <c r="D10362" s="27" t="s">
        <v>6</v>
      </c>
      <c r="E10362" s="27" t="s">
        <v>20</v>
      </c>
      <c r="F10362" s="29"/>
      <c r="G10362" s="30">
        <v>371.7</v>
      </c>
    </row>
    <row r="10363" spans="1:7" hidden="1" x14ac:dyDescent="0.25">
      <c r="A10363" s="28">
        <v>44409</v>
      </c>
      <c r="B10363" s="27" t="s">
        <v>34</v>
      </c>
      <c r="C10363" s="27" t="s">
        <v>50</v>
      </c>
      <c r="D10363" s="27" t="s">
        <v>6</v>
      </c>
      <c r="E10363" s="27" t="s">
        <v>38</v>
      </c>
      <c r="F10363" s="29"/>
      <c r="G10363" s="30">
        <v>182.93</v>
      </c>
    </row>
    <row r="10364" spans="1:7" hidden="1" x14ac:dyDescent="0.25">
      <c r="A10364" s="28">
        <v>44409</v>
      </c>
      <c r="B10364" s="27" t="s">
        <v>34</v>
      </c>
      <c r="C10364" s="27" t="s">
        <v>50</v>
      </c>
      <c r="D10364" s="27" t="s">
        <v>6</v>
      </c>
      <c r="E10364" s="27" t="s">
        <v>23</v>
      </c>
      <c r="F10364" s="29"/>
      <c r="G10364" s="30">
        <v>571.6</v>
      </c>
    </row>
    <row r="10365" spans="1:7" hidden="1" x14ac:dyDescent="0.25">
      <c r="A10365" s="28">
        <v>44409</v>
      </c>
      <c r="B10365" s="27" t="s">
        <v>34</v>
      </c>
      <c r="C10365" s="27" t="s">
        <v>50</v>
      </c>
      <c r="D10365" s="27" t="s">
        <v>6</v>
      </c>
      <c r="E10365" s="27" t="s">
        <v>40</v>
      </c>
      <c r="F10365" s="29"/>
      <c r="G10365" s="30">
        <v>169.73</v>
      </c>
    </row>
    <row r="10366" spans="1:7" hidden="1" x14ac:dyDescent="0.25">
      <c r="A10366" s="28">
        <v>44440</v>
      </c>
      <c r="B10366" s="27" t="s">
        <v>33</v>
      </c>
      <c r="C10366" s="27" t="s">
        <v>50</v>
      </c>
      <c r="D10366" s="27" t="s">
        <v>7</v>
      </c>
      <c r="E10366" s="27" t="s">
        <v>8</v>
      </c>
      <c r="F10366" s="29"/>
      <c r="G10366" s="30">
        <v>2139.6716666666666</v>
      </c>
    </row>
    <row r="10367" spans="1:7" hidden="1" x14ac:dyDescent="0.25">
      <c r="A10367" s="28">
        <v>44440</v>
      </c>
      <c r="B10367" s="27" t="s">
        <v>33</v>
      </c>
      <c r="C10367" s="27" t="s">
        <v>50</v>
      </c>
      <c r="D10367" s="27" t="s">
        <v>7</v>
      </c>
      <c r="E10367" s="27" t="s">
        <v>9</v>
      </c>
      <c r="F10367" s="29"/>
      <c r="G10367" s="30">
        <v>2139.6716666666666</v>
      </c>
    </row>
    <row r="10368" spans="1:7" hidden="1" x14ac:dyDescent="0.25">
      <c r="A10368" s="28">
        <v>44440</v>
      </c>
      <c r="B10368" s="27" t="s">
        <v>33</v>
      </c>
      <c r="C10368" s="27" t="s">
        <v>50</v>
      </c>
      <c r="D10368" s="27" t="s">
        <v>7</v>
      </c>
      <c r="E10368" s="27" t="s">
        <v>22</v>
      </c>
      <c r="F10368" s="29"/>
      <c r="G10368" s="30">
        <v>2139.6716666666666</v>
      </c>
    </row>
    <row r="10369" spans="1:7" hidden="1" x14ac:dyDescent="0.25">
      <c r="A10369" s="28">
        <v>44440</v>
      </c>
      <c r="B10369" s="27" t="s">
        <v>33</v>
      </c>
      <c r="C10369" s="27" t="s">
        <v>50</v>
      </c>
      <c r="D10369" s="27" t="s">
        <v>7</v>
      </c>
      <c r="E10369" s="27" t="s">
        <v>39</v>
      </c>
      <c r="F10369" s="29"/>
      <c r="G10369" s="30">
        <v>2139.6716666666666</v>
      </c>
    </row>
    <row r="10370" spans="1:7" hidden="1" x14ac:dyDescent="0.25">
      <c r="A10370" s="28">
        <v>44440</v>
      </c>
      <c r="B10370" s="27" t="s">
        <v>33</v>
      </c>
      <c r="C10370" s="27" t="s">
        <v>50</v>
      </c>
      <c r="D10370" s="27" t="s">
        <v>7</v>
      </c>
      <c r="E10370" s="27" t="s">
        <v>64</v>
      </c>
      <c r="F10370" s="29"/>
      <c r="G10370" s="30">
        <v>2139.6716666666666</v>
      </c>
    </row>
    <row r="10371" spans="1:7" hidden="1" x14ac:dyDescent="0.25">
      <c r="A10371" s="28">
        <v>44440</v>
      </c>
      <c r="B10371" s="27" t="s">
        <v>33</v>
      </c>
      <c r="C10371" s="27" t="s">
        <v>50</v>
      </c>
      <c r="D10371" s="27" t="s">
        <v>7</v>
      </c>
      <c r="E10371" s="27" t="s">
        <v>21</v>
      </c>
      <c r="F10371" s="29"/>
      <c r="G10371" s="30">
        <v>2139.6716666666666</v>
      </c>
    </row>
    <row r="10372" spans="1:7" hidden="1" x14ac:dyDescent="0.25">
      <c r="A10372" s="28">
        <v>44440</v>
      </c>
      <c r="B10372" s="27" t="s">
        <v>33</v>
      </c>
      <c r="C10372" s="27" t="s">
        <v>50</v>
      </c>
      <c r="D10372" s="27" t="s">
        <v>7</v>
      </c>
      <c r="E10372" s="27" t="s">
        <v>41</v>
      </c>
      <c r="F10372" s="29"/>
      <c r="G10372" s="30">
        <v>2139.6716666666666</v>
      </c>
    </row>
    <row r="10373" spans="1:7" hidden="1" x14ac:dyDescent="0.25">
      <c r="A10373" s="28">
        <v>44440</v>
      </c>
      <c r="B10373" s="27" t="s">
        <v>33</v>
      </c>
      <c r="C10373" s="27" t="s">
        <v>50</v>
      </c>
      <c r="D10373" s="27" t="s">
        <v>7</v>
      </c>
      <c r="E10373" s="27" t="s">
        <v>10</v>
      </c>
      <c r="F10373" s="29"/>
      <c r="G10373" s="30">
        <v>2139.6716666666666</v>
      </c>
    </row>
    <row r="10374" spans="1:7" hidden="1" x14ac:dyDescent="0.25">
      <c r="A10374" s="28">
        <v>44440</v>
      </c>
      <c r="B10374" s="27" t="s">
        <v>33</v>
      </c>
      <c r="C10374" s="27" t="s">
        <v>50</v>
      </c>
      <c r="D10374" s="27" t="s">
        <v>7</v>
      </c>
      <c r="E10374" s="27" t="s">
        <v>11</v>
      </c>
      <c r="F10374" s="29"/>
      <c r="G10374" s="30">
        <v>2139.6716666666666</v>
      </c>
    </row>
    <row r="10375" spans="1:7" hidden="1" x14ac:dyDescent="0.25">
      <c r="A10375" s="28">
        <v>44440</v>
      </c>
      <c r="B10375" s="27" t="s">
        <v>33</v>
      </c>
      <c r="C10375" s="27" t="s">
        <v>50</v>
      </c>
      <c r="D10375" s="27" t="s">
        <v>7</v>
      </c>
      <c r="E10375" s="27" t="s">
        <v>12</v>
      </c>
      <c r="F10375" s="29"/>
      <c r="G10375" s="30">
        <v>2139.6716666666666</v>
      </c>
    </row>
    <row r="10376" spans="1:7" hidden="1" x14ac:dyDescent="0.25">
      <c r="A10376" s="28">
        <v>44440</v>
      </c>
      <c r="B10376" s="27" t="s">
        <v>33</v>
      </c>
      <c r="C10376" s="27" t="s">
        <v>50</v>
      </c>
      <c r="D10376" s="27" t="s">
        <v>7</v>
      </c>
      <c r="E10376" s="27" t="s">
        <v>13</v>
      </c>
      <c r="F10376" s="29"/>
      <c r="G10376" s="30">
        <v>2139.6716666666666</v>
      </c>
    </row>
    <row r="10377" spans="1:7" hidden="1" x14ac:dyDescent="0.25">
      <c r="A10377" s="28">
        <v>44440</v>
      </c>
      <c r="B10377" s="27" t="s">
        <v>33</v>
      </c>
      <c r="C10377" s="27" t="s">
        <v>50</v>
      </c>
      <c r="D10377" s="27" t="s">
        <v>7</v>
      </c>
      <c r="E10377" s="27" t="s">
        <v>14</v>
      </c>
      <c r="F10377" s="29"/>
      <c r="G10377" s="30">
        <v>2139.6716666666666</v>
      </c>
    </row>
    <row r="10378" spans="1:7" hidden="1" x14ac:dyDescent="0.25">
      <c r="A10378" s="28">
        <v>44440</v>
      </c>
      <c r="B10378" s="27" t="s">
        <v>33</v>
      </c>
      <c r="C10378" s="27" t="s">
        <v>50</v>
      </c>
      <c r="D10378" s="27" t="s">
        <v>7</v>
      </c>
      <c r="E10378" s="27" t="s">
        <v>15</v>
      </c>
      <c r="F10378" s="29"/>
      <c r="G10378" s="30">
        <v>2139.6716666666666</v>
      </c>
    </row>
    <row r="10379" spans="1:7" hidden="1" x14ac:dyDescent="0.25">
      <c r="A10379" s="28">
        <v>44440</v>
      </c>
      <c r="B10379" s="27" t="s">
        <v>33</v>
      </c>
      <c r="C10379" s="27" t="s">
        <v>50</v>
      </c>
      <c r="D10379" s="27" t="s">
        <v>7</v>
      </c>
      <c r="E10379" s="27" t="s">
        <v>16</v>
      </c>
      <c r="F10379" s="29"/>
      <c r="G10379" s="30">
        <v>2139.6716666666666</v>
      </c>
    </row>
    <row r="10380" spans="1:7" hidden="1" x14ac:dyDescent="0.25">
      <c r="A10380" s="28">
        <v>44440</v>
      </c>
      <c r="B10380" s="27" t="s">
        <v>33</v>
      </c>
      <c r="C10380" s="27" t="s">
        <v>50</v>
      </c>
      <c r="D10380" s="27" t="s">
        <v>7</v>
      </c>
      <c r="E10380" s="27" t="s">
        <v>17</v>
      </c>
      <c r="F10380" s="29"/>
      <c r="G10380" s="30">
        <v>2139.6716666666666</v>
      </c>
    </row>
    <row r="10381" spans="1:7" hidden="1" x14ac:dyDescent="0.25">
      <c r="A10381" s="28">
        <v>44440</v>
      </c>
      <c r="B10381" s="27" t="s">
        <v>33</v>
      </c>
      <c r="C10381" s="27" t="s">
        <v>50</v>
      </c>
      <c r="D10381" s="27" t="s">
        <v>7</v>
      </c>
      <c r="E10381" s="27" t="s">
        <v>18</v>
      </c>
      <c r="F10381" s="29"/>
      <c r="G10381" s="30">
        <v>2139.6716666666666</v>
      </c>
    </row>
    <row r="10382" spans="1:7" hidden="1" x14ac:dyDescent="0.25">
      <c r="A10382" s="28">
        <v>44440</v>
      </c>
      <c r="B10382" s="27" t="s">
        <v>33</v>
      </c>
      <c r="C10382" s="27" t="s">
        <v>50</v>
      </c>
      <c r="D10382" s="27" t="s">
        <v>7</v>
      </c>
      <c r="E10382" s="27" t="s">
        <v>19</v>
      </c>
      <c r="F10382" s="29"/>
      <c r="G10382" s="30">
        <v>2139.6716666666666</v>
      </c>
    </row>
    <row r="10383" spans="1:7" hidden="1" x14ac:dyDescent="0.25">
      <c r="A10383" s="28">
        <v>44440</v>
      </c>
      <c r="B10383" s="27" t="s">
        <v>33</v>
      </c>
      <c r="C10383" s="27" t="s">
        <v>50</v>
      </c>
      <c r="D10383" s="27" t="s">
        <v>7</v>
      </c>
      <c r="E10383" s="27" t="s">
        <v>20</v>
      </c>
      <c r="F10383" s="29"/>
      <c r="G10383" s="30">
        <v>2139.6716666666666</v>
      </c>
    </row>
    <row r="10384" spans="1:7" hidden="1" x14ac:dyDescent="0.25">
      <c r="A10384" s="28">
        <v>44440</v>
      </c>
      <c r="B10384" s="27" t="s">
        <v>33</v>
      </c>
      <c r="C10384" s="27" t="s">
        <v>50</v>
      </c>
      <c r="D10384" s="27" t="s">
        <v>7</v>
      </c>
      <c r="E10384" s="27" t="s">
        <v>38</v>
      </c>
      <c r="F10384" s="29"/>
      <c r="G10384" s="30">
        <v>2139.6716666666666</v>
      </c>
    </row>
    <row r="10385" spans="1:7" hidden="1" x14ac:dyDescent="0.25">
      <c r="A10385" s="28">
        <v>44440</v>
      </c>
      <c r="B10385" s="27" t="s">
        <v>33</v>
      </c>
      <c r="C10385" s="27" t="s">
        <v>50</v>
      </c>
      <c r="D10385" s="27" t="s">
        <v>7</v>
      </c>
      <c r="E10385" s="27" t="s">
        <v>23</v>
      </c>
      <c r="F10385" s="29"/>
      <c r="G10385" s="30">
        <v>2139.6716666666666</v>
      </c>
    </row>
    <row r="10386" spans="1:7" hidden="1" x14ac:dyDescent="0.25">
      <c r="A10386" s="28">
        <v>44440</v>
      </c>
      <c r="B10386" s="27" t="s">
        <v>33</v>
      </c>
      <c r="C10386" s="27" t="s">
        <v>50</v>
      </c>
      <c r="D10386" s="27" t="s">
        <v>7</v>
      </c>
      <c r="E10386" s="27" t="s">
        <v>40</v>
      </c>
      <c r="F10386" s="29"/>
      <c r="G10386" s="30">
        <v>2139.6716666666666</v>
      </c>
    </row>
    <row r="10387" spans="1:7" hidden="1" x14ac:dyDescent="0.25">
      <c r="A10387" s="28">
        <v>44440</v>
      </c>
      <c r="B10387" s="27" t="s">
        <v>33</v>
      </c>
      <c r="C10387" s="27" t="s">
        <v>50</v>
      </c>
      <c r="D10387" s="27" t="s">
        <v>7</v>
      </c>
      <c r="E10387" s="27" t="s">
        <v>42</v>
      </c>
      <c r="F10387" s="29"/>
      <c r="G10387" s="30">
        <v>2139.6716666666666</v>
      </c>
    </row>
    <row r="10388" spans="1:7" hidden="1" x14ac:dyDescent="0.25">
      <c r="A10388" s="28">
        <v>44440</v>
      </c>
      <c r="B10388" s="27" t="s">
        <v>33</v>
      </c>
      <c r="C10388" s="27" t="s">
        <v>50</v>
      </c>
      <c r="D10388" s="27" t="s">
        <v>7</v>
      </c>
      <c r="E10388" s="27" t="s">
        <v>43</v>
      </c>
      <c r="F10388" s="29"/>
      <c r="G10388" s="30">
        <v>2139.6716666666666</v>
      </c>
    </row>
    <row r="10389" spans="1:7" hidden="1" x14ac:dyDescent="0.25">
      <c r="A10389" s="28">
        <v>44440</v>
      </c>
      <c r="B10389" s="27" t="s">
        <v>33</v>
      </c>
      <c r="C10389" s="27" t="s">
        <v>50</v>
      </c>
      <c r="D10389" s="27" t="s">
        <v>7</v>
      </c>
      <c r="E10389" s="27" t="s">
        <v>72</v>
      </c>
      <c r="F10389" s="29"/>
      <c r="G10389" s="30">
        <v>2139.6716666666666</v>
      </c>
    </row>
    <row r="10390" spans="1:7" hidden="1" x14ac:dyDescent="0.25">
      <c r="A10390" s="28">
        <v>44440</v>
      </c>
      <c r="B10390" s="27" t="s">
        <v>4</v>
      </c>
      <c r="C10390" s="27" t="s">
        <v>50</v>
      </c>
      <c r="D10390" s="27" t="s">
        <v>7</v>
      </c>
      <c r="E10390" s="27" t="s">
        <v>8</v>
      </c>
      <c r="F10390" s="29"/>
      <c r="G10390" s="30">
        <v>1089.68</v>
      </c>
    </row>
    <row r="10391" spans="1:7" hidden="1" x14ac:dyDescent="0.25">
      <c r="A10391" s="28">
        <v>44440</v>
      </c>
      <c r="B10391" s="27" t="s">
        <v>4</v>
      </c>
      <c r="C10391" s="27" t="s">
        <v>50</v>
      </c>
      <c r="D10391" s="27" t="s">
        <v>7</v>
      </c>
      <c r="E10391" s="27" t="s">
        <v>9</v>
      </c>
      <c r="F10391" s="29"/>
      <c r="G10391" s="30">
        <v>3423.84</v>
      </c>
    </row>
    <row r="10392" spans="1:7" hidden="1" x14ac:dyDescent="0.25">
      <c r="A10392" s="28">
        <v>44440</v>
      </c>
      <c r="B10392" s="27" t="s">
        <v>4</v>
      </c>
      <c r="C10392" s="27" t="s">
        <v>50</v>
      </c>
      <c r="D10392" s="27" t="s">
        <v>7</v>
      </c>
      <c r="E10392" s="27" t="s">
        <v>22</v>
      </c>
      <c r="F10392" s="29"/>
      <c r="G10392" s="30">
        <v>4009.34</v>
      </c>
    </row>
    <row r="10393" spans="1:7" hidden="1" x14ac:dyDescent="0.25">
      <c r="A10393" s="28">
        <v>44440</v>
      </c>
      <c r="B10393" s="27" t="s">
        <v>4</v>
      </c>
      <c r="C10393" s="27" t="s">
        <v>50</v>
      </c>
      <c r="D10393" s="27" t="s">
        <v>7</v>
      </c>
      <c r="E10393" s="27" t="s">
        <v>39</v>
      </c>
      <c r="F10393" s="29"/>
      <c r="G10393" s="30">
        <v>1971.91</v>
      </c>
    </row>
    <row r="10394" spans="1:7" hidden="1" x14ac:dyDescent="0.25">
      <c r="A10394" s="28">
        <v>44440</v>
      </c>
      <c r="B10394" s="27" t="s">
        <v>4</v>
      </c>
      <c r="C10394" s="27" t="s">
        <v>50</v>
      </c>
      <c r="D10394" s="27" t="s">
        <v>7</v>
      </c>
      <c r="E10394" s="27" t="s">
        <v>64</v>
      </c>
      <c r="F10394" s="29"/>
      <c r="G10394" s="30">
        <v>3526.72</v>
      </c>
    </row>
    <row r="10395" spans="1:7" hidden="1" x14ac:dyDescent="0.25">
      <c r="A10395" s="28">
        <v>44440</v>
      </c>
      <c r="B10395" s="27" t="s">
        <v>4</v>
      </c>
      <c r="C10395" s="27" t="s">
        <v>50</v>
      </c>
      <c r="D10395" s="27" t="s">
        <v>7</v>
      </c>
      <c r="E10395" s="27" t="s">
        <v>21</v>
      </c>
      <c r="F10395" s="29"/>
      <c r="G10395" s="30">
        <v>4766.28</v>
      </c>
    </row>
    <row r="10396" spans="1:7" hidden="1" x14ac:dyDescent="0.25">
      <c r="A10396" s="28">
        <v>44440</v>
      </c>
      <c r="B10396" s="27" t="s">
        <v>4</v>
      </c>
      <c r="C10396" s="27" t="s">
        <v>50</v>
      </c>
      <c r="D10396" s="27" t="s">
        <v>7</v>
      </c>
      <c r="E10396" s="27" t="s">
        <v>41</v>
      </c>
      <c r="F10396" s="29"/>
      <c r="G10396" s="30">
        <v>3227.15</v>
      </c>
    </row>
    <row r="10397" spans="1:7" hidden="1" x14ac:dyDescent="0.25">
      <c r="A10397" s="28">
        <v>44440</v>
      </c>
      <c r="B10397" s="27" t="s">
        <v>4</v>
      </c>
      <c r="C10397" s="27" t="s">
        <v>50</v>
      </c>
      <c r="D10397" s="27" t="s">
        <v>7</v>
      </c>
      <c r="E10397" s="27" t="s">
        <v>10</v>
      </c>
      <c r="F10397" s="29"/>
      <c r="G10397" s="30">
        <v>474</v>
      </c>
    </row>
    <row r="10398" spans="1:7" hidden="1" x14ac:dyDescent="0.25">
      <c r="A10398" s="28">
        <v>44440</v>
      </c>
      <c r="B10398" s="27" t="s">
        <v>4</v>
      </c>
      <c r="C10398" s="27" t="s">
        <v>50</v>
      </c>
      <c r="D10398" s="27" t="s">
        <v>7</v>
      </c>
      <c r="E10398" s="27" t="s">
        <v>11</v>
      </c>
      <c r="F10398" s="29"/>
      <c r="G10398" s="30">
        <v>890.06</v>
      </c>
    </row>
    <row r="10399" spans="1:7" hidden="1" x14ac:dyDescent="0.25">
      <c r="A10399" s="28">
        <v>44440</v>
      </c>
      <c r="B10399" s="27" t="s">
        <v>4</v>
      </c>
      <c r="C10399" s="27" t="s">
        <v>50</v>
      </c>
      <c r="D10399" s="27" t="s">
        <v>7</v>
      </c>
      <c r="E10399" s="27" t="s">
        <v>12</v>
      </c>
      <c r="F10399" s="29"/>
      <c r="G10399" s="30">
        <v>60.78</v>
      </c>
    </row>
    <row r="10400" spans="1:7" hidden="1" x14ac:dyDescent="0.25">
      <c r="A10400" s="28">
        <v>44440</v>
      </c>
      <c r="B10400" s="27" t="s">
        <v>4</v>
      </c>
      <c r="C10400" s="27" t="s">
        <v>50</v>
      </c>
      <c r="D10400" s="27" t="s">
        <v>7</v>
      </c>
      <c r="E10400" s="27" t="s">
        <v>13</v>
      </c>
      <c r="F10400" s="29"/>
      <c r="G10400" s="30">
        <f>31773.56/5</f>
        <v>6354.7120000000004</v>
      </c>
    </row>
    <row r="10401" spans="1:7" hidden="1" x14ac:dyDescent="0.25">
      <c r="A10401" s="28">
        <v>44440</v>
      </c>
      <c r="B10401" s="27" t="s">
        <v>4</v>
      </c>
      <c r="C10401" s="27" t="s">
        <v>50</v>
      </c>
      <c r="D10401" s="27" t="s">
        <v>7</v>
      </c>
      <c r="E10401" s="27" t="s">
        <v>14</v>
      </c>
      <c r="F10401" s="29"/>
      <c r="G10401" s="30">
        <v>1318.79</v>
      </c>
    </row>
    <row r="10402" spans="1:7" hidden="1" x14ac:dyDescent="0.25">
      <c r="A10402" s="28">
        <v>44440</v>
      </c>
      <c r="B10402" s="27" t="s">
        <v>4</v>
      </c>
      <c r="C10402" s="27" t="s">
        <v>50</v>
      </c>
      <c r="D10402" s="27" t="s">
        <v>7</v>
      </c>
      <c r="E10402" s="27" t="s">
        <v>15</v>
      </c>
      <c r="F10402" s="29"/>
      <c r="G10402" s="30">
        <v>1777.71</v>
      </c>
    </row>
    <row r="10403" spans="1:7" hidden="1" x14ac:dyDescent="0.25">
      <c r="A10403" s="28">
        <v>44440</v>
      </c>
      <c r="B10403" s="27" t="s">
        <v>4</v>
      </c>
      <c r="C10403" s="27" t="s">
        <v>50</v>
      </c>
      <c r="D10403" s="27" t="s">
        <v>7</v>
      </c>
      <c r="E10403" s="27" t="s">
        <v>16</v>
      </c>
      <c r="F10403" s="29"/>
      <c r="G10403" s="30">
        <f>31773.56/5</f>
        <v>6354.7120000000004</v>
      </c>
    </row>
    <row r="10404" spans="1:7" hidden="1" x14ac:dyDescent="0.25">
      <c r="A10404" s="28">
        <v>44440</v>
      </c>
      <c r="B10404" s="27" t="s">
        <v>4</v>
      </c>
      <c r="C10404" s="27" t="s">
        <v>50</v>
      </c>
      <c r="D10404" s="27" t="s">
        <v>7</v>
      </c>
      <c r="E10404" s="27" t="s">
        <v>17</v>
      </c>
      <c r="F10404" s="29"/>
      <c r="G10404" s="30">
        <v>4724.84</v>
      </c>
    </row>
    <row r="10405" spans="1:7" hidden="1" x14ac:dyDescent="0.25">
      <c r="A10405" s="28">
        <v>44440</v>
      </c>
      <c r="B10405" s="27" t="s">
        <v>4</v>
      </c>
      <c r="C10405" s="27" t="s">
        <v>50</v>
      </c>
      <c r="D10405" s="27" t="s">
        <v>7</v>
      </c>
      <c r="E10405" s="27" t="s">
        <v>18</v>
      </c>
      <c r="F10405" s="29"/>
      <c r="G10405" s="30">
        <f>31773.56/5</f>
        <v>6354.7120000000004</v>
      </c>
    </row>
    <row r="10406" spans="1:7" hidden="1" x14ac:dyDescent="0.25">
      <c r="A10406" s="28">
        <v>44440</v>
      </c>
      <c r="B10406" s="27" t="s">
        <v>4</v>
      </c>
      <c r="C10406" s="27" t="s">
        <v>50</v>
      </c>
      <c r="D10406" s="27" t="s">
        <v>7</v>
      </c>
      <c r="E10406" s="27" t="s">
        <v>19</v>
      </c>
      <c r="F10406" s="29"/>
      <c r="G10406" s="30">
        <v>4301.13</v>
      </c>
    </row>
    <row r="10407" spans="1:7" hidden="1" x14ac:dyDescent="0.25">
      <c r="A10407" s="28">
        <v>44440</v>
      </c>
      <c r="B10407" s="27" t="s">
        <v>4</v>
      </c>
      <c r="C10407" s="27" t="s">
        <v>50</v>
      </c>
      <c r="D10407" s="27" t="s">
        <v>7</v>
      </c>
      <c r="E10407" s="27" t="s">
        <v>20</v>
      </c>
      <c r="F10407" s="29"/>
      <c r="G10407" s="30">
        <v>2222.38</v>
      </c>
    </row>
    <row r="10408" spans="1:7" hidden="1" x14ac:dyDescent="0.25">
      <c r="A10408" s="28">
        <v>44440</v>
      </c>
      <c r="B10408" s="27" t="s">
        <v>4</v>
      </c>
      <c r="C10408" s="27" t="s">
        <v>50</v>
      </c>
      <c r="D10408" s="27" t="s">
        <v>7</v>
      </c>
      <c r="E10408" s="27" t="s">
        <v>38</v>
      </c>
      <c r="F10408" s="29"/>
      <c r="G10408" s="30">
        <f>31773.56/5</f>
        <v>6354.7120000000004</v>
      </c>
    </row>
    <row r="10409" spans="1:7" hidden="1" x14ac:dyDescent="0.25">
      <c r="A10409" s="28">
        <v>44440</v>
      </c>
      <c r="B10409" s="27" t="s">
        <v>4</v>
      </c>
      <c r="C10409" s="27" t="s">
        <v>50</v>
      </c>
      <c r="D10409" s="27" t="s">
        <v>7</v>
      </c>
      <c r="E10409" s="27" t="s">
        <v>23</v>
      </c>
      <c r="F10409" s="29"/>
      <c r="G10409" s="30">
        <v>5424.14</v>
      </c>
    </row>
    <row r="10410" spans="1:7" hidden="1" x14ac:dyDescent="0.25">
      <c r="A10410" s="28">
        <v>44440</v>
      </c>
      <c r="B10410" s="27" t="s">
        <v>4</v>
      </c>
      <c r="C10410" s="27" t="s">
        <v>50</v>
      </c>
      <c r="D10410" s="27" t="s">
        <v>7</v>
      </c>
      <c r="E10410" s="27" t="s">
        <v>40</v>
      </c>
      <c r="F10410" s="29"/>
      <c r="G10410" s="30">
        <f>31773.56/5</f>
        <v>6354.7120000000004</v>
      </c>
    </row>
    <row r="10411" spans="1:7" hidden="1" x14ac:dyDescent="0.25">
      <c r="A10411" s="28">
        <v>44440</v>
      </c>
      <c r="B10411" s="27" t="s">
        <v>4</v>
      </c>
      <c r="C10411" s="27" t="s">
        <v>50</v>
      </c>
      <c r="D10411" s="27" t="s">
        <v>7</v>
      </c>
      <c r="E10411" s="27" t="s">
        <v>42</v>
      </c>
      <c r="F10411" s="29"/>
      <c r="G10411" s="30">
        <v>5116.2299999999996</v>
      </c>
    </row>
    <row r="10412" spans="1:7" hidden="1" x14ac:dyDescent="0.25">
      <c r="A10412" s="28">
        <v>44440</v>
      </c>
      <c r="B10412" s="27" t="s">
        <v>4</v>
      </c>
      <c r="C10412" s="27" t="s">
        <v>50</v>
      </c>
      <c r="D10412" s="27" t="s">
        <v>7</v>
      </c>
      <c r="E10412" s="27" t="s">
        <v>43</v>
      </c>
      <c r="F10412" s="29"/>
      <c r="G10412" s="30">
        <v>3510.6212500000001</v>
      </c>
    </row>
    <row r="10413" spans="1:7" hidden="1" x14ac:dyDescent="0.25">
      <c r="A10413" s="28">
        <v>44440</v>
      </c>
      <c r="B10413" s="27" t="s">
        <v>4</v>
      </c>
      <c r="C10413" s="27" t="s">
        <v>50</v>
      </c>
      <c r="D10413" s="27" t="s">
        <v>7</v>
      </c>
      <c r="E10413" s="27" t="s">
        <v>72</v>
      </c>
      <c r="F10413" s="29"/>
      <c r="G10413" s="30">
        <v>710.34</v>
      </c>
    </row>
    <row r="10414" spans="1:7" hidden="1" x14ac:dyDescent="0.25">
      <c r="A10414" s="28">
        <v>44440</v>
      </c>
      <c r="B10414" s="27" t="s">
        <v>26</v>
      </c>
      <c r="C10414" s="27" t="s">
        <v>50</v>
      </c>
      <c r="D10414" s="27" t="s">
        <v>6</v>
      </c>
      <c r="E10414" s="27" t="s">
        <v>8</v>
      </c>
      <c r="F10414" s="29"/>
      <c r="G10414" s="30">
        <v>719.18234681218985</v>
      </c>
    </row>
    <row r="10415" spans="1:7" hidden="1" x14ac:dyDescent="0.25">
      <c r="A10415" s="28">
        <v>44440</v>
      </c>
      <c r="B10415" s="27" t="s">
        <v>26</v>
      </c>
      <c r="C10415" s="27" t="s">
        <v>50</v>
      </c>
      <c r="D10415" s="27" t="s">
        <v>6</v>
      </c>
      <c r="E10415" s="27" t="s">
        <v>9</v>
      </c>
      <c r="F10415" s="29"/>
      <c r="G10415" s="30">
        <v>1595.1320615825009</v>
      </c>
    </row>
    <row r="10416" spans="1:7" hidden="1" x14ac:dyDescent="0.25">
      <c r="A10416" s="28">
        <v>44440</v>
      </c>
      <c r="B10416" s="27" t="s">
        <v>26</v>
      </c>
      <c r="C10416" s="27" t="s">
        <v>50</v>
      </c>
      <c r="D10416" s="27" t="s">
        <v>6</v>
      </c>
      <c r="E10416" s="27" t="s">
        <v>22</v>
      </c>
      <c r="F10416" s="29"/>
      <c r="G10416" s="30">
        <v>2121.8036778000037</v>
      </c>
    </row>
    <row r="10417" spans="1:7" hidden="1" x14ac:dyDescent="0.25">
      <c r="A10417" s="28">
        <v>44440</v>
      </c>
      <c r="B10417" s="27" t="s">
        <v>26</v>
      </c>
      <c r="C10417" s="27" t="s">
        <v>50</v>
      </c>
      <c r="D10417" s="27" t="s">
        <v>6</v>
      </c>
      <c r="E10417" s="27" t="s">
        <v>39</v>
      </c>
      <c r="F10417" s="29"/>
      <c r="G10417" s="30">
        <v>1858.2521149872089</v>
      </c>
    </row>
    <row r="10418" spans="1:7" hidden="1" x14ac:dyDescent="0.25">
      <c r="A10418" s="28">
        <v>44440</v>
      </c>
      <c r="B10418" s="27" t="s">
        <v>26</v>
      </c>
      <c r="C10418" s="27" t="s">
        <v>50</v>
      </c>
      <c r="D10418" s="27" t="s">
        <v>6</v>
      </c>
      <c r="E10418" s="27" t="s">
        <v>64</v>
      </c>
      <c r="F10418" s="29"/>
      <c r="G10418" s="30">
        <v>1276.3329108875935</v>
      </c>
    </row>
    <row r="10419" spans="1:7" hidden="1" x14ac:dyDescent="0.25">
      <c r="A10419" s="28">
        <v>44440</v>
      </c>
      <c r="B10419" s="27" t="s">
        <v>26</v>
      </c>
      <c r="C10419" s="27" t="s">
        <v>50</v>
      </c>
      <c r="D10419" s="27" t="s">
        <v>6</v>
      </c>
      <c r="E10419" s="27" t="s">
        <v>21</v>
      </c>
      <c r="F10419" s="29"/>
      <c r="G10419" s="30">
        <v>1372.0704648952321</v>
      </c>
    </row>
    <row r="10420" spans="1:7" hidden="1" x14ac:dyDescent="0.25">
      <c r="A10420" s="28">
        <v>44440</v>
      </c>
      <c r="B10420" s="27" t="s">
        <v>26</v>
      </c>
      <c r="C10420" s="27" t="s">
        <v>50</v>
      </c>
      <c r="D10420" s="27" t="s">
        <v>6</v>
      </c>
      <c r="E10420" s="27" t="s">
        <v>41</v>
      </c>
      <c r="F10420" s="29"/>
      <c r="G10420" s="30">
        <v>1581.4819806400055</v>
      </c>
    </row>
    <row r="10421" spans="1:7" hidden="1" x14ac:dyDescent="0.25">
      <c r="A10421" s="28">
        <v>44440</v>
      </c>
      <c r="B10421" s="27" t="s">
        <v>26</v>
      </c>
      <c r="C10421" s="27" t="s">
        <v>50</v>
      </c>
      <c r="D10421" s="27" t="s">
        <v>6</v>
      </c>
      <c r="E10421" s="27" t="s">
        <v>10</v>
      </c>
      <c r="F10421" s="29"/>
      <c r="G10421" s="30">
        <v>2188.8314725228997</v>
      </c>
    </row>
    <row r="10422" spans="1:7" hidden="1" x14ac:dyDescent="0.25">
      <c r="A10422" s="28">
        <v>44440</v>
      </c>
      <c r="B10422" s="27" t="s">
        <v>26</v>
      </c>
      <c r="C10422" s="27" t="s">
        <v>50</v>
      </c>
      <c r="D10422" s="27" t="s">
        <v>6</v>
      </c>
      <c r="E10422" s="27" t="s">
        <v>11</v>
      </c>
      <c r="F10422" s="29"/>
      <c r="G10422" s="30">
        <v>1627.7110218930932</v>
      </c>
    </row>
    <row r="10423" spans="1:7" hidden="1" x14ac:dyDescent="0.25">
      <c r="A10423" s="28">
        <v>44440</v>
      </c>
      <c r="B10423" s="27" t="s">
        <v>26</v>
      </c>
      <c r="C10423" s="27" t="s">
        <v>50</v>
      </c>
      <c r="D10423" s="27" t="s">
        <v>6</v>
      </c>
      <c r="E10423" s="27" t="s">
        <v>12</v>
      </c>
      <c r="F10423" s="29"/>
      <c r="G10423" s="30">
        <v>1714.4875638594519</v>
      </c>
    </row>
    <row r="10424" spans="1:7" hidden="1" x14ac:dyDescent="0.25">
      <c r="A10424" s="28">
        <v>44440</v>
      </c>
      <c r="B10424" s="27" t="s">
        <v>26</v>
      </c>
      <c r="C10424" s="27" t="s">
        <v>50</v>
      </c>
      <c r="D10424" s="27" t="s">
        <v>6</v>
      </c>
      <c r="E10424" s="27" t="s">
        <v>13</v>
      </c>
      <c r="F10424" s="29"/>
      <c r="G10424" s="30">
        <v>1743.4562287890469</v>
      </c>
    </row>
    <row r="10425" spans="1:7" hidden="1" x14ac:dyDescent="0.25">
      <c r="A10425" s="28">
        <v>44440</v>
      </c>
      <c r="B10425" s="27" t="s">
        <v>26</v>
      </c>
      <c r="C10425" s="27" t="s">
        <v>50</v>
      </c>
      <c r="D10425" s="27" t="s">
        <v>6</v>
      </c>
      <c r="E10425" s="27" t="s">
        <v>14</v>
      </c>
      <c r="F10425" s="29"/>
      <c r="G10425" s="30">
        <v>561.68141286032039</v>
      </c>
    </row>
    <row r="10426" spans="1:7" hidden="1" x14ac:dyDescent="0.25">
      <c r="A10426" s="28">
        <v>44440</v>
      </c>
      <c r="B10426" s="27" t="s">
        <v>26</v>
      </c>
      <c r="C10426" s="27" t="s">
        <v>50</v>
      </c>
      <c r="D10426" s="27" t="s">
        <v>6</v>
      </c>
      <c r="E10426" s="27" t="s">
        <v>15</v>
      </c>
      <c r="F10426" s="29"/>
      <c r="G10426" s="30">
        <v>1903.4886846016955</v>
      </c>
    </row>
    <row r="10427" spans="1:7" hidden="1" x14ac:dyDescent="0.25">
      <c r="A10427" s="28">
        <v>44440</v>
      </c>
      <c r="B10427" s="27" t="s">
        <v>26</v>
      </c>
      <c r="C10427" s="27" t="s">
        <v>50</v>
      </c>
      <c r="D10427" s="27" t="s">
        <v>6</v>
      </c>
      <c r="E10427" s="27" t="s">
        <v>16</v>
      </c>
      <c r="F10427" s="29"/>
      <c r="G10427" s="30">
        <v>2154.0949651718715</v>
      </c>
    </row>
    <row r="10428" spans="1:7" hidden="1" x14ac:dyDescent="0.25">
      <c r="A10428" s="28">
        <v>44440</v>
      </c>
      <c r="B10428" s="27" t="s">
        <v>26</v>
      </c>
      <c r="C10428" s="27" t="s">
        <v>50</v>
      </c>
      <c r="D10428" s="27" t="s">
        <v>6</v>
      </c>
      <c r="E10428" s="27" t="s">
        <v>17</v>
      </c>
      <c r="F10428" s="29"/>
      <c r="G10428" s="30">
        <v>3135.6350321011482</v>
      </c>
    </row>
    <row r="10429" spans="1:7" hidden="1" x14ac:dyDescent="0.25">
      <c r="A10429" s="28">
        <v>44440</v>
      </c>
      <c r="B10429" s="27" t="s">
        <v>26</v>
      </c>
      <c r="C10429" s="27" t="s">
        <v>50</v>
      </c>
      <c r="D10429" s="27" t="s">
        <v>6</v>
      </c>
      <c r="E10429" s="27" t="s">
        <v>18</v>
      </c>
      <c r="F10429" s="29"/>
      <c r="G10429" s="30">
        <v>1603.690331509566</v>
      </c>
    </row>
    <row r="10430" spans="1:7" hidden="1" x14ac:dyDescent="0.25">
      <c r="A10430" s="28">
        <v>44440</v>
      </c>
      <c r="B10430" s="27" t="s">
        <v>26</v>
      </c>
      <c r="C10430" s="27" t="s">
        <v>50</v>
      </c>
      <c r="D10430" s="27" t="s">
        <v>6</v>
      </c>
      <c r="E10430" s="27" t="s">
        <v>19</v>
      </c>
      <c r="F10430" s="29"/>
      <c r="G10430" s="30">
        <v>2421.1417541901737</v>
      </c>
    </row>
    <row r="10431" spans="1:7" hidden="1" x14ac:dyDescent="0.25">
      <c r="A10431" s="28">
        <v>44440</v>
      </c>
      <c r="B10431" s="27" t="s">
        <v>26</v>
      </c>
      <c r="C10431" s="27" t="s">
        <v>50</v>
      </c>
      <c r="D10431" s="27" t="s">
        <v>6</v>
      </c>
      <c r="E10431" s="27" t="s">
        <v>20</v>
      </c>
      <c r="F10431" s="29"/>
      <c r="G10431" s="30">
        <v>1946.4814052941281</v>
      </c>
    </row>
    <row r="10432" spans="1:7" hidden="1" x14ac:dyDescent="0.25">
      <c r="A10432" s="28">
        <v>44440</v>
      </c>
      <c r="B10432" s="27" t="s">
        <v>26</v>
      </c>
      <c r="C10432" s="27" t="s">
        <v>50</v>
      </c>
      <c r="D10432" s="27" t="s">
        <v>6</v>
      </c>
      <c r="E10432" s="27" t="s">
        <v>38</v>
      </c>
      <c r="F10432" s="29"/>
      <c r="G10432" s="30">
        <v>760.63601728244464</v>
      </c>
    </row>
    <row r="10433" spans="1:7" hidden="1" x14ac:dyDescent="0.25">
      <c r="A10433" s="28">
        <v>44440</v>
      </c>
      <c r="B10433" s="27" t="s">
        <v>26</v>
      </c>
      <c r="C10433" s="27" t="s">
        <v>50</v>
      </c>
      <c r="D10433" s="27" t="s">
        <v>6</v>
      </c>
      <c r="E10433" s="27" t="s">
        <v>23</v>
      </c>
      <c r="F10433" s="29"/>
      <c r="G10433" s="30">
        <v>2589.0564485238838</v>
      </c>
    </row>
    <row r="10434" spans="1:7" hidden="1" x14ac:dyDescent="0.25">
      <c r="A10434" s="28">
        <v>44440</v>
      </c>
      <c r="B10434" s="27" t="s">
        <v>26</v>
      </c>
      <c r="C10434" s="27" t="s">
        <v>50</v>
      </c>
      <c r="D10434" s="27" t="s">
        <v>6</v>
      </c>
      <c r="E10434" s="27" t="s">
        <v>40</v>
      </c>
      <c r="F10434" s="29"/>
      <c r="G10434" s="30">
        <v>834.25152230214019</v>
      </c>
    </row>
    <row r="10435" spans="1:7" hidden="1" x14ac:dyDescent="0.25">
      <c r="A10435" s="28">
        <v>44440</v>
      </c>
      <c r="B10435" s="27" t="s">
        <v>26</v>
      </c>
      <c r="C10435" s="27" t="s">
        <v>50</v>
      </c>
      <c r="D10435" s="27" t="s">
        <v>6</v>
      </c>
      <c r="E10435" s="27" t="s">
        <v>37</v>
      </c>
      <c r="F10435" s="29"/>
      <c r="G10435" s="30">
        <v>791.10058149340887</v>
      </c>
    </row>
    <row r="10436" spans="1:7" hidden="1" x14ac:dyDescent="0.25">
      <c r="A10436" s="28">
        <v>44440</v>
      </c>
      <c r="B10436" s="27" t="s">
        <v>3</v>
      </c>
      <c r="C10436" s="27" t="s">
        <v>50</v>
      </c>
      <c r="D10436" s="27" t="s">
        <v>7</v>
      </c>
      <c r="E10436" s="27" t="s">
        <v>8</v>
      </c>
      <c r="F10436" s="29"/>
      <c r="G10436" s="30">
        <v>601.39</v>
      </c>
    </row>
    <row r="10437" spans="1:7" hidden="1" x14ac:dyDescent="0.25">
      <c r="A10437" s="28">
        <v>44440</v>
      </c>
      <c r="B10437" s="27" t="s">
        <v>3</v>
      </c>
      <c r="C10437" s="27" t="s">
        <v>50</v>
      </c>
      <c r="D10437" s="27" t="s">
        <v>7</v>
      </c>
      <c r="E10437" s="27" t="s">
        <v>9</v>
      </c>
      <c r="F10437" s="29"/>
      <c r="G10437" s="30">
        <v>601.39</v>
      </c>
    </row>
    <row r="10438" spans="1:7" hidden="1" x14ac:dyDescent="0.25">
      <c r="A10438" s="28">
        <v>44440</v>
      </c>
      <c r="B10438" s="27" t="s">
        <v>3</v>
      </c>
      <c r="C10438" s="27" t="s">
        <v>50</v>
      </c>
      <c r="D10438" s="27" t="s">
        <v>7</v>
      </c>
      <c r="E10438" s="27" t="s">
        <v>22</v>
      </c>
      <c r="F10438" s="29"/>
      <c r="G10438" s="30">
        <v>601.39</v>
      </c>
    </row>
    <row r="10439" spans="1:7" hidden="1" x14ac:dyDescent="0.25">
      <c r="A10439" s="28">
        <v>44440</v>
      </c>
      <c r="B10439" s="27" t="s">
        <v>3</v>
      </c>
      <c r="C10439" s="27" t="s">
        <v>50</v>
      </c>
      <c r="D10439" s="27" t="s">
        <v>7</v>
      </c>
      <c r="E10439" s="27" t="s">
        <v>39</v>
      </c>
      <c r="F10439" s="29"/>
      <c r="G10439" s="30">
        <v>601.39</v>
      </c>
    </row>
    <row r="10440" spans="1:7" hidden="1" x14ac:dyDescent="0.25">
      <c r="A10440" s="28">
        <v>44440</v>
      </c>
      <c r="B10440" s="27" t="s">
        <v>3</v>
      </c>
      <c r="C10440" s="27" t="s">
        <v>50</v>
      </c>
      <c r="D10440" s="27" t="s">
        <v>7</v>
      </c>
      <c r="E10440" s="27" t="s">
        <v>64</v>
      </c>
      <c r="F10440" s="29"/>
      <c r="G10440" s="30">
        <v>601.39</v>
      </c>
    </row>
    <row r="10441" spans="1:7" hidden="1" x14ac:dyDescent="0.25">
      <c r="A10441" s="28">
        <v>44440</v>
      </c>
      <c r="B10441" s="27" t="s">
        <v>3</v>
      </c>
      <c r="C10441" s="27" t="s">
        <v>50</v>
      </c>
      <c r="D10441" s="27" t="s">
        <v>7</v>
      </c>
      <c r="E10441" s="27" t="s">
        <v>21</v>
      </c>
      <c r="F10441" s="29"/>
      <c r="G10441" s="30">
        <v>601.39</v>
      </c>
    </row>
    <row r="10442" spans="1:7" hidden="1" x14ac:dyDescent="0.25">
      <c r="A10442" s="28">
        <v>44440</v>
      </c>
      <c r="B10442" s="27" t="s">
        <v>3</v>
      </c>
      <c r="C10442" s="27" t="s">
        <v>50</v>
      </c>
      <c r="D10442" s="27" t="s">
        <v>7</v>
      </c>
      <c r="E10442" s="27" t="s">
        <v>41</v>
      </c>
      <c r="F10442" s="29"/>
      <c r="G10442" s="30">
        <v>601.39</v>
      </c>
    </row>
    <row r="10443" spans="1:7" hidden="1" x14ac:dyDescent="0.25">
      <c r="A10443" s="28">
        <v>44440</v>
      </c>
      <c r="B10443" s="27" t="s">
        <v>3</v>
      </c>
      <c r="C10443" s="27" t="s">
        <v>50</v>
      </c>
      <c r="D10443" s="27" t="s">
        <v>7</v>
      </c>
      <c r="E10443" s="27" t="s">
        <v>10</v>
      </c>
      <c r="F10443" s="29"/>
      <c r="G10443" s="30">
        <v>601.39</v>
      </c>
    </row>
    <row r="10444" spans="1:7" hidden="1" x14ac:dyDescent="0.25">
      <c r="A10444" s="28">
        <v>44440</v>
      </c>
      <c r="B10444" s="27" t="s">
        <v>3</v>
      </c>
      <c r="C10444" s="27" t="s">
        <v>50</v>
      </c>
      <c r="D10444" s="27" t="s">
        <v>7</v>
      </c>
      <c r="E10444" s="27" t="s">
        <v>11</v>
      </c>
      <c r="F10444" s="29"/>
      <c r="G10444" s="30">
        <v>601.39</v>
      </c>
    </row>
    <row r="10445" spans="1:7" hidden="1" x14ac:dyDescent="0.25">
      <c r="A10445" s="28">
        <v>44440</v>
      </c>
      <c r="B10445" s="27" t="s">
        <v>3</v>
      </c>
      <c r="C10445" s="27" t="s">
        <v>50</v>
      </c>
      <c r="D10445" s="27" t="s">
        <v>7</v>
      </c>
      <c r="E10445" s="27" t="s">
        <v>12</v>
      </c>
      <c r="F10445" s="29"/>
      <c r="G10445" s="30">
        <v>601.39</v>
      </c>
    </row>
    <row r="10446" spans="1:7" hidden="1" x14ac:dyDescent="0.25">
      <c r="A10446" s="28">
        <v>44440</v>
      </c>
      <c r="B10446" s="27" t="s">
        <v>3</v>
      </c>
      <c r="C10446" s="27" t="s">
        <v>50</v>
      </c>
      <c r="D10446" s="27" t="s">
        <v>7</v>
      </c>
      <c r="E10446" s="27" t="s">
        <v>13</v>
      </c>
      <c r="F10446" s="29"/>
      <c r="G10446" s="30">
        <v>601.39</v>
      </c>
    </row>
    <row r="10447" spans="1:7" hidden="1" x14ac:dyDescent="0.25">
      <c r="A10447" s="28">
        <v>44440</v>
      </c>
      <c r="B10447" s="27" t="s">
        <v>3</v>
      </c>
      <c r="C10447" s="27" t="s">
        <v>50</v>
      </c>
      <c r="D10447" s="27" t="s">
        <v>7</v>
      </c>
      <c r="E10447" s="27" t="s">
        <v>14</v>
      </c>
      <c r="F10447" s="29"/>
      <c r="G10447" s="30">
        <v>601.39</v>
      </c>
    </row>
    <row r="10448" spans="1:7" hidden="1" x14ac:dyDescent="0.25">
      <c r="A10448" s="28">
        <v>44440</v>
      </c>
      <c r="B10448" s="27" t="s">
        <v>3</v>
      </c>
      <c r="C10448" s="27" t="s">
        <v>50</v>
      </c>
      <c r="D10448" s="27" t="s">
        <v>7</v>
      </c>
      <c r="E10448" s="27" t="s">
        <v>15</v>
      </c>
      <c r="F10448" s="29"/>
      <c r="G10448" s="30">
        <v>601.39</v>
      </c>
    </row>
    <row r="10449" spans="1:7" hidden="1" x14ac:dyDescent="0.25">
      <c r="A10449" s="28">
        <v>44440</v>
      </c>
      <c r="B10449" s="27" t="s">
        <v>3</v>
      </c>
      <c r="C10449" s="27" t="s">
        <v>50</v>
      </c>
      <c r="D10449" s="27" t="s">
        <v>7</v>
      </c>
      <c r="E10449" s="27" t="s">
        <v>16</v>
      </c>
      <c r="F10449" s="29"/>
      <c r="G10449" s="30">
        <v>601.39</v>
      </c>
    </row>
    <row r="10450" spans="1:7" hidden="1" x14ac:dyDescent="0.25">
      <c r="A10450" s="28">
        <v>44440</v>
      </c>
      <c r="B10450" s="27" t="s">
        <v>3</v>
      </c>
      <c r="C10450" s="27" t="s">
        <v>50</v>
      </c>
      <c r="D10450" s="27" t="s">
        <v>7</v>
      </c>
      <c r="E10450" s="27" t="s">
        <v>17</v>
      </c>
      <c r="F10450" s="29"/>
      <c r="G10450" s="30">
        <v>601.39</v>
      </c>
    </row>
    <row r="10451" spans="1:7" hidden="1" x14ac:dyDescent="0.25">
      <c r="A10451" s="28">
        <v>44440</v>
      </c>
      <c r="B10451" s="27" t="s">
        <v>3</v>
      </c>
      <c r="C10451" s="27" t="s">
        <v>50</v>
      </c>
      <c r="D10451" s="27" t="s">
        <v>7</v>
      </c>
      <c r="E10451" s="27" t="s">
        <v>18</v>
      </c>
      <c r="F10451" s="29"/>
      <c r="G10451" s="30">
        <v>601.39</v>
      </c>
    </row>
    <row r="10452" spans="1:7" hidden="1" x14ac:dyDescent="0.25">
      <c r="A10452" s="28">
        <v>44440</v>
      </c>
      <c r="B10452" s="27" t="s">
        <v>3</v>
      </c>
      <c r="C10452" s="27" t="s">
        <v>50</v>
      </c>
      <c r="D10452" s="27" t="s">
        <v>7</v>
      </c>
      <c r="E10452" s="27" t="s">
        <v>19</v>
      </c>
      <c r="F10452" s="29"/>
      <c r="G10452" s="30">
        <v>601.39</v>
      </c>
    </row>
    <row r="10453" spans="1:7" hidden="1" x14ac:dyDescent="0.25">
      <c r="A10453" s="28">
        <v>44440</v>
      </c>
      <c r="B10453" s="27" t="s">
        <v>3</v>
      </c>
      <c r="C10453" s="27" t="s">
        <v>50</v>
      </c>
      <c r="D10453" s="27" t="s">
        <v>7</v>
      </c>
      <c r="E10453" s="27" t="s">
        <v>20</v>
      </c>
      <c r="F10453" s="29"/>
      <c r="G10453" s="30">
        <v>601.39</v>
      </c>
    </row>
    <row r="10454" spans="1:7" hidden="1" x14ac:dyDescent="0.25">
      <c r="A10454" s="28">
        <v>44440</v>
      </c>
      <c r="B10454" s="27" t="s">
        <v>3</v>
      </c>
      <c r="C10454" s="27" t="s">
        <v>50</v>
      </c>
      <c r="D10454" s="27" t="s">
        <v>7</v>
      </c>
      <c r="E10454" s="27" t="s">
        <v>38</v>
      </c>
      <c r="F10454" s="29"/>
      <c r="G10454" s="30">
        <v>601.39</v>
      </c>
    </row>
    <row r="10455" spans="1:7" hidden="1" x14ac:dyDescent="0.25">
      <c r="A10455" s="28">
        <v>44440</v>
      </c>
      <c r="B10455" s="27" t="s">
        <v>3</v>
      </c>
      <c r="C10455" s="27" t="s">
        <v>50</v>
      </c>
      <c r="D10455" s="27" t="s">
        <v>7</v>
      </c>
      <c r="E10455" s="27" t="s">
        <v>23</v>
      </c>
      <c r="F10455" s="29"/>
      <c r="G10455" s="30">
        <v>601.39</v>
      </c>
    </row>
    <row r="10456" spans="1:7" hidden="1" x14ac:dyDescent="0.25">
      <c r="A10456" s="28">
        <v>44440</v>
      </c>
      <c r="B10456" s="27" t="s">
        <v>3</v>
      </c>
      <c r="C10456" s="27" t="s">
        <v>50</v>
      </c>
      <c r="D10456" s="27" t="s">
        <v>7</v>
      </c>
      <c r="E10456" s="27" t="s">
        <v>40</v>
      </c>
      <c r="F10456" s="29"/>
      <c r="G10456" s="30">
        <v>601.39</v>
      </c>
    </row>
    <row r="10457" spans="1:7" hidden="1" x14ac:dyDescent="0.25">
      <c r="A10457" s="28">
        <v>44440</v>
      </c>
      <c r="B10457" s="27" t="s">
        <v>3</v>
      </c>
      <c r="C10457" s="27" t="s">
        <v>50</v>
      </c>
      <c r="D10457" s="27" t="s">
        <v>7</v>
      </c>
      <c r="E10457" s="27" t="s">
        <v>42</v>
      </c>
      <c r="F10457" s="29"/>
      <c r="G10457" s="30">
        <v>601.39</v>
      </c>
    </row>
    <row r="10458" spans="1:7" hidden="1" x14ac:dyDescent="0.25">
      <c r="A10458" s="28">
        <v>44440</v>
      </c>
      <c r="B10458" s="27" t="s">
        <v>3</v>
      </c>
      <c r="C10458" s="27" t="s">
        <v>50</v>
      </c>
      <c r="D10458" s="27" t="s">
        <v>7</v>
      </c>
      <c r="E10458" s="27" t="s">
        <v>43</v>
      </c>
      <c r="F10458" s="29"/>
      <c r="G10458" s="30">
        <v>601.39</v>
      </c>
    </row>
    <row r="10459" spans="1:7" hidden="1" x14ac:dyDescent="0.25">
      <c r="A10459" s="28">
        <v>44440</v>
      </c>
      <c r="B10459" s="27" t="s">
        <v>3</v>
      </c>
      <c r="C10459" s="27" t="s">
        <v>50</v>
      </c>
      <c r="D10459" s="27" t="s">
        <v>7</v>
      </c>
      <c r="E10459" s="27" t="s">
        <v>72</v>
      </c>
      <c r="F10459" s="29"/>
      <c r="G10459" s="30">
        <v>601.39</v>
      </c>
    </row>
    <row r="10460" spans="1:7" hidden="1" x14ac:dyDescent="0.25">
      <c r="A10460" s="28">
        <v>44440</v>
      </c>
      <c r="B10460" s="27" t="s">
        <v>179</v>
      </c>
      <c r="C10460" s="27" t="s">
        <v>50</v>
      </c>
      <c r="D10460" s="27" t="s">
        <v>6</v>
      </c>
      <c r="E10460" s="27" t="s">
        <v>8</v>
      </c>
      <c r="F10460" s="29"/>
      <c r="G10460" s="30">
        <v>54.168999999999997</v>
      </c>
    </row>
    <row r="10461" spans="1:7" hidden="1" x14ac:dyDescent="0.25">
      <c r="A10461" s="28">
        <v>44440</v>
      </c>
      <c r="B10461" s="27" t="s">
        <v>179</v>
      </c>
      <c r="C10461" s="27" t="s">
        <v>50</v>
      </c>
      <c r="D10461" s="27" t="s">
        <v>6</v>
      </c>
      <c r="E10461" s="27" t="s">
        <v>9</v>
      </c>
      <c r="F10461" s="29"/>
      <c r="G10461" s="30">
        <v>71.931666000000007</v>
      </c>
    </row>
    <row r="10462" spans="1:7" hidden="1" x14ac:dyDescent="0.25">
      <c r="A10462" s="28">
        <v>44440</v>
      </c>
      <c r="B10462" s="27" t="s">
        <v>179</v>
      </c>
      <c r="C10462" s="27" t="s">
        <v>50</v>
      </c>
      <c r="D10462" s="27" t="s">
        <v>6</v>
      </c>
      <c r="E10462" s="27" t="s">
        <v>22</v>
      </c>
      <c r="F10462" s="29"/>
      <c r="G10462" s="30">
        <v>95.266666000000001</v>
      </c>
    </row>
    <row r="10463" spans="1:7" hidden="1" x14ac:dyDescent="0.25">
      <c r="A10463" s="28">
        <v>44440</v>
      </c>
      <c r="B10463" s="27" t="s">
        <v>179</v>
      </c>
      <c r="C10463" s="27" t="s">
        <v>50</v>
      </c>
      <c r="D10463" s="27" t="s">
        <v>6</v>
      </c>
      <c r="E10463" s="27" t="s">
        <v>39</v>
      </c>
      <c r="F10463" s="29"/>
      <c r="G10463" s="30">
        <v>72.42</v>
      </c>
    </row>
    <row r="10464" spans="1:7" hidden="1" x14ac:dyDescent="0.25">
      <c r="A10464" s="28">
        <v>44440</v>
      </c>
      <c r="B10464" s="27" t="s">
        <v>179</v>
      </c>
      <c r="C10464" s="27" t="s">
        <v>50</v>
      </c>
      <c r="D10464" s="27" t="s">
        <v>6</v>
      </c>
      <c r="E10464" s="27" t="s">
        <v>21</v>
      </c>
      <c r="F10464" s="29"/>
      <c r="G10464" s="30">
        <v>66.441665999999998</v>
      </c>
    </row>
    <row r="10465" spans="1:7" hidden="1" x14ac:dyDescent="0.25">
      <c r="A10465" s="28">
        <v>44440</v>
      </c>
      <c r="B10465" s="27" t="s">
        <v>179</v>
      </c>
      <c r="C10465" s="27" t="s">
        <v>50</v>
      </c>
      <c r="D10465" s="27" t="s">
        <v>6</v>
      </c>
      <c r="E10465" s="27" t="s">
        <v>41</v>
      </c>
      <c r="F10465" s="29"/>
      <c r="G10465" s="30">
        <v>71.509165999999993</v>
      </c>
    </row>
    <row r="10466" spans="1:7" hidden="1" x14ac:dyDescent="0.25">
      <c r="A10466" s="28">
        <v>44440</v>
      </c>
      <c r="B10466" s="27" t="s">
        <v>179</v>
      </c>
      <c r="C10466" s="27" t="s">
        <v>50</v>
      </c>
      <c r="D10466" s="27" t="s">
        <v>6</v>
      </c>
      <c r="E10466" s="27" t="s">
        <v>10</v>
      </c>
      <c r="F10466" s="29"/>
      <c r="G10466" s="30">
        <v>86.698999999999998</v>
      </c>
    </row>
    <row r="10467" spans="1:7" hidden="1" x14ac:dyDescent="0.25">
      <c r="A10467" s="28">
        <v>44440</v>
      </c>
      <c r="B10467" s="27" t="s">
        <v>179</v>
      </c>
      <c r="C10467" s="27" t="s">
        <v>50</v>
      </c>
      <c r="D10467" s="27" t="s">
        <v>6</v>
      </c>
      <c r="E10467" s="27" t="s">
        <v>11</v>
      </c>
      <c r="F10467" s="29"/>
      <c r="G10467" s="30">
        <v>65.566665999999998</v>
      </c>
    </row>
    <row r="10468" spans="1:7" hidden="1" x14ac:dyDescent="0.25">
      <c r="A10468" s="28">
        <v>44440</v>
      </c>
      <c r="B10468" s="27" t="s">
        <v>179</v>
      </c>
      <c r="C10468" s="27" t="s">
        <v>50</v>
      </c>
      <c r="D10468" s="27" t="s">
        <v>6</v>
      </c>
      <c r="E10468" s="27" t="s">
        <v>12</v>
      </c>
      <c r="F10468" s="29"/>
      <c r="G10468" s="30">
        <v>67.331665999999998</v>
      </c>
    </row>
    <row r="10469" spans="1:7" hidden="1" x14ac:dyDescent="0.25">
      <c r="A10469" s="28">
        <v>44440</v>
      </c>
      <c r="B10469" s="27" t="s">
        <v>179</v>
      </c>
      <c r="C10469" s="27" t="s">
        <v>50</v>
      </c>
      <c r="D10469" s="27" t="s">
        <v>6</v>
      </c>
      <c r="E10469" s="27" t="s">
        <v>13</v>
      </c>
      <c r="F10469" s="29"/>
      <c r="G10469" s="30">
        <v>93.319165999999996</v>
      </c>
    </row>
    <row r="10470" spans="1:7" hidden="1" x14ac:dyDescent="0.25">
      <c r="A10470" s="28">
        <v>44440</v>
      </c>
      <c r="B10470" s="27" t="s">
        <v>179</v>
      </c>
      <c r="C10470" s="27" t="s">
        <v>50</v>
      </c>
      <c r="D10470" s="27" t="s">
        <v>6</v>
      </c>
      <c r="E10470" s="27" t="s">
        <v>14</v>
      </c>
      <c r="F10470" s="29"/>
      <c r="G10470" s="30">
        <v>79.181666000000007</v>
      </c>
    </row>
    <row r="10471" spans="1:7" hidden="1" x14ac:dyDescent="0.25">
      <c r="A10471" s="28">
        <v>44440</v>
      </c>
      <c r="B10471" s="27" t="s">
        <v>179</v>
      </c>
      <c r="C10471" s="27" t="s">
        <v>50</v>
      </c>
      <c r="D10471" s="27" t="s">
        <v>6</v>
      </c>
      <c r="E10471" s="27" t="s">
        <v>15</v>
      </c>
      <c r="F10471" s="29"/>
      <c r="G10471" s="30">
        <v>90.084165999999996</v>
      </c>
    </row>
    <row r="10472" spans="1:7" hidden="1" x14ac:dyDescent="0.25">
      <c r="A10472" s="28">
        <v>44440</v>
      </c>
      <c r="B10472" s="27" t="s">
        <v>179</v>
      </c>
      <c r="C10472" s="27" t="s">
        <v>50</v>
      </c>
      <c r="D10472" s="27" t="s">
        <v>6</v>
      </c>
      <c r="E10472" s="27" t="s">
        <v>16</v>
      </c>
      <c r="F10472" s="29"/>
      <c r="G10472" s="30">
        <v>91.176665999999997</v>
      </c>
    </row>
    <row r="10473" spans="1:7" hidden="1" x14ac:dyDescent="0.25">
      <c r="A10473" s="28">
        <v>44440</v>
      </c>
      <c r="B10473" s="27" t="s">
        <v>179</v>
      </c>
      <c r="C10473" s="27" t="s">
        <v>50</v>
      </c>
      <c r="D10473" s="27" t="s">
        <v>6</v>
      </c>
      <c r="E10473" s="27" t="s">
        <v>17</v>
      </c>
      <c r="F10473" s="29"/>
      <c r="G10473" s="30">
        <v>142.004166</v>
      </c>
    </row>
    <row r="10474" spans="1:7" hidden="1" x14ac:dyDescent="0.25">
      <c r="A10474" s="28">
        <v>44440</v>
      </c>
      <c r="B10474" s="27" t="s">
        <v>179</v>
      </c>
      <c r="C10474" s="27" t="s">
        <v>50</v>
      </c>
      <c r="D10474" s="27" t="s">
        <v>6</v>
      </c>
      <c r="E10474" s="27" t="s">
        <v>18</v>
      </c>
      <c r="F10474" s="29"/>
      <c r="G10474" s="30">
        <v>183.16666599999999</v>
      </c>
    </row>
    <row r="10475" spans="1:7" hidden="1" x14ac:dyDescent="0.25">
      <c r="A10475" s="28">
        <v>44440</v>
      </c>
      <c r="B10475" s="27" t="s">
        <v>179</v>
      </c>
      <c r="C10475" s="27" t="s">
        <v>50</v>
      </c>
      <c r="D10475" s="27" t="s">
        <v>6</v>
      </c>
      <c r="E10475" s="27" t="s">
        <v>19</v>
      </c>
      <c r="F10475" s="29"/>
      <c r="G10475" s="30">
        <v>120.299166</v>
      </c>
    </row>
    <row r="10476" spans="1:7" hidden="1" x14ac:dyDescent="0.25">
      <c r="A10476" s="28">
        <v>44440</v>
      </c>
      <c r="B10476" s="27" t="s">
        <v>179</v>
      </c>
      <c r="C10476" s="27" t="s">
        <v>50</v>
      </c>
      <c r="D10476" s="27" t="s">
        <v>6</v>
      </c>
      <c r="E10476" s="27" t="s">
        <v>20</v>
      </c>
      <c r="F10476" s="29"/>
      <c r="G10476" s="30">
        <v>231.341666</v>
      </c>
    </row>
    <row r="10477" spans="1:7" hidden="1" x14ac:dyDescent="0.25">
      <c r="A10477" s="28">
        <v>44440</v>
      </c>
      <c r="B10477" s="27" t="s">
        <v>179</v>
      </c>
      <c r="C10477" s="27" t="s">
        <v>50</v>
      </c>
      <c r="D10477" s="27" t="s">
        <v>6</v>
      </c>
      <c r="E10477" s="27" t="s">
        <v>38</v>
      </c>
      <c r="F10477" s="29"/>
      <c r="G10477" s="30">
        <v>99.366665999999995</v>
      </c>
    </row>
    <row r="10478" spans="1:7" hidden="1" x14ac:dyDescent="0.25">
      <c r="A10478" s="28">
        <v>44440</v>
      </c>
      <c r="B10478" s="27" t="s">
        <v>179</v>
      </c>
      <c r="C10478" s="27" t="s">
        <v>50</v>
      </c>
      <c r="D10478" s="27" t="s">
        <v>6</v>
      </c>
      <c r="E10478" s="27" t="s">
        <v>23</v>
      </c>
      <c r="F10478" s="29"/>
      <c r="G10478" s="30">
        <v>131.48916600000001</v>
      </c>
    </row>
    <row r="10479" spans="1:7" hidden="1" x14ac:dyDescent="0.25">
      <c r="A10479" s="28">
        <v>44440</v>
      </c>
      <c r="B10479" s="27" t="s">
        <v>179</v>
      </c>
      <c r="C10479" s="27" t="s">
        <v>50</v>
      </c>
      <c r="D10479" s="27" t="s">
        <v>6</v>
      </c>
      <c r="E10479" s="27" t="s">
        <v>40</v>
      </c>
      <c r="F10479" s="29"/>
      <c r="G10479" s="30">
        <v>130.52416600000001</v>
      </c>
    </row>
    <row r="10480" spans="1:7" hidden="1" x14ac:dyDescent="0.25">
      <c r="A10480" s="28">
        <v>44440</v>
      </c>
      <c r="B10480" s="27" t="s">
        <v>32</v>
      </c>
      <c r="C10480" s="27" t="s">
        <v>50</v>
      </c>
      <c r="D10480" s="27" t="s">
        <v>7</v>
      </c>
      <c r="E10480" s="27" t="s">
        <v>17</v>
      </c>
      <c r="F10480" s="29"/>
      <c r="G10480" s="30">
        <v>75</v>
      </c>
    </row>
    <row r="10481" spans="1:7" hidden="1" x14ac:dyDescent="0.25">
      <c r="A10481" s="28">
        <v>44440</v>
      </c>
      <c r="B10481" s="27" t="s">
        <v>5</v>
      </c>
      <c r="C10481" s="27" t="s">
        <v>51</v>
      </c>
      <c r="D10481" s="27" t="s">
        <v>51</v>
      </c>
      <c r="E10481" s="27" t="s">
        <v>8</v>
      </c>
      <c r="F10481" s="29">
        <v>4573</v>
      </c>
      <c r="G10481" s="30">
        <v>2.4514465551743254</v>
      </c>
    </row>
    <row r="10482" spans="1:7" hidden="1" x14ac:dyDescent="0.25">
      <c r="A10482" s="28">
        <v>44440</v>
      </c>
      <c r="B10482" s="27" t="s">
        <v>5</v>
      </c>
      <c r="C10482" s="27" t="s">
        <v>51</v>
      </c>
      <c r="D10482" s="27" t="s">
        <v>51</v>
      </c>
      <c r="E10482" s="27" t="s">
        <v>9</v>
      </c>
      <c r="F10482" s="29">
        <v>5505</v>
      </c>
      <c r="G10482" s="30">
        <v>1.9733346916589465</v>
      </c>
    </row>
    <row r="10483" spans="1:7" hidden="1" x14ac:dyDescent="0.25">
      <c r="A10483" s="28">
        <v>44440</v>
      </c>
      <c r="B10483" s="27" t="s">
        <v>5</v>
      </c>
      <c r="C10483" s="27" t="s">
        <v>51</v>
      </c>
      <c r="D10483" s="27" t="s">
        <v>51</v>
      </c>
      <c r="E10483" s="27" t="s">
        <v>22</v>
      </c>
      <c r="F10483" s="29">
        <v>4323</v>
      </c>
      <c r="G10483" s="30">
        <v>2.4760708058755507</v>
      </c>
    </row>
    <row r="10484" spans="1:7" hidden="1" x14ac:dyDescent="0.25">
      <c r="A10484" s="28">
        <v>44440</v>
      </c>
      <c r="B10484" s="27" t="s">
        <v>5</v>
      </c>
      <c r="C10484" s="27" t="s">
        <v>51</v>
      </c>
      <c r="D10484" s="27" t="s">
        <v>51</v>
      </c>
      <c r="E10484" s="27" t="s">
        <v>39</v>
      </c>
      <c r="F10484" s="29">
        <v>2656</v>
      </c>
      <c r="G10484" s="30">
        <v>3.6626226901307266</v>
      </c>
    </row>
    <row r="10485" spans="1:7" hidden="1" x14ac:dyDescent="0.25">
      <c r="A10485" s="28">
        <v>44440</v>
      </c>
      <c r="B10485" s="27" t="s">
        <v>5</v>
      </c>
      <c r="C10485" s="27" t="s">
        <v>51</v>
      </c>
      <c r="D10485" s="27" t="s">
        <v>51</v>
      </c>
      <c r="E10485" s="27" t="s">
        <v>64</v>
      </c>
      <c r="F10485" s="29">
        <v>3647</v>
      </c>
      <c r="G10485" s="30">
        <v>2.5959025667363842</v>
      </c>
    </row>
    <row r="10486" spans="1:7" hidden="1" x14ac:dyDescent="0.25">
      <c r="A10486" s="28">
        <v>44440</v>
      </c>
      <c r="B10486" s="27" t="s">
        <v>5</v>
      </c>
      <c r="C10486" s="27" t="s">
        <v>51</v>
      </c>
      <c r="D10486" s="27" t="s">
        <v>51</v>
      </c>
      <c r="E10486" s="27" t="s">
        <v>21</v>
      </c>
      <c r="F10486" s="29">
        <v>5851</v>
      </c>
      <c r="G10486" s="30">
        <v>1.7201257701068593</v>
      </c>
    </row>
    <row r="10487" spans="1:7" hidden="1" x14ac:dyDescent="0.25">
      <c r="A10487" s="28">
        <v>44440</v>
      </c>
      <c r="B10487" s="27" t="s">
        <v>5</v>
      </c>
      <c r="C10487" s="27" t="s">
        <v>51</v>
      </c>
      <c r="D10487" s="27" t="s">
        <v>51</v>
      </c>
      <c r="E10487" s="27" t="s">
        <v>41</v>
      </c>
      <c r="F10487" s="29">
        <v>2773</v>
      </c>
      <c r="G10487" s="30">
        <v>3.5003732047024902</v>
      </c>
    </row>
    <row r="10488" spans="1:7" hidden="1" x14ac:dyDescent="0.25">
      <c r="A10488" s="28">
        <v>44440</v>
      </c>
      <c r="B10488" s="27" t="s">
        <v>5</v>
      </c>
      <c r="C10488" s="27" t="s">
        <v>51</v>
      </c>
      <c r="D10488" s="27" t="s">
        <v>51</v>
      </c>
      <c r="E10488" s="27" t="s">
        <v>11</v>
      </c>
      <c r="F10488" s="29">
        <v>3151</v>
      </c>
      <c r="G10488" s="30">
        <v>3.3324150335003999</v>
      </c>
    </row>
    <row r="10489" spans="1:7" hidden="1" x14ac:dyDescent="0.25">
      <c r="A10489" s="28">
        <v>44440</v>
      </c>
      <c r="B10489" s="27" t="s">
        <v>5</v>
      </c>
      <c r="C10489" s="27" t="s">
        <v>51</v>
      </c>
      <c r="D10489" s="27" t="s">
        <v>51</v>
      </c>
      <c r="E10489" s="27" t="s">
        <v>12</v>
      </c>
      <c r="F10489" s="29">
        <v>2380</v>
      </c>
      <c r="G10489" s="30">
        <v>4.0517953696888451</v>
      </c>
    </row>
    <row r="10490" spans="1:7" hidden="1" x14ac:dyDescent="0.25">
      <c r="A10490" s="28">
        <v>44440</v>
      </c>
      <c r="B10490" s="27" t="s">
        <v>5</v>
      </c>
      <c r="C10490" s="27" t="s">
        <v>51</v>
      </c>
      <c r="D10490" s="27" t="s">
        <v>51</v>
      </c>
      <c r="E10490" s="27" t="s">
        <v>14</v>
      </c>
      <c r="F10490" s="29">
        <v>6372</v>
      </c>
      <c r="G10490" s="30">
        <v>1.3247342794821595</v>
      </c>
    </row>
    <row r="10491" spans="1:7" hidden="1" x14ac:dyDescent="0.25">
      <c r="A10491" s="28">
        <v>44440</v>
      </c>
      <c r="B10491" s="27" t="s">
        <v>5</v>
      </c>
      <c r="C10491" s="27" t="s">
        <v>51</v>
      </c>
      <c r="D10491" s="27" t="s">
        <v>51</v>
      </c>
      <c r="E10491" s="27" t="s">
        <v>15</v>
      </c>
      <c r="F10491" s="29">
        <v>6116</v>
      </c>
      <c r="G10491" s="30">
        <v>1.6898343035646983</v>
      </c>
    </row>
    <row r="10492" spans="1:7" hidden="1" x14ac:dyDescent="0.25">
      <c r="A10492" s="28">
        <v>44440</v>
      </c>
      <c r="B10492" s="27" t="s">
        <v>5</v>
      </c>
      <c r="C10492" s="27" t="s">
        <v>51</v>
      </c>
      <c r="D10492" s="27" t="s">
        <v>51</v>
      </c>
      <c r="E10492" s="27" t="s">
        <v>16</v>
      </c>
      <c r="F10492" s="29">
        <v>2578</v>
      </c>
      <c r="G10492" s="30">
        <v>3.9665304038680653</v>
      </c>
    </row>
    <row r="10493" spans="1:7" hidden="1" x14ac:dyDescent="0.25">
      <c r="A10493" s="28">
        <v>44440</v>
      </c>
      <c r="B10493" s="27" t="s">
        <v>5</v>
      </c>
      <c r="C10493" s="27" t="s">
        <v>51</v>
      </c>
      <c r="D10493" s="27" t="s">
        <v>51</v>
      </c>
      <c r="E10493" s="27" t="s">
        <v>17</v>
      </c>
      <c r="F10493" s="29">
        <v>4244</v>
      </c>
      <c r="G10493" s="30">
        <v>2.8264356616637953</v>
      </c>
    </row>
    <row r="10494" spans="1:7" hidden="1" x14ac:dyDescent="0.25">
      <c r="A10494" s="28">
        <v>44440</v>
      </c>
      <c r="B10494" s="27" t="s">
        <v>5</v>
      </c>
      <c r="C10494" s="27" t="s">
        <v>51</v>
      </c>
      <c r="D10494" s="27" t="s">
        <v>51</v>
      </c>
      <c r="E10494" s="27" t="s">
        <v>18</v>
      </c>
      <c r="F10494" s="29">
        <v>5201</v>
      </c>
      <c r="G10494" s="30">
        <v>1.7996713607978401</v>
      </c>
    </row>
    <row r="10495" spans="1:7" hidden="1" x14ac:dyDescent="0.25">
      <c r="A10495" s="28">
        <v>44440</v>
      </c>
      <c r="B10495" s="27" t="s">
        <v>5</v>
      </c>
      <c r="C10495" s="27" t="s">
        <v>51</v>
      </c>
      <c r="D10495" s="27" t="s">
        <v>51</v>
      </c>
      <c r="E10495" s="27" t="s">
        <v>19</v>
      </c>
      <c r="F10495" s="29">
        <v>3609</v>
      </c>
      <c r="G10495" s="30">
        <v>2.9935673788279784</v>
      </c>
    </row>
    <row r="10496" spans="1:7" hidden="1" x14ac:dyDescent="0.25">
      <c r="A10496" s="28">
        <v>44440</v>
      </c>
      <c r="B10496" s="27" t="s">
        <v>5</v>
      </c>
      <c r="C10496" s="27" t="s">
        <v>51</v>
      </c>
      <c r="D10496" s="27" t="s">
        <v>51</v>
      </c>
      <c r="E10496" s="27" t="s">
        <v>20</v>
      </c>
      <c r="F10496" s="29">
        <v>6043</v>
      </c>
      <c r="G10496" s="30">
        <v>1.7015847792973899</v>
      </c>
    </row>
    <row r="10497" spans="1:7" hidden="1" x14ac:dyDescent="0.25">
      <c r="A10497" s="28">
        <v>44440</v>
      </c>
      <c r="B10497" s="27" t="s">
        <v>5</v>
      </c>
      <c r="C10497" s="27" t="s">
        <v>51</v>
      </c>
      <c r="D10497" s="27" t="s">
        <v>51</v>
      </c>
      <c r="E10497" s="27" t="s">
        <v>38</v>
      </c>
      <c r="F10497" s="29">
        <v>2592</v>
      </c>
      <c r="G10497" s="30">
        <v>3.1991189943219309</v>
      </c>
    </row>
    <row r="10498" spans="1:7" hidden="1" x14ac:dyDescent="0.25">
      <c r="A10498" s="28">
        <v>44440</v>
      </c>
      <c r="B10498" s="27" t="s">
        <v>5</v>
      </c>
      <c r="C10498" s="27" t="s">
        <v>51</v>
      </c>
      <c r="D10498" s="27" t="s">
        <v>51</v>
      </c>
      <c r="E10498" s="27" t="s">
        <v>23</v>
      </c>
      <c r="F10498" s="29">
        <v>7089</v>
      </c>
      <c r="G10498" s="30">
        <v>1.6587740675023113</v>
      </c>
    </row>
    <row r="10499" spans="1:7" hidden="1" x14ac:dyDescent="0.25">
      <c r="A10499" s="28">
        <v>44440</v>
      </c>
      <c r="B10499" s="27" t="s">
        <v>5</v>
      </c>
      <c r="C10499" s="27" t="s">
        <v>51</v>
      </c>
      <c r="D10499" s="27" t="s">
        <v>51</v>
      </c>
      <c r="E10499" s="27" t="s">
        <v>40</v>
      </c>
      <c r="F10499" s="29">
        <v>1692</v>
      </c>
      <c r="G10499" s="30">
        <v>4.983409833511903</v>
      </c>
    </row>
    <row r="10500" spans="1:7" hidden="1" x14ac:dyDescent="0.25">
      <c r="A10500" s="28">
        <v>44440</v>
      </c>
      <c r="B10500" s="27" t="s">
        <v>5</v>
      </c>
      <c r="C10500" s="27" t="s">
        <v>51</v>
      </c>
      <c r="D10500" s="27" t="s">
        <v>51</v>
      </c>
      <c r="E10500" s="27" t="s">
        <v>42</v>
      </c>
      <c r="F10500" s="29">
        <v>1352</v>
      </c>
      <c r="G10500" s="30">
        <v>5.4458755547337274</v>
      </c>
    </row>
    <row r="10501" spans="1:7" hidden="1" x14ac:dyDescent="0.25">
      <c r="A10501" s="28">
        <v>44440</v>
      </c>
      <c r="B10501" s="27" t="s">
        <v>5</v>
      </c>
      <c r="C10501" s="27" t="s">
        <v>51</v>
      </c>
      <c r="D10501" s="27" t="s">
        <v>51</v>
      </c>
      <c r="E10501" s="27" t="s">
        <v>43</v>
      </c>
      <c r="F10501" s="29">
        <v>347</v>
      </c>
      <c r="G10501" s="30">
        <v>20.696667867435156</v>
      </c>
    </row>
    <row r="10502" spans="1:7" hidden="1" x14ac:dyDescent="0.25">
      <c r="A10502" s="28">
        <v>44440</v>
      </c>
      <c r="B10502" s="27" t="s">
        <v>5</v>
      </c>
      <c r="C10502" s="27" t="s">
        <v>51</v>
      </c>
      <c r="D10502" s="27" t="s">
        <v>51</v>
      </c>
      <c r="E10502" s="27" t="s">
        <v>72</v>
      </c>
      <c r="F10502" s="29">
        <v>2550</v>
      </c>
      <c r="G10502" s="30">
        <v>2.892417156862745</v>
      </c>
    </row>
    <row r="10503" spans="1:7" hidden="1" x14ac:dyDescent="0.25">
      <c r="A10503" s="28">
        <v>44440</v>
      </c>
      <c r="B10503" s="27" t="s">
        <v>180</v>
      </c>
      <c r="C10503" s="27" t="s">
        <v>50</v>
      </c>
      <c r="D10503" s="27" t="s">
        <v>7</v>
      </c>
      <c r="E10503" s="27" t="s">
        <v>8</v>
      </c>
      <c r="F10503" s="29"/>
      <c r="G10503" s="30">
        <v>2528</v>
      </c>
    </row>
    <row r="10504" spans="1:7" hidden="1" x14ac:dyDescent="0.25">
      <c r="A10504" s="28">
        <v>44440</v>
      </c>
      <c r="B10504" s="27" t="s">
        <v>180</v>
      </c>
      <c r="C10504" s="27" t="s">
        <v>50</v>
      </c>
      <c r="D10504" s="27" t="s">
        <v>7</v>
      </c>
      <c r="E10504" s="27" t="s">
        <v>22</v>
      </c>
      <c r="F10504" s="29"/>
      <c r="G10504" s="30">
        <v>17.16</v>
      </c>
    </row>
    <row r="10505" spans="1:7" hidden="1" x14ac:dyDescent="0.25">
      <c r="A10505" s="28">
        <v>44440</v>
      </c>
      <c r="B10505" s="27" t="s">
        <v>180</v>
      </c>
      <c r="C10505" s="27" t="s">
        <v>50</v>
      </c>
      <c r="D10505" s="27" t="s">
        <v>7</v>
      </c>
      <c r="E10505" s="27" t="s">
        <v>41</v>
      </c>
      <c r="F10505" s="29"/>
      <c r="G10505" s="30">
        <v>70</v>
      </c>
    </row>
    <row r="10506" spans="1:7" hidden="1" x14ac:dyDescent="0.25">
      <c r="A10506" s="28">
        <v>44440</v>
      </c>
      <c r="B10506" s="27" t="s">
        <v>180</v>
      </c>
      <c r="C10506" s="27" t="s">
        <v>50</v>
      </c>
      <c r="D10506" s="27" t="s">
        <v>7</v>
      </c>
      <c r="E10506" s="27" t="s">
        <v>10</v>
      </c>
      <c r="F10506" s="29"/>
      <c r="G10506" s="30">
        <v>7718</v>
      </c>
    </row>
    <row r="10507" spans="1:7" hidden="1" x14ac:dyDescent="0.25">
      <c r="A10507" s="28">
        <v>44440</v>
      </c>
      <c r="B10507" s="27" t="s">
        <v>180</v>
      </c>
      <c r="C10507" s="27" t="s">
        <v>50</v>
      </c>
      <c r="D10507" s="27" t="s">
        <v>7</v>
      </c>
      <c r="E10507" s="27" t="s">
        <v>16</v>
      </c>
      <c r="F10507" s="29"/>
      <c r="G10507" s="30">
        <v>300</v>
      </c>
    </row>
    <row r="10508" spans="1:7" hidden="1" x14ac:dyDescent="0.25">
      <c r="A10508" s="28">
        <v>44440</v>
      </c>
      <c r="B10508" s="27" t="s">
        <v>180</v>
      </c>
      <c r="C10508" s="27" t="s">
        <v>50</v>
      </c>
      <c r="D10508" s="27" t="s">
        <v>7</v>
      </c>
      <c r="E10508" s="27" t="s">
        <v>23</v>
      </c>
      <c r="F10508" s="29"/>
      <c r="G10508" s="30">
        <v>324</v>
      </c>
    </row>
    <row r="10509" spans="1:7" hidden="1" x14ac:dyDescent="0.25">
      <c r="A10509" s="28">
        <v>44440</v>
      </c>
      <c r="B10509" s="27" t="s">
        <v>180</v>
      </c>
      <c r="C10509" s="27" t="s">
        <v>50</v>
      </c>
      <c r="D10509" s="27" t="s">
        <v>7</v>
      </c>
      <c r="E10509" s="27" t="s">
        <v>37</v>
      </c>
      <c r="F10509" s="29"/>
      <c r="G10509" s="30">
        <v>3482.71</v>
      </c>
    </row>
    <row r="10510" spans="1:7" hidden="1" x14ac:dyDescent="0.25">
      <c r="A10510" s="28">
        <v>44440</v>
      </c>
      <c r="B10510" s="27" t="s">
        <v>2</v>
      </c>
      <c r="C10510" s="27" t="s">
        <v>50</v>
      </c>
      <c r="D10510" s="27" t="s">
        <v>7</v>
      </c>
      <c r="E10510" s="27" t="s">
        <v>8</v>
      </c>
      <c r="F10510" s="29"/>
      <c r="G10510" s="30">
        <v>214.68</v>
      </c>
    </row>
    <row r="10511" spans="1:7" hidden="1" x14ac:dyDescent="0.25">
      <c r="A10511" s="28">
        <v>44440</v>
      </c>
      <c r="B10511" s="27" t="s">
        <v>2</v>
      </c>
      <c r="C10511" s="27" t="s">
        <v>50</v>
      </c>
      <c r="D10511" s="27" t="s">
        <v>7</v>
      </c>
      <c r="E10511" s="27" t="s">
        <v>9</v>
      </c>
      <c r="F10511" s="29"/>
      <c r="G10511" s="30">
        <v>1430.42</v>
      </c>
    </row>
    <row r="10512" spans="1:7" hidden="1" x14ac:dyDescent="0.25">
      <c r="A10512" s="28">
        <v>44440</v>
      </c>
      <c r="B10512" s="27" t="s">
        <v>2</v>
      </c>
      <c r="C10512" s="27" t="s">
        <v>50</v>
      </c>
      <c r="D10512" s="27" t="s">
        <v>7</v>
      </c>
      <c r="E10512" s="27" t="s">
        <v>22</v>
      </c>
      <c r="F10512" s="29"/>
      <c r="G10512" s="30">
        <v>570.79</v>
      </c>
    </row>
    <row r="10513" spans="1:7" hidden="1" x14ac:dyDescent="0.25">
      <c r="A10513" s="28">
        <v>44440</v>
      </c>
      <c r="B10513" s="27" t="s">
        <v>2</v>
      </c>
      <c r="C10513" s="27" t="s">
        <v>50</v>
      </c>
      <c r="D10513" s="27" t="s">
        <v>7</v>
      </c>
      <c r="E10513" s="27" t="s">
        <v>39</v>
      </c>
      <c r="F10513" s="29"/>
      <c r="G10513" s="30">
        <v>257.88</v>
      </c>
    </row>
    <row r="10514" spans="1:7" hidden="1" x14ac:dyDescent="0.25">
      <c r="A10514" s="28">
        <v>44440</v>
      </c>
      <c r="B10514" s="27" t="s">
        <v>2</v>
      </c>
      <c r="C10514" s="27" t="s">
        <v>50</v>
      </c>
      <c r="D10514" s="27" t="s">
        <v>7</v>
      </c>
      <c r="E10514" s="27" t="s">
        <v>64</v>
      </c>
      <c r="F10514" s="29"/>
      <c r="G10514" s="30">
        <v>376.19</v>
      </c>
    </row>
    <row r="10515" spans="1:7" hidden="1" x14ac:dyDescent="0.25">
      <c r="A10515" s="28">
        <v>44440</v>
      </c>
      <c r="B10515" s="27" t="s">
        <v>2</v>
      </c>
      <c r="C10515" s="27" t="s">
        <v>50</v>
      </c>
      <c r="D10515" s="27" t="s">
        <v>7</v>
      </c>
      <c r="E10515" s="27" t="s">
        <v>21</v>
      </c>
      <c r="F10515" s="29"/>
      <c r="G10515" s="30">
        <v>918.88</v>
      </c>
    </row>
    <row r="10516" spans="1:7" hidden="1" x14ac:dyDescent="0.25">
      <c r="A10516" s="28">
        <v>44440</v>
      </c>
      <c r="B10516" s="27" t="s">
        <v>2</v>
      </c>
      <c r="C10516" s="27" t="s">
        <v>50</v>
      </c>
      <c r="D10516" s="27" t="s">
        <v>7</v>
      </c>
      <c r="E10516" s="27" t="s">
        <v>41</v>
      </c>
      <c r="F10516" s="29"/>
      <c r="G10516" s="30">
        <v>260.48</v>
      </c>
    </row>
    <row r="10517" spans="1:7" hidden="1" x14ac:dyDescent="0.25">
      <c r="A10517" s="28">
        <v>44440</v>
      </c>
      <c r="B10517" s="27" t="s">
        <v>2</v>
      </c>
      <c r="C10517" s="27" t="s">
        <v>50</v>
      </c>
      <c r="D10517" s="27" t="s">
        <v>7</v>
      </c>
      <c r="E10517" s="27" t="s">
        <v>10</v>
      </c>
      <c r="F10517" s="29"/>
      <c r="G10517" s="30">
        <v>74.38</v>
      </c>
    </row>
    <row r="10518" spans="1:7" hidden="1" x14ac:dyDescent="0.25">
      <c r="A10518" s="28">
        <v>44440</v>
      </c>
      <c r="B10518" s="27" t="s">
        <v>2</v>
      </c>
      <c r="C10518" s="27" t="s">
        <v>50</v>
      </c>
      <c r="D10518" s="27" t="s">
        <v>7</v>
      </c>
      <c r="E10518" s="27" t="s">
        <v>11</v>
      </c>
      <c r="F10518" s="29"/>
      <c r="G10518" s="30">
        <v>627.67999999999995</v>
      </c>
    </row>
    <row r="10519" spans="1:7" hidden="1" x14ac:dyDescent="0.25">
      <c r="A10519" s="28">
        <v>44440</v>
      </c>
      <c r="B10519" s="27" t="s">
        <v>2</v>
      </c>
      <c r="C10519" s="27" t="s">
        <v>50</v>
      </c>
      <c r="D10519" s="27" t="s">
        <v>7</v>
      </c>
      <c r="E10519" s="27" t="s">
        <v>12</v>
      </c>
      <c r="F10519" s="29"/>
      <c r="G10519" s="30">
        <v>313.08</v>
      </c>
    </row>
    <row r="10520" spans="1:7" hidden="1" x14ac:dyDescent="0.25">
      <c r="A10520" s="28">
        <v>44440</v>
      </c>
      <c r="B10520" s="27" t="s">
        <v>2</v>
      </c>
      <c r="C10520" s="27" t="s">
        <v>50</v>
      </c>
      <c r="D10520" s="27" t="s">
        <v>7</v>
      </c>
      <c r="E10520" s="27" t="s">
        <v>13</v>
      </c>
      <c r="F10520" s="29"/>
      <c r="G10520" s="30">
        <v>41.88</v>
      </c>
    </row>
    <row r="10521" spans="1:7" hidden="1" x14ac:dyDescent="0.25">
      <c r="A10521" s="28">
        <v>44440</v>
      </c>
      <c r="B10521" s="27" t="s">
        <v>2</v>
      </c>
      <c r="C10521" s="27" t="s">
        <v>50</v>
      </c>
      <c r="D10521" s="27" t="s">
        <v>7</v>
      </c>
      <c r="E10521" s="27" t="s">
        <v>14</v>
      </c>
      <c r="F10521" s="29"/>
      <c r="G10521" s="30">
        <v>464.68</v>
      </c>
    </row>
    <row r="10522" spans="1:7" hidden="1" x14ac:dyDescent="0.25">
      <c r="A10522" s="28">
        <v>44440</v>
      </c>
      <c r="B10522" s="27" t="s">
        <v>2</v>
      </c>
      <c r="C10522" s="27" t="s">
        <v>50</v>
      </c>
      <c r="D10522" s="27" t="s">
        <v>7</v>
      </c>
      <c r="E10522" s="27" t="s">
        <v>15</v>
      </c>
      <c r="F10522" s="29"/>
      <c r="G10522" s="30">
        <v>782.48</v>
      </c>
    </row>
    <row r="10523" spans="1:7" hidden="1" x14ac:dyDescent="0.25">
      <c r="A10523" s="28">
        <v>44440</v>
      </c>
      <c r="B10523" s="27" t="s">
        <v>2</v>
      </c>
      <c r="C10523" s="27" t="s">
        <v>50</v>
      </c>
      <c r="D10523" s="27" t="s">
        <v>7</v>
      </c>
      <c r="E10523" s="27" t="s">
        <v>16</v>
      </c>
      <c r="F10523" s="29"/>
      <c r="G10523" s="30">
        <v>43.28</v>
      </c>
    </row>
    <row r="10524" spans="1:7" hidden="1" x14ac:dyDescent="0.25">
      <c r="A10524" s="28">
        <v>44440</v>
      </c>
      <c r="B10524" s="27" t="s">
        <v>2</v>
      </c>
      <c r="C10524" s="27" t="s">
        <v>50</v>
      </c>
      <c r="D10524" s="27" t="s">
        <v>7</v>
      </c>
      <c r="E10524" s="27" t="s">
        <v>17</v>
      </c>
      <c r="F10524" s="29"/>
      <c r="G10524" s="30">
        <v>635.58000000000004</v>
      </c>
    </row>
    <row r="10525" spans="1:7" hidden="1" x14ac:dyDescent="0.25">
      <c r="A10525" s="28">
        <v>44440</v>
      </c>
      <c r="B10525" s="27" t="s">
        <v>2</v>
      </c>
      <c r="C10525" s="27" t="s">
        <v>50</v>
      </c>
      <c r="D10525" s="27" t="s">
        <v>7</v>
      </c>
      <c r="E10525" s="27" t="s">
        <v>18</v>
      </c>
      <c r="F10525" s="29"/>
      <c r="G10525" s="30">
        <v>30.1</v>
      </c>
    </row>
    <row r="10526" spans="1:7" hidden="1" x14ac:dyDescent="0.25">
      <c r="A10526" s="28">
        <v>44440</v>
      </c>
      <c r="B10526" s="27" t="s">
        <v>2</v>
      </c>
      <c r="C10526" s="27" t="s">
        <v>50</v>
      </c>
      <c r="D10526" s="27" t="s">
        <v>7</v>
      </c>
      <c r="E10526" s="27" t="s">
        <v>19</v>
      </c>
      <c r="F10526" s="29"/>
      <c r="G10526" s="30">
        <v>587.88</v>
      </c>
    </row>
    <row r="10527" spans="1:7" hidden="1" x14ac:dyDescent="0.25">
      <c r="A10527" s="28">
        <v>44440</v>
      </c>
      <c r="B10527" s="27" t="s">
        <v>2</v>
      </c>
      <c r="C10527" s="27" t="s">
        <v>50</v>
      </c>
      <c r="D10527" s="27" t="s">
        <v>7</v>
      </c>
      <c r="E10527" s="27" t="s">
        <v>20</v>
      </c>
      <c r="F10527" s="29"/>
      <c r="G10527" s="30">
        <v>551.41</v>
      </c>
    </row>
    <row r="10528" spans="1:7" hidden="1" x14ac:dyDescent="0.25">
      <c r="A10528" s="28">
        <v>44440</v>
      </c>
      <c r="B10528" s="27" t="s">
        <v>2</v>
      </c>
      <c r="C10528" s="27" t="s">
        <v>50</v>
      </c>
      <c r="D10528" s="27" t="s">
        <v>7</v>
      </c>
      <c r="E10528" s="27" t="s">
        <v>38</v>
      </c>
      <c r="F10528" s="29"/>
      <c r="G10528" s="30">
        <v>67.44</v>
      </c>
    </row>
    <row r="10529" spans="1:7" hidden="1" x14ac:dyDescent="0.25">
      <c r="A10529" s="28">
        <v>44440</v>
      </c>
      <c r="B10529" s="27" t="s">
        <v>2</v>
      </c>
      <c r="C10529" s="27" t="s">
        <v>50</v>
      </c>
      <c r="D10529" s="27" t="s">
        <v>7</v>
      </c>
      <c r="E10529" s="27" t="s">
        <v>23</v>
      </c>
      <c r="F10529" s="29"/>
      <c r="G10529" s="30">
        <v>961.16</v>
      </c>
    </row>
    <row r="10530" spans="1:7" hidden="1" x14ac:dyDescent="0.25">
      <c r="A10530" s="28">
        <v>44440</v>
      </c>
      <c r="B10530" s="27" t="s">
        <v>2</v>
      </c>
      <c r="C10530" s="27" t="s">
        <v>50</v>
      </c>
      <c r="D10530" s="27" t="s">
        <v>7</v>
      </c>
      <c r="E10530" s="27" t="s">
        <v>40</v>
      </c>
      <c r="F10530" s="29"/>
      <c r="G10530" s="30">
        <v>115.68</v>
      </c>
    </row>
    <row r="10531" spans="1:7" hidden="1" x14ac:dyDescent="0.25">
      <c r="A10531" s="28">
        <v>44440</v>
      </c>
      <c r="B10531" s="27" t="s">
        <v>2</v>
      </c>
      <c r="C10531" s="27" t="s">
        <v>50</v>
      </c>
      <c r="D10531" s="27" t="s">
        <v>7</v>
      </c>
      <c r="E10531" s="27" t="s">
        <v>42</v>
      </c>
      <c r="F10531" s="29"/>
      <c r="G10531" s="30">
        <v>181.08</v>
      </c>
    </row>
    <row r="10532" spans="1:7" hidden="1" x14ac:dyDescent="0.25">
      <c r="A10532" s="28">
        <v>44440</v>
      </c>
      <c r="B10532" s="27" t="s">
        <v>2</v>
      </c>
      <c r="C10532" s="27" t="s">
        <v>50</v>
      </c>
      <c r="D10532" s="27" t="s">
        <v>7</v>
      </c>
      <c r="E10532" s="27" t="s">
        <v>72</v>
      </c>
      <c r="F10532" s="29"/>
      <c r="G10532" s="30">
        <v>193.92</v>
      </c>
    </row>
    <row r="10533" spans="1:7" hidden="1" x14ac:dyDescent="0.25">
      <c r="A10533" s="28">
        <v>44440</v>
      </c>
      <c r="B10533" s="27" t="s">
        <v>36</v>
      </c>
      <c r="C10533" s="27" t="s">
        <v>50</v>
      </c>
      <c r="D10533" s="27" t="s">
        <v>6</v>
      </c>
      <c r="E10533" s="27" t="s">
        <v>8</v>
      </c>
      <c r="F10533" s="29"/>
      <c r="G10533" s="30">
        <v>308.42416666666668</v>
      </c>
    </row>
    <row r="10534" spans="1:7" hidden="1" x14ac:dyDescent="0.25">
      <c r="A10534" s="28">
        <v>44440</v>
      </c>
      <c r="B10534" s="27" t="s">
        <v>36</v>
      </c>
      <c r="C10534" s="27" t="s">
        <v>50</v>
      </c>
      <c r="D10534" s="27" t="s">
        <v>6</v>
      </c>
      <c r="E10534" s="27" t="s">
        <v>9</v>
      </c>
      <c r="F10534" s="29"/>
      <c r="G10534" s="30">
        <v>308.42416666666668</v>
      </c>
    </row>
    <row r="10535" spans="1:7" hidden="1" x14ac:dyDescent="0.25">
      <c r="A10535" s="28">
        <v>44440</v>
      </c>
      <c r="B10535" s="27" t="s">
        <v>36</v>
      </c>
      <c r="C10535" s="27" t="s">
        <v>50</v>
      </c>
      <c r="D10535" s="27" t="s">
        <v>6</v>
      </c>
      <c r="E10535" s="27" t="s">
        <v>22</v>
      </c>
      <c r="F10535" s="29"/>
      <c r="G10535" s="30">
        <v>308.42416666666668</v>
      </c>
    </row>
    <row r="10536" spans="1:7" hidden="1" x14ac:dyDescent="0.25">
      <c r="A10536" s="28">
        <v>44440</v>
      </c>
      <c r="B10536" s="27" t="s">
        <v>36</v>
      </c>
      <c r="C10536" s="27" t="s">
        <v>50</v>
      </c>
      <c r="D10536" s="27" t="s">
        <v>6</v>
      </c>
      <c r="E10536" s="27" t="s">
        <v>39</v>
      </c>
      <c r="F10536" s="29"/>
      <c r="G10536" s="30">
        <v>308.42416666666668</v>
      </c>
    </row>
    <row r="10537" spans="1:7" hidden="1" x14ac:dyDescent="0.25">
      <c r="A10537" s="28">
        <v>44440</v>
      </c>
      <c r="B10537" s="27" t="s">
        <v>36</v>
      </c>
      <c r="C10537" s="27" t="s">
        <v>50</v>
      </c>
      <c r="D10537" s="27" t="s">
        <v>6</v>
      </c>
      <c r="E10537" s="27" t="s">
        <v>64</v>
      </c>
      <c r="F10537" s="29"/>
      <c r="G10537" s="30">
        <v>308.42416666666668</v>
      </c>
    </row>
    <row r="10538" spans="1:7" hidden="1" x14ac:dyDescent="0.25">
      <c r="A10538" s="28">
        <v>44440</v>
      </c>
      <c r="B10538" s="27" t="s">
        <v>36</v>
      </c>
      <c r="C10538" s="27" t="s">
        <v>50</v>
      </c>
      <c r="D10538" s="27" t="s">
        <v>6</v>
      </c>
      <c r="E10538" s="27" t="s">
        <v>21</v>
      </c>
      <c r="F10538" s="29"/>
      <c r="G10538" s="30">
        <v>308.42416666666668</v>
      </c>
    </row>
    <row r="10539" spans="1:7" hidden="1" x14ac:dyDescent="0.25">
      <c r="A10539" s="28">
        <v>44440</v>
      </c>
      <c r="B10539" s="27" t="s">
        <v>36</v>
      </c>
      <c r="C10539" s="27" t="s">
        <v>50</v>
      </c>
      <c r="D10539" s="27" t="s">
        <v>6</v>
      </c>
      <c r="E10539" s="27" t="s">
        <v>41</v>
      </c>
      <c r="F10539" s="29"/>
      <c r="G10539" s="30">
        <v>308.42416666666668</v>
      </c>
    </row>
    <row r="10540" spans="1:7" hidden="1" x14ac:dyDescent="0.25">
      <c r="A10540" s="28">
        <v>44440</v>
      </c>
      <c r="B10540" s="27" t="s">
        <v>36</v>
      </c>
      <c r="C10540" s="27" t="s">
        <v>50</v>
      </c>
      <c r="D10540" s="27" t="s">
        <v>6</v>
      </c>
      <c r="E10540" s="27" t="s">
        <v>10</v>
      </c>
      <c r="F10540" s="29"/>
      <c r="G10540" s="30">
        <v>308.42416666666668</v>
      </c>
    </row>
    <row r="10541" spans="1:7" hidden="1" x14ac:dyDescent="0.25">
      <c r="A10541" s="28">
        <v>44440</v>
      </c>
      <c r="B10541" s="27" t="s">
        <v>36</v>
      </c>
      <c r="C10541" s="27" t="s">
        <v>50</v>
      </c>
      <c r="D10541" s="27" t="s">
        <v>6</v>
      </c>
      <c r="E10541" s="27" t="s">
        <v>11</v>
      </c>
      <c r="F10541" s="29"/>
      <c r="G10541" s="30">
        <v>308.42416666666668</v>
      </c>
    </row>
    <row r="10542" spans="1:7" hidden="1" x14ac:dyDescent="0.25">
      <c r="A10542" s="28">
        <v>44440</v>
      </c>
      <c r="B10542" s="27" t="s">
        <v>36</v>
      </c>
      <c r="C10542" s="27" t="s">
        <v>50</v>
      </c>
      <c r="D10542" s="27" t="s">
        <v>6</v>
      </c>
      <c r="E10542" s="27" t="s">
        <v>12</v>
      </c>
      <c r="F10542" s="29"/>
      <c r="G10542" s="30">
        <v>308.42416666666668</v>
      </c>
    </row>
    <row r="10543" spans="1:7" hidden="1" x14ac:dyDescent="0.25">
      <c r="A10543" s="28">
        <v>44440</v>
      </c>
      <c r="B10543" s="27" t="s">
        <v>36</v>
      </c>
      <c r="C10543" s="27" t="s">
        <v>50</v>
      </c>
      <c r="D10543" s="27" t="s">
        <v>6</v>
      </c>
      <c r="E10543" s="27" t="s">
        <v>13</v>
      </c>
      <c r="F10543" s="29"/>
      <c r="G10543" s="30">
        <v>308.42416666666668</v>
      </c>
    </row>
    <row r="10544" spans="1:7" hidden="1" x14ac:dyDescent="0.25">
      <c r="A10544" s="28">
        <v>44440</v>
      </c>
      <c r="B10544" s="27" t="s">
        <v>36</v>
      </c>
      <c r="C10544" s="27" t="s">
        <v>50</v>
      </c>
      <c r="D10544" s="27" t="s">
        <v>6</v>
      </c>
      <c r="E10544" s="27" t="s">
        <v>14</v>
      </c>
      <c r="F10544" s="29"/>
      <c r="G10544" s="30">
        <v>308.42416666666668</v>
      </c>
    </row>
    <row r="10545" spans="1:7" hidden="1" x14ac:dyDescent="0.25">
      <c r="A10545" s="28">
        <v>44440</v>
      </c>
      <c r="B10545" s="27" t="s">
        <v>36</v>
      </c>
      <c r="C10545" s="27" t="s">
        <v>50</v>
      </c>
      <c r="D10545" s="27" t="s">
        <v>6</v>
      </c>
      <c r="E10545" s="27" t="s">
        <v>15</v>
      </c>
      <c r="F10545" s="29"/>
      <c r="G10545" s="30">
        <v>308.42416666666668</v>
      </c>
    </row>
    <row r="10546" spans="1:7" hidden="1" x14ac:dyDescent="0.25">
      <c r="A10546" s="28">
        <v>44440</v>
      </c>
      <c r="B10546" s="27" t="s">
        <v>36</v>
      </c>
      <c r="C10546" s="27" t="s">
        <v>50</v>
      </c>
      <c r="D10546" s="27" t="s">
        <v>6</v>
      </c>
      <c r="E10546" s="27" t="s">
        <v>16</v>
      </c>
      <c r="F10546" s="29"/>
      <c r="G10546" s="30">
        <v>308.42416666666668</v>
      </c>
    </row>
    <row r="10547" spans="1:7" hidden="1" x14ac:dyDescent="0.25">
      <c r="A10547" s="28">
        <v>44440</v>
      </c>
      <c r="B10547" s="27" t="s">
        <v>36</v>
      </c>
      <c r="C10547" s="27" t="s">
        <v>50</v>
      </c>
      <c r="D10547" s="27" t="s">
        <v>6</v>
      </c>
      <c r="E10547" s="27" t="s">
        <v>17</v>
      </c>
      <c r="F10547" s="29"/>
      <c r="G10547" s="30">
        <v>308.42416666666668</v>
      </c>
    </row>
    <row r="10548" spans="1:7" hidden="1" x14ac:dyDescent="0.25">
      <c r="A10548" s="28">
        <v>44440</v>
      </c>
      <c r="B10548" s="27" t="s">
        <v>36</v>
      </c>
      <c r="C10548" s="27" t="s">
        <v>50</v>
      </c>
      <c r="D10548" s="27" t="s">
        <v>6</v>
      </c>
      <c r="E10548" s="27" t="s">
        <v>18</v>
      </c>
      <c r="F10548" s="29"/>
      <c r="G10548" s="30">
        <v>308.42416666666668</v>
      </c>
    </row>
    <row r="10549" spans="1:7" hidden="1" x14ac:dyDescent="0.25">
      <c r="A10549" s="28">
        <v>44440</v>
      </c>
      <c r="B10549" s="27" t="s">
        <v>36</v>
      </c>
      <c r="C10549" s="27" t="s">
        <v>50</v>
      </c>
      <c r="D10549" s="27" t="s">
        <v>6</v>
      </c>
      <c r="E10549" s="27" t="s">
        <v>19</v>
      </c>
      <c r="F10549" s="29"/>
      <c r="G10549" s="30">
        <v>308.42416666666668</v>
      </c>
    </row>
    <row r="10550" spans="1:7" hidden="1" x14ac:dyDescent="0.25">
      <c r="A10550" s="28">
        <v>44440</v>
      </c>
      <c r="B10550" s="27" t="s">
        <v>36</v>
      </c>
      <c r="C10550" s="27" t="s">
        <v>50</v>
      </c>
      <c r="D10550" s="27" t="s">
        <v>6</v>
      </c>
      <c r="E10550" s="27" t="s">
        <v>20</v>
      </c>
      <c r="F10550" s="29"/>
      <c r="G10550" s="30">
        <v>308.42416666666668</v>
      </c>
    </row>
    <row r="10551" spans="1:7" hidden="1" x14ac:dyDescent="0.25">
      <c r="A10551" s="28">
        <v>44440</v>
      </c>
      <c r="B10551" s="27" t="s">
        <v>36</v>
      </c>
      <c r="C10551" s="27" t="s">
        <v>50</v>
      </c>
      <c r="D10551" s="27" t="s">
        <v>6</v>
      </c>
      <c r="E10551" s="27" t="s">
        <v>38</v>
      </c>
      <c r="F10551" s="29"/>
      <c r="G10551" s="30">
        <v>308.42416666666668</v>
      </c>
    </row>
    <row r="10552" spans="1:7" hidden="1" x14ac:dyDescent="0.25">
      <c r="A10552" s="28">
        <v>44440</v>
      </c>
      <c r="B10552" s="27" t="s">
        <v>36</v>
      </c>
      <c r="C10552" s="27" t="s">
        <v>50</v>
      </c>
      <c r="D10552" s="27" t="s">
        <v>6</v>
      </c>
      <c r="E10552" s="27" t="s">
        <v>23</v>
      </c>
      <c r="F10552" s="29"/>
      <c r="G10552" s="30">
        <v>308.42416666666668</v>
      </c>
    </row>
    <row r="10553" spans="1:7" hidden="1" x14ac:dyDescent="0.25">
      <c r="A10553" s="28">
        <v>44440</v>
      </c>
      <c r="B10553" s="27" t="s">
        <v>36</v>
      </c>
      <c r="C10553" s="27" t="s">
        <v>50</v>
      </c>
      <c r="D10553" s="27" t="s">
        <v>6</v>
      </c>
      <c r="E10553" s="27" t="s">
        <v>40</v>
      </c>
      <c r="F10553" s="29"/>
      <c r="G10553" s="30">
        <v>308.42416666666668</v>
      </c>
    </row>
    <row r="10554" spans="1:7" hidden="1" x14ac:dyDescent="0.25">
      <c r="A10554" s="28">
        <v>44440</v>
      </c>
      <c r="B10554" s="27" t="s">
        <v>36</v>
      </c>
      <c r="C10554" s="27" t="s">
        <v>50</v>
      </c>
      <c r="D10554" s="27" t="s">
        <v>6</v>
      </c>
      <c r="E10554" s="27" t="s">
        <v>42</v>
      </c>
      <c r="F10554" s="29"/>
      <c r="G10554" s="30">
        <v>308.42416666666668</v>
      </c>
    </row>
    <row r="10555" spans="1:7" hidden="1" x14ac:dyDescent="0.25">
      <c r="A10555" s="28">
        <v>44440</v>
      </c>
      <c r="B10555" s="27" t="s">
        <v>36</v>
      </c>
      <c r="C10555" s="27" t="s">
        <v>50</v>
      </c>
      <c r="D10555" s="27" t="s">
        <v>6</v>
      </c>
      <c r="E10555" s="27" t="s">
        <v>43</v>
      </c>
      <c r="F10555" s="29"/>
      <c r="G10555" s="30">
        <v>308.42416666666668</v>
      </c>
    </row>
    <row r="10556" spans="1:7" hidden="1" x14ac:dyDescent="0.25">
      <c r="A10556" s="28">
        <v>44440</v>
      </c>
      <c r="B10556" s="27" t="s">
        <v>36</v>
      </c>
      <c r="C10556" s="27" t="s">
        <v>50</v>
      </c>
      <c r="D10556" s="27" t="s">
        <v>6</v>
      </c>
      <c r="E10556" s="27" t="s">
        <v>72</v>
      </c>
      <c r="F10556" s="29"/>
      <c r="G10556" s="30">
        <v>308.42416666666668</v>
      </c>
    </row>
    <row r="10557" spans="1:7" hidden="1" x14ac:dyDescent="0.25">
      <c r="A10557" s="28">
        <v>44440</v>
      </c>
      <c r="B10557" s="27" t="s">
        <v>200</v>
      </c>
      <c r="C10557" s="27" t="s">
        <v>53</v>
      </c>
      <c r="D10557" s="27" t="s">
        <v>6</v>
      </c>
      <c r="E10557" s="27" t="s">
        <v>8</v>
      </c>
      <c r="F10557" s="29"/>
      <c r="G10557" s="30">
        <f t="shared" ref="G10557:G10577" si="191">10572.59/21</f>
        <v>503.45666666666665</v>
      </c>
    </row>
    <row r="10558" spans="1:7" hidden="1" x14ac:dyDescent="0.25">
      <c r="A10558" s="28">
        <v>44440</v>
      </c>
      <c r="B10558" s="27" t="s">
        <v>200</v>
      </c>
      <c r="C10558" s="27" t="s">
        <v>53</v>
      </c>
      <c r="D10558" s="27" t="s">
        <v>6</v>
      </c>
      <c r="E10558" s="27" t="s">
        <v>9</v>
      </c>
      <c r="F10558" s="29"/>
      <c r="G10558" s="30">
        <f t="shared" si="191"/>
        <v>503.45666666666665</v>
      </c>
    </row>
    <row r="10559" spans="1:7" hidden="1" x14ac:dyDescent="0.25">
      <c r="A10559" s="28">
        <v>44440</v>
      </c>
      <c r="B10559" s="27" t="s">
        <v>200</v>
      </c>
      <c r="C10559" s="27" t="s">
        <v>53</v>
      </c>
      <c r="D10559" s="27" t="s">
        <v>6</v>
      </c>
      <c r="E10559" s="27" t="s">
        <v>22</v>
      </c>
      <c r="F10559" s="29"/>
      <c r="G10559" s="30">
        <f t="shared" si="191"/>
        <v>503.45666666666665</v>
      </c>
    </row>
    <row r="10560" spans="1:7" hidden="1" x14ac:dyDescent="0.25">
      <c r="A10560" s="28">
        <v>44440</v>
      </c>
      <c r="B10560" s="27" t="s">
        <v>200</v>
      </c>
      <c r="C10560" s="27" t="s">
        <v>53</v>
      </c>
      <c r="D10560" s="27" t="s">
        <v>6</v>
      </c>
      <c r="E10560" s="27" t="s">
        <v>39</v>
      </c>
      <c r="F10560" s="29"/>
      <c r="G10560" s="30">
        <f t="shared" si="191"/>
        <v>503.45666666666665</v>
      </c>
    </row>
    <row r="10561" spans="1:7" hidden="1" x14ac:dyDescent="0.25">
      <c r="A10561" s="28">
        <v>44440</v>
      </c>
      <c r="B10561" s="27" t="s">
        <v>200</v>
      </c>
      <c r="C10561" s="27" t="s">
        <v>53</v>
      </c>
      <c r="D10561" s="27" t="s">
        <v>6</v>
      </c>
      <c r="E10561" s="27" t="s">
        <v>64</v>
      </c>
      <c r="F10561" s="29"/>
      <c r="G10561" s="30">
        <f t="shared" si="191"/>
        <v>503.45666666666665</v>
      </c>
    </row>
    <row r="10562" spans="1:7" hidden="1" x14ac:dyDescent="0.25">
      <c r="A10562" s="28">
        <v>44440</v>
      </c>
      <c r="B10562" s="27" t="s">
        <v>200</v>
      </c>
      <c r="C10562" s="27" t="s">
        <v>53</v>
      </c>
      <c r="D10562" s="27" t="s">
        <v>6</v>
      </c>
      <c r="E10562" s="27" t="s">
        <v>21</v>
      </c>
      <c r="F10562" s="29"/>
      <c r="G10562" s="30">
        <f t="shared" si="191"/>
        <v>503.45666666666665</v>
      </c>
    </row>
    <row r="10563" spans="1:7" hidden="1" x14ac:dyDescent="0.25">
      <c r="A10563" s="28">
        <v>44440</v>
      </c>
      <c r="B10563" s="27" t="s">
        <v>200</v>
      </c>
      <c r="C10563" s="27" t="s">
        <v>53</v>
      </c>
      <c r="D10563" s="27" t="s">
        <v>6</v>
      </c>
      <c r="E10563" s="27" t="s">
        <v>41</v>
      </c>
      <c r="F10563" s="29"/>
      <c r="G10563" s="30">
        <f t="shared" si="191"/>
        <v>503.45666666666665</v>
      </c>
    </row>
    <row r="10564" spans="1:7" hidden="1" x14ac:dyDescent="0.25">
      <c r="A10564" s="28">
        <v>44440</v>
      </c>
      <c r="B10564" s="27" t="s">
        <v>200</v>
      </c>
      <c r="C10564" s="27" t="s">
        <v>53</v>
      </c>
      <c r="D10564" s="27" t="s">
        <v>6</v>
      </c>
      <c r="E10564" s="27" t="s">
        <v>10</v>
      </c>
      <c r="F10564" s="29"/>
      <c r="G10564" s="30">
        <f t="shared" si="191"/>
        <v>503.45666666666665</v>
      </c>
    </row>
    <row r="10565" spans="1:7" hidden="1" x14ac:dyDescent="0.25">
      <c r="A10565" s="28">
        <v>44440</v>
      </c>
      <c r="B10565" s="27" t="s">
        <v>200</v>
      </c>
      <c r="C10565" s="27" t="s">
        <v>53</v>
      </c>
      <c r="D10565" s="27" t="s">
        <v>6</v>
      </c>
      <c r="E10565" s="27" t="s">
        <v>11</v>
      </c>
      <c r="F10565" s="29"/>
      <c r="G10565" s="30">
        <f t="shared" si="191"/>
        <v>503.45666666666665</v>
      </c>
    </row>
    <row r="10566" spans="1:7" hidden="1" x14ac:dyDescent="0.25">
      <c r="A10566" s="28">
        <v>44440</v>
      </c>
      <c r="B10566" s="27" t="s">
        <v>200</v>
      </c>
      <c r="C10566" s="27" t="s">
        <v>53</v>
      </c>
      <c r="D10566" s="27" t="s">
        <v>6</v>
      </c>
      <c r="E10566" s="27" t="s">
        <v>12</v>
      </c>
      <c r="F10566" s="29"/>
      <c r="G10566" s="30">
        <f t="shared" si="191"/>
        <v>503.45666666666665</v>
      </c>
    </row>
    <row r="10567" spans="1:7" hidden="1" x14ac:dyDescent="0.25">
      <c r="A10567" s="28">
        <v>44440</v>
      </c>
      <c r="B10567" s="27" t="s">
        <v>200</v>
      </c>
      <c r="C10567" s="27" t="s">
        <v>53</v>
      </c>
      <c r="D10567" s="27" t="s">
        <v>6</v>
      </c>
      <c r="E10567" s="27" t="s">
        <v>13</v>
      </c>
      <c r="F10567" s="29"/>
      <c r="G10567" s="30">
        <f t="shared" si="191"/>
        <v>503.45666666666665</v>
      </c>
    </row>
    <row r="10568" spans="1:7" hidden="1" x14ac:dyDescent="0.25">
      <c r="A10568" s="28">
        <v>44440</v>
      </c>
      <c r="B10568" s="27" t="s">
        <v>200</v>
      </c>
      <c r="C10568" s="27" t="s">
        <v>53</v>
      </c>
      <c r="D10568" s="27" t="s">
        <v>6</v>
      </c>
      <c r="E10568" s="27" t="s">
        <v>14</v>
      </c>
      <c r="F10568" s="29"/>
      <c r="G10568" s="30">
        <f t="shared" si="191"/>
        <v>503.45666666666665</v>
      </c>
    </row>
    <row r="10569" spans="1:7" hidden="1" x14ac:dyDescent="0.25">
      <c r="A10569" s="28">
        <v>44440</v>
      </c>
      <c r="B10569" s="27" t="s">
        <v>200</v>
      </c>
      <c r="C10569" s="27" t="s">
        <v>53</v>
      </c>
      <c r="D10569" s="27" t="s">
        <v>6</v>
      </c>
      <c r="E10569" s="27" t="s">
        <v>15</v>
      </c>
      <c r="F10569" s="29"/>
      <c r="G10569" s="30">
        <f t="shared" si="191"/>
        <v>503.45666666666665</v>
      </c>
    </row>
    <row r="10570" spans="1:7" hidden="1" x14ac:dyDescent="0.25">
      <c r="A10570" s="28">
        <v>44440</v>
      </c>
      <c r="B10570" s="27" t="s">
        <v>200</v>
      </c>
      <c r="C10570" s="27" t="s">
        <v>53</v>
      </c>
      <c r="D10570" s="27" t="s">
        <v>6</v>
      </c>
      <c r="E10570" s="27" t="s">
        <v>16</v>
      </c>
      <c r="F10570" s="29"/>
      <c r="G10570" s="30">
        <f t="shared" si="191"/>
        <v>503.45666666666665</v>
      </c>
    </row>
    <row r="10571" spans="1:7" hidden="1" x14ac:dyDescent="0.25">
      <c r="A10571" s="28">
        <v>44440</v>
      </c>
      <c r="B10571" s="27" t="s">
        <v>200</v>
      </c>
      <c r="C10571" s="27" t="s">
        <v>53</v>
      </c>
      <c r="D10571" s="27" t="s">
        <v>6</v>
      </c>
      <c r="E10571" s="27" t="s">
        <v>17</v>
      </c>
      <c r="F10571" s="29"/>
      <c r="G10571" s="30">
        <f t="shared" si="191"/>
        <v>503.45666666666665</v>
      </c>
    </row>
    <row r="10572" spans="1:7" hidden="1" x14ac:dyDescent="0.25">
      <c r="A10572" s="28">
        <v>44440</v>
      </c>
      <c r="B10572" s="27" t="s">
        <v>200</v>
      </c>
      <c r="C10572" s="27" t="s">
        <v>53</v>
      </c>
      <c r="D10572" s="27" t="s">
        <v>6</v>
      </c>
      <c r="E10572" s="27" t="s">
        <v>18</v>
      </c>
      <c r="F10572" s="29"/>
      <c r="G10572" s="30">
        <f t="shared" si="191"/>
        <v>503.45666666666665</v>
      </c>
    </row>
    <row r="10573" spans="1:7" hidden="1" x14ac:dyDescent="0.25">
      <c r="A10573" s="28">
        <v>44440</v>
      </c>
      <c r="B10573" s="27" t="s">
        <v>200</v>
      </c>
      <c r="C10573" s="27" t="s">
        <v>53</v>
      </c>
      <c r="D10573" s="27" t="s">
        <v>6</v>
      </c>
      <c r="E10573" s="27" t="s">
        <v>19</v>
      </c>
      <c r="F10573" s="29"/>
      <c r="G10573" s="30">
        <f t="shared" si="191"/>
        <v>503.45666666666665</v>
      </c>
    </row>
    <row r="10574" spans="1:7" hidden="1" x14ac:dyDescent="0.25">
      <c r="A10574" s="28">
        <v>44440</v>
      </c>
      <c r="B10574" s="27" t="s">
        <v>200</v>
      </c>
      <c r="C10574" s="27" t="s">
        <v>53</v>
      </c>
      <c r="D10574" s="27" t="s">
        <v>6</v>
      </c>
      <c r="E10574" s="27" t="s">
        <v>20</v>
      </c>
      <c r="F10574" s="29"/>
      <c r="G10574" s="30">
        <f t="shared" si="191"/>
        <v>503.45666666666665</v>
      </c>
    </row>
    <row r="10575" spans="1:7" hidden="1" x14ac:dyDescent="0.25">
      <c r="A10575" s="28">
        <v>44440</v>
      </c>
      <c r="B10575" s="27" t="s">
        <v>200</v>
      </c>
      <c r="C10575" s="27" t="s">
        <v>53</v>
      </c>
      <c r="D10575" s="27" t="s">
        <v>6</v>
      </c>
      <c r="E10575" s="27" t="s">
        <v>38</v>
      </c>
      <c r="F10575" s="29"/>
      <c r="G10575" s="30">
        <f t="shared" si="191"/>
        <v>503.45666666666665</v>
      </c>
    </row>
    <row r="10576" spans="1:7" hidden="1" x14ac:dyDescent="0.25">
      <c r="A10576" s="28">
        <v>44440</v>
      </c>
      <c r="B10576" s="27" t="s">
        <v>200</v>
      </c>
      <c r="C10576" s="27" t="s">
        <v>53</v>
      </c>
      <c r="D10576" s="27" t="s">
        <v>6</v>
      </c>
      <c r="E10576" s="27" t="s">
        <v>23</v>
      </c>
      <c r="F10576" s="29"/>
      <c r="G10576" s="30">
        <f t="shared" si="191"/>
        <v>503.45666666666665</v>
      </c>
    </row>
    <row r="10577" spans="1:7" hidden="1" x14ac:dyDescent="0.25">
      <c r="A10577" s="28">
        <v>44440</v>
      </c>
      <c r="B10577" s="27" t="s">
        <v>200</v>
      </c>
      <c r="C10577" s="27" t="s">
        <v>53</v>
      </c>
      <c r="D10577" s="27" t="s">
        <v>6</v>
      </c>
      <c r="E10577" s="27" t="s">
        <v>40</v>
      </c>
      <c r="F10577" s="29"/>
      <c r="G10577" s="30">
        <f t="shared" si="191"/>
        <v>503.45666666666665</v>
      </c>
    </row>
    <row r="10578" spans="1:7" hidden="1" x14ac:dyDescent="0.25">
      <c r="A10578" s="28">
        <v>44440</v>
      </c>
      <c r="B10578" s="27" t="s">
        <v>200</v>
      </c>
      <c r="C10578" s="27" t="s">
        <v>54</v>
      </c>
      <c r="D10578" s="27" t="s">
        <v>7</v>
      </c>
      <c r="E10578" s="27" t="s">
        <v>8</v>
      </c>
      <c r="F10578" s="29"/>
      <c r="G10578" s="30">
        <f t="shared" ref="G10578:G10601" si="192">281.83/24</f>
        <v>11.742916666666666</v>
      </c>
    </row>
    <row r="10579" spans="1:7" hidden="1" x14ac:dyDescent="0.25">
      <c r="A10579" s="28">
        <v>44440</v>
      </c>
      <c r="B10579" s="27" t="s">
        <v>200</v>
      </c>
      <c r="C10579" s="27" t="s">
        <v>54</v>
      </c>
      <c r="D10579" s="27" t="s">
        <v>7</v>
      </c>
      <c r="E10579" s="27" t="s">
        <v>9</v>
      </c>
      <c r="F10579" s="29"/>
      <c r="G10579" s="30">
        <f t="shared" si="192"/>
        <v>11.742916666666666</v>
      </c>
    </row>
    <row r="10580" spans="1:7" hidden="1" x14ac:dyDescent="0.25">
      <c r="A10580" s="28">
        <v>44440</v>
      </c>
      <c r="B10580" s="27" t="s">
        <v>200</v>
      </c>
      <c r="C10580" s="27" t="s">
        <v>54</v>
      </c>
      <c r="D10580" s="27" t="s">
        <v>7</v>
      </c>
      <c r="E10580" s="27" t="s">
        <v>22</v>
      </c>
      <c r="F10580" s="29"/>
      <c r="G10580" s="30">
        <f t="shared" si="192"/>
        <v>11.742916666666666</v>
      </c>
    </row>
    <row r="10581" spans="1:7" hidden="1" x14ac:dyDescent="0.25">
      <c r="A10581" s="28">
        <v>44440</v>
      </c>
      <c r="B10581" s="27" t="s">
        <v>200</v>
      </c>
      <c r="C10581" s="27" t="s">
        <v>54</v>
      </c>
      <c r="D10581" s="27" t="s">
        <v>7</v>
      </c>
      <c r="E10581" s="27" t="s">
        <v>39</v>
      </c>
      <c r="F10581" s="29"/>
      <c r="G10581" s="30">
        <f t="shared" si="192"/>
        <v>11.742916666666666</v>
      </c>
    </row>
    <row r="10582" spans="1:7" hidden="1" x14ac:dyDescent="0.25">
      <c r="A10582" s="28">
        <v>44440</v>
      </c>
      <c r="B10582" s="27" t="s">
        <v>200</v>
      </c>
      <c r="C10582" s="27" t="s">
        <v>54</v>
      </c>
      <c r="D10582" s="27" t="s">
        <v>7</v>
      </c>
      <c r="E10582" s="27" t="s">
        <v>64</v>
      </c>
      <c r="F10582" s="29"/>
      <c r="G10582" s="30">
        <f t="shared" si="192"/>
        <v>11.742916666666666</v>
      </c>
    </row>
    <row r="10583" spans="1:7" hidden="1" x14ac:dyDescent="0.25">
      <c r="A10583" s="28">
        <v>44440</v>
      </c>
      <c r="B10583" s="27" t="s">
        <v>200</v>
      </c>
      <c r="C10583" s="27" t="s">
        <v>54</v>
      </c>
      <c r="D10583" s="27" t="s">
        <v>7</v>
      </c>
      <c r="E10583" s="27" t="s">
        <v>21</v>
      </c>
      <c r="F10583" s="29"/>
      <c r="G10583" s="30">
        <f t="shared" si="192"/>
        <v>11.742916666666666</v>
      </c>
    </row>
    <row r="10584" spans="1:7" hidden="1" x14ac:dyDescent="0.25">
      <c r="A10584" s="28">
        <v>44440</v>
      </c>
      <c r="B10584" s="27" t="s">
        <v>200</v>
      </c>
      <c r="C10584" s="27" t="s">
        <v>54</v>
      </c>
      <c r="D10584" s="27" t="s">
        <v>7</v>
      </c>
      <c r="E10584" s="27" t="s">
        <v>41</v>
      </c>
      <c r="F10584" s="29"/>
      <c r="G10584" s="30">
        <f t="shared" si="192"/>
        <v>11.742916666666666</v>
      </c>
    </row>
    <row r="10585" spans="1:7" hidden="1" x14ac:dyDescent="0.25">
      <c r="A10585" s="28">
        <v>44440</v>
      </c>
      <c r="B10585" s="27" t="s">
        <v>200</v>
      </c>
      <c r="C10585" s="27" t="s">
        <v>54</v>
      </c>
      <c r="D10585" s="27" t="s">
        <v>7</v>
      </c>
      <c r="E10585" s="27" t="s">
        <v>10</v>
      </c>
      <c r="F10585" s="29"/>
      <c r="G10585" s="30">
        <f t="shared" si="192"/>
        <v>11.742916666666666</v>
      </c>
    </row>
    <row r="10586" spans="1:7" hidden="1" x14ac:dyDescent="0.25">
      <c r="A10586" s="28">
        <v>44440</v>
      </c>
      <c r="B10586" s="27" t="s">
        <v>200</v>
      </c>
      <c r="C10586" s="27" t="s">
        <v>54</v>
      </c>
      <c r="D10586" s="27" t="s">
        <v>7</v>
      </c>
      <c r="E10586" s="27" t="s">
        <v>11</v>
      </c>
      <c r="F10586" s="29"/>
      <c r="G10586" s="30">
        <f t="shared" si="192"/>
        <v>11.742916666666666</v>
      </c>
    </row>
    <row r="10587" spans="1:7" hidden="1" x14ac:dyDescent="0.25">
      <c r="A10587" s="28">
        <v>44440</v>
      </c>
      <c r="B10587" s="27" t="s">
        <v>200</v>
      </c>
      <c r="C10587" s="27" t="s">
        <v>54</v>
      </c>
      <c r="D10587" s="27" t="s">
        <v>7</v>
      </c>
      <c r="E10587" s="27" t="s">
        <v>12</v>
      </c>
      <c r="F10587" s="29"/>
      <c r="G10587" s="30">
        <f t="shared" si="192"/>
        <v>11.742916666666666</v>
      </c>
    </row>
    <row r="10588" spans="1:7" hidden="1" x14ac:dyDescent="0.25">
      <c r="A10588" s="28">
        <v>44440</v>
      </c>
      <c r="B10588" s="27" t="s">
        <v>200</v>
      </c>
      <c r="C10588" s="27" t="s">
        <v>54</v>
      </c>
      <c r="D10588" s="27" t="s">
        <v>7</v>
      </c>
      <c r="E10588" s="27" t="s">
        <v>13</v>
      </c>
      <c r="F10588" s="29"/>
      <c r="G10588" s="30">
        <f t="shared" si="192"/>
        <v>11.742916666666666</v>
      </c>
    </row>
    <row r="10589" spans="1:7" hidden="1" x14ac:dyDescent="0.25">
      <c r="A10589" s="28">
        <v>44440</v>
      </c>
      <c r="B10589" s="27" t="s">
        <v>200</v>
      </c>
      <c r="C10589" s="27" t="s">
        <v>54</v>
      </c>
      <c r="D10589" s="27" t="s">
        <v>7</v>
      </c>
      <c r="E10589" s="27" t="s">
        <v>14</v>
      </c>
      <c r="F10589" s="29"/>
      <c r="G10589" s="30">
        <f t="shared" si="192"/>
        <v>11.742916666666666</v>
      </c>
    </row>
    <row r="10590" spans="1:7" hidden="1" x14ac:dyDescent="0.25">
      <c r="A10590" s="28">
        <v>44440</v>
      </c>
      <c r="B10590" s="27" t="s">
        <v>200</v>
      </c>
      <c r="C10590" s="27" t="s">
        <v>54</v>
      </c>
      <c r="D10590" s="27" t="s">
        <v>7</v>
      </c>
      <c r="E10590" s="27" t="s">
        <v>15</v>
      </c>
      <c r="F10590" s="29"/>
      <c r="G10590" s="30">
        <f t="shared" si="192"/>
        <v>11.742916666666666</v>
      </c>
    </row>
    <row r="10591" spans="1:7" hidden="1" x14ac:dyDescent="0.25">
      <c r="A10591" s="28">
        <v>44440</v>
      </c>
      <c r="B10591" s="27" t="s">
        <v>200</v>
      </c>
      <c r="C10591" s="27" t="s">
        <v>54</v>
      </c>
      <c r="D10591" s="27" t="s">
        <v>7</v>
      </c>
      <c r="E10591" s="27" t="s">
        <v>16</v>
      </c>
      <c r="F10591" s="29"/>
      <c r="G10591" s="30">
        <f t="shared" si="192"/>
        <v>11.742916666666666</v>
      </c>
    </row>
    <row r="10592" spans="1:7" hidden="1" x14ac:dyDescent="0.25">
      <c r="A10592" s="28">
        <v>44440</v>
      </c>
      <c r="B10592" s="27" t="s">
        <v>200</v>
      </c>
      <c r="C10592" s="27" t="s">
        <v>54</v>
      </c>
      <c r="D10592" s="27" t="s">
        <v>7</v>
      </c>
      <c r="E10592" s="27" t="s">
        <v>17</v>
      </c>
      <c r="F10592" s="29"/>
      <c r="G10592" s="30">
        <f t="shared" si="192"/>
        <v>11.742916666666666</v>
      </c>
    </row>
    <row r="10593" spans="1:7" hidden="1" x14ac:dyDescent="0.25">
      <c r="A10593" s="28">
        <v>44440</v>
      </c>
      <c r="B10593" s="27" t="s">
        <v>200</v>
      </c>
      <c r="C10593" s="27" t="s">
        <v>54</v>
      </c>
      <c r="D10593" s="27" t="s">
        <v>7</v>
      </c>
      <c r="E10593" s="27" t="s">
        <v>18</v>
      </c>
      <c r="F10593" s="29"/>
      <c r="G10593" s="30">
        <f t="shared" si="192"/>
        <v>11.742916666666666</v>
      </c>
    </row>
    <row r="10594" spans="1:7" hidden="1" x14ac:dyDescent="0.25">
      <c r="A10594" s="28">
        <v>44440</v>
      </c>
      <c r="B10594" s="27" t="s">
        <v>200</v>
      </c>
      <c r="C10594" s="27" t="s">
        <v>54</v>
      </c>
      <c r="D10594" s="27" t="s">
        <v>7</v>
      </c>
      <c r="E10594" s="27" t="s">
        <v>19</v>
      </c>
      <c r="F10594" s="29"/>
      <c r="G10594" s="30">
        <f t="shared" si="192"/>
        <v>11.742916666666666</v>
      </c>
    </row>
    <row r="10595" spans="1:7" hidden="1" x14ac:dyDescent="0.25">
      <c r="A10595" s="28">
        <v>44440</v>
      </c>
      <c r="B10595" s="27" t="s">
        <v>200</v>
      </c>
      <c r="C10595" s="27" t="s">
        <v>54</v>
      </c>
      <c r="D10595" s="27" t="s">
        <v>7</v>
      </c>
      <c r="E10595" s="27" t="s">
        <v>20</v>
      </c>
      <c r="F10595" s="29"/>
      <c r="G10595" s="30">
        <f t="shared" si="192"/>
        <v>11.742916666666666</v>
      </c>
    </row>
    <row r="10596" spans="1:7" hidden="1" x14ac:dyDescent="0.25">
      <c r="A10596" s="28">
        <v>44440</v>
      </c>
      <c r="B10596" s="27" t="s">
        <v>200</v>
      </c>
      <c r="C10596" s="27" t="s">
        <v>54</v>
      </c>
      <c r="D10596" s="27" t="s">
        <v>7</v>
      </c>
      <c r="E10596" s="27" t="s">
        <v>38</v>
      </c>
      <c r="F10596" s="29"/>
      <c r="G10596" s="30">
        <f t="shared" si="192"/>
        <v>11.742916666666666</v>
      </c>
    </row>
    <row r="10597" spans="1:7" hidden="1" x14ac:dyDescent="0.25">
      <c r="A10597" s="28">
        <v>44440</v>
      </c>
      <c r="B10597" s="27" t="s">
        <v>200</v>
      </c>
      <c r="C10597" s="27" t="s">
        <v>54</v>
      </c>
      <c r="D10597" s="27" t="s">
        <v>7</v>
      </c>
      <c r="E10597" s="27" t="s">
        <v>23</v>
      </c>
      <c r="F10597" s="29"/>
      <c r="G10597" s="30">
        <f t="shared" si="192"/>
        <v>11.742916666666666</v>
      </c>
    </row>
    <row r="10598" spans="1:7" hidden="1" x14ac:dyDescent="0.25">
      <c r="A10598" s="28">
        <v>44440</v>
      </c>
      <c r="B10598" s="27" t="s">
        <v>200</v>
      </c>
      <c r="C10598" s="27" t="s">
        <v>54</v>
      </c>
      <c r="D10598" s="27" t="s">
        <v>7</v>
      </c>
      <c r="E10598" s="27" t="s">
        <v>40</v>
      </c>
      <c r="F10598" s="29"/>
      <c r="G10598" s="30">
        <f t="shared" si="192"/>
        <v>11.742916666666666</v>
      </c>
    </row>
    <row r="10599" spans="1:7" hidden="1" x14ac:dyDescent="0.25">
      <c r="A10599" s="28">
        <v>44440</v>
      </c>
      <c r="B10599" s="27" t="s">
        <v>200</v>
      </c>
      <c r="C10599" s="27" t="s">
        <v>54</v>
      </c>
      <c r="D10599" s="27" t="s">
        <v>7</v>
      </c>
      <c r="E10599" s="27" t="s">
        <v>42</v>
      </c>
      <c r="F10599" s="29"/>
      <c r="G10599" s="30">
        <f t="shared" si="192"/>
        <v>11.742916666666666</v>
      </c>
    </row>
    <row r="10600" spans="1:7" hidden="1" x14ac:dyDescent="0.25">
      <c r="A10600" s="28">
        <v>44440</v>
      </c>
      <c r="B10600" s="27" t="s">
        <v>200</v>
      </c>
      <c r="C10600" s="27" t="s">
        <v>54</v>
      </c>
      <c r="D10600" s="27" t="s">
        <v>7</v>
      </c>
      <c r="E10600" s="27" t="s">
        <v>43</v>
      </c>
      <c r="F10600" s="29"/>
      <c r="G10600" s="30">
        <f t="shared" si="192"/>
        <v>11.742916666666666</v>
      </c>
    </row>
    <row r="10601" spans="1:7" hidden="1" x14ac:dyDescent="0.25">
      <c r="A10601" s="28">
        <v>44440</v>
      </c>
      <c r="B10601" s="27" t="s">
        <v>200</v>
      </c>
      <c r="C10601" s="27" t="s">
        <v>54</v>
      </c>
      <c r="D10601" s="27" t="s">
        <v>7</v>
      </c>
      <c r="E10601" s="27" t="s">
        <v>72</v>
      </c>
      <c r="F10601" s="29"/>
      <c r="G10601" s="30">
        <f t="shared" si="192"/>
        <v>11.742916666666666</v>
      </c>
    </row>
    <row r="10602" spans="1:7" hidden="1" x14ac:dyDescent="0.25">
      <c r="A10602" s="28">
        <v>44440</v>
      </c>
      <c r="B10602" s="27" t="s">
        <v>200</v>
      </c>
      <c r="C10602" s="27" t="s">
        <v>55</v>
      </c>
      <c r="D10602" s="27" t="s">
        <v>6</v>
      </c>
      <c r="E10602" s="27" t="s">
        <v>8</v>
      </c>
      <c r="F10602" s="29"/>
      <c r="G10602" s="30">
        <f t="shared" ref="G10602:G10622" si="193">32765.9268/21</f>
        <v>1560.2822285714287</v>
      </c>
    </row>
    <row r="10603" spans="1:7" hidden="1" x14ac:dyDescent="0.25">
      <c r="A10603" s="28">
        <v>44440</v>
      </c>
      <c r="B10603" s="27" t="s">
        <v>200</v>
      </c>
      <c r="C10603" s="27" t="s">
        <v>55</v>
      </c>
      <c r="D10603" s="27" t="s">
        <v>6</v>
      </c>
      <c r="E10603" s="27" t="s">
        <v>9</v>
      </c>
      <c r="F10603" s="29"/>
      <c r="G10603" s="30">
        <f t="shared" si="193"/>
        <v>1560.2822285714287</v>
      </c>
    </row>
    <row r="10604" spans="1:7" hidden="1" x14ac:dyDescent="0.25">
      <c r="A10604" s="28">
        <v>44440</v>
      </c>
      <c r="B10604" s="27" t="s">
        <v>200</v>
      </c>
      <c r="C10604" s="27" t="s">
        <v>55</v>
      </c>
      <c r="D10604" s="27" t="s">
        <v>6</v>
      </c>
      <c r="E10604" s="27" t="s">
        <v>22</v>
      </c>
      <c r="F10604" s="29"/>
      <c r="G10604" s="30">
        <f t="shared" si="193"/>
        <v>1560.2822285714287</v>
      </c>
    </row>
    <row r="10605" spans="1:7" hidden="1" x14ac:dyDescent="0.25">
      <c r="A10605" s="28">
        <v>44440</v>
      </c>
      <c r="B10605" s="27" t="s">
        <v>200</v>
      </c>
      <c r="C10605" s="27" t="s">
        <v>55</v>
      </c>
      <c r="D10605" s="27" t="s">
        <v>6</v>
      </c>
      <c r="E10605" s="27" t="s">
        <v>39</v>
      </c>
      <c r="F10605" s="29"/>
      <c r="G10605" s="30">
        <f t="shared" si="193"/>
        <v>1560.2822285714287</v>
      </c>
    </row>
    <row r="10606" spans="1:7" hidden="1" x14ac:dyDescent="0.25">
      <c r="A10606" s="28">
        <v>44440</v>
      </c>
      <c r="B10606" s="27" t="s">
        <v>200</v>
      </c>
      <c r="C10606" s="27" t="s">
        <v>55</v>
      </c>
      <c r="D10606" s="27" t="s">
        <v>6</v>
      </c>
      <c r="E10606" s="27" t="s">
        <v>64</v>
      </c>
      <c r="F10606" s="29"/>
      <c r="G10606" s="30">
        <f t="shared" si="193"/>
        <v>1560.2822285714287</v>
      </c>
    </row>
    <row r="10607" spans="1:7" hidden="1" x14ac:dyDescent="0.25">
      <c r="A10607" s="28">
        <v>44440</v>
      </c>
      <c r="B10607" s="27" t="s">
        <v>200</v>
      </c>
      <c r="C10607" s="27" t="s">
        <v>55</v>
      </c>
      <c r="D10607" s="27" t="s">
        <v>6</v>
      </c>
      <c r="E10607" s="27" t="s">
        <v>21</v>
      </c>
      <c r="F10607" s="29"/>
      <c r="G10607" s="30">
        <f t="shared" si="193"/>
        <v>1560.2822285714287</v>
      </c>
    </row>
    <row r="10608" spans="1:7" hidden="1" x14ac:dyDescent="0.25">
      <c r="A10608" s="28">
        <v>44440</v>
      </c>
      <c r="B10608" s="27" t="s">
        <v>200</v>
      </c>
      <c r="C10608" s="27" t="s">
        <v>55</v>
      </c>
      <c r="D10608" s="27" t="s">
        <v>6</v>
      </c>
      <c r="E10608" s="27" t="s">
        <v>41</v>
      </c>
      <c r="F10608" s="29"/>
      <c r="G10608" s="30">
        <f t="shared" si="193"/>
        <v>1560.2822285714287</v>
      </c>
    </row>
    <row r="10609" spans="1:7" hidden="1" x14ac:dyDescent="0.25">
      <c r="A10609" s="28">
        <v>44440</v>
      </c>
      <c r="B10609" s="27" t="s">
        <v>200</v>
      </c>
      <c r="C10609" s="27" t="s">
        <v>55</v>
      </c>
      <c r="D10609" s="27" t="s">
        <v>6</v>
      </c>
      <c r="E10609" s="27" t="s">
        <v>10</v>
      </c>
      <c r="F10609" s="29"/>
      <c r="G10609" s="30">
        <f t="shared" si="193"/>
        <v>1560.2822285714287</v>
      </c>
    </row>
    <row r="10610" spans="1:7" hidden="1" x14ac:dyDescent="0.25">
      <c r="A10610" s="28">
        <v>44440</v>
      </c>
      <c r="B10610" s="27" t="s">
        <v>200</v>
      </c>
      <c r="C10610" s="27" t="s">
        <v>55</v>
      </c>
      <c r="D10610" s="27" t="s">
        <v>6</v>
      </c>
      <c r="E10610" s="27" t="s">
        <v>11</v>
      </c>
      <c r="F10610" s="29"/>
      <c r="G10610" s="30">
        <f t="shared" si="193"/>
        <v>1560.2822285714287</v>
      </c>
    </row>
    <row r="10611" spans="1:7" hidden="1" x14ac:dyDescent="0.25">
      <c r="A10611" s="28">
        <v>44440</v>
      </c>
      <c r="B10611" s="27" t="s">
        <v>200</v>
      </c>
      <c r="C10611" s="27" t="s">
        <v>55</v>
      </c>
      <c r="D10611" s="27" t="s">
        <v>6</v>
      </c>
      <c r="E10611" s="27" t="s">
        <v>12</v>
      </c>
      <c r="F10611" s="29"/>
      <c r="G10611" s="30">
        <f t="shared" si="193"/>
        <v>1560.2822285714287</v>
      </c>
    </row>
    <row r="10612" spans="1:7" hidden="1" x14ac:dyDescent="0.25">
      <c r="A10612" s="28">
        <v>44440</v>
      </c>
      <c r="B10612" s="27" t="s">
        <v>200</v>
      </c>
      <c r="C10612" s="27" t="s">
        <v>55</v>
      </c>
      <c r="D10612" s="27" t="s">
        <v>6</v>
      </c>
      <c r="E10612" s="27" t="s">
        <v>13</v>
      </c>
      <c r="F10612" s="29"/>
      <c r="G10612" s="30">
        <f t="shared" si="193"/>
        <v>1560.2822285714287</v>
      </c>
    </row>
    <row r="10613" spans="1:7" hidden="1" x14ac:dyDescent="0.25">
      <c r="A10613" s="28">
        <v>44440</v>
      </c>
      <c r="B10613" s="27" t="s">
        <v>200</v>
      </c>
      <c r="C10613" s="27" t="s">
        <v>55</v>
      </c>
      <c r="D10613" s="27" t="s">
        <v>6</v>
      </c>
      <c r="E10613" s="27" t="s">
        <v>14</v>
      </c>
      <c r="F10613" s="29"/>
      <c r="G10613" s="30">
        <f t="shared" si="193"/>
        <v>1560.2822285714287</v>
      </c>
    </row>
    <row r="10614" spans="1:7" hidden="1" x14ac:dyDescent="0.25">
      <c r="A10614" s="28">
        <v>44440</v>
      </c>
      <c r="B10614" s="27" t="s">
        <v>200</v>
      </c>
      <c r="C10614" s="27" t="s">
        <v>55</v>
      </c>
      <c r="D10614" s="27" t="s">
        <v>6</v>
      </c>
      <c r="E10614" s="27" t="s">
        <v>15</v>
      </c>
      <c r="F10614" s="29"/>
      <c r="G10614" s="30">
        <f t="shared" si="193"/>
        <v>1560.2822285714287</v>
      </c>
    </row>
    <row r="10615" spans="1:7" hidden="1" x14ac:dyDescent="0.25">
      <c r="A10615" s="28">
        <v>44440</v>
      </c>
      <c r="B10615" s="27" t="s">
        <v>200</v>
      </c>
      <c r="C10615" s="27" t="s">
        <v>55</v>
      </c>
      <c r="D10615" s="27" t="s">
        <v>6</v>
      </c>
      <c r="E10615" s="27" t="s">
        <v>16</v>
      </c>
      <c r="F10615" s="29"/>
      <c r="G10615" s="30">
        <f t="shared" si="193"/>
        <v>1560.2822285714287</v>
      </c>
    </row>
    <row r="10616" spans="1:7" hidden="1" x14ac:dyDescent="0.25">
      <c r="A10616" s="28">
        <v>44440</v>
      </c>
      <c r="B10616" s="27" t="s">
        <v>200</v>
      </c>
      <c r="C10616" s="27" t="s">
        <v>55</v>
      </c>
      <c r="D10616" s="27" t="s">
        <v>6</v>
      </c>
      <c r="E10616" s="27" t="s">
        <v>17</v>
      </c>
      <c r="F10616" s="29"/>
      <c r="G10616" s="30">
        <f t="shared" si="193"/>
        <v>1560.2822285714287</v>
      </c>
    </row>
    <row r="10617" spans="1:7" hidden="1" x14ac:dyDescent="0.25">
      <c r="A10617" s="28">
        <v>44440</v>
      </c>
      <c r="B10617" s="27" t="s">
        <v>200</v>
      </c>
      <c r="C10617" s="27" t="s">
        <v>55</v>
      </c>
      <c r="D10617" s="27" t="s">
        <v>6</v>
      </c>
      <c r="E10617" s="27" t="s">
        <v>18</v>
      </c>
      <c r="F10617" s="29"/>
      <c r="G10617" s="30">
        <f t="shared" si="193"/>
        <v>1560.2822285714287</v>
      </c>
    </row>
    <row r="10618" spans="1:7" hidden="1" x14ac:dyDescent="0.25">
      <c r="A10618" s="28">
        <v>44440</v>
      </c>
      <c r="B10618" s="27" t="s">
        <v>200</v>
      </c>
      <c r="C10618" s="27" t="s">
        <v>55</v>
      </c>
      <c r="D10618" s="27" t="s">
        <v>6</v>
      </c>
      <c r="E10618" s="27" t="s">
        <v>19</v>
      </c>
      <c r="F10618" s="29"/>
      <c r="G10618" s="30">
        <f t="shared" si="193"/>
        <v>1560.2822285714287</v>
      </c>
    </row>
    <row r="10619" spans="1:7" hidden="1" x14ac:dyDescent="0.25">
      <c r="A10619" s="28">
        <v>44440</v>
      </c>
      <c r="B10619" s="27" t="s">
        <v>200</v>
      </c>
      <c r="C10619" s="27" t="s">
        <v>55</v>
      </c>
      <c r="D10619" s="27" t="s">
        <v>6</v>
      </c>
      <c r="E10619" s="27" t="s">
        <v>20</v>
      </c>
      <c r="F10619" s="29"/>
      <c r="G10619" s="30">
        <f t="shared" si="193"/>
        <v>1560.2822285714287</v>
      </c>
    </row>
    <row r="10620" spans="1:7" hidden="1" x14ac:dyDescent="0.25">
      <c r="A10620" s="28">
        <v>44440</v>
      </c>
      <c r="B10620" s="27" t="s">
        <v>200</v>
      </c>
      <c r="C10620" s="27" t="s">
        <v>55</v>
      </c>
      <c r="D10620" s="27" t="s">
        <v>6</v>
      </c>
      <c r="E10620" s="27" t="s">
        <v>38</v>
      </c>
      <c r="F10620" s="29"/>
      <c r="G10620" s="30">
        <f t="shared" si="193"/>
        <v>1560.2822285714287</v>
      </c>
    </row>
    <row r="10621" spans="1:7" hidden="1" x14ac:dyDescent="0.25">
      <c r="A10621" s="28">
        <v>44440</v>
      </c>
      <c r="B10621" s="27" t="s">
        <v>200</v>
      </c>
      <c r="C10621" s="27" t="s">
        <v>55</v>
      </c>
      <c r="D10621" s="27" t="s">
        <v>6</v>
      </c>
      <c r="E10621" s="27" t="s">
        <v>23</v>
      </c>
      <c r="F10621" s="29"/>
      <c r="G10621" s="30">
        <f t="shared" si="193"/>
        <v>1560.2822285714287</v>
      </c>
    </row>
    <row r="10622" spans="1:7" hidden="1" x14ac:dyDescent="0.25">
      <c r="A10622" s="28">
        <v>44440</v>
      </c>
      <c r="B10622" s="27" t="s">
        <v>200</v>
      </c>
      <c r="C10622" s="27" t="s">
        <v>55</v>
      </c>
      <c r="D10622" s="27" t="s">
        <v>6</v>
      </c>
      <c r="E10622" s="27" t="s">
        <v>40</v>
      </c>
      <c r="F10622" s="29"/>
      <c r="G10622" s="30">
        <f t="shared" si="193"/>
        <v>1560.2822285714287</v>
      </c>
    </row>
    <row r="10623" spans="1:7" hidden="1" x14ac:dyDescent="0.25">
      <c r="A10623" s="28">
        <v>44440</v>
      </c>
      <c r="B10623" s="27" t="s">
        <v>200</v>
      </c>
      <c r="C10623" s="27" t="s">
        <v>183</v>
      </c>
      <c r="D10623" s="27" t="s">
        <v>7</v>
      </c>
      <c r="E10623" s="27" t="s">
        <v>8</v>
      </c>
      <c r="F10623" s="29"/>
      <c r="G10623" s="30">
        <f t="shared" ref="G10623:G10646" si="194">2895.12/24</f>
        <v>120.63</v>
      </c>
    </row>
    <row r="10624" spans="1:7" hidden="1" x14ac:dyDescent="0.25">
      <c r="A10624" s="28">
        <v>44440</v>
      </c>
      <c r="B10624" s="27" t="s">
        <v>200</v>
      </c>
      <c r="C10624" s="27" t="s">
        <v>183</v>
      </c>
      <c r="D10624" s="27" t="s">
        <v>7</v>
      </c>
      <c r="E10624" s="27" t="s">
        <v>9</v>
      </c>
      <c r="F10624" s="29"/>
      <c r="G10624" s="30">
        <f t="shared" si="194"/>
        <v>120.63</v>
      </c>
    </row>
    <row r="10625" spans="1:7" hidden="1" x14ac:dyDescent="0.25">
      <c r="A10625" s="28">
        <v>44440</v>
      </c>
      <c r="B10625" s="27" t="s">
        <v>200</v>
      </c>
      <c r="C10625" s="27" t="s">
        <v>183</v>
      </c>
      <c r="D10625" s="27" t="s">
        <v>7</v>
      </c>
      <c r="E10625" s="27" t="s">
        <v>22</v>
      </c>
      <c r="F10625" s="29"/>
      <c r="G10625" s="30">
        <f t="shared" si="194"/>
        <v>120.63</v>
      </c>
    </row>
    <row r="10626" spans="1:7" hidden="1" x14ac:dyDescent="0.25">
      <c r="A10626" s="28">
        <v>44440</v>
      </c>
      <c r="B10626" s="27" t="s">
        <v>200</v>
      </c>
      <c r="C10626" s="27" t="s">
        <v>183</v>
      </c>
      <c r="D10626" s="27" t="s">
        <v>7</v>
      </c>
      <c r="E10626" s="27" t="s">
        <v>39</v>
      </c>
      <c r="F10626" s="29"/>
      <c r="G10626" s="30">
        <f t="shared" si="194"/>
        <v>120.63</v>
      </c>
    </row>
    <row r="10627" spans="1:7" hidden="1" x14ac:dyDescent="0.25">
      <c r="A10627" s="28">
        <v>44440</v>
      </c>
      <c r="B10627" s="27" t="s">
        <v>200</v>
      </c>
      <c r="C10627" s="27" t="s">
        <v>183</v>
      </c>
      <c r="D10627" s="27" t="s">
        <v>7</v>
      </c>
      <c r="E10627" s="27" t="s">
        <v>64</v>
      </c>
      <c r="F10627" s="29"/>
      <c r="G10627" s="30">
        <f t="shared" si="194"/>
        <v>120.63</v>
      </c>
    </row>
    <row r="10628" spans="1:7" hidden="1" x14ac:dyDescent="0.25">
      <c r="A10628" s="28">
        <v>44440</v>
      </c>
      <c r="B10628" s="27" t="s">
        <v>200</v>
      </c>
      <c r="C10628" s="27" t="s">
        <v>183</v>
      </c>
      <c r="D10628" s="27" t="s">
        <v>7</v>
      </c>
      <c r="E10628" s="27" t="s">
        <v>21</v>
      </c>
      <c r="F10628" s="29"/>
      <c r="G10628" s="30">
        <f t="shared" si="194"/>
        <v>120.63</v>
      </c>
    </row>
    <row r="10629" spans="1:7" hidden="1" x14ac:dyDescent="0.25">
      <c r="A10629" s="28">
        <v>44440</v>
      </c>
      <c r="B10629" s="27" t="s">
        <v>200</v>
      </c>
      <c r="C10629" s="27" t="s">
        <v>183</v>
      </c>
      <c r="D10629" s="27" t="s">
        <v>7</v>
      </c>
      <c r="E10629" s="27" t="s">
        <v>41</v>
      </c>
      <c r="F10629" s="29"/>
      <c r="G10629" s="30">
        <f t="shared" si="194"/>
        <v>120.63</v>
      </c>
    </row>
    <row r="10630" spans="1:7" hidden="1" x14ac:dyDescent="0.25">
      <c r="A10630" s="28">
        <v>44440</v>
      </c>
      <c r="B10630" s="27" t="s">
        <v>200</v>
      </c>
      <c r="C10630" s="27" t="s">
        <v>183</v>
      </c>
      <c r="D10630" s="27" t="s">
        <v>7</v>
      </c>
      <c r="E10630" s="27" t="s">
        <v>10</v>
      </c>
      <c r="F10630" s="29"/>
      <c r="G10630" s="30">
        <f t="shared" si="194"/>
        <v>120.63</v>
      </c>
    </row>
    <row r="10631" spans="1:7" hidden="1" x14ac:dyDescent="0.25">
      <c r="A10631" s="28">
        <v>44440</v>
      </c>
      <c r="B10631" s="27" t="s">
        <v>200</v>
      </c>
      <c r="C10631" s="27" t="s">
        <v>183</v>
      </c>
      <c r="D10631" s="27" t="s">
        <v>7</v>
      </c>
      <c r="E10631" s="27" t="s">
        <v>11</v>
      </c>
      <c r="F10631" s="29"/>
      <c r="G10631" s="30">
        <f t="shared" si="194"/>
        <v>120.63</v>
      </c>
    </row>
    <row r="10632" spans="1:7" hidden="1" x14ac:dyDescent="0.25">
      <c r="A10632" s="28">
        <v>44440</v>
      </c>
      <c r="B10632" s="27" t="s">
        <v>200</v>
      </c>
      <c r="C10632" s="27" t="s">
        <v>183</v>
      </c>
      <c r="D10632" s="27" t="s">
        <v>7</v>
      </c>
      <c r="E10632" s="27" t="s">
        <v>12</v>
      </c>
      <c r="F10632" s="29"/>
      <c r="G10632" s="30">
        <f t="shared" si="194"/>
        <v>120.63</v>
      </c>
    </row>
    <row r="10633" spans="1:7" hidden="1" x14ac:dyDescent="0.25">
      <c r="A10633" s="28">
        <v>44440</v>
      </c>
      <c r="B10633" s="27" t="s">
        <v>200</v>
      </c>
      <c r="C10633" s="27" t="s">
        <v>183</v>
      </c>
      <c r="D10633" s="27" t="s">
        <v>7</v>
      </c>
      <c r="E10633" s="27" t="s">
        <v>13</v>
      </c>
      <c r="F10633" s="29"/>
      <c r="G10633" s="30">
        <f t="shared" si="194"/>
        <v>120.63</v>
      </c>
    </row>
    <row r="10634" spans="1:7" hidden="1" x14ac:dyDescent="0.25">
      <c r="A10634" s="28">
        <v>44440</v>
      </c>
      <c r="B10634" s="27" t="s">
        <v>200</v>
      </c>
      <c r="C10634" s="27" t="s">
        <v>183</v>
      </c>
      <c r="D10634" s="27" t="s">
        <v>7</v>
      </c>
      <c r="E10634" s="27" t="s">
        <v>14</v>
      </c>
      <c r="F10634" s="29"/>
      <c r="G10634" s="30">
        <f t="shared" si="194"/>
        <v>120.63</v>
      </c>
    </row>
    <row r="10635" spans="1:7" hidden="1" x14ac:dyDescent="0.25">
      <c r="A10635" s="28">
        <v>44440</v>
      </c>
      <c r="B10635" s="27" t="s">
        <v>200</v>
      </c>
      <c r="C10635" s="27" t="s">
        <v>183</v>
      </c>
      <c r="D10635" s="27" t="s">
        <v>7</v>
      </c>
      <c r="E10635" s="27" t="s">
        <v>15</v>
      </c>
      <c r="F10635" s="29"/>
      <c r="G10635" s="30">
        <f t="shared" si="194"/>
        <v>120.63</v>
      </c>
    </row>
    <row r="10636" spans="1:7" hidden="1" x14ac:dyDescent="0.25">
      <c r="A10636" s="28">
        <v>44440</v>
      </c>
      <c r="B10636" s="27" t="s">
        <v>200</v>
      </c>
      <c r="C10636" s="27" t="s">
        <v>183</v>
      </c>
      <c r="D10636" s="27" t="s">
        <v>7</v>
      </c>
      <c r="E10636" s="27" t="s">
        <v>16</v>
      </c>
      <c r="F10636" s="29"/>
      <c r="G10636" s="30">
        <f t="shared" si="194"/>
        <v>120.63</v>
      </c>
    </row>
    <row r="10637" spans="1:7" hidden="1" x14ac:dyDescent="0.25">
      <c r="A10637" s="28">
        <v>44440</v>
      </c>
      <c r="B10637" s="27" t="s">
        <v>200</v>
      </c>
      <c r="C10637" s="27" t="s">
        <v>183</v>
      </c>
      <c r="D10637" s="27" t="s">
        <v>7</v>
      </c>
      <c r="E10637" s="27" t="s">
        <v>17</v>
      </c>
      <c r="F10637" s="29"/>
      <c r="G10637" s="30">
        <f t="shared" si="194"/>
        <v>120.63</v>
      </c>
    </row>
    <row r="10638" spans="1:7" hidden="1" x14ac:dyDescent="0.25">
      <c r="A10638" s="28">
        <v>44440</v>
      </c>
      <c r="B10638" s="27" t="s">
        <v>200</v>
      </c>
      <c r="C10638" s="27" t="s">
        <v>183</v>
      </c>
      <c r="D10638" s="27" t="s">
        <v>7</v>
      </c>
      <c r="E10638" s="27" t="s">
        <v>18</v>
      </c>
      <c r="F10638" s="29"/>
      <c r="G10638" s="30">
        <f t="shared" si="194"/>
        <v>120.63</v>
      </c>
    </row>
    <row r="10639" spans="1:7" hidden="1" x14ac:dyDescent="0.25">
      <c r="A10639" s="28">
        <v>44440</v>
      </c>
      <c r="B10639" s="27" t="s">
        <v>200</v>
      </c>
      <c r="C10639" s="27" t="s">
        <v>183</v>
      </c>
      <c r="D10639" s="27" t="s">
        <v>7</v>
      </c>
      <c r="E10639" s="27" t="s">
        <v>19</v>
      </c>
      <c r="F10639" s="29"/>
      <c r="G10639" s="30">
        <f t="shared" si="194"/>
        <v>120.63</v>
      </c>
    </row>
    <row r="10640" spans="1:7" hidden="1" x14ac:dyDescent="0.25">
      <c r="A10640" s="28">
        <v>44440</v>
      </c>
      <c r="B10640" s="27" t="s">
        <v>200</v>
      </c>
      <c r="C10640" s="27" t="s">
        <v>183</v>
      </c>
      <c r="D10640" s="27" t="s">
        <v>7</v>
      </c>
      <c r="E10640" s="27" t="s">
        <v>20</v>
      </c>
      <c r="F10640" s="29"/>
      <c r="G10640" s="30">
        <f t="shared" si="194"/>
        <v>120.63</v>
      </c>
    </row>
    <row r="10641" spans="1:7" hidden="1" x14ac:dyDescent="0.25">
      <c r="A10641" s="28">
        <v>44440</v>
      </c>
      <c r="B10641" s="27" t="s">
        <v>200</v>
      </c>
      <c r="C10641" s="27" t="s">
        <v>183</v>
      </c>
      <c r="D10641" s="27" t="s">
        <v>7</v>
      </c>
      <c r="E10641" s="27" t="s">
        <v>38</v>
      </c>
      <c r="F10641" s="29"/>
      <c r="G10641" s="30">
        <f t="shared" si="194"/>
        <v>120.63</v>
      </c>
    </row>
    <row r="10642" spans="1:7" hidden="1" x14ac:dyDescent="0.25">
      <c r="A10642" s="28">
        <v>44440</v>
      </c>
      <c r="B10642" s="27" t="s">
        <v>200</v>
      </c>
      <c r="C10642" s="27" t="s">
        <v>183</v>
      </c>
      <c r="D10642" s="27" t="s">
        <v>7</v>
      </c>
      <c r="E10642" s="27" t="s">
        <v>23</v>
      </c>
      <c r="F10642" s="29"/>
      <c r="G10642" s="30">
        <f t="shared" si="194"/>
        <v>120.63</v>
      </c>
    </row>
    <row r="10643" spans="1:7" hidden="1" x14ac:dyDescent="0.25">
      <c r="A10643" s="28">
        <v>44440</v>
      </c>
      <c r="B10643" s="27" t="s">
        <v>200</v>
      </c>
      <c r="C10643" s="27" t="s">
        <v>183</v>
      </c>
      <c r="D10643" s="27" t="s">
        <v>7</v>
      </c>
      <c r="E10643" s="27" t="s">
        <v>40</v>
      </c>
      <c r="F10643" s="29"/>
      <c r="G10643" s="30">
        <f t="shared" si="194"/>
        <v>120.63</v>
      </c>
    </row>
    <row r="10644" spans="1:7" hidden="1" x14ac:dyDescent="0.25">
      <c r="A10644" s="28">
        <v>44440</v>
      </c>
      <c r="B10644" s="27" t="s">
        <v>200</v>
      </c>
      <c r="C10644" s="27" t="s">
        <v>183</v>
      </c>
      <c r="D10644" s="27" t="s">
        <v>7</v>
      </c>
      <c r="E10644" s="27" t="s">
        <v>42</v>
      </c>
      <c r="F10644" s="29"/>
      <c r="G10644" s="30">
        <f t="shared" si="194"/>
        <v>120.63</v>
      </c>
    </row>
    <row r="10645" spans="1:7" hidden="1" x14ac:dyDescent="0.25">
      <c r="A10645" s="28">
        <v>44440</v>
      </c>
      <c r="B10645" s="27" t="s">
        <v>200</v>
      </c>
      <c r="C10645" s="27" t="s">
        <v>183</v>
      </c>
      <c r="D10645" s="27" t="s">
        <v>7</v>
      </c>
      <c r="E10645" s="27" t="s">
        <v>43</v>
      </c>
      <c r="F10645" s="29"/>
      <c r="G10645" s="30">
        <f t="shared" si="194"/>
        <v>120.63</v>
      </c>
    </row>
    <row r="10646" spans="1:7" hidden="1" x14ac:dyDescent="0.25">
      <c r="A10646" s="28">
        <v>44440</v>
      </c>
      <c r="B10646" s="27" t="s">
        <v>200</v>
      </c>
      <c r="C10646" s="27" t="s">
        <v>183</v>
      </c>
      <c r="D10646" s="27" t="s">
        <v>7</v>
      </c>
      <c r="E10646" s="27" t="s">
        <v>72</v>
      </c>
      <c r="F10646" s="29"/>
      <c r="G10646" s="30">
        <f t="shared" si="194"/>
        <v>120.63</v>
      </c>
    </row>
    <row r="10647" spans="1:7" hidden="1" x14ac:dyDescent="0.25">
      <c r="A10647" s="28">
        <v>44440</v>
      </c>
      <c r="B10647" s="27" t="s">
        <v>200</v>
      </c>
      <c r="C10647" s="27" t="s">
        <v>56</v>
      </c>
      <c r="D10647" s="27" t="s">
        <v>6</v>
      </c>
      <c r="E10647" s="27" t="s">
        <v>8</v>
      </c>
      <c r="F10647" s="29"/>
      <c r="G10647" s="30">
        <f t="shared" ref="G10647:G10667" si="195">48439.4557777778/21</f>
        <v>2306.6407513227523</v>
      </c>
    </row>
    <row r="10648" spans="1:7" hidden="1" x14ac:dyDescent="0.25">
      <c r="A10648" s="28">
        <v>44440</v>
      </c>
      <c r="B10648" s="27" t="s">
        <v>200</v>
      </c>
      <c r="C10648" s="27" t="s">
        <v>56</v>
      </c>
      <c r="D10648" s="27" t="s">
        <v>6</v>
      </c>
      <c r="E10648" s="27" t="s">
        <v>9</v>
      </c>
      <c r="F10648" s="29"/>
      <c r="G10648" s="30">
        <f t="shared" si="195"/>
        <v>2306.6407513227523</v>
      </c>
    </row>
    <row r="10649" spans="1:7" hidden="1" x14ac:dyDescent="0.25">
      <c r="A10649" s="28">
        <v>44440</v>
      </c>
      <c r="B10649" s="27" t="s">
        <v>200</v>
      </c>
      <c r="C10649" s="27" t="s">
        <v>56</v>
      </c>
      <c r="D10649" s="27" t="s">
        <v>6</v>
      </c>
      <c r="E10649" s="27" t="s">
        <v>22</v>
      </c>
      <c r="F10649" s="29"/>
      <c r="G10649" s="30">
        <f t="shared" si="195"/>
        <v>2306.6407513227523</v>
      </c>
    </row>
    <row r="10650" spans="1:7" hidden="1" x14ac:dyDescent="0.25">
      <c r="A10650" s="28">
        <v>44440</v>
      </c>
      <c r="B10650" s="27" t="s">
        <v>200</v>
      </c>
      <c r="C10650" s="27" t="s">
        <v>56</v>
      </c>
      <c r="D10650" s="27" t="s">
        <v>6</v>
      </c>
      <c r="E10650" s="27" t="s">
        <v>39</v>
      </c>
      <c r="F10650" s="29"/>
      <c r="G10650" s="30">
        <f t="shared" si="195"/>
        <v>2306.6407513227523</v>
      </c>
    </row>
    <row r="10651" spans="1:7" hidden="1" x14ac:dyDescent="0.25">
      <c r="A10651" s="28">
        <v>44440</v>
      </c>
      <c r="B10651" s="27" t="s">
        <v>200</v>
      </c>
      <c r="C10651" s="27" t="s">
        <v>56</v>
      </c>
      <c r="D10651" s="27" t="s">
        <v>6</v>
      </c>
      <c r="E10651" s="27" t="s">
        <v>64</v>
      </c>
      <c r="F10651" s="29"/>
      <c r="G10651" s="30">
        <f t="shared" si="195"/>
        <v>2306.6407513227523</v>
      </c>
    </row>
    <row r="10652" spans="1:7" hidden="1" x14ac:dyDescent="0.25">
      <c r="A10652" s="28">
        <v>44440</v>
      </c>
      <c r="B10652" s="27" t="s">
        <v>200</v>
      </c>
      <c r="C10652" s="27" t="s">
        <v>56</v>
      </c>
      <c r="D10652" s="27" t="s">
        <v>6</v>
      </c>
      <c r="E10652" s="27" t="s">
        <v>21</v>
      </c>
      <c r="F10652" s="29"/>
      <c r="G10652" s="30">
        <f t="shared" si="195"/>
        <v>2306.6407513227523</v>
      </c>
    </row>
    <row r="10653" spans="1:7" hidden="1" x14ac:dyDescent="0.25">
      <c r="A10653" s="28">
        <v>44440</v>
      </c>
      <c r="B10653" s="27" t="s">
        <v>200</v>
      </c>
      <c r="C10653" s="27" t="s">
        <v>56</v>
      </c>
      <c r="D10653" s="27" t="s">
        <v>6</v>
      </c>
      <c r="E10653" s="27" t="s">
        <v>41</v>
      </c>
      <c r="F10653" s="29"/>
      <c r="G10653" s="30">
        <f t="shared" si="195"/>
        <v>2306.6407513227523</v>
      </c>
    </row>
    <row r="10654" spans="1:7" hidden="1" x14ac:dyDescent="0.25">
      <c r="A10654" s="28">
        <v>44440</v>
      </c>
      <c r="B10654" s="27" t="s">
        <v>200</v>
      </c>
      <c r="C10654" s="27" t="s">
        <v>56</v>
      </c>
      <c r="D10654" s="27" t="s">
        <v>6</v>
      </c>
      <c r="E10654" s="27" t="s">
        <v>10</v>
      </c>
      <c r="F10654" s="29"/>
      <c r="G10654" s="30">
        <f t="shared" si="195"/>
        <v>2306.6407513227523</v>
      </c>
    </row>
    <row r="10655" spans="1:7" hidden="1" x14ac:dyDescent="0.25">
      <c r="A10655" s="28">
        <v>44440</v>
      </c>
      <c r="B10655" s="27" t="s">
        <v>200</v>
      </c>
      <c r="C10655" s="27" t="s">
        <v>56</v>
      </c>
      <c r="D10655" s="27" t="s">
        <v>6</v>
      </c>
      <c r="E10655" s="27" t="s">
        <v>11</v>
      </c>
      <c r="F10655" s="29"/>
      <c r="G10655" s="30">
        <f t="shared" si="195"/>
        <v>2306.6407513227523</v>
      </c>
    </row>
    <row r="10656" spans="1:7" hidden="1" x14ac:dyDescent="0.25">
      <c r="A10656" s="28">
        <v>44440</v>
      </c>
      <c r="B10656" s="27" t="s">
        <v>200</v>
      </c>
      <c r="C10656" s="27" t="s">
        <v>56</v>
      </c>
      <c r="D10656" s="27" t="s">
        <v>6</v>
      </c>
      <c r="E10656" s="27" t="s">
        <v>12</v>
      </c>
      <c r="F10656" s="29"/>
      <c r="G10656" s="30">
        <f t="shared" si="195"/>
        <v>2306.6407513227523</v>
      </c>
    </row>
    <row r="10657" spans="1:7" hidden="1" x14ac:dyDescent="0.25">
      <c r="A10657" s="28">
        <v>44440</v>
      </c>
      <c r="B10657" s="27" t="s">
        <v>200</v>
      </c>
      <c r="C10657" s="27" t="s">
        <v>56</v>
      </c>
      <c r="D10657" s="27" t="s">
        <v>6</v>
      </c>
      <c r="E10657" s="27" t="s">
        <v>13</v>
      </c>
      <c r="F10657" s="29"/>
      <c r="G10657" s="30">
        <f t="shared" si="195"/>
        <v>2306.6407513227523</v>
      </c>
    </row>
    <row r="10658" spans="1:7" hidden="1" x14ac:dyDescent="0.25">
      <c r="A10658" s="28">
        <v>44440</v>
      </c>
      <c r="B10658" s="27" t="s">
        <v>200</v>
      </c>
      <c r="C10658" s="27" t="s">
        <v>56</v>
      </c>
      <c r="D10658" s="27" t="s">
        <v>6</v>
      </c>
      <c r="E10658" s="27" t="s">
        <v>14</v>
      </c>
      <c r="F10658" s="29"/>
      <c r="G10658" s="30">
        <f t="shared" si="195"/>
        <v>2306.6407513227523</v>
      </c>
    </row>
    <row r="10659" spans="1:7" hidden="1" x14ac:dyDescent="0.25">
      <c r="A10659" s="28">
        <v>44440</v>
      </c>
      <c r="B10659" s="27" t="s">
        <v>200</v>
      </c>
      <c r="C10659" s="27" t="s">
        <v>56</v>
      </c>
      <c r="D10659" s="27" t="s">
        <v>6</v>
      </c>
      <c r="E10659" s="27" t="s">
        <v>15</v>
      </c>
      <c r="F10659" s="29"/>
      <c r="G10659" s="30">
        <f t="shared" si="195"/>
        <v>2306.6407513227523</v>
      </c>
    </row>
    <row r="10660" spans="1:7" hidden="1" x14ac:dyDescent="0.25">
      <c r="A10660" s="28">
        <v>44440</v>
      </c>
      <c r="B10660" s="27" t="s">
        <v>200</v>
      </c>
      <c r="C10660" s="27" t="s">
        <v>56</v>
      </c>
      <c r="D10660" s="27" t="s">
        <v>6</v>
      </c>
      <c r="E10660" s="27" t="s">
        <v>16</v>
      </c>
      <c r="F10660" s="29"/>
      <c r="G10660" s="30">
        <f t="shared" si="195"/>
        <v>2306.6407513227523</v>
      </c>
    </row>
    <row r="10661" spans="1:7" hidden="1" x14ac:dyDescent="0.25">
      <c r="A10661" s="28">
        <v>44440</v>
      </c>
      <c r="B10661" s="27" t="s">
        <v>200</v>
      </c>
      <c r="C10661" s="27" t="s">
        <v>56</v>
      </c>
      <c r="D10661" s="27" t="s">
        <v>6</v>
      </c>
      <c r="E10661" s="27" t="s">
        <v>17</v>
      </c>
      <c r="F10661" s="29"/>
      <c r="G10661" s="30">
        <f t="shared" si="195"/>
        <v>2306.6407513227523</v>
      </c>
    </row>
    <row r="10662" spans="1:7" hidden="1" x14ac:dyDescent="0.25">
      <c r="A10662" s="28">
        <v>44440</v>
      </c>
      <c r="B10662" s="27" t="s">
        <v>200</v>
      </c>
      <c r="C10662" s="27" t="s">
        <v>56</v>
      </c>
      <c r="D10662" s="27" t="s">
        <v>6</v>
      </c>
      <c r="E10662" s="27" t="s">
        <v>18</v>
      </c>
      <c r="F10662" s="29"/>
      <c r="G10662" s="30">
        <f t="shared" si="195"/>
        <v>2306.6407513227523</v>
      </c>
    </row>
    <row r="10663" spans="1:7" hidden="1" x14ac:dyDescent="0.25">
      <c r="A10663" s="28">
        <v>44440</v>
      </c>
      <c r="B10663" s="27" t="s">
        <v>200</v>
      </c>
      <c r="C10663" s="27" t="s">
        <v>56</v>
      </c>
      <c r="D10663" s="27" t="s">
        <v>6</v>
      </c>
      <c r="E10663" s="27" t="s">
        <v>19</v>
      </c>
      <c r="F10663" s="29"/>
      <c r="G10663" s="30">
        <f t="shared" si="195"/>
        <v>2306.6407513227523</v>
      </c>
    </row>
    <row r="10664" spans="1:7" hidden="1" x14ac:dyDescent="0.25">
      <c r="A10664" s="28">
        <v>44440</v>
      </c>
      <c r="B10664" s="27" t="s">
        <v>200</v>
      </c>
      <c r="C10664" s="27" t="s">
        <v>56</v>
      </c>
      <c r="D10664" s="27" t="s">
        <v>6</v>
      </c>
      <c r="E10664" s="27" t="s">
        <v>20</v>
      </c>
      <c r="F10664" s="29"/>
      <c r="G10664" s="30">
        <f t="shared" si="195"/>
        <v>2306.6407513227523</v>
      </c>
    </row>
    <row r="10665" spans="1:7" hidden="1" x14ac:dyDescent="0.25">
      <c r="A10665" s="28">
        <v>44440</v>
      </c>
      <c r="B10665" s="27" t="s">
        <v>200</v>
      </c>
      <c r="C10665" s="27" t="s">
        <v>56</v>
      </c>
      <c r="D10665" s="27" t="s">
        <v>6</v>
      </c>
      <c r="E10665" s="27" t="s">
        <v>38</v>
      </c>
      <c r="F10665" s="29"/>
      <c r="G10665" s="30">
        <f t="shared" si="195"/>
        <v>2306.6407513227523</v>
      </c>
    </row>
    <row r="10666" spans="1:7" hidden="1" x14ac:dyDescent="0.25">
      <c r="A10666" s="28">
        <v>44440</v>
      </c>
      <c r="B10666" s="27" t="s">
        <v>200</v>
      </c>
      <c r="C10666" s="27" t="s">
        <v>56</v>
      </c>
      <c r="D10666" s="27" t="s">
        <v>6</v>
      </c>
      <c r="E10666" s="27" t="s">
        <v>23</v>
      </c>
      <c r="F10666" s="29"/>
      <c r="G10666" s="30">
        <f t="shared" si="195"/>
        <v>2306.6407513227523</v>
      </c>
    </row>
    <row r="10667" spans="1:7" hidden="1" x14ac:dyDescent="0.25">
      <c r="A10667" s="28">
        <v>44440</v>
      </c>
      <c r="B10667" s="27" t="s">
        <v>200</v>
      </c>
      <c r="C10667" s="27" t="s">
        <v>56</v>
      </c>
      <c r="D10667" s="27" t="s">
        <v>6</v>
      </c>
      <c r="E10667" s="27" t="s">
        <v>40</v>
      </c>
      <c r="F10667" s="29"/>
      <c r="G10667" s="30">
        <f t="shared" si="195"/>
        <v>2306.6407513227523</v>
      </c>
    </row>
    <row r="10668" spans="1:7" hidden="1" x14ac:dyDescent="0.25">
      <c r="A10668" s="28">
        <v>44440</v>
      </c>
      <c r="B10668" s="27" t="s">
        <v>200</v>
      </c>
      <c r="C10668" s="27" t="s">
        <v>182</v>
      </c>
      <c r="D10668" s="27" t="s">
        <v>7</v>
      </c>
      <c r="E10668" s="27" t="s">
        <v>8</v>
      </c>
      <c r="F10668" s="29"/>
      <c r="G10668" s="30">
        <f t="shared" ref="G10668:G10691" si="196">2881.57/24</f>
        <v>120.06541666666668</v>
      </c>
    </row>
    <row r="10669" spans="1:7" hidden="1" x14ac:dyDescent="0.25">
      <c r="A10669" s="28">
        <v>44440</v>
      </c>
      <c r="B10669" s="27" t="s">
        <v>200</v>
      </c>
      <c r="C10669" s="27" t="s">
        <v>182</v>
      </c>
      <c r="D10669" s="27" t="s">
        <v>7</v>
      </c>
      <c r="E10669" s="27" t="s">
        <v>9</v>
      </c>
      <c r="F10669" s="29"/>
      <c r="G10669" s="30">
        <f t="shared" si="196"/>
        <v>120.06541666666668</v>
      </c>
    </row>
    <row r="10670" spans="1:7" hidden="1" x14ac:dyDescent="0.25">
      <c r="A10670" s="28">
        <v>44440</v>
      </c>
      <c r="B10670" s="27" t="s">
        <v>200</v>
      </c>
      <c r="C10670" s="27" t="s">
        <v>182</v>
      </c>
      <c r="D10670" s="27" t="s">
        <v>7</v>
      </c>
      <c r="E10670" s="27" t="s">
        <v>22</v>
      </c>
      <c r="F10670" s="29"/>
      <c r="G10670" s="30">
        <f t="shared" si="196"/>
        <v>120.06541666666668</v>
      </c>
    </row>
    <row r="10671" spans="1:7" hidden="1" x14ac:dyDescent="0.25">
      <c r="A10671" s="28">
        <v>44440</v>
      </c>
      <c r="B10671" s="27" t="s">
        <v>200</v>
      </c>
      <c r="C10671" s="27" t="s">
        <v>182</v>
      </c>
      <c r="D10671" s="27" t="s">
        <v>7</v>
      </c>
      <c r="E10671" s="27" t="s">
        <v>39</v>
      </c>
      <c r="F10671" s="29"/>
      <c r="G10671" s="30">
        <f t="shared" si="196"/>
        <v>120.06541666666668</v>
      </c>
    </row>
    <row r="10672" spans="1:7" hidden="1" x14ac:dyDescent="0.25">
      <c r="A10672" s="28">
        <v>44440</v>
      </c>
      <c r="B10672" s="27" t="s">
        <v>200</v>
      </c>
      <c r="C10672" s="27" t="s">
        <v>182</v>
      </c>
      <c r="D10672" s="27" t="s">
        <v>7</v>
      </c>
      <c r="E10672" s="27" t="s">
        <v>64</v>
      </c>
      <c r="F10672" s="29"/>
      <c r="G10672" s="30">
        <f t="shared" si="196"/>
        <v>120.06541666666668</v>
      </c>
    </row>
    <row r="10673" spans="1:7" hidden="1" x14ac:dyDescent="0.25">
      <c r="A10673" s="28">
        <v>44440</v>
      </c>
      <c r="B10673" s="27" t="s">
        <v>200</v>
      </c>
      <c r="C10673" s="27" t="s">
        <v>182</v>
      </c>
      <c r="D10673" s="27" t="s">
        <v>7</v>
      </c>
      <c r="E10673" s="27" t="s">
        <v>21</v>
      </c>
      <c r="F10673" s="29"/>
      <c r="G10673" s="30">
        <f t="shared" si="196"/>
        <v>120.06541666666668</v>
      </c>
    </row>
    <row r="10674" spans="1:7" hidden="1" x14ac:dyDescent="0.25">
      <c r="A10674" s="28">
        <v>44440</v>
      </c>
      <c r="B10674" s="27" t="s">
        <v>200</v>
      </c>
      <c r="C10674" s="27" t="s">
        <v>182</v>
      </c>
      <c r="D10674" s="27" t="s">
        <v>7</v>
      </c>
      <c r="E10674" s="27" t="s">
        <v>41</v>
      </c>
      <c r="F10674" s="29"/>
      <c r="G10674" s="30">
        <f t="shared" si="196"/>
        <v>120.06541666666668</v>
      </c>
    </row>
    <row r="10675" spans="1:7" hidden="1" x14ac:dyDescent="0.25">
      <c r="A10675" s="28">
        <v>44440</v>
      </c>
      <c r="B10675" s="27" t="s">
        <v>200</v>
      </c>
      <c r="C10675" s="27" t="s">
        <v>182</v>
      </c>
      <c r="D10675" s="27" t="s">
        <v>7</v>
      </c>
      <c r="E10675" s="27" t="s">
        <v>10</v>
      </c>
      <c r="F10675" s="29"/>
      <c r="G10675" s="30">
        <f t="shared" si="196"/>
        <v>120.06541666666668</v>
      </c>
    </row>
    <row r="10676" spans="1:7" hidden="1" x14ac:dyDescent="0.25">
      <c r="A10676" s="28">
        <v>44440</v>
      </c>
      <c r="B10676" s="27" t="s">
        <v>200</v>
      </c>
      <c r="C10676" s="27" t="s">
        <v>182</v>
      </c>
      <c r="D10676" s="27" t="s">
        <v>7</v>
      </c>
      <c r="E10676" s="27" t="s">
        <v>11</v>
      </c>
      <c r="F10676" s="29"/>
      <c r="G10676" s="30">
        <f t="shared" si="196"/>
        <v>120.06541666666668</v>
      </c>
    </row>
    <row r="10677" spans="1:7" hidden="1" x14ac:dyDescent="0.25">
      <c r="A10677" s="28">
        <v>44440</v>
      </c>
      <c r="B10677" s="27" t="s">
        <v>200</v>
      </c>
      <c r="C10677" s="27" t="s">
        <v>182</v>
      </c>
      <c r="D10677" s="27" t="s">
        <v>7</v>
      </c>
      <c r="E10677" s="27" t="s">
        <v>12</v>
      </c>
      <c r="F10677" s="29"/>
      <c r="G10677" s="30">
        <f t="shared" si="196"/>
        <v>120.06541666666668</v>
      </c>
    </row>
    <row r="10678" spans="1:7" hidden="1" x14ac:dyDescent="0.25">
      <c r="A10678" s="28">
        <v>44440</v>
      </c>
      <c r="B10678" s="27" t="s">
        <v>200</v>
      </c>
      <c r="C10678" s="27" t="s">
        <v>182</v>
      </c>
      <c r="D10678" s="27" t="s">
        <v>7</v>
      </c>
      <c r="E10678" s="27" t="s">
        <v>13</v>
      </c>
      <c r="F10678" s="29"/>
      <c r="G10678" s="30">
        <f t="shared" si="196"/>
        <v>120.06541666666668</v>
      </c>
    </row>
    <row r="10679" spans="1:7" hidden="1" x14ac:dyDescent="0.25">
      <c r="A10679" s="28">
        <v>44440</v>
      </c>
      <c r="B10679" s="27" t="s">
        <v>200</v>
      </c>
      <c r="C10679" s="27" t="s">
        <v>182</v>
      </c>
      <c r="D10679" s="27" t="s">
        <v>7</v>
      </c>
      <c r="E10679" s="27" t="s">
        <v>14</v>
      </c>
      <c r="F10679" s="29"/>
      <c r="G10679" s="30">
        <f t="shared" si="196"/>
        <v>120.06541666666668</v>
      </c>
    </row>
    <row r="10680" spans="1:7" hidden="1" x14ac:dyDescent="0.25">
      <c r="A10680" s="28">
        <v>44440</v>
      </c>
      <c r="B10680" s="27" t="s">
        <v>200</v>
      </c>
      <c r="C10680" s="27" t="s">
        <v>182</v>
      </c>
      <c r="D10680" s="27" t="s">
        <v>7</v>
      </c>
      <c r="E10680" s="27" t="s">
        <v>15</v>
      </c>
      <c r="F10680" s="29"/>
      <c r="G10680" s="30">
        <f t="shared" si="196"/>
        <v>120.06541666666668</v>
      </c>
    </row>
    <row r="10681" spans="1:7" hidden="1" x14ac:dyDescent="0.25">
      <c r="A10681" s="28">
        <v>44440</v>
      </c>
      <c r="B10681" s="27" t="s">
        <v>200</v>
      </c>
      <c r="C10681" s="27" t="s">
        <v>182</v>
      </c>
      <c r="D10681" s="27" t="s">
        <v>7</v>
      </c>
      <c r="E10681" s="27" t="s">
        <v>16</v>
      </c>
      <c r="F10681" s="29"/>
      <c r="G10681" s="30">
        <f t="shared" si="196"/>
        <v>120.06541666666668</v>
      </c>
    </row>
    <row r="10682" spans="1:7" hidden="1" x14ac:dyDescent="0.25">
      <c r="A10682" s="28">
        <v>44440</v>
      </c>
      <c r="B10682" s="27" t="s">
        <v>200</v>
      </c>
      <c r="C10682" s="27" t="s">
        <v>182</v>
      </c>
      <c r="D10682" s="27" t="s">
        <v>7</v>
      </c>
      <c r="E10682" s="27" t="s">
        <v>17</v>
      </c>
      <c r="F10682" s="29"/>
      <c r="G10682" s="30">
        <f t="shared" si="196"/>
        <v>120.06541666666668</v>
      </c>
    </row>
    <row r="10683" spans="1:7" hidden="1" x14ac:dyDescent="0.25">
      <c r="A10683" s="28">
        <v>44440</v>
      </c>
      <c r="B10683" s="27" t="s">
        <v>200</v>
      </c>
      <c r="C10683" s="27" t="s">
        <v>182</v>
      </c>
      <c r="D10683" s="27" t="s">
        <v>7</v>
      </c>
      <c r="E10683" s="27" t="s">
        <v>18</v>
      </c>
      <c r="F10683" s="29"/>
      <c r="G10683" s="30">
        <f t="shared" si="196"/>
        <v>120.06541666666668</v>
      </c>
    </row>
    <row r="10684" spans="1:7" hidden="1" x14ac:dyDescent="0.25">
      <c r="A10684" s="28">
        <v>44440</v>
      </c>
      <c r="B10684" s="27" t="s">
        <v>200</v>
      </c>
      <c r="C10684" s="27" t="s">
        <v>182</v>
      </c>
      <c r="D10684" s="27" t="s">
        <v>7</v>
      </c>
      <c r="E10684" s="27" t="s">
        <v>19</v>
      </c>
      <c r="F10684" s="29"/>
      <c r="G10684" s="30">
        <f t="shared" si="196"/>
        <v>120.06541666666668</v>
      </c>
    </row>
    <row r="10685" spans="1:7" hidden="1" x14ac:dyDescent="0.25">
      <c r="A10685" s="28">
        <v>44440</v>
      </c>
      <c r="B10685" s="27" t="s">
        <v>200</v>
      </c>
      <c r="C10685" s="27" t="s">
        <v>182</v>
      </c>
      <c r="D10685" s="27" t="s">
        <v>7</v>
      </c>
      <c r="E10685" s="27" t="s">
        <v>20</v>
      </c>
      <c r="F10685" s="29"/>
      <c r="G10685" s="30">
        <f t="shared" si="196"/>
        <v>120.06541666666668</v>
      </c>
    </row>
    <row r="10686" spans="1:7" hidden="1" x14ac:dyDescent="0.25">
      <c r="A10686" s="28">
        <v>44440</v>
      </c>
      <c r="B10686" s="27" t="s">
        <v>200</v>
      </c>
      <c r="C10686" s="27" t="s">
        <v>182</v>
      </c>
      <c r="D10686" s="27" t="s">
        <v>7</v>
      </c>
      <c r="E10686" s="27" t="s">
        <v>38</v>
      </c>
      <c r="F10686" s="29"/>
      <c r="G10686" s="30">
        <f t="shared" si="196"/>
        <v>120.06541666666668</v>
      </c>
    </row>
    <row r="10687" spans="1:7" hidden="1" x14ac:dyDescent="0.25">
      <c r="A10687" s="28">
        <v>44440</v>
      </c>
      <c r="B10687" s="27" t="s">
        <v>200</v>
      </c>
      <c r="C10687" s="27" t="s">
        <v>182</v>
      </c>
      <c r="D10687" s="27" t="s">
        <v>7</v>
      </c>
      <c r="E10687" s="27" t="s">
        <v>23</v>
      </c>
      <c r="F10687" s="29"/>
      <c r="G10687" s="30">
        <f t="shared" si="196"/>
        <v>120.06541666666668</v>
      </c>
    </row>
    <row r="10688" spans="1:7" hidden="1" x14ac:dyDescent="0.25">
      <c r="A10688" s="28">
        <v>44440</v>
      </c>
      <c r="B10688" s="27" t="s">
        <v>200</v>
      </c>
      <c r="C10688" s="27" t="s">
        <v>182</v>
      </c>
      <c r="D10688" s="27" t="s">
        <v>7</v>
      </c>
      <c r="E10688" s="27" t="s">
        <v>40</v>
      </c>
      <c r="F10688" s="29"/>
      <c r="G10688" s="30">
        <f t="shared" si="196"/>
        <v>120.06541666666668</v>
      </c>
    </row>
    <row r="10689" spans="1:7" hidden="1" x14ac:dyDescent="0.25">
      <c r="A10689" s="28">
        <v>44440</v>
      </c>
      <c r="B10689" s="27" t="s">
        <v>200</v>
      </c>
      <c r="C10689" s="27" t="s">
        <v>182</v>
      </c>
      <c r="D10689" s="27" t="s">
        <v>7</v>
      </c>
      <c r="E10689" s="27" t="s">
        <v>42</v>
      </c>
      <c r="F10689" s="29"/>
      <c r="G10689" s="30">
        <f t="shared" si="196"/>
        <v>120.06541666666668</v>
      </c>
    </row>
    <row r="10690" spans="1:7" hidden="1" x14ac:dyDescent="0.25">
      <c r="A10690" s="28">
        <v>44440</v>
      </c>
      <c r="B10690" s="27" t="s">
        <v>200</v>
      </c>
      <c r="C10690" s="27" t="s">
        <v>182</v>
      </c>
      <c r="D10690" s="27" t="s">
        <v>7</v>
      </c>
      <c r="E10690" s="27" t="s">
        <v>43</v>
      </c>
      <c r="F10690" s="29"/>
      <c r="G10690" s="30">
        <f t="shared" si="196"/>
        <v>120.06541666666668</v>
      </c>
    </row>
    <row r="10691" spans="1:7" hidden="1" x14ac:dyDescent="0.25">
      <c r="A10691" s="28">
        <v>44440</v>
      </c>
      <c r="B10691" s="27" t="s">
        <v>200</v>
      </c>
      <c r="C10691" s="27" t="s">
        <v>182</v>
      </c>
      <c r="D10691" s="27" t="s">
        <v>7</v>
      </c>
      <c r="E10691" s="27" t="s">
        <v>72</v>
      </c>
      <c r="F10691" s="29"/>
      <c r="G10691" s="30">
        <f t="shared" si="196"/>
        <v>120.06541666666668</v>
      </c>
    </row>
    <row r="10692" spans="1:7" hidden="1" x14ac:dyDescent="0.25">
      <c r="A10692" s="28">
        <v>44440</v>
      </c>
      <c r="B10692" s="27" t="s">
        <v>35</v>
      </c>
      <c r="C10692" s="27" t="s">
        <v>50</v>
      </c>
      <c r="D10692" s="27" t="s">
        <v>7</v>
      </c>
      <c r="E10692" s="27" t="s">
        <v>8</v>
      </c>
      <c r="F10692" s="29"/>
      <c r="G10692" s="30">
        <v>621.63666666666666</v>
      </c>
    </row>
    <row r="10693" spans="1:7" hidden="1" x14ac:dyDescent="0.25">
      <c r="A10693" s="28">
        <v>44440</v>
      </c>
      <c r="B10693" s="27" t="s">
        <v>35</v>
      </c>
      <c r="C10693" s="27" t="s">
        <v>50</v>
      </c>
      <c r="D10693" s="27" t="s">
        <v>7</v>
      </c>
      <c r="E10693" s="27" t="s">
        <v>9</v>
      </c>
      <c r="F10693" s="29"/>
      <c r="G10693" s="30">
        <v>621.63666666666666</v>
      </c>
    </row>
    <row r="10694" spans="1:7" hidden="1" x14ac:dyDescent="0.25">
      <c r="A10694" s="28">
        <v>44440</v>
      </c>
      <c r="B10694" s="27" t="s">
        <v>35</v>
      </c>
      <c r="C10694" s="27" t="s">
        <v>50</v>
      </c>
      <c r="D10694" s="27" t="s">
        <v>7</v>
      </c>
      <c r="E10694" s="27" t="s">
        <v>22</v>
      </c>
      <c r="F10694" s="29"/>
      <c r="G10694" s="30">
        <v>621.63666666666666</v>
      </c>
    </row>
    <row r="10695" spans="1:7" hidden="1" x14ac:dyDescent="0.25">
      <c r="A10695" s="28">
        <v>44440</v>
      </c>
      <c r="B10695" s="27" t="s">
        <v>35</v>
      </c>
      <c r="C10695" s="27" t="s">
        <v>50</v>
      </c>
      <c r="D10695" s="27" t="s">
        <v>7</v>
      </c>
      <c r="E10695" s="27" t="s">
        <v>39</v>
      </c>
      <c r="F10695" s="29"/>
      <c r="G10695" s="30">
        <v>621.63666666666666</v>
      </c>
    </row>
    <row r="10696" spans="1:7" hidden="1" x14ac:dyDescent="0.25">
      <c r="A10696" s="28">
        <v>44440</v>
      </c>
      <c r="B10696" s="27" t="s">
        <v>35</v>
      </c>
      <c r="C10696" s="27" t="s">
        <v>50</v>
      </c>
      <c r="D10696" s="27" t="s">
        <v>7</v>
      </c>
      <c r="E10696" s="27" t="s">
        <v>64</v>
      </c>
      <c r="F10696" s="29"/>
      <c r="G10696" s="30">
        <v>621.63666666666666</v>
      </c>
    </row>
    <row r="10697" spans="1:7" hidden="1" x14ac:dyDescent="0.25">
      <c r="A10697" s="28">
        <v>44440</v>
      </c>
      <c r="B10697" s="27" t="s">
        <v>35</v>
      </c>
      <c r="C10697" s="27" t="s">
        <v>50</v>
      </c>
      <c r="D10697" s="27" t="s">
        <v>7</v>
      </c>
      <c r="E10697" s="27" t="s">
        <v>21</v>
      </c>
      <c r="F10697" s="29"/>
      <c r="G10697" s="30">
        <v>621.63666666666666</v>
      </c>
    </row>
    <row r="10698" spans="1:7" hidden="1" x14ac:dyDescent="0.25">
      <c r="A10698" s="28">
        <v>44440</v>
      </c>
      <c r="B10698" s="27" t="s">
        <v>35</v>
      </c>
      <c r="C10698" s="27" t="s">
        <v>50</v>
      </c>
      <c r="D10698" s="27" t="s">
        <v>7</v>
      </c>
      <c r="E10698" s="27" t="s">
        <v>41</v>
      </c>
      <c r="F10698" s="29"/>
      <c r="G10698" s="30">
        <v>621.63666666666666</v>
      </c>
    </row>
    <row r="10699" spans="1:7" hidden="1" x14ac:dyDescent="0.25">
      <c r="A10699" s="28">
        <v>44440</v>
      </c>
      <c r="B10699" s="27" t="s">
        <v>35</v>
      </c>
      <c r="C10699" s="27" t="s">
        <v>50</v>
      </c>
      <c r="D10699" s="27" t="s">
        <v>7</v>
      </c>
      <c r="E10699" s="27" t="s">
        <v>10</v>
      </c>
      <c r="F10699" s="29"/>
      <c r="G10699" s="30">
        <v>621.63666666666666</v>
      </c>
    </row>
    <row r="10700" spans="1:7" hidden="1" x14ac:dyDescent="0.25">
      <c r="A10700" s="28">
        <v>44440</v>
      </c>
      <c r="B10700" s="27" t="s">
        <v>35</v>
      </c>
      <c r="C10700" s="27" t="s">
        <v>50</v>
      </c>
      <c r="D10700" s="27" t="s">
        <v>7</v>
      </c>
      <c r="E10700" s="27" t="s">
        <v>11</v>
      </c>
      <c r="F10700" s="29"/>
      <c r="G10700" s="30">
        <v>621.63666666666666</v>
      </c>
    </row>
    <row r="10701" spans="1:7" hidden="1" x14ac:dyDescent="0.25">
      <c r="A10701" s="28">
        <v>44440</v>
      </c>
      <c r="B10701" s="27" t="s">
        <v>35</v>
      </c>
      <c r="C10701" s="27" t="s">
        <v>50</v>
      </c>
      <c r="D10701" s="27" t="s">
        <v>7</v>
      </c>
      <c r="E10701" s="27" t="s">
        <v>12</v>
      </c>
      <c r="F10701" s="29"/>
      <c r="G10701" s="30">
        <v>621.63666666666666</v>
      </c>
    </row>
    <row r="10702" spans="1:7" hidden="1" x14ac:dyDescent="0.25">
      <c r="A10702" s="28">
        <v>44440</v>
      </c>
      <c r="B10702" s="27" t="s">
        <v>35</v>
      </c>
      <c r="C10702" s="27" t="s">
        <v>50</v>
      </c>
      <c r="D10702" s="27" t="s">
        <v>7</v>
      </c>
      <c r="E10702" s="27" t="s">
        <v>13</v>
      </c>
      <c r="F10702" s="29"/>
      <c r="G10702" s="30">
        <v>621.63666666666666</v>
      </c>
    </row>
    <row r="10703" spans="1:7" hidden="1" x14ac:dyDescent="0.25">
      <c r="A10703" s="28">
        <v>44440</v>
      </c>
      <c r="B10703" s="27" t="s">
        <v>35</v>
      </c>
      <c r="C10703" s="27" t="s">
        <v>50</v>
      </c>
      <c r="D10703" s="27" t="s">
        <v>7</v>
      </c>
      <c r="E10703" s="27" t="s">
        <v>14</v>
      </c>
      <c r="F10703" s="29"/>
      <c r="G10703" s="30">
        <v>621.63666666666666</v>
      </c>
    </row>
    <row r="10704" spans="1:7" hidden="1" x14ac:dyDescent="0.25">
      <c r="A10704" s="28">
        <v>44440</v>
      </c>
      <c r="B10704" s="27" t="s">
        <v>35</v>
      </c>
      <c r="C10704" s="27" t="s">
        <v>50</v>
      </c>
      <c r="D10704" s="27" t="s">
        <v>7</v>
      </c>
      <c r="E10704" s="27" t="s">
        <v>15</v>
      </c>
      <c r="F10704" s="29"/>
      <c r="G10704" s="30">
        <v>621.63666666666666</v>
      </c>
    </row>
    <row r="10705" spans="1:7" hidden="1" x14ac:dyDescent="0.25">
      <c r="A10705" s="28">
        <v>44440</v>
      </c>
      <c r="B10705" s="27" t="s">
        <v>35</v>
      </c>
      <c r="C10705" s="27" t="s">
        <v>50</v>
      </c>
      <c r="D10705" s="27" t="s">
        <v>7</v>
      </c>
      <c r="E10705" s="27" t="s">
        <v>16</v>
      </c>
      <c r="F10705" s="29"/>
      <c r="G10705" s="30">
        <v>621.63666666666666</v>
      </c>
    </row>
    <row r="10706" spans="1:7" hidden="1" x14ac:dyDescent="0.25">
      <c r="A10706" s="28">
        <v>44440</v>
      </c>
      <c r="B10706" s="27" t="s">
        <v>35</v>
      </c>
      <c r="C10706" s="27" t="s">
        <v>50</v>
      </c>
      <c r="D10706" s="27" t="s">
        <v>7</v>
      </c>
      <c r="E10706" s="27" t="s">
        <v>17</v>
      </c>
      <c r="F10706" s="29"/>
      <c r="G10706" s="30">
        <v>621.63666666666666</v>
      </c>
    </row>
    <row r="10707" spans="1:7" hidden="1" x14ac:dyDescent="0.25">
      <c r="A10707" s="28">
        <v>44440</v>
      </c>
      <c r="B10707" s="27" t="s">
        <v>35</v>
      </c>
      <c r="C10707" s="27" t="s">
        <v>50</v>
      </c>
      <c r="D10707" s="27" t="s">
        <v>7</v>
      </c>
      <c r="E10707" s="27" t="s">
        <v>18</v>
      </c>
      <c r="F10707" s="29"/>
      <c r="G10707" s="30">
        <v>621.63666666666666</v>
      </c>
    </row>
    <row r="10708" spans="1:7" hidden="1" x14ac:dyDescent="0.25">
      <c r="A10708" s="28">
        <v>44440</v>
      </c>
      <c r="B10708" s="27" t="s">
        <v>35</v>
      </c>
      <c r="C10708" s="27" t="s">
        <v>50</v>
      </c>
      <c r="D10708" s="27" t="s">
        <v>7</v>
      </c>
      <c r="E10708" s="27" t="s">
        <v>19</v>
      </c>
      <c r="F10708" s="29"/>
      <c r="G10708" s="30">
        <v>621.63666666666666</v>
      </c>
    </row>
    <row r="10709" spans="1:7" hidden="1" x14ac:dyDescent="0.25">
      <c r="A10709" s="28">
        <v>44440</v>
      </c>
      <c r="B10709" s="27" t="s">
        <v>35</v>
      </c>
      <c r="C10709" s="27" t="s">
        <v>50</v>
      </c>
      <c r="D10709" s="27" t="s">
        <v>7</v>
      </c>
      <c r="E10709" s="27" t="s">
        <v>20</v>
      </c>
      <c r="F10709" s="29"/>
      <c r="G10709" s="30">
        <v>621.63666666666666</v>
      </c>
    </row>
    <row r="10710" spans="1:7" hidden="1" x14ac:dyDescent="0.25">
      <c r="A10710" s="28">
        <v>44440</v>
      </c>
      <c r="B10710" s="27" t="s">
        <v>35</v>
      </c>
      <c r="C10710" s="27" t="s">
        <v>50</v>
      </c>
      <c r="D10710" s="27" t="s">
        <v>7</v>
      </c>
      <c r="E10710" s="27" t="s">
        <v>38</v>
      </c>
      <c r="F10710" s="29"/>
      <c r="G10710" s="30">
        <v>621.63666666666666</v>
      </c>
    </row>
    <row r="10711" spans="1:7" hidden="1" x14ac:dyDescent="0.25">
      <c r="A10711" s="28">
        <v>44440</v>
      </c>
      <c r="B10711" s="27" t="s">
        <v>35</v>
      </c>
      <c r="C10711" s="27" t="s">
        <v>50</v>
      </c>
      <c r="D10711" s="27" t="s">
        <v>7</v>
      </c>
      <c r="E10711" s="27" t="s">
        <v>23</v>
      </c>
      <c r="F10711" s="29"/>
      <c r="G10711" s="30">
        <v>621.63666666666666</v>
      </c>
    </row>
    <row r="10712" spans="1:7" hidden="1" x14ac:dyDescent="0.25">
      <c r="A10712" s="28">
        <v>44440</v>
      </c>
      <c r="B10712" s="27" t="s">
        <v>35</v>
      </c>
      <c r="C10712" s="27" t="s">
        <v>50</v>
      </c>
      <c r="D10712" s="27" t="s">
        <v>7</v>
      </c>
      <c r="E10712" s="27" t="s">
        <v>40</v>
      </c>
      <c r="F10712" s="29"/>
      <c r="G10712" s="30">
        <v>621.63666666666666</v>
      </c>
    </row>
    <row r="10713" spans="1:7" hidden="1" x14ac:dyDescent="0.25">
      <c r="A10713" s="28">
        <v>44440</v>
      </c>
      <c r="B10713" s="27" t="s">
        <v>35</v>
      </c>
      <c r="C10713" s="27" t="s">
        <v>50</v>
      </c>
      <c r="D10713" s="27" t="s">
        <v>7</v>
      </c>
      <c r="E10713" s="27" t="s">
        <v>42</v>
      </c>
      <c r="F10713" s="29"/>
      <c r="G10713" s="30">
        <v>621.63666666666666</v>
      </c>
    </row>
    <row r="10714" spans="1:7" hidden="1" x14ac:dyDescent="0.25">
      <c r="A10714" s="28">
        <v>44440</v>
      </c>
      <c r="B10714" s="27" t="s">
        <v>35</v>
      </c>
      <c r="C10714" s="27" t="s">
        <v>50</v>
      </c>
      <c r="D10714" s="27" t="s">
        <v>7</v>
      </c>
      <c r="E10714" s="27" t="s">
        <v>43</v>
      </c>
      <c r="F10714" s="29"/>
      <c r="G10714" s="30">
        <v>621.63666666666666</v>
      </c>
    </row>
    <row r="10715" spans="1:7" hidden="1" x14ac:dyDescent="0.25">
      <c r="A10715" s="28">
        <v>44440</v>
      </c>
      <c r="B10715" s="27" t="s">
        <v>35</v>
      </c>
      <c r="C10715" s="27" t="s">
        <v>50</v>
      </c>
      <c r="D10715" s="27" t="s">
        <v>7</v>
      </c>
      <c r="E10715" s="27" t="s">
        <v>72</v>
      </c>
      <c r="F10715" s="29"/>
      <c r="G10715" s="30">
        <v>621.63666666666666</v>
      </c>
    </row>
    <row r="10716" spans="1:7" hidden="1" x14ac:dyDescent="0.25">
      <c r="A10716" s="28">
        <v>44440</v>
      </c>
      <c r="B10716" s="27" t="s">
        <v>34</v>
      </c>
      <c r="C10716" s="27" t="s">
        <v>50</v>
      </c>
      <c r="D10716" s="27" t="s">
        <v>6</v>
      </c>
      <c r="E10716" s="27" t="s">
        <v>8</v>
      </c>
      <c r="F10716" s="29"/>
      <c r="G10716" s="30">
        <v>512.69000000000005</v>
      </c>
    </row>
    <row r="10717" spans="1:7" hidden="1" x14ac:dyDescent="0.25">
      <c r="A10717" s="28">
        <v>44440</v>
      </c>
      <c r="B10717" s="27" t="s">
        <v>34</v>
      </c>
      <c r="C10717" s="27" t="s">
        <v>50</v>
      </c>
      <c r="D10717" s="27" t="s">
        <v>6</v>
      </c>
      <c r="E10717" s="27" t="s">
        <v>9</v>
      </c>
      <c r="F10717" s="29"/>
      <c r="G10717" s="30">
        <v>583.98</v>
      </c>
    </row>
    <row r="10718" spans="1:7" hidden="1" x14ac:dyDescent="0.25">
      <c r="A10718" s="28">
        <v>44440</v>
      </c>
      <c r="B10718" s="27" t="s">
        <v>34</v>
      </c>
      <c r="C10718" s="27" t="s">
        <v>50</v>
      </c>
      <c r="D10718" s="27" t="s">
        <v>6</v>
      </c>
      <c r="E10718" s="27" t="s">
        <v>22</v>
      </c>
      <c r="F10718" s="29"/>
      <c r="G10718" s="30">
        <v>717.29</v>
      </c>
    </row>
    <row r="10719" spans="1:7" hidden="1" x14ac:dyDescent="0.25">
      <c r="A10719" s="28">
        <v>44440</v>
      </c>
      <c r="B10719" s="27" t="s">
        <v>34</v>
      </c>
      <c r="C10719" s="27" t="s">
        <v>50</v>
      </c>
      <c r="D10719" s="27" t="s">
        <v>6</v>
      </c>
      <c r="E10719" s="27" t="s">
        <v>39</v>
      </c>
      <c r="F10719" s="29"/>
      <c r="G10719" s="30">
        <v>357.63</v>
      </c>
    </row>
    <row r="10720" spans="1:7" hidden="1" x14ac:dyDescent="0.25">
      <c r="A10720" s="28">
        <v>44440</v>
      </c>
      <c r="B10720" s="27" t="s">
        <v>34</v>
      </c>
      <c r="C10720" s="27" t="s">
        <v>50</v>
      </c>
      <c r="D10720" s="27" t="s">
        <v>6</v>
      </c>
      <c r="E10720" s="27" t="s">
        <v>64</v>
      </c>
      <c r="F10720" s="29"/>
      <c r="G10720" s="30">
        <v>632.99</v>
      </c>
    </row>
    <row r="10721" spans="1:7" hidden="1" x14ac:dyDescent="0.25">
      <c r="A10721" s="28">
        <v>44440</v>
      </c>
      <c r="B10721" s="27" t="s">
        <v>34</v>
      </c>
      <c r="C10721" s="27" t="s">
        <v>50</v>
      </c>
      <c r="D10721" s="27" t="s">
        <v>6</v>
      </c>
      <c r="E10721" s="27" t="s">
        <v>21</v>
      </c>
      <c r="F10721" s="29"/>
      <c r="G10721" s="30">
        <v>525.32000000000005</v>
      </c>
    </row>
    <row r="10722" spans="1:7" hidden="1" x14ac:dyDescent="0.25">
      <c r="A10722" s="28">
        <v>44440</v>
      </c>
      <c r="B10722" s="27" t="s">
        <v>34</v>
      </c>
      <c r="C10722" s="27" t="s">
        <v>50</v>
      </c>
      <c r="D10722" s="27" t="s">
        <v>6</v>
      </c>
      <c r="E10722" s="27" t="s">
        <v>41</v>
      </c>
      <c r="F10722" s="29"/>
      <c r="G10722" s="30">
        <v>541.32000000000005</v>
      </c>
    </row>
    <row r="10723" spans="1:7" hidden="1" x14ac:dyDescent="0.25">
      <c r="A10723" s="28">
        <v>44440</v>
      </c>
      <c r="B10723" s="27" t="s">
        <v>34</v>
      </c>
      <c r="C10723" s="27" t="s">
        <v>50</v>
      </c>
      <c r="D10723" s="27" t="s">
        <v>6</v>
      </c>
      <c r="E10723" s="27" t="s">
        <v>10</v>
      </c>
      <c r="F10723" s="29"/>
      <c r="G10723" s="30">
        <v>721.06</v>
      </c>
    </row>
    <row r="10724" spans="1:7" hidden="1" x14ac:dyDescent="0.25">
      <c r="A10724" s="28">
        <v>44440</v>
      </c>
      <c r="B10724" s="27" t="s">
        <v>34</v>
      </c>
      <c r="C10724" s="27" t="s">
        <v>50</v>
      </c>
      <c r="D10724" s="27" t="s">
        <v>6</v>
      </c>
      <c r="E10724" s="27" t="s">
        <v>11</v>
      </c>
      <c r="F10724" s="29"/>
      <c r="G10724" s="30">
        <v>309.66000000000003</v>
      </c>
    </row>
    <row r="10725" spans="1:7" hidden="1" x14ac:dyDescent="0.25">
      <c r="A10725" s="28">
        <v>44440</v>
      </c>
      <c r="B10725" s="27" t="s">
        <v>34</v>
      </c>
      <c r="C10725" s="27" t="s">
        <v>50</v>
      </c>
      <c r="D10725" s="27" t="s">
        <v>6</v>
      </c>
      <c r="E10725" s="27" t="s">
        <v>12</v>
      </c>
      <c r="F10725" s="29"/>
      <c r="G10725" s="30">
        <v>366.63</v>
      </c>
    </row>
    <row r="10726" spans="1:7" hidden="1" x14ac:dyDescent="0.25">
      <c r="A10726" s="28">
        <v>44440</v>
      </c>
      <c r="B10726" s="27" t="s">
        <v>34</v>
      </c>
      <c r="C10726" s="27" t="s">
        <v>50</v>
      </c>
      <c r="D10726" s="27" t="s">
        <v>6</v>
      </c>
      <c r="E10726" s="27" t="s">
        <v>13</v>
      </c>
      <c r="F10726" s="29"/>
      <c r="G10726" s="30">
        <v>444.8</v>
      </c>
    </row>
    <row r="10727" spans="1:7" hidden="1" x14ac:dyDescent="0.25">
      <c r="A10727" s="28">
        <v>44440</v>
      </c>
      <c r="B10727" s="27" t="s">
        <v>34</v>
      </c>
      <c r="C10727" s="27" t="s">
        <v>50</v>
      </c>
      <c r="D10727" s="27" t="s">
        <v>6</v>
      </c>
      <c r="E10727" s="27" t="s">
        <v>14</v>
      </c>
      <c r="F10727" s="29"/>
      <c r="G10727" s="30">
        <v>153.91999999999999</v>
      </c>
    </row>
    <row r="10728" spans="1:7" hidden="1" x14ac:dyDescent="0.25">
      <c r="A10728" s="28">
        <v>44440</v>
      </c>
      <c r="B10728" s="27" t="s">
        <v>34</v>
      </c>
      <c r="C10728" s="27" t="s">
        <v>50</v>
      </c>
      <c r="D10728" s="27" t="s">
        <v>6</v>
      </c>
      <c r="E10728" s="27" t="s">
        <v>15</v>
      </c>
      <c r="F10728" s="29"/>
      <c r="G10728" s="30">
        <v>377.23</v>
      </c>
    </row>
    <row r="10729" spans="1:7" hidden="1" x14ac:dyDescent="0.25">
      <c r="A10729" s="28">
        <v>44440</v>
      </c>
      <c r="B10729" s="27" t="s">
        <v>34</v>
      </c>
      <c r="C10729" s="27" t="s">
        <v>50</v>
      </c>
      <c r="D10729" s="27" t="s">
        <v>6</v>
      </c>
      <c r="E10729" s="27" t="s">
        <v>16</v>
      </c>
      <c r="F10729" s="29"/>
      <c r="G10729" s="30">
        <v>455.42</v>
      </c>
    </row>
    <row r="10730" spans="1:7" hidden="1" x14ac:dyDescent="0.25">
      <c r="A10730" s="28">
        <v>44440</v>
      </c>
      <c r="B10730" s="27" t="s">
        <v>34</v>
      </c>
      <c r="C10730" s="27" t="s">
        <v>50</v>
      </c>
      <c r="D10730" s="27" t="s">
        <v>6</v>
      </c>
      <c r="E10730" s="27" t="s">
        <v>17</v>
      </c>
      <c r="F10730" s="29"/>
      <c r="G10730" s="30">
        <v>825.43</v>
      </c>
    </row>
    <row r="10731" spans="1:7" hidden="1" x14ac:dyDescent="0.25">
      <c r="A10731" s="28">
        <v>44440</v>
      </c>
      <c r="B10731" s="27" t="s">
        <v>34</v>
      </c>
      <c r="C10731" s="27" t="s">
        <v>50</v>
      </c>
      <c r="D10731" s="27" t="s">
        <v>6</v>
      </c>
      <c r="E10731" s="27" t="s">
        <v>18</v>
      </c>
      <c r="F10731" s="29"/>
      <c r="G10731" s="30">
        <v>361.39</v>
      </c>
    </row>
    <row r="10732" spans="1:7" hidden="1" x14ac:dyDescent="0.25">
      <c r="A10732" s="28">
        <v>44440</v>
      </c>
      <c r="B10732" s="27" t="s">
        <v>34</v>
      </c>
      <c r="C10732" s="27" t="s">
        <v>50</v>
      </c>
      <c r="D10732" s="27" t="s">
        <v>6</v>
      </c>
      <c r="E10732" s="27" t="s">
        <v>19</v>
      </c>
      <c r="F10732" s="29"/>
      <c r="G10732" s="30">
        <v>492.72</v>
      </c>
    </row>
    <row r="10733" spans="1:7" hidden="1" x14ac:dyDescent="0.25">
      <c r="A10733" s="28">
        <v>44440</v>
      </c>
      <c r="B10733" s="27" t="s">
        <v>34</v>
      </c>
      <c r="C10733" s="27" t="s">
        <v>50</v>
      </c>
      <c r="D10733" s="27" t="s">
        <v>6</v>
      </c>
      <c r="E10733" s="27" t="s">
        <v>20</v>
      </c>
      <c r="F10733" s="29"/>
      <c r="G10733" s="30">
        <v>371.7</v>
      </c>
    </row>
    <row r="10734" spans="1:7" hidden="1" x14ac:dyDescent="0.25">
      <c r="A10734" s="28">
        <v>44440</v>
      </c>
      <c r="B10734" s="27" t="s">
        <v>34</v>
      </c>
      <c r="C10734" s="27" t="s">
        <v>50</v>
      </c>
      <c r="D10734" s="27" t="s">
        <v>6</v>
      </c>
      <c r="E10734" s="27" t="s">
        <v>38</v>
      </c>
      <c r="F10734" s="29"/>
      <c r="G10734" s="30">
        <v>182.93</v>
      </c>
    </row>
    <row r="10735" spans="1:7" hidden="1" x14ac:dyDescent="0.25">
      <c r="A10735" s="28">
        <v>44440</v>
      </c>
      <c r="B10735" s="27" t="s">
        <v>34</v>
      </c>
      <c r="C10735" s="27" t="s">
        <v>50</v>
      </c>
      <c r="D10735" s="27" t="s">
        <v>6</v>
      </c>
      <c r="E10735" s="27" t="s">
        <v>23</v>
      </c>
      <c r="F10735" s="29"/>
      <c r="G10735" s="30">
        <v>571.6</v>
      </c>
    </row>
    <row r="10736" spans="1:7" hidden="1" x14ac:dyDescent="0.25">
      <c r="A10736" s="28">
        <v>44440</v>
      </c>
      <c r="B10736" s="27" t="s">
        <v>34</v>
      </c>
      <c r="C10736" s="27" t="s">
        <v>50</v>
      </c>
      <c r="D10736" s="27" t="s">
        <v>6</v>
      </c>
      <c r="E10736" s="27" t="s">
        <v>40</v>
      </c>
      <c r="F10736" s="29"/>
      <c r="G10736" s="30">
        <v>169.73</v>
      </c>
    </row>
    <row r="10737" spans="1:7" hidden="1" x14ac:dyDescent="0.25">
      <c r="A10737" s="28">
        <v>44470</v>
      </c>
      <c r="B10737" s="27" t="s">
        <v>33</v>
      </c>
      <c r="C10737" s="27" t="s">
        <v>50</v>
      </c>
      <c r="D10737" s="27" t="s">
        <v>7</v>
      </c>
      <c r="E10737" s="27" t="s">
        <v>8</v>
      </c>
      <c r="F10737" s="29"/>
      <c r="G10737" s="30">
        <v>2741.4449999999997</v>
      </c>
    </row>
    <row r="10738" spans="1:7" hidden="1" x14ac:dyDescent="0.25">
      <c r="A10738" s="28">
        <v>44470</v>
      </c>
      <c r="B10738" s="27" t="s">
        <v>33</v>
      </c>
      <c r="C10738" s="27" t="s">
        <v>50</v>
      </c>
      <c r="D10738" s="27" t="s">
        <v>7</v>
      </c>
      <c r="E10738" s="27" t="s">
        <v>9</v>
      </c>
      <c r="F10738" s="29"/>
      <c r="G10738" s="30">
        <v>2741.4449999999997</v>
      </c>
    </row>
    <row r="10739" spans="1:7" hidden="1" x14ac:dyDescent="0.25">
      <c r="A10739" s="28">
        <v>44470</v>
      </c>
      <c r="B10739" s="27" t="s">
        <v>33</v>
      </c>
      <c r="C10739" s="27" t="s">
        <v>50</v>
      </c>
      <c r="D10739" s="27" t="s">
        <v>7</v>
      </c>
      <c r="E10739" s="27" t="s">
        <v>22</v>
      </c>
      <c r="F10739" s="29"/>
      <c r="G10739" s="30">
        <v>2741.4449999999997</v>
      </c>
    </row>
    <row r="10740" spans="1:7" hidden="1" x14ac:dyDescent="0.25">
      <c r="A10740" s="28">
        <v>44470</v>
      </c>
      <c r="B10740" s="27" t="s">
        <v>33</v>
      </c>
      <c r="C10740" s="27" t="s">
        <v>50</v>
      </c>
      <c r="D10740" s="27" t="s">
        <v>7</v>
      </c>
      <c r="E10740" s="27" t="s">
        <v>39</v>
      </c>
      <c r="F10740" s="29"/>
      <c r="G10740" s="30">
        <v>2741.4449999999997</v>
      </c>
    </row>
    <row r="10741" spans="1:7" hidden="1" x14ac:dyDescent="0.25">
      <c r="A10741" s="28">
        <v>44470</v>
      </c>
      <c r="B10741" s="27" t="s">
        <v>33</v>
      </c>
      <c r="C10741" s="27" t="s">
        <v>50</v>
      </c>
      <c r="D10741" s="27" t="s">
        <v>7</v>
      </c>
      <c r="E10741" s="27" t="s">
        <v>64</v>
      </c>
      <c r="F10741" s="29"/>
      <c r="G10741" s="30">
        <v>2741.4449999999997</v>
      </c>
    </row>
    <row r="10742" spans="1:7" hidden="1" x14ac:dyDescent="0.25">
      <c r="A10742" s="28">
        <v>44470</v>
      </c>
      <c r="B10742" s="27" t="s">
        <v>33</v>
      </c>
      <c r="C10742" s="27" t="s">
        <v>50</v>
      </c>
      <c r="D10742" s="27" t="s">
        <v>7</v>
      </c>
      <c r="E10742" s="27" t="s">
        <v>21</v>
      </c>
      <c r="F10742" s="29"/>
      <c r="G10742" s="30">
        <v>2741.4449999999997</v>
      </c>
    </row>
    <row r="10743" spans="1:7" hidden="1" x14ac:dyDescent="0.25">
      <c r="A10743" s="28">
        <v>44470</v>
      </c>
      <c r="B10743" s="27" t="s">
        <v>33</v>
      </c>
      <c r="C10743" s="27" t="s">
        <v>50</v>
      </c>
      <c r="D10743" s="27" t="s">
        <v>7</v>
      </c>
      <c r="E10743" s="27" t="s">
        <v>41</v>
      </c>
      <c r="F10743" s="29"/>
      <c r="G10743" s="30">
        <v>2741.4449999999997</v>
      </c>
    </row>
    <row r="10744" spans="1:7" hidden="1" x14ac:dyDescent="0.25">
      <c r="A10744" s="28">
        <v>44470</v>
      </c>
      <c r="B10744" s="27" t="s">
        <v>33</v>
      </c>
      <c r="C10744" s="27" t="s">
        <v>50</v>
      </c>
      <c r="D10744" s="27" t="s">
        <v>7</v>
      </c>
      <c r="E10744" s="27" t="s">
        <v>10</v>
      </c>
      <c r="F10744" s="29"/>
      <c r="G10744" s="30">
        <v>2741.4449999999997</v>
      </c>
    </row>
    <row r="10745" spans="1:7" hidden="1" x14ac:dyDescent="0.25">
      <c r="A10745" s="28">
        <v>44470</v>
      </c>
      <c r="B10745" s="27" t="s">
        <v>33</v>
      </c>
      <c r="C10745" s="27" t="s">
        <v>50</v>
      </c>
      <c r="D10745" s="27" t="s">
        <v>7</v>
      </c>
      <c r="E10745" s="27" t="s">
        <v>11</v>
      </c>
      <c r="F10745" s="29"/>
      <c r="G10745" s="30">
        <v>2741.4449999999997</v>
      </c>
    </row>
    <row r="10746" spans="1:7" hidden="1" x14ac:dyDescent="0.25">
      <c r="A10746" s="28">
        <v>44470</v>
      </c>
      <c r="B10746" s="27" t="s">
        <v>33</v>
      </c>
      <c r="C10746" s="27" t="s">
        <v>50</v>
      </c>
      <c r="D10746" s="27" t="s">
        <v>7</v>
      </c>
      <c r="E10746" s="27" t="s">
        <v>12</v>
      </c>
      <c r="F10746" s="29"/>
      <c r="G10746" s="30">
        <v>2741.4449999999997</v>
      </c>
    </row>
    <row r="10747" spans="1:7" hidden="1" x14ac:dyDescent="0.25">
      <c r="A10747" s="28">
        <v>44470</v>
      </c>
      <c r="B10747" s="27" t="s">
        <v>33</v>
      </c>
      <c r="C10747" s="27" t="s">
        <v>50</v>
      </c>
      <c r="D10747" s="27" t="s">
        <v>7</v>
      </c>
      <c r="E10747" s="27" t="s">
        <v>13</v>
      </c>
      <c r="F10747" s="29"/>
      <c r="G10747" s="30">
        <v>2741.4449999999997</v>
      </c>
    </row>
    <row r="10748" spans="1:7" hidden="1" x14ac:dyDescent="0.25">
      <c r="A10748" s="28">
        <v>44470</v>
      </c>
      <c r="B10748" s="27" t="s">
        <v>33</v>
      </c>
      <c r="C10748" s="27" t="s">
        <v>50</v>
      </c>
      <c r="D10748" s="27" t="s">
        <v>7</v>
      </c>
      <c r="E10748" s="27" t="s">
        <v>14</v>
      </c>
      <c r="F10748" s="29"/>
      <c r="G10748" s="30">
        <v>2741.4449999999997</v>
      </c>
    </row>
    <row r="10749" spans="1:7" hidden="1" x14ac:dyDescent="0.25">
      <c r="A10749" s="28">
        <v>44470</v>
      </c>
      <c r="B10749" s="27" t="s">
        <v>33</v>
      </c>
      <c r="C10749" s="27" t="s">
        <v>50</v>
      </c>
      <c r="D10749" s="27" t="s">
        <v>7</v>
      </c>
      <c r="E10749" s="27" t="s">
        <v>15</v>
      </c>
      <c r="F10749" s="29"/>
      <c r="G10749" s="30">
        <v>2741.4449999999997</v>
      </c>
    </row>
    <row r="10750" spans="1:7" hidden="1" x14ac:dyDescent="0.25">
      <c r="A10750" s="28">
        <v>44470</v>
      </c>
      <c r="B10750" s="27" t="s">
        <v>33</v>
      </c>
      <c r="C10750" s="27" t="s">
        <v>50</v>
      </c>
      <c r="D10750" s="27" t="s">
        <v>7</v>
      </c>
      <c r="E10750" s="27" t="s">
        <v>16</v>
      </c>
      <c r="F10750" s="29"/>
      <c r="G10750" s="30">
        <v>2741.4449999999997</v>
      </c>
    </row>
    <row r="10751" spans="1:7" hidden="1" x14ac:dyDescent="0.25">
      <c r="A10751" s="28">
        <v>44470</v>
      </c>
      <c r="B10751" s="27" t="s">
        <v>33</v>
      </c>
      <c r="C10751" s="27" t="s">
        <v>50</v>
      </c>
      <c r="D10751" s="27" t="s">
        <v>7</v>
      </c>
      <c r="E10751" s="27" t="s">
        <v>17</v>
      </c>
      <c r="F10751" s="29"/>
      <c r="G10751" s="30">
        <v>2741.4449999999997</v>
      </c>
    </row>
    <row r="10752" spans="1:7" hidden="1" x14ac:dyDescent="0.25">
      <c r="A10752" s="28">
        <v>44470</v>
      </c>
      <c r="B10752" s="27" t="s">
        <v>33</v>
      </c>
      <c r="C10752" s="27" t="s">
        <v>50</v>
      </c>
      <c r="D10752" s="27" t="s">
        <v>7</v>
      </c>
      <c r="E10752" s="27" t="s">
        <v>18</v>
      </c>
      <c r="F10752" s="29"/>
      <c r="G10752" s="30">
        <v>2741.4449999999997</v>
      </c>
    </row>
    <row r="10753" spans="1:7" hidden="1" x14ac:dyDescent="0.25">
      <c r="A10753" s="28">
        <v>44470</v>
      </c>
      <c r="B10753" s="27" t="s">
        <v>33</v>
      </c>
      <c r="C10753" s="27" t="s">
        <v>50</v>
      </c>
      <c r="D10753" s="27" t="s">
        <v>7</v>
      </c>
      <c r="E10753" s="27" t="s">
        <v>19</v>
      </c>
      <c r="F10753" s="29"/>
      <c r="G10753" s="30">
        <v>2741.4449999999997</v>
      </c>
    </row>
    <row r="10754" spans="1:7" hidden="1" x14ac:dyDescent="0.25">
      <c r="A10754" s="28">
        <v>44470</v>
      </c>
      <c r="B10754" s="27" t="s">
        <v>33</v>
      </c>
      <c r="C10754" s="27" t="s">
        <v>50</v>
      </c>
      <c r="D10754" s="27" t="s">
        <v>7</v>
      </c>
      <c r="E10754" s="27" t="s">
        <v>20</v>
      </c>
      <c r="F10754" s="29"/>
      <c r="G10754" s="30">
        <v>2741.4449999999997</v>
      </c>
    </row>
    <row r="10755" spans="1:7" hidden="1" x14ac:dyDescent="0.25">
      <c r="A10755" s="28">
        <v>44470</v>
      </c>
      <c r="B10755" s="27" t="s">
        <v>33</v>
      </c>
      <c r="C10755" s="27" t="s">
        <v>50</v>
      </c>
      <c r="D10755" s="27" t="s">
        <v>7</v>
      </c>
      <c r="E10755" s="27" t="s">
        <v>38</v>
      </c>
      <c r="F10755" s="29"/>
      <c r="G10755" s="30">
        <v>2741.4449999999997</v>
      </c>
    </row>
    <row r="10756" spans="1:7" hidden="1" x14ac:dyDescent="0.25">
      <c r="A10756" s="28">
        <v>44470</v>
      </c>
      <c r="B10756" s="27" t="s">
        <v>33</v>
      </c>
      <c r="C10756" s="27" t="s">
        <v>50</v>
      </c>
      <c r="D10756" s="27" t="s">
        <v>7</v>
      </c>
      <c r="E10756" s="27" t="s">
        <v>23</v>
      </c>
      <c r="F10756" s="29"/>
      <c r="G10756" s="30">
        <v>2741.4449999999997</v>
      </c>
    </row>
    <row r="10757" spans="1:7" hidden="1" x14ac:dyDescent="0.25">
      <c r="A10757" s="28">
        <v>44470</v>
      </c>
      <c r="B10757" s="27" t="s">
        <v>33</v>
      </c>
      <c r="C10757" s="27" t="s">
        <v>50</v>
      </c>
      <c r="D10757" s="27" t="s">
        <v>7</v>
      </c>
      <c r="E10757" s="27" t="s">
        <v>40</v>
      </c>
      <c r="F10757" s="29"/>
      <c r="G10757" s="30">
        <v>2741.4449999999997</v>
      </c>
    </row>
    <row r="10758" spans="1:7" hidden="1" x14ac:dyDescent="0.25">
      <c r="A10758" s="28">
        <v>44470</v>
      </c>
      <c r="B10758" s="27" t="s">
        <v>33</v>
      </c>
      <c r="C10758" s="27" t="s">
        <v>50</v>
      </c>
      <c r="D10758" s="27" t="s">
        <v>7</v>
      </c>
      <c r="E10758" s="27" t="s">
        <v>42</v>
      </c>
      <c r="F10758" s="29"/>
      <c r="G10758" s="30">
        <v>2741.4449999999997</v>
      </c>
    </row>
    <row r="10759" spans="1:7" hidden="1" x14ac:dyDescent="0.25">
      <c r="A10759" s="28">
        <v>44470</v>
      </c>
      <c r="B10759" s="27" t="s">
        <v>33</v>
      </c>
      <c r="C10759" s="27" t="s">
        <v>50</v>
      </c>
      <c r="D10759" s="27" t="s">
        <v>7</v>
      </c>
      <c r="E10759" s="27" t="s">
        <v>43</v>
      </c>
      <c r="F10759" s="29"/>
      <c r="G10759" s="30">
        <v>2741.4449999999997</v>
      </c>
    </row>
    <row r="10760" spans="1:7" hidden="1" x14ac:dyDescent="0.25">
      <c r="A10760" s="28">
        <v>44470</v>
      </c>
      <c r="B10760" s="27" t="s">
        <v>33</v>
      </c>
      <c r="C10760" s="27" t="s">
        <v>50</v>
      </c>
      <c r="D10760" s="27" t="s">
        <v>7</v>
      </c>
      <c r="E10760" s="27" t="s">
        <v>72</v>
      </c>
      <c r="F10760" s="29"/>
      <c r="G10760" s="30">
        <v>2741.4449999999997</v>
      </c>
    </row>
    <row r="10761" spans="1:7" hidden="1" x14ac:dyDescent="0.25">
      <c r="A10761" s="28">
        <v>44470</v>
      </c>
      <c r="B10761" s="27" t="s">
        <v>4</v>
      </c>
      <c r="C10761" s="27" t="s">
        <v>50</v>
      </c>
      <c r="D10761" s="27" t="s">
        <v>7</v>
      </c>
      <c r="E10761" s="27" t="s">
        <v>8</v>
      </c>
      <c r="F10761" s="29"/>
      <c r="G10761" s="30">
        <v>1472.31</v>
      </c>
    </row>
    <row r="10762" spans="1:7" hidden="1" x14ac:dyDescent="0.25">
      <c r="A10762" s="28">
        <v>44470</v>
      </c>
      <c r="B10762" s="27" t="s">
        <v>4</v>
      </c>
      <c r="C10762" s="27" t="s">
        <v>50</v>
      </c>
      <c r="D10762" s="27" t="s">
        <v>7</v>
      </c>
      <c r="E10762" s="27" t="s">
        <v>9</v>
      </c>
      <c r="F10762" s="29"/>
      <c r="G10762" s="30">
        <v>6951.84</v>
      </c>
    </row>
    <row r="10763" spans="1:7" hidden="1" x14ac:dyDescent="0.25">
      <c r="A10763" s="28">
        <v>44470</v>
      </c>
      <c r="B10763" s="27" t="s">
        <v>4</v>
      </c>
      <c r="C10763" s="27" t="s">
        <v>50</v>
      </c>
      <c r="D10763" s="27" t="s">
        <v>7</v>
      </c>
      <c r="E10763" s="27" t="s">
        <v>22</v>
      </c>
      <c r="F10763" s="29"/>
      <c r="G10763" s="30">
        <f>38630.52/4</f>
        <v>9657.6299999999992</v>
      </c>
    </row>
    <row r="10764" spans="1:7" hidden="1" x14ac:dyDescent="0.25">
      <c r="A10764" s="28">
        <v>44470</v>
      </c>
      <c r="B10764" s="27" t="s">
        <v>4</v>
      </c>
      <c r="C10764" s="27" t="s">
        <v>50</v>
      </c>
      <c r="D10764" s="27" t="s">
        <v>7</v>
      </c>
      <c r="E10764" s="27" t="s">
        <v>39</v>
      </c>
      <c r="F10764" s="29"/>
      <c r="G10764" s="30">
        <v>2675.74</v>
      </c>
    </row>
    <row r="10765" spans="1:7" hidden="1" x14ac:dyDescent="0.25">
      <c r="A10765" s="28">
        <v>44470</v>
      </c>
      <c r="B10765" s="27" t="s">
        <v>4</v>
      </c>
      <c r="C10765" s="27" t="s">
        <v>50</v>
      </c>
      <c r="D10765" s="27" t="s">
        <v>7</v>
      </c>
      <c r="E10765" s="27" t="s">
        <v>64</v>
      </c>
      <c r="F10765" s="29"/>
      <c r="G10765" s="30">
        <v>732.39</v>
      </c>
    </row>
    <row r="10766" spans="1:7" hidden="1" x14ac:dyDescent="0.25">
      <c r="A10766" s="28">
        <v>44470</v>
      </c>
      <c r="B10766" s="27" t="s">
        <v>4</v>
      </c>
      <c r="C10766" s="27" t="s">
        <v>50</v>
      </c>
      <c r="D10766" s="27" t="s">
        <v>7</v>
      </c>
      <c r="E10766" s="27" t="s">
        <v>21</v>
      </c>
      <c r="F10766" s="29"/>
      <c r="G10766" s="30">
        <v>3642.7200000000003</v>
      </c>
    </row>
    <row r="10767" spans="1:7" hidden="1" x14ac:dyDescent="0.25">
      <c r="A10767" s="28">
        <v>44470</v>
      </c>
      <c r="B10767" s="27" t="s">
        <v>4</v>
      </c>
      <c r="C10767" s="27" t="s">
        <v>50</v>
      </c>
      <c r="D10767" s="27" t="s">
        <v>7</v>
      </c>
      <c r="E10767" s="27" t="s">
        <v>41</v>
      </c>
      <c r="F10767" s="29"/>
      <c r="G10767" s="30">
        <v>4014.6400000000003</v>
      </c>
    </row>
    <row r="10768" spans="1:7" hidden="1" x14ac:dyDescent="0.25">
      <c r="A10768" s="28">
        <v>44470</v>
      </c>
      <c r="B10768" s="27" t="s">
        <v>4</v>
      </c>
      <c r="C10768" s="27" t="s">
        <v>50</v>
      </c>
      <c r="D10768" s="27" t="s">
        <v>7</v>
      </c>
      <c r="E10768" s="27" t="s">
        <v>10</v>
      </c>
      <c r="F10768" s="29"/>
      <c r="G10768" s="30">
        <v>6814.57</v>
      </c>
    </row>
    <row r="10769" spans="1:7" hidden="1" x14ac:dyDescent="0.25">
      <c r="A10769" s="28">
        <v>44470</v>
      </c>
      <c r="B10769" s="27" t="s">
        <v>4</v>
      </c>
      <c r="C10769" s="27" t="s">
        <v>50</v>
      </c>
      <c r="D10769" s="27" t="s">
        <v>7</v>
      </c>
      <c r="E10769" s="27" t="s">
        <v>11</v>
      </c>
      <c r="F10769" s="29"/>
      <c r="G10769" s="30">
        <v>1000.98</v>
      </c>
    </row>
    <row r="10770" spans="1:7" hidden="1" x14ac:dyDescent="0.25">
      <c r="A10770" s="28">
        <v>44470</v>
      </c>
      <c r="B10770" s="27" t="s">
        <v>4</v>
      </c>
      <c r="C10770" s="27" t="s">
        <v>50</v>
      </c>
      <c r="D10770" s="27" t="s">
        <v>7</v>
      </c>
      <c r="E10770" s="27" t="s">
        <v>12</v>
      </c>
      <c r="F10770" s="29"/>
      <c r="G10770" s="30">
        <v>1177.3699999999999</v>
      </c>
    </row>
    <row r="10771" spans="1:7" hidden="1" x14ac:dyDescent="0.25">
      <c r="A10771" s="28">
        <v>44470</v>
      </c>
      <c r="B10771" s="27" t="s">
        <v>4</v>
      </c>
      <c r="C10771" s="27" t="s">
        <v>50</v>
      </c>
      <c r="D10771" s="27" t="s">
        <v>7</v>
      </c>
      <c r="E10771" s="27" t="s">
        <v>13</v>
      </c>
      <c r="F10771" s="29"/>
      <c r="G10771" s="30">
        <f>38630.52/4</f>
        <v>9657.6299999999992</v>
      </c>
    </row>
    <row r="10772" spans="1:7" hidden="1" x14ac:dyDescent="0.25">
      <c r="A10772" s="28">
        <v>44470</v>
      </c>
      <c r="B10772" s="27" t="s">
        <v>4</v>
      </c>
      <c r="C10772" s="27" t="s">
        <v>50</v>
      </c>
      <c r="D10772" s="27" t="s">
        <v>7</v>
      </c>
      <c r="E10772" s="27" t="s">
        <v>14</v>
      </c>
      <c r="F10772" s="29"/>
      <c r="G10772" s="30">
        <v>837.99</v>
      </c>
    </row>
    <row r="10773" spans="1:7" hidden="1" x14ac:dyDescent="0.25">
      <c r="A10773" s="28">
        <v>44470</v>
      </c>
      <c r="B10773" s="27" t="s">
        <v>4</v>
      </c>
      <c r="C10773" s="27" t="s">
        <v>50</v>
      </c>
      <c r="D10773" s="27" t="s">
        <v>7</v>
      </c>
      <c r="E10773" s="27" t="s">
        <v>15</v>
      </c>
      <c r="F10773" s="29"/>
      <c r="G10773" s="30">
        <v>1425.66</v>
      </c>
    </row>
    <row r="10774" spans="1:7" hidden="1" x14ac:dyDescent="0.25">
      <c r="A10774" s="28">
        <v>44470</v>
      </c>
      <c r="B10774" s="27" t="s">
        <v>4</v>
      </c>
      <c r="C10774" s="27" t="s">
        <v>50</v>
      </c>
      <c r="D10774" s="27" t="s">
        <v>7</v>
      </c>
      <c r="E10774" s="27" t="s">
        <v>16</v>
      </c>
      <c r="F10774" s="29"/>
      <c r="G10774" s="30">
        <f>38630.52/4</f>
        <v>9657.6299999999992</v>
      </c>
    </row>
    <row r="10775" spans="1:7" hidden="1" x14ac:dyDescent="0.25">
      <c r="A10775" s="28">
        <v>44470</v>
      </c>
      <c r="B10775" s="27" t="s">
        <v>4</v>
      </c>
      <c r="C10775" s="27" t="s">
        <v>50</v>
      </c>
      <c r="D10775" s="27" t="s">
        <v>7</v>
      </c>
      <c r="E10775" s="27" t="s">
        <v>17</v>
      </c>
      <c r="F10775" s="29"/>
      <c r="G10775" s="30">
        <v>6316.51</v>
      </c>
    </row>
    <row r="10776" spans="1:7" hidden="1" x14ac:dyDescent="0.25">
      <c r="A10776" s="28">
        <v>44470</v>
      </c>
      <c r="B10776" s="27" t="s">
        <v>4</v>
      </c>
      <c r="C10776" s="27" t="s">
        <v>50</v>
      </c>
      <c r="D10776" s="27" t="s">
        <v>7</v>
      </c>
      <c r="E10776" s="27" t="s">
        <v>18</v>
      </c>
      <c r="F10776" s="29"/>
      <c r="G10776" s="30">
        <v>482.68</v>
      </c>
    </row>
    <row r="10777" spans="1:7" hidden="1" x14ac:dyDescent="0.25">
      <c r="A10777" s="28">
        <v>44470</v>
      </c>
      <c r="B10777" s="27" t="s">
        <v>4</v>
      </c>
      <c r="C10777" s="27" t="s">
        <v>50</v>
      </c>
      <c r="D10777" s="27" t="s">
        <v>7</v>
      </c>
      <c r="E10777" s="27" t="s">
        <v>19</v>
      </c>
      <c r="F10777" s="29"/>
      <c r="G10777" s="30">
        <v>4496</v>
      </c>
    </row>
    <row r="10778" spans="1:7" hidden="1" x14ac:dyDescent="0.25">
      <c r="A10778" s="28">
        <v>44470</v>
      </c>
      <c r="B10778" s="27" t="s">
        <v>4</v>
      </c>
      <c r="C10778" s="27" t="s">
        <v>50</v>
      </c>
      <c r="D10778" s="27" t="s">
        <v>7</v>
      </c>
      <c r="E10778" s="27" t="s">
        <v>20</v>
      </c>
      <c r="F10778" s="29"/>
      <c r="G10778" s="30">
        <v>2262.6400000000003</v>
      </c>
    </row>
    <row r="10779" spans="1:7" hidden="1" x14ac:dyDescent="0.25">
      <c r="A10779" s="28">
        <v>44470</v>
      </c>
      <c r="B10779" s="27" t="s">
        <v>4</v>
      </c>
      <c r="C10779" s="27" t="s">
        <v>50</v>
      </c>
      <c r="D10779" s="27" t="s">
        <v>7</v>
      </c>
      <c r="E10779" s="27" t="s">
        <v>38</v>
      </c>
      <c r="F10779" s="29"/>
      <c r="G10779" s="30">
        <f>38630.52/4</f>
        <v>9657.6299999999992</v>
      </c>
    </row>
    <row r="10780" spans="1:7" hidden="1" x14ac:dyDescent="0.25">
      <c r="A10780" s="28">
        <v>44470</v>
      </c>
      <c r="B10780" s="27" t="s">
        <v>4</v>
      </c>
      <c r="C10780" s="27" t="s">
        <v>50</v>
      </c>
      <c r="D10780" s="27" t="s">
        <v>7</v>
      </c>
      <c r="E10780" s="27" t="s">
        <v>23</v>
      </c>
      <c r="F10780" s="29"/>
      <c r="G10780" s="30">
        <v>3405.4700000000003</v>
      </c>
    </row>
    <row r="10781" spans="1:7" hidden="1" x14ac:dyDescent="0.25">
      <c r="A10781" s="28">
        <v>44470</v>
      </c>
      <c r="B10781" s="27" t="s">
        <v>4</v>
      </c>
      <c r="C10781" s="27" t="s">
        <v>50</v>
      </c>
      <c r="D10781" s="27" t="s">
        <v>7</v>
      </c>
      <c r="E10781" s="27" t="s">
        <v>40</v>
      </c>
      <c r="F10781" s="29"/>
      <c r="G10781" s="30">
        <v>836.32</v>
      </c>
    </row>
    <row r="10782" spans="1:7" hidden="1" x14ac:dyDescent="0.25">
      <c r="A10782" s="28">
        <v>44470</v>
      </c>
      <c r="B10782" s="27" t="s">
        <v>4</v>
      </c>
      <c r="C10782" s="27" t="s">
        <v>50</v>
      </c>
      <c r="D10782" s="27" t="s">
        <v>7</v>
      </c>
      <c r="E10782" s="27" t="s">
        <v>42</v>
      </c>
      <c r="F10782" s="29"/>
      <c r="G10782" s="30">
        <v>1148.97</v>
      </c>
    </row>
    <row r="10783" spans="1:7" hidden="1" x14ac:dyDescent="0.25">
      <c r="A10783" s="28">
        <v>44470</v>
      </c>
      <c r="B10783" s="27" t="s">
        <v>4</v>
      </c>
      <c r="C10783" s="27" t="s">
        <v>50</v>
      </c>
      <c r="D10783" s="27" t="s">
        <v>7</v>
      </c>
      <c r="E10783" s="27" t="s">
        <v>43</v>
      </c>
      <c r="F10783" s="29"/>
      <c r="G10783" s="30">
        <v>100</v>
      </c>
    </row>
    <row r="10784" spans="1:7" hidden="1" x14ac:dyDescent="0.25">
      <c r="A10784" s="28">
        <v>44470</v>
      </c>
      <c r="B10784" s="27" t="s">
        <v>4</v>
      </c>
      <c r="C10784" s="27" t="s">
        <v>50</v>
      </c>
      <c r="D10784" s="27" t="s">
        <v>7</v>
      </c>
      <c r="E10784" s="27" t="s">
        <v>72</v>
      </c>
      <c r="F10784" s="29"/>
      <c r="G10784" s="30">
        <v>2719.6</v>
      </c>
    </row>
    <row r="10785" spans="1:7" hidden="1" x14ac:dyDescent="0.25">
      <c r="A10785" s="28">
        <v>44470</v>
      </c>
      <c r="B10785" s="27" t="s">
        <v>26</v>
      </c>
      <c r="C10785" s="27" t="s">
        <v>50</v>
      </c>
      <c r="D10785" s="27" t="s">
        <v>6</v>
      </c>
      <c r="E10785" s="27" t="s">
        <v>8</v>
      </c>
      <c r="F10785" s="29"/>
      <c r="G10785" s="30">
        <v>719.18234681218985</v>
      </c>
    </row>
    <row r="10786" spans="1:7" hidden="1" x14ac:dyDescent="0.25">
      <c r="A10786" s="28">
        <v>44470</v>
      </c>
      <c r="B10786" s="27" t="s">
        <v>26</v>
      </c>
      <c r="C10786" s="27" t="s">
        <v>50</v>
      </c>
      <c r="D10786" s="27" t="s">
        <v>6</v>
      </c>
      <c r="E10786" s="27" t="s">
        <v>9</v>
      </c>
      <c r="F10786" s="29"/>
      <c r="G10786" s="30">
        <v>1595.1320615825009</v>
      </c>
    </row>
    <row r="10787" spans="1:7" hidden="1" x14ac:dyDescent="0.25">
      <c r="A10787" s="28">
        <v>44470</v>
      </c>
      <c r="B10787" s="27" t="s">
        <v>26</v>
      </c>
      <c r="C10787" s="27" t="s">
        <v>50</v>
      </c>
      <c r="D10787" s="27" t="s">
        <v>6</v>
      </c>
      <c r="E10787" s="27" t="s">
        <v>22</v>
      </c>
      <c r="F10787" s="29"/>
      <c r="G10787" s="30">
        <v>2121.8036778000037</v>
      </c>
    </row>
    <row r="10788" spans="1:7" hidden="1" x14ac:dyDescent="0.25">
      <c r="A10788" s="28">
        <v>44470</v>
      </c>
      <c r="B10788" s="27" t="s">
        <v>26</v>
      </c>
      <c r="C10788" s="27" t="s">
        <v>50</v>
      </c>
      <c r="D10788" s="27" t="s">
        <v>6</v>
      </c>
      <c r="E10788" s="27" t="s">
        <v>39</v>
      </c>
      <c r="F10788" s="29"/>
      <c r="G10788" s="30">
        <v>1858.2521149872089</v>
      </c>
    </row>
    <row r="10789" spans="1:7" hidden="1" x14ac:dyDescent="0.25">
      <c r="A10789" s="28">
        <v>44470</v>
      </c>
      <c r="B10789" s="27" t="s">
        <v>26</v>
      </c>
      <c r="C10789" s="27" t="s">
        <v>50</v>
      </c>
      <c r="D10789" s="27" t="s">
        <v>6</v>
      </c>
      <c r="E10789" s="27" t="s">
        <v>64</v>
      </c>
      <c r="F10789" s="29"/>
      <c r="G10789" s="30">
        <v>1276.3329108875935</v>
      </c>
    </row>
    <row r="10790" spans="1:7" hidden="1" x14ac:dyDescent="0.25">
      <c r="A10790" s="28">
        <v>44470</v>
      </c>
      <c r="B10790" s="27" t="s">
        <v>26</v>
      </c>
      <c r="C10790" s="27" t="s">
        <v>50</v>
      </c>
      <c r="D10790" s="27" t="s">
        <v>6</v>
      </c>
      <c r="E10790" s="27" t="s">
        <v>21</v>
      </c>
      <c r="F10790" s="29"/>
      <c r="G10790" s="30">
        <v>1372.0704648952321</v>
      </c>
    </row>
    <row r="10791" spans="1:7" hidden="1" x14ac:dyDescent="0.25">
      <c r="A10791" s="28">
        <v>44470</v>
      </c>
      <c r="B10791" s="27" t="s">
        <v>26</v>
      </c>
      <c r="C10791" s="27" t="s">
        <v>50</v>
      </c>
      <c r="D10791" s="27" t="s">
        <v>6</v>
      </c>
      <c r="E10791" s="27" t="s">
        <v>41</v>
      </c>
      <c r="F10791" s="29"/>
      <c r="G10791" s="30">
        <v>1581.4819806400055</v>
      </c>
    </row>
    <row r="10792" spans="1:7" hidden="1" x14ac:dyDescent="0.25">
      <c r="A10792" s="28">
        <v>44470</v>
      </c>
      <c r="B10792" s="27" t="s">
        <v>26</v>
      </c>
      <c r="C10792" s="27" t="s">
        <v>50</v>
      </c>
      <c r="D10792" s="27" t="s">
        <v>6</v>
      </c>
      <c r="E10792" s="27" t="s">
        <v>10</v>
      </c>
      <c r="F10792" s="29"/>
      <c r="G10792" s="30">
        <v>2188.8314725228997</v>
      </c>
    </row>
    <row r="10793" spans="1:7" hidden="1" x14ac:dyDescent="0.25">
      <c r="A10793" s="28">
        <v>44470</v>
      </c>
      <c r="B10793" s="27" t="s">
        <v>26</v>
      </c>
      <c r="C10793" s="27" t="s">
        <v>50</v>
      </c>
      <c r="D10793" s="27" t="s">
        <v>6</v>
      </c>
      <c r="E10793" s="27" t="s">
        <v>11</v>
      </c>
      <c r="F10793" s="29"/>
      <c r="G10793" s="30">
        <v>1627.7110218930932</v>
      </c>
    </row>
    <row r="10794" spans="1:7" hidden="1" x14ac:dyDescent="0.25">
      <c r="A10794" s="28">
        <v>44470</v>
      </c>
      <c r="B10794" s="27" t="s">
        <v>26</v>
      </c>
      <c r="C10794" s="27" t="s">
        <v>50</v>
      </c>
      <c r="D10794" s="27" t="s">
        <v>6</v>
      </c>
      <c r="E10794" s="27" t="s">
        <v>12</v>
      </c>
      <c r="F10794" s="29"/>
      <c r="G10794" s="30">
        <v>1714.4875638594519</v>
      </c>
    </row>
    <row r="10795" spans="1:7" hidden="1" x14ac:dyDescent="0.25">
      <c r="A10795" s="28">
        <v>44470</v>
      </c>
      <c r="B10795" s="27" t="s">
        <v>26</v>
      </c>
      <c r="C10795" s="27" t="s">
        <v>50</v>
      </c>
      <c r="D10795" s="27" t="s">
        <v>6</v>
      </c>
      <c r="E10795" s="27" t="s">
        <v>13</v>
      </c>
      <c r="F10795" s="29"/>
      <c r="G10795" s="30">
        <v>1743.4562287890469</v>
      </c>
    </row>
    <row r="10796" spans="1:7" hidden="1" x14ac:dyDescent="0.25">
      <c r="A10796" s="28">
        <v>44470</v>
      </c>
      <c r="B10796" s="27" t="s">
        <v>26</v>
      </c>
      <c r="C10796" s="27" t="s">
        <v>50</v>
      </c>
      <c r="D10796" s="27" t="s">
        <v>6</v>
      </c>
      <c r="E10796" s="27" t="s">
        <v>14</v>
      </c>
      <c r="F10796" s="29"/>
      <c r="G10796" s="30">
        <v>561.68141286032039</v>
      </c>
    </row>
    <row r="10797" spans="1:7" hidden="1" x14ac:dyDescent="0.25">
      <c r="A10797" s="28">
        <v>44470</v>
      </c>
      <c r="B10797" s="27" t="s">
        <v>26</v>
      </c>
      <c r="C10797" s="27" t="s">
        <v>50</v>
      </c>
      <c r="D10797" s="27" t="s">
        <v>6</v>
      </c>
      <c r="E10797" s="27" t="s">
        <v>15</v>
      </c>
      <c r="F10797" s="29"/>
      <c r="G10797" s="30">
        <v>1903.4886846016955</v>
      </c>
    </row>
    <row r="10798" spans="1:7" hidden="1" x14ac:dyDescent="0.25">
      <c r="A10798" s="28">
        <v>44470</v>
      </c>
      <c r="B10798" s="27" t="s">
        <v>26</v>
      </c>
      <c r="C10798" s="27" t="s">
        <v>50</v>
      </c>
      <c r="D10798" s="27" t="s">
        <v>6</v>
      </c>
      <c r="E10798" s="27" t="s">
        <v>16</v>
      </c>
      <c r="F10798" s="29"/>
      <c r="G10798" s="30">
        <v>2154.0949651718715</v>
      </c>
    </row>
    <row r="10799" spans="1:7" hidden="1" x14ac:dyDescent="0.25">
      <c r="A10799" s="28">
        <v>44470</v>
      </c>
      <c r="B10799" s="27" t="s">
        <v>26</v>
      </c>
      <c r="C10799" s="27" t="s">
        <v>50</v>
      </c>
      <c r="D10799" s="27" t="s">
        <v>6</v>
      </c>
      <c r="E10799" s="27" t="s">
        <v>17</v>
      </c>
      <c r="F10799" s="29"/>
      <c r="G10799" s="30">
        <v>3135.6350321011482</v>
      </c>
    </row>
    <row r="10800" spans="1:7" hidden="1" x14ac:dyDescent="0.25">
      <c r="A10800" s="28">
        <v>44470</v>
      </c>
      <c r="B10800" s="27" t="s">
        <v>26</v>
      </c>
      <c r="C10800" s="27" t="s">
        <v>50</v>
      </c>
      <c r="D10800" s="27" t="s">
        <v>6</v>
      </c>
      <c r="E10800" s="27" t="s">
        <v>18</v>
      </c>
      <c r="F10800" s="29"/>
      <c r="G10800" s="30">
        <v>1603.690331509566</v>
      </c>
    </row>
    <row r="10801" spans="1:7" hidden="1" x14ac:dyDescent="0.25">
      <c r="A10801" s="28">
        <v>44470</v>
      </c>
      <c r="B10801" s="27" t="s">
        <v>26</v>
      </c>
      <c r="C10801" s="27" t="s">
        <v>50</v>
      </c>
      <c r="D10801" s="27" t="s">
        <v>6</v>
      </c>
      <c r="E10801" s="27" t="s">
        <v>19</v>
      </c>
      <c r="F10801" s="29"/>
      <c r="G10801" s="30">
        <v>2421.1417541901737</v>
      </c>
    </row>
    <row r="10802" spans="1:7" hidden="1" x14ac:dyDescent="0.25">
      <c r="A10802" s="28">
        <v>44470</v>
      </c>
      <c r="B10802" s="27" t="s">
        <v>26</v>
      </c>
      <c r="C10802" s="27" t="s">
        <v>50</v>
      </c>
      <c r="D10802" s="27" t="s">
        <v>6</v>
      </c>
      <c r="E10802" s="27" t="s">
        <v>20</v>
      </c>
      <c r="F10802" s="29"/>
      <c r="G10802" s="30">
        <v>1946.4814052941281</v>
      </c>
    </row>
    <row r="10803" spans="1:7" hidden="1" x14ac:dyDescent="0.25">
      <c r="A10803" s="28">
        <v>44470</v>
      </c>
      <c r="B10803" s="27" t="s">
        <v>26</v>
      </c>
      <c r="C10803" s="27" t="s">
        <v>50</v>
      </c>
      <c r="D10803" s="27" t="s">
        <v>6</v>
      </c>
      <c r="E10803" s="27" t="s">
        <v>38</v>
      </c>
      <c r="F10803" s="29"/>
      <c r="G10803" s="30">
        <v>760.63601728244464</v>
      </c>
    </row>
    <row r="10804" spans="1:7" hidden="1" x14ac:dyDescent="0.25">
      <c r="A10804" s="28">
        <v>44470</v>
      </c>
      <c r="B10804" s="27" t="s">
        <v>26</v>
      </c>
      <c r="C10804" s="27" t="s">
        <v>50</v>
      </c>
      <c r="D10804" s="27" t="s">
        <v>6</v>
      </c>
      <c r="E10804" s="27" t="s">
        <v>23</v>
      </c>
      <c r="F10804" s="29"/>
      <c r="G10804" s="30">
        <v>2589.0564485238838</v>
      </c>
    </row>
    <row r="10805" spans="1:7" hidden="1" x14ac:dyDescent="0.25">
      <c r="A10805" s="28">
        <v>44470</v>
      </c>
      <c r="B10805" s="27" t="s">
        <v>26</v>
      </c>
      <c r="C10805" s="27" t="s">
        <v>50</v>
      </c>
      <c r="D10805" s="27" t="s">
        <v>6</v>
      </c>
      <c r="E10805" s="27" t="s">
        <v>40</v>
      </c>
      <c r="F10805" s="29"/>
      <c r="G10805" s="30">
        <v>834.25152230214019</v>
      </c>
    </row>
    <row r="10806" spans="1:7" hidden="1" x14ac:dyDescent="0.25">
      <c r="A10806" s="28">
        <v>44470</v>
      </c>
      <c r="B10806" s="27" t="s">
        <v>26</v>
      </c>
      <c r="C10806" s="27" t="s">
        <v>50</v>
      </c>
      <c r="D10806" s="27" t="s">
        <v>6</v>
      </c>
      <c r="E10806" s="27" t="s">
        <v>37</v>
      </c>
      <c r="F10806" s="29"/>
      <c r="G10806" s="30">
        <v>791.10058149340887</v>
      </c>
    </row>
    <row r="10807" spans="1:7" hidden="1" x14ac:dyDescent="0.25">
      <c r="A10807" s="28">
        <v>44470</v>
      </c>
      <c r="B10807" s="27" t="s">
        <v>3</v>
      </c>
      <c r="C10807" s="27" t="s">
        <v>50</v>
      </c>
      <c r="D10807" s="27" t="s">
        <v>7</v>
      </c>
      <c r="E10807" s="27" t="s">
        <v>8</v>
      </c>
      <c r="F10807" s="29"/>
      <c r="G10807" s="30">
        <v>589.31583333333333</v>
      </c>
    </row>
    <row r="10808" spans="1:7" hidden="1" x14ac:dyDescent="0.25">
      <c r="A10808" s="28">
        <v>44470</v>
      </c>
      <c r="B10808" s="27" t="s">
        <v>3</v>
      </c>
      <c r="C10808" s="27" t="s">
        <v>50</v>
      </c>
      <c r="D10808" s="27" t="s">
        <v>7</v>
      </c>
      <c r="E10808" s="27" t="s">
        <v>9</v>
      </c>
      <c r="F10808" s="29"/>
      <c r="G10808" s="30">
        <v>589.31583333333333</v>
      </c>
    </row>
    <row r="10809" spans="1:7" hidden="1" x14ac:dyDescent="0.25">
      <c r="A10809" s="28">
        <v>44470</v>
      </c>
      <c r="B10809" s="27" t="s">
        <v>3</v>
      </c>
      <c r="C10809" s="27" t="s">
        <v>50</v>
      </c>
      <c r="D10809" s="27" t="s">
        <v>7</v>
      </c>
      <c r="E10809" s="27" t="s">
        <v>22</v>
      </c>
      <c r="F10809" s="29"/>
      <c r="G10809" s="30">
        <v>589.31583333333333</v>
      </c>
    </row>
    <row r="10810" spans="1:7" hidden="1" x14ac:dyDescent="0.25">
      <c r="A10810" s="28">
        <v>44470</v>
      </c>
      <c r="B10810" s="27" t="s">
        <v>3</v>
      </c>
      <c r="C10810" s="27" t="s">
        <v>50</v>
      </c>
      <c r="D10810" s="27" t="s">
        <v>7</v>
      </c>
      <c r="E10810" s="27" t="s">
        <v>39</v>
      </c>
      <c r="F10810" s="29"/>
      <c r="G10810" s="30">
        <v>589.31583333333333</v>
      </c>
    </row>
    <row r="10811" spans="1:7" hidden="1" x14ac:dyDescent="0.25">
      <c r="A10811" s="28">
        <v>44470</v>
      </c>
      <c r="B10811" s="27" t="s">
        <v>3</v>
      </c>
      <c r="C10811" s="27" t="s">
        <v>50</v>
      </c>
      <c r="D10811" s="27" t="s">
        <v>7</v>
      </c>
      <c r="E10811" s="27" t="s">
        <v>64</v>
      </c>
      <c r="F10811" s="29"/>
      <c r="G10811" s="30">
        <v>589.31583333333333</v>
      </c>
    </row>
    <row r="10812" spans="1:7" hidden="1" x14ac:dyDescent="0.25">
      <c r="A10812" s="28">
        <v>44470</v>
      </c>
      <c r="B10812" s="27" t="s">
        <v>3</v>
      </c>
      <c r="C10812" s="27" t="s">
        <v>50</v>
      </c>
      <c r="D10812" s="27" t="s">
        <v>7</v>
      </c>
      <c r="E10812" s="27" t="s">
        <v>21</v>
      </c>
      <c r="F10812" s="29"/>
      <c r="G10812" s="30">
        <v>589.31583333333333</v>
      </c>
    </row>
    <row r="10813" spans="1:7" hidden="1" x14ac:dyDescent="0.25">
      <c r="A10813" s="28">
        <v>44470</v>
      </c>
      <c r="B10813" s="27" t="s">
        <v>3</v>
      </c>
      <c r="C10813" s="27" t="s">
        <v>50</v>
      </c>
      <c r="D10813" s="27" t="s">
        <v>7</v>
      </c>
      <c r="E10813" s="27" t="s">
        <v>41</v>
      </c>
      <c r="F10813" s="29"/>
      <c r="G10813" s="30">
        <v>589.31583333333333</v>
      </c>
    </row>
    <row r="10814" spans="1:7" hidden="1" x14ac:dyDescent="0.25">
      <c r="A10814" s="28">
        <v>44470</v>
      </c>
      <c r="B10814" s="27" t="s">
        <v>3</v>
      </c>
      <c r="C10814" s="27" t="s">
        <v>50</v>
      </c>
      <c r="D10814" s="27" t="s">
        <v>7</v>
      </c>
      <c r="E10814" s="27" t="s">
        <v>10</v>
      </c>
      <c r="F10814" s="29"/>
      <c r="G10814" s="30">
        <v>589.31583333333333</v>
      </c>
    </row>
    <row r="10815" spans="1:7" hidden="1" x14ac:dyDescent="0.25">
      <c r="A10815" s="28">
        <v>44470</v>
      </c>
      <c r="B10815" s="27" t="s">
        <v>3</v>
      </c>
      <c r="C10815" s="27" t="s">
        <v>50</v>
      </c>
      <c r="D10815" s="27" t="s">
        <v>7</v>
      </c>
      <c r="E10815" s="27" t="s">
        <v>11</v>
      </c>
      <c r="F10815" s="29"/>
      <c r="G10815" s="30">
        <v>589.31583333333333</v>
      </c>
    </row>
    <row r="10816" spans="1:7" hidden="1" x14ac:dyDescent="0.25">
      <c r="A10816" s="28">
        <v>44470</v>
      </c>
      <c r="B10816" s="27" t="s">
        <v>3</v>
      </c>
      <c r="C10816" s="27" t="s">
        <v>50</v>
      </c>
      <c r="D10816" s="27" t="s">
        <v>7</v>
      </c>
      <c r="E10816" s="27" t="s">
        <v>12</v>
      </c>
      <c r="F10816" s="29"/>
      <c r="G10816" s="30">
        <v>589.31583333333333</v>
      </c>
    </row>
    <row r="10817" spans="1:7" hidden="1" x14ac:dyDescent="0.25">
      <c r="A10817" s="28">
        <v>44470</v>
      </c>
      <c r="B10817" s="27" t="s">
        <v>3</v>
      </c>
      <c r="C10817" s="27" t="s">
        <v>50</v>
      </c>
      <c r="D10817" s="27" t="s">
        <v>7</v>
      </c>
      <c r="E10817" s="27" t="s">
        <v>13</v>
      </c>
      <c r="F10817" s="29"/>
      <c r="G10817" s="30">
        <v>589.31583333333333</v>
      </c>
    </row>
    <row r="10818" spans="1:7" hidden="1" x14ac:dyDescent="0.25">
      <c r="A10818" s="28">
        <v>44470</v>
      </c>
      <c r="B10818" s="27" t="s">
        <v>3</v>
      </c>
      <c r="C10818" s="27" t="s">
        <v>50</v>
      </c>
      <c r="D10818" s="27" t="s">
        <v>7</v>
      </c>
      <c r="E10818" s="27" t="s">
        <v>14</v>
      </c>
      <c r="F10818" s="29"/>
      <c r="G10818" s="30">
        <v>589.31583333333333</v>
      </c>
    </row>
    <row r="10819" spans="1:7" hidden="1" x14ac:dyDescent="0.25">
      <c r="A10819" s="28">
        <v>44470</v>
      </c>
      <c r="B10819" s="27" t="s">
        <v>3</v>
      </c>
      <c r="C10819" s="27" t="s">
        <v>50</v>
      </c>
      <c r="D10819" s="27" t="s">
        <v>7</v>
      </c>
      <c r="E10819" s="27" t="s">
        <v>15</v>
      </c>
      <c r="F10819" s="29"/>
      <c r="G10819" s="30">
        <v>589.31583333333333</v>
      </c>
    </row>
    <row r="10820" spans="1:7" hidden="1" x14ac:dyDescent="0.25">
      <c r="A10820" s="28">
        <v>44470</v>
      </c>
      <c r="B10820" s="27" t="s">
        <v>3</v>
      </c>
      <c r="C10820" s="27" t="s">
        <v>50</v>
      </c>
      <c r="D10820" s="27" t="s">
        <v>7</v>
      </c>
      <c r="E10820" s="27" t="s">
        <v>16</v>
      </c>
      <c r="F10820" s="29"/>
      <c r="G10820" s="30">
        <v>589.31583333333333</v>
      </c>
    </row>
    <row r="10821" spans="1:7" hidden="1" x14ac:dyDescent="0.25">
      <c r="A10821" s="28">
        <v>44470</v>
      </c>
      <c r="B10821" s="27" t="s">
        <v>3</v>
      </c>
      <c r="C10821" s="27" t="s">
        <v>50</v>
      </c>
      <c r="D10821" s="27" t="s">
        <v>7</v>
      </c>
      <c r="E10821" s="27" t="s">
        <v>17</v>
      </c>
      <c r="F10821" s="29"/>
      <c r="G10821" s="30">
        <v>589.31583333333333</v>
      </c>
    </row>
    <row r="10822" spans="1:7" hidden="1" x14ac:dyDescent="0.25">
      <c r="A10822" s="28">
        <v>44470</v>
      </c>
      <c r="B10822" s="27" t="s">
        <v>3</v>
      </c>
      <c r="C10822" s="27" t="s">
        <v>50</v>
      </c>
      <c r="D10822" s="27" t="s">
        <v>7</v>
      </c>
      <c r="E10822" s="27" t="s">
        <v>18</v>
      </c>
      <c r="F10822" s="29"/>
      <c r="G10822" s="30">
        <v>589.31583333333333</v>
      </c>
    </row>
    <row r="10823" spans="1:7" hidden="1" x14ac:dyDescent="0.25">
      <c r="A10823" s="28">
        <v>44470</v>
      </c>
      <c r="B10823" s="27" t="s">
        <v>3</v>
      </c>
      <c r="C10823" s="27" t="s">
        <v>50</v>
      </c>
      <c r="D10823" s="27" t="s">
        <v>7</v>
      </c>
      <c r="E10823" s="27" t="s">
        <v>19</v>
      </c>
      <c r="F10823" s="29"/>
      <c r="G10823" s="30">
        <v>589.31583333333333</v>
      </c>
    </row>
    <row r="10824" spans="1:7" hidden="1" x14ac:dyDescent="0.25">
      <c r="A10824" s="28">
        <v>44470</v>
      </c>
      <c r="B10824" s="27" t="s">
        <v>3</v>
      </c>
      <c r="C10824" s="27" t="s">
        <v>50</v>
      </c>
      <c r="D10824" s="27" t="s">
        <v>7</v>
      </c>
      <c r="E10824" s="27" t="s">
        <v>20</v>
      </c>
      <c r="F10824" s="29"/>
      <c r="G10824" s="30">
        <v>589.31583333333333</v>
      </c>
    </row>
    <row r="10825" spans="1:7" hidden="1" x14ac:dyDescent="0.25">
      <c r="A10825" s="28">
        <v>44470</v>
      </c>
      <c r="B10825" s="27" t="s">
        <v>3</v>
      </c>
      <c r="C10825" s="27" t="s">
        <v>50</v>
      </c>
      <c r="D10825" s="27" t="s">
        <v>7</v>
      </c>
      <c r="E10825" s="27" t="s">
        <v>38</v>
      </c>
      <c r="F10825" s="29"/>
      <c r="G10825" s="30">
        <v>589.31583333333333</v>
      </c>
    </row>
    <row r="10826" spans="1:7" hidden="1" x14ac:dyDescent="0.25">
      <c r="A10826" s="28">
        <v>44470</v>
      </c>
      <c r="B10826" s="27" t="s">
        <v>3</v>
      </c>
      <c r="C10826" s="27" t="s">
        <v>50</v>
      </c>
      <c r="D10826" s="27" t="s">
        <v>7</v>
      </c>
      <c r="E10826" s="27" t="s">
        <v>23</v>
      </c>
      <c r="F10826" s="29"/>
      <c r="G10826" s="30">
        <v>589.31583333333333</v>
      </c>
    </row>
    <row r="10827" spans="1:7" hidden="1" x14ac:dyDescent="0.25">
      <c r="A10827" s="28">
        <v>44470</v>
      </c>
      <c r="B10827" s="27" t="s">
        <v>3</v>
      </c>
      <c r="C10827" s="27" t="s">
        <v>50</v>
      </c>
      <c r="D10827" s="27" t="s">
        <v>7</v>
      </c>
      <c r="E10827" s="27" t="s">
        <v>40</v>
      </c>
      <c r="F10827" s="29"/>
      <c r="G10827" s="30">
        <v>589.31583333333333</v>
      </c>
    </row>
    <row r="10828" spans="1:7" hidden="1" x14ac:dyDescent="0.25">
      <c r="A10828" s="28">
        <v>44470</v>
      </c>
      <c r="B10828" s="27" t="s">
        <v>3</v>
      </c>
      <c r="C10828" s="27" t="s">
        <v>50</v>
      </c>
      <c r="D10828" s="27" t="s">
        <v>7</v>
      </c>
      <c r="E10828" s="27" t="s">
        <v>42</v>
      </c>
      <c r="F10828" s="29"/>
      <c r="G10828" s="30">
        <v>589.31583333333333</v>
      </c>
    </row>
    <row r="10829" spans="1:7" hidden="1" x14ac:dyDescent="0.25">
      <c r="A10829" s="28">
        <v>44470</v>
      </c>
      <c r="B10829" s="27" t="s">
        <v>3</v>
      </c>
      <c r="C10829" s="27" t="s">
        <v>50</v>
      </c>
      <c r="D10829" s="27" t="s">
        <v>7</v>
      </c>
      <c r="E10829" s="27" t="s">
        <v>43</v>
      </c>
      <c r="F10829" s="29"/>
      <c r="G10829" s="30">
        <v>589.31583333333333</v>
      </c>
    </row>
    <row r="10830" spans="1:7" hidden="1" x14ac:dyDescent="0.25">
      <c r="A10830" s="28">
        <v>44470</v>
      </c>
      <c r="B10830" s="27" t="s">
        <v>3</v>
      </c>
      <c r="C10830" s="27" t="s">
        <v>50</v>
      </c>
      <c r="D10830" s="27" t="s">
        <v>7</v>
      </c>
      <c r="E10830" s="27" t="s">
        <v>72</v>
      </c>
      <c r="F10830" s="29"/>
      <c r="G10830" s="30">
        <v>589.31583333333333</v>
      </c>
    </row>
    <row r="10831" spans="1:7" hidden="1" x14ac:dyDescent="0.25">
      <c r="A10831" s="28">
        <v>44470</v>
      </c>
      <c r="B10831" s="27" t="s">
        <v>179</v>
      </c>
      <c r="C10831" s="27" t="s">
        <v>50</v>
      </c>
      <c r="D10831" s="27" t="s">
        <v>6</v>
      </c>
      <c r="E10831" s="27" t="s">
        <v>8</v>
      </c>
      <c r="F10831" s="29"/>
      <c r="G10831" s="30">
        <v>54.168999999999997</v>
      </c>
    </row>
    <row r="10832" spans="1:7" hidden="1" x14ac:dyDescent="0.25">
      <c r="A10832" s="28">
        <v>44470</v>
      </c>
      <c r="B10832" s="27" t="s">
        <v>179</v>
      </c>
      <c r="C10832" s="27" t="s">
        <v>50</v>
      </c>
      <c r="D10832" s="27" t="s">
        <v>6</v>
      </c>
      <c r="E10832" s="27" t="s">
        <v>9</v>
      </c>
      <c r="F10832" s="29"/>
      <c r="G10832" s="30">
        <v>71.931666000000007</v>
      </c>
    </row>
    <row r="10833" spans="1:7" hidden="1" x14ac:dyDescent="0.25">
      <c r="A10833" s="28">
        <v>44470</v>
      </c>
      <c r="B10833" s="27" t="s">
        <v>179</v>
      </c>
      <c r="C10833" s="27" t="s">
        <v>50</v>
      </c>
      <c r="D10833" s="27" t="s">
        <v>6</v>
      </c>
      <c r="E10833" s="27" t="s">
        <v>22</v>
      </c>
      <c r="F10833" s="29"/>
      <c r="G10833" s="30">
        <v>95.266666000000001</v>
      </c>
    </row>
    <row r="10834" spans="1:7" hidden="1" x14ac:dyDescent="0.25">
      <c r="A10834" s="28">
        <v>44470</v>
      </c>
      <c r="B10834" s="27" t="s">
        <v>179</v>
      </c>
      <c r="C10834" s="27" t="s">
        <v>50</v>
      </c>
      <c r="D10834" s="27" t="s">
        <v>6</v>
      </c>
      <c r="E10834" s="27" t="s">
        <v>39</v>
      </c>
      <c r="F10834" s="29"/>
      <c r="G10834" s="30">
        <v>72.42</v>
      </c>
    </row>
    <row r="10835" spans="1:7" hidden="1" x14ac:dyDescent="0.25">
      <c r="A10835" s="28">
        <v>44470</v>
      </c>
      <c r="B10835" s="27" t="s">
        <v>179</v>
      </c>
      <c r="C10835" s="27" t="s">
        <v>50</v>
      </c>
      <c r="D10835" s="27" t="s">
        <v>6</v>
      </c>
      <c r="E10835" s="27" t="s">
        <v>21</v>
      </c>
      <c r="F10835" s="29"/>
      <c r="G10835" s="30">
        <v>66.441665999999998</v>
      </c>
    </row>
    <row r="10836" spans="1:7" hidden="1" x14ac:dyDescent="0.25">
      <c r="A10836" s="28">
        <v>44470</v>
      </c>
      <c r="B10836" s="27" t="s">
        <v>179</v>
      </c>
      <c r="C10836" s="27" t="s">
        <v>50</v>
      </c>
      <c r="D10836" s="27" t="s">
        <v>6</v>
      </c>
      <c r="E10836" s="27" t="s">
        <v>41</v>
      </c>
      <c r="F10836" s="29"/>
      <c r="G10836" s="30">
        <v>71.509165999999993</v>
      </c>
    </row>
    <row r="10837" spans="1:7" hidden="1" x14ac:dyDescent="0.25">
      <c r="A10837" s="28">
        <v>44470</v>
      </c>
      <c r="B10837" s="27" t="s">
        <v>179</v>
      </c>
      <c r="C10837" s="27" t="s">
        <v>50</v>
      </c>
      <c r="D10837" s="27" t="s">
        <v>6</v>
      </c>
      <c r="E10837" s="27" t="s">
        <v>10</v>
      </c>
      <c r="F10837" s="29"/>
      <c r="G10837" s="30">
        <v>86.698999999999998</v>
      </c>
    </row>
    <row r="10838" spans="1:7" hidden="1" x14ac:dyDescent="0.25">
      <c r="A10838" s="28">
        <v>44470</v>
      </c>
      <c r="B10838" s="27" t="s">
        <v>179</v>
      </c>
      <c r="C10838" s="27" t="s">
        <v>50</v>
      </c>
      <c r="D10838" s="27" t="s">
        <v>6</v>
      </c>
      <c r="E10838" s="27" t="s">
        <v>11</v>
      </c>
      <c r="F10838" s="29"/>
      <c r="G10838" s="30">
        <v>65.566665999999998</v>
      </c>
    </row>
    <row r="10839" spans="1:7" hidden="1" x14ac:dyDescent="0.25">
      <c r="A10839" s="28">
        <v>44470</v>
      </c>
      <c r="B10839" s="27" t="s">
        <v>179</v>
      </c>
      <c r="C10839" s="27" t="s">
        <v>50</v>
      </c>
      <c r="D10839" s="27" t="s">
        <v>6</v>
      </c>
      <c r="E10839" s="27" t="s">
        <v>12</v>
      </c>
      <c r="F10839" s="29"/>
      <c r="G10839" s="30">
        <v>67.331665999999998</v>
      </c>
    </row>
    <row r="10840" spans="1:7" hidden="1" x14ac:dyDescent="0.25">
      <c r="A10840" s="28">
        <v>44470</v>
      </c>
      <c r="B10840" s="27" t="s">
        <v>179</v>
      </c>
      <c r="C10840" s="27" t="s">
        <v>50</v>
      </c>
      <c r="D10840" s="27" t="s">
        <v>6</v>
      </c>
      <c r="E10840" s="27" t="s">
        <v>13</v>
      </c>
      <c r="F10840" s="29"/>
      <c r="G10840" s="30">
        <v>93.319165999999996</v>
      </c>
    </row>
    <row r="10841" spans="1:7" hidden="1" x14ac:dyDescent="0.25">
      <c r="A10841" s="28">
        <v>44470</v>
      </c>
      <c r="B10841" s="27" t="s">
        <v>179</v>
      </c>
      <c r="C10841" s="27" t="s">
        <v>50</v>
      </c>
      <c r="D10841" s="27" t="s">
        <v>6</v>
      </c>
      <c r="E10841" s="27" t="s">
        <v>14</v>
      </c>
      <c r="F10841" s="29"/>
      <c r="G10841" s="30">
        <v>79.181666000000007</v>
      </c>
    </row>
    <row r="10842" spans="1:7" hidden="1" x14ac:dyDescent="0.25">
      <c r="A10842" s="28">
        <v>44470</v>
      </c>
      <c r="B10842" s="27" t="s">
        <v>179</v>
      </c>
      <c r="C10842" s="27" t="s">
        <v>50</v>
      </c>
      <c r="D10842" s="27" t="s">
        <v>6</v>
      </c>
      <c r="E10842" s="27" t="s">
        <v>15</v>
      </c>
      <c r="F10842" s="29"/>
      <c r="G10842" s="30">
        <v>90.084165999999996</v>
      </c>
    </row>
    <row r="10843" spans="1:7" hidden="1" x14ac:dyDescent="0.25">
      <c r="A10843" s="28">
        <v>44470</v>
      </c>
      <c r="B10843" s="27" t="s">
        <v>179</v>
      </c>
      <c r="C10843" s="27" t="s">
        <v>50</v>
      </c>
      <c r="D10843" s="27" t="s">
        <v>6</v>
      </c>
      <c r="E10843" s="27" t="s">
        <v>16</v>
      </c>
      <c r="F10843" s="29"/>
      <c r="G10843" s="30">
        <v>91.176665999999997</v>
      </c>
    </row>
    <row r="10844" spans="1:7" hidden="1" x14ac:dyDescent="0.25">
      <c r="A10844" s="28">
        <v>44470</v>
      </c>
      <c r="B10844" s="27" t="s">
        <v>179</v>
      </c>
      <c r="C10844" s="27" t="s">
        <v>50</v>
      </c>
      <c r="D10844" s="27" t="s">
        <v>6</v>
      </c>
      <c r="E10844" s="27" t="s">
        <v>17</v>
      </c>
      <c r="F10844" s="29"/>
      <c r="G10844" s="30">
        <v>142.004166</v>
      </c>
    </row>
    <row r="10845" spans="1:7" hidden="1" x14ac:dyDescent="0.25">
      <c r="A10845" s="28">
        <v>44470</v>
      </c>
      <c r="B10845" s="27" t="s">
        <v>179</v>
      </c>
      <c r="C10845" s="27" t="s">
        <v>50</v>
      </c>
      <c r="D10845" s="27" t="s">
        <v>6</v>
      </c>
      <c r="E10845" s="27" t="s">
        <v>18</v>
      </c>
      <c r="F10845" s="29"/>
      <c r="G10845" s="30">
        <v>183.16666599999999</v>
      </c>
    </row>
    <row r="10846" spans="1:7" hidden="1" x14ac:dyDescent="0.25">
      <c r="A10846" s="28">
        <v>44470</v>
      </c>
      <c r="B10846" s="27" t="s">
        <v>179</v>
      </c>
      <c r="C10846" s="27" t="s">
        <v>50</v>
      </c>
      <c r="D10846" s="27" t="s">
        <v>6</v>
      </c>
      <c r="E10846" s="27" t="s">
        <v>19</v>
      </c>
      <c r="F10846" s="29"/>
      <c r="G10846" s="30">
        <v>120.299166</v>
      </c>
    </row>
    <row r="10847" spans="1:7" hidden="1" x14ac:dyDescent="0.25">
      <c r="A10847" s="28">
        <v>44470</v>
      </c>
      <c r="B10847" s="27" t="s">
        <v>179</v>
      </c>
      <c r="C10847" s="27" t="s">
        <v>50</v>
      </c>
      <c r="D10847" s="27" t="s">
        <v>6</v>
      </c>
      <c r="E10847" s="27" t="s">
        <v>20</v>
      </c>
      <c r="F10847" s="29"/>
      <c r="G10847" s="30">
        <v>231.341666</v>
      </c>
    </row>
    <row r="10848" spans="1:7" hidden="1" x14ac:dyDescent="0.25">
      <c r="A10848" s="28">
        <v>44470</v>
      </c>
      <c r="B10848" s="27" t="s">
        <v>179</v>
      </c>
      <c r="C10848" s="27" t="s">
        <v>50</v>
      </c>
      <c r="D10848" s="27" t="s">
        <v>6</v>
      </c>
      <c r="E10848" s="27" t="s">
        <v>38</v>
      </c>
      <c r="F10848" s="29"/>
      <c r="G10848" s="30">
        <v>99.366665999999995</v>
      </c>
    </row>
    <row r="10849" spans="1:7" hidden="1" x14ac:dyDescent="0.25">
      <c r="A10849" s="28">
        <v>44470</v>
      </c>
      <c r="B10849" s="27" t="s">
        <v>179</v>
      </c>
      <c r="C10849" s="27" t="s">
        <v>50</v>
      </c>
      <c r="D10849" s="27" t="s">
        <v>6</v>
      </c>
      <c r="E10849" s="27" t="s">
        <v>23</v>
      </c>
      <c r="F10849" s="29"/>
      <c r="G10849" s="30">
        <v>131.48916600000001</v>
      </c>
    </row>
    <row r="10850" spans="1:7" hidden="1" x14ac:dyDescent="0.25">
      <c r="A10850" s="28">
        <v>44470</v>
      </c>
      <c r="B10850" s="27" t="s">
        <v>179</v>
      </c>
      <c r="C10850" s="27" t="s">
        <v>50</v>
      </c>
      <c r="D10850" s="27" t="s">
        <v>6</v>
      </c>
      <c r="E10850" s="27" t="s">
        <v>40</v>
      </c>
      <c r="F10850" s="29"/>
      <c r="G10850" s="30">
        <v>130.52416600000001</v>
      </c>
    </row>
    <row r="10851" spans="1:7" hidden="1" x14ac:dyDescent="0.25">
      <c r="A10851" s="28">
        <v>44470</v>
      </c>
      <c r="B10851" s="27" t="s">
        <v>32</v>
      </c>
      <c r="C10851" s="27" t="s">
        <v>50</v>
      </c>
      <c r="D10851" s="27" t="s">
        <v>7</v>
      </c>
      <c r="E10851" s="27" t="s">
        <v>17</v>
      </c>
      <c r="F10851" s="29"/>
      <c r="G10851" s="30">
        <v>75</v>
      </c>
    </row>
    <row r="10852" spans="1:7" hidden="1" x14ac:dyDescent="0.25">
      <c r="A10852" s="28">
        <v>44470</v>
      </c>
      <c r="B10852" s="27" t="s">
        <v>5</v>
      </c>
      <c r="C10852" s="27" t="s">
        <v>51</v>
      </c>
      <c r="D10852" s="27" t="s">
        <v>51</v>
      </c>
      <c r="E10852" s="27" t="s">
        <v>8</v>
      </c>
      <c r="F10852" s="29">
        <v>1792</v>
      </c>
      <c r="G10852" s="30">
        <v>5.5539886142925168</v>
      </c>
    </row>
    <row r="10853" spans="1:7" hidden="1" x14ac:dyDescent="0.25">
      <c r="A10853" s="28">
        <v>44470</v>
      </c>
      <c r="B10853" s="27" t="s">
        <v>5</v>
      </c>
      <c r="C10853" s="27" t="s">
        <v>51</v>
      </c>
      <c r="D10853" s="27" t="s">
        <v>51</v>
      </c>
      <c r="E10853" s="27" t="s">
        <v>9</v>
      </c>
      <c r="F10853" s="29">
        <v>4757</v>
      </c>
      <c r="G10853" s="30">
        <v>2.6213432788695608</v>
      </c>
    </row>
    <row r="10854" spans="1:7" hidden="1" x14ac:dyDescent="0.25">
      <c r="A10854" s="28">
        <v>44470</v>
      </c>
      <c r="B10854" s="27" t="s">
        <v>5</v>
      </c>
      <c r="C10854" s="27" t="s">
        <v>51</v>
      </c>
      <c r="D10854" s="27" t="s">
        <v>51</v>
      </c>
      <c r="E10854" s="27" t="s">
        <v>22</v>
      </c>
      <c r="F10854" s="29">
        <v>2166</v>
      </c>
      <c r="G10854" s="30">
        <v>5.5165635243767337</v>
      </c>
    </row>
    <row r="10855" spans="1:7" hidden="1" x14ac:dyDescent="0.25">
      <c r="A10855" s="28">
        <v>44470</v>
      </c>
      <c r="B10855" s="27" t="s">
        <v>5</v>
      </c>
      <c r="C10855" s="27" t="s">
        <v>51</v>
      </c>
      <c r="D10855" s="27" t="s">
        <v>51</v>
      </c>
      <c r="E10855" s="27" t="s">
        <v>39</v>
      </c>
      <c r="F10855" s="29">
        <v>2991</v>
      </c>
      <c r="G10855" s="30">
        <v>3.821320081908127</v>
      </c>
    </row>
    <row r="10856" spans="1:7" hidden="1" x14ac:dyDescent="0.25">
      <c r="A10856" s="28">
        <v>44470</v>
      </c>
      <c r="B10856" s="27" t="s">
        <v>5</v>
      </c>
      <c r="C10856" s="27" t="s">
        <v>51</v>
      </c>
      <c r="D10856" s="27" t="s">
        <v>51</v>
      </c>
      <c r="E10856" s="27" t="s">
        <v>21</v>
      </c>
      <c r="F10856" s="29">
        <v>2943</v>
      </c>
      <c r="G10856" s="30">
        <v>3.8109678494377279</v>
      </c>
    </row>
    <row r="10857" spans="1:7" hidden="1" x14ac:dyDescent="0.25">
      <c r="A10857" s="28">
        <v>44470</v>
      </c>
      <c r="B10857" s="27" t="s">
        <v>5</v>
      </c>
      <c r="C10857" s="27" t="s">
        <v>51</v>
      </c>
      <c r="D10857" s="27" t="s">
        <v>51</v>
      </c>
      <c r="E10857" s="27" t="s">
        <v>41</v>
      </c>
      <c r="F10857" s="29">
        <v>2970</v>
      </c>
      <c r="G10857" s="30">
        <v>3.8186455880942782</v>
      </c>
    </row>
    <row r="10858" spans="1:7" hidden="1" x14ac:dyDescent="0.25">
      <c r="A10858" s="28">
        <v>44470</v>
      </c>
      <c r="B10858" s="27" t="s">
        <v>5</v>
      </c>
      <c r="C10858" s="27" t="s">
        <v>51</v>
      </c>
      <c r="D10858" s="27" t="s">
        <v>51</v>
      </c>
      <c r="E10858" s="27" t="s">
        <v>10</v>
      </c>
      <c r="F10858" s="29">
        <v>5672</v>
      </c>
      <c r="G10858" s="30">
        <v>2.1066989990343616</v>
      </c>
    </row>
    <row r="10859" spans="1:7" hidden="1" x14ac:dyDescent="0.25">
      <c r="A10859" s="28">
        <v>44470</v>
      </c>
      <c r="B10859" s="27" t="s">
        <v>5</v>
      </c>
      <c r="C10859" s="27" t="s">
        <v>51</v>
      </c>
      <c r="D10859" s="27" t="s">
        <v>51</v>
      </c>
      <c r="E10859" s="27" t="s">
        <v>11</v>
      </c>
      <c r="F10859" s="29">
        <v>1336</v>
      </c>
      <c r="G10859" s="30">
        <v>8.4394637129938328</v>
      </c>
    </row>
    <row r="10860" spans="1:7" hidden="1" x14ac:dyDescent="0.25">
      <c r="A10860" s="28">
        <v>44470</v>
      </c>
      <c r="B10860" s="27" t="s">
        <v>5</v>
      </c>
      <c r="C10860" s="27" t="s">
        <v>51</v>
      </c>
      <c r="D10860" s="27" t="s">
        <v>51</v>
      </c>
      <c r="E10860" s="27" t="s">
        <v>12</v>
      </c>
      <c r="F10860" s="29">
        <v>2634</v>
      </c>
      <c r="G10860" s="30">
        <v>4.2838935003262915</v>
      </c>
    </row>
    <row r="10861" spans="1:7" hidden="1" x14ac:dyDescent="0.25">
      <c r="A10861" s="28">
        <v>44470</v>
      </c>
      <c r="B10861" s="27" t="s">
        <v>5</v>
      </c>
      <c r="C10861" s="27" t="s">
        <v>51</v>
      </c>
      <c r="D10861" s="27" t="s">
        <v>51</v>
      </c>
      <c r="E10861" s="27" t="s">
        <v>14</v>
      </c>
      <c r="F10861" s="29">
        <v>3137</v>
      </c>
      <c r="G10861" s="30">
        <v>3.097235998999146</v>
      </c>
    </row>
    <row r="10862" spans="1:7" hidden="1" x14ac:dyDescent="0.25">
      <c r="A10862" s="28">
        <v>44470</v>
      </c>
      <c r="B10862" s="27" t="s">
        <v>5</v>
      </c>
      <c r="C10862" s="27" t="s">
        <v>51</v>
      </c>
      <c r="D10862" s="27" t="s">
        <v>51</v>
      </c>
      <c r="E10862" s="27" t="s">
        <v>15</v>
      </c>
      <c r="F10862" s="29">
        <v>3072</v>
      </c>
      <c r="G10862" s="30">
        <v>3.6249704103521143</v>
      </c>
    </row>
    <row r="10863" spans="1:7" hidden="1" x14ac:dyDescent="0.25">
      <c r="A10863" s="28">
        <v>44470</v>
      </c>
      <c r="B10863" s="27" t="s">
        <v>5</v>
      </c>
      <c r="C10863" s="27" t="s">
        <v>51</v>
      </c>
      <c r="D10863" s="27" t="s">
        <v>51</v>
      </c>
      <c r="E10863" s="27" t="s">
        <v>16</v>
      </c>
      <c r="F10863" s="29">
        <v>1349</v>
      </c>
      <c r="G10863" s="30">
        <v>8.1043720394157681</v>
      </c>
    </row>
    <row r="10864" spans="1:7" hidden="1" x14ac:dyDescent="0.25">
      <c r="A10864" s="28">
        <v>44470</v>
      </c>
      <c r="B10864" s="27" t="s">
        <v>5</v>
      </c>
      <c r="C10864" s="27" t="s">
        <v>51</v>
      </c>
      <c r="D10864" s="27" t="s">
        <v>51</v>
      </c>
      <c r="E10864" s="27" t="s">
        <v>17</v>
      </c>
      <c r="F10864" s="29">
        <v>5974</v>
      </c>
      <c r="G10864" s="30">
        <v>2.4465777449114743</v>
      </c>
    </row>
    <row r="10865" spans="1:7" hidden="1" x14ac:dyDescent="0.25">
      <c r="A10865" s="28">
        <v>44470</v>
      </c>
      <c r="B10865" s="27" t="s">
        <v>5</v>
      </c>
      <c r="C10865" s="27" t="s">
        <v>51</v>
      </c>
      <c r="D10865" s="27" t="s">
        <v>51</v>
      </c>
      <c r="E10865" s="27" t="s">
        <v>18</v>
      </c>
      <c r="F10865" s="29">
        <v>4098</v>
      </c>
      <c r="G10865" s="30">
        <v>2.7223238768935007</v>
      </c>
    </row>
    <row r="10866" spans="1:7" hidden="1" x14ac:dyDescent="0.25">
      <c r="A10866" s="28">
        <v>44470</v>
      </c>
      <c r="B10866" s="27" t="s">
        <v>5</v>
      </c>
      <c r="C10866" s="27" t="s">
        <v>51</v>
      </c>
      <c r="D10866" s="27" t="s">
        <v>51</v>
      </c>
      <c r="E10866" s="27" t="s">
        <v>20</v>
      </c>
      <c r="F10866" s="29">
        <v>4330</v>
      </c>
      <c r="G10866" s="30">
        <v>2.6929259402526857</v>
      </c>
    </row>
    <row r="10867" spans="1:7" hidden="1" x14ac:dyDescent="0.25">
      <c r="A10867" s="28">
        <v>44470</v>
      </c>
      <c r="B10867" s="27" t="s">
        <v>5</v>
      </c>
      <c r="C10867" s="27" t="s">
        <v>51</v>
      </c>
      <c r="D10867" s="27" t="s">
        <v>51</v>
      </c>
      <c r="E10867" s="27" t="s">
        <v>38</v>
      </c>
      <c r="F10867" s="29">
        <v>2735</v>
      </c>
      <c r="G10867" s="30">
        <v>3.672935624600528</v>
      </c>
    </row>
    <row r="10868" spans="1:7" hidden="1" x14ac:dyDescent="0.25">
      <c r="A10868" s="28">
        <v>44470</v>
      </c>
      <c r="B10868" s="27" t="s">
        <v>5</v>
      </c>
      <c r="C10868" s="27" t="s">
        <v>51</v>
      </c>
      <c r="D10868" s="27" t="s">
        <v>51</v>
      </c>
      <c r="E10868" s="27" t="s">
        <v>23</v>
      </c>
      <c r="F10868" s="29">
        <v>3074</v>
      </c>
      <c r="G10868" s="30">
        <v>3.8854690515692529</v>
      </c>
    </row>
    <row r="10869" spans="1:7" hidden="1" x14ac:dyDescent="0.25">
      <c r="A10869" s="28">
        <v>44470</v>
      </c>
      <c r="B10869" s="27" t="s">
        <v>5</v>
      </c>
      <c r="C10869" s="27" t="s">
        <v>51</v>
      </c>
      <c r="D10869" s="27" t="s">
        <v>51</v>
      </c>
      <c r="E10869" s="27" t="s">
        <v>40</v>
      </c>
      <c r="F10869" s="29">
        <v>4345</v>
      </c>
      <c r="G10869" s="30">
        <v>2.2119935416115397</v>
      </c>
    </row>
    <row r="10870" spans="1:7" hidden="1" x14ac:dyDescent="0.25">
      <c r="A10870" s="28">
        <v>44470</v>
      </c>
      <c r="B10870" s="27" t="s">
        <v>5</v>
      </c>
      <c r="C10870" s="27" t="s">
        <v>51</v>
      </c>
      <c r="D10870" s="27" t="s">
        <v>51</v>
      </c>
      <c r="E10870" s="27" t="s">
        <v>42</v>
      </c>
      <c r="F10870" s="29">
        <v>1517</v>
      </c>
      <c r="G10870" s="30">
        <v>5.9418630520764664</v>
      </c>
    </row>
    <row r="10871" spans="1:7" hidden="1" x14ac:dyDescent="0.25">
      <c r="A10871" s="28">
        <v>44470</v>
      </c>
      <c r="B10871" s="27" t="s">
        <v>5</v>
      </c>
      <c r="C10871" s="27" t="s">
        <v>51</v>
      </c>
      <c r="D10871" s="27" t="s">
        <v>51</v>
      </c>
      <c r="E10871" s="27" t="s">
        <v>43</v>
      </c>
      <c r="F10871" s="29">
        <v>2830</v>
      </c>
      <c r="G10871" s="30">
        <v>3.1350976148409888</v>
      </c>
    </row>
    <row r="10872" spans="1:7" hidden="1" x14ac:dyDescent="0.25">
      <c r="A10872" s="28">
        <v>44470</v>
      </c>
      <c r="B10872" s="27" t="s">
        <v>5</v>
      </c>
      <c r="C10872" s="27" t="s">
        <v>51</v>
      </c>
      <c r="D10872" s="27" t="s">
        <v>51</v>
      </c>
      <c r="E10872" s="27" t="s">
        <v>72</v>
      </c>
      <c r="F10872" s="29">
        <v>5575</v>
      </c>
      <c r="G10872" s="30">
        <v>1.5350002242152465</v>
      </c>
    </row>
    <row r="10873" spans="1:7" hidden="1" x14ac:dyDescent="0.25">
      <c r="A10873" s="28">
        <v>44470</v>
      </c>
      <c r="B10873" s="27" t="s">
        <v>180</v>
      </c>
      <c r="C10873" s="27" t="s">
        <v>50</v>
      </c>
      <c r="D10873" s="27" t="s">
        <v>7</v>
      </c>
      <c r="E10873" s="27" t="s">
        <v>8</v>
      </c>
      <c r="F10873" s="29"/>
      <c r="G10873" s="30">
        <v>100</v>
      </c>
    </row>
    <row r="10874" spans="1:7" hidden="1" x14ac:dyDescent="0.25">
      <c r="A10874" s="28">
        <v>44470</v>
      </c>
      <c r="B10874" s="27" t="s">
        <v>180</v>
      </c>
      <c r="C10874" s="27" t="s">
        <v>50</v>
      </c>
      <c r="D10874" s="27" t="s">
        <v>7</v>
      </c>
      <c r="E10874" s="27" t="s">
        <v>39</v>
      </c>
      <c r="F10874" s="29"/>
      <c r="G10874" s="30">
        <v>461.16</v>
      </c>
    </row>
    <row r="10875" spans="1:7" hidden="1" x14ac:dyDescent="0.25">
      <c r="A10875" s="28">
        <v>44470</v>
      </c>
      <c r="B10875" s="27" t="s">
        <v>180</v>
      </c>
      <c r="C10875" s="27" t="s">
        <v>50</v>
      </c>
      <c r="D10875" s="27" t="s">
        <v>7</v>
      </c>
      <c r="E10875" s="27" t="s">
        <v>64</v>
      </c>
      <c r="F10875" s="29"/>
      <c r="G10875" s="30">
        <v>3450</v>
      </c>
    </row>
    <row r="10876" spans="1:7" hidden="1" x14ac:dyDescent="0.25">
      <c r="A10876" s="28">
        <v>44470</v>
      </c>
      <c r="B10876" s="27" t="s">
        <v>180</v>
      </c>
      <c r="C10876" s="27" t="s">
        <v>50</v>
      </c>
      <c r="D10876" s="27" t="s">
        <v>7</v>
      </c>
      <c r="E10876" s="27" t="s">
        <v>21</v>
      </c>
      <c r="F10876" s="29"/>
      <c r="G10876" s="30">
        <v>300</v>
      </c>
    </row>
    <row r="10877" spans="1:7" hidden="1" x14ac:dyDescent="0.25">
      <c r="A10877" s="28">
        <v>44470</v>
      </c>
      <c r="B10877" s="27" t="s">
        <v>180</v>
      </c>
      <c r="C10877" s="27" t="s">
        <v>50</v>
      </c>
      <c r="D10877" s="27" t="s">
        <v>7</v>
      </c>
      <c r="E10877" s="27" t="s">
        <v>41</v>
      </c>
      <c r="F10877" s="29"/>
      <c r="G10877" s="30">
        <v>377</v>
      </c>
    </row>
    <row r="10878" spans="1:7" hidden="1" x14ac:dyDescent="0.25">
      <c r="A10878" s="28">
        <v>44470</v>
      </c>
      <c r="B10878" s="27" t="s">
        <v>180</v>
      </c>
      <c r="C10878" s="27" t="s">
        <v>50</v>
      </c>
      <c r="D10878" s="27" t="s">
        <v>7</v>
      </c>
      <c r="E10878" s="27" t="s">
        <v>12</v>
      </c>
      <c r="F10878" s="29"/>
      <c r="G10878" s="30">
        <v>533.82000000000005</v>
      </c>
    </row>
    <row r="10879" spans="1:7" hidden="1" x14ac:dyDescent="0.25">
      <c r="A10879" s="28">
        <v>44470</v>
      </c>
      <c r="B10879" s="27" t="s">
        <v>180</v>
      </c>
      <c r="C10879" s="27" t="s">
        <v>50</v>
      </c>
      <c r="D10879" s="27" t="s">
        <v>7</v>
      </c>
      <c r="E10879" s="27" t="s">
        <v>13</v>
      </c>
      <c r="F10879" s="29"/>
      <c r="G10879" s="30">
        <v>9891.68</v>
      </c>
    </row>
    <row r="10880" spans="1:7" hidden="1" x14ac:dyDescent="0.25">
      <c r="A10880" s="28">
        <v>44470</v>
      </c>
      <c r="B10880" s="27" t="s">
        <v>180</v>
      </c>
      <c r="C10880" s="27" t="s">
        <v>50</v>
      </c>
      <c r="D10880" s="27" t="s">
        <v>7</v>
      </c>
      <c r="E10880" s="27" t="s">
        <v>14</v>
      </c>
      <c r="F10880" s="29"/>
      <c r="G10880" s="30">
        <v>220</v>
      </c>
    </row>
    <row r="10881" spans="1:7" hidden="1" x14ac:dyDescent="0.25">
      <c r="A10881" s="28">
        <v>44470</v>
      </c>
      <c r="B10881" s="27" t="s">
        <v>180</v>
      </c>
      <c r="C10881" s="27" t="s">
        <v>50</v>
      </c>
      <c r="D10881" s="27" t="s">
        <v>7</v>
      </c>
      <c r="E10881" s="27" t="s">
        <v>17</v>
      </c>
      <c r="F10881" s="29"/>
      <c r="G10881" s="30">
        <v>1026.98</v>
      </c>
    </row>
    <row r="10882" spans="1:7" hidden="1" x14ac:dyDescent="0.25">
      <c r="A10882" s="28">
        <v>44470</v>
      </c>
      <c r="B10882" s="27" t="s">
        <v>180</v>
      </c>
      <c r="C10882" s="27" t="s">
        <v>50</v>
      </c>
      <c r="D10882" s="27" t="s">
        <v>7</v>
      </c>
      <c r="E10882" s="27" t="s">
        <v>18</v>
      </c>
      <c r="F10882" s="29"/>
      <c r="G10882" s="30">
        <v>785.29</v>
      </c>
    </row>
    <row r="10883" spans="1:7" hidden="1" x14ac:dyDescent="0.25">
      <c r="A10883" s="28">
        <v>44470</v>
      </c>
      <c r="B10883" s="27" t="s">
        <v>180</v>
      </c>
      <c r="C10883" s="27" t="s">
        <v>50</v>
      </c>
      <c r="D10883" s="27" t="s">
        <v>7</v>
      </c>
      <c r="E10883" s="27" t="s">
        <v>38</v>
      </c>
      <c r="F10883" s="29"/>
      <c r="G10883" s="30">
        <v>780</v>
      </c>
    </row>
    <row r="10884" spans="1:7" hidden="1" x14ac:dyDescent="0.25">
      <c r="A10884" s="28">
        <v>44470</v>
      </c>
      <c r="B10884" s="27" t="s">
        <v>180</v>
      </c>
      <c r="C10884" s="27" t="s">
        <v>50</v>
      </c>
      <c r="D10884" s="27" t="s">
        <v>7</v>
      </c>
      <c r="E10884" s="27" t="s">
        <v>37</v>
      </c>
      <c r="F10884" s="29"/>
      <c r="G10884" s="30">
        <v>3319.19</v>
      </c>
    </row>
    <row r="10885" spans="1:7" hidden="1" x14ac:dyDescent="0.25">
      <c r="A10885" s="28">
        <v>44470</v>
      </c>
      <c r="B10885" s="27" t="s">
        <v>181</v>
      </c>
      <c r="C10885" s="27" t="s">
        <v>50</v>
      </c>
      <c r="D10885" s="27" t="s">
        <v>6</v>
      </c>
      <c r="E10885" s="27" t="s">
        <v>9</v>
      </c>
      <c r="F10885" s="29"/>
      <c r="G10885" s="30">
        <v>817</v>
      </c>
    </row>
    <row r="10886" spans="1:7" hidden="1" x14ac:dyDescent="0.25">
      <c r="A10886" s="28">
        <v>44470</v>
      </c>
      <c r="B10886" s="27" t="s">
        <v>181</v>
      </c>
      <c r="C10886" s="27" t="s">
        <v>50</v>
      </c>
      <c r="D10886" s="27" t="s">
        <v>6</v>
      </c>
      <c r="E10886" s="27" t="s">
        <v>21</v>
      </c>
      <c r="F10886" s="29"/>
      <c r="G10886" s="30">
        <v>199</v>
      </c>
    </row>
    <row r="10887" spans="1:7" hidden="1" x14ac:dyDescent="0.25">
      <c r="A10887" s="28">
        <v>44470</v>
      </c>
      <c r="B10887" s="27" t="s">
        <v>181</v>
      </c>
      <c r="C10887" s="27" t="s">
        <v>50</v>
      </c>
      <c r="D10887" s="27" t="s">
        <v>6</v>
      </c>
      <c r="E10887" s="27" t="s">
        <v>17</v>
      </c>
      <c r="F10887" s="29"/>
      <c r="G10887" s="30">
        <v>500</v>
      </c>
    </row>
    <row r="10888" spans="1:7" hidden="1" x14ac:dyDescent="0.25">
      <c r="A10888" s="28">
        <v>44470</v>
      </c>
      <c r="B10888" s="27" t="s">
        <v>181</v>
      </c>
      <c r="C10888" s="27" t="s">
        <v>50</v>
      </c>
      <c r="D10888" s="27" t="s">
        <v>6</v>
      </c>
      <c r="E10888" s="27" t="s">
        <v>20</v>
      </c>
      <c r="F10888" s="29"/>
      <c r="G10888" s="30">
        <v>220</v>
      </c>
    </row>
    <row r="10889" spans="1:7" hidden="1" x14ac:dyDescent="0.25">
      <c r="A10889" s="28">
        <v>44470</v>
      </c>
      <c r="B10889" s="27" t="s">
        <v>181</v>
      </c>
      <c r="C10889" s="27" t="s">
        <v>50</v>
      </c>
      <c r="D10889" s="27" t="s">
        <v>6</v>
      </c>
      <c r="E10889" s="27" t="s">
        <v>37</v>
      </c>
      <c r="F10889" s="29"/>
      <c r="G10889" s="30">
        <v>2115</v>
      </c>
    </row>
    <row r="10890" spans="1:7" hidden="1" x14ac:dyDescent="0.25">
      <c r="A10890" s="28">
        <v>44470</v>
      </c>
      <c r="B10890" s="27" t="s">
        <v>2</v>
      </c>
      <c r="C10890" s="27" t="s">
        <v>50</v>
      </c>
      <c r="D10890" s="27" t="s">
        <v>7</v>
      </c>
      <c r="E10890" s="27" t="s">
        <v>8</v>
      </c>
      <c r="F10890" s="29"/>
      <c r="G10890" s="30">
        <v>377.88</v>
      </c>
    </row>
    <row r="10891" spans="1:7" hidden="1" x14ac:dyDescent="0.25">
      <c r="A10891" s="28">
        <v>44470</v>
      </c>
      <c r="B10891" s="27" t="s">
        <v>2</v>
      </c>
      <c r="C10891" s="27" t="s">
        <v>50</v>
      </c>
      <c r="D10891" s="27" t="s">
        <v>7</v>
      </c>
      <c r="E10891" s="27" t="s">
        <v>9</v>
      </c>
      <c r="F10891" s="29"/>
      <c r="G10891" s="30">
        <v>1212.8599999999999</v>
      </c>
    </row>
    <row r="10892" spans="1:7" hidden="1" x14ac:dyDescent="0.25">
      <c r="A10892" s="28">
        <v>44470</v>
      </c>
      <c r="B10892" s="27" t="s">
        <v>2</v>
      </c>
      <c r="C10892" s="27" t="s">
        <v>50</v>
      </c>
      <c r="D10892" s="27" t="s">
        <v>7</v>
      </c>
      <c r="E10892" s="27" t="s">
        <v>22</v>
      </c>
      <c r="F10892" s="29"/>
      <c r="G10892" s="30">
        <v>825.69</v>
      </c>
    </row>
    <row r="10893" spans="1:7" hidden="1" x14ac:dyDescent="0.25">
      <c r="A10893" s="28">
        <v>44470</v>
      </c>
      <c r="B10893" s="27" t="s">
        <v>2</v>
      </c>
      <c r="C10893" s="27" t="s">
        <v>50</v>
      </c>
      <c r="D10893" s="27" t="s">
        <v>7</v>
      </c>
      <c r="E10893" s="27" t="s">
        <v>39</v>
      </c>
      <c r="F10893" s="29"/>
      <c r="G10893" s="30">
        <v>491.28</v>
      </c>
    </row>
    <row r="10894" spans="1:7" hidden="1" x14ac:dyDescent="0.25">
      <c r="A10894" s="28">
        <v>44470</v>
      </c>
      <c r="B10894" s="27" t="s">
        <v>2</v>
      </c>
      <c r="C10894" s="27" t="s">
        <v>50</v>
      </c>
      <c r="D10894" s="27" t="s">
        <v>7</v>
      </c>
      <c r="E10894" s="27" t="s">
        <v>64</v>
      </c>
      <c r="F10894" s="29"/>
      <c r="G10894" s="30">
        <v>189.89</v>
      </c>
    </row>
    <row r="10895" spans="1:7" hidden="1" x14ac:dyDescent="0.25">
      <c r="A10895" s="28">
        <v>44470</v>
      </c>
      <c r="B10895" s="27" t="s">
        <v>2</v>
      </c>
      <c r="C10895" s="27" t="s">
        <v>50</v>
      </c>
      <c r="D10895" s="27" t="s">
        <v>7</v>
      </c>
      <c r="E10895" s="27" t="s">
        <v>21</v>
      </c>
      <c r="F10895" s="29"/>
      <c r="G10895" s="30">
        <v>564.02</v>
      </c>
    </row>
    <row r="10896" spans="1:7" hidden="1" x14ac:dyDescent="0.25">
      <c r="A10896" s="28">
        <v>44470</v>
      </c>
      <c r="B10896" s="27" t="s">
        <v>2</v>
      </c>
      <c r="C10896" s="27" t="s">
        <v>50</v>
      </c>
      <c r="D10896" s="27" t="s">
        <v>7</v>
      </c>
      <c r="E10896" s="27" t="s">
        <v>41</v>
      </c>
      <c r="F10896" s="29"/>
      <c r="G10896" s="30">
        <v>581.24</v>
      </c>
    </row>
    <row r="10897" spans="1:7" hidden="1" x14ac:dyDescent="0.25">
      <c r="A10897" s="28">
        <v>44470</v>
      </c>
      <c r="B10897" s="27" t="s">
        <v>2</v>
      </c>
      <c r="C10897" s="27" t="s">
        <v>50</v>
      </c>
      <c r="D10897" s="27" t="s">
        <v>7</v>
      </c>
      <c r="E10897" s="27" t="s">
        <v>10</v>
      </c>
      <c r="F10897" s="29"/>
      <c r="G10897" s="30">
        <v>763.78</v>
      </c>
    </row>
    <row r="10898" spans="1:7" hidden="1" x14ac:dyDescent="0.25">
      <c r="A10898" s="28">
        <v>44470</v>
      </c>
      <c r="B10898" s="27" t="s">
        <v>2</v>
      </c>
      <c r="C10898" s="27" t="s">
        <v>50</v>
      </c>
      <c r="D10898" s="27" t="s">
        <v>7</v>
      </c>
      <c r="E10898" s="27" t="s">
        <v>11</v>
      </c>
      <c r="F10898" s="29"/>
      <c r="G10898" s="30">
        <v>348.08</v>
      </c>
    </row>
    <row r="10899" spans="1:7" hidden="1" x14ac:dyDescent="0.25">
      <c r="A10899" s="28">
        <v>44470</v>
      </c>
      <c r="B10899" s="27" t="s">
        <v>2</v>
      </c>
      <c r="C10899" s="27" t="s">
        <v>50</v>
      </c>
      <c r="D10899" s="27" t="s">
        <v>7</v>
      </c>
      <c r="E10899" s="27" t="s">
        <v>12</v>
      </c>
      <c r="F10899" s="29"/>
      <c r="G10899" s="30">
        <v>412.68</v>
      </c>
    </row>
    <row r="10900" spans="1:7" hidden="1" x14ac:dyDescent="0.25">
      <c r="A10900" s="28">
        <v>44470</v>
      </c>
      <c r="B10900" s="27" t="s">
        <v>2</v>
      </c>
      <c r="C10900" s="27" t="s">
        <v>50</v>
      </c>
      <c r="D10900" s="27" t="s">
        <v>7</v>
      </c>
      <c r="E10900" s="27" t="s">
        <v>13</v>
      </c>
      <c r="F10900" s="29"/>
      <c r="G10900" s="30">
        <v>41.88</v>
      </c>
    </row>
    <row r="10901" spans="1:7" hidden="1" x14ac:dyDescent="0.25">
      <c r="A10901" s="28">
        <v>44470</v>
      </c>
      <c r="B10901" s="27" t="s">
        <v>2</v>
      </c>
      <c r="C10901" s="27" t="s">
        <v>50</v>
      </c>
      <c r="D10901" s="27" t="s">
        <v>7</v>
      </c>
      <c r="E10901" s="27" t="s">
        <v>14</v>
      </c>
      <c r="F10901" s="29"/>
      <c r="G10901" s="30">
        <v>512.41999999999996</v>
      </c>
    </row>
    <row r="10902" spans="1:7" hidden="1" x14ac:dyDescent="0.25">
      <c r="A10902" s="28">
        <v>44470</v>
      </c>
      <c r="B10902" s="27" t="s">
        <v>2</v>
      </c>
      <c r="C10902" s="27" t="s">
        <v>50</v>
      </c>
      <c r="D10902" s="27" t="s">
        <v>7</v>
      </c>
      <c r="E10902" s="27" t="s">
        <v>15</v>
      </c>
      <c r="F10902" s="29"/>
      <c r="G10902" s="30">
        <v>576.28</v>
      </c>
    </row>
    <row r="10903" spans="1:7" hidden="1" x14ac:dyDescent="0.25">
      <c r="A10903" s="28">
        <v>44470</v>
      </c>
      <c r="B10903" s="27" t="s">
        <v>2</v>
      </c>
      <c r="C10903" s="27" t="s">
        <v>50</v>
      </c>
      <c r="D10903" s="27" t="s">
        <v>7</v>
      </c>
      <c r="E10903" s="27" t="s">
        <v>16</v>
      </c>
      <c r="F10903" s="29"/>
      <c r="G10903" s="30">
        <v>43.28</v>
      </c>
    </row>
    <row r="10904" spans="1:7" hidden="1" x14ac:dyDescent="0.25">
      <c r="A10904" s="28">
        <v>44470</v>
      </c>
      <c r="B10904" s="27" t="s">
        <v>2</v>
      </c>
      <c r="C10904" s="27" t="s">
        <v>50</v>
      </c>
      <c r="D10904" s="27" t="s">
        <v>7</v>
      </c>
      <c r="E10904" s="27" t="s">
        <v>17</v>
      </c>
      <c r="F10904" s="29"/>
      <c r="G10904" s="30">
        <v>721.98</v>
      </c>
    </row>
    <row r="10905" spans="1:7" hidden="1" x14ac:dyDescent="0.25">
      <c r="A10905" s="28">
        <v>44470</v>
      </c>
      <c r="B10905" s="27" t="s">
        <v>2</v>
      </c>
      <c r="C10905" s="27" t="s">
        <v>50</v>
      </c>
      <c r="D10905" s="27" t="s">
        <v>7</v>
      </c>
      <c r="E10905" s="27" t="s">
        <v>18</v>
      </c>
      <c r="F10905" s="29"/>
      <c r="G10905" s="30">
        <v>33.72</v>
      </c>
    </row>
    <row r="10906" spans="1:7" hidden="1" x14ac:dyDescent="0.25">
      <c r="A10906" s="28">
        <v>44470</v>
      </c>
      <c r="B10906" s="27" t="s">
        <v>2</v>
      </c>
      <c r="C10906" s="27" t="s">
        <v>50</v>
      </c>
      <c r="D10906" s="27" t="s">
        <v>7</v>
      </c>
      <c r="E10906" s="27" t="s">
        <v>19</v>
      </c>
      <c r="F10906" s="29"/>
      <c r="G10906" s="30">
        <v>932.75</v>
      </c>
    </row>
    <row r="10907" spans="1:7" hidden="1" x14ac:dyDescent="0.25">
      <c r="A10907" s="28">
        <v>44470</v>
      </c>
      <c r="B10907" s="27" t="s">
        <v>2</v>
      </c>
      <c r="C10907" s="27" t="s">
        <v>50</v>
      </c>
      <c r="D10907" s="27" t="s">
        <v>7</v>
      </c>
      <c r="E10907" s="27" t="s">
        <v>20</v>
      </c>
      <c r="F10907" s="29"/>
      <c r="G10907" s="30">
        <v>702.02</v>
      </c>
    </row>
    <row r="10908" spans="1:7" hidden="1" x14ac:dyDescent="0.25">
      <c r="A10908" s="28">
        <v>44470</v>
      </c>
      <c r="B10908" s="27" t="s">
        <v>2</v>
      </c>
      <c r="C10908" s="27" t="s">
        <v>50</v>
      </c>
      <c r="D10908" s="27" t="s">
        <v>7</v>
      </c>
      <c r="E10908" s="27" t="s">
        <v>38</v>
      </c>
      <c r="F10908" s="29"/>
      <c r="G10908" s="30">
        <v>33.72</v>
      </c>
    </row>
    <row r="10909" spans="1:7" hidden="1" x14ac:dyDescent="0.25">
      <c r="A10909" s="28">
        <v>44470</v>
      </c>
      <c r="B10909" s="27" t="s">
        <v>2</v>
      </c>
      <c r="C10909" s="27" t="s">
        <v>50</v>
      </c>
      <c r="D10909" s="27" t="s">
        <v>7</v>
      </c>
      <c r="E10909" s="27" t="s">
        <v>23</v>
      </c>
      <c r="F10909" s="29"/>
      <c r="G10909" s="30">
        <v>462.96</v>
      </c>
    </row>
    <row r="10910" spans="1:7" hidden="1" x14ac:dyDescent="0.25">
      <c r="A10910" s="28">
        <v>44470</v>
      </c>
      <c r="B10910" s="27" t="s">
        <v>2</v>
      </c>
      <c r="C10910" s="27" t="s">
        <v>50</v>
      </c>
      <c r="D10910" s="27" t="s">
        <v>7</v>
      </c>
      <c r="E10910" s="27" t="s">
        <v>40</v>
      </c>
      <c r="F10910" s="29"/>
      <c r="G10910" s="30">
        <v>287.77999999999997</v>
      </c>
    </row>
    <row r="10911" spans="1:7" hidden="1" x14ac:dyDescent="0.25">
      <c r="A10911" s="28">
        <v>44470</v>
      </c>
      <c r="B10911" s="27" t="s">
        <v>2</v>
      </c>
      <c r="C10911" s="27" t="s">
        <v>50</v>
      </c>
      <c r="D10911" s="27" t="s">
        <v>7</v>
      </c>
      <c r="E10911" s="27" t="s">
        <v>42</v>
      </c>
      <c r="F10911" s="29"/>
      <c r="G10911" s="30">
        <v>170.68</v>
      </c>
    </row>
    <row r="10912" spans="1:7" hidden="1" x14ac:dyDescent="0.25">
      <c r="A10912" s="28">
        <v>44470</v>
      </c>
      <c r="B10912" s="27" t="s">
        <v>2</v>
      </c>
      <c r="C10912" s="27" t="s">
        <v>50</v>
      </c>
      <c r="D10912" s="27" t="s">
        <v>7</v>
      </c>
      <c r="E10912" s="27" t="s">
        <v>43</v>
      </c>
      <c r="F10912" s="29"/>
      <c r="G10912" s="30">
        <v>57.5</v>
      </c>
    </row>
    <row r="10913" spans="1:7" hidden="1" x14ac:dyDescent="0.25">
      <c r="A10913" s="28">
        <v>44470</v>
      </c>
      <c r="B10913" s="27" t="s">
        <v>2</v>
      </c>
      <c r="C10913" s="27" t="s">
        <v>50</v>
      </c>
      <c r="D10913" s="27" t="s">
        <v>7</v>
      </c>
      <c r="E10913" s="27" t="s">
        <v>72</v>
      </c>
      <c r="F10913" s="29"/>
      <c r="G10913" s="30">
        <v>368.8</v>
      </c>
    </row>
    <row r="10914" spans="1:7" hidden="1" x14ac:dyDescent="0.25">
      <c r="A10914" s="28">
        <v>44470</v>
      </c>
      <c r="B10914" s="27" t="s">
        <v>36</v>
      </c>
      <c r="C10914" s="27" t="s">
        <v>50</v>
      </c>
      <c r="D10914" s="27" t="s">
        <v>6</v>
      </c>
      <c r="E10914" s="27" t="s">
        <v>8</v>
      </c>
      <c r="F10914" s="29"/>
      <c r="G10914" s="30">
        <v>290.78291666666667</v>
      </c>
    </row>
    <row r="10915" spans="1:7" hidden="1" x14ac:dyDescent="0.25">
      <c r="A10915" s="28">
        <v>44470</v>
      </c>
      <c r="B10915" s="27" t="s">
        <v>36</v>
      </c>
      <c r="C10915" s="27" t="s">
        <v>50</v>
      </c>
      <c r="D10915" s="27" t="s">
        <v>6</v>
      </c>
      <c r="E10915" s="27" t="s">
        <v>9</v>
      </c>
      <c r="F10915" s="29"/>
      <c r="G10915" s="30">
        <v>290.78291666666667</v>
      </c>
    </row>
    <row r="10916" spans="1:7" hidden="1" x14ac:dyDescent="0.25">
      <c r="A10916" s="28">
        <v>44470</v>
      </c>
      <c r="B10916" s="27" t="s">
        <v>36</v>
      </c>
      <c r="C10916" s="27" t="s">
        <v>50</v>
      </c>
      <c r="D10916" s="27" t="s">
        <v>6</v>
      </c>
      <c r="E10916" s="27" t="s">
        <v>22</v>
      </c>
      <c r="F10916" s="29"/>
      <c r="G10916" s="30">
        <v>290.78291666666667</v>
      </c>
    </row>
    <row r="10917" spans="1:7" hidden="1" x14ac:dyDescent="0.25">
      <c r="A10917" s="28">
        <v>44470</v>
      </c>
      <c r="B10917" s="27" t="s">
        <v>36</v>
      </c>
      <c r="C10917" s="27" t="s">
        <v>50</v>
      </c>
      <c r="D10917" s="27" t="s">
        <v>6</v>
      </c>
      <c r="E10917" s="27" t="s">
        <v>39</v>
      </c>
      <c r="F10917" s="29"/>
      <c r="G10917" s="30">
        <v>290.78291666666667</v>
      </c>
    </row>
    <row r="10918" spans="1:7" hidden="1" x14ac:dyDescent="0.25">
      <c r="A10918" s="28">
        <v>44470</v>
      </c>
      <c r="B10918" s="27" t="s">
        <v>36</v>
      </c>
      <c r="C10918" s="27" t="s">
        <v>50</v>
      </c>
      <c r="D10918" s="27" t="s">
        <v>6</v>
      </c>
      <c r="E10918" s="27" t="s">
        <v>64</v>
      </c>
      <c r="F10918" s="29"/>
      <c r="G10918" s="30">
        <v>290.78291666666667</v>
      </c>
    </row>
    <row r="10919" spans="1:7" hidden="1" x14ac:dyDescent="0.25">
      <c r="A10919" s="28">
        <v>44470</v>
      </c>
      <c r="B10919" s="27" t="s">
        <v>36</v>
      </c>
      <c r="C10919" s="27" t="s">
        <v>50</v>
      </c>
      <c r="D10919" s="27" t="s">
        <v>6</v>
      </c>
      <c r="E10919" s="27" t="s">
        <v>21</v>
      </c>
      <c r="F10919" s="29"/>
      <c r="G10919" s="30">
        <v>290.78291666666667</v>
      </c>
    </row>
    <row r="10920" spans="1:7" hidden="1" x14ac:dyDescent="0.25">
      <c r="A10920" s="28">
        <v>44470</v>
      </c>
      <c r="B10920" s="27" t="s">
        <v>36</v>
      </c>
      <c r="C10920" s="27" t="s">
        <v>50</v>
      </c>
      <c r="D10920" s="27" t="s">
        <v>6</v>
      </c>
      <c r="E10920" s="27" t="s">
        <v>41</v>
      </c>
      <c r="F10920" s="29"/>
      <c r="G10920" s="30">
        <v>290.78291666666667</v>
      </c>
    </row>
    <row r="10921" spans="1:7" hidden="1" x14ac:dyDescent="0.25">
      <c r="A10921" s="28">
        <v>44470</v>
      </c>
      <c r="B10921" s="27" t="s">
        <v>36</v>
      </c>
      <c r="C10921" s="27" t="s">
        <v>50</v>
      </c>
      <c r="D10921" s="27" t="s">
        <v>6</v>
      </c>
      <c r="E10921" s="27" t="s">
        <v>10</v>
      </c>
      <c r="F10921" s="29"/>
      <c r="G10921" s="30">
        <v>290.78291666666667</v>
      </c>
    </row>
    <row r="10922" spans="1:7" hidden="1" x14ac:dyDescent="0.25">
      <c r="A10922" s="28">
        <v>44470</v>
      </c>
      <c r="B10922" s="27" t="s">
        <v>36</v>
      </c>
      <c r="C10922" s="27" t="s">
        <v>50</v>
      </c>
      <c r="D10922" s="27" t="s">
        <v>6</v>
      </c>
      <c r="E10922" s="27" t="s">
        <v>11</v>
      </c>
      <c r="F10922" s="29"/>
      <c r="G10922" s="30">
        <v>290.78291666666667</v>
      </c>
    </row>
    <row r="10923" spans="1:7" hidden="1" x14ac:dyDescent="0.25">
      <c r="A10923" s="28">
        <v>44470</v>
      </c>
      <c r="B10923" s="27" t="s">
        <v>36</v>
      </c>
      <c r="C10923" s="27" t="s">
        <v>50</v>
      </c>
      <c r="D10923" s="27" t="s">
        <v>6</v>
      </c>
      <c r="E10923" s="27" t="s">
        <v>12</v>
      </c>
      <c r="F10923" s="29"/>
      <c r="G10923" s="30">
        <v>290.78291666666667</v>
      </c>
    </row>
    <row r="10924" spans="1:7" hidden="1" x14ac:dyDescent="0.25">
      <c r="A10924" s="28">
        <v>44470</v>
      </c>
      <c r="B10924" s="27" t="s">
        <v>36</v>
      </c>
      <c r="C10924" s="27" t="s">
        <v>50</v>
      </c>
      <c r="D10924" s="27" t="s">
        <v>6</v>
      </c>
      <c r="E10924" s="27" t="s">
        <v>13</v>
      </c>
      <c r="F10924" s="29"/>
      <c r="G10924" s="30">
        <v>290.78291666666667</v>
      </c>
    </row>
    <row r="10925" spans="1:7" hidden="1" x14ac:dyDescent="0.25">
      <c r="A10925" s="28">
        <v>44470</v>
      </c>
      <c r="B10925" s="27" t="s">
        <v>36</v>
      </c>
      <c r="C10925" s="27" t="s">
        <v>50</v>
      </c>
      <c r="D10925" s="27" t="s">
        <v>6</v>
      </c>
      <c r="E10925" s="27" t="s">
        <v>14</v>
      </c>
      <c r="F10925" s="29"/>
      <c r="G10925" s="30">
        <v>290.78291666666667</v>
      </c>
    </row>
    <row r="10926" spans="1:7" hidden="1" x14ac:dyDescent="0.25">
      <c r="A10926" s="28">
        <v>44470</v>
      </c>
      <c r="B10926" s="27" t="s">
        <v>36</v>
      </c>
      <c r="C10926" s="27" t="s">
        <v>50</v>
      </c>
      <c r="D10926" s="27" t="s">
        <v>6</v>
      </c>
      <c r="E10926" s="27" t="s">
        <v>15</v>
      </c>
      <c r="F10926" s="29"/>
      <c r="G10926" s="30">
        <v>290.78291666666667</v>
      </c>
    </row>
    <row r="10927" spans="1:7" hidden="1" x14ac:dyDescent="0.25">
      <c r="A10927" s="28">
        <v>44470</v>
      </c>
      <c r="B10927" s="27" t="s">
        <v>36</v>
      </c>
      <c r="C10927" s="27" t="s">
        <v>50</v>
      </c>
      <c r="D10927" s="27" t="s">
        <v>6</v>
      </c>
      <c r="E10927" s="27" t="s">
        <v>16</v>
      </c>
      <c r="F10927" s="29"/>
      <c r="G10927" s="30">
        <v>290.78291666666667</v>
      </c>
    </row>
    <row r="10928" spans="1:7" hidden="1" x14ac:dyDescent="0.25">
      <c r="A10928" s="28">
        <v>44470</v>
      </c>
      <c r="B10928" s="27" t="s">
        <v>36</v>
      </c>
      <c r="C10928" s="27" t="s">
        <v>50</v>
      </c>
      <c r="D10928" s="27" t="s">
        <v>6</v>
      </c>
      <c r="E10928" s="27" t="s">
        <v>17</v>
      </c>
      <c r="F10928" s="29"/>
      <c r="G10928" s="30">
        <v>290.78291666666667</v>
      </c>
    </row>
    <row r="10929" spans="1:7" hidden="1" x14ac:dyDescent="0.25">
      <c r="A10929" s="28">
        <v>44470</v>
      </c>
      <c r="B10929" s="27" t="s">
        <v>36</v>
      </c>
      <c r="C10929" s="27" t="s">
        <v>50</v>
      </c>
      <c r="D10929" s="27" t="s">
        <v>6</v>
      </c>
      <c r="E10929" s="27" t="s">
        <v>18</v>
      </c>
      <c r="F10929" s="29"/>
      <c r="G10929" s="30">
        <v>290.78291666666667</v>
      </c>
    </row>
    <row r="10930" spans="1:7" hidden="1" x14ac:dyDescent="0.25">
      <c r="A10930" s="28">
        <v>44470</v>
      </c>
      <c r="B10930" s="27" t="s">
        <v>36</v>
      </c>
      <c r="C10930" s="27" t="s">
        <v>50</v>
      </c>
      <c r="D10930" s="27" t="s">
        <v>6</v>
      </c>
      <c r="E10930" s="27" t="s">
        <v>19</v>
      </c>
      <c r="F10930" s="29"/>
      <c r="G10930" s="30">
        <v>290.78291666666667</v>
      </c>
    </row>
    <row r="10931" spans="1:7" hidden="1" x14ac:dyDescent="0.25">
      <c r="A10931" s="28">
        <v>44470</v>
      </c>
      <c r="B10931" s="27" t="s">
        <v>36</v>
      </c>
      <c r="C10931" s="27" t="s">
        <v>50</v>
      </c>
      <c r="D10931" s="27" t="s">
        <v>6</v>
      </c>
      <c r="E10931" s="27" t="s">
        <v>20</v>
      </c>
      <c r="F10931" s="29"/>
      <c r="G10931" s="30">
        <v>290.78291666666667</v>
      </c>
    </row>
    <row r="10932" spans="1:7" hidden="1" x14ac:dyDescent="0.25">
      <c r="A10932" s="28">
        <v>44470</v>
      </c>
      <c r="B10932" s="27" t="s">
        <v>36</v>
      </c>
      <c r="C10932" s="27" t="s">
        <v>50</v>
      </c>
      <c r="D10932" s="27" t="s">
        <v>6</v>
      </c>
      <c r="E10932" s="27" t="s">
        <v>38</v>
      </c>
      <c r="F10932" s="29"/>
      <c r="G10932" s="30">
        <v>290.78291666666667</v>
      </c>
    </row>
    <row r="10933" spans="1:7" hidden="1" x14ac:dyDescent="0.25">
      <c r="A10933" s="28">
        <v>44470</v>
      </c>
      <c r="B10933" s="27" t="s">
        <v>36</v>
      </c>
      <c r="C10933" s="27" t="s">
        <v>50</v>
      </c>
      <c r="D10933" s="27" t="s">
        <v>6</v>
      </c>
      <c r="E10933" s="27" t="s">
        <v>23</v>
      </c>
      <c r="F10933" s="29"/>
      <c r="G10933" s="30">
        <v>290.78291666666667</v>
      </c>
    </row>
    <row r="10934" spans="1:7" hidden="1" x14ac:dyDescent="0.25">
      <c r="A10934" s="28">
        <v>44470</v>
      </c>
      <c r="B10934" s="27" t="s">
        <v>36</v>
      </c>
      <c r="C10934" s="27" t="s">
        <v>50</v>
      </c>
      <c r="D10934" s="27" t="s">
        <v>6</v>
      </c>
      <c r="E10934" s="27" t="s">
        <v>40</v>
      </c>
      <c r="F10934" s="29"/>
      <c r="G10934" s="30">
        <v>290.78291666666667</v>
      </c>
    </row>
    <row r="10935" spans="1:7" hidden="1" x14ac:dyDescent="0.25">
      <c r="A10935" s="28">
        <v>44470</v>
      </c>
      <c r="B10935" s="27" t="s">
        <v>36</v>
      </c>
      <c r="C10935" s="27" t="s">
        <v>50</v>
      </c>
      <c r="D10935" s="27" t="s">
        <v>6</v>
      </c>
      <c r="E10935" s="27" t="s">
        <v>42</v>
      </c>
      <c r="F10935" s="29"/>
      <c r="G10935" s="30">
        <v>290.78291666666667</v>
      </c>
    </row>
    <row r="10936" spans="1:7" hidden="1" x14ac:dyDescent="0.25">
      <c r="A10936" s="28">
        <v>44470</v>
      </c>
      <c r="B10936" s="27" t="s">
        <v>36</v>
      </c>
      <c r="C10936" s="27" t="s">
        <v>50</v>
      </c>
      <c r="D10936" s="27" t="s">
        <v>6</v>
      </c>
      <c r="E10936" s="27" t="s">
        <v>43</v>
      </c>
      <c r="F10936" s="29"/>
      <c r="G10936" s="30">
        <v>290.78291666666667</v>
      </c>
    </row>
    <row r="10937" spans="1:7" hidden="1" x14ac:dyDescent="0.25">
      <c r="A10937" s="28">
        <v>44470</v>
      </c>
      <c r="B10937" s="27" t="s">
        <v>36</v>
      </c>
      <c r="C10937" s="27" t="s">
        <v>50</v>
      </c>
      <c r="D10937" s="27" t="s">
        <v>6</v>
      </c>
      <c r="E10937" s="27" t="s">
        <v>72</v>
      </c>
      <c r="F10937" s="29"/>
      <c r="G10937" s="30">
        <v>290.78291666666667</v>
      </c>
    </row>
    <row r="10938" spans="1:7" hidden="1" x14ac:dyDescent="0.25">
      <c r="A10938" s="28">
        <v>44470</v>
      </c>
      <c r="B10938" s="27" t="s">
        <v>200</v>
      </c>
      <c r="C10938" s="27" t="s">
        <v>53</v>
      </c>
      <c r="D10938" s="27" t="s">
        <v>6</v>
      </c>
      <c r="E10938" s="27" t="s">
        <v>8</v>
      </c>
      <c r="F10938" s="29"/>
      <c r="G10938" s="30">
        <f t="shared" ref="G10938:G10958" si="197">4225.82862222222/21</f>
        <v>201.22993439153427</v>
      </c>
    </row>
    <row r="10939" spans="1:7" hidden="1" x14ac:dyDescent="0.25">
      <c r="A10939" s="28">
        <v>44470</v>
      </c>
      <c r="B10939" s="27" t="s">
        <v>200</v>
      </c>
      <c r="C10939" s="27" t="s">
        <v>53</v>
      </c>
      <c r="D10939" s="27" t="s">
        <v>6</v>
      </c>
      <c r="E10939" s="27" t="s">
        <v>9</v>
      </c>
      <c r="F10939" s="29"/>
      <c r="G10939" s="30">
        <f t="shared" si="197"/>
        <v>201.22993439153427</v>
      </c>
    </row>
    <row r="10940" spans="1:7" hidden="1" x14ac:dyDescent="0.25">
      <c r="A10940" s="28">
        <v>44470</v>
      </c>
      <c r="B10940" s="27" t="s">
        <v>200</v>
      </c>
      <c r="C10940" s="27" t="s">
        <v>53</v>
      </c>
      <c r="D10940" s="27" t="s">
        <v>6</v>
      </c>
      <c r="E10940" s="27" t="s">
        <v>22</v>
      </c>
      <c r="F10940" s="29"/>
      <c r="G10940" s="30">
        <f t="shared" si="197"/>
        <v>201.22993439153427</v>
      </c>
    </row>
    <row r="10941" spans="1:7" hidden="1" x14ac:dyDescent="0.25">
      <c r="A10941" s="28">
        <v>44470</v>
      </c>
      <c r="B10941" s="27" t="s">
        <v>200</v>
      </c>
      <c r="C10941" s="27" t="s">
        <v>53</v>
      </c>
      <c r="D10941" s="27" t="s">
        <v>6</v>
      </c>
      <c r="E10941" s="27" t="s">
        <v>39</v>
      </c>
      <c r="F10941" s="29"/>
      <c r="G10941" s="30">
        <f t="shared" si="197"/>
        <v>201.22993439153427</v>
      </c>
    </row>
    <row r="10942" spans="1:7" hidden="1" x14ac:dyDescent="0.25">
      <c r="A10942" s="28">
        <v>44470</v>
      </c>
      <c r="B10942" s="27" t="s">
        <v>200</v>
      </c>
      <c r="C10942" s="27" t="s">
        <v>53</v>
      </c>
      <c r="D10942" s="27" t="s">
        <v>6</v>
      </c>
      <c r="E10942" s="27" t="s">
        <v>64</v>
      </c>
      <c r="F10942" s="29"/>
      <c r="G10942" s="30">
        <f t="shared" si="197"/>
        <v>201.22993439153427</v>
      </c>
    </row>
    <row r="10943" spans="1:7" hidden="1" x14ac:dyDescent="0.25">
      <c r="A10943" s="28">
        <v>44470</v>
      </c>
      <c r="B10943" s="27" t="s">
        <v>200</v>
      </c>
      <c r="C10943" s="27" t="s">
        <v>53</v>
      </c>
      <c r="D10943" s="27" t="s">
        <v>6</v>
      </c>
      <c r="E10943" s="27" t="s">
        <v>21</v>
      </c>
      <c r="F10943" s="29"/>
      <c r="G10943" s="30">
        <f t="shared" si="197"/>
        <v>201.22993439153427</v>
      </c>
    </row>
    <row r="10944" spans="1:7" hidden="1" x14ac:dyDescent="0.25">
      <c r="A10944" s="28">
        <v>44470</v>
      </c>
      <c r="B10944" s="27" t="s">
        <v>200</v>
      </c>
      <c r="C10944" s="27" t="s">
        <v>53</v>
      </c>
      <c r="D10944" s="27" t="s">
        <v>6</v>
      </c>
      <c r="E10944" s="27" t="s">
        <v>41</v>
      </c>
      <c r="F10944" s="29"/>
      <c r="G10944" s="30">
        <f t="shared" si="197"/>
        <v>201.22993439153427</v>
      </c>
    </row>
    <row r="10945" spans="1:7" hidden="1" x14ac:dyDescent="0.25">
      <c r="A10945" s="28">
        <v>44470</v>
      </c>
      <c r="B10945" s="27" t="s">
        <v>200</v>
      </c>
      <c r="C10945" s="27" t="s">
        <v>53</v>
      </c>
      <c r="D10945" s="27" t="s">
        <v>6</v>
      </c>
      <c r="E10945" s="27" t="s">
        <v>10</v>
      </c>
      <c r="F10945" s="29"/>
      <c r="G10945" s="30">
        <f t="shared" si="197"/>
        <v>201.22993439153427</v>
      </c>
    </row>
    <row r="10946" spans="1:7" hidden="1" x14ac:dyDescent="0.25">
      <c r="A10946" s="28">
        <v>44470</v>
      </c>
      <c r="B10946" s="27" t="s">
        <v>200</v>
      </c>
      <c r="C10946" s="27" t="s">
        <v>53</v>
      </c>
      <c r="D10946" s="27" t="s">
        <v>6</v>
      </c>
      <c r="E10946" s="27" t="s">
        <v>11</v>
      </c>
      <c r="F10946" s="29"/>
      <c r="G10946" s="30">
        <f t="shared" si="197"/>
        <v>201.22993439153427</v>
      </c>
    </row>
    <row r="10947" spans="1:7" hidden="1" x14ac:dyDescent="0.25">
      <c r="A10947" s="28">
        <v>44470</v>
      </c>
      <c r="B10947" s="27" t="s">
        <v>200</v>
      </c>
      <c r="C10947" s="27" t="s">
        <v>53</v>
      </c>
      <c r="D10947" s="27" t="s">
        <v>6</v>
      </c>
      <c r="E10947" s="27" t="s">
        <v>12</v>
      </c>
      <c r="F10947" s="29"/>
      <c r="G10947" s="30">
        <f t="shared" si="197"/>
        <v>201.22993439153427</v>
      </c>
    </row>
    <row r="10948" spans="1:7" hidden="1" x14ac:dyDescent="0.25">
      <c r="A10948" s="28">
        <v>44470</v>
      </c>
      <c r="B10948" s="27" t="s">
        <v>200</v>
      </c>
      <c r="C10948" s="27" t="s">
        <v>53</v>
      </c>
      <c r="D10948" s="27" t="s">
        <v>6</v>
      </c>
      <c r="E10948" s="27" t="s">
        <v>13</v>
      </c>
      <c r="F10948" s="29"/>
      <c r="G10948" s="30">
        <f t="shared" si="197"/>
        <v>201.22993439153427</v>
      </c>
    </row>
    <row r="10949" spans="1:7" hidden="1" x14ac:dyDescent="0.25">
      <c r="A10949" s="28">
        <v>44470</v>
      </c>
      <c r="B10949" s="27" t="s">
        <v>200</v>
      </c>
      <c r="C10949" s="27" t="s">
        <v>53</v>
      </c>
      <c r="D10949" s="27" t="s">
        <v>6</v>
      </c>
      <c r="E10949" s="27" t="s">
        <v>14</v>
      </c>
      <c r="F10949" s="29"/>
      <c r="G10949" s="30">
        <f t="shared" si="197"/>
        <v>201.22993439153427</v>
      </c>
    </row>
    <row r="10950" spans="1:7" hidden="1" x14ac:dyDescent="0.25">
      <c r="A10950" s="28">
        <v>44470</v>
      </c>
      <c r="B10950" s="27" t="s">
        <v>200</v>
      </c>
      <c r="C10950" s="27" t="s">
        <v>53</v>
      </c>
      <c r="D10950" s="27" t="s">
        <v>6</v>
      </c>
      <c r="E10950" s="27" t="s">
        <v>15</v>
      </c>
      <c r="F10950" s="29"/>
      <c r="G10950" s="30">
        <f t="shared" si="197"/>
        <v>201.22993439153427</v>
      </c>
    </row>
    <row r="10951" spans="1:7" hidden="1" x14ac:dyDescent="0.25">
      <c r="A10951" s="28">
        <v>44470</v>
      </c>
      <c r="B10951" s="27" t="s">
        <v>200</v>
      </c>
      <c r="C10951" s="27" t="s">
        <v>53</v>
      </c>
      <c r="D10951" s="27" t="s">
        <v>6</v>
      </c>
      <c r="E10951" s="27" t="s">
        <v>16</v>
      </c>
      <c r="F10951" s="29"/>
      <c r="G10951" s="30">
        <f t="shared" si="197"/>
        <v>201.22993439153427</v>
      </c>
    </row>
    <row r="10952" spans="1:7" hidden="1" x14ac:dyDescent="0.25">
      <c r="A10952" s="28">
        <v>44470</v>
      </c>
      <c r="B10952" s="27" t="s">
        <v>200</v>
      </c>
      <c r="C10952" s="27" t="s">
        <v>53</v>
      </c>
      <c r="D10952" s="27" t="s">
        <v>6</v>
      </c>
      <c r="E10952" s="27" t="s">
        <v>17</v>
      </c>
      <c r="F10952" s="29"/>
      <c r="G10952" s="30">
        <f t="shared" si="197"/>
        <v>201.22993439153427</v>
      </c>
    </row>
    <row r="10953" spans="1:7" hidden="1" x14ac:dyDescent="0.25">
      <c r="A10953" s="28">
        <v>44470</v>
      </c>
      <c r="B10953" s="27" t="s">
        <v>200</v>
      </c>
      <c r="C10953" s="27" t="s">
        <v>53</v>
      </c>
      <c r="D10953" s="27" t="s">
        <v>6</v>
      </c>
      <c r="E10953" s="27" t="s">
        <v>18</v>
      </c>
      <c r="F10953" s="29"/>
      <c r="G10953" s="30">
        <f t="shared" si="197"/>
        <v>201.22993439153427</v>
      </c>
    </row>
    <row r="10954" spans="1:7" hidden="1" x14ac:dyDescent="0.25">
      <c r="A10954" s="28">
        <v>44470</v>
      </c>
      <c r="B10954" s="27" t="s">
        <v>200</v>
      </c>
      <c r="C10954" s="27" t="s">
        <v>53</v>
      </c>
      <c r="D10954" s="27" t="s">
        <v>6</v>
      </c>
      <c r="E10954" s="27" t="s">
        <v>19</v>
      </c>
      <c r="F10954" s="29"/>
      <c r="G10954" s="30">
        <f t="shared" si="197"/>
        <v>201.22993439153427</v>
      </c>
    </row>
    <row r="10955" spans="1:7" hidden="1" x14ac:dyDescent="0.25">
      <c r="A10955" s="28">
        <v>44470</v>
      </c>
      <c r="B10955" s="27" t="s">
        <v>200</v>
      </c>
      <c r="C10955" s="27" t="s">
        <v>53</v>
      </c>
      <c r="D10955" s="27" t="s">
        <v>6</v>
      </c>
      <c r="E10955" s="27" t="s">
        <v>20</v>
      </c>
      <c r="F10955" s="29"/>
      <c r="G10955" s="30">
        <f t="shared" si="197"/>
        <v>201.22993439153427</v>
      </c>
    </row>
    <row r="10956" spans="1:7" hidden="1" x14ac:dyDescent="0.25">
      <c r="A10956" s="28">
        <v>44470</v>
      </c>
      <c r="B10956" s="27" t="s">
        <v>200</v>
      </c>
      <c r="C10956" s="27" t="s">
        <v>53</v>
      </c>
      <c r="D10956" s="27" t="s">
        <v>6</v>
      </c>
      <c r="E10956" s="27" t="s">
        <v>38</v>
      </c>
      <c r="F10956" s="29"/>
      <c r="G10956" s="30">
        <f t="shared" si="197"/>
        <v>201.22993439153427</v>
      </c>
    </row>
    <row r="10957" spans="1:7" hidden="1" x14ac:dyDescent="0.25">
      <c r="A10957" s="28">
        <v>44470</v>
      </c>
      <c r="B10957" s="27" t="s">
        <v>200</v>
      </c>
      <c r="C10957" s="27" t="s">
        <v>53</v>
      </c>
      <c r="D10957" s="27" t="s">
        <v>6</v>
      </c>
      <c r="E10957" s="27" t="s">
        <v>23</v>
      </c>
      <c r="F10957" s="29"/>
      <c r="G10957" s="30">
        <f t="shared" si="197"/>
        <v>201.22993439153427</v>
      </c>
    </row>
    <row r="10958" spans="1:7" hidden="1" x14ac:dyDescent="0.25">
      <c r="A10958" s="28">
        <v>44470</v>
      </c>
      <c r="B10958" s="27" t="s">
        <v>200</v>
      </c>
      <c r="C10958" s="27" t="s">
        <v>53</v>
      </c>
      <c r="D10958" s="27" t="s">
        <v>6</v>
      </c>
      <c r="E10958" s="27" t="s">
        <v>40</v>
      </c>
      <c r="F10958" s="29"/>
      <c r="G10958" s="30">
        <f t="shared" si="197"/>
        <v>201.22993439153427</v>
      </c>
    </row>
    <row r="10959" spans="1:7" hidden="1" x14ac:dyDescent="0.25">
      <c r="A10959" s="28">
        <v>44470</v>
      </c>
      <c r="B10959" s="27" t="s">
        <v>200</v>
      </c>
      <c r="C10959" s="27" t="s">
        <v>54</v>
      </c>
      <c r="D10959" s="27" t="s">
        <v>7</v>
      </c>
      <c r="E10959" s="27" t="s">
        <v>8</v>
      </c>
      <c r="F10959" s="29"/>
      <c r="G10959" s="30">
        <f t="shared" ref="G10959:G10982" si="198">661.39/24</f>
        <v>27.557916666666667</v>
      </c>
    </row>
    <row r="10960" spans="1:7" hidden="1" x14ac:dyDescent="0.25">
      <c r="A10960" s="28">
        <v>44470</v>
      </c>
      <c r="B10960" s="27" t="s">
        <v>200</v>
      </c>
      <c r="C10960" s="27" t="s">
        <v>54</v>
      </c>
      <c r="D10960" s="27" t="s">
        <v>7</v>
      </c>
      <c r="E10960" s="27" t="s">
        <v>9</v>
      </c>
      <c r="F10960" s="29"/>
      <c r="G10960" s="30">
        <f t="shared" si="198"/>
        <v>27.557916666666667</v>
      </c>
    </row>
    <row r="10961" spans="1:7" hidden="1" x14ac:dyDescent="0.25">
      <c r="A10961" s="28">
        <v>44470</v>
      </c>
      <c r="B10961" s="27" t="s">
        <v>200</v>
      </c>
      <c r="C10961" s="27" t="s">
        <v>54</v>
      </c>
      <c r="D10961" s="27" t="s">
        <v>7</v>
      </c>
      <c r="E10961" s="27" t="s">
        <v>22</v>
      </c>
      <c r="F10961" s="29"/>
      <c r="G10961" s="30">
        <f t="shared" si="198"/>
        <v>27.557916666666667</v>
      </c>
    </row>
    <row r="10962" spans="1:7" hidden="1" x14ac:dyDescent="0.25">
      <c r="A10962" s="28">
        <v>44470</v>
      </c>
      <c r="B10962" s="27" t="s">
        <v>200</v>
      </c>
      <c r="C10962" s="27" t="s">
        <v>54</v>
      </c>
      <c r="D10962" s="27" t="s">
        <v>7</v>
      </c>
      <c r="E10962" s="27" t="s">
        <v>39</v>
      </c>
      <c r="F10962" s="29"/>
      <c r="G10962" s="30">
        <f t="shared" si="198"/>
        <v>27.557916666666667</v>
      </c>
    </row>
    <row r="10963" spans="1:7" hidden="1" x14ac:dyDescent="0.25">
      <c r="A10963" s="28">
        <v>44470</v>
      </c>
      <c r="B10963" s="27" t="s">
        <v>200</v>
      </c>
      <c r="C10963" s="27" t="s">
        <v>54</v>
      </c>
      <c r="D10963" s="27" t="s">
        <v>7</v>
      </c>
      <c r="E10963" s="27" t="s">
        <v>64</v>
      </c>
      <c r="F10963" s="29"/>
      <c r="G10963" s="30">
        <f t="shared" si="198"/>
        <v>27.557916666666667</v>
      </c>
    </row>
    <row r="10964" spans="1:7" hidden="1" x14ac:dyDescent="0.25">
      <c r="A10964" s="28">
        <v>44470</v>
      </c>
      <c r="B10964" s="27" t="s">
        <v>200</v>
      </c>
      <c r="C10964" s="27" t="s">
        <v>54</v>
      </c>
      <c r="D10964" s="27" t="s">
        <v>7</v>
      </c>
      <c r="E10964" s="27" t="s">
        <v>21</v>
      </c>
      <c r="F10964" s="29"/>
      <c r="G10964" s="30">
        <f t="shared" si="198"/>
        <v>27.557916666666667</v>
      </c>
    </row>
    <row r="10965" spans="1:7" hidden="1" x14ac:dyDescent="0.25">
      <c r="A10965" s="28">
        <v>44470</v>
      </c>
      <c r="B10965" s="27" t="s">
        <v>200</v>
      </c>
      <c r="C10965" s="27" t="s">
        <v>54</v>
      </c>
      <c r="D10965" s="27" t="s">
        <v>7</v>
      </c>
      <c r="E10965" s="27" t="s">
        <v>41</v>
      </c>
      <c r="F10965" s="29"/>
      <c r="G10965" s="30">
        <f t="shared" si="198"/>
        <v>27.557916666666667</v>
      </c>
    </row>
    <row r="10966" spans="1:7" hidden="1" x14ac:dyDescent="0.25">
      <c r="A10966" s="28">
        <v>44470</v>
      </c>
      <c r="B10966" s="27" t="s">
        <v>200</v>
      </c>
      <c r="C10966" s="27" t="s">
        <v>54</v>
      </c>
      <c r="D10966" s="27" t="s">
        <v>7</v>
      </c>
      <c r="E10966" s="27" t="s">
        <v>10</v>
      </c>
      <c r="F10966" s="29"/>
      <c r="G10966" s="30">
        <f t="shared" si="198"/>
        <v>27.557916666666667</v>
      </c>
    </row>
    <row r="10967" spans="1:7" hidden="1" x14ac:dyDescent="0.25">
      <c r="A10967" s="28">
        <v>44470</v>
      </c>
      <c r="B10967" s="27" t="s">
        <v>200</v>
      </c>
      <c r="C10967" s="27" t="s">
        <v>54</v>
      </c>
      <c r="D10967" s="27" t="s">
        <v>7</v>
      </c>
      <c r="E10967" s="27" t="s">
        <v>11</v>
      </c>
      <c r="F10967" s="29"/>
      <c r="G10967" s="30">
        <f t="shared" si="198"/>
        <v>27.557916666666667</v>
      </c>
    </row>
    <row r="10968" spans="1:7" hidden="1" x14ac:dyDescent="0.25">
      <c r="A10968" s="28">
        <v>44470</v>
      </c>
      <c r="B10968" s="27" t="s">
        <v>200</v>
      </c>
      <c r="C10968" s="27" t="s">
        <v>54</v>
      </c>
      <c r="D10968" s="27" t="s">
        <v>7</v>
      </c>
      <c r="E10968" s="27" t="s">
        <v>12</v>
      </c>
      <c r="F10968" s="29"/>
      <c r="G10968" s="30">
        <f t="shared" si="198"/>
        <v>27.557916666666667</v>
      </c>
    </row>
    <row r="10969" spans="1:7" hidden="1" x14ac:dyDescent="0.25">
      <c r="A10969" s="28">
        <v>44470</v>
      </c>
      <c r="B10969" s="27" t="s">
        <v>200</v>
      </c>
      <c r="C10969" s="27" t="s">
        <v>54</v>
      </c>
      <c r="D10969" s="27" t="s">
        <v>7</v>
      </c>
      <c r="E10969" s="27" t="s">
        <v>13</v>
      </c>
      <c r="F10969" s="29"/>
      <c r="G10969" s="30">
        <f t="shared" si="198"/>
        <v>27.557916666666667</v>
      </c>
    </row>
    <row r="10970" spans="1:7" hidden="1" x14ac:dyDescent="0.25">
      <c r="A10970" s="28">
        <v>44470</v>
      </c>
      <c r="B10970" s="27" t="s">
        <v>200</v>
      </c>
      <c r="C10970" s="27" t="s">
        <v>54</v>
      </c>
      <c r="D10970" s="27" t="s">
        <v>7</v>
      </c>
      <c r="E10970" s="27" t="s">
        <v>14</v>
      </c>
      <c r="F10970" s="29"/>
      <c r="G10970" s="30">
        <f t="shared" si="198"/>
        <v>27.557916666666667</v>
      </c>
    </row>
    <row r="10971" spans="1:7" hidden="1" x14ac:dyDescent="0.25">
      <c r="A10971" s="28">
        <v>44470</v>
      </c>
      <c r="B10971" s="27" t="s">
        <v>200</v>
      </c>
      <c r="C10971" s="27" t="s">
        <v>54</v>
      </c>
      <c r="D10971" s="27" t="s">
        <v>7</v>
      </c>
      <c r="E10971" s="27" t="s">
        <v>15</v>
      </c>
      <c r="F10971" s="29"/>
      <c r="G10971" s="30">
        <f t="shared" si="198"/>
        <v>27.557916666666667</v>
      </c>
    </row>
    <row r="10972" spans="1:7" hidden="1" x14ac:dyDescent="0.25">
      <c r="A10972" s="28">
        <v>44470</v>
      </c>
      <c r="B10972" s="27" t="s">
        <v>200</v>
      </c>
      <c r="C10972" s="27" t="s">
        <v>54</v>
      </c>
      <c r="D10972" s="27" t="s">
        <v>7</v>
      </c>
      <c r="E10972" s="27" t="s">
        <v>16</v>
      </c>
      <c r="F10972" s="29"/>
      <c r="G10972" s="30">
        <f t="shared" si="198"/>
        <v>27.557916666666667</v>
      </c>
    </row>
    <row r="10973" spans="1:7" hidden="1" x14ac:dyDescent="0.25">
      <c r="A10973" s="28">
        <v>44470</v>
      </c>
      <c r="B10973" s="27" t="s">
        <v>200</v>
      </c>
      <c r="C10973" s="27" t="s">
        <v>54</v>
      </c>
      <c r="D10973" s="27" t="s">
        <v>7</v>
      </c>
      <c r="E10973" s="27" t="s">
        <v>17</v>
      </c>
      <c r="F10973" s="29"/>
      <c r="G10973" s="30">
        <f t="shared" si="198"/>
        <v>27.557916666666667</v>
      </c>
    </row>
    <row r="10974" spans="1:7" hidden="1" x14ac:dyDescent="0.25">
      <c r="A10974" s="28">
        <v>44470</v>
      </c>
      <c r="B10974" s="27" t="s">
        <v>200</v>
      </c>
      <c r="C10974" s="27" t="s">
        <v>54</v>
      </c>
      <c r="D10974" s="27" t="s">
        <v>7</v>
      </c>
      <c r="E10974" s="27" t="s">
        <v>18</v>
      </c>
      <c r="F10974" s="29"/>
      <c r="G10974" s="30">
        <f t="shared" si="198"/>
        <v>27.557916666666667</v>
      </c>
    </row>
    <row r="10975" spans="1:7" hidden="1" x14ac:dyDescent="0.25">
      <c r="A10975" s="28">
        <v>44470</v>
      </c>
      <c r="B10975" s="27" t="s">
        <v>200</v>
      </c>
      <c r="C10975" s="27" t="s">
        <v>54</v>
      </c>
      <c r="D10975" s="27" t="s">
        <v>7</v>
      </c>
      <c r="E10975" s="27" t="s">
        <v>19</v>
      </c>
      <c r="F10975" s="29"/>
      <c r="G10975" s="30">
        <f t="shared" si="198"/>
        <v>27.557916666666667</v>
      </c>
    </row>
    <row r="10976" spans="1:7" hidden="1" x14ac:dyDescent="0.25">
      <c r="A10976" s="28">
        <v>44470</v>
      </c>
      <c r="B10976" s="27" t="s">
        <v>200</v>
      </c>
      <c r="C10976" s="27" t="s">
        <v>54</v>
      </c>
      <c r="D10976" s="27" t="s">
        <v>7</v>
      </c>
      <c r="E10976" s="27" t="s">
        <v>20</v>
      </c>
      <c r="F10976" s="29"/>
      <c r="G10976" s="30">
        <f t="shared" si="198"/>
        <v>27.557916666666667</v>
      </c>
    </row>
    <row r="10977" spans="1:7" hidden="1" x14ac:dyDescent="0.25">
      <c r="A10977" s="28">
        <v>44470</v>
      </c>
      <c r="B10977" s="27" t="s">
        <v>200</v>
      </c>
      <c r="C10977" s="27" t="s">
        <v>54</v>
      </c>
      <c r="D10977" s="27" t="s">
        <v>7</v>
      </c>
      <c r="E10977" s="27" t="s">
        <v>38</v>
      </c>
      <c r="F10977" s="29"/>
      <c r="G10977" s="30">
        <f t="shared" si="198"/>
        <v>27.557916666666667</v>
      </c>
    </row>
    <row r="10978" spans="1:7" hidden="1" x14ac:dyDescent="0.25">
      <c r="A10978" s="28">
        <v>44470</v>
      </c>
      <c r="B10978" s="27" t="s">
        <v>200</v>
      </c>
      <c r="C10978" s="27" t="s">
        <v>54</v>
      </c>
      <c r="D10978" s="27" t="s">
        <v>7</v>
      </c>
      <c r="E10978" s="27" t="s">
        <v>23</v>
      </c>
      <c r="F10978" s="29"/>
      <c r="G10978" s="30">
        <f t="shared" si="198"/>
        <v>27.557916666666667</v>
      </c>
    </row>
    <row r="10979" spans="1:7" hidden="1" x14ac:dyDescent="0.25">
      <c r="A10979" s="28">
        <v>44470</v>
      </c>
      <c r="B10979" s="27" t="s">
        <v>200</v>
      </c>
      <c r="C10979" s="27" t="s">
        <v>54</v>
      </c>
      <c r="D10979" s="27" t="s">
        <v>7</v>
      </c>
      <c r="E10979" s="27" t="s">
        <v>40</v>
      </c>
      <c r="F10979" s="29"/>
      <c r="G10979" s="30">
        <f t="shared" si="198"/>
        <v>27.557916666666667</v>
      </c>
    </row>
    <row r="10980" spans="1:7" hidden="1" x14ac:dyDescent="0.25">
      <c r="A10980" s="28">
        <v>44470</v>
      </c>
      <c r="B10980" s="27" t="s">
        <v>200</v>
      </c>
      <c r="C10980" s="27" t="s">
        <v>54</v>
      </c>
      <c r="D10980" s="27" t="s">
        <v>7</v>
      </c>
      <c r="E10980" s="27" t="s">
        <v>42</v>
      </c>
      <c r="F10980" s="29"/>
      <c r="G10980" s="30">
        <f t="shared" si="198"/>
        <v>27.557916666666667</v>
      </c>
    </row>
    <row r="10981" spans="1:7" hidden="1" x14ac:dyDescent="0.25">
      <c r="A10981" s="28">
        <v>44470</v>
      </c>
      <c r="B10981" s="27" t="s">
        <v>200</v>
      </c>
      <c r="C10981" s="27" t="s">
        <v>54</v>
      </c>
      <c r="D10981" s="27" t="s">
        <v>7</v>
      </c>
      <c r="E10981" s="27" t="s">
        <v>43</v>
      </c>
      <c r="F10981" s="29"/>
      <c r="G10981" s="30">
        <f t="shared" si="198"/>
        <v>27.557916666666667</v>
      </c>
    </row>
    <row r="10982" spans="1:7" hidden="1" x14ac:dyDescent="0.25">
      <c r="A10982" s="28">
        <v>44470</v>
      </c>
      <c r="B10982" s="27" t="s">
        <v>200</v>
      </c>
      <c r="C10982" s="27" t="s">
        <v>54</v>
      </c>
      <c r="D10982" s="27" t="s">
        <v>7</v>
      </c>
      <c r="E10982" s="27" t="s">
        <v>72</v>
      </c>
      <c r="F10982" s="29"/>
      <c r="G10982" s="30">
        <f t="shared" si="198"/>
        <v>27.557916666666667</v>
      </c>
    </row>
    <row r="10983" spans="1:7" hidden="1" x14ac:dyDescent="0.25">
      <c r="A10983" s="28">
        <v>44470</v>
      </c>
      <c r="B10983" s="27" t="s">
        <v>200</v>
      </c>
      <c r="C10983" s="27" t="s">
        <v>55</v>
      </c>
      <c r="D10983" s="27" t="s">
        <v>6</v>
      </c>
      <c r="E10983" s="27" t="s">
        <v>8</v>
      </c>
      <c r="F10983" s="29"/>
      <c r="G10983" s="30">
        <f t="shared" ref="G10983:G11003" si="199">33459.5691555556/21</f>
        <v>1593.312816931219</v>
      </c>
    </row>
    <row r="10984" spans="1:7" hidden="1" x14ac:dyDescent="0.25">
      <c r="A10984" s="28">
        <v>44470</v>
      </c>
      <c r="B10984" s="27" t="s">
        <v>200</v>
      </c>
      <c r="C10984" s="27" t="s">
        <v>55</v>
      </c>
      <c r="D10984" s="27" t="s">
        <v>6</v>
      </c>
      <c r="E10984" s="27" t="s">
        <v>9</v>
      </c>
      <c r="F10984" s="29"/>
      <c r="G10984" s="30">
        <f t="shared" si="199"/>
        <v>1593.312816931219</v>
      </c>
    </row>
    <row r="10985" spans="1:7" hidden="1" x14ac:dyDescent="0.25">
      <c r="A10985" s="28">
        <v>44470</v>
      </c>
      <c r="B10985" s="27" t="s">
        <v>200</v>
      </c>
      <c r="C10985" s="27" t="s">
        <v>55</v>
      </c>
      <c r="D10985" s="27" t="s">
        <v>6</v>
      </c>
      <c r="E10985" s="27" t="s">
        <v>22</v>
      </c>
      <c r="F10985" s="29"/>
      <c r="G10985" s="30">
        <f t="shared" si="199"/>
        <v>1593.312816931219</v>
      </c>
    </row>
    <row r="10986" spans="1:7" hidden="1" x14ac:dyDescent="0.25">
      <c r="A10986" s="28">
        <v>44470</v>
      </c>
      <c r="B10986" s="27" t="s">
        <v>200</v>
      </c>
      <c r="C10986" s="27" t="s">
        <v>55</v>
      </c>
      <c r="D10986" s="27" t="s">
        <v>6</v>
      </c>
      <c r="E10986" s="27" t="s">
        <v>39</v>
      </c>
      <c r="F10986" s="29"/>
      <c r="G10986" s="30">
        <f t="shared" si="199"/>
        <v>1593.312816931219</v>
      </c>
    </row>
    <row r="10987" spans="1:7" hidden="1" x14ac:dyDescent="0.25">
      <c r="A10987" s="28">
        <v>44470</v>
      </c>
      <c r="B10987" s="27" t="s">
        <v>200</v>
      </c>
      <c r="C10987" s="27" t="s">
        <v>55</v>
      </c>
      <c r="D10987" s="27" t="s">
        <v>6</v>
      </c>
      <c r="E10987" s="27" t="s">
        <v>64</v>
      </c>
      <c r="F10987" s="29"/>
      <c r="G10987" s="30">
        <f t="shared" si="199"/>
        <v>1593.312816931219</v>
      </c>
    </row>
    <row r="10988" spans="1:7" hidden="1" x14ac:dyDescent="0.25">
      <c r="A10988" s="28">
        <v>44470</v>
      </c>
      <c r="B10988" s="27" t="s">
        <v>200</v>
      </c>
      <c r="C10988" s="27" t="s">
        <v>55</v>
      </c>
      <c r="D10988" s="27" t="s">
        <v>6</v>
      </c>
      <c r="E10988" s="27" t="s">
        <v>21</v>
      </c>
      <c r="F10988" s="29"/>
      <c r="G10988" s="30">
        <f t="shared" si="199"/>
        <v>1593.312816931219</v>
      </c>
    </row>
    <row r="10989" spans="1:7" hidden="1" x14ac:dyDescent="0.25">
      <c r="A10989" s="28">
        <v>44470</v>
      </c>
      <c r="B10989" s="27" t="s">
        <v>200</v>
      </c>
      <c r="C10989" s="27" t="s">
        <v>55</v>
      </c>
      <c r="D10989" s="27" t="s">
        <v>6</v>
      </c>
      <c r="E10989" s="27" t="s">
        <v>41</v>
      </c>
      <c r="F10989" s="29"/>
      <c r="G10989" s="30">
        <f t="shared" si="199"/>
        <v>1593.312816931219</v>
      </c>
    </row>
    <row r="10990" spans="1:7" hidden="1" x14ac:dyDescent="0.25">
      <c r="A10990" s="28">
        <v>44470</v>
      </c>
      <c r="B10990" s="27" t="s">
        <v>200</v>
      </c>
      <c r="C10990" s="27" t="s">
        <v>55</v>
      </c>
      <c r="D10990" s="27" t="s">
        <v>6</v>
      </c>
      <c r="E10990" s="27" t="s">
        <v>10</v>
      </c>
      <c r="F10990" s="29"/>
      <c r="G10990" s="30">
        <f t="shared" si="199"/>
        <v>1593.312816931219</v>
      </c>
    </row>
    <row r="10991" spans="1:7" hidden="1" x14ac:dyDescent="0.25">
      <c r="A10991" s="28">
        <v>44470</v>
      </c>
      <c r="B10991" s="27" t="s">
        <v>200</v>
      </c>
      <c r="C10991" s="27" t="s">
        <v>55</v>
      </c>
      <c r="D10991" s="27" t="s">
        <v>6</v>
      </c>
      <c r="E10991" s="27" t="s">
        <v>11</v>
      </c>
      <c r="F10991" s="29"/>
      <c r="G10991" s="30">
        <f t="shared" si="199"/>
        <v>1593.312816931219</v>
      </c>
    </row>
    <row r="10992" spans="1:7" hidden="1" x14ac:dyDescent="0.25">
      <c r="A10992" s="28">
        <v>44470</v>
      </c>
      <c r="B10992" s="27" t="s">
        <v>200</v>
      </c>
      <c r="C10992" s="27" t="s">
        <v>55</v>
      </c>
      <c r="D10992" s="27" t="s">
        <v>6</v>
      </c>
      <c r="E10992" s="27" t="s">
        <v>12</v>
      </c>
      <c r="F10992" s="29"/>
      <c r="G10992" s="30">
        <f t="shared" si="199"/>
        <v>1593.312816931219</v>
      </c>
    </row>
    <row r="10993" spans="1:7" hidden="1" x14ac:dyDescent="0.25">
      <c r="A10993" s="28">
        <v>44470</v>
      </c>
      <c r="B10993" s="27" t="s">
        <v>200</v>
      </c>
      <c r="C10993" s="27" t="s">
        <v>55</v>
      </c>
      <c r="D10993" s="27" t="s">
        <v>6</v>
      </c>
      <c r="E10993" s="27" t="s">
        <v>13</v>
      </c>
      <c r="F10993" s="29"/>
      <c r="G10993" s="30">
        <f t="shared" si="199"/>
        <v>1593.312816931219</v>
      </c>
    </row>
    <row r="10994" spans="1:7" hidden="1" x14ac:dyDescent="0.25">
      <c r="A10994" s="28">
        <v>44470</v>
      </c>
      <c r="B10994" s="27" t="s">
        <v>200</v>
      </c>
      <c r="C10994" s="27" t="s">
        <v>55</v>
      </c>
      <c r="D10994" s="27" t="s">
        <v>6</v>
      </c>
      <c r="E10994" s="27" t="s">
        <v>14</v>
      </c>
      <c r="F10994" s="29"/>
      <c r="G10994" s="30">
        <f t="shared" si="199"/>
        <v>1593.312816931219</v>
      </c>
    </row>
    <row r="10995" spans="1:7" hidden="1" x14ac:dyDescent="0.25">
      <c r="A10995" s="28">
        <v>44470</v>
      </c>
      <c r="B10995" s="27" t="s">
        <v>200</v>
      </c>
      <c r="C10995" s="27" t="s">
        <v>55</v>
      </c>
      <c r="D10995" s="27" t="s">
        <v>6</v>
      </c>
      <c r="E10995" s="27" t="s">
        <v>15</v>
      </c>
      <c r="F10995" s="29"/>
      <c r="G10995" s="30">
        <f t="shared" si="199"/>
        <v>1593.312816931219</v>
      </c>
    </row>
    <row r="10996" spans="1:7" hidden="1" x14ac:dyDescent="0.25">
      <c r="A10996" s="28">
        <v>44470</v>
      </c>
      <c r="B10996" s="27" t="s">
        <v>200</v>
      </c>
      <c r="C10996" s="27" t="s">
        <v>55</v>
      </c>
      <c r="D10996" s="27" t="s">
        <v>6</v>
      </c>
      <c r="E10996" s="27" t="s">
        <v>16</v>
      </c>
      <c r="F10996" s="29"/>
      <c r="G10996" s="30">
        <f t="shared" si="199"/>
        <v>1593.312816931219</v>
      </c>
    </row>
    <row r="10997" spans="1:7" hidden="1" x14ac:dyDescent="0.25">
      <c r="A10997" s="28">
        <v>44470</v>
      </c>
      <c r="B10997" s="27" t="s">
        <v>200</v>
      </c>
      <c r="C10997" s="27" t="s">
        <v>55</v>
      </c>
      <c r="D10997" s="27" t="s">
        <v>6</v>
      </c>
      <c r="E10997" s="27" t="s">
        <v>17</v>
      </c>
      <c r="F10997" s="29"/>
      <c r="G10997" s="30">
        <f t="shared" si="199"/>
        <v>1593.312816931219</v>
      </c>
    </row>
    <row r="10998" spans="1:7" hidden="1" x14ac:dyDescent="0.25">
      <c r="A10998" s="28">
        <v>44470</v>
      </c>
      <c r="B10998" s="27" t="s">
        <v>200</v>
      </c>
      <c r="C10998" s="27" t="s">
        <v>55</v>
      </c>
      <c r="D10998" s="27" t="s">
        <v>6</v>
      </c>
      <c r="E10998" s="27" t="s">
        <v>18</v>
      </c>
      <c r="F10998" s="29"/>
      <c r="G10998" s="30">
        <f t="shared" si="199"/>
        <v>1593.312816931219</v>
      </c>
    </row>
    <row r="10999" spans="1:7" hidden="1" x14ac:dyDescent="0.25">
      <c r="A10999" s="28">
        <v>44470</v>
      </c>
      <c r="B10999" s="27" t="s">
        <v>200</v>
      </c>
      <c r="C10999" s="27" t="s">
        <v>55</v>
      </c>
      <c r="D10999" s="27" t="s">
        <v>6</v>
      </c>
      <c r="E10999" s="27" t="s">
        <v>19</v>
      </c>
      <c r="F10999" s="29"/>
      <c r="G10999" s="30">
        <f t="shared" si="199"/>
        <v>1593.312816931219</v>
      </c>
    </row>
    <row r="11000" spans="1:7" hidden="1" x14ac:dyDescent="0.25">
      <c r="A11000" s="28">
        <v>44470</v>
      </c>
      <c r="B11000" s="27" t="s">
        <v>200</v>
      </c>
      <c r="C11000" s="27" t="s">
        <v>55</v>
      </c>
      <c r="D11000" s="27" t="s">
        <v>6</v>
      </c>
      <c r="E11000" s="27" t="s">
        <v>20</v>
      </c>
      <c r="F11000" s="29"/>
      <c r="G11000" s="30">
        <f t="shared" si="199"/>
        <v>1593.312816931219</v>
      </c>
    </row>
    <row r="11001" spans="1:7" hidden="1" x14ac:dyDescent="0.25">
      <c r="A11001" s="28">
        <v>44470</v>
      </c>
      <c r="B11001" s="27" t="s">
        <v>200</v>
      </c>
      <c r="C11001" s="27" t="s">
        <v>55</v>
      </c>
      <c r="D11001" s="27" t="s">
        <v>6</v>
      </c>
      <c r="E11001" s="27" t="s">
        <v>38</v>
      </c>
      <c r="F11001" s="29"/>
      <c r="G11001" s="30">
        <f t="shared" si="199"/>
        <v>1593.312816931219</v>
      </c>
    </row>
    <row r="11002" spans="1:7" hidden="1" x14ac:dyDescent="0.25">
      <c r="A11002" s="28">
        <v>44470</v>
      </c>
      <c r="B11002" s="27" t="s">
        <v>200</v>
      </c>
      <c r="C11002" s="27" t="s">
        <v>55</v>
      </c>
      <c r="D11002" s="27" t="s">
        <v>6</v>
      </c>
      <c r="E11002" s="27" t="s">
        <v>23</v>
      </c>
      <c r="F11002" s="29"/>
      <c r="G11002" s="30">
        <f t="shared" si="199"/>
        <v>1593.312816931219</v>
      </c>
    </row>
    <row r="11003" spans="1:7" hidden="1" x14ac:dyDescent="0.25">
      <c r="A11003" s="28">
        <v>44470</v>
      </c>
      <c r="B11003" s="27" t="s">
        <v>200</v>
      </c>
      <c r="C11003" s="27" t="s">
        <v>55</v>
      </c>
      <c r="D11003" s="27" t="s">
        <v>6</v>
      </c>
      <c r="E11003" s="27" t="s">
        <v>40</v>
      </c>
      <c r="F11003" s="29"/>
      <c r="G11003" s="30">
        <f t="shared" si="199"/>
        <v>1593.312816931219</v>
      </c>
    </row>
    <row r="11004" spans="1:7" hidden="1" x14ac:dyDescent="0.25">
      <c r="A11004" s="28">
        <v>44470</v>
      </c>
      <c r="B11004" s="27" t="s">
        <v>200</v>
      </c>
      <c r="C11004" s="27" t="s">
        <v>183</v>
      </c>
      <c r="D11004" s="27" t="s">
        <v>7</v>
      </c>
      <c r="E11004" s="27" t="s">
        <v>8</v>
      </c>
      <c r="F11004" s="29"/>
      <c r="G11004" s="30">
        <f t="shared" ref="G11004:G11027" si="200">4300.28/24</f>
        <v>179.17833333333331</v>
      </c>
    </row>
    <row r="11005" spans="1:7" hidden="1" x14ac:dyDescent="0.25">
      <c r="A11005" s="28">
        <v>44470</v>
      </c>
      <c r="B11005" s="27" t="s">
        <v>200</v>
      </c>
      <c r="C11005" s="27" t="s">
        <v>183</v>
      </c>
      <c r="D11005" s="27" t="s">
        <v>7</v>
      </c>
      <c r="E11005" s="27" t="s">
        <v>9</v>
      </c>
      <c r="F11005" s="29"/>
      <c r="G11005" s="30">
        <f t="shared" si="200"/>
        <v>179.17833333333331</v>
      </c>
    </row>
    <row r="11006" spans="1:7" hidden="1" x14ac:dyDescent="0.25">
      <c r="A11006" s="28">
        <v>44470</v>
      </c>
      <c r="B11006" s="27" t="s">
        <v>200</v>
      </c>
      <c r="C11006" s="27" t="s">
        <v>183</v>
      </c>
      <c r="D11006" s="27" t="s">
        <v>7</v>
      </c>
      <c r="E11006" s="27" t="s">
        <v>22</v>
      </c>
      <c r="F11006" s="29"/>
      <c r="G11006" s="30">
        <f t="shared" si="200"/>
        <v>179.17833333333331</v>
      </c>
    </row>
    <row r="11007" spans="1:7" hidden="1" x14ac:dyDescent="0.25">
      <c r="A11007" s="28">
        <v>44470</v>
      </c>
      <c r="B11007" s="27" t="s">
        <v>200</v>
      </c>
      <c r="C11007" s="27" t="s">
        <v>183</v>
      </c>
      <c r="D11007" s="27" t="s">
        <v>7</v>
      </c>
      <c r="E11007" s="27" t="s">
        <v>39</v>
      </c>
      <c r="F11007" s="29"/>
      <c r="G11007" s="30">
        <f t="shared" si="200"/>
        <v>179.17833333333331</v>
      </c>
    </row>
    <row r="11008" spans="1:7" hidden="1" x14ac:dyDescent="0.25">
      <c r="A11008" s="28">
        <v>44470</v>
      </c>
      <c r="B11008" s="27" t="s">
        <v>200</v>
      </c>
      <c r="C11008" s="27" t="s">
        <v>183</v>
      </c>
      <c r="D11008" s="27" t="s">
        <v>7</v>
      </c>
      <c r="E11008" s="27" t="s">
        <v>64</v>
      </c>
      <c r="F11008" s="29"/>
      <c r="G11008" s="30">
        <f t="shared" si="200"/>
        <v>179.17833333333331</v>
      </c>
    </row>
    <row r="11009" spans="1:7" hidden="1" x14ac:dyDescent="0.25">
      <c r="A11009" s="28">
        <v>44470</v>
      </c>
      <c r="B11009" s="27" t="s">
        <v>200</v>
      </c>
      <c r="C11009" s="27" t="s">
        <v>183</v>
      </c>
      <c r="D11009" s="27" t="s">
        <v>7</v>
      </c>
      <c r="E11009" s="27" t="s">
        <v>21</v>
      </c>
      <c r="F11009" s="29"/>
      <c r="G11009" s="30">
        <f t="shared" si="200"/>
        <v>179.17833333333331</v>
      </c>
    </row>
    <row r="11010" spans="1:7" hidden="1" x14ac:dyDescent="0.25">
      <c r="A11010" s="28">
        <v>44470</v>
      </c>
      <c r="B11010" s="27" t="s">
        <v>200</v>
      </c>
      <c r="C11010" s="27" t="s">
        <v>183</v>
      </c>
      <c r="D11010" s="27" t="s">
        <v>7</v>
      </c>
      <c r="E11010" s="27" t="s">
        <v>41</v>
      </c>
      <c r="F11010" s="29"/>
      <c r="G11010" s="30">
        <f t="shared" si="200"/>
        <v>179.17833333333331</v>
      </c>
    </row>
    <row r="11011" spans="1:7" hidden="1" x14ac:dyDescent="0.25">
      <c r="A11011" s="28">
        <v>44470</v>
      </c>
      <c r="B11011" s="27" t="s">
        <v>200</v>
      </c>
      <c r="C11011" s="27" t="s">
        <v>183</v>
      </c>
      <c r="D11011" s="27" t="s">
        <v>7</v>
      </c>
      <c r="E11011" s="27" t="s">
        <v>10</v>
      </c>
      <c r="F11011" s="29"/>
      <c r="G11011" s="30">
        <f t="shared" si="200"/>
        <v>179.17833333333331</v>
      </c>
    </row>
    <row r="11012" spans="1:7" hidden="1" x14ac:dyDescent="0.25">
      <c r="A11012" s="28">
        <v>44470</v>
      </c>
      <c r="B11012" s="27" t="s">
        <v>200</v>
      </c>
      <c r="C11012" s="27" t="s">
        <v>183</v>
      </c>
      <c r="D11012" s="27" t="s">
        <v>7</v>
      </c>
      <c r="E11012" s="27" t="s">
        <v>11</v>
      </c>
      <c r="F11012" s="29"/>
      <c r="G11012" s="30">
        <f t="shared" si="200"/>
        <v>179.17833333333331</v>
      </c>
    </row>
    <row r="11013" spans="1:7" hidden="1" x14ac:dyDescent="0.25">
      <c r="A11013" s="28">
        <v>44470</v>
      </c>
      <c r="B11013" s="27" t="s">
        <v>200</v>
      </c>
      <c r="C11013" s="27" t="s">
        <v>183</v>
      </c>
      <c r="D11013" s="27" t="s">
        <v>7</v>
      </c>
      <c r="E11013" s="27" t="s">
        <v>12</v>
      </c>
      <c r="F11013" s="29"/>
      <c r="G11013" s="30">
        <f t="shared" si="200"/>
        <v>179.17833333333331</v>
      </c>
    </row>
    <row r="11014" spans="1:7" hidden="1" x14ac:dyDescent="0.25">
      <c r="A11014" s="28">
        <v>44470</v>
      </c>
      <c r="B11014" s="27" t="s">
        <v>200</v>
      </c>
      <c r="C11014" s="27" t="s">
        <v>183</v>
      </c>
      <c r="D11014" s="27" t="s">
        <v>7</v>
      </c>
      <c r="E11014" s="27" t="s">
        <v>13</v>
      </c>
      <c r="F11014" s="29"/>
      <c r="G11014" s="30">
        <f t="shared" si="200"/>
        <v>179.17833333333331</v>
      </c>
    </row>
    <row r="11015" spans="1:7" hidden="1" x14ac:dyDescent="0.25">
      <c r="A11015" s="28">
        <v>44470</v>
      </c>
      <c r="B11015" s="27" t="s">
        <v>200</v>
      </c>
      <c r="C11015" s="27" t="s">
        <v>183</v>
      </c>
      <c r="D11015" s="27" t="s">
        <v>7</v>
      </c>
      <c r="E11015" s="27" t="s">
        <v>14</v>
      </c>
      <c r="F11015" s="29"/>
      <c r="G11015" s="30">
        <f t="shared" si="200"/>
        <v>179.17833333333331</v>
      </c>
    </row>
    <row r="11016" spans="1:7" hidden="1" x14ac:dyDescent="0.25">
      <c r="A11016" s="28">
        <v>44470</v>
      </c>
      <c r="B11016" s="27" t="s">
        <v>200</v>
      </c>
      <c r="C11016" s="27" t="s">
        <v>183</v>
      </c>
      <c r="D11016" s="27" t="s">
        <v>7</v>
      </c>
      <c r="E11016" s="27" t="s">
        <v>15</v>
      </c>
      <c r="F11016" s="29"/>
      <c r="G11016" s="30">
        <f t="shared" si="200"/>
        <v>179.17833333333331</v>
      </c>
    </row>
    <row r="11017" spans="1:7" hidden="1" x14ac:dyDescent="0.25">
      <c r="A11017" s="28">
        <v>44470</v>
      </c>
      <c r="B11017" s="27" t="s">
        <v>200</v>
      </c>
      <c r="C11017" s="27" t="s">
        <v>183</v>
      </c>
      <c r="D11017" s="27" t="s">
        <v>7</v>
      </c>
      <c r="E11017" s="27" t="s">
        <v>16</v>
      </c>
      <c r="F11017" s="29"/>
      <c r="G11017" s="30">
        <f t="shared" si="200"/>
        <v>179.17833333333331</v>
      </c>
    </row>
    <row r="11018" spans="1:7" hidden="1" x14ac:dyDescent="0.25">
      <c r="A11018" s="28">
        <v>44470</v>
      </c>
      <c r="B11018" s="27" t="s">
        <v>200</v>
      </c>
      <c r="C11018" s="27" t="s">
        <v>183</v>
      </c>
      <c r="D11018" s="27" t="s">
        <v>7</v>
      </c>
      <c r="E11018" s="27" t="s">
        <v>17</v>
      </c>
      <c r="F11018" s="29"/>
      <c r="G11018" s="30">
        <f t="shared" si="200"/>
        <v>179.17833333333331</v>
      </c>
    </row>
    <row r="11019" spans="1:7" hidden="1" x14ac:dyDescent="0.25">
      <c r="A11019" s="28">
        <v>44470</v>
      </c>
      <c r="B11019" s="27" t="s">
        <v>200</v>
      </c>
      <c r="C11019" s="27" t="s">
        <v>183</v>
      </c>
      <c r="D11019" s="27" t="s">
        <v>7</v>
      </c>
      <c r="E11019" s="27" t="s">
        <v>18</v>
      </c>
      <c r="F11019" s="29"/>
      <c r="G11019" s="30">
        <f t="shared" si="200"/>
        <v>179.17833333333331</v>
      </c>
    </row>
    <row r="11020" spans="1:7" hidden="1" x14ac:dyDescent="0.25">
      <c r="A11020" s="28">
        <v>44470</v>
      </c>
      <c r="B11020" s="27" t="s">
        <v>200</v>
      </c>
      <c r="C11020" s="27" t="s">
        <v>183</v>
      </c>
      <c r="D11020" s="27" t="s">
        <v>7</v>
      </c>
      <c r="E11020" s="27" t="s">
        <v>19</v>
      </c>
      <c r="F11020" s="29"/>
      <c r="G11020" s="30">
        <f t="shared" si="200"/>
        <v>179.17833333333331</v>
      </c>
    </row>
    <row r="11021" spans="1:7" hidden="1" x14ac:dyDescent="0.25">
      <c r="A11021" s="28">
        <v>44470</v>
      </c>
      <c r="B11021" s="27" t="s">
        <v>200</v>
      </c>
      <c r="C11021" s="27" t="s">
        <v>183</v>
      </c>
      <c r="D11021" s="27" t="s">
        <v>7</v>
      </c>
      <c r="E11021" s="27" t="s">
        <v>20</v>
      </c>
      <c r="F11021" s="29"/>
      <c r="G11021" s="30">
        <f t="shared" si="200"/>
        <v>179.17833333333331</v>
      </c>
    </row>
    <row r="11022" spans="1:7" hidden="1" x14ac:dyDescent="0.25">
      <c r="A11022" s="28">
        <v>44470</v>
      </c>
      <c r="B11022" s="27" t="s">
        <v>200</v>
      </c>
      <c r="C11022" s="27" t="s">
        <v>183</v>
      </c>
      <c r="D11022" s="27" t="s">
        <v>7</v>
      </c>
      <c r="E11022" s="27" t="s">
        <v>38</v>
      </c>
      <c r="F11022" s="29"/>
      <c r="G11022" s="30">
        <f t="shared" si="200"/>
        <v>179.17833333333331</v>
      </c>
    </row>
    <row r="11023" spans="1:7" hidden="1" x14ac:dyDescent="0.25">
      <c r="A11023" s="28">
        <v>44470</v>
      </c>
      <c r="B11023" s="27" t="s">
        <v>200</v>
      </c>
      <c r="C11023" s="27" t="s">
        <v>183</v>
      </c>
      <c r="D11023" s="27" t="s">
        <v>7</v>
      </c>
      <c r="E11023" s="27" t="s">
        <v>23</v>
      </c>
      <c r="F11023" s="29"/>
      <c r="G11023" s="30">
        <f t="shared" si="200"/>
        <v>179.17833333333331</v>
      </c>
    </row>
    <row r="11024" spans="1:7" hidden="1" x14ac:dyDescent="0.25">
      <c r="A11024" s="28">
        <v>44470</v>
      </c>
      <c r="B11024" s="27" t="s">
        <v>200</v>
      </c>
      <c r="C11024" s="27" t="s">
        <v>183</v>
      </c>
      <c r="D11024" s="27" t="s">
        <v>7</v>
      </c>
      <c r="E11024" s="27" t="s">
        <v>40</v>
      </c>
      <c r="F11024" s="29"/>
      <c r="G11024" s="30">
        <f t="shared" si="200"/>
        <v>179.17833333333331</v>
      </c>
    </row>
    <row r="11025" spans="1:7" hidden="1" x14ac:dyDescent="0.25">
      <c r="A11025" s="28">
        <v>44470</v>
      </c>
      <c r="B11025" s="27" t="s">
        <v>200</v>
      </c>
      <c r="C11025" s="27" t="s">
        <v>183</v>
      </c>
      <c r="D11025" s="27" t="s">
        <v>7</v>
      </c>
      <c r="E11025" s="27" t="s">
        <v>42</v>
      </c>
      <c r="F11025" s="29"/>
      <c r="G11025" s="30">
        <f t="shared" si="200"/>
        <v>179.17833333333331</v>
      </c>
    </row>
    <row r="11026" spans="1:7" hidden="1" x14ac:dyDescent="0.25">
      <c r="A11026" s="28">
        <v>44470</v>
      </c>
      <c r="B11026" s="27" t="s">
        <v>200</v>
      </c>
      <c r="C11026" s="27" t="s">
        <v>183</v>
      </c>
      <c r="D11026" s="27" t="s">
        <v>7</v>
      </c>
      <c r="E11026" s="27" t="s">
        <v>43</v>
      </c>
      <c r="F11026" s="29"/>
      <c r="G11026" s="30">
        <f t="shared" si="200"/>
        <v>179.17833333333331</v>
      </c>
    </row>
    <row r="11027" spans="1:7" hidden="1" x14ac:dyDescent="0.25">
      <c r="A11027" s="28">
        <v>44470</v>
      </c>
      <c r="B11027" s="27" t="s">
        <v>200</v>
      </c>
      <c r="C11027" s="27" t="s">
        <v>183</v>
      </c>
      <c r="D11027" s="27" t="s">
        <v>7</v>
      </c>
      <c r="E11027" s="27" t="s">
        <v>72</v>
      </c>
      <c r="F11027" s="29"/>
      <c r="G11027" s="30">
        <f t="shared" si="200"/>
        <v>179.17833333333331</v>
      </c>
    </row>
    <row r="11028" spans="1:7" hidden="1" x14ac:dyDescent="0.25">
      <c r="A11028" s="28">
        <v>44470</v>
      </c>
      <c r="B11028" s="27" t="s">
        <v>200</v>
      </c>
      <c r="C11028" s="27" t="s">
        <v>56</v>
      </c>
      <c r="D11028" s="27" t="s">
        <v>6</v>
      </c>
      <c r="E11028" s="27" t="s">
        <v>8</v>
      </c>
      <c r="F11028" s="29"/>
      <c r="G11028" s="30">
        <f t="shared" ref="G11028:G11048" si="201">48787.6938666667/21</f>
        <v>2323.2235174603188</v>
      </c>
    </row>
    <row r="11029" spans="1:7" hidden="1" x14ac:dyDescent="0.25">
      <c r="A11029" s="28">
        <v>44470</v>
      </c>
      <c r="B11029" s="27" t="s">
        <v>200</v>
      </c>
      <c r="C11029" s="27" t="s">
        <v>56</v>
      </c>
      <c r="D11029" s="27" t="s">
        <v>6</v>
      </c>
      <c r="E11029" s="27" t="s">
        <v>9</v>
      </c>
      <c r="F11029" s="29"/>
      <c r="G11029" s="30">
        <f t="shared" si="201"/>
        <v>2323.2235174603188</v>
      </c>
    </row>
    <row r="11030" spans="1:7" hidden="1" x14ac:dyDescent="0.25">
      <c r="A11030" s="28">
        <v>44470</v>
      </c>
      <c r="B11030" s="27" t="s">
        <v>200</v>
      </c>
      <c r="C11030" s="27" t="s">
        <v>56</v>
      </c>
      <c r="D11030" s="27" t="s">
        <v>6</v>
      </c>
      <c r="E11030" s="27" t="s">
        <v>22</v>
      </c>
      <c r="F11030" s="29"/>
      <c r="G11030" s="30">
        <f t="shared" si="201"/>
        <v>2323.2235174603188</v>
      </c>
    </row>
    <row r="11031" spans="1:7" hidden="1" x14ac:dyDescent="0.25">
      <c r="A11031" s="28">
        <v>44470</v>
      </c>
      <c r="B11031" s="27" t="s">
        <v>200</v>
      </c>
      <c r="C11031" s="27" t="s">
        <v>56</v>
      </c>
      <c r="D11031" s="27" t="s">
        <v>6</v>
      </c>
      <c r="E11031" s="27" t="s">
        <v>39</v>
      </c>
      <c r="F11031" s="29"/>
      <c r="G11031" s="30">
        <f t="shared" si="201"/>
        <v>2323.2235174603188</v>
      </c>
    </row>
    <row r="11032" spans="1:7" hidden="1" x14ac:dyDescent="0.25">
      <c r="A11032" s="28">
        <v>44470</v>
      </c>
      <c r="B11032" s="27" t="s">
        <v>200</v>
      </c>
      <c r="C11032" s="27" t="s">
        <v>56</v>
      </c>
      <c r="D11032" s="27" t="s">
        <v>6</v>
      </c>
      <c r="E11032" s="27" t="s">
        <v>64</v>
      </c>
      <c r="F11032" s="29"/>
      <c r="G11032" s="30">
        <f t="shared" si="201"/>
        <v>2323.2235174603188</v>
      </c>
    </row>
    <row r="11033" spans="1:7" hidden="1" x14ac:dyDescent="0.25">
      <c r="A11033" s="28">
        <v>44470</v>
      </c>
      <c r="B11033" s="27" t="s">
        <v>200</v>
      </c>
      <c r="C11033" s="27" t="s">
        <v>56</v>
      </c>
      <c r="D11033" s="27" t="s">
        <v>6</v>
      </c>
      <c r="E11033" s="27" t="s">
        <v>21</v>
      </c>
      <c r="F11033" s="29"/>
      <c r="G11033" s="30">
        <f t="shared" si="201"/>
        <v>2323.2235174603188</v>
      </c>
    </row>
    <row r="11034" spans="1:7" hidden="1" x14ac:dyDescent="0.25">
      <c r="A11034" s="28">
        <v>44470</v>
      </c>
      <c r="B11034" s="27" t="s">
        <v>200</v>
      </c>
      <c r="C11034" s="27" t="s">
        <v>56</v>
      </c>
      <c r="D11034" s="27" t="s">
        <v>6</v>
      </c>
      <c r="E11034" s="27" t="s">
        <v>41</v>
      </c>
      <c r="F11034" s="29"/>
      <c r="G11034" s="30">
        <f t="shared" si="201"/>
        <v>2323.2235174603188</v>
      </c>
    </row>
    <row r="11035" spans="1:7" hidden="1" x14ac:dyDescent="0.25">
      <c r="A11035" s="28">
        <v>44470</v>
      </c>
      <c r="B11035" s="27" t="s">
        <v>200</v>
      </c>
      <c r="C11035" s="27" t="s">
        <v>56</v>
      </c>
      <c r="D11035" s="27" t="s">
        <v>6</v>
      </c>
      <c r="E11035" s="27" t="s">
        <v>10</v>
      </c>
      <c r="F11035" s="29"/>
      <c r="G11035" s="30">
        <f t="shared" si="201"/>
        <v>2323.2235174603188</v>
      </c>
    </row>
    <row r="11036" spans="1:7" hidden="1" x14ac:dyDescent="0.25">
      <c r="A11036" s="28">
        <v>44470</v>
      </c>
      <c r="B11036" s="27" t="s">
        <v>200</v>
      </c>
      <c r="C11036" s="27" t="s">
        <v>56</v>
      </c>
      <c r="D11036" s="27" t="s">
        <v>6</v>
      </c>
      <c r="E11036" s="27" t="s">
        <v>11</v>
      </c>
      <c r="F11036" s="29"/>
      <c r="G11036" s="30">
        <f t="shared" si="201"/>
        <v>2323.2235174603188</v>
      </c>
    </row>
    <row r="11037" spans="1:7" hidden="1" x14ac:dyDescent="0.25">
      <c r="A11037" s="28">
        <v>44470</v>
      </c>
      <c r="B11037" s="27" t="s">
        <v>200</v>
      </c>
      <c r="C11037" s="27" t="s">
        <v>56</v>
      </c>
      <c r="D11037" s="27" t="s">
        <v>6</v>
      </c>
      <c r="E11037" s="27" t="s">
        <v>12</v>
      </c>
      <c r="F11037" s="29"/>
      <c r="G11037" s="30">
        <f t="shared" si="201"/>
        <v>2323.2235174603188</v>
      </c>
    </row>
    <row r="11038" spans="1:7" hidden="1" x14ac:dyDescent="0.25">
      <c r="A11038" s="28">
        <v>44470</v>
      </c>
      <c r="B11038" s="27" t="s">
        <v>200</v>
      </c>
      <c r="C11038" s="27" t="s">
        <v>56</v>
      </c>
      <c r="D11038" s="27" t="s">
        <v>6</v>
      </c>
      <c r="E11038" s="27" t="s">
        <v>13</v>
      </c>
      <c r="F11038" s="29"/>
      <c r="G11038" s="30">
        <f t="shared" si="201"/>
        <v>2323.2235174603188</v>
      </c>
    </row>
    <row r="11039" spans="1:7" hidden="1" x14ac:dyDescent="0.25">
      <c r="A11039" s="28">
        <v>44470</v>
      </c>
      <c r="B11039" s="27" t="s">
        <v>200</v>
      </c>
      <c r="C11039" s="27" t="s">
        <v>56</v>
      </c>
      <c r="D11039" s="27" t="s">
        <v>6</v>
      </c>
      <c r="E11039" s="27" t="s">
        <v>14</v>
      </c>
      <c r="F11039" s="29"/>
      <c r="G11039" s="30">
        <f t="shared" si="201"/>
        <v>2323.2235174603188</v>
      </c>
    </row>
    <row r="11040" spans="1:7" hidden="1" x14ac:dyDescent="0.25">
      <c r="A11040" s="28">
        <v>44470</v>
      </c>
      <c r="B11040" s="27" t="s">
        <v>200</v>
      </c>
      <c r="C11040" s="27" t="s">
        <v>56</v>
      </c>
      <c r="D11040" s="27" t="s">
        <v>6</v>
      </c>
      <c r="E11040" s="27" t="s">
        <v>15</v>
      </c>
      <c r="F11040" s="29"/>
      <c r="G11040" s="30">
        <f t="shared" si="201"/>
        <v>2323.2235174603188</v>
      </c>
    </row>
    <row r="11041" spans="1:7" hidden="1" x14ac:dyDescent="0.25">
      <c r="A11041" s="28">
        <v>44470</v>
      </c>
      <c r="B11041" s="27" t="s">
        <v>200</v>
      </c>
      <c r="C11041" s="27" t="s">
        <v>56</v>
      </c>
      <c r="D11041" s="27" t="s">
        <v>6</v>
      </c>
      <c r="E11041" s="27" t="s">
        <v>16</v>
      </c>
      <c r="F11041" s="29"/>
      <c r="G11041" s="30">
        <f t="shared" si="201"/>
        <v>2323.2235174603188</v>
      </c>
    </row>
    <row r="11042" spans="1:7" hidden="1" x14ac:dyDescent="0.25">
      <c r="A11042" s="28">
        <v>44470</v>
      </c>
      <c r="B11042" s="27" t="s">
        <v>200</v>
      </c>
      <c r="C11042" s="27" t="s">
        <v>56</v>
      </c>
      <c r="D11042" s="27" t="s">
        <v>6</v>
      </c>
      <c r="E11042" s="27" t="s">
        <v>17</v>
      </c>
      <c r="F11042" s="29"/>
      <c r="G11042" s="30">
        <f t="shared" si="201"/>
        <v>2323.2235174603188</v>
      </c>
    </row>
    <row r="11043" spans="1:7" hidden="1" x14ac:dyDescent="0.25">
      <c r="A11043" s="28">
        <v>44470</v>
      </c>
      <c r="B11043" s="27" t="s">
        <v>200</v>
      </c>
      <c r="C11043" s="27" t="s">
        <v>56</v>
      </c>
      <c r="D11043" s="27" t="s">
        <v>6</v>
      </c>
      <c r="E11043" s="27" t="s">
        <v>18</v>
      </c>
      <c r="F11043" s="29"/>
      <c r="G11043" s="30">
        <f t="shared" si="201"/>
        <v>2323.2235174603188</v>
      </c>
    </row>
    <row r="11044" spans="1:7" hidden="1" x14ac:dyDescent="0.25">
      <c r="A11044" s="28">
        <v>44470</v>
      </c>
      <c r="B11044" s="27" t="s">
        <v>200</v>
      </c>
      <c r="C11044" s="27" t="s">
        <v>56</v>
      </c>
      <c r="D11044" s="27" t="s">
        <v>6</v>
      </c>
      <c r="E11044" s="27" t="s">
        <v>19</v>
      </c>
      <c r="F11044" s="29"/>
      <c r="G11044" s="30">
        <f t="shared" si="201"/>
        <v>2323.2235174603188</v>
      </c>
    </row>
    <row r="11045" spans="1:7" hidden="1" x14ac:dyDescent="0.25">
      <c r="A11045" s="28">
        <v>44470</v>
      </c>
      <c r="B11045" s="27" t="s">
        <v>200</v>
      </c>
      <c r="C11045" s="27" t="s">
        <v>56</v>
      </c>
      <c r="D11045" s="27" t="s">
        <v>6</v>
      </c>
      <c r="E11045" s="27" t="s">
        <v>20</v>
      </c>
      <c r="F11045" s="29"/>
      <c r="G11045" s="30">
        <f t="shared" si="201"/>
        <v>2323.2235174603188</v>
      </c>
    </row>
    <row r="11046" spans="1:7" hidden="1" x14ac:dyDescent="0.25">
      <c r="A11046" s="28">
        <v>44470</v>
      </c>
      <c r="B11046" s="27" t="s">
        <v>200</v>
      </c>
      <c r="C11046" s="27" t="s">
        <v>56</v>
      </c>
      <c r="D11046" s="27" t="s">
        <v>6</v>
      </c>
      <c r="E11046" s="27" t="s">
        <v>38</v>
      </c>
      <c r="F11046" s="29"/>
      <c r="G11046" s="30">
        <f t="shared" si="201"/>
        <v>2323.2235174603188</v>
      </c>
    </row>
    <row r="11047" spans="1:7" hidden="1" x14ac:dyDescent="0.25">
      <c r="A11047" s="28">
        <v>44470</v>
      </c>
      <c r="B11047" s="27" t="s">
        <v>200</v>
      </c>
      <c r="C11047" s="27" t="s">
        <v>56</v>
      </c>
      <c r="D11047" s="27" t="s">
        <v>6</v>
      </c>
      <c r="E11047" s="27" t="s">
        <v>23</v>
      </c>
      <c r="F11047" s="29"/>
      <c r="G11047" s="30">
        <f t="shared" si="201"/>
        <v>2323.2235174603188</v>
      </c>
    </row>
    <row r="11048" spans="1:7" hidden="1" x14ac:dyDescent="0.25">
      <c r="A11048" s="28">
        <v>44470</v>
      </c>
      <c r="B11048" s="27" t="s">
        <v>200</v>
      </c>
      <c r="C11048" s="27" t="s">
        <v>56</v>
      </c>
      <c r="D11048" s="27" t="s">
        <v>6</v>
      </c>
      <c r="E11048" s="27" t="s">
        <v>40</v>
      </c>
      <c r="F11048" s="29"/>
      <c r="G11048" s="30">
        <f t="shared" si="201"/>
        <v>2323.2235174603188</v>
      </c>
    </row>
    <row r="11049" spans="1:7" hidden="1" x14ac:dyDescent="0.25">
      <c r="A11049" s="28">
        <v>44470</v>
      </c>
      <c r="B11049" s="27" t="s">
        <v>200</v>
      </c>
      <c r="C11049" s="27" t="s">
        <v>182</v>
      </c>
      <c r="D11049" s="27" t="s">
        <v>7</v>
      </c>
      <c r="E11049" s="27" t="s">
        <v>8</v>
      </c>
      <c r="F11049" s="29"/>
      <c r="G11049" s="30">
        <f t="shared" ref="G11049:G11072" si="202">3244.91/24</f>
        <v>135.20458333333332</v>
      </c>
    </row>
    <row r="11050" spans="1:7" hidden="1" x14ac:dyDescent="0.25">
      <c r="A11050" s="28">
        <v>44470</v>
      </c>
      <c r="B11050" s="27" t="s">
        <v>200</v>
      </c>
      <c r="C11050" s="27" t="s">
        <v>182</v>
      </c>
      <c r="D11050" s="27" t="s">
        <v>7</v>
      </c>
      <c r="E11050" s="27" t="s">
        <v>9</v>
      </c>
      <c r="F11050" s="29"/>
      <c r="G11050" s="30">
        <f t="shared" si="202"/>
        <v>135.20458333333332</v>
      </c>
    </row>
    <row r="11051" spans="1:7" hidden="1" x14ac:dyDescent="0.25">
      <c r="A11051" s="28">
        <v>44470</v>
      </c>
      <c r="B11051" s="27" t="s">
        <v>200</v>
      </c>
      <c r="C11051" s="27" t="s">
        <v>182</v>
      </c>
      <c r="D11051" s="27" t="s">
        <v>7</v>
      </c>
      <c r="E11051" s="27" t="s">
        <v>22</v>
      </c>
      <c r="F11051" s="29"/>
      <c r="G11051" s="30">
        <f t="shared" si="202"/>
        <v>135.20458333333332</v>
      </c>
    </row>
    <row r="11052" spans="1:7" hidden="1" x14ac:dyDescent="0.25">
      <c r="A11052" s="28">
        <v>44470</v>
      </c>
      <c r="B11052" s="27" t="s">
        <v>200</v>
      </c>
      <c r="C11052" s="27" t="s">
        <v>182</v>
      </c>
      <c r="D11052" s="27" t="s">
        <v>7</v>
      </c>
      <c r="E11052" s="27" t="s">
        <v>39</v>
      </c>
      <c r="F11052" s="29"/>
      <c r="G11052" s="30">
        <f t="shared" si="202"/>
        <v>135.20458333333332</v>
      </c>
    </row>
    <row r="11053" spans="1:7" hidden="1" x14ac:dyDescent="0.25">
      <c r="A11053" s="28">
        <v>44470</v>
      </c>
      <c r="B11053" s="27" t="s">
        <v>200</v>
      </c>
      <c r="C11053" s="27" t="s">
        <v>182</v>
      </c>
      <c r="D11053" s="27" t="s">
        <v>7</v>
      </c>
      <c r="E11053" s="27" t="s">
        <v>64</v>
      </c>
      <c r="F11053" s="29"/>
      <c r="G11053" s="30">
        <f t="shared" si="202"/>
        <v>135.20458333333332</v>
      </c>
    </row>
    <row r="11054" spans="1:7" hidden="1" x14ac:dyDescent="0.25">
      <c r="A11054" s="28">
        <v>44470</v>
      </c>
      <c r="B11054" s="27" t="s">
        <v>200</v>
      </c>
      <c r="C11054" s="27" t="s">
        <v>182</v>
      </c>
      <c r="D11054" s="27" t="s">
        <v>7</v>
      </c>
      <c r="E11054" s="27" t="s">
        <v>21</v>
      </c>
      <c r="F11054" s="29"/>
      <c r="G11054" s="30">
        <f t="shared" si="202"/>
        <v>135.20458333333332</v>
      </c>
    </row>
    <row r="11055" spans="1:7" hidden="1" x14ac:dyDescent="0.25">
      <c r="A11055" s="28">
        <v>44470</v>
      </c>
      <c r="B11055" s="27" t="s">
        <v>200</v>
      </c>
      <c r="C11055" s="27" t="s">
        <v>182</v>
      </c>
      <c r="D11055" s="27" t="s">
        <v>7</v>
      </c>
      <c r="E11055" s="27" t="s">
        <v>41</v>
      </c>
      <c r="F11055" s="29"/>
      <c r="G11055" s="30">
        <f t="shared" si="202"/>
        <v>135.20458333333332</v>
      </c>
    </row>
    <row r="11056" spans="1:7" hidden="1" x14ac:dyDescent="0.25">
      <c r="A11056" s="28">
        <v>44470</v>
      </c>
      <c r="B11056" s="27" t="s">
        <v>200</v>
      </c>
      <c r="C11056" s="27" t="s">
        <v>182</v>
      </c>
      <c r="D11056" s="27" t="s">
        <v>7</v>
      </c>
      <c r="E11056" s="27" t="s">
        <v>10</v>
      </c>
      <c r="F11056" s="29"/>
      <c r="G11056" s="30">
        <f t="shared" si="202"/>
        <v>135.20458333333332</v>
      </c>
    </row>
    <row r="11057" spans="1:7" hidden="1" x14ac:dyDescent="0.25">
      <c r="A11057" s="28">
        <v>44470</v>
      </c>
      <c r="B11057" s="27" t="s">
        <v>200</v>
      </c>
      <c r="C11057" s="27" t="s">
        <v>182</v>
      </c>
      <c r="D11057" s="27" t="s">
        <v>7</v>
      </c>
      <c r="E11057" s="27" t="s">
        <v>11</v>
      </c>
      <c r="F11057" s="29"/>
      <c r="G11057" s="30">
        <f t="shared" si="202"/>
        <v>135.20458333333332</v>
      </c>
    </row>
    <row r="11058" spans="1:7" hidden="1" x14ac:dyDescent="0.25">
      <c r="A11058" s="28">
        <v>44470</v>
      </c>
      <c r="B11058" s="27" t="s">
        <v>200</v>
      </c>
      <c r="C11058" s="27" t="s">
        <v>182</v>
      </c>
      <c r="D11058" s="27" t="s">
        <v>7</v>
      </c>
      <c r="E11058" s="27" t="s">
        <v>12</v>
      </c>
      <c r="F11058" s="29"/>
      <c r="G11058" s="30">
        <f t="shared" si="202"/>
        <v>135.20458333333332</v>
      </c>
    </row>
    <row r="11059" spans="1:7" hidden="1" x14ac:dyDescent="0.25">
      <c r="A11059" s="28">
        <v>44470</v>
      </c>
      <c r="B11059" s="27" t="s">
        <v>200</v>
      </c>
      <c r="C11059" s="27" t="s">
        <v>182</v>
      </c>
      <c r="D11059" s="27" t="s">
        <v>7</v>
      </c>
      <c r="E11059" s="27" t="s">
        <v>13</v>
      </c>
      <c r="F11059" s="29"/>
      <c r="G11059" s="30">
        <f t="shared" si="202"/>
        <v>135.20458333333332</v>
      </c>
    </row>
    <row r="11060" spans="1:7" hidden="1" x14ac:dyDescent="0.25">
      <c r="A11060" s="28">
        <v>44470</v>
      </c>
      <c r="B11060" s="27" t="s">
        <v>200</v>
      </c>
      <c r="C11060" s="27" t="s">
        <v>182</v>
      </c>
      <c r="D11060" s="27" t="s">
        <v>7</v>
      </c>
      <c r="E11060" s="27" t="s">
        <v>14</v>
      </c>
      <c r="F11060" s="29"/>
      <c r="G11060" s="30">
        <f t="shared" si="202"/>
        <v>135.20458333333332</v>
      </c>
    </row>
    <row r="11061" spans="1:7" hidden="1" x14ac:dyDescent="0.25">
      <c r="A11061" s="28">
        <v>44470</v>
      </c>
      <c r="B11061" s="27" t="s">
        <v>200</v>
      </c>
      <c r="C11061" s="27" t="s">
        <v>182</v>
      </c>
      <c r="D11061" s="27" t="s">
        <v>7</v>
      </c>
      <c r="E11061" s="27" t="s">
        <v>15</v>
      </c>
      <c r="F11061" s="29"/>
      <c r="G11061" s="30">
        <f t="shared" si="202"/>
        <v>135.20458333333332</v>
      </c>
    </row>
    <row r="11062" spans="1:7" hidden="1" x14ac:dyDescent="0.25">
      <c r="A11062" s="28">
        <v>44470</v>
      </c>
      <c r="B11062" s="27" t="s">
        <v>200</v>
      </c>
      <c r="C11062" s="27" t="s">
        <v>182</v>
      </c>
      <c r="D11062" s="27" t="s">
        <v>7</v>
      </c>
      <c r="E11062" s="27" t="s">
        <v>16</v>
      </c>
      <c r="F11062" s="29"/>
      <c r="G11062" s="30">
        <f t="shared" si="202"/>
        <v>135.20458333333332</v>
      </c>
    </row>
    <row r="11063" spans="1:7" hidden="1" x14ac:dyDescent="0.25">
      <c r="A11063" s="28">
        <v>44470</v>
      </c>
      <c r="B11063" s="27" t="s">
        <v>200</v>
      </c>
      <c r="C11063" s="27" t="s">
        <v>182</v>
      </c>
      <c r="D11063" s="27" t="s">
        <v>7</v>
      </c>
      <c r="E11063" s="27" t="s">
        <v>17</v>
      </c>
      <c r="F11063" s="29"/>
      <c r="G11063" s="30">
        <f t="shared" si="202"/>
        <v>135.20458333333332</v>
      </c>
    </row>
    <row r="11064" spans="1:7" hidden="1" x14ac:dyDescent="0.25">
      <c r="A11064" s="28">
        <v>44470</v>
      </c>
      <c r="B11064" s="27" t="s">
        <v>200</v>
      </c>
      <c r="C11064" s="27" t="s">
        <v>182</v>
      </c>
      <c r="D11064" s="27" t="s">
        <v>7</v>
      </c>
      <c r="E11064" s="27" t="s">
        <v>18</v>
      </c>
      <c r="F11064" s="29"/>
      <c r="G11064" s="30">
        <f t="shared" si="202"/>
        <v>135.20458333333332</v>
      </c>
    </row>
    <row r="11065" spans="1:7" hidden="1" x14ac:dyDescent="0.25">
      <c r="A11065" s="28">
        <v>44470</v>
      </c>
      <c r="B11065" s="27" t="s">
        <v>200</v>
      </c>
      <c r="C11065" s="27" t="s">
        <v>182</v>
      </c>
      <c r="D11065" s="27" t="s">
        <v>7</v>
      </c>
      <c r="E11065" s="27" t="s">
        <v>19</v>
      </c>
      <c r="F11065" s="29"/>
      <c r="G11065" s="30">
        <f t="shared" si="202"/>
        <v>135.20458333333332</v>
      </c>
    </row>
    <row r="11066" spans="1:7" hidden="1" x14ac:dyDescent="0.25">
      <c r="A11066" s="28">
        <v>44470</v>
      </c>
      <c r="B11066" s="27" t="s">
        <v>200</v>
      </c>
      <c r="C11066" s="27" t="s">
        <v>182</v>
      </c>
      <c r="D11066" s="27" t="s">
        <v>7</v>
      </c>
      <c r="E11066" s="27" t="s">
        <v>20</v>
      </c>
      <c r="F11066" s="29"/>
      <c r="G11066" s="30">
        <f t="shared" si="202"/>
        <v>135.20458333333332</v>
      </c>
    </row>
    <row r="11067" spans="1:7" hidden="1" x14ac:dyDescent="0.25">
      <c r="A11067" s="28">
        <v>44470</v>
      </c>
      <c r="B11067" s="27" t="s">
        <v>200</v>
      </c>
      <c r="C11067" s="27" t="s">
        <v>182</v>
      </c>
      <c r="D11067" s="27" t="s">
        <v>7</v>
      </c>
      <c r="E11067" s="27" t="s">
        <v>38</v>
      </c>
      <c r="F11067" s="29"/>
      <c r="G11067" s="30">
        <f t="shared" si="202"/>
        <v>135.20458333333332</v>
      </c>
    </row>
    <row r="11068" spans="1:7" hidden="1" x14ac:dyDescent="0.25">
      <c r="A11068" s="28">
        <v>44470</v>
      </c>
      <c r="B11068" s="27" t="s">
        <v>200</v>
      </c>
      <c r="C11068" s="27" t="s">
        <v>182</v>
      </c>
      <c r="D11068" s="27" t="s">
        <v>7</v>
      </c>
      <c r="E11068" s="27" t="s">
        <v>23</v>
      </c>
      <c r="F11068" s="29"/>
      <c r="G11068" s="30">
        <f t="shared" si="202"/>
        <v>135.20458333333332</v>
      </c>
    </row>
    <row r="11069" spans="1:7" hidden="1" x14ac:dyDescent="0.25">
      <c r="A11069" s="28">
        <v>44470</v>
      </c>
      <c r="B11069" s="27" t="s">
        <v>200</v>
      </c>
      <c r="C11069" s="27" t="s">
        <v>182</v>
      </c>
      <c r="D11069" s="27" t="s">
        <v>7</v>
      </c>
      <c r="E11069" s="27" t="s">
        <v>40</v>
      </c>
      <c r="F11069" s="29"/>
      <c r="G11069" s="30">
        <f t="shared" si="202"/>
        <v>135.20458333333332</v>
      </c>
    </row>
    <row r="11070" spans="1:7" hidden="1" x14ac:dyDescent="0.25">
      <c r="A11070" s="28">
        <v>44470</v>
      </c>
      <c r="B11070" s="27" t="s">
        <v>200</v>
      </c>
      <c r="C11070" s="27" t="s">
        <v>182</v>
      </c>
      <c r="D11070" s="27" t="s">
        <v>7</v>
      </c>
      <c r="E11070" s="27" t="s">
        <v>42</v>
      </c>
      <c r="F11070" s="29"/>
      <c r="G11070" s="30">
        <f t="shared" si="202"/>
        <v>135.20458333333332</v>
      </c>
    </row>
    <row r="11071" spans="1:7" hidden="1" x14ac:dyDescent="0.25">
      <c r="A11071" s="28">
        <v>44470</v>
      </c>
      <c r="B11071" s="27" t="s">
        <v>200</v>
      </c>
      <c r="C11071" s="27" t="s">
        <v>182</v>
      </c>
      <c r="D11071" s="27" t="s">
        <v>7</v>
      </c>
      <c r="E11071" s="27" t="s">
        <v>43</v>
      </c>
      <c r="F11071" s="29"/>
      <c r="G11071" s="30">
        <f t="shared" si="202"/>
        <v>135.20458333333332</v>
      </c>
    </row>
    <row r="11072" spans="1:7" hidden="1" x14ac:dyDescent="0.25">
      <c r="A11072" s="28">
        <v>44470</v>
      </c>
      <c r="B11072" s="27" t="s">
        <v>200</v>
      </c>
      <c r="C11072" s="27" t="s">
        <v>182</v>
      </c>
      <c r="D11072" s="27" t="s">
        <v>7</v>
      </c>
      <c r="E11072" s="27" t="s">
        <v>72</v>
      </c>
      <c r="F11072" s="29"/>
      <c r="G11072" s="30">
        <f t="shared" si="202"/>
        <v>135.20458333333332</v>
      </c>
    </row>
    <row r="11073" spans="1:7" hidden="1" x14ac:dyDescent="0.25">
      <c r="A11073" s="28">
        <v>44470</v>
      </c>
      <c r="B11073" s="27" t="s">
        <v>35</v>
      </c>
      <c r="C11073" s="27" t="s">
        <v>50</v>
      </c>
      <c r="D11073" s="27" t="s">
        <v>7</v>
      </c>
      <c r="E11073" s="27" t="s">
        <v>8</v>
      </c>
      <c r="F11073" s="29"/>
      <c r="G11073" s="30">
        <v>668.83791666666673</v>
      </c>
    </row>
    <row r="11074" spans="1:7" hidden="1" x14ac:dyDescent="0.25">
      <c r="A11074" s="28">
        <v>44470</v>
      </c>
      <c r="B11074" s="27" t="s">
        <v>35</v>
      </c>
      <c r="C11074" s="27" t="s">
        <v>50</v>
      </c>
      <c r="D11074" s="27" t="s">
        <v>7</v>
      </c>
      <c r="E11074" s="27" t="s">
        <v>9</v>
      </c>
      <c r="F11074" s="29"/>
      <c r="G11074" s="30">
        <v>668.83791666666673</v>
      </c>
    </row>
    <row r="11075" spans="1:7" hidden="1" x14ac:dyDescent="0.25">
      <c r="A11075" s="28">
        <v>44470</v>
      </c>
      <c r="B11075" s="27" t="s">
        <v>35</v>
      </c>
      <c r="C11075" s="27" t="s">
        <v>50</v>
      </c>
      <c r="D11075" s="27" t="s">
        <v>7</v>
      </c>
      <c r="E11075" s="27" t="s">
        <v>22</v>
      </c>
      <c r="F11075" s="29"/>
      <c r="G11075" s="30">
        <v>668.83791666666673</v>
      </c>
    </row>
    <row r="11076" spans="1:7" hidden="1" x14ac:dyDescent="0.25">
      <c r="A11076" s="28">
        <v>44470</v>
      </c>
      <c r="B11076" s="27" t="s">
        <v>35</v>
      </c>
      <c r="C11076" s="27" t="s">
        <v>50</v>
      </c>
      <c r="D11076" s="27" t="s">
        <v>7</v>
      </c>
      <c r="E11076" s="27" t="s">
        <v>39</v>
      </c>
      <c r="F11076" s="29"/>
      <c r="G11076" s="30">
        <v>668.83791666666673</v>
      </c>
    </row>
    <row r="11077" spans="1:7" hidden="1" x14ac:dyDescent="0.25">
      <c r="A11077" s="28">
        <v>44470</v>
      </c>
      <c r="B11077" s="27" t="s">
        <v>35</v>
      </c>
      <c r="C11077" s="27" t="s">
        <v>50</v>
      </c>
      <c r="D11077" s="27" t="s">
        <v>7</v>
      </c>
      <c r="E11077" s="27" t="s">
        <v>64</v>
      </c>
      <c r="F11077" s="29"/>
      <c r="G11077" s="30">
        <v>668.83791666666673</v>
      </c>
    </row>
    <row r="11078" spans="1:7" hidden="1" x14ac:dyDescent="0.25">
      <c r="A11078" s="28">
        <v>44470</v>
      </c>
      <c r="B11078" s="27" t="s">
        <v>35</v>
      </c>
      <c r="C11078" s="27" t="s">
        <v>50</v>
      </c>
      <c r="D11078" s="27" t="s">
        <v>7</v>
      </c>
      <c r="E11078" s="27" t="s">
        <v>21</v>
      </c>
      <c r="F11078" s="29"/>
      <c r="G11078" s="30">
        <v>668.83791666666673</v>
      </c>
    </row>
    <row r="11079" spans="1:7" hidden="1" x14ac:dyDescent="0.25">
      <c r="A11079" s="28">
        <v>44470</v>
      </c>
      <c r="B11079" s="27" t="s">
        <v>35</v>
      </c>
      <c r="C11079" s="27" t="s">
        <v>50</v>
      </c>
      <c r="D11079" s="27" t="s">
        <v>7</v>
      </c>
      <c r="E11079" s="27" t="s">
        <v>41</v>
      </c>
      <c r="F11079" s="29"/>
      <c r="G11079" s="30">
        <v>668.83791666666673</v>
      </c>
    </row>
    <row r="11080" spans="1:7" hidden="1" x14ac:dyDescent="0.25">
      <c r="A11080" s="28">
        <v>44470</v>
      </c>
      <c r="B11080" s="27" t="s">
        <v>35</v>
      </c>
      <c r="C11080" s="27" t="s">
        <v>50</v>
      </c>
      <c r="D11080" s="27" t="s">
        <v>7</v>
      </c>
      <c r="E11080" s="27" t="s">
        <v>10</v>
      </c>
      <c r="F11080" s="29"/>
      <c r="G11080" s="30">
        <v>668.83791666666673</v>
      </c>
    </row>
    <row r="11081" spans="1:7" hidden="1" x14ac:dyDescent="0.25">
      <c r="A11081" s="28">
        <v>44470</v>
      </c>
      <c r="B11081" s="27" t="s">
        <v>35</v>
      </c>
      <c r="C11081" s="27" t="s">
        <v>50</v>
      </c>
      <c r="D11081" s="27" t="s">
        <v>7</v>
      </c>
      <c r="E11081" s="27" t="s">
        <v>11</v>
      </c>
      <c r="F11081" s="29"/>
      <c r="G11081" s="30">
        <v>668.83791666666673</v>
      </c>
    </row>
    <row r="11082" spans="1:7" hidden="1" x14ac:dyDescent="0.25">
      <c r="A11082" s="28">
        <v>44470</v>
      </c>
      <c r="B11082" s="27" t="s">
        <v>35</v>
      </c>
      <c r="C11082" s="27" t="s">
        <v>50</v>
      </c>
      <c r="D11082" s="27" t="s">
        <v>7</v>
      </c>
      <c r="E11082" s="27" t="s">
        <v>12</v>
      </c>
      <c r="F11082" s="29"/>
      <c r="G11082" s="30">
        <v>668.83791666666673</v>
      </c>
    </row>
    <row r="11083" spans="1:7" hidden="1" x14ac:dyDescent="0.25">
      <c r="A11083" s="28">
        <v>44470</v>
      </c>
      <c r="B11083" s="27" t="s">
        <v>35</v>
      </c>
      <c r="C11083" s="27" t="s">
        <v>50</v>
      </c>
      <c r="D11083" s="27" t="s">
        <v>7</v>
      </c>
      <c r="E11083" s="27" t="s">
        <v>13</v>
      </c>
      <c r="F11083" s="29"/>
      <c r="G11083" s="30">
        <v>668.83791666666673</v>
      </c>
    </row>
    <row r="11084" spans="1:7" hidden="1" x14ac:dyDescent="0.25">
      <c r="A11084" s="28">
        <v>44470</v>
      </c>
      <c r="B11084" s="27" t="s">
        <v>35</v>
      </c>
      <c r="C11084" s="27" t="s">
        <v>50</v>
      </c>
      <c r="D11084" s="27" t="s">
        <v>7</v>
      </c>
      <c r="E11084" s="27" t="s">
        <v>14</v>
      </c>
      <c r="F11084" s="29"/>
      <c r="G11084" s="30">
        <v>668.83791666666673</v>
      </c>
    </row>
    <row r="11085" spans="1:7" hidden="1" x14ac:dyDescent="0.25">
      <c r="A11085" s="28">
        <v>44470</v>
      </c>
      <c r="B11085" s="27" t="s">
        <v>35</v>
      </c>
      <c r="C11085" s="27" t="s">
        <v>50</v>
      </c>
      <c r="D11085" s="27" t="s">
        <v>7</v>
      </c>
      <c r="E11085" s="27" t="s">
        <v>15</v>
      </c>
      <c r="F11085" s="29"/>
      <c r="G11085" s="30">
        <v>668.83791666666673</v>
      </c>
    </row>
    <row r="11086" spans="1:7" hidden="1" x14ac:dyDescent="0.25">
      <c r="A11086" s="28">
        <v>44470</v>
      </c>
      <c r="B11086" s="27" t="s">
        <v>35</v>
      </c>
      <c r="C11086" s="27" t="s">
        <v>50</v>
      </c>
      <c r="D11086" s="27" t="s">
        <v>7</v>
      </c>
      <c r="E11086" s="27" t="s">
        <v>16</v>
      </c>
      <c r="F11086" s="29"/>
      <c r="G11086" s="30">
        <v>668.83791666666673</v>
      </c>
    </row>
    <row r="11087" spans="1:7" hidden="1" x14ac:dyDescent="0.25">
      <c r="A11087" s="28">
        <v>44470</v>
      </c>
      <c r="B11087" s="27" t="s">
        <v>35</v>
      </c>
      <c r="C11087" s="27" t="s">
        <v>50</v>
      </c>
      <c r="D11087" s="27" t="s">
        <v>7</v>
      </c>
      <c r="E11087" s="27" t="s">
        <v>17</v>
      </c>
      <c r="F11087" s="29"/>
      <c r="G11087" s="30">
        <v>668.83791666666673</v>
      </c>
    </row>
    <row r="11088" spans="1:7" hidden="1" x14ac:dyDescent="0.25">
      <c r="A11088" s="28">
        <v>44470</v>
      </c>
      <c r="B11088" s="27" t="s">
        <v>35</v>
      </c>
      <c r="C11088" s="27" t="s">
        <v>50</v>
      </c>
      <c r="D11088" s="27" t="s">
        <v>7</v>
      </c>
      <c r="E11088" s="27" t="s">
        <v>18</v>
      </c>
      <c r="F11088" s="29"/>
      <c r="G11088" s="30">
        <v>668.83791666666673</v>
      </c>
    </row>
    <row r="11089" spans="1:7" hidden="1" x14ac:dyDescent="0.25">
      <c r="A11089" s="28">
        <v>44470</v>
      </c>
      <c r="B11089" s="27" t="s">
        <v>35</v>
      </c>
      <c r="C11089" s="27" t="s">
        <v>50</v>
      </c>
      <c r="D11089" s="27" t="s">
        <v>7</v>
      </c>
      <c r="E11089" s="27" t="s">
        <v>19</v>
      </c>
      <c r="F11089" s="29"/>
      <c r="G11089" s="30">
        <v>668.83791666666673</v>
      </c>
    </row>
    <row r="11090" spans="1:7" hidden="1" x14ac:dyDescent="0.25">
      <c r="A11090" s="28">
        <v>44470</v>
      </c>
      <c r="B11090" s="27" t="s">
        <v>35</v>
      </c>
      <c r="C11090" s="27" t="s">
        <v>50</v>
      </c>
      <c r="D11090" s="27" t="s">
        <v>7</v>
      </c>
      <c r="E11090" s="27" t="s">
        <v>20</v>
      </c>
      <c r="F11090" s="29"/>
      <c r="G11090" s="30">
        <v>668.83791666666673</v>
      </c>
    </row>
    <row r="11091" spans="1:7" hidden="1" x14ac:dyDescent="0.25">
      <c r="A11091" s="28">
        <v>44470</v>
      </c>
      <c r="B11091" s="27" t="s">
        <v>35</v>
      </c>
      <c r="C11091" s="27" t="s">
        <v>50</v>
      </c>
      <c r="D11091" s="27" t="s">
        <v>7</v>
      </c>
      <c r="E11091" s="27" t="s">
        <v>38</v>
      </c>
      <c r="F11091" s="29"/>
      <c r="G11091" s="30">
        <v>668.83791666666673</v>
      </c>
    </row>
    <row r="11092" spans="1:7" hidden="1" x14ac:dyDescent="0.25">
      <c r="A11092" s="28">
        <v>44470</v>
      </c>
      <c r="B11092" s="27" t="s">
        <v>35</v>
      </c>
      <c r="C11092" s="27" t="s">
        <v>50</v>
      </c>
      <c r="D11092" s="27" t="s">
        <v>7</v>
      </c>
      <c r="E11092" s="27" t="s">
        <v>23</v>
      </c>
      <c r="F11092" s="29"/>
      <c r="G11092" s="30">
        <v>668.83791666666673</v>
      </c>
    </row>
    <row r="11093" spans="1:7" hidden="1" x14ac:dyDescent="0.25">
      <c r="A11093" s="28">
        <v>44470</v>
      </c>
      <c r="B11093" s="27" t="s">
        <v>35</v>
      </c>
      <c r="C11093" s="27" t="s">
        <v>50</v>
      </c>
      <c r="D11093" s="27" t="s">
        <v>7</v>
      </c>
      <c r="E11093" s="27" t="s">
        <v>40</v>
      </c>
      <c r="F11093" s="29"/>
      <c r="G11093" s="30">
        <v>668.83791666666673</v>
      </c>
    </row>
    <row r="11094" spans="1:7" hidden="1" x14ac:dyDescent="0.25">
      <c r="A11094" s="28">
        <v>44470</v>
      </c>
      <c r="B11094" s="27" t="s">
        <v>35</v>
      </c>
      <c r="C11094" s="27" t="s">
        <v>50</v>
      </c>
      <c r="D11094" s="27" t="s">
        <v>7</v>
      </c>
      <c r="E11094" s="27" t="s">
        <v>42</v>
      </c>
      <c r="F11094" s="29"/>
      <c r="G11094" s="30">
        <v>668.83791666666673</v>
      </c>
    </row>
    <row r="11095" spans="1:7" hidden="1" x14ac:dyDescent="0.25">
      <c r="A11095" s="28">
        <v>44470</v>
      </c>
      <c r="B11095" s="27" t="s">
        <v>35</v>
      </c>
      <c r="C11095" s="27" t="s">
        <v>50</v>
      </c>
      <c r="D11095" s="27" t="s">
        <v>7</v>
      </c>
      <c r="E11095" s="27" t="s">
        <v>43</v>
      </c>
      <c r="F11095" s="29"/>
      <c r="G11095" s="30">
        <v>668.83791666666673</v>
      </c>
    </row>
    <row r="11096" spans="1:7" hidden="1" x14ac:dyDescent="0.25">
      <c r="A11096" s="28">
        <v>44470</v>
      </c>
      <c r="B11096" s="27" t="s">
        <v>35</v>
      </c>
      <c r="C11096" s="27" t="s">
        <v>50</v>
      </c>
      <c r="D11096" s="27" t="s">
        <v>7</v>
      </c>
      <c r="E11096" s="27" t="s">
        <v>72</v>
      </c>
      <c r="F11096" s="29"/>
      <c r="G11096" s="30">
        <v>668.83791666666673</v>
      </c>
    </row>
    <row r="11097" spans="1:7" hidden="1" x14ac:dyDescent="0.25">
      <c r="A11097" s="28">
        <v>44470</v>
      </c>
      <c r="B11097" s="27" t="s">
        <v>34</v>
      </c>
      <c r="C11097" s="27" t="s">
        <v>50</v>
      </c>
      <c r="D11097" s="27" t="s">
        <v>6</v>
      </c>
      <c r="E11097" s="27" t="s">
        <v>8</v>
      </c>
      <c r="F11097" s="29"/>
      <c r="G11097" s="30">
        <v>512.69000000000005</v>
      </c>
    </row>
    <row r="11098" spans="1:7" hidden="1" x14ac:dyDescent="0.25">
      <c r="A11098" s="28">
        <v>44470</v>
      </c>
      <c r="B11098" s="27" t="s">
        <v>34</v>
      </c>
      <c r="C11098" s="27" t="s">
        <v>50</v>
      </c>
      <c r="D11098" s="27" t="s">
        <v>6</v>
      </c>
      <c r="E11098" s="27" t="s">
        <v>9</v>
      </c>
      <c r="F11098" s="29"/>
      <c r="G11098" s="30">
        <v>583.98</v>
      </c>
    </row>
    <row r="11099" spans="1:7" hidden="1" x14ac:dyDescent="0.25">
      <c r="A11099" s="28">
        <v>44470</v>
      </c>
      <c r="B11099" s="27" t="s">
        <v>34</v>
      </c>
      <c r="C11099" s="27" t="s">
        <v>50</v>
      </c>
      <c r="D11099" s="27" t="s">
        <v>6</v>
      </c>
      <c r="E11099" s="27" t="s">
        <v>22</v>
      </c>
      <c r="F11099" s="29"/>
      <c r="G11099" s="30">
        <v>717.29</v>
      </c>
    </row>
    <row r="11100" spans="1:7" hidden="1" x14ac:dyDescent="0.25">
      <c r="A11100" s="28">
        <v>44470</v>
      </c>
      <c r="B11100" s="27" t="s">
        <v>34</v>
      </c>
      <c r="C11100" s="27" t="s">
        <v>50</v>
      </c>
      <c r="D11100" s="27" t="s">
        <v>6</v>
      </c>
      <c r="E11100" s="27" t="s">
        <v>39</v>
      </c>
      <c r="F11100" s="29"/>
      <c r="G11100" s="30">
        <v>357.63</v>
      </c>
    </row>
    <row r="11101" spans="1:7" hidden="1" x14ac:dyDescent="0.25">
      <c r="A11101" s="28">
        <v>44470</v>
      </c>
      <c r="B11101" s="27" t="s">
        <v>34</v>
      </c>
      <c r="C11101" s="27" t="s">
        <v>50</v>
      </c>
      <c r="D11101" s="27" t="s">
        <v>6</v>
      </c>
      <c r="E11101" s="27" t="s">
        <v>64</v>
      </c>
      <c r="F11101" s="29"/>
      <c r="G11101" s="30">
        <v>632.99</v>
      </c>
    </row>
    <row r="11102" spans="1:7" hidden="1" x14ac:dyDescent="0.25">
      <c r="A11102" s="28">
        <v>44470</v>
      </c>
      <c r="B11102" s="27" t="s">
        <v>34</v>
      </c>
      <c r="C11102" s="27" t="s">
        <v>50</v>
      </c>
      <c r="D11102" s="27" t="s">
        <v>6</v>
      </c>
      <c r="E11102" s="27" t="s">
        <v>21</v>
      </c>
      <c r="F11102" s="29"/>
      <c r="G11102" s="30">
        <v>525.32000000000005</v>
      </c>
    </row>
    <row r="11103" spans="1:7" hidden="1" x14ac:dyDescent="0.25">
      <c r="A11103" s="28">
        <v>44470</v>
      </c>
      <c r="B11103" s="27" t="s">
        <v>34</v>
      </c>
      <c r="C11103" s="27" t="s">
        <v>50</v>
      </c>
      <c r="D11103" s="27" t="s">
        <v>6</v>
      </c>
      <c r="E11103" s="27" t="s">
        <v>41</v>
      </c>
      <c r="F11103" s="29"/>
      <c r="G11103" s="30">
        <v>541.32000000000005</v>
      </c>
    </row>
    <row r="11104" spans="1:7" hidden="1" x14ac:dyDescent="0.25">
      <c r="A11104" s="28">
        <v>44470</v>
      </c>
      <c r="B11104" s="27" t="s">
        <v>34</v>
      </c>
      <c r="C11104" s="27" t="s">
        <v>50</v>
      </c>
      <c r="D11104" s="27" t="s">
        <v>6</v>
      </c>
      <c r="E11104" s="27" t="s">
        <v>10</v>
      </c>
      <c r="F11104" s="29"/>
      <c r="G11104" s="30">
        <v>721.06</v>
      </c>
    </row>
    <row r="11105" spans="1:7" hidden="1" x14ac:dyDescent="0.25">
      <c r="A11105" s="28">
        <v>44470</v>
      </c>
      <c r="B11105" s="27" t="s">
        <v>34</v>
      </c>
      <c r="C11105" s="27" t="s">
        <v>50</v>
      </c>
      <c r="D11105" s="27" t="s">
        <v>6</v>
      </c>
      <c r="E11105" s="27" t="s">
        <v>11</v>
      </c>
      <c r="F11105" s="29"/>
      <c r="G11105" s="30">
        <v>309.66000000000003</v>
      </c>
    </row>
    <row r="11106" spans="1:7" hidden="1" x14ac:dyDescent="0.25">
      <c r="A11106" s="28">
        <v>44470</v>
      </c>
      <c r="B11106" s="27" t="s">
        <v>34</v>
      </c>
      <c r="C11106" s="27" t="s">
        <v>50</v>
      </c>
      <c r="D11106" s="27" t="s">
        <v>6</v>
      </c>
      <c r="E11106" s="27" t="s">
        <v>12</v>
      </c>
      <c r="F11106" s="29"/>
      <c r="G11106" s="30">
        <v>366.63</v>
      </c>
    </row>
    <row r="11107" spans="1:7" hidden="1" x14ac:dyDescent="0.25">
      <c r="A11107" s="28">
        <v>44470</v>
      </c>
      <c r="B11107" s="27" t="s">
        <v>34</v>
      </c>
      <c r="C11107" s="27" t="s">
        <v>50</v>
      </c>
      <c r="D11107" s="27" t="s">
        <v>6</v>
      </c>
      <c r="E11107" s="27" t="s">
        <v>13</v>
      </c>
      <c r="F11107" s="29"/>
      <c r="G11107" s="30">
        <v>444.8</v>
      </c>
    </row>
    <row r="11108" spans="1:7" hidden="1" x14ac:dyDescent="0.25">
      <c r="A11108" s="28">
        <v>44470</v>
      </c>
      <c r="B11108" s="27" t="s">
        <v>34</v>
      </c>
      <c r="C11108" s="27" t="s">
        <v>50</v>
      </c>
      <c r="D11108" s="27" t="s">
        <v>6</v>
      </c>
      <c r="E11108" s="27" t="s">
        <v>14</v>
      </c>
      <c r="F11108" s="29"/>
      <c r="G11108" s="30">
        <v>153.91999999999999</v>
      </c>
    </row>
    <row r="11109" spans="1:7" hidden="1" x14ac:dyDescent="0.25">
      <c r="A11109" s="28">
        <v>44470</v>
      </c>
      <c r="B11109" s="27" t="s">
        <v>34</v>
      </c>
      <c r="C11109" s="27" t="s">
        <v>50</v>
      </c>
      <c r="D11109" s="27" t="s">
        <v>6</v>
      </c>
      <c r="E11109" s="27" t="s">
        <v>15</v>
      </c>
      <c r="F11109" s="29"/>
      <c r="G11109" s="30">
        <v>377.23</v>
      </c>
    </row>
    <row r="11110" spans="1:7" hidden="1" x14ac:dyDescent="0.25">
      <c r="A11110" s="28">
        <v>44470</v>
      </c>
      <c r="B11110" s="27" t="s">
        <v>34</v>
      </c>
      <c r="C11110" s="27" t="s">
        <v>50</v>
      </c>
      <c r="D11110" s="27" t="s">
        <v>6</v>
      </c>
      <c r="E11110" s="27" t="s">
        <v>16</v>
      </c>
      <c r="F11110" s="29"/>
      <c r="G11110" s="30">
        <v>455.42</v>
      </c>
    </row>
    <row r="11111" spans="1:7" hidden="1" x14ac:dyDescent="0.25">
      <c r="A11111" s="28">
        <v>44470</v>
      </c>
      <c r="B11111" s="27" t="s">
        <v>34</v>
      </c>
      <c r="C11111" s="27" t="s">
        <v>50</v>
      </c>
      <c r="D11111" s="27" t="s">
        <v>6</v>
      </c>
      <c r="E11111" s="27" t="s">
        <v>17</v>
      </c>
      <c r="F11111" s="29"/>
      <c r="G11111" s="30">
        <v>825.43</v>
      </c>
    </row>
    <row r="11112" spans="1:7" hidden="1" x14ac:dyDescent="0.25">
      <c r="A11112" s="28">
        <v>44470</v>
      </c>
      <c r="B11112" s="27" t="s">
        <v>34</v>
      </c>
      <c r="C11112" s="27" t="s">
        <v>50</v>
      </c>
      <c r="D11112" s="27" t="s">
        <v>6</v>
      </c>
      <c r="E11112" s="27" t="s">
        <v>18</v>
      </c>
      <c r="F11112" s="29"/>
      <c r="G11112" s="30">
        <v>361.39</v>
      </c>
    </row>
    <row r="11113" spans="1:7" hidden="1" x14ac:dyDescent="0.25">
      <c r="A11113" s="28">
        <v>44470</v>
      </c>
      <c r="B11113" s="27" t="s">
        <v>34</v>
      </c>
      <c r="C11113" s="27" t="s">
        <v>50</v>
      </c>
      <c r="D11113" s="27" t="s">
        <v>6</v>
      </c>
      <c r="E11113" s="27" t="s">
        <v>19</v>
      </c>
      <c r="F11113" s="29"/>
      <c r="G11113" s="30">
        <v>492.72</v>
      </c>
    </row>
    <row r="11114" spans="1:7" hidden="1" x14ac:dyDescent="0.25">
      <c r="A11114" s="28">
        <v>44470</v>
      </c>
      <c r="B11114" s="27" t="s">
        <v>34</v>
      </c>
      <c r="C11114" s="27" t="s">
        <v>50</v>
      </c>
      <c r="D11114" s="27" t="s">
        <v>6</v>
      </c>
      <c r="E11114" s="27" t="s">
        <v>20</v>
      </c>
      <c r="F11114" s="29"/>
      <c r="G11114" s="30">
        <v>371.7</v>
      </c>
    </row>
    <row r="11115" spans="1:7" hidden="1" x14ac:dyDescent="0.25">
      <c r="A11115" s="28">
        <v>44470</v>
      </c>
      <c r="B11115" s="27" t="s">
        <v>34</v>
      </c>
      <c r="C11115" s="27" t="s">
        <v>50</v>
      </c>
      <c r="D11115" s="27" t="s">
        <v>6</v>
      </c>
      <c r="E11115" s="27" t="s">
        <v>38</v>
      </c>
      <c r="F11115" s="29"/>
      <c r="G11115" s="30">
        <v>182.93</v>
      </c>
    </row>
    <row r="11116" spans="1:7" hidden="1" x14ac:dyDescent="0.25">
      <c r="A11116" s="28">
        <v>44470</v>
      </c>
      <c r="B11116" s="27" t="s">
        <v>34</v>
      </c>
      <c r="C11116" s="27" t="s">
        <v>50</v>
      </c>
      <c r="D11116" s="27" t="s">
        <v>6</v>
      </c>
      <c r="E11116" s="27" t="s">
        <v>23</v>
      </c>
      <c r="F11116" s="29"/>
      <c r="G11116" s="30">
        <v>571.6</v>
      </c>
    </row>
    <row r="11117" spans="1:7" hidden="1" x14ac:dyDescent="0.25">
      <c r="A11117" s="28">
        <v>44470</v>
      </c>
      <c r="B11117" s="27" t="s">
        <v>34</v>
      </c>
      <c r="C11117" s="27" t="s">
        <v>50</v>
      </c>
      <c r="D11117" s="27" t="s">
        <v>6</v>
      </c>
      <c r="E11117" s="27" t="s">
        <v>40</v>
      </c>
      <c r="F11117" s="29"/>
      <c r="G11117" s="30">
        <v>169.73</v>
      </c>
    </row>
    <row r="11118" spans="1:7" hidden="1" x14ac:dyDescent="0.25">
      <c r="A11118" s="28">
        <v>44470</v>
      </c>
      <c r="B11118" s="27" t="s">
        <v>34</v>
      </c>
      <c r="C11118" s="27" t="s">
        <v>50</v>
      </c>
      <c r="D11118" s="27" t="s">
        <v>6</v>
      </c>
      <c r="E11118" s="27" t="s">
        <v>42</v>
      </c>
      <c r="F11118" s="29"/>
      <c r="G11118" s="30">
        <v>654.29999999999995</v>
      </c>
    </row>
    <row r="11119" spans="1:7" hidden="1" x14ac:dyDescent="0.25">
      <c r="A11119" s="28">
        <v>44470</v>
      </c>
      <c r="B11119" s="27" t="s">
        <v>34</v>
      </c>
      <c r="C11119" s="27" t="s">
        <v>50</v>
      </c>
      <c r="D11119" s="27" t="s">
        <v>6</v>
      </c>
      <c r="E11119" s="27" t="s">
        <v>43</v>
      </c>
      <c r="F11119" s="29"/>
      <c r="G11119" s="30">
        <v>626</v>
      </c>
    </row>
    <row r="11120" spans="1:7" hidden="1" x14ac:dyDescent="0.25">
      <c r="A11120" s="28">
        <v>44501</v>
      </c>
      <c r="B11120" s="27" t="s">
        <v>33</v>
      </c>
      <c r="C11120" s="27" t="s">
        <v>50</v>
      </c>
      <c r="D11120" s="27" t="s">
        <v>7</v>
      </c>
      <c r="E11120" s="27" t="s">
        <v>8</v>
      </c>
      <c r="F11120" s="29"/>
      <c r="G11120" s="30">
        <v>2429.7874999999999</v>
      </c>
    </row>
    <row r="11121" spans="1:7" hidden="1" x14ac:dyDescent="0.25">
      <c r="A11121" s="28">
        <v>44501</v>
      </c>
      <c r="B11121" s="27" t="s">
        <v>33</v>
      </c>
      <c r="C11121" s="27" t="s">
        <v>50</v>
      </c>
      <c r="D11121" s="27" t="s">
        <v>7</v>
      </c>
      <c r="E11121" s="27" t="s">
        <v>9</v>
      </c>
      <c r="F11121" s="29"/>
      <c r="G11121" s="30">
        <v>2429.7874999999999</v>
      </c>
    </row>
    <row r="11122" spans="1:7" hidden="1" x14ac:dyDescent="0.25">
      <c r="A11122" s="28">
        <v>44501</v>
      </c>
      <c r="B11122" s="27" t="s">
        <v>33</v>
      </c>
      <c r="C11122" s="27" t="s">
        <v>50</v>
      </c>
      <c r="D11122" s="27" t="s">
        <v>7</v>
      </c>
      <c r="E11122" s="27" t="s">
        <v>22</v>
      </c>
      <c r="F11122" s="29"/>
      <c r="G11122" s="30">
        <v>2429.7874999999999</v>
      </c>
    </row>
    <row r="11123" spans="1:7" hidden="1" x14ac:dyDescent="0.25">
      <c r="A11123" s="28">
        <v>44501</v>
      </c>
      <c r="B11123" s="27" t="s">
        <v>33</v>
      </c>
      <c r="C11123" s="27" t="s">
        <v>50</v>
      </c>
      <c r="D11123" s="27" t="s">
        <v>7</v>
      </c>
      <c r="E11123" s="27" t="s">
        <v>39</v>
      </c>
      <c r="F11123" s="29"/>
      <c r="G11123" s="30">
        <v>2429.7874999999999</v>
      </c>
    </row>
    <row r="11124" spans="1:7" hidden="1" x14ac:dyDescent="0.25">
      <c r="A11124" s="28">
        <v>44501</v>
      </c>
      <c r="B11124" s="27" t="s">
        <v>33</v>
      </c>
      <c r="C11124" s="27" t="s">
        <v>50</v>
      </c>
      <c r="D11124" s="27" t="s">
        <v>7</v>
      </c>
      <c r="E11124" s="27" t="s">
        <v>64</v>
      </c>
      <c r="F11124" s="29"/>
      <c r="G11124" s="30">
        <v>2429.7874999999999</v>
      </c>
    </row>
    <row r="11125" spans="1:7" hidden="1" x14ac:dyDescent="0.25">
      <c r="A11125" s="28">
        <v>44501</v>
      </c>
      <c r="B11125" s="27" t="s">
        <v>33</v>
      </c>
      <c r="C11125" s="27" t="s">
        <v>50</v>
      </c>
      <c r="D11125" s="27" t="s">
        <v>7</v>
      </c>
      <c r="E11125" s="27" t="s">
        <v>21</v>
      </c>
      <c r="F11125" s="29"/>
      <c r="G11125" s="30">
        <v>2429.7874999999999</v>
      </c>
    </row>
    <row r="11126" spans="1:7" hidden="1" x14ac:dyDescent="0.25">
      <c r="A11126" s="28">
        <v>44501</v>
      </c>
      <c r="B11126" s="27" t="s">
        <v>33</v>
      </c>
      <c r="C11126" s="27" t="s">
        <v>50</v>
      </c>
      <c r="D11126" s="27" t="s">
        <v>7</v>
      </c>
      <c r="E11126" s="27" t="s">
        <v>41</v>
      </c>
      <c r="F11126" s="29"/>
      <c r="G11126" s="30">
        <v>2429.7874999999999</v>
      </c>
    </row>
    <row r="11127" spans="1:7" hidden="1" x14ac:dyDescent="0.25">
      <c r="A11127" s="28">
        <v>44501</v>
      </c>
      <c r="B11127" s="27" t="s">
        <v>33</v>
      </c>
      <c r="C11127" s="27" t="s">
        <v>50</v>
      </c>
      <c r="D11127" s="27" t="s">
        <v>7</v>
      </c>
      <c r="E11127" s="27" t="s">
        <v>10</v>
      </c>
      <c r="F11127" s="29"/>
      <c r="G11127" s="30">
        <v>2429.7874999999999</v>
      </c>
    </row>
    <row r="11128" spans="1:7" hidden="1" x14ac:dyDescent="0.25">
      <c r="A11128" s="28">
        <v>44501</v>
      </c>
      <c r="B11128" s="27" t="s">
        <v>33</v>
      </c>
      <c r="C11128" s="27" t="s">
        <v>50</v>
      </c>
      <c r="D11128" s="27" t="s">
        <v>7</v>
      </c>
      <c r="E11128" s="27" t="s">
        <v>11</v>
      </c>
      <c r="F11128" s="29"/>
      <c r="G11128" s="30">
        <v>2429.7874999999999</v>
      </c>
    </row>
    <row r="11129" spans="1:7" hidden="1" x14ac:dyDescent="0.25">
      <c r="A11129" s="28">
        <v>44501</v>
      </c>
      <c r="B11129" s="27" t="s">
        <v>33</v>
      </c>
      <c r="C11129" s="27" t="s">
        <v>50</v>
      </c>
      <c r="D11129" s="27" t="s">
        <v>7</v>
      </c>
      <c r="E11129" s="27" t="s">
        <v>12</v>
      </c>
      <c r="F11129" s="29"/>
      <c r="G11129" s="30">
        <v>2429.7874999999999</v>
      </c>
    </row>
    <row r="11130" spans="1:7" hidden="1" x14ac:dyDescent="0.25">
      <c r="A11130" s="28">
        <v>44501</v>
      </c>
      <c r="B11130" s="27" t="s">
        <v>33</v>
      </c>
      <c r="C11130" s="27" t="s">
        <v>50</v>
      </c>
      <c r="D11130" s="27" t="s">
        <v>7</v>
      </c>
      <c r="E11130" s="27" t="s">
        <v>13</v>
      </c>
      <c r="F11130" s="29"/>
      <c r="G11130" s="30">
        <v>2429.7874999999999</v>
      </c>
    </row>
    <row r="11131" spans="1:7" hidden="1" x14ac:dyDescent="0.25">
      <c r="A11131" s="28">
        <v>44501</v>
      </c>
      <c r="B11131" s="27" t="s">
        <v>33</v>
      </c>
      <c r="C11131" s="27" t="s">
        <v>50</v>
      </c>
      <c r="D11131" s="27" t="s">
        <v>7</v>
      </c>
      <c r="E11131" s="27" t="s">
        <v>14</v>
      </c>
      <c r="F11131" s="29"/>
      <c r="G11131" s="30">
        <v>2429.7874999999999</v>
      </c>
    </row>
    <row r="11132" spans="1:7" hidden="1" x14ac:dyDescent="0.25">
      <c r="A11132" s="28">
        <v>44501</v>
      </c>
      <c r="B11132" s="27" t="s">
        <v>33</v>
      </c>
      <c r="C11132" s="27" t="s">
        <v>50</v>
      </c>
      <c r="D11132" s="27" t="s">
        <v>7</v>
      </c>
      <c r="E11132" s="27" t="s">
        <v>15</v>
      </c>
      <c r="F11132" s="29"/>
      <c r="G11132" s="30">
        <v>2429.7874999999999</v>
      </c>
    </row>
    <row r="11133" spans="1:7" hidden="1" x14ac:dyDescent="0.25">
      <c r="A11133" s="28">
        <v>44501</v>
      </c>
      <c r="B11133" s="27" t="s">
        <v>33</v>
      </c>
      <c r="C11133" s="27" t="s">
        <v>50</v>
      </c>
      <c r="D11133" s="27" t="s">
        <v>7</v>
      </c>
      <c r="E11133" s="27" t="s">
        <v>16</v>
      </c>
      <c r="F11133" s="29"/>
      <c r="G11133" s="30">
        <v>2429.7874999999999</v>
      </c>
    </row>
    <row r="11134" spans="1:7" hidden="1" x14ac:dyDescent="0.25">
      <c r="A11134" s="28">
        <v>44501</v>
      </c>
      <c r="B11134" s="27" t="s">
        <v>33</v>
      </c>
      <c r="C11134" s="27" t="s">
        <v>50</v>
      </c>
      <c r="D11134" s="27" t="s">
        <v>7</v>
      </c>
      <c r="E11134" s="27" t="s">
        <v>17</v>
      </c>
      <c r="F11134" s="29"/>
      <c r="G11134" s="30">
        <v>2429.7874999999999</v>
      </c>
    </row>
    <row r="11135" spans="1:7" hidden="1" x14ac:dyDescent="0.25">
      <c r="A11135" s="28">
        <v>44501</v>
      </c>
      <c r="B11135" s="27" t="s">
        <v>33</v>
      </c>
      <c r="C11135" s="27" t="s">
        <v>50</v>
      </c>
      <c r="D11135" s="27" t="s">
        <v>7</v>
      </c>
      <c r="E11135" s="27" t="s">
        <v>18</v>
      </c>
      <c r="F11135" s="29"/>
      <c r="G11135" s="30">
        <v>2429.7874999999999</v>
      </c>
    </row>
    <row r="11136" spans="1:7" hidden="1" x14ac:dyDescent="0.25">
      <c r="A11136" s="28">
        <v>44501</v>
      </c>
      <c r="B11136" s="27" t="s">
        <v>33</v>
      </c>
      <c r="C11136" s="27" t="s">
        <v>50</v>
      </c>
      <c r="D11136" s="27" t="s">
        <v>7</v>
      </c>
      <c r="E11136" s="27" t="s">
        <v>19</v>
      </c>
      <c r="F11136" s="29"/>
      <c r="G11136" s="30">
        <v>2429.7874999999999</v>
      </c>
    </row>
    <row r="11137" spans="1:7" hidden="1" x14ac:dyDescent="0.25">
      <c r="A11137" s="28">
        <v>44501</v>
      </c>
      <c r="B11137" s="27" t="s">
        <v>33</v>
      </c>
      <c r="C11137" s="27" t="s">
        <v>50</v>
      </c>
      <c r="D11137" s="27" t="s">
        <v>7</v>
      </c>
      <c r="E11137" s="27" t="s">
        <v>20</v>
      </c>
      <c r="F11137" s="29"/>
      <c r="G11137" s="30">
        <v>2429.7874999999999</v>
      </c>
    </row>
    <row r="11138" spans="1:7" hidden="1" x14ac:dyDescent="0.25">
      <c r="A11138" s="28">
        <v>44501</v>
      </c>
      <c r="B11138" s="27" t="s">
        <v>33</v>
      </c>
      <c r="C11138" s="27" t="s">
        <v>50</v>
      </c>
      <c r="D11138" s="27" t="s">
        <v>7</v>
      </c>
      <c r="E11138" s="27" t="s">
        <v>38</v>
      </c>
      <c r="F11138" s="29"/>
      <c r="G11138" s="30">
        <v>2429.7874999999999</v>
      </c>
    </row>
    <row r="11139" spans="1:7" hidden="1" x14ac:dyDescent="0.25">
      <c r="A11139" s="28">
        <v>44501</v>
      </c>
      <c r="B11139" s="27" t="s">
        <v>33</v>
      </c>
      <c r="C11139" s="27" t="s">
        <v>50</v>
      </c>
      <c r="D11139" s="27" t="s">
        <v>7</v>
      </c>
      <c r="E11139" s="27" t="s">
        <v>23</v>
      </c>
      <c r="F11139" s="29"/>
      <c r="G11139" s="30">
        <v>2429.7874999999999</v>
      </c>
    </row>
    <row r="11140" spans="1:7" hidden="1" x14ac:dyDescent="0.25">
      <c r="A11140" s="28">
        <v>44501</v>
      </c>
      <c r="B11140" s="27" t="s">
        <v>33</v>
      </c>
      <c r="C11140" s="27" t="s">
        <v>50</v>
      </c>
      <c r="D11140" s="27" t="s">
        <v>7</v>
      </c>
      <c r="E11140" s="27" t="s">
        <v>40</v>
      </c>
      <c r="F11140" s="29"/>
      <c r="G11140" s="30">
        <v>2429.7874999999999</v>
      </c>
    </row>
    <row r="11141" spans="1:7" hidden="1" x14ac:dyDescent="0.25">
      <c r="A11141" s="28">
        <v>44501</v>
      </c>
      <c r="B11141" s="27" t="s">
        <v>33</v>
      </c>
      <c r="C11141" s="27" t="s">
        <v>50</v>
      </c>
      <c r="D11141" s="27" t="s">
        <v>7</v>
      </c>
      <c r="E11141" s="27" t="s">
        <v>42</v>
      </c>
      <c r="F11141" s="29"/>
      <c r="G11141" s="30">
        <v>2429.7874999999999</v>
      </c>
    </row>
    <row r="11142" spans="1:7" hidden="1" x14ac:dyDescent="0.25">
      <c r="A11142" s="28">
        <v>44501</v>
      </c>
      <c r="B11142" s="27" t="s">
        <v>33</v>
      </c>
      <c r="C11142" s="27" t="s">
        <v>50</v>
      </c>
      <c r="D11142" s="27" t="s">
        <v>7</v>
      </c>
      <c r="E11142" s="27" t="s">
        <v>43</v>
      </c>
      <c r="F11142" s="29"/>
      <c r="G11142" s="30">
        <v>2429.7874999999999</v>
      </c>
    </row>
    <row r="11143" spans="1:7" hidden="1" x14ac:dyDescent="0.25">
      <c r="A11143" s="28">
        <v>44501</v>
      </c>
      <c r="B11143" s="27" t="s">
        <v>33</v>
      </c>
      <c r="C11143" s="27" t="s">
        <v>50</v>
      </c>
      <c r="D11143" s="27" t="s">
        <v>7</v>
      </c>
      <c r="E11143" s="27" t="s">
        <v>72</v>
      </c>
      <c r="F11143" s="29"/>
      <c r="G11143" s="30">
        <v>2429.7874999999999</v>
      </c>
    </row>
    <row r="11144" spans="1:7" hidden="1" x14ac:dyDescent="0.25">
      <c r="A11144" s="28">
        <v>44501</v>
      </c>
      <c r="B11144" s="27" t="s">
        <v>4</v>
      </c>
      <c r="C11144" s="27" t="s">
        <v>50</v>
      </c>
      <c r="D11144" s="27" t="s">
        <v>7</v>
      </c>
      <c r="E11144" s="27" t="s">
        <v>8</v>
      </c>
      <c r="F11144" s="29"/>
      <c r="G11144" s="30">
        <v>5633.55</v>
      </c>
    </row>
    <row r="11145" spans="1:7" hidden="1" x14ac:dyDescent="0.25">
      <c r="A11145" s="28">
        <v>44501</v>
      </c>
      <c r="B11145" s="27" t="s">
        <v>4</v>
      </c>
      <c r="C11145" s="27" t="s">
        <v>50</v>
      </c>
      <c r="D11145" s="27" t="s">
        <v>7</v>
      </c>
      <c r="E11145" s="27" t="s">
        <v>9</v>
      </c>
      <c r="F11145" s="29"/>
      <c r="G11145" s="30">
        <v>1217.8499999999999</v>
      </c>
    </row>
    <row r="11146" spans="1:7" hidden="1" x14ac:dyDescent="0.25">
      <c r="A11146" s="28">
        <v>44501</v>
      </c>
      <c r="B11146" s="27" t="s">
        <v>4</v>
      </c>
      <c r="C11146" s="27" t="s">
        <v>50</v>
      </c>
      <c r="D11146" s="27" t="s">
        <v>7</v>
      </c>
      <c r="E11146" s="27" t="s">
        <v>22</v>
      </c>
      <c r="F11146" s="29"/>
      <c r="G11146" s="30">
        <v>566.78</v>
      </c>
    </row>
    <row r="11147" spans="1:7" hidden="1" x14ac:dyDescent="0.25">
      <c r="A11147" s="28">
        <v>44501</v>
      </c>
      <c r="B11147" s="27" t="s">
        <v>4</v>
      </c>
      <c r="C11147" s="27" t="s">
        <v>50</v>
      </c>
      <c r="D11147" s="27" t="s">
        <v>7</v>
      </c>
      <c r="E11147" s="27" t="s">
        <v>39</v>
      </c>
      <c r="F11147" s="29"/>
      <c r="G11147" s="30">
        <v>1165.94</v>
      </c>
    </row>
    <row r="11148" spans="1:7" hidden="1" x14ac:dyDescent="0.25">
      <c r="A11148" s="28">
        <v>44501</v>
      </c>
      <c r="B11148" s="27" t="s">
        <v>4</v>
      </c>
      <c r="C11148" s="27" t="s">
        <v>50</v>
      </c>
      <c r="D11148" s="27" t="s">
        <v>7</v>
      </c>
      <c r="E11148" s="27" t="s">
        <v>64</v>
      </c>
      <c r="F11148" s="29"/>
      <c r="G11148" s="30">
        <v>846.86</v>
      </c>
    </row>
    <row r="11149" spans="1:7" hidden="1" x14ac:dyDescent="0.25">
      <c r="A11149" s="28">
        <v>44501</v>
      </c>
      <c r="B11149" s="27" t="s">
        <v>4</v>
      </c>
      <c r="C11149" s="27" t="s">
        <v>50</v>
      </c>
      <c r="D11149" s="27" t="s">
        <v>7</v>
      </c>
      <c r="E11149" s="27" t="s">
        <v>21</v>
      </c>
      <c r="F11149" s="29"/>
      <c r="G11149" s="30">
        <v>5676.92</v>
      </c>
    </row>
    <row r="11150" spans="1:7" hidden="1" x14ac:dyDescent="0.25">
      <c r="A11150" s="28">
        <v>44501</v>
      </c>
      <c r="B11150" s="27" t="s">
        <v>4</v>
      </c>
      <c r="C11150" s="27" t="s">
        <v>50</v>
      </c>
      <c r="D11150" s="27" t="s">
        <v>7</v>
      </c>
      <c r="E11150" s="27" t="s">
        <v>41</v>
      </c>
      <c r="F11150" s="29"/>
      <c r="G11150" s="30">
        <v>3257.48</v>
      </c>
    </row>
    <row r="11151" spans="1:7" hidden="1" x14ac:dyDescent="0.25">
      <c r="A11151" s="28">
        <v>44501</v>
      </c>
      <c r="B11151" s="27" t="s">
        <v>4</v>
      </c>
      <c r="C11151" s="27" t="s">
        <v>50</v>
      </c>
      <c r="D11151" s="27" t="s">
        <v>7</v>
      </c>
      <c r="E11151" s="27" t="s">
        <v>10</v>
      </c>
      <c r="F11151" s="29"/>
      <c r="G11151" s="30">
        <v>8138.0499999999993</v>
      </c>
    </row>
    <row r="11152" spans="1:7" hidden="1" x14ac:dyDescent="0.25">
      <c r="A11152" s="28">
        <v>44501</v>
      </c>
      <c r="B11152" s="27" t="s">
        <v>4</v>
      </c>
      <c r="C11152" s="27" t="s">
        <v>50</v>
      </c>
      <c r="D11152" s="27" t="s">
        <v>7</v>
      </c>
      <c r="E11152" s="27" t="s">
        <v>11</v>
      </c>
      <c r="F11152" s="29"/>
      <c r="G11152" s="30">
        <v>3746.81</v>
      </c>
    </row>
    <row r="11153" spans="1:7" hidden="1" x14ac:dyDescent="0.25">
      <c r="A11153" s="28">
        <v>44501</v>
      </c>
      <c r="B11153" s="27" t="s">
        <v>4</v>
      </c>
      <c r="C11153" s="27" t="s">
        <v>50</v>
      </c>
      <c r="D11153" s="27" t="s">
        <v>7</v>
      </c>
      <c r="E11153" s="27" t="s">
        <v>12</v>
      </c>
      <c r="F11153" s="29"/>
      <c r="G11153" s="30">
        <f>41327.81/5</f>
        <v>8265.5619999999999</v>
      </c>
    </row>
    <row r="11154" spans="1:7" hidden="1" x14ac:dyDescent="0.25">
      <c r="A11154" s="28">
        <v>44501</v>
      </c>
      <c r="B11154" s="27" t="s">
        <v>4</v>
      </c>
      <c r="C11154" s="27" t="s">
        <v>50</v>
      </c>
      <c r="D11154" s="27" t="s">
        <v>7</v>
      </c>
      <c r="E11154" s="27" t="s">
        <v>13</v>
      </c>
      <c r="F11154" s="29"/>
      <c r="G11154" s="30">
        <v>7454.72</v>
      </c>
    </row>
    <row r="11155" spans="1:7" hidden="1" x14ac:dyDescent="0.25">
      <c r="A11155" s="28">
        <v>44501</v>
      </c>
      <c r="B11155" s="27" t="s">
        <v>4</v>
      </c>
      <c r="C11155" s="27" t="s">
        <v>50</v>
      </c>
      <c r="D11155" s="27" t="s">
        <v>7</v>
      </c>
      <c r="E11155" s="27" t="s">
        <v>14</v>
      </c>
      <c r="F11155" s="29"/>
      <c r="G11155" s="30">
        <v>956.28</v>
      </c>
    </row>
    <row r="11156" spans="1:7" hidden="1" x14ac:dyDescent="0.25">
      <c r="A11156" s="28">
        <v>44501</v>
      </c>
      <c r="B11156" s="27" t="s">
        <v>4</v>
      </c>
      <c r="C11156" s="27" t="s">
        <v>50</v>
      </c>
      <c r="D11156" s="27" t="s">
        <v>7</v>
      </c>
      <c r="E11156" s="27" t="s">
        <v>15</v>
      </c>
      <c r="F11156" s="29"/>
      <c r="G11156" s="30">
        <v>1581.6000000000001</v>
      </c>
    </row>
    <row r="11157" spans="1:7" hidden="1" x14ac:dyDescent="0.25">
      <c r="A11157" s="28">
        <v>44501</v>
      </c>
      <c r="B11157" s="27" t="s">
        <v>4</v>
      </c>
      <c r="C11157" s="27" t="s">
        <v>50</v>
      </c>
      <c r="D11157" s="27" t="s">
        <v>7</v>
      </c>
      <c r="E11157" s="27" t="s">
        <v>16</v>
      </c>
      <c r="F11157" s="29"/>
      <c r="G11157" s="30">
        <f>41327.81/5</f>
        <v>8265.5619999999999</v>
      </c>
    </row>
    <row r="11158" spans="1:7" hidden="1" x14ac:dyDescent="0.25">
      <c r="A11158" s="28">
        <v>44501</v>
      </c>
      <c r="B11158" s="27" t="s">
        <v>4</v>
      </c>
      <c r="C11158" s="27" t="s">
        <v>50</v>
      </c>
      <c r="D11158" s="27" t="s">
        <v>7</v>
      </c>
      <c r="E11158" s="27" t="s">
        <v>17</v>
      </c>
      <c r="F11158" s="29"/>
      <c r="G11158" s="30">
        <v>5184.01</v>
      </c>
    </row>
    <row r="11159" spans="1:7" hidden="1" x14ac:dyDescent="0.25">
      <c r="A11159" s="28">
        <v>44501</v>
      </c>
      <c r="B11159" s="27" t="s">
        <v>4</v>
      </c>
      <c r="C11159" s="27" t="s">
        <v>50</v>
      </c>
      <c r="D11159" s="27" t="s">
        <v>7</v>
      </c>
      <c r="E11159" s="27" t="s">
        <v>18</v>
      </c>
      <c r="F11159" s="29"/>
      <c r="G11159" s="30">
        <v>400.01</v>
      </c>
    </row>
    <row r="11160" spans="1:7" hidden="1" x14ac:dyDescent="0.25">
      <c r="A11160" s="28">
        <v>44501</v>
      </c>
      <c r="B11160" s="27" t="s">
        <v>4</v>
      </c>
      <c r="C11160" s="27" t="s">
        <v>50</v>
      </c>
      <c r="D11160" s="27" t="s">
        <v>7</v>
      </c>
      <c r="E11160" s="27" t="s">
        <v>19</v>
      </c>
      <c r="F11160" s="29"/>
      <c r="G11160" s="30">
        <v>3274.54</v>
      </c>
    </row>
    <row r="11161" spans="1:7" hidden="1" x14ac:dyDescent="0.25">
      <c r="A11161" s="28">
        <v>44501</v>
      </c>
      <c r="B11161" s="27" t="s">
        <v>4</v>
      </c>
      <c r="C11161" s="27" t="s">
        <v>50</v>
      </c>
      <c r="D11161" s="27" t="s">
        <v>7</v>
      </c>
      <c r="E11161" s="27" t="s">
        <v>20</v>
      </c>
      <c r="F11161" s="29"/>
      <c r="G11161" s="30">
        <v>1210.98</v>
      </c>
    </row>
    <row r="11162" spans="1:7" hidden="1" x14ac:dyDescent="0.25">
      <c r="A11162" s="28">
        <v>44501</v>
      </c>
      <c r="B11162" s="27" t="s">
        <v>4</v>
      </c>
      <c r="C11162" s="27" t="s">
        <v>50</v>
      </c>
      <c r="D11162" s="27" t="s">
        <v>7</v>
      </c>
      <c r="E11162" s="27" t="s">
        <v>38</v>
      </c>
      <c r="F11162" s="29"/>
      <c r="G11162" s="30">
        <f>41327.81/5</f>
        <v>8265.5619999999999</v>
      </c>
    </row>
    <row r="11163" spans="1:7" hidden="1" x14ac:dyDescent="0.25">
      <c r="A11163" s="28">
        <v>44501</v>
      </c>
      <c r="B11163" s="27" t="s">
        <v>4</v>
      </c>
      <c r="C11163" s="27" t="s">
        <v>50</v>
      </c>
      <c r="D11163" s="27" t="s">
        <v>7</v>
      </c>
      <c r="E11163" s="27" t="s">
        <v>23</v>
      </c>
      <c r="F11163" s="29"/>
      <c r="G11163" s="30">
        <v>1272.0999999999999</v>
      </c>
    </row>
    <row r="11164" spans="1:7" hidden="1" x14ac:dyDescent="0.25">
      <c r="A11164" s="28">
        <v>44501</v>
      </c>
      <c r="B11164" s="27" t="s">
        <v>4</v>
      </c>
      <c r="C11164" s="27" t="s">
        <v>50</v>
      </c>
      <c r="D11164" s="27" t="s">
        <v>7</v>
      </c>
      <c r="E11164" s="27" t="s">
        <v>40</v>
      </c>
      <c r="F11164" s="29"/>
      <c r="G11164" s="30">
        <v>301.07</v>
      </c>
    </row>
    <row r="11165" spans="1:7" hidden="1" x14ac:dyDescent="0.25">
      <c r="A11165" s="28">
        <v>44501</v>
      </c>
      <c r="B11165" s="27" t="s">
        <v>4</v>
      </c>
      <c r="C11165" s="27" t="s">
        <v>50</v>
      </c>
      <c r="D11165" s="27" t="s">
        <v>7</v>
      </c>
      <c r="E11165" s="27" t="s">
        <v>42</v>
      </c>
      <c r="F11165" s="29"/>
      <c r="G11165" s="30">
        <f>41327.81/5</f>
        <v>8265.5619999999999</v>
      </c>
    </row>
    <row r="11166" spans="1:7" hidden="1" x14ac:dyDescent="0.25">
      <c r="A11166" s="28">
        <v>44501</v>
      </c>
      <c r="B11166" s="27" t="s">
        <v>4</v>
      </c>
      <c r="C11166" s="27" t="s">
        <v>50</v>
      </c>
      <c r="D11166" s="27" t="s">
        <v>7</v>
      </c>
      <c r="E11166" s="27" t="s">
        <v>43</v>
      </c>
      <c r="F11166" s="29"/>
      <c r="G11166" s="30">
        <f>41327.81/5</f>
        <v>8265.5619999999999</v>
      </c>
    </row>
    <row r="11167" spans="1:7" hidden="1" x14ac:dyDescent="0.25">
      <c r="A11167" s="28">
        <v>44501</v>
      </c>
      <c r="B11167" s="27" t="s">
        <v>4</v>
      </c>
      <c r="C11167" s="27" t="s">
        <v>50</v>
      </c>
      <c r="D11167" s="27" t="s">
        <v>7</v>
      </c>
      <c r="E11167" s="27" t="s">
        <v>72</v>
      </c>
      <c r="F11167" s="29"/>
      <c r="G11167" s="30">
        <v>820.73</v>
      </c>
    </row>
    <row r="11168" spans="1:7" hidden="1" x14ac:dyDescent="0.25">
      <c r="A11168" s="28">
        <v>44501</v>
      </c>
      <c r="B11168" s="27" t="s">
        <v>26</v>
      </c>
      <c r="C11168" s="27" t="s">
        <v>50</v>
      </c>
      <c r="D11168" s="27" t="s">
        <v>6</v>
      </c>
      <c r="E11168" s="27" t="s">
        <v>8</v>
      </c>
      <c r="F11168" s="29"/>
      <c r="G11168" s="30">
        <v>719.18234681218985</v>
      </c>
    </row>
    <row r="11169" spans="1:7" hidden="1" x14ac:dyDescent="0.25">
      <c r="A11169" s="28">
        <v>44501</v>
      </c>
      <c r="B11169" s="27" t="s">
        <v>26</v>
      </c>
      <c r="C11169" s="27" t="s">
        <v>50</v>
      </c>
      <c r="D11169" s="27" t="s">
        <v>6</v>
      </c>
      <c r="E11169" s="27" t="s">
        <v>9</v>
      </c>
      <c r="F11169" s="29"/>
      <c r="G11169" s="30">
        <v>1595.1320615825009</v>
      </c>
    </row>
    <row r="11170" spans="1:7" hidden="1" x14ac:dyDescent="0.25">
      <c r="A11170" s="28">
        <v>44501</v>
      </c>
      <c r="B11170" s="27" t="s">
        <v>26</v>
      </c>
      <c r="C11170" s="27" t="s">
        <v>50</v>
      </c>
      <c r="D11170" s="27" t="s">
        <v>6</v>
      </c>
      <c r="E11170" s="27" t="s">
        <v>22</v>
      </c>
      <c r="F11170" s="29"/>
      <c r="G11170" s="30">
        <v>2121.8036778000037</v>
      </c>
    </row>
    <row r="11171" spans="1:7" hidden="1" x14ac:dyDescent="0.25">
      <c r="A11171" s="28">
        <v>44501</v>
      </c>
      <c r="B11171" s="27" t="s">
        <v>26</v>
      </c>
      <c r="C11171" s="27" t="s">
        <v>50</v>
      </c>
      <c r="D11171" s="27" t="s">
        <v>6</v>
      </c>
      <c r="E11171" s="27" t="s">
        <v>39</v>
      </c>
      <c r="F11171" s="29"/>
      <c r="G11171" s="30">
        <v>1858.2521149872089</v>
      </c>
    </row>
    <row r="11172" spans="1:7" hidden="1" x14ac:dyDescent="0.25">
      <c r="A11172" s="28">
        <v>44501</v>
      </c>
      <c r="B11172" s="27" t="s">
        <v>26</v>
      </c>
      <c r="C11172" s="27" t="s">
        <v>50</v>
      </c>
      <c r="D11172" s="27" t="s">
        <v>6</v>
      </c>
      <c r="E11172" s="27" t="s">
        <v>64</v>
      </c>
      <c r="F11172" s="29"/>
      <c r="G11172" s="30">
        <v>1276.3329108875935</v>
      </c>
    </row>
    <row r="11173" spans="1:7" hidden="1" x14ac:dyDescent="0.25">
      <c r="A11173" s="28">
        <v>44501</v>
      </c>
      <c r="B11173" s="27" t="s">
        <v>26</v>
      </c>
      <c r="C11173" s="27" t="s">
        <v>50</v>
      </c>
      <c r="D11173" s="27" t="s">
        <v>6</v>
      </c>
      <c r="E11173" s="27" t="s">
        <v>21</v>
      </c>
      <c r="F11173" s="29"/>
      <c r="G11173" s="30">
        <v>1372.0704648952321</v>
      </c>
    </row>
    <row r="11174" spans="1:7" hidden="1" x14ac:dyDescent="0.25">
      <c r="A11174" s="28">
        <v>44501</v>
      </c>
      <c r="B11174" s="27" t="s">
        <v>26</v>
      </c>
      <c r="C11174" s="27" t="s">
        <v>50</v>
      </c>
      <c r="D11174" s="27" t="s">
        <v>6</v>
      </c>
      <c r="E11174" s="27" t="s">
        <v>41</v>
      </c>
      <c r="F11174" s="29"/>
      <c r="G11174" s="30">
        <v>1581.4819806400055</v>
      </c>
    </row>
    <row r="11175" spans="1:7" hidden="1" x14ac:dyDescent="0.25">
      <c r="A11175" s="28">
        <v>44501</v>
      </c>
      <c r="B11175" s="27" t="s">
        <v>26</v>
      </c>
      <c r="C11175" s="27" t="s">
        <v>50</v>
      </c>
      <c r="D11175" s="27" t="s">
        <v>6</v>
      </c>
      <c r="E11175" s="27" t="s">
        <v>10</v>
      </c>
      <c r="F11175" s="29"/>
      <c r="G11175" s="30">
        <v>2188.8314725228997</v>
      </c>
    </row>
    <row r="11176" spans="1:7" hidden="1" x14ac:dyDescent="0.25">
      <c r="A11176" s="28">
        <v>44501</v>
      </c>
      <c r="B11176" s="27" t="s">
        <v>26</v>
      </c>
      <c r="C11176" s="27" t="s">
        <v>50</v>
      </c>
      <c r="D11176" s="27" t="s">
        <v>6</v>
      </c>
      <c r="E11176" s="27" t="s">
        <v>11</v>
      </c>
      <c r="F11176" s="29"/>
      <c r="G11176" s="30">
        <v>1627.7110218930932</v>
      </c>
    </row>
    <row r="11177" spans="1:7" hidden="1" x14ac:dyDescent="0.25">
      <c r="A11177" s="28">
        <v>44501</v>
      </c>
      <c r="B11177" s="27" t="s">
        <v>26</v>
      </c>
      <c r="C11177" s="27" t="s">
        <v>50</v>
      </c>
      <c r="D11177" s="27" t="s">
        <v>6</v>
      </c>
      <c r="E11177" s="27" t="s">
        <v>12</v>
      </c>
      <c r="F11177" s="29"/>
      <c r="G11177" s="30">
        <v>1714.4875638594519</v>
      </c>
    </row>
    <row r="11178" spans="1:7" hidden="1" x14ac:dyDescent="0.25">
      <c r="A11178" s="28">
        <v>44501</v>
      </c>
      <c r="B11178" s="27" t="s">
        <v>26</v>
      </c>
      <c r="C11178" s="27" t="s">
        <v>50</v>
      </c>
      <c r="D11178" s="27" t="s">
        <v>6</v>
      </c>
      <c r="E11178" s="27" t="s">
        <v>13</v>
      </c>
      <c r="F11178" s="29"/>
      <c r="G11178" s="30">
        <v>1743.4562287890469</v>
      </c>
    </row>
    <row r="11179" spans="1:7" hidden="1" x14ac:dyDescent="0.25">
      <c r="A11179" s="28">
        <v>44501</v>
      </c>
      <c r="B11179" s="27" t="s">
        <v>26</v>
      </c>
      <c r="C11179" s="27" t="s">
        <v>50</v>
      </c>
      <c r="D11179" s="27" t="s">
        <v>6</v>
      </c>
      <c r="E11179" s="27" t="s">
        <v>14</v>
      </c>
      <c r="F11179" s="29"/>
      <c r="G11179" s="30">
        <v>561.68141286032039</v>
      </c>
    </row>
    <row r="11180" spans="1:7" hidden="1" x14ac:dyDescent="0.25">
      <c r="A11180" s="28">
        <v>44501</v>
      </c>
      <c r="B11180" s="27" t="s">
        <v>26</v>
      </c>
      <c r="C11180" s="27" t="s">
        <v>50</v>
      </c>
      <c r="D11180" s="27" t="s">
        <v>6</v>
      </c>
      <c r="E11180" s="27" t="s">
        <v>15</v>
      </c>
      <c r="F11180" s="29"/>
      <c r="G11180" s="30">
        <v>1903.4886846016955</v>
      </c>
    </row>
    <row r="11181" spans="1:7" hidden="1" x14ac:dyDescent="0.25">
      <c r="A11181" s="28">
        <v>44501</v>
      </c>
      <c r="B11181" s="27" t="s">
        <v>26</v>
      </c>
      <c r="C11181" s="27" t="s">
        <v>50</v>
      </c>
      <c r="D11181" s="27" t="s">
        <v>6</v>
      </c>
      <c r="E11181" s="27" t="s">
        <v>16</v>
      </c>
      <c r="F11181" s="29"/>
      <c r="G11181" s="30">
        <v>2154.0949651718715</v>
      </c>
    </row>
    <row r="11182" spans="1:7" hidden="1" x14ac:dyDescent="0.25">
      <c r="A11182" s="28">
        <v>44501</v>
      </c>
      <c r="B11182" s="27" t="s">
        <v>26</v>
      </c>
      <c r="C11182" s="27" t="s">
        <v>50</v>
      </c>
      <c r="D11182" s="27" t="s">
        <v>6</v>
      </c>
      <c r="E11182" s="27" t="s">
        <v>17</v>
      </c>
      <c r="F11182" s="29"/>
      <c r="G11182" s="30">
        <v>3135.6350321011482</v>
      </c>
    </row>
    <row r="11183" spans="1:7" hidden="1" x14ac:dyDescent="0.25">
      <c r="A11183" s="28">
        <v>44501</v>
      </c>
      <c r="B11183" s="27" t="s">
        <v>26</v>
      </c>
      <c r="C11183" s="27" t="s">
        <v>50</v>
      </c>
      <c r="D11183" s="27" t="s">
        <v>6</v>
      </c>
      <c r="E11183" s="27" t="s">
        <v>18</v>
      </c>
      <c r="F11183" s="29"/>
      <c r="G11183" s="30">
        <v>1603.690331509566</v>
      </c>
    </row>
    <row r="11184" spans="1:7" hidden="1" x14ac:dyDescent="0.25">
      <c r="A11184" s="28">
        <v>44501</v>
      </c>
      <c r="B11184" s="27" t="s">
        <v>26</v>
      </c>
      <c r="C11184" s="27" t="s">
        <v>50</v>
      </c>
      <c r="D11184" s="27" t="s">
        <v>6</v>
      </c>
      <c r="E11184" s="27" t="s">
        <v>19</v>
      </c>
      <c r="F11184" s="29"/>
      <c r="G11184" s="30">
        <v>2421.1417541901737</v>
      </c>
    </row>
    <row r="11185" spans="1:7" hidden="1" x14ac:dyDescent="0.25">
      <c r="A11185" s="28">
        <v>44501</v>
      </c>
      <c r="B11185" s="27" t="s">
        <v>26</v>
      </c>
      <c r="C11185" s="27" t="s">
        <v>50</v>
      </c>
      <c r="D11185" s="27" t="s">
        <v>6</v>
      </c>
      <c r="E11185" s="27" t="s">
        <v>20</v>
      </c>
      <c r="F11185" s="29"/>
      <c r="G11185" s="30">
        <v>1946.4814052941281</v>
      </c>
    </row>
    <row r="11186" spans="1:7" hidden="1" x14ac:dyDescent="0.25">
      <c r="A11186" s="28">
        <v>44501</v>
      </c>
      <c r="B11186" s="27" t="s">
        <v>26</v>
      </c>
      <c r="C11186" s="27" t="s">
        <v>50</v>
      </c>
      <c r="D11186" s="27" t="s">
        <v>6</v>
      </c>
      <c r="E11186" s="27" t="s">
        <v>38</v>
      </c>
      <c r="F11186" s="29"/>
      <c r="G11186" s="30">
        <v>760.63601728244464</v>
      </c>
    </row>
    <row r="11187" spans="1:7" hidden="1" x14ac:dyDescent="0.25">
      <c r="A11187" s="28">
        <v>44501</v>
      </c>
      <c r="B11187" s="27" t="s">
        <v>26</v>
      </c>
      <c r="C11187" s="27" t="s">
        <v>50</v>
      </c>
      <c r="D11187" s="27" t="s">
        <v>6</v>
      </c>
      <c r="E11187" s="27" t="s">
        <v>23</v>
      </c>
      <c r="F11187" s="29"/>
      <c r="G11187" s="30">
        <v>2589.0564485238838</v>
      </c>
    </row>
    <row r="11188" spans="1:7" hidden="1" x14ac:dyDescent="0.25">
      <c r="A11188" s="28">
        <v>44501</v>
      </c>
      <c r="B11188" s="27" t="s">
        <v>26</v>
      </c>
      <c r="C11188" s="27" t="s">
        <v>50</v>
      </c>
      <c r="D11188" s="27" t="s">
        <v>6</v>
      </c>
      <c r="E11188" s="27" t="s">
        <v>40</v>
      </c>
      <c r="F11188" s="29"/>
      <c r="G11188" s="30">
        <v>834.25152230214019</v>
      </c>
    </row>
    <row r="11189" spans="1:7" hidden="1" x14ac:dyDescent="0.25">
      <c r="A11189" s="28">
        <v>44501</v>
      </c>
      <c r="B11189" s="27" t="s">
        <v>26</v>
      </c>
      <c r="C11189" s="27" t="s">
        <v>50</v>
      </c>
      <c r="D11189" s="27" t="s">
        <v>6</v>
      </c>
      <c r="E11189" s="27" t="s">
        <v>37</v>
      </c>
      <c r="F11189" s="29"/>
      <c r="G11189" s="30">
        <v>791.10058149340887</v>
      </c>
    </row>
    <row r="11190" spans="1:7" hidden="1" x14ac:dyDescent="0.25">
      <c r="A11190" s="28">
        <v>44501</v>
      </c>
      <c r="B11190" s="27" t="s">
        <v>3</v>
      </c>
      <c r="C11190" s="27" t="s">
        <v>50</v>
      </c>
      <c r="D11190" s="27" t="s">
        <v>7</v>
      </c>
      <c r="E11190" s="27" t="s">
        <v>8</v>
      </c>
      <c r="F11190" s="29"/>
      <c r="G11190" s="30">
        <v>626.68791666666664</v>
      </c>
    </row>
    <row r="11191" spans="1:7" hidden="1" x14ac:dyDescent="0.25">
      <c r="A11191" s="28">
        <v>44501</v>
      </c>
      <c r="B11191" s="27" t="s">
        <v>3</v>
      </c>
      <c r="C11191" s="27" t="s">
        <v>50</v>
      </c>
      <c r="D11191" s="27" t="s">
        <v>7</v>
      </c>
      <c r="E11191" s="27" t="s">
        <v>9</v>
      </c>
      <c r="F11191" s="29"/>
      <c r="G11191" s="30">
        <v>626.68791666666664</v>
      </c>
    </row>
    <row r="11192" spans="1:7" hidden="1" x14ac:dyDescent="0.25">
      <c r="A11192" s="28">
        <v>44501</v>
      </c>
      <c r="B11192" s="27" t="s">
        <v>3</v>
      </c>
      <c r="C11192" s="27" t="s">
        <v>50</v>
      </c>
      <c r="D11192" s="27" t="s">
        <v>7</v>
      </c>
      <c r="E11192" s="27" t="s">
        <v>22</v>
      </c>
      <c r="F11192" s="29"/>
      <c r="G11192" s="30">
        <v>626.68791666666664</v>
      </c>
    </row>
    <row r="11193" spans="1:7" hidden="1" x14ac:dyDescent="0.25">
      <c r="A11193" s="28">
        <v>44501</v>
      </c>
      <c r="B11193" s="27" t="s">
        <v>3</v>
      </c>
      <c r="C11193" s="27" t="s">
        <v>50</v>
      </c>
      <c r="D11193" s="27" t="s">
        <v>7</v>
      </c>
      <c r="E11193" s="27" t="s">
        <v>39</v>
      </c>
      <c r="F11193" s="29"/>
      <c r="G11193" s="30">
        <v>626.68791666666664</v>
      </c>
    </row>
    <row r="11194" spans="1:7" hidden="1" x14ac:dyDescent="0.25">
      <c r="A11194" s="28">
        <v>44501</v>
      </c>
      <c r="B11194" s="27" t="s">
        <v>3</v>
      </c>
      <c r="C11194" s="27" t="s">
        <v>50</v>
      </c>
      <c r="D11194" s="27" t="s">
        <v>7</v>
      </c>
      <c r="E11194" s="27" t="s">
        <v>64</v>
      </c>
      <c r="F11194" s="29"/>
      <c r="G11194" s="30">
        <v>626.68791666666664</v>
      </c>
    </row>
    <row r="11195" spans="1:7" hidden="1" x14ac:dyDescent="0.25">
      <c r="A11195" s="28">
        <v>44501</v>
      </c>
      <c r="B11195" s="27" t="s">
        <v>3</v>
      </c>
      <c r="C11195" s="27" t="s">
        <v>50</v>
      </c>
      <c r="D11195" s="27" t="s">
        <v>7</v>
      </c>
      <c r="E11195" s="27" t="s">
        <v>21</v>
      </c>
      <c r="F11195" s="29"/>
      <c r="G11195" s="30">
        <v>626.68791666666664</v>
      </c>
    </row>
    <row r="11196" spans="1:7" hidden="1" x14ac:dyDescent="0.25">
      <c r="A11196" s="28">
        <v>44501</v>
      </c>
      <c r="B11196" s="27" t="s">
        <v>3</v>
      </c>
      <c r="C11196" s="27" t="s">
        <v>50</v>
      </c>
      <c r="D11196" s="27" t="s">
        <v>7</v>
      </c>
      <c r="E11196" s="27" t="s">
        <v>41</v>
      </c>
      <c r="F11196" s="29"/>
      <c r="G11196" s="30">
        <v>626.68791666666664</v>
      </c>
    </row>
    <row r="11197" spans="1:7" hidden="1" x14ac:dyDescent="0.25">
      <c r="A11197" s="28">
        <v>44501</v>
      </c>
      <c r="B11197" s="27" t="s">
        <v>3</v>
      </c>
      <c r="C11197" s="27" t="s">
        <v>50</v>
      </c>
      <c r="D11197" s="27" t="s">
        <v>7</v>
      </c>
      <c r="E11197" s="27" t="s">
        <v>10</v>
      </c>
      <c r="F11197" s="29"/>
      <c r="G11197" s="30">
        <v>626.68791666666664</v>
      </c>
    </row>
    <row r="11198" spans="1:7" hidden="1" x14ac:dyDescent="0.25">
      <c r="A11198" s="28">
        <v>44501</v>
      </c>
      <c r="B11198" s="27" t="s">
        <v>3</v>
      </c>
      <c r="C11198" s="27" t="s">
        <v>50</v>
      </c>
      <c r="D11198" s="27" t="s">
        <v>7</v>
      </c>
      <c r="E11198" s="27" t="s">
        <v>11</v>
      </c>
      <c r="F11198" s="29"/>
      <c r="G11198" s="30">
        <v>626.68791666666664</v>
      </c>
    </row>
    <row r="11199" spans="1:7" hidden="1" x14ac:dyDescent="0.25">
      <c r="A11199" s="28">
        <v>44501</v>
      </c>
      <c r="B11199" s="27" t="s">
        <v>3</v>
      </c>
      <c r="C11199" s="27" t="s">
        <v>50</v>
      </c>
      <c r="D11199" s="27" t="s">
        <v>7</v>
      </c>
      <c r="E11199" s="27" t="s">
        <v>12</v>
      </c>
      <c r="F11199" s="29"/>
      <c r="G11199" s="30">
        <v>626.68791666666664</v>
      </c>
    </row>
    <row r="11200" spans="1:7" hidden="1" x14ac:dyDescent="0.25">
      <c r="A11200" s="28">
        <v>44501</v>
      </c>
      <c r="B11200" s="27" t="s">
        <v>3</v>
      </c>
      <c r="C11200" s="27" t="s">
        <v>50</v>
      </c>
      <c r="D11200" s="27" t="s">
        <v>7</v>
      </c>
      <c r="E11200" s="27" t="s">
        <v>13</v>
      </c>
      <c r="F11200" s="29"/>
      <c r="G11200" s="30">
        <v>626.68791666666664</v>
      </c>
    </row>
    <row r="11201" spans="1:7" hidden="1" x14ac:dyDescent="0.25">
      <c r="A11201" s="28">
        <v>44501</v>
      </c>
      <c r="B11201" s="27" t="s">
        <v>3</v>
      </c>
      <c r="C11201" s="27" t="s">
        <v>50</v>
      </c>
      <c r="D11201" s="27" t="s">
        <v>7</v>
      </c>
      <c r="E11201" s="27" t="s">
        <v>14</v>
      </c>
      <c r="F11201" s="29"/>
      <c r="G11201" s="30">
        <v>626.68791666666664</v>
      </c>
    </row>
    <row r="11202" spans="1:7" hidden="1" x14ac:dyDescent="0.25">
      <c r="A11202" s="28">
        <v>44501</v>
      </c>
      <c r="B11202" s="27" t="s">
        <v>3</v>
      </c>
      <c r="C11202" s="27" t="s">
        <v>50</v>
      </c>
      <c r="D11202" s="27" t="s">
        <v>7</v>
      </c>
      <c r="E11202" s="27" t="s">
        <v>15</v>
      </c>
      <c r="F11202" s="29"/>
      <c r="G11202" s="30">
        <v>626.68791666666664</v>
      </c>
    </row>
    <row r="11203" spans="1:7" hidden="1" x14ac:dyDescent="0.25">
      <c r="A11203" s="28">
        <v>44501</v>
      </c>
      <c r="B11203" s="27" t="s">
        <v>3</v>
      </c>
      <c r="C11203" s="27" t="s">
        <v>50</v>
      </c>
      <c r="D11203" s="27" t="s">
        <v>7</v>
      </c>
      <c r="E11203" s="27" t="s">
        <v>16</v>
      </c>
      <c r="F11203" s="29"/>
      <c r="G11203" s="30">
        <v>626.68791666666664</v>
      </c>
    </row>
    <row r="11204" spans="1:7" hidden="1" x14ac:dyDescent="0.25">
      <c r="A11204" s="28">
        <v>44501</v>
      </c>
      <c r="B11204" s="27" t="s">
        <v>3</v>
      </c>
      <c r="C11204" s="27" t="s">
        <v>50</v>
      </c>
      <c r="D11204" s="27" t="s">
        <v>7</v>
      </c>
      <c r="E11204" s="27" t="s">
        <v>17</v>
      </c>
      <c r="F11204" s="29"/>
      <c r="G11204" s="30">
        <v>626.68791666666664</v>
      </c>
    </row>
    <row r="11205" spans="1:7" hidden="1" x14ac:dyDescent="0.25">
      <c r="A11205" s="28">
        <v>44501</v>
      </c>
      <c r="B11205" s="27" t="s">
        <v>3</v>
      </c>
      <c r="C11205" s="27" t="s">
        <v>50</v>
      </c>
      <c r="D11205" s="27" t="s">
        <v>7</v>
      </c>
      <c r="E11205" s="27" t="s">
        <v>18</v>
      </c>
      <c r="F11205" s="29"/>
      <c r="G11205" s="30">
        <v>626.68791666666664</v>
      </c>
    </row>
    <row r="11206" spans="1:7" hidden="1" x14ac:dyDescent="0.25">
      <c r="A11206" s="28">
        <v>44501</v>
      </c>
      <c r="B11206" s="27" t="s">
        <v>3</v>
      </c>
      <c r="C11206" s="27" t="s">
        <v>50</v>
      </c>
      <c r="D11206" s="27" t="s">
        <v>7</v>
      </c>
      <c r="E11206" s="27" t="s">
        <v>19</v>
      </c>
      <c r="F11206" s="29"/>
      <c r="G11206" s="30">
        <v>626.68791666666664</v>
      </c>
    </row>
    <row r="11207" spans="1:7" hidden="1" x14ac:dyDescent="0.25">
      <c r="A11207" s="28">
        <v>44501</v>
      </c>
      <c r="B11207" s="27" t="s">
        <v>3</v>
      </c>
      <c r="C11207" s="27" t="s">
        <v>50</v>
      </c>
      <c r="D11207" s="27" t="s">
        <v>7</v>
      </c>
      <c r="E11207" s="27" t="s">
        <v>20</v>
      </c>
      <c r="F11207" s="29"/>
      <c r="G11207" s="30">
        <v>626.68791666666664</v>
      </c>
    </row>
    <row r="11208" spans="1:7" hidden="1" x14ac:dyDescent="0.25">
      <c r="A11208" s="28">
        <v>44501</v>
      </c>
      <c r="B11208" s="27" t="s">
        <v>3</v>
      </c>
      <c r="C11208" s="27" t="s">
        <v>50</v>
      </c>
      <c r="D11208" s="27" t="s">
        <v>7</v>
      </c>
      <c r="E11208" s="27" t="s">
        <v>38</v>
      </c>
      <c r="F11208" s="29"/>
      <c r="G11208" s="30">
        <v>626.68791666666664</v>
      </c>
    </row>
    <row r="11209" spans="1:7" hidden="1" x14ac:dyDescent="0.25">
      <c r="A11209" s="28">
        <v>44501</v>
      </c>
      <c r="B11209" s="27" t="s">
        <v>3</v>
      </c>
      <c r="C11209" s="27" t="s">
        <v>50</v>
      </c>
      <c r="D11209" s="27" t="s">
        <v>7</v>
      </c>
      <c r="E11209" s="27" t="s">
        <v>23</v>
      </c>
      <c r="F11209" s="29"/>
      <c r="G11209" s="30">
        <v>626.68791666666664</v>
      </c>
    </row>
    <row r="11210" spans="1:7" hidden="1" x14ac:dyDescent="0.25">
      <c r="A11210" s="28">
        <v>44501</v>
      </c>
      <c r="B11210" s="27" t="s">
        <v>3</v>
      </c>
      <c r="C11210" s="27" t="s">
        <v>50</v>
      </c>
      <c r="D11210" s="27" t="s">
        <v>7</v>
      </c>
      <c r="E11210" s="27" t="s">
        <v>40</v>
      </c>
      <c r="F11210" s="29"/>
      <c r="G11210" s="30">
        <v>626.68791666666664</v>
      </c>
    </row>
    <row r="11211" spans="1:7" hidden="1" x14ac:dyDescent="0.25">
      <c r="A11211" s="28">
        <v>44501</v>
      </c>
      <c r="B11211" s="27" t="s">
        <v>3</v>
      </c>
      <c r="C11211" s="27" t="s">
        <v>50</v>
      </c>
      <c r="D11211" s="27" t="s">
        <v>7</v>
      </c>
      <c r="E11211" s="27" t="s">
        <v>42</v>
      </c>
      <c r="F11211" s="29"/>
      <c r="G11211" s="30">
        <v>626.68791666666664</v>
      </c>
    </row>
    <row r="11212" spans="1:7" hidden="1" x14ac:dyDescent="0.25">
      <c r="A11212" s="28">
        <v>44501</v>
      </c>
      <c r="B11212" s="27" t="s">
        <v>3</v>
      </c>
      <c r="C11212" s="27" t="s">
        <v>50</v>
      </c>
      <c r="D11212" s="27" t="s">
        <v>7</v>
      </c>
      <c r="E11212" s="27" t="s">
        <v>43</v>
      </c>
      <c r="F11212" s="29"/>
      <c r="G11212" s="30">
        <v>626.68791666666664</v>
      </c>
    </row>
    <row r="11213" spans="1:7" hidden="1" x14ac:dyDescent="0.25">
      <c r="A11213" s="28">
        <v>44501</v>
      </c>
      <c r="B11213" s="27" t="s">
        <v>3</v>
      </c>
      <c r="C11213" s="27" t="s">
        <v>50</v>
      </c>
      <c r="D11213" s="27" t="s">
        <v>7</v>
      </c>
      <c r="E11213" s="27" t="s">
        <v>72</v>
      </c>
      <c r="F11213" s="29"/>
      <c r="G11213" s="30">
        <v>626.68791666666664</v>
      </c>
    </row>
    <row r="11214" spans="1:7" hidden="1" x14ac:dyDescent="0.25">
      <c r="A11214" s="28">
        <v>44501</v>
      </c>
      <c r="B11214" s="27" t="s">
        <v>179</v>
      </c>
      <c r="C11214" s="27" t="s">
        <v>50</v>
      </c>
      <c r="D11214" s="27" t="s">
        <v>6</v>
      </c>
      <c r="E11214" s="27" t="s">
        <v>8</v>
      </c>
      <c r="F11214" s="29"/>
      <c r="G11214" s="30">
        <v>54.168999999999997</v>
      </c>
    </row>
    <row r="11215" spans="1:7" hidden="1" x14ac:dyDescent="0.25">
      <c r="A11215" s="28">
        <v>44501</v>
      </c>
      <c r="B11215" s="27" t="s">
        <v>179</v>
      </c>
      <c r="C11215" s="27" t="s">
        <v>50</v>
      </c>
      <c r="D11215" s="27" t="s">
        <v>6</v>
      </c>
      <c r="E11215" s="27" t="s">
        <v>9</v>
      </c>
      <c r="F11215" s="29"/>
      <c r="G11215" s="30">
        <v>71.931666000000007</v>
      </c>
    </row>
    <row r="11216" spans="1:7" hidden="1" x14ac:dyDescent="0.25">
      <c r="A11216" s="28">
        <v>44501</v>
      </c>
      <c r="B11216" s="27" t="s">
        <v>179</v>
      </c>
      <c r="C11216" s="27" t="s">
        <v>50</v>
      </c>
      <c r="D11216" s="27" t="s">
        <v>6</v>
      </c>
      <c r="E11216" s="27" t="s">
        <v>22</v>
      </c>
      <c r="F11216" s="29"/>
      <c r="G11216" s="30">
        <v>95.266666000000001</v>
      </c>
    </row>
    <row r="11217" spans="1:7" hidden="1" x14ac:dyDescent="0.25">
      <c r="A11217" s="28">
        <v>44501</v>
      </c>
      <c r="B11217" s="27" t="s">
        <v>179</v>
      </c>
      <c r="C11217" s="27" t="s">
        <v>50</v>
      </c>
      <c r="D11217" s="27" t="s">
        <v>6</v>
      </c>
      <c r="E11217" s="27" t="s">
        <v>39</v>
      </c>
      <c r="F11217" s="29"/>
      <c r="G11217" s="30">
        <v>72.42</v>
      </c>
    </row>
    <row r="11218" spans="1:7" hidden="1" x14ac:dyDescent="0.25">
      <c r="A11218" s="28">
        <v>44501</v>
      </c>
      <c r="B11218" s="27" t="s">
        <v>179</v>
      </c>
      <c r="C11218" s="27" t="s">
        <v>50</v>
      </c>
      <c r="D11218" s="27" t="s">
        <v>6</v>
      </c>
      <c r="E11218" s="27" t="s">
        <v>21</v>
      </c>
      <c r="F11218" s="29"/>
      <c r="G11218" s="30">
        <v>66.441665999999998</v>
      </c>
    </row>
    <row r="11219" spans="1:7" hidden="1" x14ac:dyDescent="0.25">
      <c r="A11219" s="28">
        <v>44501</v>
      </c>
      <c r="B11219" s="27" t="s">
        <v>179</v>
      </c>
      <c r="C11219" s="27" t="s">
        <v>50</v>
      </c>
      <c r="D11219" s="27" t="s">
        <v>6</v>
      </c>
      <c r="E11219" s="27" t="s">
        <v>41</v>
      </c>
      <c r="F11219" s="29"/>
      <c r="G11219" s="30">
        <v>71.509165999999993</v>
      </c>
    </row>
    <row r="11220" spans="1:7" hidden="1" x14ac:dyDescent="0.25">
      <c r="A11220" s="28">
        <v>44501</v>
      </c>
      <c r="B11220" s="27" t="s">
        <v>179</v>
      </c>
      <c r="C11220" s="27" t="s">
        <v>50</v>
      </c>
      <c r="D11220" s="27" t="s">
        <v>6</v>
      </c>
      <c r="E11220" s="27" t="s">
        <v>10</v>
      </c>
      <c r="F11220" s="29"/>
      <c r="G11220" s="30">
        <v>86.698999999999998</v>
      </c>
    </row>
    <row r="11221" spans="1:7" hidden="1" x14ac:dyDescent="0.25">
      <c r="A11221" s="28">
        <v>44501</v>
      </c>
      <c r="B11221" s="27" t="s">
        <v>179</v>
      </c>
      <c r="C11221" s="27" t="s">
        <v>50</v>
      </c>
      <c r="D11221" s="27" t="s">
        <v>6</v>
      </c>
      <c r="E11221" s="27" t="s">
        <v>11</v>
      </c>
      <c r="F11221" s="29"/>
      <c r="G11221" s="30">
        <v>65.566665999999998</v>
      </c>
    </row>
    <row r="11222" spans="1:7" hidden="1" x14ac:dyDescent="0.25">
      <c r="A11222" s="28">
        <v>44501</v>
      </c>
      <c r="B11222" s="27" t="s">
        <v>179</v>
      </c>
      <c r="C11222" s="27" t="s">
        <v>50</v>
      </c>
      <c r="D11222" s="27" t="s">
        <v>6</v>
      </c>
      <c r="E11222" s="27" t="s">
        <v>12</v>
      </c>
      <c r="F11222" s="29"/>
      <c r="G11222" s="30">
        <v>67.331665999999998</v>
      </c>
    </row>
    <row r="11223" spans="1:7" hidden="1" x14ac:dyDescent="0.25">
      <c r="A11223" s="28">
        <v>44501</v>
      </c>
      <c r="B11223" s="27" t="s">
        <v>179</v>
      </c>
      <c r="C11223" s="27" t="s">
        <v>50</v>
      </c>
      <c r="D11223" s="27" t="s">
        <v>6</v>
      </c>
      <c r="E11223" s="27" t="s">
        <v>13</v>
      </c>
      <c r="F11223" s="29"/>
      <c r="G11223" s="30">
        <v>93.319165999999996</v>
      </c>
    </row>
    <row r="11224" spans="1:7" hidden="1" x14ac:dyDescent="0.25">
      <c r="A11224" s="28">
        <v>44501</v>
      </c>
      <c r="B11224" s="27" t="s">
        <v>179</v>
      </c>
      <c r="C11224" s="27" t="s">
        <v>50</v>
      </c>
      <c r="D11224" s="27" t="s">
        <v>6</v>
      </c>
      <c r="E11224" s="27" t="s">
        <v>14</v>
      </c>
      <c r="F11224" s="29"/>
      <c r="G11224" s="30">
        <v>79.181666000000007</v>
      </c>
    </row>
    <row r="11225" spans="1:7" hidden="1" x14ac:dyDescent="0.25">
      <c r="A11225" s="28">
        <v>44501</v>
      </c>
      <c r="B11225" s="27" t="s">
        <v>179</v>
      </c>
      <c r="C11225" s="27" t="s">
        <v>50</v>
      </c>
      <c r="D11225" s="27" t="s">
        <v>6</v>
      </c>
      <c r="E11225" s="27" t="s">
        <v>15</v>
      </c>
      <c r="F11225" s="29"/>
      <c r="G11225" s="30">
        <v>90.084165999999996</v>
      </c>
    </row>
    <row r="11226" spans="1:7" hidden="1" x14ac:dyDescent="0.25">
      <c r="A11226" s="28">
        <v>44501</v>
      </c>
      <c r="B11226" s="27" t="s">
        <v>179</v>
      </c>
      <c r="C11226" s="27" t="s">
        <v>50</v>
      </c>
      <c r="D11226" s="27" t="s">
        <v>6</v>
      </c>
      <c r="E11226" s="27" t="s">
        <v>16</v>
      </c>
      <c r="F11226" s="29"/>
      <c r="G11226" s="30">
        <v>91.176665999999997</v>
      </c>
    </row>
    <row r="11227" spans="1:7" hidden="1" x14ac:dyDescent="0.25">
      <c r="A11227" s="28">
        <v>44501</v>
      </c>
      <c r="B11227" s="27" t="s">
        <v>179</v>
      </c>
      <c r="C11227" s="27" t="s">
        <v>50</v>
      </c>
      <c r="D11227" s="27" t="s">
        <v>6</v>
      </c>
      <c r="E11227" s="27" t="s">
        <v>17</v>
      </c>
      <c r="F11227" s="29"/>
      <c r="G11227" s="30">
        <v>142.004166</v>
      </c>
    </row>
    <row r="11228" spans="1:7" hidden="1" x14ac:dyDescent="0.25">
      <c r="A11228" s="28">
        <v>44501</v>
      </c>
      <c r="B11228" s="27" t="s">
        <v>179</v>
      </c>
      <c r="C11228" s="27" t="s">
        <v>50</v>
      </c>
      <c r="D11228" s="27" t="s">
        <v>6</v>
      </c>
      <c r="E11228" s="27" t="s">
        <v>18</v>
      </c>
      <c r="F11228" s="29"/>
      <c r="G11228" s="30">
        <v>183.16666599999999</v>
      </c>
    </row>
    <row r="11229" spans="1:7" hidden="1" x14ac:dyDescent="0.25">
      <c r="A11229" s="28">
        <v>44501</v>
      </c>
      <c r="B11229" s="27" t="s">
        <v>179</v>
      </c>
      <c r="C11229" s="27" t="s">
        <v>50</v>
      </c>
      <c r="D11229" s="27" t="s">
        <v>6</v>
      </c>
      <c r="E11229" s="27" t="s">
        <v>19</v>
      </c>
      <c r="F11229" s="29"/>
      <c r="G11229" s="30">
        <v>120.299166</v>
      </c>
    </row>
    <row r="11230" spans="1:7" hidden="1" x14ac:dyDescent="0.25">
      <c r="A11230" s="28">
        <v>44501</v>
      </c>
      <c r="B11230" s="27" t="s">
        <v>179</v>
      </c>
      <c r="C11230" s="27" t="s">
        <v>50</v>
      </c>
      <c r="D11230" s="27" t="s">
        <v>6</v>
      </c>
      <c r="E11230" s="27" t="s">
        <v>20</v>
      </c>
      <c r="F11230" s="29"/>
      <c r="G11230" s="30">
        <v>231.341666</v>
      </c>
    </row>
    <row r="11231" spans="1:7" hidden="1" x14ac:dyDescent="0.25">
      <c r="A11231" s="28">
        <v>44501</v>
      </c>
      <c r="B11231" s="27" t="s">
        <v>179</v>
      </c>
      <c r="C11231" s="27" t="s">
        <v>50</v>
      </c>
      <c r="D11231" s="27" t="s">
        <v>6</v>
      </c>
      <c r="E11231" s="27" t="s">
        <v>38</v>
      </c>
      <c r="F11231" s="29"/>
      <c r="G11231" s="30">
        <v>99.366665999999995</v>
      </c>
    </row>
    <row r="11232" spans="1:7" hidden="1" x14ac:dyDescent="0.25">
      <c r="A11232" s="28">
        <v>44501</v>
      </c>
      <c r="B11232" s="27" t="s">
        <v>179</v>
      </c>
      <c r="C11232" s="27" t="s">
        <v>50</v>
      </c>
      <c r="D11232" s="27" t="s">
        <v>6</v>
      </c>
      <c r="E11232" s="27" t="s">
        <v>23</v>
      </c>
      <c r="F11232" s="29"/>
      <c r="G11232" s="30">
        <v>131.48916600000001</v>
      </c>
    </row>
    <row r="11233" spans="1:7" hidden="1" x14ac:dyDescent="0.25">
      <c r="A11233" s="28">
        <v>44501</v>
      </c>
      <c r="B11233" s="27" t="s">
        <v>179</v>
      </c>
      <c r="C11233" s="27" t="s">
        <v>50</v>
      </c>
      <c r="D11233" s="27" t="s">
        <v>6</v>
      </c>
      <c r="E11233" s="27" t="s">
        <v>40</v>
      </c>
      <c r="F11233" s="29"/>
      <c r="G11233" s="30">
        <v>130.52416600000001</v>
      </c>
    </row>
    <row r="11234" spans="1:7" hidden="1" x14ac:dyDescent="0.25">
      <c r="A11234" s="28">
        <v>44501</v>
      </c>
      <c r="B11234" s="27" t="s">
        <v>32</v>
      </c>
      <c r="C11234" s="27" t="s">
        <v>50</v>
      </c>
      <c r="D11234" s="27" t="s">
        <v>7</v>
      </c>
      <c r="E11234" s="27" t="s">
        <v>17</v>
      </c>
      <c r="F11234" s="29"/>
      <c r="G11234" s="30">
        <v>75</v>
      </c>
    </row>
    <row r="11235" spans="1:7" hidden="1" x14ac:dyDescent="0.25">
      <c r="A11235" s="28">
        <v>44501</v>
      </c>
      <c r="B11235" s="27" t="s">
        <v>5</v>
      </c>
      <c r="C11235" s="27" t="s">
        <v>51</v>
      </c>
      <c r="D11235" s="27" t="s">
        <v>51</v>
      </c>
      <c r="E11235" s="27" t="s">
        <v>8</v>
      </c>
      <c r="F11235" s="29">
        <v>5335</v>
      </c>
      <c r="G11235" s="30">
        <v>2.1964832265189984</v>
      </c>
    </row>
    <row r="11236" spans="1:7" hidden="1" x14ac:dyDescent="0.25">
      <c r="A11236" s="28">
        <v>44501</v>
      </c>
      <c r="B11236" s="27" t="s">
        <v>5</v>
      </c>
      <c r="C11236" s="27" t="s">
        <v>51</v>
      </c>
      <c r="D11236" s="27" t="s">
        <v>51</v>
      </c>
      <c r="E11236" s="27" t="s">
        <v>9</v>
      </c>
      <c r="F11236" s="29">
        <v>1332</v>
      </c>
      <c r="G11236" s="30">
        <v>8.1981084040909682</v>
      </c>
    </row>
    <row r="11237" spans="1:7" hidden="1" x14ac:dyDescent="0.25">
      <c r="A11237" s="28">
        <v>44501</v>
      </c>
      <c r="B11237" s="27" t="s">
        <v>5</v>
      </c>
      <c r="C11237" s="27" t="s">
        <v>51</v>
      </c>
      <c r="D11237" s="27" t="s">
        <v>51</v>
      </c>
      <c r="E11237" s="27" t="s">
        <v>22</v>
      </c>
      <c r="F11237" s="29">
        <v>3732</v>
      </c>
      <c r="G11237" s="30">
        <v>3.1366792632547349</v>
      </c>
    </row>
    <row r="11238" spans="1:7" hidden="1" x14ac:dyDescent="0.25">
      <c r="A11238" s="28">
        <v>44501</v>
      </c>
      <c r="B11238" s="27" t="s">
        <v>5</v>
      </c>
      <c r="C11238" s="27" t="s">
        <v>51</v>
      </c>
      <c r="D11238" s="27" t="s">
        <v>51</v>
      </c>
      <c r="E11238" s="27" t="s">
        <v>39</v>
      </c>
      <c r="F11238" s="29">
        <v>2198</v>
      </c>
      <c r="G11238" s="30">
        <v>4.8528747869216904</v>
      </c>
    </row>
    <row r="11239" spans="1:7" hidden="1" x14ac:dyDescent="0.25">
      <c r="A11239" s="28">
        <v>44501</v>
      </c>
      <c r="B11239" s="27" t="s">
        <v>5</v>
      </c>
      <c r="C11239" s="27" t="s">
        <v>51</v>
      </c>
      <c r="D11239" s="27" t="s">
        <v>51</v>
      </c>
      <c r="E11239" s="27" t="s">
        <v>64</v>
      </c>
      <c r="F11239" s="29">
        <v>2421</v>
      </c>
      <c r="G11239" s="30">
        <v>4.32653844591254</v>
      </c>
    </row>
    <row r="11240" spans="1:7" hidden="1" x14ac:dyDescent="0.25">
      <c r="A11240" s="28">
        <v>44501</v>
      </c>
      <c r="B11240" s="27" t="s">
        <v>5</v>
      </c>
      <c r="C11240" s="27" t="s">
        <v>51</v>
      </c>
      <c r="D11240" s="27" t="s">
        <v>51</v>
      </c>
      <c r="E11240" s="27" t="s">
        <v>21</v>
      </c>
      <c r="F11240" s="29">
        <v>5227</v>
      </c>
      <c r="G11240" s="30">
        <v>2.0559037301629806</v>
      </c>
    </row>
    <row r="11241" spans="1:7" hidden="1" x14ac:dyDescent="0.25">
      <c r="A11241" s="28">
        <v>44501</v>
      </c>
      <c r="B11241" s="27" t="s">
        <v>5</v>
      </c>
      <c r="C11241" s="27" t="s">
        <v>51</v>
      </c>
      <c r="D11241" s="27" t="s">
        <v>51</v>
      </c>
      <c r="E11241" s="27" t="s">
        <v>41</v>
      </c>
      <c r="F11241" s="29">
        <v>1831</v>
      </c>
      <c r="G11241" s="30">
        <v>6.1041113125650854</v>
      </c>
    </row>
    <row r="11242" spans="1:7" hidden="1" x14ac:dyDescent="0.25">
      <c r="A11242" s="28">
        <v>44501</v>
      </c>
      <c r="B11242" s="27" t="s">
        <v>5</v>
      </c>
      <c r="C11242" s="27" t="s">
        <v>51</v>
      </c>
      <c r="D11242" s="27" t="s">
        <v>51</v>
      </c>
      <c r="E11242" s="27" t="s">
        <v>10</v>
      </c>
      <c r="F11242" s="29">
        <v>4821</v>
      </c>
      <c r="G11242" s="30">
        <v>2.4389560545923183</v>
      </c>
    </row>
    <row r="11243" spans="1:7" hidden="1" x14ac:dyDescent="0.25">
      <c r="A11243" s="28">
        <v>44501</v>
      </c>
      <c r="B11243" s="27" t="s">
        <v>5</v>
      </c>
      <c r="C11243" s="27" t="s">
        <v>51</v>
      </c>
      <c r="D11243" s="27" t="s">
        <v>51</v>
      </c>
      <c r="E11243" s="27" t="s">
        <v>11</v>
      </c>
      <c r="F11243" s="29">
        <v>5469</v>
      </c>
      <c r="G11243" s="30">
        <v>2.1429639368366717</v>
      </c>
    </row>
    <row r="11244" spans="1:7" hidden="1" x14ac:dyDescent="0.25">
      <c r="A11244" s="28">
        <v>44501</v>
      </c>
      <c r="B11244" s="27" t="s">
        <v>5</v>
      </c>
      <c r="C11244" s="27" t="s">
        <v>51</v>
      </c>
      <c r="D11244" s="27" t="s">
        <v>51</v>
      </c>
      <c r="E11244" s="27" t="s">
        <v>12</v>
      </c>
      <c r="F11244" s="29">
        <v>1849</v>
      </c>
      <c r="G11244" s="30">
        <v>6.0051573264067706</v>
      </c>
    </row>
    <row r="11245" spans="1:7" hidden="1" x14ac:dyDescent="0.25">
      <c r="A11245" s="28">
        <v>44501</v>
      </c>
      <c r="B11245" s="27" t="s">
        <v>5</v>
      </c>
      <c r="C11245" s="27" t="s">
        <v>51</v>
      </c>
      <c r="D11245" s="27" t="s">
        <v>51</v>
      </c>
      <c r="E11245" s="27" t="s">
        <v>13</v>
      </c>
      <c r="F11245" s="29">
        <v>5681</v>
      </c>
      <c r="G11245" s="30">
        <v>2.3687893084766265</v>
      </c>
    </row>
    <row r="11246" spans="1:7" hidden="1" x14ac:dyDescent="0.25">
      <c r="A11246" s="28">
        <v>44501</v>
      </c>
      <c r="B11246" s="27" t="s">
        <v>5</v>
      </c>
      <c r="C11246" s="27" t="s">
        <v>51</v>
      </c>
      <c r="D11246" s="27" t="s">
        <v>51</v>
      </c>
      <c r="E11246" s="27" t="s">
        <v>14</v>
      </c>
      <c r="F11246" s="29">
        <v>3021</v>
      </c>
      <c r="G11246" s="30">
        <v>3.0929294093104889</v>
      </c>
    </row>
    <row r="11247" spans="1:7" hidden="1" x14ac:dyDescent="0.25">
      <c r="A11247" s="28">
        <v>44501</v>
      </c>
      <c r="B11247" s="27" t="s">
        <v>5</v>
      </c>
      <c r="C11247" s="27" t="s">
        <v>51</v>
      </c>
      <c r="D11247" s="27" t="s">
        <v>51</v>
      </c>
      <c r="E11247" s="27" t="s">
        <v>15</v>
      </c>
      <c r="F11247" s="29">
        <v>3136</v>
      </c>
      <c r="G11247" s="30">
        <v>3.7445534174962884</v>
      </c>
    </row>
    <row r="11248" spans="1:7" hidden="1" x14ac:dyDescent="0.25">
      <c r="A11248" s="28">
        <v>44501</v>
      </c>
      <c r="B11248" s="27" t="s">
        <v>5</v>
      </c>
      <c r="C11248" s="27" t="s">
        <v>51</v>
      </c>
      <c r="D11248" s="27" t="s">
        <v>51</v>
      </c>
      <c r="E11248" s="27" t="s">
        <v>16</v>
      </c>
      <c r="F11248" s="29">
        <v>2302</v>
      </c>
      <c r="G11248" s="30">
        <v>4.8264588609203036</v>
      </c>
    </row>
    <row r="11249" spans="1:7" hidden="1" x14ac:dyDescent="0.25">
      <c r="A11249" s="28">
        <v>44501</v>
      </c>
      <c r="B11249" s="27" t="s">
        <v>5</v>
      </c>
      <c r="C11249" s="27" t="s">
        <v>51</v>
      </c>
      <c r="D11249" s="27" t="s">
        <v>51</v>
      </c>
      <c r="E11249" s="27" t="s">
        <v>17</v>
      </c>
      <c r="F11249" s="29">
        <v>2720</v>
      </c>
      <c r="G11249" s="30">
        <v>5.2203918620469905</v>
      </c>
    </row>
    <row r="11250" spans="1:7" hidden="1" x14ac:dyDescent="0.25">
      <c r="A11250" s="28">
        <v>44501</v>
      </c>
      <c r="B11250" s="27" t="s">
        <v>5</v>
      </c>
      <c r="C11250" s="27" t="s">
        <v>51</v>
      </c>
      <c r="D11250" s="27" t="s">
        <v>51</v>
      </c>
      <c r="E11250" s="27" t="s">
        <v>18</v>
      </c>
      <c r="F11250" s="29">
        <v>5385</v>
      </c>
      <c r="G11250" s="30">
        <v>2.0174194362444258</v>
      </c>
    </row>
    <row r="11251" spans="1:7" hidden="1" x14ac:dyDescent="0.25">
      <c r="A11251" s="28">
        <v>44501</v>
      </c>
      <c r="B11251" s="27" t="s">
        <v>5</v>
      </c>
      <c r="C11251" s="27" t="s">
        <v>51</v>
      </c>
      <c r="D11251" s="27" t="s">
        <v>51</v>
      </c>
      <c r="E11251" s="27" t="s">
        <v>20</v>
      </c>
      <c r="F11251" s="29">
        <v>3128</v>
      </c>
      <c r="G11251" s="30">
        <v>4.1309909648212253</v>
      </c>
    </row>
    <row r="11252" spans="1:7" hidden="1" x14ac:dyDescent="0.25">
      <c r="A11252" s="28">
        <v>44501</v>
      </c>
      <c r="B11252" s="27" t="s">
        <v>5</v>
      </c>
      <c r="C11252" s="27" t="s">
        <v>51</v>
      </c>
      <c r="D11252" s="27" t="s">
        <v>51</v>
      </c>
      <c r="E11252" s="27" t="s">
        <v>38</v>
      </c>
      <c r="F11252" s="29">
        <v>2454</v>
      </c>
      <c r="G11252" s="30">
        <v>3.8487242664829311</v>
      </c>
    </row>
    <row r="11253" spans="1:7" hidden="1" x14ac:dyDescent="0.25">
      <c r="A11253" s="28">
        <v>44501</v>
      </c>
      <c r="B11253" s="27" t="s">
        <v>5</v>
      </c>
      <c r="C11253" s="27" t="s">
        <v>51</v>
      </c>
      <c r="D11253" s="27" t="s">
        <v>51</v>
      </c>
      <c r="E11253" s="27" t="s">
        <v>23</v>
      </c>
      <c r="F11253" s="29">
        <v>4087</v>
      </c>
      <c r="G11253" s="30">
        <v>2.8172210132592488</v>
      </c>
    </row>
    <row r="11254" spans="1:7" hidden="1" x14ac:dyDescent="0.25">
      <c r="A11254" s="28">
        <v>44501</v>
      </c>
      <c r="B11254" s="27" t="s">
        <v>5</v>
      </c>
      <c r="C11254" s="27" t="s">
        <v>51</v>
      </c>
      <c r="D11254" s="27" t="s">
        <v>51</v>
      </c>
      <c r="E11254" s="27" t="s">
        <v>40</v>
      </c>
      <c r="F11254" s="29">
        <v>1549</v>
      </c>
      <c r="G11254" s="30">
        <v>6.5385941607287332</v>
      </c>
    </row>
    <row r="11255" spans="1:7" hidden="1" x14ac:dyDescent="0.25">
      <c r="A11255" s="28">
        <v>44501</v>
      </c>
      <c r="B11255" s="27" t="s">
        <v>5</v>
      </c>
      <c r="C11255" s="27" t="s">
        <v>51</v>
      </c>
      <c r="D11255" s="27" t="s">
        <v>51</v>
      </c>
      <c r="E11255" s="27" t="s">
        <v>42</v>
      </c>
      <c r="F11255" s="29">
        <v>1322</v>
      </c>
      <c r="G11255" s="30">
        <v>6.6811018658598078</v>
      </c>
    </row>
    <row r="11256" spans="1:7" hidden="1" x14ac:dyDescent="0.25">
      <c r="A11256" s="28">
        <v>44501</v>
      </c>
      <c r="B11256" s="27" t="s">
        <v>5</v>
      </c>
      <c r="C11256" s="27" t="s">
        <v>51</v>
      </c>
      <c r="D11256" s="27" t="s">
        <v>51</v>
      </c>
      <c r="E11256" s="27" t="s">
        <v>43</v>
      </c>
      <c r="F11256" s="29">
        <v>2331</v>
      </c>
      <c r="G11256" s="30">
        <v>3.7313756613756612</v>
      </c>
    </row>
    <row r="11257" spans="1:7" hidden="1" x14ac:dyDescent="0.25">
      <c r="A11257" s="28">
        <v>44501</v>
      </c>
      <c r="B11257" s="27" t="s">
        <v>5</v>
      </c>
      <c r="C11257" s="27" t="s">
        <v>51</v>
      </c>
      <c r="D11257" s="27" t="s">
        <v>51</v>
      </c>
      <c r="E11257" s="27" t="s">
        <v>72</v>
      </c>
      <c r="F11257" s="29">
        <v>5032</v>
      </c>
      <c r="G11257" s="30">
        <v>1.6180120561738207</v>
      </c>
    </row>
    <row r="11258" spans="1:7" hidden="1" x14ac:dyDescent="0.25">
      <c r="A11258" s="28">
        <v>44501</v>
      </c>
      <c r="B11258" s="27" t="s">
        <v>180</v>
      </c>
      <c r="C11258" s="27" t="s">
        <v>50</v>
      </c>
      <c r="D11258" s="27" t="s">
        <v>7</v>
      </c>
      <c r="E11258" s="27" t="s">
        <v>8</v>
      </c>
      <c r="F11258" s="29"/>
      <c r="G11258" s="30">
        <v>689</v>
      </c>
    </row>
    <row r="11259" spans="1:7" hidden="1" x14ac:dyDescent="0.25">
      <c r="A11259" s="28">
        <v>44501</v>
      </c>
      <c r="B11259" s="27" t="s">
        <v>180</v>
      </c>
      <c r="C11259" s="27" t="s">
        <v>50</v>
      </c>
      <c r="D11259" s="27" t="s">
        <v>7</v>
      </c>
      <c r="E11259" s="27" t="s">
        <v>9</v>
      </c>
      <c r="F11259" s="29"/>
      <c r="G11259" s="30">
        <v>597</v>
      </c>
    </row>
    <row r="11260" spans="1:7" hidden="1" x14ac:dyDescent="0.25">
      <c r="A11260" s="28">
        <v>44501</v>
      </c>
      <c r="B11260" s="27" t="s">
        <v>180</v>
      </c>
      <c r="C11260" s="27" t="s">
        <v>50</v>
      </c>
      <c r="D11260" s="27" t="s">
        <v>7</v>
      </c>
      <c r="E11260" s="27" t="s">
        <v>22</v>
      </c>
      <c r="F11260" s="29"/>
      <c r="G11260" s="30">
        <v>40</v>
      </c>
    </row>
    <row r="11261" spans="1:7" hidden="1" x14ac:dyDescent="0.25">
      <c r="A11261" s="28">
        <v>44501</v>
      </c>
      <c r="B11261" s="27" t="s">
        <v>180</v>
      </c>
      <c r="C11261" s="27" t="s">
        <v>50</v>
      </c>
      <c r="D11261" s="27" t="s">
        <v>7</v>
      </c>
      <c r="E11261" s="27" t="s">
        <v>21</v>
      </c>
      <c r="F11261" s="29"/>
      <c r="G11261" s="30">
        <v>14</v>
      </c>
    </row>
    <row r="11262" spans="1:7" hidden="1" x14ac:dyDescent="0.25">
      <c r="A11262" s="28">
        <v>44501</v>
      </c>
      <c r="B11262" s="27" t="s">
        <v>180</v>
      </c>
      <c r="C11262" s="27" t="s">
        <v>50</v>
      </c>
      <c r="D11262" s="27" t="s">
        <v>7</v>
      </c>
      <c r="E11262" s="27" t="s">
        <v>41</v>
      </c>
      <c r="F11262" s="29"/>
      <c r="G11262" s="30">
        <v>360</v>
      </c>
    </row>
    <row r="11263" spans="1:7" hidden="1" x14ac:dyDescent="0.25">
      <c r="A11263" s="28">
        <v>44501</v>
      </c>
      <c r="B11263" s="27" t="s">
        <v>180</v>
      </c>
      <c r="C11263" s="27" t="s">
        <v>50</v>
      </c>
      <c r="D11263" s="27" t="s">
        <v>7</v>
      </c>
      <c r="E11263" s="27" t="s">
        <v>10</v>
      </c>
      <c r="F11263" s="29"/>
      <c r="G11263" s="30">
        <v>48</v>
      </c>
    </row>
    <row r="11264" spans="1:7" hidden="1" x14ac:dyDescent="0.25">
      <c r="A11264" s="28">
        <v>44501</v>
      </c>
      <c r="B11264" s="27" t="s">
        <v>180</v>
      </c>
      <c r="C11264" s="27" t="s">
        <v>50</v>
      </c>
      <c r="D11264" s="27" t="s">
        <v>7</v>
      </c>
      <c r="E11264" s="27" t="s">
        <v>12</v>
      </c>
      <c r="F11264" s="29"/>
      <c r="G11264" s="30">
        <v>35</v>
      </c>
    </row>
    <row r="11265" spans="1:7" hidden="1" x14ac:dyDescent="0.25">
      <c r="A11265" s="28">
        <v>44501</v>
      </c>
      <c r="B11265" s="27" t="s">
        <v>180</v>
      </c>
      <c r="C11265" s="27" t="s">
        <v>50</v>
      </c>
      <c r="D11265" s="27" t="s">
        <v>7</v>
      </c>
      <c r="E11265" s="27" t="s">
        <v>13</v>
      </c>
      <c r="F11265" s="29"/>
      <c r="G11265" s="30">
        <v>2060.4899999999998</v>
      </c>
    </row>
    <row r="11266" spans="1:7" hidden="1" x14ac:dyDescent="0.25">
      <c r="A11266" s="28">
        <v>44501</v>
      </c>
      <c r="B11266" s="27" t="s">
        <v>180</v>
      </c>
      <c r="C11266" s="27" t="s">
        <v>50</v>
      </c>
      <c r="D11266" s="27" t="s">
        <v>7</v>
      </c>
      <c r="E11266" s="27" t="s">
        <v>15</v>
      </c>
      <c r="F11266" s="29"/>
      <c r="G11266" s="30">
        <v>700</v>
      </c>
    </row>
    <row r="11267" spans="1:7" hidden="1" x14ac:dyDescent="0.25">
      <c r="A11267" s="28">
        <v>44501</v>
      </c>
      <c r="B11267" s="27" t="s">
        <v>180</v>
      </c>
      <c r="C11267" s="27" t="s">
        <v>50</v>
      </c>
      <c r="D11267" s="27" t="s">
        <v>7</v>
      </c>
      <c r="E11267" s="27" t="s">
        <v>17</v>
      </c>
      <c r="F11267" s="29"/>
      <c r="G11267" s="30">
        <v>852.88</v>
      </c>
    </row>
    <row r="11268" spans="1:7" hidden="1" x14ac:dyDescent="0.25">
      <c r="A11268" s="28">
        <v>44501</v>
      </c>
      <c r="B11268" s="27" t="s">
        <v>180</v>
      </c>
      <c r="C11268" s="27" t="s">
        <v>50</v>
      </c>
      <c r="D11268" s="27" t="s">
        <v>7</v>
      </c>
      <c r="E11268" s="27" t="s">
        <v>18</v>
      </c>
      <c r="F11268" s="29"/>
      <c r="G11268" s="30">
        <v>610</v>
      </c>
    </row>
    <row r="11269" spans="1:7" hidden="1" x14ac:dyDescent="0.25">
      <c r="A11269" s="28">
        <v>44501</v>
      </c>
      <c r="B11269" s="27" t="s">
        <v>180</v>
      </c>
      <c r="C11269" s="27" t="s">
        <v>50</v>
      </c>
      <c r="D11269" s="27" t="s">
        <v>7</v>
      </c>
      <c r="E11269" s="27" t="s">
        <v>20</v>
      </c>
      <c r="F11269" s="29"/>
      <c r="G11269" s="30">
        <v>2011.16</v>
      </c>
    </row>
    <row r="11270" spans="1:7" hidden="1" x14ac:dyDescent="0.25">
      <c r="A11270" s="28">
        <v>44501</v>
      </c>
      <c r="B11270" s="27" t="s">
        <v>180</v>
      </c>
      <c r="C11270" s="27" t="s">
        <v>50</v>
      </c>
      <c r="D11270" s="27" t="s">
        <v>7</v>
      </c>
      <c r="E11270" s="27" t="s">
        <v>38</v>
      </c>
      <c r="F11270" s="29"/>
      <c r="G11270" s="30">
        <v>150</v>
      </c>
    </row>
    <row r="11271" spans="1:7" hidden="1" x14ac:dyDescent="0.25">
      <c r="A11271" s="28">
        <v>44501</v>
      </c>
      <c r="B11271" s="27" t="s">
        <v>180</v>
      </c>
      <c r="C11271" s="27" t="s">
        <v>50</v>
      </c>
      <c r="D11271" s="27" t="s">
        <v>7</v>
      </c>
      <c r="E11271" s="27" t="s">
        <v>23</v>
      </c>
      <c r="F11271" s="29"/>
      <c r="G11271" s="30">
        <v>150</v>
      </c>
    </row>
    <row r="11272" spans="1:7" hidden="1" x14ac:dyDescent="0.25">
      <c r="A11272" s="28">
        <v>44501</v>
      </c>
      <c r="B11272" s="27" t="s">
        <v>180</v>
      </c>
      <c r="C11272" s="27" t="s">
        <v>50</v>
      </c>
      <c r="D11272" s="27" t="s">
        <v>7</v>
      </c>
      <c r="E11272" s="27" t="s">
        <v>37</v>
      </c>
      <c r="F11272" s="29"/>
      <c r="G11272" s="30">
        <v>5264.7</v>
      </c>
    </row>
    <row r="11273" spans="1:7" hidden="1" x14ac:dyDescent="0.25">
      <c r="A11273" s="28">
        <v>44501</v>
      </c>
      <c r="B11273" s="27" t="s">
        <v>181</v>
      </c>
      <c r="C11273" s="27" t="s">
        <v>50</v>
      </c>
      <c r="D11273" s="27" t="s">
        <v>6</v>
      </c>
      <c r="E11273" s="27" t="s">
        <v>8</v>
      </c>
      <c r="F11273" s="29"/>
      <c r="G11273" s="30">
        <v>225</v>
      </c>
    </row>
    <row r="11274" spans="1:7" hidden="1" x14ac:dyDescent="0.25">
      <c r="A11274" s="28">
        <v>44501</v>
      </c>
      <c r="B11274" s="27" t="s">
        <v>181</v>
      </c>
      <c r="C11274" s="27" t="s">
        <v>50</v>
      </c>
      <c r="D11274" s="27" t="s">
        <v>6</v>
      </c>
      <c r="E11274" s="27" t="s">
        <v>41</v>
      </c>
      <c r="F11274" s="29"/>
      <c r="G11274" s="30">
        <v>343</v>
      </c>
    </row>
    <row r="11275" spans="1:7" hidden="1" x14ac:dyDescent="0.25">
      <c r="A11275" s="28">
        <v>44501</v>
      </c>
      <c r="B11275" s="27" t="s">
        <v>181</v>
      </c>
      <c r="C11275" s="27" t="s">
        <v>50</v>
      </c>
      <c r="D11275" s="27" t="s">
        <v>6</v>
      </c>
      <c r="E11275" s="27" t="s">
        <v>12</v>
      </c>
      <c r="F11275" s="29"/>
      <c r="G11275" s="30">
        <v>621.37</v>
      </c>
    </row>
    <row r="11276" spans="1:7" hidden="1" x14ac:dyDescent="0.25">
      <c r="A11276" s="28">
        <v>44501</v>
      </c>
      <c r="B11276" s="27" t="s">
        <v>181</v>
      </c>
      <c r="C11276" s="27" t="s">
        <v>50</v>
      </c>
      <c r="D11276" s="27" t="s">
        <v>6</v>
      </c>
      <c r="E11276" s="27" t="s">
        <v>14</v>
      </c>
      <c r="F11276" s="29"/>
      <c r="G11276" s="30">
        <v>280</v>
      </c>
    </row>
    <row r="11277" spans="1:7" hidden="1" x14ac:dyDescent="0.25">
      <c r="A11277" s="28">
        <v>44501</v>
      </c>
      <c r="B11277" s="27" t="s">
        <v>181</v>
      </c>
      <c r="C11277" s="27" t="s">
        <v>50</v>
      </c>
      <c r="D11277" s="27" t="s">
        <v>6</v>
      </c>
      <c r="E11277" s="27" t="s">
        <v>38</v>
      </c>
      <c r="F11277" s="29"/>
      <c r="G11277" s="30">
        <v>180</v>
      </c>
    </row>
    <row r="11278" spans="1:7" hidden="1" x14ac:dyDescent="0.25">
      <c r="A11278" s="28">
        <v>44501</v>
      </c>
      <c r="B11278" s="27" t="s">
        <v>181</v>
      </c>
      <c r="C11278" s="27" t="s">
        <v>50</v>
      </c>
      <c r="D11278" s="27" t="s">
        <v>6</v>
      </c>
      <c r="E11278" s="27" t="s">
        <v>40</v>
      </c>
      <c r="F11278" s="29"/>
      <c r="G11278" s="30">
        <v>759.26</v>
      </c>
    </row>
    <row r="11279" spans="1:7" hidden="1" x14ac:dyDescent="0.25">
      <c r="A11279" s="28">
        <v>44501</v>
      </c>
      <c r="B11279" s="27" t="s">
        <v>181</v>
      </c>
      <c r="C11279" s="27" t="s">
        <v>50</v>
      </c>
      <c r="D11279" s="27" t="s">
        <v>6</v>
      </c>
      <c r="E11279" s="27" t="s">
        <v>37</v>
      </c>
      <c r="F11279" s="29"/>
      <c r="G11279" s="30">
        <v>2079.5</v>
      </c>
    </row>
    <row r="11280" spans="1:7" hidden="1" x14ac:dyDescent="0.25">
      <c r="A11280" s="28">
        <v>44501</v>
      </c>
      <c r="B11280" s="27" t="s">
        <v>2</v>
      </c>
      <c r="C11280" s="27" t="s">
        <v>50</v>
      </c>
      <c r="D11280" s="27" t="s">
        <v>7</v>
      </c>
      <c r="E11280" s="27" t="s">
        <v>8</v>
      </c>
      <c r="F11280" s="29"/>
      <c r="G11280" s="30">
        <v>1446.36</v>
      </c>
    </row>
    <row r="11281" spans="1:7" hidden="1" x14ac:dyDescent="0.25">
      <c r="A11281" s="28">
        <v>44501</v>
      </c>
      <c r="B11281" s="27" t="s">
        <v>2</v>
      </c>
      <c r="C11281" s="27" t="s">
        <v>50</v>
      </c>
      <c r="D11281" s="27" t="s">
        <v>7</v>
      </c>
      <c r="E11281" s="27" t="s">
        <v>22</v>
      </c>
      <c r="F11281" s="29"/>
      <c r="G11281" s="30">
        <v>659.89</v>
      </c>
    </row>
    <row r="11282" spans="1:7" hidden="1" x14ac:dyDescent="0.25">
      <c r="A11282" s="28">
        <v>44501</v>
      </c>
      <c r="B11282" s="27" t="s">
        <v>2</v>
      </c>
      <c r="C11282" s="27" t="s">
        <v>50</v>
      </c>
      <c r="D11282" s="27" t="s">
        <v>7</v>
      </c>
      <c r="E11282" s="27" t="s">
        <v>39</v>
      </c>
      <c r="F11282" s="29"/>
      <c r="G11282" s="30">
        <v>306.48</v>
      </c>
    </row>
    <row r="11283" spans="1:7" hidden="1" x14ac:dyDescent="0.25">
      <c r="A11283" s="28">
        <v>44501</v>
      </c>
      <c r="B11283" s="27" t="s">
        <v>2</v>
      </c>
      <c r="C11283" s="27" t="s">
        <v>50</v>
      </c>
      <c r="D11283" s="27" t="s">
        <v>7</v>
      </c>
      <c r="E11283" s="27" t="s">
        <v>64</v>
      </c>
      <c r="F11283" s="29"/>
      <c r="G11283" s="30">
        <v>493.39</v>
      </c>
    </row>
    <row r="11284" spans="1:7" hidden="1" x14ac:dyDescent="0.25">
      <c r="A11284" s="28">
        <v>44501</v>
      </c>
      <c r="B11284" s="27" t="s">
        <v>2</v>
      </c>
      <c r="C11284" s="27" t="s">
        <v>50</v>
      </c>
      <c r="D11284" s="27" t="s">
        <v>7</v>
      </c>
      <c r="E11284" s="27" t="s">
        <v>21</v>
      </c>
      <c r="F11284" s="29"/>
      <c r="G11284" s="30">
        <v>696.54</v>
      </c>
    </row>
    <row r="11285" spans="1:7" hidden="1" x14ac:dyDescent="0.25">
      <c r="A11285" s="28">
        <v>44501</v>
      </c>
      <c r="B11285" s="27" t="s">
        <v>2</v>
      </c>
      <c r="C11285" s="27" t="s">
        <v>50</v>
      </c>
      <c r="D11285" s="27" t="s">
        <v>7</v>
      </c>
      <c r="E11285" s="27" t="s">
        <v>41</v>
      </c>
      <c r="F11285" s="29"/>
      <c r="G11285" s="30">
        <v>207.48</v>
      </c>
    </row>
    <row r="11286" spans="1:7" hidden="1" x14ac:dyDescent="0.25">
      <c r="A11286" s="28">
        <v>44501</v>
      </c>
      <c r="B11286" s="27" t="s">
        <v>2</v>
      </c>
      <c r="C11286" s="27" t="s">
        <v>50</v>
      </c>
      <c r="D11286" s="27" t="s">
        <v>7</v>
      </c>
      <c r="E11286" s="27" t="s">
        <v>10</v>
      </c>
      <c r="F11286" s="29"/>
      <c r="G11286" s="30">
        <v>641.78</v>
      </c>
    </row>
    <row r="11287" spans="1:7" hidden="1" x14ac:dyDescent="0.25">
      <c r="A11287" s="28">
        <v>44501</v>
      </c>
      <c r="B11287" s="27" t="s">
        <v>2</v>
      </c>
      <c r="C11287" s="27" t="s">
        <v>50</v>
      </c>
      <c r="D11287" s="27" t="s">
        <v>7</v>
      </c>
      <c r="E11287" s="27" t="s">
        <v>11</v>
      </c>
      <c r="F11287" s="29"/>
      <c r="G11287" s="30">
        <v>889.28</v>
      </c>
    </row>
    <row r="11288" spans="1:7" hidden="1" x14ac:dyDescent="0.25">
      <c r="A11288" s="28">
        <v>44501</v>
      </c>
      <c r="B11288" s="27" t="s">
        <v>2</v>
      </c>
      <c r="C11288" s="27" t="s">
        <v>50</v>
      </c>
      <c r="D11288" s="27" t="s">
        <v>7</v>
      </c>
      <c r="E11288" s="27" t="s">
        <v>12</v>
      </c>
      <c r="F11288" s="29"/>
      <c r="G11288" s="30">
        <v>226.88</v>
      </c>
    </row>
    <row r="11289" spans="1:7" hidden="1" x14ac:dyDescent="0.25">
      <c r="A11289" s="28">
        <v>44501</v>
      </c>
      <c r="B11289" s="27" t="s">
        <v>2</v>
      </c>
      <c r="C11289" s="27" t="s">
        <v>50</v>
      </c>
      <c r="D11289" s="27" t="s">
        <v>7</v>
      </c>
      <c r="E11289" s="27" t="s">
        <v>13</v>
      </c>
      <c r="F11289" s="29"/>
      <c r="G11289" s="30">
        <v>1043.19</v>
      </c>
    </row>
    <row r="11290" spans="1:7" hidden="1" x14ac:dyDescent="0.25">
      <c r="A11290" s="28">
        <v>44501</v>
      </c>
      <c r="B11290" s="27" t="s">
        <v>2</v>
      </c>
      <c r="C11290" s="27" t="s">
        <v>50</v>
      </c>
      <c r="D11290" s="27" t="s">
        <v>7</v>
      </c>
      <c r="E11290" s="27" t="s">
        <v>14</v>
      </c>
      <c r="F11290" s="29"/>
      <c r="G11290" s="30">
        <v>197.12</v>
      </c>
    </row>
    <row r="11291" spans="1:7" hidden="1" x14ac:dyDescent="0.25">
      <c r="A11291" s="28">
        <v>44501</v>
      </c>
      <c r="B11291" s="27" t="s">
        <v>2</v>
      </c>
      <c r="C11291" s="27" t="s">
        <v>50</v>
      </c>
      <c r="D11291" s="27" t="s">
        <v>7</v>
      </c>
      <c r="E11291" s="27" t="s">
        <v>15</v>
      </c>
      <c r="F11291" s="29"/>
      <c r="G11291" s="30">
        <v>600.28</v>
      </c>
    </row>
    <row r="11292" spans="1:7" hidden="1" x14ac:dyDescent="0.25">
      <c r="A11292" s="28">
        <v>44501</v>
      </c>
      <c r="B11292" s="27" t="s">
        <v>2</v>
      </c>
      <c r="C11292" s="27" t="s">
        <v>50</v>
      </c>
      <c r="D11292" s="27" t="s">
        <v>7</v>
      </c>
      <c r="E11292" s="27" t="s">
        <v>16</v>
      </c>
      <c r="F11292" s="29"/>
      <c r="G11292" s="30">
        <v>337.98</v>
      </c>
    </row>
    <row r="11293" spans="1:7" hidden="1" x14ac:dyDescent="0.25">
      <c r="A11293" s="28">
        <v>44501</v>
      </c>
      <c r="B11293" s="27" t="s">
        <v>2</v>
      </c>
      <c r="C11293" s="27" t="s">
        <v>50</v>
      </c>
      <c r="D11293" s="27" t="s">
        <v>7</v>
      </c>
      <c r="E11293" s="27" t="s">
        <v>17</v>
      </c>
      <c r="F11293" s="29"/>
      <c r="G11293" s="30">
        <v>1096.68</v>
      </c>
    </row>
    <row r="11294" spans="1:7" hidden="1" x14ac:dyDescent="0.25">
      <c r="A11294" s="28">
        <v>44501</v>
      </c>
      <c r="B11294" s="27" t="s">
        <v>2</v>
      </c>
      <c r="C11294" s="27" t="s">
        <v>50</v>
      </c>
      <c r="D11294" s="27" t="s">
        <v>7</v>
      </c>
      <c r="E11294" s="27" t="s">
        <v>18</v>
      </c>
      <c r="F11294" s="29"/>
      <c r="G11294" s="30">
        <v>33.72</v>
      </c>
    </row>
    <row r="11295" spans="1:7" hidden="1" x14ac:dyDescent="0.25">
      <c r="A11295" s="28">
        <v>44501</v>
      </c>
      <c r="B11295" s="27" t="s">
        <v>2</v>
      </c>
      <c r="C11295" s="27" t="s">
        <v>50</v>
      </c>
      <c r="D11295" s="27" t="s">
        <v>7</v>
      </c>
      <c r="E11295" s="27" t="s">
        <v>19</v>
      </c>
      <c r="F11295" s="29"/>
      <c r="G11295" s="30">
        <v>579.17999999999995</v>
      </c>
    </row>
    <row r="11296" spans="1:7" hidden="1" x14ac:dyDescent="0.25">
      <c r="A11296" s="28">
        <v>44501</v>
      </c>
      <c r="B11296" s="27" t="s">
        <v>2</v>
      </c>
      <c r="C11296" s="27" t="s">
        <v>50</v>
      </c>
      <c r="D11296" s="27" t="s">
        <v>7</v>
      </c>
      <c r="E11296" s="27" t="s">
        <v>20</v>
      </c>
      <c r="F11296" s="29"/>
      <c r="G11296" s="30">
        <v>289.22000000000003</v>
      </c>
    </row>
    <row r="11297" spans="1:7" hidden="1" x14ac:dyDescent="0.25">
      <c r="A11297" s="28">
        <v>44501</v>
      </c>
      <c r="B11297" s="27" t="s">
        <v>2</v>
      </c>
      <c r="C11297" s="27" t="s">
        <v>50</v>
      </c>
      <c r="D11297" s="27" t="s">
        <v>7</v>
      </c>
      <c r="E11297" s="27" t="s">
        <v>40</v>
      </c>
      <c r="F11297" s="29"/>
      <c r="G11297" s="30">
        <v>162.68</v>
      </c>
    </row>
    <row r="11298" spans="1:7" hidden="1" x14ac:dyDescent="0.25">
      <c r="A11298" s="28">
        <v>44501</v>
      </c>
      <c r="B11298" s="27" t="s">
        <v>2</v>
      </c>
      <c r="C11298" s="27" t="s">
        <v>50</v>
      </c>
      <c r="D11298" s="27" t="s">
        <v>7</v>
      </c>
      <c r="E11298" s="27" t="s">
        <v>42</v>
      </c>
      <c r="F11298" s="29"/>
      <c r="G11298" s="30">
        <v>106.28</v>
      </c>
    </row>
    <row r="11299" spans="1:7" hidden="1" x14ac:dyDescent="0.25">
      <c r="A11299" s="28">
        <v>44501</v>
      </c>
      <c r="B11299" s="27" t="s">
        <v>2</v>
      </c>
      <c r="C11299" s="27" t="s">
        <v>50</v>
      </c>
      <c r="D11299" s="27" t="s">
        <v>7</v>
      </c>
      <c r="E11299" s="27" t="s">
        <v>72</v>
      </c>
      <c r="F11299" s="29"/>
      <c r="G11299" s="30">
        <v>70</v>
      </c>
    </row>
    <row r="11300" spans="1:7" hidden="1" x14ac:dyDescent="0.25">
      <c r="A11300" s="28">
        <v>44501</v>
      </c>
      <c r="B11300" s="27" t="s">
        <v>36</v>
      </c>
      <c r="C11300" s="27" t="s">
        <v>50</v>
      </c>
      <c r="D11300" s="27" t="s">
        <v>6</v>
      </c>
      <c r="E11300" s="27" t="s">
        <v>8</v>
      </c>
      <c r="F11300" s="29"/>
      <c r="G11300" s="30">
        <v>317.87</v>
      </c>
    </row>
    <row r="11301" spans="1:7" hidden="1" x14ac:dyDescent="0.25">
      <c r="A11301" s="28">
        <v>44501</v>
      </c>
      <c r="B11301" s="27" t="s">
        <v>36</v>
      </c>
      <c r="C11301" s="27" t="s">
        <v>50</v>
      </c>
      <c r="D11301" s="27" t="s">
        <v>6</v>
      </c>
      <c r="E11301" s="27" t="s">
        <v>9</v>
      </c>
      <c r="F11301" s="29"/>
      <c r="G11301" s="30">
        <v>317.87</v>
      </c>
    </row>
    <row r="11302" spans="1:7" hidden="1" x14ac:dyDescent="0.25">
      <c r="A11302" s="28">
        <v>44501</v>
      </c>
      <c r="B11302" s="27" t="s">
        <v>36</v>
      </c>
      <c r="C11302" s="27" t="s">
        <v>50</v>
      </c>
      <c r="D11302" s="27" t="s">
        <v>6</v>
      </c>
      <c r="E11302" s="27" t="s">
        <v>22</v>
      </c>
      <c r="F11302" s="29"/>
      <c r="G11302" s="30">
        <v>317.87</v>
      </c>
    </row>
    <row r="11303" spans="1:7" hidden="1" x14ac:dyDescent="0.25">
      <c r="A11303" s="28">
        <v>44501</v>
      </c>
      <c r="B11303" s="27" t="s">
        <v>36</v>
      </c>
      <c r="C11303" s="27" t="s">
        <v>50</v>
      </c>
      <c r="D11303" s="27" t="s">
        <v>6</v>
      </c>
      <c r="E11303" s="27" t="s">
        <v>39</v>
      </c>
      <c r="F11303" s="29"/>
      <c r="G11303" s="30">
        <v>317.87</v>
      </c>
    </row>
    <row r="11304" spans="1:7" hidden="1" x14ac:dyDescent="0.25">
      <c r="A11304" s="28">
        <v>44501</v>
      </c>
      <c r="B11304" s="27" t="s">
        <v>36</v>
      </c>
      <c r="C11304" s="27" t="s">
        <v>50</v>
      </c>
      <c r="D11304" s="27" t="s">
        <v>6</v>
      </c>
      <c r="E11304" s="27" t="s">
        <v>64</v>
      </c>
      <c r="F11304" s="29"/>
      <c r="G11304" s="30">
        <v>317.87</v>
      </c>
    </row>
    <row r="11305" spans="1:7" hidden="1" x14ac:dyDescent="0.25">
      <c r="A11305" s="28">
        <v>44501</v>
      </c>
      <c r="B11305" s="27" t="s">
        <v>36</v>
      </c>
      <c r="C11305" s="27" t="s">
        <v>50</v>
      </c>
      <c r="D11305" s="27" t="s">
        <v>6</v>
      </c>
      <c r="E11305" s="27" t="s">
        <v>21</v>
      </c>
      <c r="F11305" s="29"/>
      <c r="G11305" s="30">
        <v>317.87</v>
      </c>
    </row>
    <row r="11306" spans="1:7" hidden="1" x14ac:dyDescent="0.25">
      <c r="A11306" s="28">
        <v>44501</v>
      </c>
      <c r="B11306" s="27" t="s">
        <v>36</v>
      </c>
      <c r="C11306" s="27" t="s">
        <v>50</v>
      </c>
      <c r="D11306" s="27" t="s">
        <v>6</v>
      </c>
      <c r="E11306" s="27" t="s">
        <v>41</v>
      </c>
      <c r="F11306" s="29"/>
      <c r="G11306" s="30">
        <v>317.87</v>
      </c>
    </row>
    <row r="11307" spans="1:7" hidden="1" x14ac:dyDescent="0.25">
      <c r="A11307" s="28">
        <v>44501</v>
      </c>
      <c r="B11307" s="27" t="s">
        <v>36</v>
      </c>
      <c r="C11307" s="27" t="s">
        <v>50</v>
      </c>
      <c r="D11307" s="27" t="s">
        <v>6</v>
      </c>
      <c r="E11307" s="27" t="s">
        <v>10</v>
      </c>
      <c r="F11307" s="29"/>
      <c r="G11307" s="30">
        <v>317.87</v>
      </c>
    </row>
    <row r="11308" spans="1:7" hidden="1" x14ac:dyDescent="0.25">
      <c r="A11308" s="28">
        <v>44501</v>
      </c>
      <c r="B11308" s="27" t="s">
        <v>36</v>
      </c>
      <c r="C11308" s="27" t="s">
        <v>50</v>
      </c>
      <c r="D11308" s="27" t="s">
        <v>6</v>
      </c>
      <c r="E11308" s="27" t="s">
        <v>11</v>
      </c>
      <c r="F11308" s="29"/>
      <c r="G11308" s="30">
        <v>317.87</v>
      </c>
    </row>
    <row r="11309" spans="1:7" hidden="1" x14ac:dyDescent="0.25">
      <c r="A11309" s="28">
        <v>44501</v>
      </c>
      <c r="B11309" s="27" t="s">
        <v>36</v>
      </c>
      <c r="C11309" s="27" t="s">
        <v>50</v>
      </c>
      <c r="D11309" s="27" t="s">
        <v>6</v>
      </c>
      <c r="E11309" s="27" t="s">
        <v>12</v>
      </c>
      <c r="F11309" s="29"/>
      <c r="G11309" s="30">
        <v>317.87</v>
      </c>
    </row>
    <row r="11310" spans="1:7" hidden="1" x14ac:dyDescent="0.25">
      <c r="A11310" s="28">
        <v>44501</v>
      </c>
      <c r="B11310" s="27" t="s">
        <v>36</v>
      </c>
      <c r="C11310" s="27" t="s">
        <v>50</v>
      </c>
      <c r="D11310" s="27" t="s">
        <v>6</v>
      </c>
      <c r="E11310" s="27" t="s">
        <v>13</v>
      </c>
      <c r="F11310" s="29"/>
      <c r="G11310" s="30">
        <v>317.87</v>
      </c>
    </row>
    <row r="11311" spans="1:7" hidden="1" x14ac:dyDescent="0.25">
      <c r="A11311" s="28">
        <v>44501</v>
      </c>
      <c r="B11311" s="27" t="s">
        <v>36</v>
      </c>
      <c r="C11311" s="27" t="s">
        <v>50</v>
      </c>
      <c r="D11311" s="27" t="s">
        <v>6</v>
      </c>
      <c r="E11311" s="27" t="s">
        <v>14</v>
      </c>
      <c r="F11311" s="29"/>
      <c r="G11311" s="30">
        <v>317.87</v>
      </c>
    </row>
    <row r="11312" spans="1:7" hidden="1" x14ac:dyDescent="0.25">
      <c r="A11312" s="28">
        <v>44501</v>
      </c>
      <c r="B11312" s="27" t="s">
        <v>36</v>
      </c>
      <c r="C11312" s="27" t="s">
        <v>50</v>
      </c>
      <c r="D11312" s="27" t="s">
        <v>6</v>
      </c>
      <c r="E11312" s="27" t="s">
        <v>15</v>
      </c>
      <c r="F11312" s="29"/>
      <c r="G11312" s="30">
        <v>317.87</v>
      </c>
    </row>
    <row r="11313" spans="1:7" hidden="1" x14ac:dyDescent="0.25">
      <c r="A11313" s="28">
        <v>44501</v>
      </c>
      <c r="B11313" s="27" t="s">
        <v>36</v>
      </c>
      <c r="C11313" s="27" t="s">
        <v>50</v>
      </c>
      <c r="D11313" s="27" t="s">
        <v>6</v>
      </c>
      <c r="E11313" s="27" t="s">
        <v>16</v>
      </c>
      <c r="F11313" s="29"/>
      <c r="G11313" s="30">
        <v>317.87</v>
      </c>
    </row>
    <row r="11314" spans="1:7" hidden="1" x14ac:dyDescent="0.25">
      <c r="A11314" s="28">
        <v>44501</v>
      </c>
      <c r="B11314" s="27" t="s">
        <v>36</v>
      </c>
      <c r="C11314" s="27" t="s">
        <v>50</v>
      </c>
      <c r="D11314" s="27" t="s">
        <v>6</v>
      </c>
      <c r="E11314" s="27" t="s">
        <v>17</v>
      </c>
      <c r="F11314" s="29"/>
      <c r="G11314" s="30">
        <v>317.87</v>
      </c>
    </row>
    <row r="11315" spans="1:7" hidden="1" x14ac:dyDescent="0.25">
      <c r="A11315" s="28">
        <v>44501</v>
      </c>
      <c r="B11315" s="27" t="s">
        <v>36</v>
      </c>
      <c r="C11315" s="27" t="s">
        <v>50</v>
      </c>
      <c r="D11315" s="27" t="s">
        <v>6</v>
      </c>
      <c r="E11315" s="27" t="s">
        <v>18</v>
      </c>
      <c r="F11315" s="29"/>
      <c r="G11315" s="30">
        <v>317.87</v>
      </c>
    </row>
    <row r="11316" spans="1:7" hidden="1" x14ac:dyDescent="0.25">
      <c r="A11316" s="28">
        <v>44501</v>
      </c>
      <c r="B11316" s="27" t="s">
        <v>36</v>
      </c>
      <c r="C11316" s="27" t="s">
        <v>50</v>
      </c>
      <c r="D11316" s="27" t="s">
        <v>6</v>
      </c>
      <c r="E11316" s="27" t="s">
        <v>19</v>
      </c>
      <c r="F11316" s="29"/>
      <c r="G11316" s="30">
        <v>317.87</v>
      </c>
    </row>
    <row r="11317" spans="1:7" hidden="1" x14ac:dyDescent="0.25">
      <c r="A11317" s="28">
        <v>44501</v>
      </c>
      <c r="B11317" s="27" t="s">
        <v>36</v>
      </c>
      <c r="C11317" s="27" t="s">
        <v>50</v>
      </c>
      <c r="D11317" s="27" t="s">
        <v>6</v>
      </c>
      <c r="E11317" s="27" t="s">
        <v>20</v>
      </c>
      <c r="F11317" s="29"/>
      <c r="G11317" s="30">
        <v>317.87</v>
      </c>
    </row>
    <row r="11318" spans="1:7" hidden="1" x14ac:dyDescent="0.25">
      <c r="A11318" s="28">
        <v>44501</v>
      </c>
      <c r="B11318" s="27" t="s">
        <v>36</v>
      </c>
      <c r="C11318" s="27" t="s">
        <v>50</v>
      </c>
      <c r="D11318" s="27" t="s">
        <v>6</v>
      </c>
      <c r="E11318" s="27" t="s">
        <v>38</v>
      </c>
      <c r="F11318" s="29"/>
      <c r="G11318" s="30">
        <v>317.87</v>
      </c>
    </row>
    <row r="11319" spans="1:7" hidden="1" x14ac:dyDescent="0.25">
      <c r="A11319" s="28">
        <v>44501</v>
      </c>
      <c r="B11319" s="27" t="s">
        <v>36</v>
      </c>
      <c r="C11319" s="27" t="s">
        <v>50</v>
      </c>
      <c r="D11319" s="27" t="s">
        <v>6</v>
      </c>
      <c r="E11319" s="27" t="s">
        <v>23</v>
      </c>
      <c r="F11319" s="29"/>
      <c r="G11319" s="30">
        <v>317.87</v>
      </c>
    </row>
    <row r="11320" spans="1:7" hidden="1" x14ac:dyDescent="0.25">
      <c r="A11320" s="28">
        <v>44501</v>
      </c>
      <c r="B11320" s="27" t="s">
        <v>36</v>
      </c>
      <c r="C11320" s="27" t="s">
        <v>50</v>
      </c>
      <c r="D11320" s="27" t="s">
        <v>6</v>
      </c>
      <c r="E11320" s="27" t="s">
        <v>40</v>
      </c>
      <c r="F11320" s="29"/>
      <c r="G11320" s="30">
        <v>317.87</v>
      </c>
    </row>
    <row r="11321" spans="1:7" hidden="1" x14ac:dyDescent="0.25">
      <c r="A11321" s="28">
        <v>44501</v>
      </c>
      <c r="B11321" s="27" t="s">
        <v>36</v>
      </c>
      <c r="C11321" s="27" t="s">
        <v>50</v>
      </c>
      <c r="D11321" s="27" t="s">
        <v>6</v>
      </c>
      <c r="E11321" s="27" t="s">
        <v>42</v>
      </c>
      <c r="F11321" s="29"/>
      <c r="G11321" s="30">
        <v>317.87</v>
      </c>
    </row>
    <row r="11322" spans="1:7" hidden="1" x14ac:dyDescent="0.25">
      <c r="A11322" s="28">
        <v>44501</v>
      </c>
      <c r="B11322" s="27" t="s">
        <v>36</v>
      </c>
      <c r="C11322" s="27" t="s">
        <v>50</v>
      </c>
      <c r="D11322" s="27" t="s">
        <v>6</v>
      </c>
      <c r="E11322" s="27" t="s">
        <v>43</v>
      </c>
      <c r="F11322" s="29"/>
      <c r="G11322" s="30">
        <v>317.87</v>
      </c>
    </row>
    <row r="11323" spans="1:7" hidden="1" x14ac:dyDescent="0.25">
      <c r="A11323" s="28">
        <v>44501</v>
      </c>
      <c r="B11323" s="27" t="s">
        <v>36</v>
      </c>
      <c r="C11323" s="27" t="s">
        <v>50</v>
      </c>
      <c r="D11323" s="27" t="s">
        <v>6</v>
      </c>
      <c r="E11323" s="27" t="s">
        <v>72</v>
      </c>
      <c r="F11323" s="29"/>
      <c r="G11323" s="30">
        <v>317.87</v>
      </c>
    </row>
    <row r="11324" spans="1:7" hidden="1" x14ac:dyDescent="0.25">
      <c r="A11324" s="28">
        <v>44501</v>
      </c>
      <c r="B11324" s="27" t="s">
        <v>200</v>
      </c>
      <c r="C11324" s="27" t="s">
        <v>53</v>
      </c>
      <c r="D11324" s="27" t="s">
        <v>6</v>
      </c>
      <c r="E11324" s="27" t="s">
        <v>8</v>
      </c>
      <c r="F11324" s="29"/>
      <c r="G11324" s="30">
        <f t="shared" ref="G11324:G11344" si="203">2022.57555555556/21</f>
        <v>96.3131216931219</v>
      </c>
    </row>
    <row r="11325" spans="1:7" hidden="1" x14ac:dyDescent="0.25">
      <c r="A11325" s="28">
        <v>44501</v>
      </c>
      <c r="B11325" s="27" t="s">
        <v>200</v>
      </c>
      <c r="C11325" s="27" t="s">
        <v>53</v>
      </c>
      <c r="D11325" s="27" t="s">
        <v>6</v>
      </c>
      <c r="E11325" s="27" t="s">
        <v>9</v>
      </c>
      <c r="F11325" s="29"/>
      <c r="G11325" s="30">
        <f t="shared" si="203"/>
        <v>96.3131216931219</v>
      </c>
    </row>
    <row r="11326" spans="1:7" hidden="1" x14ac:dyDescent="0.25">
      <c r="A11326" s="28">
        <v>44501</v>
      </c>
      <c r="B11326" s="27" t="s">
        <v>200</v>
      </c>
      <c r="C11326" s="27" t="s">
        <v>53</v>
      </c>
      <c r="D11326" s="27" t="s">
        <v>6</v>
      </c>
      <c r="E11326" s="27" t="s">
        <v>22</v>
      </c>
      <c r="F11326" s="29"/>
      <c r="G11326" s="30">
        <f t="shared" si="203"/>
        <v>96.3131216931219</v>
      </c>
    </row>
    <row r="11327" spans="1:7" hidden="1" x14ac:dyDescent="0.25">
      <c r="A11327" s="28">
        <v>44501</v>
      </c>
      <c r="B11327" s="27" t="s">
        <v>200</v>
      </c>
      <c r="C11327" s="27" t="s">
        <v>53</v>
      </c>
      <c r="D11327" s="27" t="s">
        <v>6</v>
      </c>
      <c r="E11327" s="27" t="s">
        <v>39</v>
      </c>
      <c r="F11327" s="29"/>
      <c r="G11327" s="30">
        <f t="shared" si="203"/>
        <v>96.3131216931219</v>
      </c>
    </row>
    <row r="11328" spans="1:7" hidden="1" x14ac:dyDescent="0.25">
      <c r="A11328" s="28">
        <v>44501</v>
      </c>
      <c r="B11328" s="27" t="s">
        <v>200</v>
      </c>
      <c r="C11328" s="27" t="s">
        <v>53</v>
      </c>
      <c r="D11328" s="27" t="s">
        <v>6</v>
      </c>
      <c r="E11328" s="27" t="s">
        <v>64</v>
      </c>
      <c r="F11328" s="29"/>
      <c r="G11328" s="30">
        <f t="shared" si="203"/>
        <v>96.3131216931219</v>
      </c>
    </row>
    <row r="11329" spans="1:7" hidden="1" x14ac:dyDescent="0.25">
      <c r="A11329" s="28">
        <v>44501</v>
      </c>
      <c r="B11329" s="27" t="s">
        <v>200</v>
      </c>
      <c r="C11329" s="27" t="s">
        <v>53</v>
      </c>
      <c r="D11329" s="27" t="s">
        <v>6</v>
      </c>
      <c r="E11329" s="27" t="s">
        <v>21</v>
      </c>
      <c r="F11329" s="29"/>
      <c r="G11329" s="30">
        <f t="shared" si="203"/>
        <v>96.3131216931219</v>
      </c>
    </row>
    <row r="11330" spans="1:7" hidden="1" x14ac:dyDescent="0.25">
      <c r="A11330" s="28">
        <v>44501</v>
      </c>
      <c r="B11330" s="27" t="s">
        <v>200</v>
      </c>
      <c r="C11330" s="27" t="s">
        <v>53</v>
      </c>
      <c r="D11330" s="27" t="s">
        <v>6</v>
      </c>
      <c r="E11330" s="27" t="s">
        <v>41</v>
      </c>
      <c r="F11330" s="29"/>
      <c r="G11330" s="30">
        <f t="shared" si="203"/>
        <v>96.3131216931219</v>
      </c>
    </row>
    <row r="11331" spans="1:7" hidden="1" x14ac:dyDescent="0.25">
      <c r="A11331" s="28">
        <v>44501</v>
      </c>
      <c r="B11331" s="27" t="s">
        <v>200</v>
      </c>
      <c r="C11331" s="27" t="s">
        <v>53</v>
      </c>
      <c r="D11331" s="27" t="s">
        <v>6</v>
      </c>
      <c r="E11331" s="27" t="s">
        <v>10</v>
      </c>
      <c r="F11331" s="29"/>
      <c r="G11331" s="30">
        <f t="shared" si="203"/>
        <v>96.3131216931219</v>
      </c>
    </row>
    <row r="11332" spans="1:7" hidden="1" x14ac:dyDescent="0.25">
      <c r="A11332" s="28">
        <v>44501</v>
      </c>
      <c r="B11332" s="27" t="s">
        <v>200</v>
      </c>
      <c r="C11332" s="27" t="s">
        <v>53</v>
      </c>
      <c r="D11332" s="27" t="s">
        <v>6</v>
      </c>
      <c r="E11332" s="27" t="s">
        <v>11</v>
      </c>
      <c r="F11332" s="29"/>
      <c r="G11332" s="30">
        <f t="shared" si="203"/>
        <v>96.3131216931219</v>
      </c>
    </row>
    <row r="11333" spans="1:7" hidden="1" x14ac:dyDescent="0.25">
      <c r="A11333" s="28">
        <v>44501</v>
      </c>
      <c r="B11333" s="27" t="s">
        <v>200</v>
      </c>
      <c r="C11333" s="27" t="s">
        <v>53</v>
      </c>
      <c r="D11333" s="27" t="s">
        <v>6</v>
      </c>
      <c r="E11333" s="27" t="s">
        <v>12</v>
      </c>
      <c r="F11333" s="29"/>
      <c r="G11333" s="30">
        <f t="shared" si="203"/>
        <v>96.3131216931219</v>
      </c>
    </row>
    <row r="11334" spans="1:7" hidden="1" x14ac:dyDescent="0.25">
      <c r="A11334" s="28">
        <v>44501</v>
      </c>
      <c r="B11334" s="27" t="s">
        <v>200</v>
      </c>
      <c r="C11334" s="27" t="s">
        <v>53</v>
      </c>
      <c r="D11334" s="27" t="s">
        <v>6</v>
      </c>
      <c r="E11334" s="27" t="s">
        <v>13</v>
      </c>
      <c r="F11334" s="29"/>
      <c r="G11334" s="30">
        <f t="shared" si="203"/>
        <v>96.3131216931219</v>
      </c>
    </row>
    <row r="11335" spans="1:7" hidden="1" x14ac:dyDescent="0.25">
      <c r="A11335" s="28">
        <v>44501</v>
      </c>
      <c r="B11335" s="27" t="s">
        <v>200</v>
      </c>
      <c r="C11335" s="27" t="s">
        <v>53</v>
      </c>
      <c r="D11335" s="27" t="s">
        <v>6</v>
      </c>
      <c r="E11335" s="27" t="s">
        <v>14</v>
      </c>
      <c r="F11335" s="29"/>
      <c r="G11335" s="30">
        <f t="shared" si="203"/>
        <v>96.3131216931219</v>
      </c>
    </row>
    <row r="11336" spans="1:7" hidden="1" x14ac:dyDescent="0.25">
      <c r="A11336" s="28">
        <v>44501</v>
      </c>
      <c r="B11336" s="27" t="s">
        <v>200</v>
      </c>
      <c r="C11336" s="27" t="s">
        <v>53</v>
      </c>
      <c r="D11336" s="27" t="s">
        <v>6</v>
      </c>
      <c r="E11336" s="27" t="s">
        <v>15</v>
      </c>
      <c r="F11336" s="29"/>
      <c r="G11336" s="30">
        <f t="shared" si="203"/>
        <v>96.3131216931219</v>
      </c>
    </row>
    <row r="11337" spans="1:7" hidden="1" x14ac:dyDescent="0.25">
      <c r="A11337" s="28">
        <v>44501</v>
      </c>
      <c r="B11337" s="27" t="s">
        <v>200</v>
      </c>
      <c r="C11337" s="27" t="s">
        <v>53</v>
      </c>
      <c r="D11337" s="27" t="s">
        <v>6</v>
      </c>
      <c r="E11337" s="27" t="s">
        <v>16</v>
      </c>
      <c r="F11337" s="29"/>
      <c r="G11337" s="30">
        <f t="shared" si="203"/>
        <v>96.3131216931219</v>
      </c>
    </row>
    <row r="11338" spans="1:7" hidden="1" x14ac:dyDescent="0.25">
      <c r="A11338" s="28">
        <v>44501</v>
      </c>
      <c r="B11338" s="27" t="s">
        <v>200</v>
      </c>
      <c r="C11338" s="27" t="s">
        <v>53</v>
      </c>
      <c r="D11338" s="27" t="s">
        <v>6</v>
      </c>
      <c r="E11338" s="27" t="s">
        <v>17</v>
      </c>
      <c r="F11338" s="29"/>
      <c r="G11338" s="30">
        <f t="shared" si="203"/>
        <v>96.3131216931219</v>
      </c>
    </row>
    <row r="11339" spans="1:7" hidden="1" x14ac:dyDescent="0.25">
      <c r="A11339" s="28">
        <v>44501</v>
      </c>
      <c r="B11339" s="27" t="s">
        <v>200</v>
      </c>
      <c r="C11339" s="27" t="s">
        <v>53</v>
      </c>
      <c r="D11339" s="27" t="s">
        <v>6</v>
      </c>
      <c r="E11339" s="27" t="s">
        <v>18</v>
      </c>
      <c r="F11339" s="29"/>
      <c r="G11339" s="30">
        <f t="shared" si="203"/>
        <v>96.3131216931219</v>
      </c>
    </row>
    <row r="11340" spans="1:7" hidden="1" x14ac:dyDescent="0.25">
      <c r="A11340" s="28">
        <v>44501</v>
      </c>
      <c r="B11340" s="27" t="s">
        <v>200</v>
      </c>
      <c r="C11340" s="27" t="s">
        <v>53</v>
      </c>
      <c r="D11340" s="27" t="s">
        <v>6</v>
      </c>
      <c r="E11340" s="27" t="s">
        <v>19</v>
      </c>
      <c r="F11340" s="29"/>
      <c r="G11340" s="30">
        <f t="shared" si="203"/>
        <v>96.3131216931219</v>
      </c>
    </row>
    <row r="11341" spans="1:7" hidden="1" x14ac:dyDescent="0.25">
      <c r="A11341" s="28">
        <v>44501</v>
      </c>
      <c r="B11341" s="27" t="s">
        <v>200</v>
      </c>
      <c r="C11341" s="27" t="s">
        <v>53</v>
      </c>
      <c r="D11341" s="27" t="s">
        <v>6</v>
      </c>
      <c r="E11341" s="27" t="s">
        <v>20</v>
      </c>
      <c r="F11341" s="29"/>
      <c r="G11341" s="30">
        <f t="shared" si="203"/>
        <v>96.3131216931219</v>
      </c>
    </row>
    <row r="11342" spans="1:7" hidden="1" x14ac:dyDescent="0.25">
      <c r="A11342" s="28">
        <v>44501</v>
      </c>
      <c r="B11342" s="27" t="s">
        <v>200</v>
      </c>
      <c r="C11342" s="27" t="s">
        <v>53</v>
      </c>
      <c r="D11342" s="27" t="s">
        <v>6</v>
      </c>
      <c r="E11342" s="27" t="s">
        <v>38</v>
      </c>
      <c r="F11342" s="29"/>
      <c r="G11342" s="30">
        <f t="shared" si="203"/>
        <v>96.3131216931219</v>
      </c>
    </row>
    <row r="11343" spans="1:7" hidden="1" x14ac:dyDescent="0.25">
      <c r="A11343" s="28">
        <v>44501</v>
      </c>
      <c r="B11343" s="27" t="s">
        <v>200</v>
      </c>
      <c r="C11343" s="27" t="s">
        <v>53</v>
      </c>
      <c r="D11343" s="27" t="s">
        <v>6</v>
      </c>
      <c r="E11343" s="27" t="s">
        <v>23</v>
      </c>
      <c r="F11343" s="29"/>
      <c r="G11343" s="30">
        <f t="shared" si="203"/>
        <v>96.3131216931219</v>
      </c>
    </row>
    <row r="11344" spans="1:7" hidden="1" x14ac:dyDescent="0.25">
      <c r="A11344" s="28">
        <v>44501</v>
      </c>
      <c r="B11344" s="27" t="s">
        <v>200</v>
      </c>
      <c r="C11344" s="27" t="s">
        <v>53</v>
      </c>
      <c r="D11344" s="27" t="s">
        <v>6</v>
      </c>
      <c r="E11344" s="27" t="s">
        <v>40</v>
      </c>
      <c r="F11344" s="29"/>
      <c r="G11344" s="30">
        <f t="shared" si="203"/>
        <v>96.3131216931219</v>
      </c>
    </row>
    <row r="11345" spans="1:7" hidden="1" x14ac:dyDescent="0.25">
      <c r="A11345" s="28">
        <v>44501</v>
      </c>
      <c r="B11345" s="27" t="s">
        <v>200</v>
      </c>
      <c r="C11345" s="27" t="s">
        <v>54</v>
      </c>
      <c r="D11345" s="27" t="s">
        <v>7</v>
      </c>
      <c r="E11345" s="27" t="s">
        <v>8</v>
      </c>
      <c r="F11345" s="29"/>
      <c r="G11345" s="30">
        <f t="shared" ref="G11345:G11368" si="204">365.5/24</f>
        <v>15.229166666666666</v>
      </c>
    </row>
    <row r="11346" spans="1:7" hidden="1" x14ac:dyDescent="0.25">
      <c r="A11346" s="28">
        <v>44501</v>
      </c>
      <c r="B11346" s="27" t="s">
        <v>200</v>
      </c>
      <c r="C11346" s="27" t="s">
        <v>54</v>
      </c>
      <c r="D11346" s="27" t="s">
        <v>7</v>
      </c>
      <c r="E11346" s="27" t="s">
        <v>9</v>
      </c>
      <c r="F11346" s="29"/>
      <c r="G11346" s="30">
        <f t="shared" si="204"/>
        <v>15.229166666666666</v>
      </c>
    </row>
    <row r="11347" spans="1:7" hidden="1" x14ac:dyDescent="0.25">
      <c r="A11347" s="28">
        <v>44501</v>
      </c>
      <c r="B11347" s="27" t="s">
        <v>200</v>
      </c>
      <c r="C11347" s="27" t="s">
        <v>54</v>
      </c>
      <c r="D11347" s="27" t="s">
        <v>7</v>
      </c>
      <c r="E11347" s="27" t="s">
        <v>22</v>
      </c>
      <c r="F11347" s="29"/>
      <c r="G11347" s="30">
        <f t="shared" si="204"/>
        <v>15.229166666666666</v>
      </c>
    </row>
    <row r="11348" spans="1:7" hidden="1" x14ac:dyDescent="0.25">
      <c r="A11348" s="28">
        <v>44501</v>
      </c>
      <c r="B11348" s="27" t="s">
        <v>200</v>
      </c>
      <c r="C11348" s="27" t="s">
        <v>54</v>
      </c>
      <c r="D11348" s="27" t="s">
        <v>7</v>
      </c>
      <c r="E11348" s="27" t="s">
        <v>39</v>
      </c>
      <c r="F11348" s="29"/>
      <c r="G11348" s="30">
        <f t="shared" si="204"/>
        <v>15.229166666666666</v>
      </c>
    </row>
    <row r="11349" spans="1:7" hidden="1" x14ac:dyDescent="0.25">
      <c r="A11349" s="28">
        <v>44501</v>
      </c>
      <c r="B11349" s="27" t="s">
        <v>200</v>
      </c>
      <c r="C11349" s="27" t="s">
        <v>54</v>
      </c>
      <c r="D11349" s="27" t="s">
        <v>7</v>
      </c>
      <c r="E11349" s="27" t="s">
        <v>64</v>
      </c>
      <c r="F11349" s="29"/>
      <c r="G11349" s="30">
        <f t="shared" si="204"/>
        <v>15.229166666666666</v>
      </c>
    </row>
    <row r="11350" spans="1:7" hidden="1" x14ac:dyDescent="0.25">
      <c r="A11350" s="28">
        <v>44501</v>
      </c>
      <c r="B11350" s="27" t="s">
        <v>200</v>
      </c>
      <c r="C11350" s="27" t="s">
        <v>54</v>
      </c>
      <c r="D11350" s="27" t="s">
        <v>7</v>
      </c>
      <c r="E11350" s="27" t="s">
        <v>21</v>
      </c>
      <c r="F11350" s="29"/>
      <c r="G11350" s="30">
        <f t="shared" si="204"/>
        <v>15.229166666666666</v>
      </c>
    </row>
    <row r="11351" spans="1:7" hidden="1" x14ac:dyDescent="0.25">
      <c r="A11351" s="28">
        <v>44501</v>
      </c>
      <c r="B11351" s="27" t="s">
        <v>200</v>
      </c>
      <c r="C11351" s="27" t="s">
        <v>54</v>
      </c>
      <c r="D11351" s="27" t="s">
        <v>7</v>
      </c>
      <c r="E11351" s="27" t="s">
        <v>41</v>
      </c>
      <c r="F11351" s="29"/>
      <c r="G11351" s="30">
        <f t="shared" si="204"/>
        <v>15.229166666666666</v>
      </c>
    </row>
    <row r="11352" spans="1:7" hidden="1" x14ac:dyDescent="0.25">
      <c r="A11352" s="28">
        <v>44501</v>
      </c>
      <c r="B11352" s="27" t="s">
        <v>200</v>
      </c>
      <c r="C11352" s="27" t="s">
        <v>54</v>
      </c>
      <c r="D11352" s="27" t="s">
        <v>7</v>
      </c>
      <c r="E11352" s="27" t="s">
        <v>10</v>
      </c>
      <c r="F11352" s="29"/>
      <c r="G11352" s="30">
        <f t="shared" si="204"/>
        <v>15.229166666666666</v>
      </c>
    </row>
    <row r="11353" spans="1:7" hidden="1" x14ac:dyDescent="0.25">
      <c r="A11353" s="28">
        <v>44501</v>
      </c>
      <c r="B11353" s="27" t="s">
        <v>200</v>
      </c>
      <c r="C11353" s="27" t="s">
        <v>54</v>
      </c>
      <c r="D11353" s="27" t="s">
        <v>7</v>
      </c>
      <c r="E11353" s="27" t="s">
        <v>11</v>
      </c>
      <c r="F11353" s="29"/>
      <c r="G11353" s="30">
        <f t="shared" si="204"/>
        <v>15.229166666666666</v>
      </c>
    </row>
    <row r="11354" spans="1:7" hidden="1" x14ac:dyDescent="0.25">
      <c r="A11354" s="28">
        <v>44501</v>
      </c>
      <c r="B11354" s="27" t="s">
        <v>200</v>
      </c>
      <c r="C11354" s="27" t="s">
        <v>54</v>
      </c>
      <c r="D11354" s="27" t="s">
        <v>7</v>
      </c>
      <c r="E11354" s="27" t="s">
        <v>12</v>
      </c>
      <c r="F11354" s="29"/>
      <c r="G11354" s="30">
        <f t="shared" si="204"/>
        <v>15.229166666666666</v>
      </c>
    </row>
    <row r="11355" spans="1:7" hidden="1" x14ac:dyDescent="0.25">
      <c r="A11355" s="28">
        <v>44501</v>
      </c>
      <c r="B11355" s="27" t="s">
        <v>200</v>
      </c>
      <c r="C11355" s="27" t="s">
        <v>54</v>
      </c>
      <c r="D11355" s="27" t="s">
        <v>7</v>
      </c>
      <c r="E11355" s="27" t="s">
        <v>13</v>
      </c>
      <c r="F11355" s="29"/>
      <c r="G11355" s="30">
        <f t="shared" si="204"/>
        <v>15.229166666666666</v>
      </c>
    </row>
    <row r="11356" spans="1:7" hidden="1" x14ac:dyDescent="0.25">
      <c r="A11356" s="28">
        <v>44501</v>
      </c>
      <c r="B11356" s="27" t="s">
        <v>200</v>
      </c>
      <c r="C11356" s="27" t="s">
        <v>54</v>
      </c>
      <c r="D11356" s="27" t="s">
        <v>7</v>
      </c>
      <c r="E11356" s="27" t="s">
        <v>14</v>
      </c>
      <c r="F11356" s="29"/>
      <c r="G11356" s="30">
        <f t="shared" si="204"/>
        <v>15.229166666666666</v>
      </c>
    </row>
    <row r="11357" spans="1:7" hidden="1" x14ac:dyDescent="0.25">
      <c r="A11357" s="28">
        <v>44501</v>
      </c>
      <c r="B11357" s="27" t="s">
        <v>200</v>
      </c>
      <c r="C11357" s="27" t="s">
        <v>54</v>
      </c>
      <c r="D11357" s="27" t="s">
        <v>7</v>
      </c>
      <c r="E11357" s="27" t="s">
        <v>15</v>
      </c>
      <c r="F11357" s="29"/>
      <c r="G11357" s="30">
        <f t="shared" si="204"/>
        <v>15.229166666666666</v>
      </c>
    </row>
    <row r="11358" spans="1:7" hidden="1" x14ac:dyDescent="0.25">
      <c r="A11358" s="28">
        <v>44501</v>
      </c>
      <c r="B11358" s="27" t="s">
        <v>200</v>
      </c>
      <c r="C11358" s="27" t="s">
        <v>54</v>
      </c>
      <c r="D11358" s="27" t="s">
        <v>7</v>
      </c>
      <c r="E11358" s="27" t="s">
        <v>16</v>
      </c>
      <c r="F11358" s="29"/>
      <c r="G11358" s="30">
        <f t="shared" si="204"/>
        <v>15.229166666666666</v>
      </c>
    </row>
    <row r="11359" spans="1:7" hidden="1" x14ac:dyDescent="0.25">
      <c r="A11359" s="28">
        <v>44501</v>
      </c>
      <c r="B11359" s="27" t="s">
        <v>200</v>
      </c>
      <c r="C11359" s="27" t="s">
        <v>54</v>
      </c>
      <c r="D11359" s="27" t="s">
        <v>7</v>
      </c>
      <c r="E11359" s="27" t="s">
        <v>17</v>
      </c>
      <c r="F11359" s="29"/>
      <c r="G11359" s="30">
        <f t="shared" si="204"/>
        <v>15.229166666666666</v>
      </c>
    </row>
    <row r="11360" spans="1:7" hidden="1" x14ac:dyDescent="0.25">
      <c r="A11360" s="28">
        <v>44501</v>
      </c>
      <c r="B11360" s="27" t="s">
        <v>200</v>
      </c>
      <c r="C11360" s="27" t="s">
        <v>54</v>
      </c>
      <c r="D11360" s="27" t="s">
        <v>7</v>
      </c>
      <c r="E11360" s="27" t="s">
        <v>18</v>
      </c>
      <c r="F11360" s="29"/>
      <c r="G11360" s="30">
        <f t="shared" si="204"/>
        <v>15.229166666666666</v>
      </c>
    </row>
    <row r="11361" spans="1:7" hidden="1" x14ac:dyDescent="0.25">
      <c r="A11361" s="28">
        <v>44501</v>
      </c>
      <c r="B11361" s="27" t="s">
        <v>200</v>
      </c>
      <c r="C11361" s="27" t="s">
        <v>54</v>
      </c>
      <c r="D11361" s="27" t="s">
        <v>7</v>
      </c>
      <c r="E11361" s="27" t="s">
        <v>19</v>
      </c>
      <c r="F11361" s="29"/>
      <c r="G11361" s="30">
        <f t="shared" si="204"/>
        <v>15.229166666666666</v>
      </c>
    </row>
    <row r="11362" spans="1:7" hidden="1" x14ac:dyDescent="0.25">
      <c r="A11362" s="28">
        <v>44501</v>
      </c>
      <c r="B11362" s="27" t="s">
        <v>200</v>
      </c>
      <c r="C11362" s="27" t="s">
        <v>54</v>
      </c>
      <c r="D11362" s="27" t="s">
        <v>7</v>
      </c>
      <c r="E11362" s="27" t="s">
        <v>20</v>
      </c>
      <c r="F11362" s="29"/>
      <c r="G11362" s="30">
        <f t="shared" si="204"/>
        <v>15.229166666666666</v>
      </c>
    </row>
    <row r="11363" spans="1:7" hidden="1" x14ac:dyDescent="0.25">
      <c r="A11363" s="28">
        <v>44501</v>
      </c>
      <c r="B11363" s="27" t="s">
        <v>200</v>
      </c>
      <c r="C11363" s="27" t="s">
        <v>54</v>
      </c>
      <c r="D11363" s="27" t="s">
        <v>7</v>
      </c>
      <c r="E11363" s="27" t="s">
        <v>38</v>
      </c>
      <c r="F11363" s="29"/>
      <c r="G11363" s="30">
        <f t="shared" si="204"/>
        <v>15.229166666666666</v>
      </c>
    </row>
    <row r="11364" spans="1:7" hidden="1" x14ac:dyDescent="0.25">
      <c r="A11364" s="28">
        <v>44501</v>
      </c>
      <c r="B11364" s="27" t="s">
        <v>200</v>
      </c>
      <c r="C11364" s="27" t="s">
        <v>54</v>
      </c>
      <c r="D11364" s="27" t="s">
        <v>7</v>
      </c>
      <c r="E11364" s="27" t="s">
        <v>23</v>
      </c>
      <c r="F11364" s="29"/>
      <c r="G11364" s="30">
        <f t="shared" si="204"/>
        <v>15.229166666666666</v>
      </c>
    </row>
    <row r="11365" spans="1:7" hidden="1" x14ac:dyDescent="0.25">
      <c r="A11365" s="28">
        <v>44501</v>
      </c>
      <c r="B11365" s="27" t="s">
        <v>200</v>
      </c>
      <c r="C11365" s="27" t="s">
        <v>54</v>
      </c>
      <c r="D11365" s="27" t="s">
        <v>7</v>
      </c>
      <c r="E11365" s="27" t="s">
        <v>40</v>
      </c>
      <c r="F11365" s="29"/>
      <c r="G11365" s="30">
        <f t="shared" si="204"/>
        <v>15.229166666666666</v>
      </c>
    </row>
    <row r="11366" spans="1:7" hidden="1" x14ac:dyDescent="0.25">
      <c r="A11366" s="28">
        <v>44501</v>
      </c>
      <c r="B11366" s="27" t="s">
        <v>200</v>
      </c>
      <c r="C11366" s="27" t="s">
        <v>54</v>
      </c>
      <c r="D11366" s="27" t="s">
        <v>7</v>
      </c>
      <c r="E11366" s="27" t="s">
        <v>42</v>
      </c>
      <c r="F11366" s="29"/>
      <c r="G11366" s="30">
        <f t="shared" si="204"/>
        <v>15.229166666666666</v>
      </c>
    </row>
    <row r="11367" spans="1:7" hidden="1" x14ac:dyDescent="0.25">
      <c r="A11367" s="28">
        <v>44501</v>
      </c>
      <c r="B11367" s="27" t="s">
        <v>200</v>
      </c>
      <c r="C11367" s="27" t="s">
        <v>54</v>
      </c>
      <c r="D11367" s="27" t="s">
        <v>7</v>
      </c>
      <c r="E11367" s="27" t="s">
        <v>43</v>
      </c>
      <c r="F11367" s="29"/>
      <c r="G11367" s="30">
        <f t="shared" si="204"/>
        <v>15.229166666666666</v>
      </c>
    </row>
    <row r="11368" spans="1:7" hidden="1" x14ac:dyDescent="0.25">
      <c r="A11368" s="28">
        <v>44501</v>
      </c>
      <c r="B11368" s="27" t="s">
        <v>200</v>
      </c>
      <c r="C11368" s="27" t="s">
        <v>54</v>
      </c>
      <c r="D11368" s="27" t="s">
        <v>7</v>
      </c>
      <c r="E11368" s="27" t="s">
        <v>72</v>
      </c>
      <c r="F11368" s="29"/>
      <c r="G11368" s="30">
        <f t="shared" si="204"/>
        <v>15.229166666666666</v>
      </c>
    </row>
    <row r="11369" spans="1:7" hidden="1" x14ac:dyDescent="0.25">
      <c r="A11369" s="28">
        <v>44501</v>
      </c>
      <c r="B11369" s="27" t="s">
        <v>200</v>
      </c>
      <c r="C11369" s="27" t="s">
        <v>55</v>
      </c>
      <c r="D11369" s="27" t="s">
        <v>6</v>
      </c>
      <c r="E11369" s="27" t="s">
        <v>8</v>
      </c>
      <c r="F11369" s="29"/>
      <c r="G11369" s="30">
        <f t="shared" ref="G11369:G11389" si="205">36665.6125777778/21</f>
        <v>1745.9815513227525</v>
      </c>
    </row>
    <row r="11370" spans="1:7" hidden="1" x14ac:dyDescent="0.25">
      <c r="A11370" s="28">
        <v>44501</v>
      </c>
      <c r="B11370" s="27" t="s">
        <v>200</v>
      </c>
      <c r="C11370" s="27" t="s">
        <v>55</v>
      </c>
      <c r="D11370" s="27" t="s">
        <v>6</v>
      </c>
      <c r="E11370" s="27" t="s">
        <v>9</v>
      </c>
      <c r="F11370" s="29"/>
      <c r="G11370" s="30">
        <f t="shared" si="205"/>
        <v>1745.9815513227525</v>
      </c>
    </row>
    <row r="11371" spans="1:7" hidden="1" x14ac:dyDescent="0.25">
      <c r="A11371" s="28">
        <v>44501</v>
      </c>
      <c r="B11371" s="27" t="s">
        <v>200</v>
      </c>
      <c r="C11371" s="27" t="s">
        <v>55</v>
      </c>
      <c r="D11371" s="27" t="s">
        <v>6</v>
      </c>
      <c r="E11371" s="27" t="s">
        <v>22</v>
      </c>
      <c r="F11371" s="29"/>
      <c r="G11371" s="30">
        <f t="shared" si="205"/>
        <v>1745.9815513227525</v>
      </c>
    </row>
    <row r="11372" spans="1:7" hidden="1" x14ac:dyDescent="0.25">
      <c r="A11372" s="28">
        <v>44501</v>
      </c>
      <c r="B11372" s="27" t="s">
        <v>200</v>
      </c>
      <c r="C11372" s="27" t="s">
        <v>55</v>
      </c>
      <c r="D11372" s="27" t="s">
        <v>6</v>
      </c>
      <c r="E11372" s="27" t="s">
        <v>39</v>
      </c>
      <c r="F11372" s="29"/>
      <c r="G11372" s="30">
        <f t="shared" si="205"/>
        <v>1745.9815513227525</v>
      </c>
    </row>
    <row r="11373" spans="1:7" hidden="1" x14ac:dyDescent="0.25">
      <c r="A11373" s="28">
        <v>44501</v>
      </c>
      <c r="B11373" s="27" t="s">
        <v>200</v>
      </c>
      <c r="C11373" s="27" t="s">
        <v>55</v>
      </c>
      <c r="D11373" s="27" t="s">
        <v>6</v>
      </c>
      <c r="E11373" s="27" t="s">
        <v>64</v>
      </c>
      <c r="F11373" s="29"/>
      <c r="G11373" s="30">
        <f t="shared" si="205"/>
        <v>1745.9815513227525</v>
      </c>
    </row>
    <row r="11374" spans="1:7" hidden="1" x14ac:dyDescent="0.25">
      <c r="A11374" s="28">
        <v>44501</v>
      </c>
      <c r="B11374" s="27" t="s">
        <v>200</v>
      </c>
      <c r="C11374" s="27" t="s">
        <v>55</v>
      </c>
      <c r="D11374" s="27" t="s">
        <v>6</v>
      </c>
      <c r="E11374" s="27" t="s">
        <v>21</v>
      </c>
      <c r="F11374" s="29"/>
      <c r="G11374" s="30">
        <f t="shared" si="205"/>
        <v>1745.9815513227525</v>
      </c>
    </row>
    <row r="11375" spans="1:7" hidden="1" x14ac:dyDescent="0.25">
      <c r="A11375" s="28">
        <v>44501</v>
      </c>
      <c r="B11375" s="27" t="s">
        <v>200</v>
      </c>
      <c r="C11375" s="27" t="s">
        <v>55</v>
      </c>
      <c r="D11375" s="27" t="s">
        <v>6</v>
      </c>
      <c r="E11375" s="27" t="s">
        <v>41</v>
      </c>
      <c r="F11375" s="29"/>
      <c r="G11375" s="30">
        <f t="shared" si="205"/>
        <v>1745.9815513227525</v>
      </c>
    </row>
    <row r="11376" spans="1:7" hidden="1" x14ac:dyDescent="0.25">
      <c r="A11376" s="28">
        <v>44501</v>
      </c>
      <c r="B11376" s="27" t="s">
        <v>200</v>
      </c>
      <c r="C11376" s="27" t="s">
        <v>55</v>
      </c>
      <c r="D11376" s="27" t="s">
        <v>6</v>
      </c>
      <c r="E11376" s="27" t="s">
        <v>10</v>
      </c>
      <c r="F11376" s="29"/>
      <c r="G11376" s="30">
        <f t="shared" si="205"/>
        <v>1745.9815513227525</v>
      </c>
    </row>
    <row r="11377" spans="1:7" hidden="1" x14ac:dyDescent="0.25">
      <c r="A11377" s="28">
        <v>44501</v>
      </c>
      <c r="B11377" s="27" t="s">
        <v>200</v>
      </c>
      <c r="C11377" s="27" t="s">
        <v>55</v>
      </c>
      <c r="D11377" s="27" t="s">
        <v>6</v>
      </c>
      <c r="E11377" s="27" t="s">
        <v>11</v>
      </c>
      <c r="F11377" s="29"/>
      <c r="G11377" s="30">
        <f t="shared" si="205"/>
        <v>1745.9815513227525</v>
      </c>
    </row>
    <row r="11378" spans="1:7" hidden="1" x14ac:dyDescent="0.25">
      <c r="A11378" s="28">
        <v>44501</v>
      </c>
      <c r="B11378" s="27" t="s">
        <v>200</v>
      </c>
      <c r="C11378" s="27" t="s">
        <v>55</v>
      </c>
      <c r="D11378" s="27" t="s">
        <v>6</v>
      </c>
      <c r="E11378" s="27" t="s">
        <v>12</v>
      </c>
      <c r="F11378" s="29"/>
      <c r="G11378" s="30">
        <f t="shared" si="205"/>
        <v>1745.9815513227525</v>
      </c>
    </row>
    <row r="11379" spans="1:7" hidden="1" x14ac:dyDescent="0.25">
      <c r="A11379" s="28">
        <v>44501</v>
      </c>
      <c r="B11379" s="27" t="s">
        <v>200</v>
      </c>
      <c r="C11379" s="27" t="s">
        <v>55</v>
      </c>
      <c r="D11379" s="27" t="s">
        <v>6</v>
      </c>
      <c r="E11379" s="27" t="s">
        <v>13</v>
      </c>
      <c r="F11379" s="29"/>
      <c r="G11379" s="30">
        <f t="shared" si="205"/>
        <v>1745.9815513227525</v>
      </c>
    </row>
    <row r="11380" spans="1:7" hidden="1" x14ac:dyDescent="0.25">
      <c r="A11380" s="28">
        <v>44501</v>
      </c>
      <c r="B11380" s="27" t="s">
        <v>200</v>
      </c>
      <c r="C11380" s="27" t="s">
        <v>55</v>
      </c>
      <c r="D11380" s="27" t="s">
        <v>6</v>
      </c>
      <c r="E11380" s="27" t="s">
        <v>14</v>
      </c>
      <c r="F11380" s="29"/>
      <c r="G11380" s="30">
        <f t="shared" si="205"/>
        <v>1745.9815513227525</v>
      </c>
    </row>
    <row r="11381" spans="1:7" hidden="1" x14ac:dyDescent="0.25">
      <c r="A11381" s="28">
        <v>44501</v>
      </c>
      <c r="B11381" s="27" t="s">
        <v>200</v>
      </c>
      <c r="C11381" s="27" t="s">
        <v>55</v>
      </c>
      <c r="D11381" s="27" t="s">
        <v>6</v>
      </c>
      <c r="E11381" s="27" t="s">
        <v>15</v>
      </c>
      <c r="F11381" s="29"/>
      <c r="G11381" s="30">
        <f t="shared" si="205"/>
        <v>1745.9815513227525</v>
      </c>
    </row>
    <row r="11382" spans="1:7" hidden="1" x14ac:dyDescent="0.25">
      <c r="A11382" s="28">
        <v>44501</v>
      </c>
      <c r="B11382" s="27" t="s">
        <v>200</v>
      </c>
      <c r="C11382" s="27" t="s">
        <v>55</v>
      </c>
      <c r="D11382" s="27" t="s">
        <v>6</v>
      </c>
      <c r="E11382" s="27" t="s">
        <v>16</v>
      </c>
      <c r="F11382" s="29"/>
      <c r="G11382" s="30">
        <f t="shared" si="205"/>
        <v>1745.9815513227525</v>
      </c>
    </row>
    <row r="11383" spans="1:7" hidden="1" x14ac:dyDescent="0.25">
      <c r="A11383" s="28">
        <v>44501</v>
      </c>
      <c r="B11383" s="27" t="s">
        <v>200</v>
      </c>
      <c r="C11383" s="27" t="s">
        <v>55</v>
      </c>
      <c r="D11383" s="27" t="s">
        <v>6</v>
      </c>
      <c r="E11383" s="27" t="s">
        <v>17</v>
      </c>
      <c r="F11383" s="29"/>
      <c r="G11383" s="30">
        <f t="shared" si="205"/>
        <v>1745.9815513227525</v>
      </c>
    </row>
    <row r="11384" spans="1:7" hidden="1" x14ac:dyDescent="0.25">
      <c r="A11384" s="28">
        <v>44501</v>
      </c>
      <c r="B11384" s="27" t="s">
        <v>200</v>
      </c>
      <c r="C11384" s="27" t="s">
        <v>55</v>
      </c>
      <c r="D11384" s="27" t="s">
        <v>6</v>
      </c>
      <c r="E11384" s="27" t="s">
        <v>18</v>
      </c>
      <c r="F11384" s="29"/>
      <c r="G11384" s="30">
        <f t="shared" si="205"/>
        <v>1745.9815513227525</v>
      </c>
    </row>
    <row r="11385" spans="1:7" hidden="1" x14ac:dyDescent="0.25">
      <c r="A11385" s="28">
        <v>44501</v>
      </c>
      <c r="B11385" s="27" t="s">
        <v>200</v>
      </c>
      <c r="C11385" s="27" t="s">
        <v>55</v>
      </c>
      <c r="D11385" s="27" t="s">
        <v>6</v>
      </c>
      <c r="E11385" s="27" t="s">
        <v>19</v>
      </c>
      <c r="F11385" s="29"/>
      <c r="G11385" s="30">
        <f t="shared" si="205"/>
        <v>1745.9815513227525</v>
      </c>
    </row>
    <row r="11386" spans="1:7" hidden="1" x14ac:dyDescent="0.25">
      <c r="A11386" s="28">
        <v>44501</v>
      </c>
      <c r="B11386" s="27" t="s">
        <v>200</v>
      </c>
      <c r="C11386" s="27" t="s">
        <v>55</v>
      </c>
      <c r="D11386" s="27" t="s">
        <v>6</v>
      </c>
      <c r="E11386" s="27" t="s">
        <v>20</v>
      </c>
      <c r="F11386" s="29"/>
      <c r="G11386" s="30">
        <f t="shared" si="205"/>
        <v>1745.9815513227525</v>
      </c>
    </row>
    <row r="11387" spans="1:7" hidden="1" x14ac:dyDescent="0.25">
      <c r="A11387" s="28">
        <v>44501</v>
      </c>
      <c r="B11387" s="27" t="s">
        <v>200</v>
      </c>
      <c r="C11387" s="27" t="s">
        <v>55</v>
      </c>
      <c r="D11387" s="27" t="s">
        <v>6</v>
      </c>
      <c r="E11387" s="27" t="s">
        <v>38</v>
      </c>
      <c r="F11387" s="29"/>
      <c r="G11387" s="30">
        <f t="shared" si="205"/>
        <v>1745.9815513227525</v>
      </c>
    </row>
    <row r="11388" spans="1:7" hidden="1" x14ac:dyDescent="0.25">
      <c r="A11388" s="28">
        <v>44501</v>
      </c>
      <c r="B11388" s="27" t="s">
        <v>200</v>
      </c>
      <c r="C11388" s="27" t="s">
        <v>55</v>
      </c>
      <c r="D11388" s="27" t="s">
        <v>6</v>
      </c>
      <c r="E11388" s="27" t="s">
        <v>23</v>
      </c>
      <c r="F11388" s="29"/>
      <c r="G11388" s="30">
        <f t="shared" si="205"/>
        <v>1745.9815513227525</v>
      </c>
    </row>
    <row r="11389" spans="1:7" hidden="1" x14ac:dyDescent="0.25">
      <c r="A11389" s="28">
        <v>44501</v>
      </c>
      <c r="B11389" s="27" t="s">
        <v>200</v>
      </c>
      <c r="C11389" s="27" t="s">
        <v>55</v>
      </c>
      <c r="D11389" s="27" t="s">
        <v>6</v>
      </c>
      <c r="E11389" s="27" t="s">
        <v>40</v>
      </c>
      <c r="F11389" s="29"/>
      <c r="G11389" s="30">
        <f t="shared" si="205"/>
        <v>1745.9815513227525</v>
      </c>
    </row>
    <row r="11390" spans="1:7" hidden="1" x14ac:dyDescent="0.25">
      <c r="A11390" s="28">
        <v>44501</v>
      </c>
      <c r="B11390" s="27" t="s">
        <v>200</v>
      </c>
      <c r="C11390" s="27" t="s">
        <v>183</v>
      </c>
      <c r="D11390" s="27" t="s">
        <v>7</v>
      </c>
      <c r="E11390" s="27" t="s">
        <v>8</v>
      </c>
      <c r="F11390" s="29"/>
      <c r="G11390" s="30">
        <f t="shared" ref="G11390:G11413" si="206">6227.71/24</f>
        <v>259.48791666666665</v>
      </c>
    </row>
    <row r="11391" spans="1:7" hidden="1" x14ac:dyDescent="0.25">
      <c r="A11391" s="28">
        <v>44501</v>
      </c>
      <c r="B11391" s="27" t="s">
        <v>200</v>
      </c>
      <c r="C11391" s="27" t="s">
        <v>183</v>
      </c>
      <c r="D11391" s="27" t="s">
        <v>7</v>
      </c>
      <c r="E11391" s="27" t="s">
        <v>9</v>
      </c>
      <c r="F11391" s="29"/>
      <c r="G11391" s="30">
        <f t="shared" si="206"/>
        <v>259.48791666666665</v>
      </c>
    </row>
    <row r="11392" spans="1:7" hidden="1" x14ac:dyDescent="0.25">
      <c r="A11392" s="28">
        <v>44501</v>
      </c>
      <c r="B11392" s="27" t="s">
        <v>200</v>
      </c>
      <c r="C11392" s="27" t="s">
        <v>183</v>
      </c>
      <c r="D11392" s="27" t="s">
        <v>7</v>
      </c>
      <c r="E11392" s="27" t="s">
        <v>22</v>
      </c>
      <c r="F11392" s="29"/>
      <c r="G11392" s="30">
        <f t="shared" si="206"/>
        <v>259.48791666666665</v>
      </c>
    </row>
    <row r="11393" spans="1:7" hidden="1" x14ac:dyDescent="0.25">
      <c r="A11393" s="28">
        <v>44501</v>
      </c>
      <c r="B11393" s="27" t="s">
        <v>200</v>
      </c>
      <c r="C11393" s="27" t="s">
        <v>183</v>
      </c>
      <c r="D11393" s="27" t="s">
        <v>7</v>
      </c>
      <c r="E11393" s="27" t="s">
        <v>39</v>
      </c>
      <c r="F11393" s="29"/>
      <c r="G11393" s="30">
        <f t="shared" si="206"/>
        <v>259.48791666666665</v>
      </c>
    </row>
    <row r="11394" spans="1:7" hidden="1" x14ac:dyDescent="0.25">
      <c r="A11394" s="28">
        <v>44501</v>
      </c>
      <c r="B11394" s="27" t="s">
        <v>200</v>
      </c>
      <c r="C11394" s="27" t="s">
        <v>183</v>
      </c>
      <c r="D11394" s="27" t="s">
        <v>7</v>
      </c>
      <c r="E11394" s="27" t="s">
        <v>64</v>
      </c>
      <c r="F11394" s="29"/>
      <c r="G11394" s="30">
        <f t="shared" si="206"/>
        <v>259.48791666666665</v>
      </c>
    </row>
    <row r="11395" spans="1:7" hidden="1" x14ac:dyDescent="0.25">
      <c r="A11395" s="28">
        <v>44501</v>
      </c>
      <c r="B11395" s="27" t="s">
        <v>200</v>
      </c>
      <c r="C11395" s="27" t="s">
        <v>183</v>
      </c>
      <c r="D11395" s="27" t="s">
        <v>7</v>
      </c>
      <c r="E11395" s="27" t="s">
        <v>21</v>
      </c>
      <c r="F11395" s="29"/>
      <c r="G11395" s="30">
        <f t="shared" si="206"/>
        <v>259.48791666666665</v>
      </c>
    </row>
    <row r="11396" spans="1:7" hidden="1" x14ac:dyDescent="0.25">
      <c r="A11396" s="28">
        <v>44501</v>
      </c>
      <c r="B11396" s="27" t="s">
        <v>200</v>
      </c>
      <c r="C11396" s="27" t="s">
        <v>183</v>
      </c>
      <c r="D11396" s="27" t="s">
        <v>7</v>
      </c>
      <c r="E11396" s="27" t="s">
        <v>41</v>
      </c>
      <c r="F11396" s="29"/>
      <c r="G11396" s="30">
        <f t="shared" si="206"/>
        <v>259.48791666666665</v>
      </c>
    </row>
    <row r="11397" spans="1:7" hidden="1" x14ac:dyDescent="0.25">
      <c r="A11397" s="28">
        <v>44501</v>
      </c>
      <c r="B11397" s="27" t="s">
        <v>200</v>
      </c>
      <c r="C11397" s="27" t="s">
        <v>183</v>
      </c>
      <c r="D11397" s="27" t="s">
        <v>7</v>
      </c>
      <c r="E11397" s="27" t="s">
        <v>10</v>
      </c>
      <c r="F11397" s="29"/>
      <c r="G11397" s="30">
        <f t="shared" si="206"/>
        <v>259.48791666666665</v>
      </c>
    </row>
    <row r="11398" spans="1:7" hidden="1" x14ac:dyDescent="0.25">
      <c r="A11398" s="28">
        <v>44501</v>
      </c>
      <c r="B11398" s="27" t="s">
        <v>200</v>
      </c>
      <c r="C11398" s="27" t="s">
        <v>183</v>
      </c>
      <c r="D11398" s="27" t="s">
        <v>7</v>
      </c>
      <c r="E11398" s="27" t="s">
        <v>11</v>
      </c>
      <c r="F11398" s="29"/>
      <c r="G11398" s="30">
        <f t="shared" si="206"/>
        <v>259.48791666666665</v>
      </c>
    </row>
    <row r="11399" spans="1:7" hidden="1" x14ac:dyDescent="0.25">
      <c r="A11399" s="28">
        <v>44501</v>
      </c>
      <c r="B11399" s="27" t="s">
        <v>200</v>
      </c>
      <c r="C11399" s="27" t="s">
        <v>183</v>
      </c>
      <c r="D11399" s="27" t="s">
        <v>7</v>
      </c>
      <c r="E11399" s="27" t="s">
        <v>12</v>
      </c>
      <c r="F11399" s="29"/>
      <c r="G11399" s="30">
        <f t="shared" si="206"/>
        <v>259.48791666666665</v>
      </c>
    </row>
    <row r="11400" spans="1:7" hidden="1" x14ac:dyDescent="0.25">
      <c r="A11400" s="28">
        <v>44501</v>
      </c>
      <c r="B11400" s="27" t="s">
        <v>200</v>
      </c>
      <c r="C11400" s="27" t="s">
        <v>183</v>
      </c>
      <c r="D11400" s="27" t="s">
        <v>7</v>
      </c>
      <c r="E11400" s="27" t="s">
        <v>13</v>
      </c>
      <c r="F11400" s="29"/>
      <c r="G11400" s="30">
        <f t="shared" si="206"/>
        <v>259.48791666666665</v>
      </c>
    </row>
    <row r="11401" spans="1:7" hidden="1" x14ac:dyDescent="0.25">
      <c r="A11401" s="28">
        <v>44501</v>
      </c>
      <c r="B11401" s="27" t="s">
        <v>200</v>
      </c>
      <c r="C11401" s="27" t="s">
        <v>183</v>
      </c>
      <c r="D11401" s="27" t="s">
        <v>7</v>
      </c>
      <c r="E11401" s="27" t="s">
        <v>14</v>
      </c>
      <c r="F11401" s="29"/>
      <c r="G11401" s="30">
        <f t="shared" si="206"/>
        <v>259.48791666666665</v>
      </c>
    </row>
    <row r="11402" spans="1:7" hidden="1" x14ac:dyDescent="0.25">
      <c r="A11402" s="28">
        <v>44501</v>
      </c>
      <c r="B11402" s="27" t="s">
        <v>200</v>
      </c>
      <c r="C11402" s="27" t="s">
        <v>183</v>
      </c>
      <c r="D11402" s="27" t="s">
        <v>7</v>
      </c>
      <c r="E11402" s="27" t="s">
        <v>15</v>
      </c>
      <c r="F11402" s="29"/>
      <c r="G11402" s="30">
        <f t="shared" si="206"/>
        <v>259.48791666666665</v>
      </c>
    </row>
    <row r="11403" spans="1:7" hidden="1" x14ac:dyDescent="0.25">
      <c r="A11403" s="28">
        <v>44501</v>
      </c>
      <c r="B11403" s="27" t="s">
        <v>200</v>
      </c>
      <c r="C11403" s="27" t="s">
        <v>183</v>
      </c>
      <c r="D11403" s="27" t="s">
        <v>7</v>
      </c>
      <c r="E11403" s="27" t="s">
        <v>16</v>
      </c>
      <c r="F11403" s="29"/>
      <c r="G11403" s="30">
        <f t="shared" si="206"/>
        <v>259.48791666666665</v>
      </c>
    </row>
    <row r="11404" spans="1:7" hidden="1" x14ac:dyDescent="0.25">
      <c r="A11404" s="28">
        <v>44501</v>
      </c>
      <c r="B11404" s="27" t="s">
        <v>200</v>
      </c>
      <c r="C11404" s="27" t="s">
        <v>183</v>
      </c>
      <c r="D11404" s="27" t="s">
        <v>7</v>
      </c>
      <c r="E11404" s="27" t="s">
        <v>17</v>
      </c>
      <c r="F11404" s="29"/>
      <c r="G11404" s="30">
        <f t="shared" si="206"/>
        <v>259.48791666666665</v>
      </c>
    </row>
    <row r="11405" spans="1:7" hidden="1" x14ac:dyDescent="0.25">
      <c r="A11405" s="28">
        <v>44501</v>
      </c>
      <c r="B11405" s="27" t="s">
        <v>200</v>
      </c>
      <c r="C11405" s="27" t="s">
        <v>183</v>
      </c>
      <c r="D11405" s="27" t="s">
        <v>7</v>
      </c>
      <c r="E11405" s="27" t="s">
        <v>18</v>
      </c>
      <c r="F11405" s="29"/>
      <c r="G11405" s="30">
        <f t="shared" si="206"/>
        <v>259.48791666666665</v>
      </c>
    </row>
    <row r="11406" spans="1:7" hidden="1" x14ac:dyDescent="0.25">
      <c r="A11406" s="28">
        <v>44501</v>
      </c>
      <c r="B11406" s="27" t="s">
        <v>200</v>
      </c>
      <c r="C11406" s="27" t="s">
        <v>183</v>
      </c>
      <c r="D11406" s="27" t="s">
        <v>7</v>
      </c>
      <c r="E11406" s="27" t="s">
        <v>19</v>
      </c>
      <c r="F11406" s="29"/>
      <c r="G11406" s="30">
        <f t="shared" si="206"/>
        <v>259.48791666666665</v>
      </c>
    </row>
    <row r="11407" spans="1:7" hidden="1" x14ac:dyDescent="0.25">
      <c r="A11407" s="28">
        <v>44501</v>
      </c>
      <c r="B11407" s="27" t="s">
        <v>200</v>
      </c>
      <c r="C11407" s="27" t="s">
        <v>183</v>
      </c>
      <c r="D11407" s="27" t="s">
        <v>7</v>
      </c>
      <c r="E11407" s="27" t="s">
        <v>20</v>
      </c>
      <c r="F11407" s="29"/>
      <c r="G11407" s="30">
        <f t="shared" si="206"/>
        <v>259.48791666666665</v>
      </c>
    </row>
    <row r="11408" spans="1:7" hidden="1" x14ac:dyDescent="0.25">
      <c r="A11408" s="28">
        <v>44501</v>
      </c>
      <c r="B11408" s="27" t="s">
        <v>200</v>
      </c>
      <c r="C11408" s="27" t="s">
        <v>183</v>
      </c>
      <c r="D11408" s="27" t="s">
        <v>7</v>
      </c>
      <c r="E11408" s="27" t="s">
        <v>38</v>
      </c>
      <c r="F11408" s="29"/>
      <c r="G11408" s="30">
        <f t="shared" si="206"/>
        <v>259.48791666666665</v>
      </c>
    </row>
    <row r="11409" spans="1:7" hidden="1" x14ac:dyDescent="0.25">
      <c r="A11409" s="28">
        <v>44501</v>
      </c>
      <c r="B11409" s="27" t="s">
        <v>200</v>
      </c>
      <c r="C11409" s="27" t="s">
        <v>183</v>
      </c>
      <c r="D11409" s="27" t="s">
        <v>7</v>
      </c>
      <c r="E11409" s="27" t="s">
        <v>23</v>
      </c>
      <c r="F11409" s="29"/>
      <c r="G11409" s="30">
        <f t="shared" si="206"/>
        <v>259.48791666666665</v>
      </c>
    </row>
    <row r="11410" spans="1:7" hidden="1" x14ac:dyDescent="0.25">
      <c r="A11410" s="28">
        <v>44501</v>
      </c>
      <c r="B11410" s="27" t="s">
        <v>200</v>
      </c>
      <c r="C11410" s="27" t="s">
        <v>183</v>
      </c>
      <c r="D11410" s="27" t="s">
        <v>7</v>
      </c>
      <c r="E11410" s="27" t="s">
        <v>40</v>
      </c>
      <c r="F11410" s="29"/>
      <c r="G11410" s="30">
        <f t="shared" si="206"/>
        <v>259.48791666666665</v>
      </c>
    </row>
    <row r="11411" spans="1:7" hidden="1" x14ac:dyDescent="0.25">
      <c r="A11411" s="28">
        <v>44501</v>
      </c>
      <c r="B11411" s="27" t="s">
        <v>200</v>
      </c>
      <c r="C11411" s="27" t="s">
        <v>183</v>
      </c>
      <c r="D11411" s="27" t="s">
        <v>7</v>
      </c>
      <c r="E11411" s="27" t="s">
        <v>42</v>
      </c>
      <c r="F11411" s="29"/>
      <c r="G11411" s="30">
        <f t="shared" si="206"/>
        <v>259.48791666666665</v>
      </c>
    </row>
    <row r="11412" spans="1:7" hidden="1" x14ac:dyDescent="0.25">
      <c r="A11412" s="28">
        <v>44501</v>
      </c>
      <c r="B11412" s="27" t="s">
        <v>200</v>
      </c>
      <c r="C11412" s="27" t="s">
        <v>183</v>
      </c>
      <c r="D11412" s="27" t="s">
        <v>7</v>
      </c>
      <c r="E11412" s="27" t="s">
        <v>43</v>
      </c>
      <c r="F11412" s="29"/>
      <c r="G11412" s="30">
        <f t="shared" si="206"/>
        <v>259.48791666666665</v>
      </c>
    </row>
    <row r="11413" spans="1:7" hidden="1" x14ac:dyDescent="0.25">
      <c r="A11413" s="28">
        <v>44501</v>
      </c>
      <c r="B11413" s="27" t="s">
        <v>200</v>
      </c>
      <c r="C11413" s="27" t="s">
        <v>183</v>
      </c>
      <c r="D11413" s="27" t="s">
        <v>7</v>
      </c>
      <c r="E11413" s="27" t="s">
        <v>72</v>
      </c>
      <c r="F11413" s="29"/>
      <c r="G11413" s="30">
        <f t="shared" si="206"/>
        <v>259.48791666666665</v>
      </c>
    </row>
    <row r="11414" spans="1:7" hidden="1" x14ac:dyDescent="0.25">
      <c r="A11414" s="28">
        <v>44501</v>
      </c>
      <c r="B11414" s="27" t="s">
        <v>200</v>
      </c>
      <c r="C11414" s="27" t="s">
        <v>56</v>
      </c>
      <c r="D11414" s="27" t="s">
        <v>6</v>
      </c>
      <c r="E11414" s="27" t="s">
        <v>8</v>
      </c>
      <c r="F11414" s="29"/>
      <c r="G11414" s="30">
        <f t="shared" ref="G11414:G11434" si="207">48312.1026666667/21</f>
        <v>2300.5763174603189</v>
      </c>
    </row>
    <row r="11415" spans="1:7" hidden="1" x14ac:dyDescent="0.25">
      <c r="A11415" s="28">
        <v>44501</v>
      </c>
      <c r="B11415" s="27" t="s">
        <v>200</v>
      </c>
      <c r="C11415" s="27" t="s">
        <v>56</v>
      </c>
      <c r="D11415" s="27" t="s">
        <v>6</v>
      </c>
      <c r="E11415" s="27" t="s">
        <v>9</v>
      </c>
      <c r="F11415" s="29"/>
      <c r="G11415" s="30">
        <f t="shared" si="207"/>
        <v>2300.5763174603189</v>
      </c>
    </row>
    <row r="11416" spans="1:7" hidden="1" x14ac:dyDescent="0.25">
      <c r="A11416" s="28">
        <v>44501</v>
      </c>
      <c r="B11416" s="27" t="s">
        <v>200</v>
      </c>
      <c r="C11416" s="27" t="s">
        <v>56</v>
      </c>
      <c r="D11416" s="27" t="s">
        <v>6</v>
      </c>
      <c r="E11416" s="27" t="s">
        <v>22</v>
      </c>
      <c r="F11416" s="29"/>
      <c r="G11416" s="30">
        <f t="shared" si="207"/>
        <v>2300.5763174603189</v>
      </c>
    </row>
    <row r="11417" spans="1:7" hidden="1" x14ac:dyDescent="0.25">
      <c r="A11417" s="28">
        <v>44501</v>
      </c>
      <c r="B11417" s="27" t="s">
        <v>200</v>
      </c>
      <c r="C11417" s="27" t="s">
        <v>56</v>
      </c>
      <c r="D11417" s="27" t="s">
        <v>6</v>
      </c>
      <c r="E11417" s="27" t="s">
        <v>39</v>
      </c>
      <c r="F11417" s="29"/>
      <c r="G11417" s="30">
        <f t="shared" si="207"/>
        <v>2300.5763174603189</v>
      </c>
    </row>
    <row r="11418" spans="1:7" hidden="1" x14ac:dyDescent="0.25">
      <c r="A11418" s="28">
        <v>44501</v>
      </c>
      <c r="B11418" s="27" t="s">
        <v>200</v>
      </c>
      <c r="C11418" s="27" t="s">
        <v>56</v>
      </c>
      <c r="D11418" s="27" t="s">
        <v>6</v>
      </c>
      <c r="E11418" s="27" t="s">
        <v>64</v>
      </c>
      <c r="F11418" s="29"/>
      <c r="G11418" s="30">
        <f t="shared" si="207"/>
        <v>2300.5763174603189</v>
      </c>
    </row>
    <row r="11419" spans="1:7" hidden="1" x14ac:dyDescent="0.25">
      <c r="A11419" s="28">
        <v>44501</v>
      </c>
      <c r="B11419" s="27" t="s">
        <v>200</v>
      </c>
      <c r="C11419" s="27" t="s">
        <v>56</v>
      </c>
      <c r="D11419" s="27" t="s">
        <v>6</v>
      </c>
      <c r="E11419" s="27" t="s">
        <v>21</v>
      </c>
      <c r="F11419" s="29"/>
      <c r="G11419" s="30">
        <f t="shared" si="207"/>
        <v>2300.5763174603189</v>
      </c>
    </row>
    <row r="11420" spans="1:7" hidden="1" x14ac:dyDescent="0.25">
      <c r="A11420" s="28">
        <v>44501</v>
      </c>
      <c r="B11420" s="27" t="s">
        <v>200</v>
      </c>
      <c r="C11420" s="27" t="s">
        <v>56</v>
      </c>
      <c r="D11420" s="27" t="s">
        <v>6</v>
      </c>
      <c r="E11420" s="27" t="s">
        <v>41</v>
      </c>
      <c r="F11420" s="29"/>
      <c r="G11420" s="30">
        <f t="shared" si="207"/>
        <v>2300.5763174603189</v>
      </c>
    </row>
    <row r="11421" spans="1:7" hidden="1" x14ac:dyDescent="0.25">
      <c r="A11421" s="28">
        <v>44501</v>
      </c>
      <c r="B11421" s="27" t="s">
        <v>200</v>
      </c>
      <c r="C11421" s="27" t="s">
        <v>56</v>
      </c>
      <c r="D11421" s="27" t="s">
        <v>6</v>
      </c>
      <c r="E11421" s="27" t="s">
        <v>10</v>
      </c>
      <c r="F11421" s="29"/>
      <c r="G11421" s="30">
        <f t="shared" si="207"/>
        <v>2300.5763174603189</v>
      </c>
    </row>
    <row r="11422" spans="1:7" hidden="1" x14ac:dyDescent="0.25">
      <c r="A11422" s="28">
        <v>44501</v>
      </c>
      <c r="B11422" s="27" t="s">
        <v>200</v>
      </c>
      <c r="C11422" s="27" t="s">
        <v>56</v>
      </c>
      <c r="D11422" s="27" t="s">
        <v>6</v>
      </c>
      <c r="E11422" s="27" t="s">
        <v>11</v>
      </c>
      <c r="F11422" s="29"/>
      <c r="G11422" s="30">
        <f t="shared" si="207"/>
        <v>2300.5763174603189</v>
      </c>
    </row>
    <row r="11423" spans="1:7" hidden="1" x14ac:dyDescent="0.25">
      <c r="A11423" s="28">
        <v>44501</v>
      </c>
      <c r="B11423" s="27" t="s">
        <v>200</v>
      </c>
      <c r="C11423" s="27" t="s">
        <v>56</v>
      </c>
      <c r="D11423" s="27" t="s">
        <v>6</v>
      </c>
      <c r="E11423" s="27" t="s">
        <v>12</v>
      </c>
      <c r="F11423" s="29"/>
      <c r="G11423" s="30">
        <f t="shared" si="207"/>
        <v>2300.5763174603189</v>
      </c>
    </row>
    <row r="11424" spans="1:7" hidden="1" x14ac:dyDescent="0.25">
      <c r="A11424" s="28">
        <v>44501</v>
      </c>
      <c r="B11424" s="27" t="s">
        <v>200</v>
      </c>
      <c r="C11424" s="27" t="s">
        <v>56</v>
      </c>
      <c r="D11424" s="27" t="s">
        <v>6</v>
      </c>
      <c r="E11424" s="27" t="s">
        <v>13</v>
      </c>
      <c r="F11424" s="29"/>
      <c r="G11424" s="30">
        <f t="shared" si="207"/>
        <v>2300.5763174603189</v>
      </c>
    </row>
    <row r="11425" spans="1:7" hidden="1" x14ac:dyDescent="0.25">
      <c r="A11425" s="28">
        <v>44501</v>
      </c>
      <c r="B11425" s="27" t="s">
        <v>200</v>
      </c>
      <c r="C11425" s="27" t="s">
        <v>56</v>
      </c>
      <c r="D11425" s="27" t="s">
        <v>6</v>
      </c>
      <c r="E11425" s="27" t="s">
        <v>14</v>
      </c>
      <c r="F11425" s="29"/>
      <c r="G11425" s="30">
        <f t="shared" si="207"/>
        <v>2300.5763174603189</v>
      </c>
    </row>
    <row r="11426" spans="1:7" hidden="1" x14ac:dyDescent="0.25">
      <c r="A11426" s="28">
        <v>44501</v>
      </c>
      <c r="B11426" s="27" t="s">
        <v>200</v>
      </c>
      <c r="C11426" s="27" t="s">
        <v>56</v>
      </c>
      <c r="D11426" s="27" t="s">
        <v>6</v>
      </c>
      <c r="E11426" s="27" t="s">
        <v>15</v>
      </c>
      <c r="F11426" s="29"/>
      <c r="G11426" s="30">
        <f t="shared" si="207"/>
        <v>2300.5763174603189</v>
      </c>
    </row>
    <row r="11427" spans="1:7" hidden="1" x14ac:dyDescent="0.25">
      <c r="A11427" s="28">
        <v>44501</v>
      </c>
      <c r="B11427" s="27" t="s">
        <v>200</v>
      </c>
      <c r="C11427" s="27" t="s">
        <v>56</v>
      </c>
      <c r="D11427" s="27" t="s">
        <v>6</v>
      </c>
      <c r="E11427" s="27" t="s">
        <v>16</v>
      </c>
      <c r="F11427" s="29"/>
      <c r="G11427" s="30">
        <f t="shared" si="207"/>
        <v>2300.5763174603189</v>
      </c>
    </row>
    <row r="11428" spans="1:7" hidden="1" x14ac:dyDescent="0.25">
      <c r="A11428" s="28">
        <v>44501</v>
      </c>
      <c r="B11428" s="27" t="s">
        <v>200</v>
      </c>
      <c r="C11428" s="27" t="s">
        <v>56</v>
      </c>
      <c r="D11428" s="27" t="s">
        <v>6</v>
      </c>
      <c r="E11428" s="27" t="s">
        <v>17</v>
      </c>
      <c r="F11428" s="29"/>
      <c r="G11428" s="30">
        <f t="shared" si="207"/>
        <v>2300.5763174603189</v>
      </c>
    </row>
    <row r="11429" spans="1:7" hidden="1" x14ac:dyDescent="0.25">
      <c r="A11429" s="28">
        <v>44501</v>
      </c>
      <c r="B11429" s="27" t="s">
        <v>200</v>
      </c>
      <c r="C11429" s="27" t="s">
        <v>56</v>
      </c>
      <c r="D11429" s="27" t="s">
        <v>6</v>
      </c>
      <c r="E11429" s="27" t="s">
        <v>18</v>
      </c>
      <c r="F11429" s="29"/>
      <c r="G11429" s="30">
        <f t="shared" si="207"/>
        <v>2300.5763174603189</v>
      </c>
    </row>
    <row r="11430" spans="1:7" hidden="1" x14ac:dyDescent="0.25">
      <c r="A11430" s="28">
        <v>44501</v>
      </c>
      <c r="B11430" s="27" t="s">
        <v>200</v>
      </c>
      <c r="C11430" s="27" t="s">
        <v>56</v>
      </c>
      <c r="D11430" s="27" t="s">
        <v>6</v>
      </c>
      <c r="E11430" s="27" t="s">
        <v>19</v>
      </c>
      <c r="F11430" s="29"/>
      <c r="G11430" s="30">
        <f t="shared" si="207"/>
        <v>2300.5763174603189</v>
      </c>
    </row>
    <row r="11431" spans="1:7" hidden="1" x14ac:dyDescent="0.25">
      <c r="A11431" s="28">
        <v>44501</v>
      </c>
      <c r="B11431" s="27" t="s">
        <v>200</v>
      </c>
      <c r="C11431" s="27" t="s">
        <v>56</v>
      </c>
      <c r="D11431" s="27" t="s">
        <v>6</v>
      </c>
      <c r="E11431" s="27" t="s">
        <v>20</v>
      </c>
      <c r="F11431" s="29"/>
      <c r="G11431" s="30">
        <f t="shared" si="207"/>
        <v>2300.5763174603189</v>
      </c>
    </row>
    <row r="11432" spans="1:7" hidden="1" x14ac:dyDescent="0.25">
      <c r="A11432" s="28">
        <v>44501</v>
      </c>
      <c r="B11432" s="27" t="s">
        <v>200</v>
      </c>
      <c r="C11432" s="27" t="s">
        <v>56</v>
      </c>
      <c r="D11432" s="27" t="s">
        <v>6</v>
      </c>
      <c r="E11432" s="27" t="s">
        <v>38</v>
      </c>
      <c r="F11432" s="29"/>
      <c r="G11432" s="30">
        <f t="shared" si="207"/>
        <v>2300.5763174603189</v>
      </c>
    </row>
    <row r="11433" spans="1:7" hidden="1" x14ac:dyDescent="0.25">
      <c r="A11433" s="28">
        <v>44501</v>
      </c>
      <c r="B11433" s="27" t="s">
        <v>200</v>
      </c>
      <c r="C11433" s="27" t="s">
        <v>56</v>
      </c>
      <c r="D11433" s="27" t="s">
        <v>6</v>
      </c>
      <c r="E11433" s="27" t="s">
        <v>23</v>
      </c>
      <c r="F11433" s="29"/>
      <c r="G11433" s="30">
        <f t="shared" si="207"/>
        <v>2300.5763174603189</v>
      </c>
    </row>
    <row r="11434" spans="1:7" hidden="1" x14ac:dyDescent="0.25">
      <c r="A11434" s="28">
        <v>44501</v>
      </c>
      <c r="B11434" s="27" t="s">
        <v>200</v>
      </c>
      <c r="C11434" s="27" t="s">
        <v>56</v>
      </c>
      <c r="D11434" s="27" t="s">
        <v>6</v>
      </c>
      <c r="E11434" s="27" t="s">
        <v>40</v>
      </c>
      <c r="F11434" s="29"/>
      <c r="G11434" s="30">
        <f t="shared" si="207"/>
        <v>2300.5763174603189</v>
      </c>
    </row>
    <row r="11435" spans="1:7" hidden="1" x14ac:dyDescent="0.25">
      <c r="A11435" s="28">
        <v>44501</v>
      </c>
      <c r="B11435" s="27" t="s">
        <v>200</v>
      </c>
      <c r="C11435" s="27" t="s">
        <v>182</v>
      </c>
      <c r="D11435" s="27" t="s">
        <v>7</v>
      </c>
      <c r="E11435" s="27" t="s">
        <v>8</v>
      </c>
      <c r="F11435" s="29"/>
      <c r="G11435" s="30">
        <f t="shared" ref="G11435:G11458" si="208">3387.83/24</f>
        <v>141.15958333333333</v>
      </c>
    </row>
    <row r="11436" spans="1:7" hidden="1" x14ac:dyDescent="0.25">
      <c r="A11436" s="28">
        <v>44501</v>
      </c>
      <c r="B11436" s="27" t="s">
        <v>200</v>
      </c>
      <c r="C11436" s="27" t="s">
        <v>182</v>
      </c>
      <c r="D11436" s="27" t="s">
        <v>7</v>
      </c>
      <c r="E11436" s="27" t="s">
        <v>9</v>
      </c>
      <c r="F11436" s="29"/>
      <c r="G11436" s="30">
        <f t="shared" si="208"/>
        <v>141.15958333333333</v>
      </c>
    </row>
    <row r="11437" spans="1:7" hidden="1" x14ac:dyDescent="0.25">
      <c r="A11437" s="28">
        <v>44501</v>
      </c>
      <c r="B11437" s="27" t="s">
        <v>200</v>
      </c>
      <c r="C11437" s="27" t="s">
        <v>182</v>
      </c>
      <c r="D11437" s="27" t="s">
        <v>7</v>
      </c>
      <c r="E11437" s="27" t="s">
        <v>22</v>
      </c>
      <c r="F11437" s="29"/>
      <c r="G11437" s="30">
        <f t="shared" si="208"/>
        <v>141.15958333333333</v>
      </c>
    </row>
    <row r="11438" spans="1:7" hidden="1" x14ac:dyDescent="0.25">
      <c r="A11438" s="28">
        <v>44501</v>
      </c>
      <c r="B11438" s="27" t="s">
        <v>200</v>
      </c>
      <c r="C11438" s="27" t="s">
        <v>182</v>
      </c>
      <c r="D11438" s="27" t="s">
        <v>7</v>
      </c>
      <c r="E11438" s="27" t="s">
        <v>39</v>
      </c>
      <c r="F11438" s="29"/>
      <c r="G11438" s="30">
        <f t="shared" si="208"/>
        <v>141.15958333333333</v>
      </c>
    </row>
    <row r="11439" spans="1:7" hidden="1" x14ac:dyDescent="0.25">
      <c r="A11439" s="28">
        <v>44501</v>
      </c>
      <c r="B11439" s="27" t="s">
        <v>200</v>
      </c>
      <c r="C11439" s="27" t="s">
        <v>182</v>
      </c>
      <c r="D11439" s="27" t="s">
        <v>7</v>
      </c>
      <c r="E11439" s="27" t="s">
        <v>64</v>
      </c>
      <c r="F11439" s="29"/>
      <c r="G11439" s="30">
        <f t="shared" si="208"/>
        <v>141.15958333333333</v>
      </c>
    </row>
    <row r="11440" spans="1:7" hidden="1" x14ac:dyDescent="0.25">
      <c r="A11440" s="28">
        <v>44501</v>
      </c>
      <c r="B11440" s="27" t="s">
        <v>200</v>
      </c>
      <c r="C11440" s="27" t="s">
        <v>182</v>
      </c>
      <c r="D11440" s="27" t="s">
        <v>7</v>
      </c>
      <c r="E11440" s="27" t="s">
        <v>21</v>
      </c>
      <c r="F11440" s="29"/>
      <c r="G11440" s="30">
        <f t="shared" si="208"/>
        <v>141.15958333333333</v>
      </c>
    </row>
    <row r="11441" spans="1:7" hidden="1" x14ac:dyDescent="0.25">
      <c r="A11441" s="28">
        <v>44501</v>
      </c>
      <c r="B11441" s="27" t="s">
        <v>200</v>
      </c>
      <c r="C11441" s="27" t="s">
        <v>182</v>
      </c>
      <c r="D11441" s="27" t="s">
        <v>7</v>
      </c>
      <c r="E11441" s="27" t="s">
        <v>41</v>
      </c>
      <c r="F11441" s="29"/>
      <c r="G11441" s="30">
        <f t="shared" si="208"/>
        <v>141.15958333333333</v>
      </c>
    </row>
    <row r="11442" spans="1:7" hidden="1" x14ac:dyDescent="0.25">
      <c r="A11442" s="28">
        <v>44501</v>
      </c>
      <c r="B11442" s="27" t="s">
        <v>200</v>
      </c>
      <c r="C11442" s="27" t="s">
        <v>182</v>
      </c>
      <c r="D11442" s="27" t="s">
        <v>7</v>
      </c>
      <c r="E11442" s="27" t="s">
        <v>10</v>
      </c>
      <c r="F11442" s="29"/>
      <c r="G11442" s="30">
        <f t="shared" si="208"/>
        <v>141.15958333333333</v>
      </c>
    </row>
    <row r="11443" spans="1:7" hidden="1" x14ac:dyDescent="0.25">
      <c r="A11443" s="28">
        <v>44501</v>
      </c>
      <c r="B11443" s="27" t="s">
        <v>200</v>
      </c>
      <c r="C11443" s="27" t="s">
        <v>182</v>
      </c>
      <c r="D11443" s="27" t="s">
        <v>7</v>
      </c>
      <c r="E11443" s="27" t="s">
        <v>11</v>
      </c>
      <c r="F11443" s="29"/>
      <c r="G11443" s="30">
        <f t="shared" si="208"/>
        <v>141.15958333333333</v>
      </c>
    </row>
    <row r="11444" spans="1:7" hidden="1" x14ac:dyDescent="0.25">
      <c r="A11444" s="28">
        <v>44501</v>
      </c>
      <c r="B11444" s="27" t="s">
        <v>200</v>
      </c>
      <c r="C11444" s="27" t="s">
        <v>182</v>
      </c>
      <c r="D11444" s="27" t="s">
        <v>7</v>
      </c>
      <c r="E11444" s="27" t="s">
        <v>12</v>
      </c>
      <c r="F11444" s="29"/>
      <c r="G11444" s="30">
        <f t="shared" si="208"/>
        <v>141.15958333333333</v>
      </c>
    </row>
    <row r="11445" spans="1:7" hidden="1" x14ac:dyDescent="0.25">
      <c r="A11445" s="28">
        <v>44501</v>
      </c>
      <c r="B11445" s="27" t="s">
        <v>200</v>
      </c>
      <c r="C11445" s="27" t="s">
        <v>182</v>
      </c>
      <c r="D11445" s="27" t="s">
        <v>7</v>
      </c>
      <c r="E11445" s="27" t="s">
        <v>13</v>
      </c>
      <c r="F11445" s="29"/>
      <c r="G11445" s="30">
        <f t="shared" si="208"/>
        <v>141.15958333333333</v>
      </c>
    </row>
    <row r="11446" spans="1:7" hidden="1" x14ac:dyDescent="0.25">
      <c r="A11446" s="28">
        <v>44501</v>
      </c>
      <c r="B11446" s="27" t="s">
        <v>200</v>
      </c>
      <c r="C11446" s="27" t="s">
        <v>182</v>
      </c>
      <c r="D11446" s="27" t="s">
        <v>7</v>
      </c>
      <c r="E11446" s="27" t="s">
        <v>14</v>
      </c>
      <c r="F11446" s="29"/>
      <c r="G11446" s="30">
        <f t="shared" si="208"/>
        <v>141.15958333333333</v>
      </c>
    </row>
    <row r="11447" spans="1:7" hidden="1" x14ac:dyDescent="0.25">
      <c r="A11447" s="28">
        <v>44501</v>
      </c>
      <c r="B11447" s="27" t="s">
        <v>200</v>
      </c>
      <c r="C11447" s="27" t="s">
        <v>182</v>
      </c>
      <c r="D11447" s="27" t="s">
        <v>7</v>
      </c>
      <c r="E11447" s="27" t="s">
        <v>15</v>
      </c>
      <c r="F11447" s="29"/>
      <c r="G11447" s="30">
        <f t="shared" si="208"/>
        <v>141.15958333333333</v>
      </c>
    </row>
    <row r="11448" spans="1:7" hidden="1" x14ac:dyDescent="0.25">
      <c r="A11448" s="28">
        <v>44501</v>
      </c>
      <c r="B11448" s="27" t="s">
        <v>200</v>
      </c>
      <c r="C11448" s="27" t="s">
        <v>182</v>
      </c>
      <c r="D11448" s="27" t="s">
        <v>7</v>
      </c>
      <c r="E11448" s="27" t="s">
        <v>16</v>
      </c>
      <c r="F11448" s="29"/>
      <c r="G11448" s="30">
        <f t="shared" si="208"/>
        <v>141.15958333333333</v>
      </c>
    </row>
    <row r="11449" spans="1:7" hidden="1" x14ac:dyDescent="0.25">
      <c r="A11449" s="28">
        <v>44501</v>
      </c>
      <c r="B11449" s="27" t="s">
        <v>200</v>
      </c>
      <c r="C11449" s="27" t="s">
        <v>182</v>
      </c>
      <c r="D11449" s="27" t="s">
        <v>7</v>
      </c>
      <c r="E11449" s="27" t="s">
        <v>17</v>
      </c>
      <c r="F11449" s="29"/>
      <c r="G11449" s="30">
        <f t="shared" si="208"/>
        <v>141.15958333333333</v>
      </c>
    </row>
    <row r="11450" spans="1:7" hidden="1" x14ac:dyDescent="0.25">
      <c r="A11450" s="28">
        <v>44501</v>
      </c>
      <c r="B11450" s="27" t="s">
        <v>200</v>
      </c>
      <c r="C11450" s="27" t="s">
        <v>182</v>
      </c>
      <c r="D11450" s="27" t="s">
        <v>7</v>
      </c>
      <c r="E11450" s="27" t="s">
        <v>18</v>
      </c>
      <c r="F11450" s="29"/>
      <c r="G11450" s="30">
        <f t="shared" si="208"/>
        <v>141.15958333333333</v>
      </c>
    </row>
    <row r="11451" spans="1:7" hidden="1" x14ac:dyDescent="0.25">
      <c r="A11451" s="28">
        <v>44501</v>
      </c>
      <c r="B11451" s="27" t="s">
        <v>200</v>
      </c>
      <c r="C11451" s="27" t="s">
        <v>182</v>
      </c>
      <c r="D11451" s="27" t="s">
        <v>7</v>
      </c>
      <c r="E11451" s="27" t="s">
        <v>19</v>
      </c>
      <c r="F11451" s="29"/>
      <c r="G11451" s="30">
        <f t="shared" si="208"/>
        <v>141.15958333333333</v>
      </c>
    </row>
    <row r="11452" spans="1:7" hidden="1" x14ac:dyDescent="0.25">
      <c r="A11452" s="28">
        <v>44501</v>
      </c>
      <c r="B11452" s="27" t="s">
        <v>200</v>
      </c>
      <c r="C11452" s="27" t="s">
        <v>182</v>
      </c>
      <c r="D11452" s="27" t="s">
        <v>7</v>
      </c>
      <c r="E11452" s="27" t="s">
        <v>20</v>
      </c>
      <c r="F11452" s="29"/>
      <c r="G11452" s="30">
        <f t="shared" si="208"/>
        <v>141.15958333333333</v>
      </c>
    </row>
    <row r="11453" spans="1:7" hidden="1" x14ac:dyDescent="0.25">
      <c r="A11453" s="28">
        <v>44501</v>
      </c>
      <c r="B11453" s="27" t="s">
        <v>200</v>
      </c>
      <c r="C11453" s="27" t="s">
        <v>182</v>
      </c>
      <c r="D11453" s="27" t="s">
        <v>7</v>
      </c>
      <c r="E11453" s="27" t="s">
        <v>38</v>
      </c>
      <c r="F11453" s="29"/>
      <c r="G11453" s="30">
        <f t="shared" si="208"/>
        <v>141.15958333333333</v>
      </c>
    </row>
    <row r="11454" spans="1:7" hidden="1" x14ac:dyDescent="0.25">
      <c r="A11454" s="28">
        <v>44501</v>
      </c>
      <c r="B11454" s="27" t="s">
        <v>200</v>
      </c>
      <c r="C11454" s="27" t="s">
        <v>182</v>
      </c>
      <c r="D11454" s="27" t="s">
        <v>7</v>
      </c>
      <c r="E11454" s="27" t="s">
        <v>23</v>
      </c>
      <c r="F11454" s="29"/>
      <c r="G11454" s="30">
        <f t="shared" si="208"/>
        <v>141.15958333333333</v>
      </c>
    </row>
    <row r="11455" spans="1:7" hidden="1" x14ac:dyDescent="0.25">
      <c r="A11455" s="28">
        <v>44501</v>
      </c>
      <c r="B11455" s="27" t="s">
        <v>200</v>
      </c>
      <c r="C11455" s="27" t="s">
        <v>182</v>
      </c>
      <c r="D11455" s="27" t="s">
        <v>7</v>
      </c>
      <c r="E11455" s="27" t="s">
        <v>40</v>
      </c>
      <c r="F11455" s="29"/>
      <c r="G11455" s="30">
        <f t="shared" si="208"/>
        <v>141.15958333333333</v>
      </c>
    </row>
    <row r="11456" spans="1:7" hidden="1" x14ac:dyDescent="0.25">
      <c r="A11456" s="28">
        <v>44501</v>
      </c>
      <c r="B11456" s="27" t="s">
        <v>200</v>
      </c>
      <c r="C11456" s="27" t="s">
        <v>182</v>
      </c>
      <c r="D11456" s="27" t="s">
        <v>7</v>
      </c>
      <c r="E11456" s="27" t="s">
        <v>42</v>
      </c>
      <c r="F11456" s="29"/>
      <c r="G11456" s="30">
        <f t="shared" si="208"/>
        <v>141.15958333333333</v>
      </c>
    </row>
    <row r="11457" spans="1:7" hidden="1" x14ac:dyDescent="0.25">
      <c r="A11457" s="28">
        <v>44501</v>
      </c>
      <c r="B11457" s="27" t="s">
        <v>200</v>
      </c>
      <c r="C11457" s="27" t="s">
        <v>182</v>
      </c>
      <c r="D11457" s="27" t="s">
        <v>7</v>
      </c>
      <c r="E11457" s="27" t="s">
        <v>43</v>
      </c>
      <c r="F11457" s="29"/>
      <c r="G11457" s="30">
        <f t="shared" si="208"/>
        <v>141.15958333333333</v>
      </c>
    </row>
    <row r="11458" spans="1:7" hidden="1" x14ac:dyDescent="0.25">
      <c r="A11458" s="28">
        <v>44501</v>
      </c>
      <c r="B11458" s="27" t="s">
        <v>200</v>
      </c>
      <c r="C11458" s="27" t="s">
        <v>182</v>
      </c>
      <c r="D11458" s="27" t="s">
        <v>7</v>
      </c>
      <c r="E11458" s="27" t="s">
        <v>72</v>
      </c>
      <c r="F11458" s="29"/>
      <c r="G11458" s="30">
        <f t="shared" si="208"/>
        <v>141.15958333333333</v>
      </c>
    </row>
    <row r="11459" spans="1:7" hidden="1" x14ac:dyDescent="0.25">
      <c r="A11459" s="28">
        <v>44501</v>
      </c>
      <c r="B11459" s="27" t="s">
        <v>35</v>
      </c>
      <c r="C11459" s="27" t="s">
        <v>50</v>
      </c>
      <c r="D11459" s="27" t="s">
        <v>7</v>
      </c>
      <c r="E11459" s="27" t="s">
        <v>8</v>
      </c>
      <c r="F11459" s="29"/>
      <c r="G11459" s="30">
        <v>599.37374999999997</v>
      </c>
    </row>
    <row r="11460" spans="1:7" hidden="1" x14ac:dyDescent="0.25">
      <c r="A11460" s="28">
        <v>44501</v>
      </c>
      <c r="B11460" s="27" t="s">
        <v>35</v>
      </c>
      <c r="C11460" s="27" t="s">
        <v>50</v>
      </c>
      <c r="D11460" s="27" t="s">
        <v>7</v>
      </c>
      <c r="E11460" s="27" t="s">
        <v>9</v>
      </c>
      <c r="F11460" s="29"/>
      <c r="G11460" s="30">
        <v>599.37374999999997</v>
      </c>
    </row>
    <row r="11461" spans="1:7" hidden="1" x14ac:dyDescent="0.25">
      <c r="A11461" s="28">
        <v>44501</v>
      </c>
      <c r="B11461" s="27" t="s">
        <v>35</v>
      </c>
      <c r="C11461" s="27" t="s">
        <v>50</v>
      </c>
      <c r="D11461" s="27" t="s">
        <v>7</v>
      </c>
      <c r="E11461" s="27" t="s">
        <v>22</v>
      </c>
      <c r="F11461" s="29"/>
      <c r="G11461" s="30">
        <v>599.37374999999997</v>
      </c>
    </row>
    <row r="11462" spans="1:7" hidden="1" x14ac:dyDescent="0.25">
      <c r="A11462" s="28">
        <v>44501</v>
      </c>
      <c r="B11462" s="27" t="s">
        <v>35</v>
      </c>
      <c r="C11462" s="27" t="s">
        <v>50</v>
      </c>
      <c r="D11462" s="27" t="s">
        <v>7</v>
      </c>
      <c r="E11462" s="27" t="s">
        <v>39</v>
      </c>
      <c r="F11462" s="29"/>
      <c r="G11462" s="30">
        <v>599.37374999999997</v>
      </c>
    </row>
    <row r="11463" spans="1:7" hidden="1" x14ac:dyDescent="0.25">
      <c r="A11463" s="28">
        <v>44501</v>
      </c>
      <c r="B11463" s="27" t="s">
        <v>35</v>
      </c>
      <c r="C11463" s="27" t="s">
        <v>50</v>
      </c>
      <c r="D11463" s="27" t="s">
        <v>7</v>
      </c>
      <c r="E11463" s="27" t="s">
        <v>64</v>
      </c>
      <c r="F11463" s="29"/>
      <c r="G11463" s="30">
        <v>599.37374999999997</v>
      </c>
    </row>
    <row r="11464" spans="1:7" hidden="1" x14ac:dyDescent="0.25">
      <c r="A11464" s="28">
        <v>44501</v>
      </c>
      <c r="B11464" s="27" t="s">
        <v>35</v>
      </c>
      <c r="C11464" s="27" t="s">
        <v>50</v>
      </c>
      <c r="D11464" s="27" t="s">
        <v>7</v>
      </c>
      <c r="E11464" s="27" t="s">
        <v>21</v>
      </c>
      <c r="F11464" s="29"/>
      <c r="G11464" s="30">
        <v>599.37374999999997</v>
      </c>
    </row>
    <row r="11465" spans="1:7" hidden="1" x14ac:dyDescent="0.25">
      <c r="A11465" s="28">
        <v>44501</v>
      </c>
      <c r="B11465" s="27" t="s">
        <v>35</v>
      </c>
      <c r="C11465" s="27" t="s">
        <v>50</v>
      </c>
      <c r="D11465" s="27" t="s">
        <v>7</v>
      </c>
      <c r="E11465" s="27" t="s">
        <v>41</v>
      </c>
      <c r="F11465" s="29"/>
      <c r="G11465" s="30">
        <v>599.37374999999997</v>
      </c>
    </row>
    <row r="11466" spans="1:7" hidden="1" x14ac:dyDescent="0.25">
      <c r="A11466" s="28">
        <v>44501</v>
      </c>
      <c r="B11466" s="27" t="s">
        <v>35</v>
      </c>
      <c r="C11466" s="27" t="s">
        <v>50</v>
      </c>
      <c r="D11466" s="27" t="s">
        <v>7</v>
      </c>
      <c r="E11466" s="27" t="s">
        <v>10</v>
      </c>
      <c r="F11466" s="29"/>
      <c r="G11466" s="30">
        <v>599.37374999999997</v>
      </c>
    </row>
    <row r="11467" spans="1:7" hidden="1" x14ac:dyDescent="0.25">
      <c r="A11467" s="28">
        <v>44501</v>
      </c>
      <c r="B11467" s="27" t="s">
        <v>35</v>
      </c>
      <c r="C11467" s="27" t="s">
        <v>50</v>
      </c>
      <c r="D11467" s="27" t="s">
        <v>7</v>
      </c>
      <c r="E11467" s="27" t="s">
        <v>11</v>
      </c>
      <c r="F11467" s="29"/>
      <c r="G11467" s="30">
        <v>599.37374999999997</v>
      </c>
    </row>
    <row r="11468" spans="1:7" hidden="1" x14ac:dyDescent="0.25">
      <c r="A11468" s="28">
        <v>44501</v>
      </c>
      <c r="B11468" s="27" t="s">
        <v>35</v>
      </c>
      <c r="C11468" s="27" t="s">
        <v>50</v>
      </c>
      <c r="D11468" s="27" t="s">
        <v>7</v>
      </c>
      <c r="E11468" s="27" t="s">
        <v>12</v>
      </c>
      <c r="F11468" s="29"/>
      <c r="G11468" s="30">
        <v>599.37374999999997</v>
      </c>
    </row>
    <row r="11469" spans="1:7" hidden="1" x14ac:dyDescent="0.25">
      <c r="A11469" s="28">
        <v>44501</v>
      </c>
      <c r="B11469" s="27" t="s">
        <v>35</v>
      </c>
      <c r="C11469" s="27" t="s">
        <v>50</v>
      </c>
      <c r="D11469" s="27" t="s">
        <v>7</v>
      </c>
      <c r="E11469" s="27" t="s">
        <v>13</v>
      </c>
      <c r="F11469" s="29"/>
      <c r="G11469" s="30">
        <v>599.37374999999997</v>
      </c>
    </row>
    <row r="11470" spans="1:7" hidden="1" x14ac:dyDescent="0.25">
      <c r="A11470" s="28">
        <v>44501</v>
      </c>
      <c r="B11470" s="27" t="s">
        <v>35</v>
      </c>
      <c r="C11470" s="27" t="s">
        <v>50</v>
      </c>
      <c r="D11470" s="27" t="s">
        <v>7</v>
      </c>
      <c r="E11470" s="27" t="s">
        <v>14</v>
      </c>
      <c r="F11470" s="29"/>
      <c r="G11470" s="30">
        <v>599.37374999999997</v>
      </c>
    </row>
    <row r="11471" spans="1:7" hidden="1" x14ac:dyDescent="0.25">
      <c r="A11471" s="28">
        <v>44501</v>
      </c>
      <c r="B11471" s="27" t="s">
        <v>35</v>
      </c>
      <c r="C11471" s="27" t="s">
        <v>50</v>
      </c>
      <c r="D11471" s="27" t="s">
        <v>7</v>
      </c>
      <c r="E11471" s="27" t="s">
        <v>15</v>
      </c>
      <c r="F11471" s="29"/>
      <c r="G11471" s="30">
        <v>599.37374999999997</v>
      </c>
    </row>
    <row r="11472" spans="1:7" hidden="1" x14ac:dyDescent="0.25">
      <c r="A11472" s="28">
        <v>44501</v>
      </c>
      <c r="B11472" s="27" t="s">
        <v>35</v>
      </c>
      <c r="C11472" s="27" t="s">
        <v>50</v>
      </c>
      <c r="D11472" s="27" t="s">
        <v>7</v>
      </c>
      <c r="E11472" s="27" t="s">
        <v>16</v>
      </c>
      <c r="F11472" s="29"/>
      <c r="G11472" s="30">
        <v>599.37374999999997</v>
      </c>
    </row>
    <row r="11473" spans="1:7" hidden="1" x14ac:dyDescent="0.25">
      <c r="A11473" s="28">
        <v>44501</v>
      </c>
      <c r="B11473" s="27" t="s">
        <v>35</v>
      </c>
      <c r="C11473" s="27" t="s">
        <v>50</v>
      </c>
      <c r="D11473" s="27" t="s">
        <v>7</v>
      </c>
      <c r="E11473" s="27" t="s">
        <v>17</v>
      </c>
      <c r="F11473" s="29"/>
      <c r="G11473" s="30">
        <v>599.37374999999997</v>
      </c>
    </row>
    <row r="11474" spans="1:7" hidden="1" x14ac:dyDescent="0.25">
      <c r="A11474" s="28">
        <v>44501</v>
      </c>
      <c r="B11474" s="27" t="s">
        <v>35</v>
      </c>
      <c r="C11474" s="27" t="s">
        <v>50</v>
      </c>
      <c r="D11474" s="27" t="s">
        <v>7</v>
      </c>
      <c r="E11474" s="27" t="s">
        <v>18</v>
      </c>
      <c r="F11474" s="29"/>
      <c r="G11474" s="30">
        <v>599.37374999999997</v>
      </c>
    </row>
    <row r="11475" spans="1:7" hidden="1" x14ac:dyDescent="0.25">
      <c r="A11475" s="28">
        <v>44501</v>
      </c>
      <c r="B11475" s="27" t="s">
        <v>35</v>
      </c>
      <c r="C11475" s="27" t="s">
        <v>50</v>
      </c>
      <c r="D11475" s="27" t="s">
        <v>7</v>
      </c>
      <c r="E11475" s="27" t="s">
        <v>19</v>
      </c>
      <c r="F11475" s="29"/>
      <c r="G11475" s="30">
        <v>599.37374999999997</v>
      </c>
    </row>
    <row r="11476" spans="1:7" hidden="1" x14ac:dyDescent="0.25">
      <c r="A11476" s="28">
        <v>44501</v>
      </c>
      <c r="B11476" s="27" t="s">
        <v>35</v>
      </c>
      <c r="C11476" s="27" t="s">
        <v>50</v>
      </c>
      <c r="D11476" s="27" t="s">
        <v>7</v>
      </c>
      <c r="E11476" s="27" t="s">
        <v>20</v>
      </c>
      <c r="F11476" s="29"/>
      <c r="G11476" s="30">
        <v>599.37374999999997</v>
      </c>
    </row>
    <row r="11477" spans="1:7" hidden="1" x14ac:dyDescent="0.25">
      <c r="A11477" s="28">
        <v>44501</v>
      </c>
      <c r="B11477" s="27" t="s">
        <v>35</v>
      </c>
      <c r="C11477" s="27" t="s">
        <v>50</v>
      </c>
      <c r="D11477" s="27" t="s">
        <v>7</v>
      </c>
      <c r="E11477" s="27" t="s">
        <v>38</v>
      </c>
      <c r="F11477" s="29"/>
      <c r="G11477" s="30">
        <v>599.37374999999997</v>
      </c>
    </row>
    <row r="11478" spans="1:7" hidden="1" x14ac:dyDescent="0.25">
      <c r="A11478" s="28">
        <v>44501</v>
      </c>
      <c r="B11478" s="27" t="s">
        <v>35</v>
      </c>
      <c r="C11478" s="27" t="s">
        <v>50</v>
      </c>
      <c r="D11478" s="27" t="s">
        <v>7</v>
      </c>
      <c r="E11478" s="27" t="s">
        <v>23</v>
      </c>
      <c r="F11478" s="29"/>
      <c r="G11478" s="30">
        <v>599.37374999999997</v>
      </c>
    </row>
    <row r="11479" spans="1:7" hidden="1" x14ac:dyDescent="0.25">
      <c r="A11479" s="28">
        <v>44501</v>
      </c>
      <c r="B11479" s="27" t="s">
        <v>35</v>
      </c>
      <c r="C11479" s="27" t="s">
        <v>50</v>
      </c>
      <c r="D11479" s="27" t="s">
        <v>7</v>
      </c>
      <c r="E11479" s="27" t="s">
        <v>40</v>
      </c>
      <c r="F11479" s="29"/>
      <c r="G11479" s="30">
        <v>599.37374999999997</v>
      </c>
    </row>
    <row r="11480" spans="1:7" hidden="1" x14ac:dyDescent="0.25">
      <c r="A11480" s="28">
        <v>44501</v>
      </c>
      <c r="B11480" s="27" t="s">
        <v>35</v>
      </c>
      <c r="C11480" s="27" t="s">
        <v>50</v>
      </c>
      <c r="D11480" s="27" t="s">
        <v>7</v>
      </c>
      <c r="E11480" s="27" t="s">
        <v>42</v>
      </c>
      <c r="F11480" s="29"/>
      <c r="G11480" s="30">
        <v>599.37374999999997</v>
      </c>
    </row>
    <row r="11481" spans="1:7" hidden="1" x14ac:dyDescent="0.25">
      <c r="A11481" s="28">
        <v>44501</v>
      </c>
      <c r="B11481" s="27" t="s">
        <v>35</v>
      </c>
      <c r="C11481" s="27" t="s">
        <v>50</v>
      </c>
      <c r="D11481" s="27" t="s">
        <v>7</v>
      </c>
      <c r="E11481" s="27" t="s">
        <v>43</v>
      </c>
      <c r="F11481" s="29"/>
      <c r="G11481" s="30">
        <v>599.37374999999997</v>
      </c>
    </row>
    <row r="11482" spans="1:7" hidden="1" x14ac:dyDescent="0.25">
      <c r="A11482" s="28">
        <v>44501</v>
      </c>
      <c r="B11482" s="27" t="s">
        <v>35</v>
      </c>
      <c r="C11482" s="27" t="s">
        <v>50</v>
      </c>
      <c r="D11482" s="27" t="s">
        <v>7</v>
      </c>
      <c r="E11482" s="27" t="s">
        <v>72</v>
      </c>
      <c r="F11482" s="29"/>
      <c r="G11482" s="30">
        <v>599.37374999999997</v>
      </c>
    </row>
    <row r="11483" spans="1:7" hidden="1" x14ac:dyDescent="0.25">
      <c r="A11483" s="28">
        <v>44501</v>
      </c>
      <c r="B11483" s="27" t="s">
        <v>34</v>
      </c>
      <c r="C11483" s="27" t="s">
        <v>50</v>
      </c>
      <c r="D11483" s="27" t="s">
        <v>6</v>
      </c>
      <c r="E11483" s="27" t="s">
        <v>8</v>
      </c>
      <c r="F11483" s="29"/>
      <c r="G11483" s="30">
        <v>512.69000000000005</v>
      </c>
    </row>
    <row r="11484" spans="1:7" hidden="1" x14ac:dyDescent="0.25">
      <c r="A11484" s="28">
        <v>44501</v>
      </c>
      <c r="B11484" s="27" t="s">
        <v>34</v>
      </c>
      <c r="C11484" s="27" t="s">
        <v>50</v>
      </c>
      <c r="D11484" s="27" t="s">
        <v>6</v>
      </c>
      <c r="E11484" s="27" t="s">
        <v>9</v>
      </c>
      <c r="F11484" s="29"/>
      <c r="G11484" s="30">
        <v>583.98</v>
      </c>
    </row>
    <row r="11485" spans="1:7" hidden="1" x14ac:dyDescent="0.25">
      <c r="A11485" s="28">
        <v>44501</v>
      </c>
      <c r="B11485" s="27" t="s">
        <v>34</v>
      </c>
      <c r="C11485" s="27" t="s">
        <v>50</v>
      </c>
      <c r="D11485" s="27" t="s">
        <v>6</v>
      </c>
      <c r="E11485" s="27" t="s">
        <v>22</v>
      </c>
      <c r="F11485" s="29"/>
      <c r="G11485" s="30">
        <v>717.29</v>
      </c>
    </row>
    <row r="11486" spans="1:7" hidden="1" x14ac:dyDescent="0.25">
      <c r="A11486" s="28">
        <v>44501</v>
      </c>
      <c r="B11486" s="27" t="s">
        <v>34</v>
      </c>
      <c r="C11486" s="27" t="s">
        <v>50</v>
      </c>
      <c r="D11486" s="27" t="s">
        <v>6</v>
      </c>
      <c r="E11486" s="27" t="s">
        <v>39</v>
      </c>
      <c r="F11486" s="29"/>
      <c r="G11486" s="30">
        <v>357.63</v>
      </c>
    </row>
    <row r="11487" spans="1:7" hidden="1" x14ac:dyDescent="0.25">
      <c r="A11487" s="28">
        <v>44501</v>
      </c>
      <c r="B11487" s="27" t="s">
        <v>34</v>
      </c>
      <c r="C11487" s="27" t="s">
        <v>50</v>
      </c>
      <c r="D11487" s="27" t="s">
        <v>6</v>
      </c>
      <c r="E11487" s="27" t="s">
        <v>64</v>
      </c>
      <c r="F11487" s="29"/>
      <c r="G11487" s="30">
        <v>632.99</v>
      </c>
    </row>
    <row r="11488" spans="1:7" hidden="1" x14ac:dyDescent="0.25">
      <c r="A11488" s="28">
        <v>44501</v>
      </c>
      <c r="B11488" s="27" t="s">
        <v>34</v>
      </c>
      <c r="C11488" s="27" t="s">
        <v>50</v>
      </c>
      <c r="D11488" s="27" t="s">
        <v>6</v>
      </c>
      <c r="E11488" s="27" t="s">
        <v>21</v>
      </c>
      <c r="F11488" s="29"/>
      <c r="G11488" s="30">
        <v>525.32000000000005</v>
      </c>
    </row>
    <row r="11489" spans="1:7" hidden="1" x14ac:dyDescent="0.25">
      <c r="A11489" s="28">
        <v>44501</v>
      </c>
      <c r="B11489" s="27" t="s">
        <v>34</v>
      </c>
      <c r="C11489" s="27" t="s">
        <v>50</v>
      </c>
      <c r="D11489" s="27" t="s">
        <v>6</v>
      </c>
      <c r="E11489" s="27" t="s">
        <v>41</v>
      </c>
      <c r="F11489" s="29"/>
      <c r="G11489" s="30">
        <v>541.32000000000005</v>
      </c>
    </row>
    <row r="11490" spans="1:7" hidden="1" x14ac:dyDescent="0.25">
      <c r="A11490" s="28">
        <v>44501</v>
      </c>
      <c r="B11490" s="27" t="s">
        <v>34</v>
      </c>
      <c r="C11490" s="27" t="s">
        <v>50</v>
      </c>
      <c r="D11490" s="27" t="s">
        <v>6</v>
      </c>
      <c r="E11490" s="27" t="s">
        <v>10</v>
      </c>
      <c r="F11490" s="29"/>
      <c r="G11490" s="30">
        <v>721.06</v>
      </c>
    </row>
    <row r="11491" spans="1:7" hidden="1" x14ac:dyDescent="0.25">
      <c r="A11491" s="28">
        <v>44501</v>
      </c>
      <c r="B11491" s="27" t="s">
        <v>34</v>
      </c>
      <c r="C11491" s="27" t="s">
        <v>50</v>
      </c>
      <c r="D11491" s="27" t="s">
        <v>6</v>
      </c>
      <c r="E11491" s="27" t="s">
        <v>11</v>
      </c>
      <c r="F11491" s="29"/>
      <c r="G11491" s="30">
        <v>309.66000000000003</v>
      </c>
    </row>
    <row r="11492" spans="1:7" hidden="1" x14ac:dyDescent="0.25">
      <c r="A11492" s="28">
        <v>44501</v>
      </c>
      <c r="B11492" s="27" t="s">
        <v>34</v>
      </c>
      <c r="C11492" s="27" t="s">
        <v>50</v>
      </c>
      <c r="D11492" s="27" t="s">
        <v>6</v>
      </c>
      <c r="E11492" s="27" t="s">
        <v>12</v>
      </c>
      <c r="F11492" s="29"/>
      <c r="G11492" s="30">
        <v>366.63</v>
      </c>
    </row>
    <row r="11493" spans="1:7" hidden="1" x14ac:dyDescent="0.25">
      <c r="A11493" s="28">
        <v>44501</v>
      </c>
      <c r="B11493" s="27" t="s">
        <v>34</v>
      </c>
      <c r="C11493" s="27" t="s">
        <v>50</v>
      </c>
      <c r="D11493" s="27" t="s">
        <v>6</v>
      </c>
      <c r="E11493" s="27" t="s">
        <v>13</v>
      </c>
      <c r="F11493" s="29"/>
      <c r="G11493" s="30">
        <v>444.8</v>
      </c>
    </row>
    <row r="11494" spans="1:7" hidden="1" x14ac:dyDescent="0.25">
      <c r="A11494" s="28">
        <v>44501</v>
      </c>
      <c r="B11494" s="27" t="s">
        <v>34</v>
      </c>
      <c r="C11494" s="27" t="s">
        <v>50</v>
      </c>
      <c r="D11494" s="27" t="s">
        <v>6</v>
      </c>
      <c r="E11494" s="27" t="s">
        <v>14</v>
      </c>
      <c r="F11494" s="29"/>
      <c r="G11494" s="30">
        <v>153.91999999999999</v>
      </c>
    </row>
    <row r="11495" spans="1:7" hidden="1" x14ac:dyDescent="0.25">
      <c r="A11495" s="28">
        <v>44501</v>
      </c>
      <c r="B11495" s="27" t="s">
        <v>34</v>
      </c>
      <c r="C11495" s="27" t="s">
        <v>50</v>
      </c>
      <c r="D11495" s="27" t="s">
        <v>6</v>
      </c>
      <c r="E11495" s="27" t="s">
        <v>15</v>
      </c>
      <c r="F11495" s="29"/>
      <c r="G11495" s="30">
        <v>377.23</v>
      </c>
    </row>
    <row r="11496" spans="1:7" hidden="1" x14ac:dyDescent="0.25">
      <c r="A11496" s="28">
        <v>44501</v>
      </c>
      <c r="B11496" s="27" t="s">
        <v>34</v>
      </c>
      <c r="C11496" s="27" t="s">
        <v>50</v>
      </c>
      <c r="D11496" s="27" t="s">
        <v>6</v>
      </c>
      <c r="E11496" s="27" t="s">
        <v>16</v>
      </c>
      <c r="F11496" s="29"/>
      <c r="G11496" s="30">
        <v>455.42</v>
      </c>
    </row>
    <row r="11497" spans="1:7" hidden="1" x14ac:dyDescent="0.25">
      <c r="A11497" s="28">
        <v>44501</v>
      </c>
      <c r="B11497" s="27" t="s">
        <v>34</v>
      </c>
      <c r="C11497" s="27" t="s">
        <v>50</v>
      </c>
      <c r="D11497" s="27" t="s">
        <v>6</v>
      </c>
      <c r="E11497" s="27" t="s">
        <v>17</v>
      </c>
      <c r="F11497" s="29"/>
      <c r="G11497" s="30">
        <v>825.43</v>
      </c>
    </row>
    <row r="11498" spans="1:7" hidden="1" x14ac:dyDescent="0.25">
      <c r="A11498" s="28">
        <v>44501</v>
      </c>
      <c r="B11498" s="27" t="s">
        <v>34</v>
      </c>
      <c r="C11498" s="27" t="s">
        <v>50</v>
      </c>
      <c r="D11498" s="27" t="s">
        <v>6</v>
      </c>
      <c r="E11498" s="27" t="s">
        <v>18</v>
      </c>
      <c r="F11498" s="29"/>
      <c r="G11498" s="30">
        <v>361.39</v>
      </c>
    </row>
    <row r="11499" spans="1:7" hidden="1" x14ac:dyDescent="0.25">
      <c r="A11499" s="28">
        <v>44501</v>
      </c>
      <c r="B11499" s="27" t="s">
        <v>34</v>
      </c>
      <c r="C11499" s="27" t="s">
        <v>50</v>
      </c>
      <c r="D11499" s="27" t="s">
        <v>6</v>
      </c>
      <c r="E11499" s="27" t="s">
        <v>19</v>
      </c>
      <c r="F11499" s="29"/>
      <c r="G11499" s="30">
        <v>492.72</v>
      </c>
    </row>
    <row r="11500" spans="1:7" hidden="1" x14ac:dyDescent="0.25">
      <c r="A11500" s="28">
        <v>44501</v>
      </c>
      <c r="B11500" s="27" t="s">
        <v>34</v>
      </c>
      <c r="C11500" s="27" t="s">
        <v>50</v>
      </c>
      <c r="D11500" s="27" t="s">
        <v>6</v>
      </c>
      <c r="E11500" s="27" t="s">
        <v>20</v>
      </c>
      <c r="F11500" s="29"/>
      <c r="G11500" s="30">
        <v>371.7</v>
      </c>
    </row>
    <row r="11501" spans="1:7" hidden="1" x14ac:dyDescent="0.25">
      <c r="A11501" s="28">
        <v>44501</v>
      </c>
      <c r="B11501" s="27" t="s">
        <v>34</v>
      </c>
      <c r="C11501" s="27" t="s">
        <v>50</v>
      </c>
      <c r="D11501" s="27" t="s">
        <v>6</v>
      </c>
      <c r="E11501" s="27" t="s">
        <v>38</v>
      </c>
      <c r="F11501" s="29"/>
      <c r="G11501" s="30">
        <v>182.93</v>
      </c>
    </row>
    <row r="11502" spans="1:7" hidden="1" x14ac:dyDescent="0.25">
      <c r="A11502" s="28">
        <v>44501</v>
      </c>
      <c r="B11502" s="27" t="s">
        <v>34</v>
      </c>
      <c r="C11502" s="27" t="s">
        <v>50</v>
      </c>
      <c r="D11502" s="27" t="s">
        <v>6</v>
      </c>
      <c r="E11502" s="27" t="s">
        <v>23</v>
      </c>
      <c r="F11502" s="29"/>
      <c r="G11502" s="30">
        <v>571.6</v>
      </c>
    </row>
    <row r="11503" spans="1:7" hidden="1" x14ac:dyDescent="0.25">
      <c r="A11503" s="28">
        <v>44501</v>
      </c>
      <c r="B11503" s="27" t="s">
        <v>34</v>
      </c>
      <c r="C11503" s="27" t="s">
        <v>50</v>
      </c>
      <c r="D11503" s="27" t="s">
        <v>6</v>
      </c>
      <c r="E11503" s="27" t="s">
        <v>40</v>
      </c>
      <c r="F11503" s="29"/>
      <c r="G11503" s="30">
        <v>169.73</v>
      </c>
    </row>
    <row r="11504" spans="1:7" hidden="1" x14ac:dyDescent="0.25">
      <c r="A11504" s="28">
        <v>44501</v>
      </c>
      <c r="B11504" s="27" t="s">
        <v>34</v>
      </c>
      <c r="C11504" s="27" t="s">
        <v>50</v>
      </c>
      <c r="D11504" s="27" t="s">
        <v>6</v>
      </c>
      <c r="E11504" s="27" t="s">
        <v>42</v>
      </c>
      <c r="F11504" s="29"/>
      <c r="G11504" s="30">
        <v>654.29999999999995</v>
      </c>
    </row>
    <row r="11505" spans="1:7" hidden="1" x14ac:dyDescent="0.25">
      <c r="A11505" s="28">
        <v>44501</v>
      </c>
      <c r="B11505" s="27" t="s">
        <v>34</v>
      </c>
      <c r="C11505" s="27" t="s">
        <v>50</v>
      </c>
      <c r="D11505" s="27" t="s">
        <v>6</v>
      </c>
      <c r="E11505" s="27" t="s">
        <v>43</v>
      </c>
      <c r="F11505" s="29"/>
      <c r="G11505" s="30">
        <v>626</v>
      </c>
    </row>
    <row r="11506" spans="1:7" hidden="1" x14ac:dyDescent="0.25">
      <c r="A11506" s="28">
        <v>44531</v>
      </c>
      <c r="B11506" s="27" t="s">
        <v>33</v>
      </c>
      <c r="C11506" s="27" t="s">
        <v>50</v>
      </c>
      <c r="D11506" s="27" t="s">
        <v>51</v>
      </c>
      <c r="E11506" s="27" t="s">
        <v>8</v>
      </c>
      <c r="F11506" s="29"/>
      <c r="G11506" s="30">
        <v>2257.4954166666666</v>
      </c>
    </row>
    <row r="11507" spans="1:7" hidden="1" x14ac:dyDescent="0.25">
      <c r="A11507" s="28">
        <v>44531</v>
      </c>
      <c r="B11507" s="27" t="s">
        <v>33</v>
      </c>
      <c r="C11507" s="27" t="s">
        <v>50</v>
      </c>
      <c r="D11507" s="27" t="s">
        <v>51</v>
      </c>
      <c r="E11507" s="27" t="s">
        <v>9</v>
      </c>
      <c r="F11507" s="29"/>
      <c r="G11507" s="30">
        <v>2257.4954166666666</v>
      </c>
    </row>
    <row r="11508" spans="1:7" hidden="1" x14ac:dyDescent="0.25">
      <c r="A11508" s="28">
        <v>44531</v>
      </c>
      <c r="B11508" s="27" t="s">
        <v>33</v>
      </c>
      <c r="C11508" s="27" t="s">
        <v>50</v>
      </c>
      <c r="D11508" s="27" t="s">
        <v>51</v>
      </c>
      <c r="E11508" s="27" t="s">
        <v>22</v>
      </c>
      <c r="F11508" s="29"/>
      <c r="G11508" s="30">
        <v>2257.4954166666666</v>
      </c>
    </row>
    <row r="11509" spans="1:7" hidden="1" x14ac:dyDescent="0.25">
      <c r="A11509" s="28">
        <v>44531</v>
      </c>
      <c r="B11509" s="27" t="s">
        <v>33</v>
      </c>
      <c r="C11509" s="27" t="s">
        <v>50</v>
      </c>
      <c r="D11509" s="27" t="s">
        <v>51</v>
      </c>
      <c r="E11509" s="27" t="s">
        <v>39</v>
      </c>
      <c r="F11509" s="29"/>
      <c r="G11509" s="30">
        <v>2257.4954166666666</v>
      </c>
    </row>
    <row r="11510" spans="1:7" hidden="1" x14ac:dyDescent="0.25">
      <c r="A11510" s="28">
        <v>44531</v>
      </c>
      <c r="B11510" s="27" t="s">
        <v>33</v>
      </c>
      <c r="C11510" s="27" t="s">
        <v>50</v>
      </c>
      <c r="D11510" s="27" t="s">
        <v>51</v>
      </c>
      <c r="E11510" s="27" t="s">
        <v>64</v>
      </c>
      <c r="F11510" s="29"/>
      <c r="G11510" s="30">
        <v>2257.4954166666666</v>
      </c>
    </row>
    <row r="11511" spans="1:7" hidden="1" x14ac:dyDescent="0.25">
      <c r="A11511" s="28">
        <v>44531</v>
      </c>
      <c r="B11511" s="27" t="s">
        <v>33</v>
      </c>
      <c r="C11511" s="27" t="s">
        <v>50</v>
      </c>
      <c r="D11511" s="27" t="s">
        <v>51</v>
      </c>
      <c r="E11511" s="27" t="s">
        <v>21</v>
      </c>
      <c r="F11511" s="29"/>
      <c r="G11511" s="30">
        <v>2257.4954166666666</v>
      </c>
    </row>
    <row r="11512" spans="1:7" hidden="1" x14ac:dyDescent="0.25">
      <c r="A11512" s="28">
        <v>44531</v>
      </c>
      <c r="B11512" s="27" t="s">
        <v>33</v>
      </c>
      <c r="C11512" s="27" t="s">
        <v>50</v>
      </c>
      <c r="D11512" s="27" t="s">
        <v>51</v>
      </c>
      <c r="E11512" s="27" t="s">
        <v>41</v>
      </c>
      <c r="F11512" s="29"/>
      <c r="G11512" s="30">
        <v>2257.4954166666666</v>
      </c>
    </row>
    <row r="11513" spans="1:7" hidden="1" x14ac:dyDescent="0.25">
      <c r="A11513" s="28">
        <v>44531</v>
      </c>
      <c r="B11513" s="27" t="s">
        <v>33</v>
      </c>
      <c r="C11513" s="27" t="s">
        <v>50</v>
      </c>
      <c r="D11513" s="27" t="s">
        <v>51</v>
      </c>
      <c r="E11513" s="27" t="s">
        <v>10</v>
      </c>
      <c r="F11513" s="29"/>
      <c r="G11513" s="30">
        <v>2257.4954166666666</v>
      </c>
    </row>
    <row r="11514" spans="1:7" hidden="1" x14ac:dyDescent="0.25">
      <c r="A11514" s="28">
        <v>44531</v>
      </c>
      <c r="B11514" s="27" t="s">
        <v>33</v>
      </c>
      <c r="C11514" s="27" t="s">
        <v>50</v>
      </c>
      <c r="D11514" s="27" t="s">
        <v>51</v>
      </c>
      <c r="E11514" s="27" t="s">
        <v>11</v>
      </c>
      <c r="F11514" s="29"/>
      <c r="G11514" s="30">
        <v>2257.4954166666666</v>
      </c>
    </row>
    <row r="11515" spans="1:7" hidden="1" x14ac:dyDescent="0.25">
      <c r="A11515" s="28">
        <v>44531</v>
      </c>
      <c r="B11515" s="27" t="s">
        <v>33</v>
      </c>
      <c r="C11515" s="27" t="s">
        <v>50</v>
      </c>
      <c r="D11515" s="27" t="s">
        <v>51</v>
      </c>
      <c r="E11515" s="27" t="s">
        <v>12</v>
      </c>
      <c r="F11515" s="29"/>
      <c r="G11515" s="30">
        <v>2257.4954166666666</v>
      </c>
    </row>
    <row r="11516" spans="1:7" hidden="1" x14ac:dyDescent="0.25">
      <c r="A11516" s="28">
        <v>44531</v>
      </c>
      <c r="B11516" s="27" t="s">
        <v>33</v>
      </c>
      <c r="C11516" s="27" t="s">
        <v>50</v>
      </c>
      <c r="D11516" s="27" t="s">
        <v>51</v>
      </c>
      <c r="E11516" s="27" t="s">
        <v>13</v>
      </c>
      <c r="F11516" s="29"/>
      <c r="G11516" s="30">
        <v>2257.4954166666666</v>
      </c>
    </row>
    <row r="11517" spans="1:7" hidden="1" x14ac:dyDescent="0.25">
      <c r="A11517" s="28">
        <v>44531</v>
      </c>
      <c r="B11517" s="27" t="s">
        <v>33</v>
      </c>
      <c r="C11517" s="27" t="s">
        <v>50</v>
      </c>
      <c r="D11517" s="27" t="s">
        <v>51</v>
      </c>
      <c r="E11517" s="27" t="s">
        <v>14</v>
      </c>
      <c r="F11517" s="29"/>
      <c r="G11517" s="30">
        <v>2257.4954166666666</v>
      </c>
    </row>
    <row r="11518" spans="1:7" hidden="1" x14ac:dyDescent="0.25">
      <c r="A11518" s="28">
        <v>44531</v>
      </c>
      <c r="B11518" s="27" t="s">
        <v>33</v>
      </c>
      <c r="C11518" s="27" t="s">
        <v>50</v>
      </c>
      <c r="D11518" s="27" t="s">
        <v>51</v>
      </c>
      <c r="E11518" s="27" t="s">
        <v>15</v>
      </c>
      <c r="F11518" s="29"/>
      <c r="G11518" s="30">
        <v>2257.4954166666666</v>
      </c>
    </row>
    <row r="11519" spans="1:7" hidden="1" x14ac:dyDescent="0.25">
      <c r="A11519" s="28">
        <v>44531</v>
      </c>
      <c r="B11519" s="27" t="s">
        <v>33</v>
      </c>
      <c r="C11519" s="27" t="s">
        <v>50</v>
      </c>
      <c r="D11519" s="27" t="s">
        <v>51</v>
      </c>
      <c r="E11519" s="27" t="s">
        <v>16</v>
      </c>
      <c r="F11519" s="29"/>
      <c r="G11519" s="30">
        <v>2257.4954166666666</v>
      </c>
    </row>
    <row r="11520" spans="1:7" hidden="1" x14ac:dyDescent="0.25">
      <c r="A11520" s="28">
        <v>44531</v>
      </c>
      <c r="B11520" s="27" t="s">
        <v>33</v>
      </c>
      <c r="C11520" s="27" t="s">
        <v>50</v>
      </c>
      <c r="D11520" s="27" t="s">
        <v>51</v>
      </c>
      <c r="E11520" s="27" t="s">
        <v>17</v>
      </c>
      <c r="F11520" s="29"/>
      <c r="G11520" s="30">
        <v>2257.4954166666666</v>
      </c>
    </row>
    <row r="11521" spans="1:7" hidden="1" x14ac:dyDescent="0.25">
      <c r="A11521" s="28">
        <v>44531</v>
      </c>
      <c r="B11521" s="27" t="s">
        <v>33</v>
      </c>
      <c r="C11521" s="27" t="s">
        <v>50</v>
      </c>
      <c r="D11521" s="27" t="s">
        <v>51</v>
      </c>
      <c r="E11521" s="27" t="s">
        <v>18</v>
      </c>
      <c r="F11521" s="29"/>
      <c r="G11521" s="30">
        <v>2257.4954166666666</v>
      </c>
    </row>
    <row r="11522" spans="1:7" hidden="1" x14ac:dyDescent="0.25">
      <c r="A11522" s="28">
        <v>44531</v>
      </c>
      <c r="B11522" s="27" t="s">
        <v>33</v>
      </c>
      <c r="C11522" s="27" t="s">
        <v>50</v>
      </c>
      <c r="D11522" s="27" t="s">
        <v>51</v>
      </c>
      <c r="E11522" s="27" t="s">
        <v>19</v>
      </c>
      <c r="F11522" s="29"/>
      <c r="G11522" s="30">
        <v>2257.4954166666666</v>
      </c>
    </row>
    <row r="11523" spans="1:7" hidden="1" x14ac:dyDescent="0.25">
      <c r="A11523" s="28">
        <v>44531</v>
      </c>
      <c r="B11523" s="27" t="s">
        <v>33</v>
      </c>
      <c r="C11523" s="27" t="s">
        <v>50</v>
      </c>
      <c r="D11523" s="27" t="s">
        <v>51</v>
      </c>
      <c r="E11523" s="27" t="s">
        <v>20</v>
      </c>
      <c r="F11523" s="29"/>
      <c r="G11523" s="30">
        <v>2257.4954166666666</v>
      </c>
    </row>
    <row r="11524" spans="1:7" hidden="1" x14ac:dyDescent="0.25">
      <c r="A11524" s="28">
        <v>44531</v>
      </c>
      <c r="B11524" s="27" t="s">
        <v>33</v>
      </c>
      <c r="C11524" s="27" t="s">
        <v>50</v>
      </c>
      <c r="D11524" s="27" t="s">
        <v>51</v>
      </c>
      <c r="E11524" s="27" t="s">
        <v>38</v>
      </c>
      <c r="F11524" s="29"/>
      <c r="G11524" s="30">
        <v>2257.4954166666666</v>
      </c>
    </row>
    <row r="11525" spans="1:7" hidden="1" x14ac:dyDescent="0.25">
      <c r="A11525" s="28">
        <v>44531</v>
      </c>
      <c r="B11525" s="27" t="s">
        <v>33</v>
      </c>
      <c r="C11525" s="27" t="s">
        <v>50</v>
      </c>
      <c r="D11525" s="27" t="s">
        <v>51</v>
      </c>
      <c r="E11525" s="27" t="s">
        <v>23</v>
      </c>
      <c r="F11525" s="29"/>
      <c r="G11525" s="30">
        <v>2257.4954166666666</v>
      </c>
    </row>
    <row r="11526" spans="1:7" hidden="1" x14ac:dyDescent="0.25">
      <c r="A11526" s="28">
        <v>44531</v>
      </c>
      <c r="B11526" s="27" t="s">
        <v>33</v>
      </c>
      <c r="C11526" s="27" t="s">
        <v>50</v>
      </c>
      <c r="D11526" s="27" t="s">
        <v>51</v>
      </c>
      <c r="E11526" s="27" t="s">
        <v>40</v>
      </c>
      <c r="F11526" s="29"/>
      <c r="G11526" s="30">
        <v>2257.4954166666666</v>
      </c>
    </row>
    <row r="11527" spans="1:7" hidden="1" x14ac:dyDescent="0.25">
      <c r="A11527" s="28">
        <v>44531</v>
      </c>
      <c r="B11527" s="27" t="s">
        <v>33</v>
      </c>
      <c r="C11527" s="27" t="s">
        <v>50</v>
      </c>
      <c r="D11527" s="27" t="s">
        <v>51</v>
      </c>
      <c r="E11527" s="27" t="s">
        <v>42</v>
      </c>
      <c r="F11527" s="29"/>
      <c r="G11527" s="30">
        <v>2257.4954166666666</v>
      </c>
    </row>
    <row r="11528" spans="1:7" hidden="1" x14ac:dyDescent="0.25">
      <c r="A11528" s="28">
        <v>44531</v>
      </c>
      <c r="B11528" s="27" t="s">
        <v>33</v>
      </c>
      <c r="C11528" s="27" t="s">
        <v>50</v>
      </c>
      <c r="D11528" s="27" t="s">
        <v>51</v>
      </c>
      <c r="E11528" s="27" t="s">
        <v>43</v>
      </c>
      <c r="F11528" s="29"/>
      <c r="G11528" s="30">
        <v>2257.4954166666666</v>
      </c>
    </row>
    <row r="11529" spans="1:7" hidden="1" x14ac:dyDescent="0.25">
      <c r="A11529" s="28">
        <v>44531</v>
      </c>
      <c r="B11529" s="27" t="s">
        <v>33</v>
      </c>
      <c r="C11529" s="27" t="s">
        <v>50</v>
      </c>
      <c r="D11529" s="27" t="s">
        <v>51</v>
      </c>
      <c r="E11529" s="27" t="s">
        <v>72</v>
      </c>
      <c r="F11529" s="29"/>
      <c r="G11529" s="30">
        <v>2257.4954166666666</v>
      </c>
    </row>
    <row r="11530" spans="1:7" hidden="1" x14ac:dyDescent="0.25">
      <c r="A11530" s="28">
        <v>44531</v>
      </c>
      <c r="B11530" s="27" t="s">
        <v>4</v>
      </c>
      <c r="C11530" s="27" t="s">
        <v>50</v>
      </c>
      <c r="D11530" s="27" t="s">
        <v>7</v>
      </c>
      <c r="E11530" s="27" t="s">
        <v>8</v>
      </c>
      <c r="F11530" s="29"/>
      <c r="G11530" s="30">
        <v>6275.62</v>
      </c>
    </row>
    <row r="11531" spans="1:7" hidden="1" x14ac:dyDescent="0.25">
      <c r="A11531" s="28">
        <v>44531</v>
      </c>
      <c r="B11531" s="27" t="s">
        <v>4</v>
      </c>
      <c r="C11531" s="27" t="s">
        <v>50</v>
      </c>
      <c r="D11531" s="27" t="s">
        <v>7</v>
      </c>
      <c r="E11531" s="27" t="s">
        <v>9</v>
      </c>
      <c r="F11531" s="29"/>
      <c r="G11531" s="30">
        <v>935.03</v>
      </c>
    </row>
    <row r="11532" spans="1:7" hidden="1" x14ac:dyDescent="0.25">
      <c r="A11532" s="28">
        <v>44531</v>
      </c>
      <c r="B11532" s="27" t="s">
        <v>4</v>
      </c>
      <c r="C11532" s="27" t="s">
        <v>50</v>
      </c>
      <c r="D11532" s="27" t="s">
        <v>7</v>
      </c>
      <c r="E11532" s="27" t="s">
        <v>22</v>
      </c>
      <c r="F11532" s="29"/>
      <c r="G11532" s="30">
        <f>53282.33/7</f>
        <v>7611.761428571429</v>
      </c>
    </row>
    <row r="11533" spans="1:7" hidden="1" x14ac:dyDescent="0.25">
      <c r="A11533" s="28">
        <v>44531</v>
      </c>
      <c r="B11533" s="27" t="s">
        <v>4</v>
      </c>
      <c r="C11533" s="27" t="s">
        <v>50</v>
      </c>
      <c r="D11533" s="27" t="s">
        <v>7</v>
      </c>
      <c r="E11533" s="27" t="s">
        <v>39</v>
      </c>
      <c r="F11533" s="29"/>
      <c r="G11533" s="30">
        <v>1427.9099999999999</v>
      </c>
    </row>
    <row r="11534" spans="1:7" hidden="1" x14ac:dyDescent="0.25">
      <c r="A11534" s="28">
        <v>44531</v>
      </c>
      <c r="B11534" s="27" t="s">
        <v>4</v>
      </c>
      <c r="C11534" s="27" t="s">
        <v>50</v>
      </c>
      <c r="D11534" s="27" t="s">
        <v>7</v>
      </c>
      <c r="E11534" s="27" t="s">
        <v>64</v>
      </c>
      <c r="F11534" s="29"/>
      <c r="G11534" s="30">
        <f>53282.33/7</f>
        <v>7611.761428571429</v>
      </c>
    </row>
    <row r="11535" spans="1:7" hidden="1" x14ac:dyDescent="0.25">
      <c r="A11535" s="28">
        <v>44531</v>
      </c>
      <c r="B11535" s="27" t="s">
        <v>4</v>
      </c>
      <c r="C11535" s="27" t="s">
        <v>50</v>
      </c>
      <c r="D11535" s="27" t="s">
        <v>7</v>
      </c>
      <c r="E11535" s="27" t="s">
        <v>21</v>
      </c>
      <c r="F11535" s="29"/>
      <c r="G11535" s="30">
        <v>2842.41</v>
      </c>
    </row>
    <row r="11536" spans="1:7" hidden="1" x14ac:dyDescent="0.25">
      <c r="A11536" s="28">
        <v>44531</v>
      </c>
      <c r="B11536" s="27" t="s">
        <v>4</v>
      </c>
      <c r="C11536" s="27" t="s">
        <v>50</v>
      </c>
      <c r="D11536" s="27" t="s">
        <v>7</v>
      </c>
      <c r="E11536" s="27" t="s">
        <v>41</v>
      </c>
      <c r="F11536" s="29"/>
      <c r="G11536" s="30">
        <f>53282.33/7</f>
        <v>7611.761428571429</v>
      </c>
    </row>
    <row r="11537" spans="1:7" hidden="1" x14ac:dyDescent="0.25">
      <c r="A11537" s="28">
        <v>44531</v>
      </c>
      <c r="B11537" s="27" t="s">
        <v>4</v>
      </c>
      <c r="C11537" s="27" t="s">
        <v>50</v>
      </c>
      <c r="D11537" s="27" t="s">
        <v>7</v>
      </c>
      <c r="E11537" s="27" t="s">
        <v>10</v>
      </c>
      <c r="F11537" s="29"/>
      <c r="G11537" s="30">
        <v>4714.4400000000005</v>
      </c>
    </row>
    <row r="11538" spans="1:7" hidden="1" x14ac:dyDescent="0.25">
      <c r="A11538" s="28">
        <v>44531</v>
      </c>
      <c r="B11538" s="27" t="s">
        <v>4</v>
      </c>
      <c r="C11538" s="27" t="s">
        <v>50</v>
      </c>
      <c r="D11538" s="27" t="s">
        <v>7</v>
      </c>
      <c r="E11538" s="27" t="s">
        <v>11</v>
      </c>
      <c r="F11538" s="29"/>
      <c r="G11538" s="30">
        <v>2730.27</v>
      </c>
    </row>
    <row r="11539" spans="1:7" hidden="1" x14ac:dyDescent="0.25">
      <c r="A11539" s="28">
        <v>44531</v>
      </c>
      <c r="B11539" s="27" t="s">
        <v>4</v>
      </c>
      <c r="C11539" s="27" t="s">
        <v>50</v>
      </c>
      <c r="D11539" s="27" t="s">
        <v>7</v>
      </c>
      <c r="E11539" s="27" t="s">
        <v>12</v>
      </c>
      <c r="F11539" s="29"/>
      <c r="G11539" s="30">
        <f>53282.33/7</f>
        <v>7611.761428571429</v>
      </c>
    </row>
    <row r="11540" spans="1:7" hidden="1" x14ac:dyDescent="0.25">
      <c r="A11540" s="28">
        <v>44531</v>
      </c>
      <c r="B11540" s="27" t="s">
        <v>4</v>
      </c>
      <c r="C11540" s="27" t="s">
        <v>50</v>
      </c>
      <c r="D11540" s="27" t="s">
        <v>7</v>
      </c>
      <c r="E11540" s="27" t="s">
        <v>13</v>
      </c>
      <c r="F11540" s="29"/>
      <c r="G11540" s="30">
        <v>5384.21</v>
      </c>
    </row>
    <row r="11541" spans="1:7" hidden="1" x14ac:dyDescent="0.25">
      <c r="A11541" s="28">
        <v>44531</v>
      </c>
      <c r="B11541" s="27" t="s">
        <v>4</v>
      </c>
      <c r="C11541" s="27" t="s">
        <v>50</v>
      </c>
      <c r="D11541" s="27" t="s">
        <v>7</v>
      </c>
      <c r="E11541" s="27" t="s">
        <v>14</v>
      </c>
      <c r="F11541" s="29"/>
      <c r="G11541" s="30">
        <v>496.95</v>
      </c>
    </row>
    <row r="11542" spans="1:7" hidden="1" x14ac:dyDescent="0.25">
      <c r="A11542" s="28">
        <v>44531</v>
      </c>
      <c r="B11542" s="27" t="s">
        <v>4</v>
      </c>
      <c r="C11542" s="27" t="s">
        <v>50</v>
      </c>
      <c r="D11542" s="27" t="s">
        <v>7</v>
      </c>
      <c r="E11542" s="27" t="s">
        <v>15</v>
      </c>
      <c r="F11542" s="29"/>
      <c r="G11542" s="30">
        <v>1102.46</v>
      </c>
    </row>
    <row r="11543" spans="1:7" hidden="1" x14ac:dyDescent="0.25">
      <c r="A11543" s="28">
        <v>44531</v>
      </c>
      <c r="B11543" s="27" t="s">
        <v>4</v>
      </c>
      <c r="C11543" s="27" t="s">
        <v>50</v>
      </c>
      <c r="D11543" s="27" t="s">
        <v>7</v>
      </c>
      <c r="E11543" s="27" t="s">
        <v>16</v>
      </c>
      <c r="F11543" s="29"/>
      <c r="G11543" s="30">
        <f>53282.33/7</f>
        <v>7611.761428571429</v>
      </c>
    </row>
    <row r="11544" spans="1:7" hidden="1" x14ac:dyDescent="0.25">
      <c r="A11544" s="28">
        <v>44531</v>
      </c>
      <c r="B11544" s="27" t="s">
        <v>4</v>
      </c>
      <c r="C11544" s="27" t="s">
        <v>50</v>
      </c>
      <c r="D11544" s="27" t="s">
        <v>7</v>
      </c>
      <c r="E11544" s="27" t="s">
        <v>17</v>
      </c>
      <c r="F11544" s="29"/>
      <c r="G11544" s="30">
        <v>6403.2199999999993</v>
      </c>
    </row>
    <row r="11545" spans="1:7" hidden="1" x14ac:dyDescent="0.25">
      <c r="A11545" s="28">
        <v>44531</v>
      </c>
      <c r="B11545" s="27" t="s">
        <v>4</v>
      </c>
      <c r="C11545" s="27" t="s">
        <v>50</v>
      </c>
      <c r="D11545" s="27" t="s">
        <v>7</v>
      </c>
      <c r="E11545" s="27" t="s">
        <v>18</v>
      </c>
      <c r="F11545" s="29"/>
      <c r="G11545" s="30">
        <v>909.49</v>
      </c>
    </row>
    <row r="11546" spans="1:7" hidden="1" x14ac:dyDescent="0.25">
      <c r="A11546" s="28">
        <v>44531</v>
      </c>
      <c r="B11546" s="27" t="s">
        <v>4</v>
      </c>
      <c r="C11546" s="27" t="s">
        <v>50</v>
      </c>
      <c r="D11546" s="27" t="s">
        <v>7</v>
      </c>
      <c r="E11546" s="27" t="s">
        <v>19</v>
      </c>
      <c r="F11546" s="29"/>
      <c r="G11546" s="30">
        <v>6005.18</v>
      </c>
    </row>
    <row r="11547" spans="1:7" hidden="1" x14ac:dyDescent="0.25">
      <c r="A11547" s="28">
        <v>44531</v>
      </c>
      <c r="B11547" s="27" t="s">
        <v>4</v>
      </c>
      <c r="C11547" s="27" t="s">
        <v>50</v>
      </c>
      <c r="D11547" s="27" t="s">
        <v>7</v>
      </c>
      <c r="E11547" s="27" t="s">
        <v>20</v>
      </c>
      <c r="F11547" s="29"/>
      <c r="G11547" s="30">
        <v>2196.69</v>
      </c>
    </row>
    <row r="11548" spans="1:7" hidden="1" x14ac:dyDescent="0.25">
      <c r="A11548" s="28">
        <v>44531</v>
      </c>
      <c r="B11548" s="27" t="s">
        <v>4</v>
      </c>
      <c r="C11548" s="27" t="s">
        <v>50</v>
      </c>
      <c r="D11548" s="27" t="s">
        <v>7</v>
      </c>
      <c r="E11548" s="27" t="s">
        <v>38</v>
      </c>
      <c r="F11548" s="29"/>
      <c r="G11548" s="30">
        <f>53282.33/7</f>
        <v>7611.761428571429</v>
      </c>
    </row>
    <row r="11549" spans="1:7" hidden="1" x14ac:dyDescent="0.25">
      <c r="A11549" s="28">
        <v>44531</v>
      </c>
      <c r="B11549" s="27" t="s">
        <v>4</v>
      </c>
      <c r="C11549" s="27" t="s">
        <v>50</v>
      </c>
      <c r="D11549" s="27" t="s">
        <v>7</v>
      </c>
      <c r="E11549" s="27" t="s">
        <v>23</v>
      </c>
      <c r="F11549" s="29"/>
      <c r="G11549" s="30">
        <v>2434.04</v>
      </c>
    </row>
    <row r="11550" spans="1:7" hidden="1" x14ac:dyDescent="0.25">
      <c r="A11550" s="28">
        <v>44531</v>
      </c>
      <c r="B11550" s="27" t="s">
        <v>4</v>
      </c>
      <c r="C11550" s="27" t="s">
        <v>50</v>
      </c>
      <c r="D11550" s="27" t="s">
        <v>7</v>
      </c>
      <c r="E11550" s="27" t="s">
        <v>40</v>
      </c>
      <c r="F11550" s="29"/>
      <c r="G11550" s="30">
        <v>725.61</v>
      </c>
    </row>
    <row r="11551" spans="1:7" hidden="1" x14ac:dyDescent="0.25">
      <c r="A11551" s="28">
        <v>44531</v>
      </c>
      <c r="B11551" s="27" t="s">
        <v>4</v>
      </c>
      <c r="C11551" s="27" t="s">
        <v>50</v>
      </c>
      <c r="D11551" s="27" t="s">
        <v>7</v>
      </c>
      <c r="E11551" s="27" t="s">
        <v>42</v>
      </c>
      <c r="F11551" s="29"/>
      <c r="G11551" s="30">
        <f>53282.33/7</f>
        <v>7611.761428571429</v>
      </c>
    </row>
    <row r="11552" spans="1:7" hidden="1" x14ac:dyDescent="0.25">
      <c r="A11552" s="28">
        <v>44531</v>
      </c>
      <c r="B11552" s="27" t="s">
        <v>4</v>
      </c>
      <c r="C11552" s="27" t="s">
        <v>50</v>
      </c>
      <c r="D11552" s="27" t="s">
        <v>7</v>
      </c>
      <c r="E11552" s="27" t="s">
        <v>43</v>
      </c>
      <c r="F11552" s="29"/>
      <c r="G11552" s="30">
        <v>200</v>
      </c>
    </row>
    <row r="11553" spans="1:7" hidden="1" x14ac:dyDescent="0.25">
      <c r="A11553" s="28">
        <v>44531</v>
      </c>
      <c r="B11553" s="27" t="s">
        <v>4</v>
      </c>
      <c r="C11553" s="27" t="s">
        <v>50</v>
      </c>
      <c r="D11553" s="27" t="s">
        <v>7</v>
      </c>
      <c r="E11553" s="27" t="s">
        <v>72</v>
      </c>
      <c r="F11553" s="29"/>
      <c r="G11553" s="30">
        <v>142.76</v>
      </c>
    </row>
    <row r="11554" spans="1:7" hidden="1" x14ac:dyDescent="0.25">
      <c r="A11554" s="28">
        <v>44531</v>
      </c>
      <c r="B11554" s="27" t="s">
        <v>26</v>
      </c>
      <c r="C11554" s="27" t="s">
        <v>50</v>
      </c>
      <c r="D11554" s="27" t="s">
        <v>6</v>
      </c>
      <c r="E11554" s="27" t="s">
        <v>8</v>
      </c>
      <c r="F11554" s="29"/>
      <c r="G11554" s="30">
        <v>719.18234681218985</v>
      </c>
    </row>
    <row r="11555" spans="1:7" hidden="1" x14ac:dyDescent="0.25">
      <c r="A11555" s="28">
        <v>44531</v>
      </c>
      <c r="B11555" s="27" t="s">
        <v>26</v>
      </c>
      <c r="C11555" s="27" t="s">
        <v>50</v>
      </c>
      <c r="D11555" s="27" t="s">
        <v>6</v>
      </c>
      <c r="E11555" s="27" t="s">
        <v>9</v>
      </c>
      <c r="F11555" s="29"/>
      <c r="G11555" s="30">
        <v>1595.1320615825009</v>
      </c>
    </row>
    <row r="11556" spans="1:7" hidden="1" x14ac:dyDescent="0.25">
      <c r="A11556" s="28">
        <v>44531</v>
      </c>
      <c r="B11556" s="27" t="s">
        <v>26</v>
      </c>
      <c r="C11556" s="27" t="s">
        <v>50</v>
      </c>
      <c r="D11556" s="27" t="s">
        <v>6</v>
      </c>
      <c r="E11556" s="27" t="s">
        <v>22</v>
      </c>
      <c r="F11556" s="29"/>
      <c r="G11556" s="30">
        <v>2121.8036778000037</v>
      </c>
    </row>
    <row r="11557" spans="1:7" hidden="1" x14ac:dyDescent="0.25">
      <c r="A11557" s="28">
        <v>44531</v>
      </c>
      <c r="B11557" s="27" t="s">
        <v>26</v>
      </c>
      <c r="C11557" s="27" t="s">
        <v>50</v>
      </c>
      <c r="D11557" s="27" t="s">
        <v>6</v>
      </c>
      <c r="E11557" s="27" t="s">
        <v>39</v>
      </c>
      <c r="F11557" s="29"/>
      <c r="G11557" s="30">
        <v>1858.2521149872089</v>
      </c>
    </row>
    <row r="11558" spans="1:7" hidden="1" x14ac:dyDescent="0.25">
      <c r="A11558" s="28">
        <v>44531</v>
      </c>
      <c r="B11558" s="27" t="s">
        <v>26</v>
      </c>
      <c r="C11558" s="27" t="s">
        <v>50</v>
      </c>
      <c r="D11558" s="27" t="s">
        <v>6</v>
      </c>
      <c r="E11558" s="27" t="s">
        <v>64</v>
      </c>
      <c r="F11558" s="29"/>
      <c r="G11558" s="30">
        <v>1276.3329108875935</v>
      </c>
    </row>
    <row r="11559" spans="1:7" hidden="1" x14ac:dyDescent="0.25">
      <c r="A11559" s="28">
        <v>44531</v>
      </c>
      <c r="B11559" s="27" t="s">
        <v>26</v>
      </c>
      <c r="C11559" s="27" t="s">
        <v>50</v>
      </c>
      <c r="D11559" s="27" t="s">
        <v>6</v>
      </c>
      <c r="E11559" s="27" t="s">
        <v>21</v>
      </c>
      <c r="F11559" s="29"/>
      <c r="G11559" s="30">
        <v>1372.0704648952321</v>
      </c>
    </row>
    <row r="11560" spans="1:7" hidden="1" x14ac:dyDescent="0.25">
      <c r="A11560" s="28">
        <v>44531</v>
      </c>
      <c r="B11560" s="27" t="s">
        <v>26</v>
      </c>
      <c r="C11560" s="27" t="s">
        <v>50</v>
      </c>
      <c r="D11560" s="27" t="s">
        <v>6</v>
      </c>
      <c r="E11560" s="27" t="s">
        <v>41</v>
      </c>
      <c r="F11560" s="29"/>
      <c r="G11560" s="30">
        <v>1581.4819806400055</v>
      </c>
    </row>
    <row r="11561" spans="1:7" hidden="1" x14ac:dyDescent="0.25">
      <c r="A11561" s="28">
        <v>44531</v>
      </c>
      <c r="B11561" s="27" t="s">
        <v>26</v>
      </c>
      <c r="C11561" s="27" t="s">
        <v>50</v>
      </c>
      <c r="D11561" s="27" t="s">
        <v>6</v>
      </c>
      <c r="E11561" s="27" t="s">
        <v>10</v>
      </c>
      <c r="F11561" s="29"/>
      <c r="G11561" s="30">
        <v>2188.8314725228997</v>
      </c>
    </row>
    <row r="11562" spans="1:7" hidden="1" x14ac:dyDescent="0.25">
      <c r="A11562" s="28">
        <v>44531</v>
      </c>
      <c r="B11562" s="27" t="s">
        <v>26</v>
      </c>
      <c r="C11562" s="27" t="s">
        <v>50</v>
      </c>
      <c r="D11562" s="27" t="s">
        <v>6</v>
      </c>
      <c r="E11562" s="27" t="s">
        <v>11</v>
      </c>
      <c r="F11562" s="29"/>
      <c r="G11562" s="30">
        <v>1627.7110218930932</v>
      </c>
    </row>
    <row r="11563" spans="1:7" hidden="1" x14ac:dyDescent="0.25">
      <c r="A11563" s="28">
        <v>44531</v>
      </c>
      <c r="B11563" s="27" t="s">
        <v>26</v>
      </c>
      <c r="C11563" s="27" t="s">
        <v>50</v>
      </c>
      <c r="D11563" s="27" t="s">
        <v>6</v>
      </c>
      <c r="E11563" s="27" t="s">
        <v>12</v>
      </c>
      <c r="F11563" s="29"/>
      <c r="G11563" s="30">
        <v>1714.4875638594519</v>
      </c>
    </row>
    <row r="11564" spans="1:7" hidden="1" x14ac:dyDescent="0.25">
      <c r="A11564" s="28">
        <v>44531</v>
      </c>
      <c r="B11564" s="27" t="s">
        <v>26</v>
      </c>
      <c r="C11564" s="27" t="s">
        <v>50</v>
      </c>
      <c r="D11564" s="27" t="s">
        <v>6</v>
      </c>
      <c r="E11564" s="27" t="s">
        <v>13</v>
      </c>
      <c r="F11564" s="29"/>
      <c r="G11564" s="30">
        <v>1743.4562287890469</v>
      </c>
    </row>
    <row r="11565" spans="1:7" hidden="1" x14ac:dyDescent="0.25">
      <c r="A11565" s="28">
        <v>44531</v>
      </c>
      <c r="B11565" s="27" t="s">
        <v>26</v>
      </c>
      <c r="C11565" s="27" t="s">
        <v>50</v>
      </c>
      <c r="D11565" s="27" t="s">
        <v>6</v>
      </c>
      <c r="E11565" s="27" t="s">
        <v>14</v>
      </c>
      <c r="F11565" s="29"/>
      <c r="G11565" s="30">
        <v>561.68141286032039</v>
      </c>
    </row>
    <row r="11566" spans="1:7" hidden="1" x14ac:dyDescent="0.25">
      <c r="A11566" s="28">
        <v>44531</v>
      </c>
      <c r="B11566" s="27" t="s">
        <v>26</v>
      </c>
      <c r="C11566" s="27" t="s">
        <v>50</v>
      </c>
      <c r="D11566" s="27" t="s">
        <v>6</v>
      </c>
      <c r="E11566" s="27" t="s">
        <v>15</v>
      </c>
      <c r="F11566" s="29"/>
      <c r="G11566" s="30">
        <v>1903.4886846016955</v>
      </c>
    </row>
    <row r="11567" spans="1:7" hidden="1" x14ac:dyDescent="0.25">
      <c r="A11567" s="28">
        <v>44531</v>
      </c>
      <c r="B11567" s="27" t="s">
        <v>26</v>
      </c>
      <c r="C11567" s="27" t="s">
        <v>50</v>
      </c>
      <c r="D11567" s="27" t="s">
        <v>6</v>
      </c>
      <c r="E11567" s="27" t="s">
        <v>16</v>
      </c>
      <c r="F11567" s="29"/>
      <c r="G11567" s="30">
        <v>2154.0949651718715</v>
      </c>
    </row>
    <row r="11568" spans="1:7" hidden="1" x14ac:dyDescent="0.25">
      <c r="A11568" s="28">
        <v>44531</v>
      </c>
      <c r="B11568" s="27" t="s">
        <v>26</v>
      </c>
      <c r="C11568" s="27" t="s">
        <v>50</v>
      </c>
      <c r="D11568" s="27" t="s">
        <v>6</v>
      </c>
      <c r="E11568" s="27" t="s">
        <v>17</v>
      </c>
      <c r="F11568" s="29"/>
      <c r="G11568" s="30">
        <v>3135.6350321011482</v>
      </c>
    </row>
    <row r="11569" spans="1:7" hidden="1" x14ac:dyDescent="0.25">
      <c r="A11569" s="28">
        <v>44531</v>
      </c>
      <c r="B11569" s="27" t="s">
        <v>26</v>
      </c>
      <c r="C11569" s="27" t="s">
        <v>50</v>
      </c>
      <c r="D11569" s="27" t="s">
        <v>6</v>
      </c>
      <c r="E11569" s="27" t="s">
        <v>18</v>
      </c>
      <c r="F11569" s="29"/>
      <c r="G11569" s="30">
        <v>1603.690331509566</v>
      </c>
    </row>
    <row r="11570" spans="1:7" hidden="1" x14ac:dyDescent="0.25">
      <c r="A11570" s="28">
        <v>44531</v>
      </c>
      <c r="B11570" s="27" t="s">
        <v>26</v>
      </c>
      <c r="C11570" s="27" t="s">
        <v>50</v>
      </c>
      <c r="D11570" s="27" t="s">
        <v>6</v>
      </c>
      <c r="E11570" s="27" t="s">
        <v>19</v>
      </c>
      <c r="F11570" s="29"/>
      <c r="G11570" s="30">
        <v>2421.1417541901737</v>
      </c>
    </row>
    <row r="11571" spans="1:7" hidden="1" x14ac:dyDescent="0.25">
      <c r="A11571" s="28">
        <v>44531</v>
      </c>
      <c r="B11571" s="27" t="s">
        <v>26</v>
      </c>
      <c r="C11571" s="27" t="s">
        <v>50</v>
      </c>
      <c r="D11571" s="27" t="s">
        <v>6</v>
      </c>
      <c r="E11571" s="27" t="s">
        <v>20</v>
      </c>
      <c r="F11571" s="29"/>
      <c r="G11571" s="30">
        <v>1946.4814052941281</v>
      </c>
    </row>
    <row r="11572" spans="1:7" hidden="1" x14ac:dyDescent="0.25">
      <c r="A11572" s="28">
        <v>44531</v>
      </c>
      <c r="B11572" s="27" t="s">
        <v>26</v>
      </c>
      <c r="C11572" s="27" t="s">
        <v>50</v>
      </c>
      <c r="D11572" s="27" t="s">
        <v>6</v>
      </c>
      <c r="E11572" s="27" t="s">
        <v>38</v>
      </c>
      <c r="F11572" s="29"/>
      <c r="G11572" s="30">
        <v>760.63601728244464</v>
      </c>
    </row>
    <row r="11573" spans="1:7" hidden="1" x14ac:dyDescent="0.25">
      <c r="A11573" s="28">
        <v>44531</v>
      </c>
      <c r="B11573" s="27" t="s">
        <v>26</v>
      </c>
      <c r="C11573" s="27" t="s">
        <v>50</v>
      </c>
      <c r="D11573" s="27" t="s">
        <v>6</v>
      </c>
      <c r="E11573" s="27" t="s">
        <v>23</v>
      </c>
      <c r="F11573" s="29"/>
      <c r="G11573" s="30">
        <v>2589.0564485238838</v>
      </c>
    </row>
    <row r="11574" spans="1:7" hidden="1" x14ac:dyDescent="0.25">
      <c r="A11574" s="28">
        <v>44531</v>
      </c>
      <c r="B11574" s="27" t="s">
        <v>26</v>
      </c>
      <c r="C11574" s="27" t="s">
        <v>50</v>
      </c>
      <c r="D11574" s="27" t="s">
        <v>6</v>
      </c>
      <c r="E11574" s="27" t="s">
        <v>40</v>
      </c>
      <c r="F11574" s="29"/>
      <c r="G11574" s="30">
        <v>834.25152230214019</v>
      </c>
    </row>
    <row r="11575" spans="1:7" hidden="1" x14ac:dyDescent="0.25">
      <c r="A11575" s="28">
        <v>44531</v>
      </c>
      <c r="B11575" s="27" t="s">
        <v>26</v>
      </c>
      <c r="C11575" s="27" t="s">
        <v>50</v>
      </c>
      <c r="D11575" s="27" t="s">
        <v>6</v>
      </c>
      <c r="E11575" s="27" t="s">
        <v>37</v>
      </c>
      <c r="F11575" s="29"/>
      <c r="G11575" s="30">
        <v>791.10058149340887</v>
      </c>
    </row>
    <row r="11576" spans="1:7" hidden="1" x14ac:dyDescent="0.25">
      <c r="A11576" s="28">
        <v>44531</v>
      </c>
      <c r="B11576" s="27" t="s">
        <v>3</v>
      </c>
      <c r="C11576" s="27" t="s">
        <v>50</v>
      </c>
      <c r="D11576" s="27" t="s">
        <v>51</v>
      </c>
      <c r="E11576" s="27" t="s">
        <v>8</v>
      </c>
      <c r="F11576" s="29"/>
      <c r="G11576" s="30">
        <v>707.87541666666664</v>
      </c>
    </row>
    <row r="11577" spans="1:7" hidden="1" x14ac:dyDescent="0.25">
      <c r="A11577" s="28">
        <v>44531</v>
      </c>
      <c r="B11577" s="27" t="s">
        <v>3</v>
      </c>
      <c r="C11577" s="27" t="s">
        <v>50</v>
      </c>
      <c r="D11577" s="27" t="s">
        <v>51</v>
      </c>
      <c r="E11577" s="27" t="s">
        <v>9</v>
      </c>
      <c r="F11577" s="29"/>
      <c r="G11577" s="30">
        <v>707.87541666666664</v>
      </c>
    </row>
    <row r="11578" spans="1:7" hidden="1" x14ac:dyDescent="0.25">
      <c r="A11578" s="28">
        <v>44531</v>
      </c>
      <c r="B11578" s="27" t="s">
        <v>3</v>
      </c>
      <c r="C11578" s="27" t="s">
        <v>50</v>
      </c>
      <c r="D11578" s="27" t="s">
        <v>51</v>
      </c>
      <c r="E11578" s="27" t="s">
        <v>22</v>
      </c>
      <c r="F11578" s="29"/>
      <c r="G11578" s="30">
        <v>707.87541666666664</v>
      </c>
    </row>
    <row r="11579" spans="1:7" hidden="1" x14ac:dyDescent="0.25">
      <c r="A11579" s="28">
        <v>44531</v>
      </c>
      <c r="B11579" s="27" t="s">
        <v>3</v>
      </c>
      <c r="C11579" s="27" t="s">
        <v>50</v>
      </c>
      <c r="D11579" s="27" t="s">
        <v>51</v>
      </c>
      <c r="E11579" s="27" t="s">
        <v>39</v>
      </c>
      <c r="F11579" s="29"/>
      <c r="G11579" s="30">
        <v>707.87541666666664</v>
      </c>
    </row>
    <row r="11580" spans="1:7" hidden="1" x14ac:dyDescent="0.25">
      <c r="A11580" s="28">
        <v>44531</v>
      </c>
      <c r="B11580" s="27" t="s">
        <v>3</v>
      </c>
      <c r="C11580" s="27" t="s">
        <v>50</v>
      </c>
      <c r="D11580" s="27" t="s">
        <v>51</v>
      </c>
      <c r="E11580" s="27" t="s">
        <v>64</v>
      </c>
      <c r="F11580" s="29"/>
      <c r="G11580" s="30">
        <v>707.87541666666664</v>
      </c>
    </row>
    <row r="11581" spans="1:7" hidden="1" x14ac:dyDescent="0.25">
      <c r="A11581" s="28">
        <v>44531</v>
      </c>
      <c r="B11581" s="27" t="s">
        <v>3</v>
      </c>
      <c r="C11581" s="27" t="s">
        <v>50</v>
      </c>
      <c r="D11581" s="27" t="s">
        <v>51</v>
      </c>
      <c r="E11581" s="27" t="s">
        <v>21</v>
      </c>
      <c r="F11581" s="29"/>
      <c r="G11581" s="30">
        <v>707.87541666666664</v>
      </c>
    </row>
    <row r="11582" spans="1:7" hidden="1" x14ac:dyDescent="0.25">
      <c r="A11582" s="28">
        <v>44531</v>
      </c>
      <c r="B11582" s="27" t="s">
        <v>3</v>
      </c>
      <c r="C11582" s="27" t="s">
        <v>50</v>
      </c>
      <c r="D11582" s="27" t="s">
        <v>51</v>
      </c>
      <c r="E11582" s="27" t="s">
        <v>41</v>
      </c>
      <c r="F11582" s="29"/>
      <c r="G11582" s="30">
        <v>707.87541666666664</v>
      </c>
    </row>
    <row r="11583" spans="1:7" hidden="1" x14ac:dyDescent="0.25">
      <c r="A11583" s="28">
        <v>44531</v>
      </c>
      <c r="B11583" s="27" t="s">
        <v>3</v>
      </c>
      <c r="C11583" s="27" t="s">
        <v>50</v>
      </c>
      <c r="D11583" s="27" t="s">
        <v>51</v>
      </c>
      <c r="E11583" s="27" t="s">
        <v>10</v>
      </c>
      <c r="F11583" s="29"/>
      <c r="G11583" s="30">
        <v>707.87541666666664</v>
      </c>
    </row>
    <row r="11584" spans="1:7" hidden="1" x14ac:dyDescent="0.25">
      <c r="A11584" s="28">
        <v>44531</v>
      </c>
      <c r="B11584" s="27" t="s">
        <v>3</v>
      </c>
      <c r="C11584" s="27" t="s">
        <v>50</v>
      </c>
      <c r="D11584" s="27" t="s">
        <v>51</v>
      </c>
      <c r="E11584" s="27" t="s">
        <v>11</v>
      </c>
      <c r="F11584" s="29"/>
      <c r="G11584" s="30">
        <v>707.87541666666664</v>
      </c>
    </row>
    <row r="11585" spans="1:7" hidden="1" x14ac:dyDescent="0.25">
      <c r="A11585" s="28">
        <v>44531</v>
      </c>
      <c r="B11585" s="27" t="s">
        <v>3</v>
      </c>
      <c r="C11585" s="27" t="s">
        <v>50</v>
      </c>
      <c r="D11585" s="27" t="s">
        <v>51</v>
      </c>
      <c r="E11585" s="27" t="s">
        <v>12</v>
      </c>
      <c r="F11585" s="29"/>
      <c r="G11585" s="30">
        <v>707.87541666666664</v>
      </c>
    </row>
    <row r="11586" spans="1:7" hidden="1" x14ac:dyDescent="0.25">
      <c r="A11586" s="28">
        <v>44531</v>
      </c>
      <c r="B11586" s="27" t="s">
        <v>3</v>
      </c>
      <c r="C11586" s="27" t="s">
        <v>50</v>
      </c>
      <c r="D11586" s="27" t="s">
        <v>51</v>
      </c>
      <c r="E11586" s="27" t="s">
        <v>13</v>
      </c>
      <c r="F11586" s="29"/>
      <c r="G11586" s="30">
        <v>707.87541666666664</v>
      </c>
    </row>
    <row r="11587" spans="1:7" hidden="1" x14ac:dyDescent="0.25">
      <c r="A11587" s="28">
        <v>44531</v>
      </c>
      <c r="B11587" s="27" t="s">
        <v>3</v>
      </c>
      <c r="C11587" s="27" t="s">
        <v>50</v>
      </c>
      <c r="D11587" s="27" t="s">
        <v>51</v>
      </c>
      <c r="E11587" s="27" t="s">
        <v>14</v>
      </c>
      <c r="F11587" s="29"/>
      <c r="G11587" s="30">
        <v>707.87541666666664</v>
      </c>
    </row>
    <row r="11588" spans="1:7" hidden="1" x14ac:dyDescent="0.25">
      <c r="A11588" s="28">
        <v>44531</v>
      </c>
      <c r="B11588" s="27" t="s">
        <v>3</v>
      </c>
      <c r="C11588" s="27" t="s">
        <v>50</v>
      </c>
      <c r="D11588" s="27" t="s">
        <v>51</v>
      </c>
      <c r="E11588" s="27" t="s">
        <v>15</v>
      </c>
      <c r="F11588" s="29"/>
      <c r="G11588" s="30">
        <v>707.87541666666664</v>
      </c>
    </row>
    <row r="11589" spans="1:7" hidden="1" x14ac:dyDescent="0.25">
      <c r="A11589" s="28">
        <v>44531</v>
      </c>
      <c r="B11589" s="27" t="s">
        <v>3</v>
      </c>
      <c r="C11589" s="27" t="s">
        <v>50</v>
      </c>
      <c r="D11589" s="27" t="s">
        <v>51</v>
      </c>
      <c r="E11589" s="27" t="s">
        <v>16</v>
      </c>
      <c r="F11589" s="29"/>
      <c r="G11589" s="30">
        <v>707.87541666666664</v>
      </c>
    </row>
    <row r="11590" spans="1:7" hidden="1" x14ac:dyDescent="0.25">
      <c r="A11590" s="28">
        <v>44531</v>
      </c>
      <c r="B11590" s="27" t="s">
        <v>3</v>
      </c>
      <c r="C11590" s="27" t="s">
        <v>50</v>
      </c>
      <c r="D11590" s="27" t="s">
        <v>51</v>
      </c>
      <c r="E11590" s="27" t="s">
        <v>17</v>
      </c>
      <c r="F11590" s="29"/>
      <c r="G11590" s="30">
        <v>707.87541666666664</v>
      </c>
    </row>
    <row r="11591" spans="1:7" hidden="1" x14ac:dyDescent="0.25">
      <c r="A11591" s="28">
        <v>44531</v>
      </c>
      <c r="B11591" s="27" t="s">
        <v>3</v>
      </c>
      <c r="C11591" s="27" t="s">
        <v>50</v>
      </c>
      <c r="D11591" s="27" t="s">
        <v>51</v>
      </c>
      <c r="E11591" s="27" t="s">
        <v>18</v>
      </c>
      <c r="F11591" s="29"/>
      <c r="G11591" s="30">
        <v>707.87541666666664</v>
      </c>
    </row>
    <row r="11592" spans="1:7" hidden="1" x14ac:dyDescent="0.25">
      <c r="A11592" s="28">
        <v>44531</v>
      </c>
      <c r="B11592" s="27" t="s">
        <v>3</v>
      </c>
      <c r="C11592" s="27" t="s">
        <v>50</v>
      </c>
      <c r="D11592" s="27" t="s">
        <v>51</v>
      </c>
      <c r="E11592" s="27" t="s">
        <v>19</v>
      </c>
      <c r="F11592" s="29"/>
      <c r="G11592" s="30">
        <v>707.87541666666664</v>
      </c>
    </row>
    <row r="11593" spans="1:7" hidden="1" x14ac:dyDescent="0.25">
      <c r="A11593" s="28">
        <v>44531</v>
      </c>
      <c r="B11593" s="27" t="s">
        <v>3</v>
      </c>
      <c r="C11593" s="27" t="s">
        <v>50</v>
      </c>
      <c r="D11593" s="27" t="s">
        <v>51</v>
      </c>
      <c r="E11593" s="27" t="s">
        <v>20</v>
      </c>
      <c r="F11593" s="29"/>
      <c r="G11593" s="30">
        <v>707.87541666666664</v>
      </c>
    </row>
    <row r="11594" spans="1:7" hidden="1" x14ac:dyDescent="0.25">
      <c r="A11594" s="28">
        <v>44531</v>
      </c>
      <c r="B11594" s="27" t="s">
        <v>3</v>
      </c>
      <c r="C11594" s="27" t="s">
        <v>50</v>
      </c>
      <c r="D11594" s="27" t="s">
        <v>51</v>
      </c>
      <c r="E11594" s="27" t="s">
        <v>38</v>
      </c>
      <c r="F11594" s="29"/>
      <c r="G11594" s="30">
        <v>707.87541666666664</v>
      </c>
    </row>
    <row r="11595" spans="1:7" hidden="1" x14ac:dyDescent="0.25">
      <c r="A11595" s="28">
        <v>44531</v>
      </c>
      <c r="B11595" s="27" t="s">
        <v>3</v>
      </c>
      <c r="C11595" s="27" t="s">
        <v>50</v>
      </c>
      <c r="D11595" s="27" t="s">
        <v>51</v>
      </c>
      <c r="E11595" s="27" t="s">
        <v>23</v>
      </c>
      <c r="F11595" s="29"/>
      <c r="G11595" s="30">
        <v>707.87541666666664</v>
      </c>
    </row>
    <row r="11596" spans="1:7" hidden="1" x14ac:dyDescent="0.25">
      <c r="A11596" s="28">
        <v>44531</v>
      </c>
      <c r="B11596" s="27" t="s">
        <v>3</v>
      </c>
      <c r="C11596" s="27" t="s">
        <v>50</v>
      </c>
      <c r="D11596" s="27" t="s">
        <v>51</v>
      </c>
      <c r="E11596" s="27" t="s">
        <v>40</v>
      </c>
      <c r="F11596" s="29"/>
      <c r="G11596" s="30">
        <v>707.87541666666664</v>
      </c>
    </row>
    <row r="11597" spans="1:7" hidden="1" x14ac:dyDescent="0.25">
      <c r="A11597" s="28">
        <v>44531</v>
      </c>
      <c r="B11597" s="27" t="s">
        <v>3</v>
      </c>
      <c r="C11597" s="27" t="s">
        <v>50</v>
      </c>
      <c r="D11597" s="27" t="s">
        <v>51</v>
      </c>
      <c r="E11597" s="27" t="s">
        <v>42</v>
      </c>
      <c r="F11597" s="29"/>
      <c r="G11597" s="30">
        <v>707.87541666666664</v>
      </c>
    </row>
    <row r="11598" spans="1:7" hidden="1" x14ac:dyDescent="0.25">
      <c r="A11598" s="28">
        <v>44531</v>
      </c>
      <c r="B11598" s="27" t="s">
        <v>3</v>
      </c>
      <c r="C11598" s="27" t="s">
        <v>50</v>
      </c>
      <c r="D11598" s="27" t="s">
        <v>51</v>
      </c>
      <c r="E11598" s="27" t="s">
        <v>43</v>
      </c>
      <c r="F11598" s="29"/>
      <c r="G11598" s="30">
        <v>707.87541666666664</v>
      </c>
    </row>
    <row r="11599" spans="1:7" hidden="1" x14ac:dyDescent="0.25">
      <c r="A11599" s="28">
        <v>44531</v>
      </c>
      <c r="B11599" s="27" t="s">
        <v>3</v>
      </c>
      <c r="C11599" s="27" t="s">
        <v>50</v>
      </c>
      <c r="D11599" s="27" t="s">
        <v>51</v>
      </c>
      <c r="E11599" s="27" t="s">
        <v>72</v>
      </c>
      <c r="F11599" s="29"/>
      <c r="G11599" s="30">
        <v>707.87541666666664</v>
      </c>
    </row>
    <row r="11600" spans="1:7" hidden="1" x14ac:dyDescent="0.25">
      <c r="A11600" s="28">
        <v>44531</v>
      </c>
      <c r="B11600" s="27" t="s">
        <v>179</v>
      </c>
      <c r="C11600" s="27" t="s">
        <v>50</v>
      </c>
      <c r="D11600" s="27" t="s">
        <v>6</v>
      </c>
      <c r="E11600" s="27" t="s">
        <v>8</v>
      </c>
      <c r="F11600" s="29"/>
      <c r="G11600" s="30">
        <v>54.168999999999997</v>
      </c>
    </row>
    <row r="11601" spans="1:7" hidden="1" x14ac:dyDescent="0.25">
      <c r="A11601" s="28">
        <v>44531</v>
      </c>
      <c r="B11601" s="27" t="s">
        <v>179</v>
      </c>
      <c r="C11601" s="27" t="s">
        <v>50</v>
      </c>
      <c r="D11601" s="27" t="s">
        <v>6</v>
      </c>
      <c r="E11601" s="27" t="s">
        <v>9</v>
      </c>
      <c r="F11601" s="29"/>
      <c r="G11601" s="30">
        <v>71.931666000000007</v>
      </c>
    </row>
    <row r="11602" spans="1:7" hidden="1" x14ac:dyDescent="0.25">
      <c r="A11602" s="28">
        <v>44531</v>
      </c>
      <c r="B11602" s="27" t="s">
        <v>179</v>
      </c>
      <c r="C11602" s="27" t="s">
        <v>50</v>
      </c>
      <c r="D11602" s="27" t="s">
        <v>6</v>
      </c>
      <c r="E11602" s="27" t="s">
        <v>22</v>
      </c>
      <c r="F11602" s="29"/>
      <c r="G11602" s="30">
        <v>95.266666000000001</v>
      </c>
    </row>
    <row r="11603" spans="1:7" hidden="1" x14ac:dyDescent="0.25">
      <c r="A11603" s="28">
        <v>44531</v>
      </c>
      <c r="B11603" s="27" t="s">
        <v>179</v>
      </c>
      <c r="C11603" s="27" t="s">
        <v>50</v>
      </c>
      <c r="D11603" s="27" t="s">
        <v>6</v>
      </c>
      <c r="E11603" s="27" t="s">
        <v>39</v>
      </c>
      <c r="F11603" s="29"/>
      <c r="G11603" s="30">
        <v>72.42</v>
      </c>
    </row>
    <row r="11604" spans="1:7" hidden="1" x14ac:dyDescent="0.25">
      <c r="A11604" s="28">
        <v>44531</v>
      </c>
      <c r="B11604" s="27" t="s">
        <v>179</v>
      </c>
      <c r="C11604" s="27" t="s">
        <v>50</v>
      </c>
      <c r="D11604" s="27" t="s">
        <v>6</v>
      </c>
      <c r="E11604" s="27" t="s">
        <v>21</v>
      </c>
      <c r="F11604" s="29"/>
      <c r="G11604" s="30">
        <v>66.441665999999998</v>
      </c>
    </row>
    <row r="11605" spans="1:7" hidden="1" x14ac:dyDescent="0.25">
      <c r="A11605" s="28">
        <v>44531</v>
      </c>
      <c r="B11605" s="27" t="s">
        <v>179</v>
      </c>
      <c r="C11605" s="27" t="s">
        <v>50</v>
      </c>
      <c r="D11605" s="27" t="s">
        <v>6</v>
      </c>
      <c r="E11605" s="27" t="s">
        <v>41</v>
      </c>
      <c r="F11605" s="29"/>
      <c r="G11605" s="30">
        <v>71.509165999999993</v>
      </c>
    </row>
    <row r="11606" spans="1:7" hidden="1" x14ac:dyDescent="0.25">
      <c r="A11606" s="28">
        <v>44531</v>
      </c>
      <c r="B11606" s="27" t="s">
        <v>179</v>
      </c>
      <c r="C11606" s="27" t="s">
        <v>50</v>
      </c>
      <c r="D11606" s="27" t="s">
        <v>6</v>
      </c>
      <c r="E11606" s="27" t="s">
        <v>10</v>
      </c>
      <c r="F11606" s="29"/>
      <c r="G11606" s="30">
        <v>86.698999999999998</v>
      </c>
    </row>
    <row r="11607" spans="1:7" hidden="1" x14ac:dyDescent="0.25">
      <c r="A11607" s="28">
        <v>44531</v>
      </c>
      <c r="B11607" s="27" t="s">
        <v>179</v>
      </c>
      <c r="C11607" s="27" t="s">
        <v>50</v>
      </c>
      <c r="D11607" s="27" t="s">
        <v>6</v>
      </c>
      <c r="E11607" s="27" t="s">
        <v>11</v>
      </c>
      <c r="F11607" s="29"/>
      <c r="G11607" s="30">
        <v>65.566665999999998</v>
      </c>
    </row>
    <row r="11608" spans="1:7" hidden="1" x14ac:dyDescent="0.25">
      <c r="A11608" s="28">
        <v>44531</v>
      </c>
      <c r="B11608" s="27" t="s">
        <v>179</v>
      </c>
      <c r="C11608" s="27" t="s">
        <v>50</v>
      </c>
      <c r="D11608" s="27" t="s">
        <v>6</v>
      </c>
      <c r="E11608" s="27" t="s">
        <v>12</v>
      </c>
      <c r="F11608" s="29"/>
      <c r="G11608" s="30">
        <v>67.331665999999998</v>
      </c>
    </row>
    <row r="11609" spans="1:7" hidden="1" x14ac:dyDescent="0.25">
      <c r="A11609" s="28">
        <v>44531</v>
      </c>
      <c r="B11609" s="27" t="s">
        <v>179</v>
      </c>
      <c r="C11609" s="27" t="s">
        <v>50</v>
      </c>
      <c r="D11609" s="27" t="s">
        <v>6</v>
      </c>
      <c r="E11609" s="27" t="s">
        <v>13</v>
      </c>
      <c r="F11609" s="29"/>
      <c r="G11609" s="30">
        <v>93.319165999999996</v>
      </c>
    </row>
    <row r="11610" spans="1:7" hidden="1" x14ac:dyDescent="0.25">
      <c r="A11610" s="28">
        <v>44531</v>
      </c>
      <c r="B11610" s="27" t="s">
        <v>179</v>
      </c>
      <c r="C11610" s="27" t="s">
        <v>50</v>
      </c>
      <c r="D11610" s="27" t="s">
        <v>6</v>
      </c>
      <c r="E11610" s="27" t="s">
        <v>14</v>
      </c>
      <c r="F11610" s="29"/>
      <c r="G11610" s="30">
        <v>79.181666000000007</v>
      </c>
    </row>
    <row r="11611" spans="1:7" hidden="1" x14ac:dyDescent="0.25">
      <c r="A11611" s="28">
        <v>44531</v>
      </c>
      <c r="B11611" s="27" t="s">
        <v>179</v>
      </c>
      <c r="C11611" s="27" t="s">
        <v>50</v>
      </c>
      <c r="D11611" s="27" t="s">
        <v>6</v>
      </c>
      <c r="E11611" s="27" t="s">
        <v>15</v>
      </c>
      <c r="F11611" s="29"/>
      <c r="G11611" s="30">
        <v>90.084165999999996</v>
      </c>
    </row>
    <row r="11612" spans="1:7" hidden="1" x14ac:dyDescent="0.25">
      <c r="A11612" s="28">
        <v>44531</v>
      </c>
      <c r="B11612" s="27" t="s">
        <v>179</v>
      </c>
      <c r="C11612" s="27" t="s">
        <v>50</v>
      </c>
      <c r="D11612" s="27" t="s">
        <v>6</v>
      </c>
      <c r="E11612" s="27" t="s">
        <v>16</v>
      </c>
      <c r="F11612" s="29"/>
      <c r="G11612" s="30">
        <v>91.176665999999997</v>
      </c>
    </row>
    <row r="11613" spans="1:7" hidden="1" x14ac:dyDescent="0.25">
      <c r="A11613" s="28">
        <v>44531</v>
      </c>
      <c r="B11613" s="27" t="s">
        <v>179</v>
      </c>
      <c r="C11613" s="27" t="s">
        <v>50</v>
      </c>
      <c r="D11613" s="27" t="s">
        <v>6</v>
      </c>
      <c r="E11613" s="27" t="s">
        <v>17</v>
      </c>
      <c r="F11613" s="29"/>
      <c r="G11613" s="30">
        <v>142.004166</v>
      </c>
    </row>
    <row r="11614" spans="1:7" hidden="1" x14ac:dyDescent="0.25">
      <c r="A11614" s="28">
        <v>44531</v>
      </c>
      <c r="B11614" s="27" t="s">
        <v>179</v>
      </c>
      <c r="C11614" s="27" t="s">
        <v>50</v>
      </c>
      <c r="D11614" s="27" t="s">
        <v>6</v>
      </c>
      <c r="E11614" s="27" t="s">
        <v>18</v>
      </c>
      <c r="F11614" s="29"/>
      <c r="G11614" s="30">
        <v>183.16666599999999</v>
      </c>
    </row>
    <row r="11615" spans="1:7" hidden="1" x14ac:dyDescent="0.25">
      <c r="A11615" s="28">
        <v>44531</v>
      </c>
      <c r="B11615" s="27" t="s">
        <v>179</v>
      </c>
      <c r="C11615" s="27" t="s">
        <v>50</v>
      </c>
      <c r="D11615" s="27" t="s">
        <v>6</v>
      </c>
      <c r="E11615" s="27" t="s">
        <v>19</v>
      </c>
      <c r="F11615" s="29"/>
      <c r="G11615" s="30">
        <v>120.299166</v>
      </c>
    </row>
    <row r="11616" spans="1:7" hidden="1" x14ac:dyDescent="0.25">
      <c r="A11616" s="28">
        <v>44531</v>
      </c>
      <c r="B11616" s="27" t="s">
        <v>179</v>
      </c>
      <c r="C11616" s="27" t="s">
        <v>50</v>
      </c>
      <c r="D11616" s="27" t="s">
        <v>6</v>
      </c>
      <c r="E11616" s="27" t="s">
        <v>20</v>
      </c>
      <c r="F11616" s="29"/>
      <c r="G11616" s="30">
        <v>231.341666</v>
      </c>
    </row>
    <row r="11617" spans="1:7" hidden="1" x14ac:dyDescent="0.25">
      <c r="A11617" s="28">
        <v>44531</v>
      </c>
      <c r="B11617" s="27" t="s">
        <v>179</v>
      </c>
      <c r="C11617" s="27" t="s">
        <v>50</v>
      </c>
      <c r="D11617" s="27" t="s">
        <v>6</v>
      </c>
      <c r="E11617" s="27" t="s">
        <v>38</v>
      </c>
      <c r="F11617" s="29"/>
      <c r="G11617" s="30">
        <v>99.366665999999995</v>
      </c>
    </row>
    <row r="11618" spans="1:7" hidden="1" x14ac:dyDescent="0.25">
      <c r="A11618" s="28">
        <v>44531</v>
      </c>
      <c r="B11618" s="27" t="s">
        <v>179</v>
      </c>
      <c r="C11618" s="27" t="s">
        <v>50</v>
      </c>
      <c r="D11618" s="27" t="s">
        <v>6</v>
      </c>
      <c r="E11618" s="27" t="s">
        <v>23</v>
      </c>
      <c r="F11618" s="29"/>
      <c r="G11618" s="30">
        <v>131.48916600000001</v>
      </c>
    </row>
    <row r="11619" spans="1:7" hidden="1" x14ac:dyDescent="0.25">
      <c r="A11619" s="28">
        <v>44531</v>
      </c>
      <c r="B11619" s="27" t="s">
        <v>179</v>
      </c>
      <c r="C11619" s="27" t="s">
        <v>50</v>
      </c>
      <c r="D11619" s="27" t="s">
        <v>6</v>
      </c>
      <c r="E11619" s="27" t="s">
        <v>40</v>
      </c>
      <c r="F11619" s="29"/>
      <c r="G11619" s="30">
        <v>130.52416600000001</v>
      </c>
    </row>
    <row r="11620" spans="1:7" hidden="1" x14ac:dyDescent="0.25">
      <c r="A11620" s="28">
        <v>44531</v>
      </c>
      <c r="B11620" s="27" t="s">
        <v>32</v>
      </c>
      <c r="C11620" s="27" t="s">
        <v>50</v>
      </c>
      <c r="D11620" s="27" t="s">
        <v>51</v>
      </c>
      <c r="E11620" s="27" t="s">
        <v>17</v>
      </c>
      <c r="F11620" s="29"/>
      <c r="G11620" s="30">
        <v>75</v>
      </c>
    </row>
    <row r="11621" spans="1:7" hidden="1" x14ac:dyDescent="0.25">
      <c r="A11621" s="28">
        <v>44531</v>
      </c>
      <c r="B11621" s="27" t="s">
        <v>5</v>
      </c>
      <c r="C11621" s="27" t="s">
        <v>51</v>
      </c>
      <c r="D11621" s="27" t="s">
        <v>51</v>
      </c>
      <c r="E11621" s="27" t="s">
        <v>8</v>
      </c>
      <c r="F11621" s="29">
        <v>4997</v>
      </c>
      <c r="G11621" s="30">
        <v>2.3250214488984433</v>
      </c>
    </row>
    <row r="11622" spans="1:7" hidden="1" x14ac:dyDescent="0.25">
      <c r="A11622" s="28">
        <v>44531</v>
      </c>
      <c r="B11622" s="27" t="s">
        <v>5</v>
      </c>
      <c r="C11622" s="27" t="s">
        <v>51</v>
      </c>
      <c r="D11622" s="27" t="s">
        <v>51</v>
      </c>
      <c r="E11622" s="27" t="s">
        <v>9</v>
      </c>
      <c r="F11622" s="29">
        <v>1885</v>
      </c>
      <c r="G11622" s="30">
        <v>5.9582729766131743</v>
      </c>
    </row>
    <row r="11623" spans="1:7" hidden="1" x14ac:dyDescent="0.25">
      <c r="A11623" s="28">
        <v>44531</v>
      </c>
      <c r="B11623" s="27" t="s">
        <v>5</v>
      </c>
      <c r="C11623" s="27" t="s">
        <v>51</v>
      </c>
      <c r="D11623" s="27" t="s">
        <v>51</v>
      </c>
      <c r="E11623" s="27" t="s">
        <v>22</v>
      </c>
      <c r="F11623" s="29">
        <v>3432</v>
      </c>
      <c r="G11623" s="30">
        <v>3.452465377952604</v>
      </c>
    </row>
    <row r="11624" spans="1:7" hidden="1" x14ac:dyDescent="0.25">
      <c r="A11624" s="28">
        <v>44531</v>
      </c>
      <c r="B11624" s="27" t="s">
        <v>5</v>
      </c>
      <c r="C11624" s="27" t="s">
        <v>51</v>
      </c>
      <c r="D11624" s="27" t="s">
        <v>51</v>
      </c>
      <c r="E11624" s="27" t="s">
        <v>39</v>
      </c>
      <c r="F11624" s="29">
        <v>2422</v>
      </c>
      <c r="G11624" s="30">
        <v>4.3675032817178128</v>
      </c>
    </row>
    <row r="11625" spans="1:7" hidden="1" x14ac:dyDescent="0.25">
      <c r="A11625" s="28">
        <v>44531</v>
      </c>
      <c r="B11625" s="27" t="s">
        <v>5</v>
      </c>
      <c r="C11625" s="27" t="s">
        <v>51</v>
      </c>
      <c r="D11625" s="27" t="s">
        <v>51</v>
      </c>
      <c r="E11625" s="27" t="s">
        <v>64</v>
      </c>
      <c r="F11625" s="29">
        <v>3636</v>
      </c>
      <c r="G11625" s="30">
        <v>3.0530318328440393</v>
      </c>
    </row>
    <row r="11626" spans="1:7" hidden="1" x14ac:dyDescent="0.25">
      <c r="A11626" s="28">
        <v>44531</v>
      </c>
      <c r="B11626" s="27" t="s">
        <v>5</v>
      </c>
      <c r="C11626" s="27" t="s">
        <v>51</v>
      </c>
      <c r="D11626" s="27" t="s">
        <v>51</v>
      </c>
      <c r="E11626" s="27" t="s">
        <v>21</v>
      </c>
      <c r="F11626" s="29">
        <v>2562</v>
      </c>
      <c r="G11626" s="30">
        <v>4.4484398767480737</v>
      </c>
    </row>
    <row r="11627" spans="1:7" hidden="1" x14ac:dyDescent="0.25">
      <c r="A11627" s="28">
        <v>44531</v>
      </c>
      <c r="B11627" s="27" t="s">
        <v>5</v>
      </c>
      <c r="C11627" s="27" t="s">
        <v>51</v>
      </c>
      <c r="D11627" s="27" t="s">
        <v>51</v>
      </c>
      <c r="E11627" s="27" t="s">
        <v>41</v>
      </c>
      <c r="F11627" s="29">
        <v>984</v>
      </c>
      <c r="G11627" s="30">
        <v>20.077695101598923</v>
      </c>
    </row>
    <row r="11628" spans="1:7" hidden="1" x14ac:dyDescent="0.25">
      <c r="A11628" s="28">
        <v>44531</v>
      </c>
      <c r="B11628" s="27" t="s">
        <v>5</v>
      </c>
      <c r="C11628" s="27" t="s">
        <v>51</v>
      </c>
      <c r="D11628" s="27" t="s">
        <v>51</v>
      </c>
      <c r="E11628" s="27" t="s">
        <v>10</v>
      </c>
      <c r="F11628" s="29">
        <v>3544</v>
      </c>
      <c r="G11628" s="30">
        <v>3.6555534158736545</v>
      </c>
    </row>
    <row r="11629" spans="1:7" hidden="1" x14ac:dyDescent="0.25">
      <c r="A11629" s="28">
        <v>44531</v>
      </c>
      <c r="B11629" s="27" t="s">
        <v>5</v>
      </c>
      <c r="C11629" s="27" t="s">
        <v>51</v>
      </c>
      <c r="D11629" s="27" t="s">
        <v>51</v>
      </c>
      <c r="E11629" s="27" t="s">
        <v>11</v>
      </c>
      <c r="F11629" s="29">
        <v>2798</v>
      </c>
      <c r="G11629" s="30">
        <v>4.0058061486394179</v>
      </c>
    </row>
    <row r="11630" spans="1:7" hidden="1" x14ac:dyDescent="0.25">
      <c r="A11630" s="28">
        <v>44531</v>
      </c>
      <c r="B11630" s="27" t="s">
        <v>5</v>
      </c>
      <c r="C11630" s="27" t="s">
        <v>51</v>
      </c>
      <c r="D11630" s="27" t="s">
        <v>51</v>
      </c>
      <c r="E11630" s="27" t="s">
        <v>12</v>
      </c>
      <c r="F11630" s="29">
        <v>1466</v>
      </c>
      <c r="G11630" s="30">
        <v>7.0632606160933049</v>
      </c>
    </row>
    <row r="11631" spans="1:7" hidden="1" x14ac:dyDescent="0.25">
      <c r="A11631" s="28">
        <v>44531</v>
      </c>
      <c r="B11631" s="27" t="s">
        <v>5</v>
      </c>
      <c r="C11631" s="27" t="s">
        <v>51</v>
      </c>
      <c r="D11631" s="27" t="s">
        <v>51</v>
      </c>
      <c r="E11631" s="27" t="s">
        <v>13</v>
      </c>
      <c r="F11631" s="29">
        <v>3053</v>
      </c>
      <c r="G11631" s="30">
        <v>3.7060059705608839</v>
      </c>
    </row>
    <row r="11632" spans="1:7" hidden="1" x14ac:dyDescent="0.25">
      <c r="A11632" s="28">
        <v>44531</v>
      </c>
      <c r="B11632" s="27" t="s">
        <v>5</v>
      </c>
      <c r="C11632" s="27" t="s">
        <v>51</v>
      </c>
      <c r="D11632" s="27" t="s">
        <v>51</v>
      </c>
      <c r="E11632" s="27" t="s">
        <v>14</v>
      </c>
      <c r="F11632" s="29">
        <v>4201</v>
      </c>
      <c r="G11632" s="30">
        <v>2.1905531807173664</v>
      </c>
    </row>
    <row r="11633" spans="1:7" hidden="1" x14ac:dyDescent="0.25">
      <c r="A11633" s="28">
        <v>44531</v>
      </c>
      <c r="B11633" s="27" t="s">
        <v>5</v>
      </c>
      <c r="C11633" s="27" t="s">
        <v>51</v>
      </c>
      <c r="D11633" s="27" t="s">
        <v>51</v>
      </c>
      <c r="E11633" s="27" t="s">
        <v>15</v>
      </c>
      <c r="F11633" s="29">
        <v>2580</v>
      </c>
      <c r="G11633" s="30">
        <v>4.1894161565639649</v>
      </c>
    </row>
    <row r="11634" spans="1:7" hidden="1" x14ac:dyDescent="0.25">
      <c r="A11634" s="28">
        <v>44531</v>
      </c>
      <c r="B11634" s="27" t="s">
        <v>5</v>
      </c>
      <c r="C11634" s="27" t="s">
        <v>51</v>
      </c>
      <c r="D11634" s="27" t="s">
        <v>51</v>
      </c>
      <c r="E11634" s="27" t="s">
        <v>16</v>
      </c>
      <c r="F11634" s="29">
        <v>1721</v>
      </c>
      <c r="G11634" s="30">
        <v>6.580408172286579</v>
      </c>
    </row>
    <row r="11635" spans="1:7" hidden="1" x14ac:dyDescent="0.25">
      <c r="A11635" s="28">
        <v>44531</v>
      </c>
      <c r="B11635" s="27" t="s">
        <v>5</v>
      </c>
      <c r="C11635" s="27" t="s">
        <v>51</v>
      </c>
      <c r="D11635" s="27" t="s">
        <v>51</v>
      </c>
      <c r="E11635" s="27" t="s">
        <v>17</v>
      </c>
      <c r="F11635" s="29">
        <v>3558</v>
      </c>
      <c r="G11635" s="30">
        <v>3.6864980414374595</v>
      </c>
    </row>
    <row r="11636" spans="1:7" hidden="1" x14ac:dyDescent="0.25">
      <c r="A11636" s="28">
        <v>44531</v>
      </c>
      <c r="B11636" s="27" t="s">
        <v>5</v>
      </c>
      <c r="C11636" s="27" t="s">
        <v>51</v>
      </c>
      <c r="D11636" s="27" t="s">
        <v>51</v>
      </c>
      <c r="E11636" s="27" t="s">
        <v>18</v>
      </c>
      <c r="F11636" s="29">
        <v>4394</v>
      </c>
      <c r="G11636" s="30">
        <v>2.4623299569510468</v>
      </c>
    </row>
    <row r="11637" spans="1:7" hidden="1" x14ac:dyDescent="0.25">
      <c r="A11637" s="28">
        <v>44531</v>
      </c>
      <c r="B11637" s="27" t="s">
        <v>5</v>
      </c>
      <c r="C11637" s="27" t="s">
        <v>51</v>
      </c>
      <c r="D11637" s="27" t="s">
        <v>51</v>
      </c>
      <c r="E11637" s="27" t="s">
        <v>20</v>
      </c>
      <c r="F11637" s="29">
        <v>3015</v>
      </c>
      <c r="G11637" s="30">
        <v>3.6598852088316618</v>
      </c>
    </row>
    <row r="11638" spans="1:7" hidden="1" x14ac:dyDescent="0.25">
      <c r="A11638" s="28">
        <v>44531</v>
      </c>
      <c r="B11638" s="27" t="s">
        <v>5</v>
      </c>
      <c r="C11638" s="27" t="s">
        <v>51</v>
      </c>
      <c r="D11638" s="27" t="s">
        <v>51</v>
      </c>
      <c r="E11638" s="27" t="s">
        <v>38</v>
      </c>
      <c r="F11638" s="29">
        <v>1476</v>
      </c>
      <c r="G11638" s="30">
        <v>6.1364251467586577</v>
      </c>
    </row>
    <row r="11639" spans="1:7" hidden="1" x14ac:dyDescent="0.25">
      <c r="A11639" s="28">
        <v>44531</v>
      </c>
      <c r="B11639" s="27" t="s">
        <v>5</v>
      </c>
      <c r="C11639" s="27" t="s">
        <v>51</v>
      </c>
      <c r="D11639" s="27" t="s">
        <v>51</v>
      </c>
      <c r="E11639" s="27" t="s">
        <v>23</v>
      </c>
      <c r="F11639" s="29">
        <v>4549</v>
      </c>
      <c r="G11639" s="30">
        <v>2.6849453611468932</v>
      </c>
    </row>
    <row r="11640" spans="1:7" hidden="1" x14ac:dyDescent="0.25">
      <c r="A11640" s="28">
        <v>44531</v>
      </c>
      <c r="B11640" s="27" t="s">
        <v>5</v>
      </c>
      <c r="C11640" s="27" t="s">
        <v>51</v>
      </c>
      <c r="D11640" s="27" t="s">
        <v>51</v>
      </c>
      <c r="E11640" s="27" t="s">
        <v>40</v>
      </c>
      <c r="F11640" s="29">
        <v>1756</v>
      </c>
      <c r="G11640" s="30">
        <v>5.3437337822525484</v>
      </c>
    </row>
    <row r="11641" spans="1:7" hidden="1" x14ac:dyDescent="0.25">
      <c r="A11641" s="28">
        <v>44531</v>
      </c>
      <c r="B11641" s="27" t="s">
        <v>5</v>
      </c>
      <c r="C11641" s="27" t="s">
        <v>51</v>
      </c>
      <c r="D11641" s="27" t="s">
        <v>51</v>
      </c>
      <c r="E11641" s="27" t="s">
        <v>42</v>
      </c>
      <c r="F11641" s="29">
        <v>1101</v>
      </c>
      <c r="G11641" s="30">
        <v>8.2126165607023918</v>
      </c>
    </row>
    <row r="11642" spans="1:7" hidden="1" x14ac:dyDescent="0.25">
      <c r="A11642" s="28">
        <v>44531</v>
      </c>
      <c r="B11642" s="27" t="s">
        <v>5</v>
      </c>
      <c r="C11642" s="27" t="s">
        <v>51</v>
      </c>
      <c r="D11642" s="27" t="s">
        <v>51</v>
      </c>
      <c r="E11642" s="27" t="s">
        <v>43</v>
      </c>
      <c r="F11642" s="29">
        <v>3557</v>
      </c>
      <c r="G11642" s="30">
        <v>2.6382375128853908</v>
      </c>
    </row>
    <row r="11643" spans="1:7" hidden="1" x14ac:dyDescent="0.25">
      <c r="A11643" s="28">
        <v>44531</v>
      </c>
      <c r="B11643" s="27" t="s">
        <v>5</v>
      </c>
      <c r="C11643" s="27" t="s">
        <v>51</v>
      </c>
      <c r="D11643" s="27" t="s">
        <v>51</v>
      </c>
      <c r="E11643" s="27" t="s">
        <v>72</v>
      </c>
      <c r="F11643" s="29">
        <v>1990</v>
      </c>
      <c r="G11643" s="30">
        <v>5.1958094639865999</v>
      </c>
    </row>
    <row r="11644" spans="1:7" hidden="1" x14ac:dyDescent="0.25">
      <c r="A11644" s="28">
        <v>44531</v>
      </c>
      <c r="B11644" s="27" t="s">
        <v>180</v>
      </c>
      <c r="C11644" s="27" t="s">
        <v>50</v>
      </c>
      <c r="D11644" s="27" t="s">
        <v>7</v>
      </c>
      <c r="E11644" s="27" t="s">
        <v>8</v>
      </c>
      <c r="F11644" s="29"/>
      <c r="G11644" s="30">
        <v>920</v>
      </c>
    </row>
    <row r="11645" spans="1:7" hidden="1" x14ac:dyDescent="0.25">
      <c r="A11645" s="28">
        <v>44531</v>
      </c>
      <c r="B11645" s="27" t="s">
        <v>180</v>
      </c>
      <c r="C11645" s="27" t="s">
        <v>50</v>
      </c>
      <c r="D11645" s="27" t="s">
        <v>7</v>
      </c>
      <c r="E11645" s="27" t="s">
        <v>9</v>
      </c>
      <c r="F11645" s="29"/>
      <c r="G11645" s="30">
        <v>560</v>
      </c>
    </row>
    <row r="11646" spans="1:7" hidden="1" x14ac:dyDescent="0.25">
      <c r="A11646" s="28">
        <v>44531</v>
      </c>
      <c r="B11646" s="27" t="s">
        <v>180</v>
      </c>
      <c r="C11646" s="27" t="s">
        <v>50</v>
      </c>
      <c r="D11646" s="27" t="s">
        <v>7</v>
      </c>
      <c r="E11646" s="27" t="s">
        <v>21</v>
      </c>
      <c r="F11646" s="29"/>
      <c r="G11646" s="30">
        <v>750</v>
      </c>
    </row>
    <row r="11647" spans="1:7" hidden="1" x14ac:dyDescent="0.25">
      <c r="A11647" s="28">
        <v>44531</v>
      </c>
      <c r="B11647" s="27" t="s">
        <v>180</v>
      </c>
      <c r="C11647" s="27" t="s">
        <v>50</v>
      </c>
      <c r="D11647" s="27" t="s">
        <v>7</v>
      </c>
      <c r="E11647" s="27" t="s">
        <v>10</v>
      </c>
      <c r="F11647" s="29"/>
      <c r="G11647" s="30">
        <v>1400</v>
      </c>
    </row>
    <row r="11648" spans="1:7" hidden="1" x14ac:dyDescent="0.25">
      <c r="A11648" s="28">
        <v>44531</v>
      </c>
      <c r="B11648" s="27" t="s">
        <v>180</v>
      </c>
      <c r="C11648" s="27" t="s">
        <v>50</v>
      </c>
      <c r="D11648" s="27" t="s">
        <v>7</v>
      </c>
      <c r="E11648" s="27" t="s">
        <v>11</v>
      </c>
      <c r="F11648" s="29"/>
      <c r="G11648" s="30">
        <v>90</v>
      </c>
    </row>
    <row r="11649" spans="1:7" hidden="1" x14ac:dyDescent="0.25">
      <c r="A11649" s="28">
        <v>44531</v>
      </c>
      <c r="B11649" s="27" t="s">
        <v>180</v>
      </c>
      <c r="C11649" s="27" t="s">
        <v>50</v>
      </c>
      <c r="D11649" s="27" t="s">
        <v>7</v>
      </c>
      <c r="E11649" s="27" t="s">
        <v>16</v>
      </c>
      <c r="F11649" s="29"/>
      <c r="G11649" s="30">
        <v>175</v>
      </c>
    </row>
    <row r="11650" spans="1:7" hidden="1" x14ac:dyDescent="0.25">
      <c r="A11650" s="28">
        <v>44531</v>
      </c>
      <c r="B11650" s="27" t="s">
        <v>180</v>
      </c>
      <c r="C11650" s="27" t="s">
        <v>50</v>
      </c>
      <c r="D11650" s="27" t="s">
        <v>7</v>
      </c>
      <c r="E11650" s="27" t="s">
        <v>18</v>
      </c>
      <c r="F11650" s="29"/>
      <c r="G11650" s="30">
        <v>600</v>
      </c>
    </row>
    <row r="11651" spans="1:7" hidden="1" x14ac:dyDescent="0.25">
      <c r="A11651" s="28">
        <v>44531</v>
      </c>
      <c r="B11651" s="27" t="s">
        <v>180</v>
      </c>
      <c r="C11651" s="27" t="s">
        <v>50</v>
      </c>
      <c r="D11651" s="27" t="s">
        <v>7</v>
      </c>
      <c r="E11651" s="27" t="s">
        <v>42</v>
      </c>
      <c r="F11651" s="29"/>
      <c r="G11651" s="30">
        <v>310</v>
      </c>
    </row>
    <row r="11652" spans="1:7" hidden="1" x14ac:dyDescent="0.25">
      <c r="A11652" s="28">
        <v>44531</v>
      </c>
      <c r="B11652" s="27" t="s">
        <v>180</v>
      </c>
      <c r="C11652" s="27" t="s">
        <v>50</v>
      </c>
      <c r="D11652" s="27" t="s">
        <v>7</v>
      </c>
      <c r="E11652" s="27" t="s">
        <v>43</v>
      </c>
      <c r="F11652" s="29"/>
      <c r="G11652" s="30">
        <v>80</v>
      </c>
    </row>
    <row r="11653" spans="1:7" hidden="1" x14ac:dyDescent="0.25">
      <c r="A11653" s="28">
        <v>44531</v>
      </c>
      <c r="B11653" s="27" t="s">
        <v>180</v>
      </c>
      <c r="C11653" s="27" t="s">
        <v>50</v>
      </c>
      <c r="D11653" s="27" t="s">
        <v>7</v>
      </c>
      <c r="E11653" s="27" t="s">
        <v>72</v>
      </c>
      <c r="F11653" s="29"/>
      <c r="G11653" s="30">
        <v>2175</v>
      </c>
    </row>
    <row r="11654" spans="1:7" hidden="1" x14ac:dyDescent="0.25">
      <c r="A11654" s="28">
        <v>44531</v>
      </c>
      <c r="B11654" s="27" t="s">
        <v>180</v>
      </c>
      <c r="C11654" s="27" t="s">
        <v>50</v>
      </c>
      <c r="D11654" s="27" t="s">
        <v>7</v>
      </c>
      <c r="E11654" s="27" t="s">
        <v>37</v>
      </c>
      <c r="F11654" s="29"/>
      <c r="G11654" s="30">
        <v>10951.19</v>
      </c>
    </row>
    <row r="11655" spans="1:7" hidden="1" x14ac:dyDescent="0.25">
      <c r="A11655" s="28">
        <v>44531</v>
      </c>
      <c r="B11655" s="27" t="s">
        <v>181</v>
      </c>
      <c r="C11655" s="27" t="s">
        <v>50</v>
      </c>
      <c r="D11655" s="27" t="s">
        <v>6</v>
      </c>
      <c r="E11655" s="27" t="s">
        <v>8</v>
      </c>
      <c r="F11655" s="29"/>
      <c r="G11655" s="30">
        <v>40</v>
      </c>
    </row>
    <row r="11656" spans="1:7" hidden="1" x14ac:dyDescent="0.25">
      <c r="A11656" s="28">
        <v>44531</v>
      </c>
      <c r="B11656" s="27" t="s">
        <v>181</v>
      </c>
      <c r="C11656" s="27" t="s">
        <v>50</v>
      </c>
      <c r="D11656" s="27" t="s">
        <v>6</v>
      </c>
      <c r="E11656" s="27" t="s">
        <v>22</v>
      </c>
      <c r="F11656" s="29"/>
      <c r="G11656" s="30">
        <v>19.399999999999999</v>
      </c>
    </row>
    <row r="11657" spans="1:7" hidden="1" x14ac:dyDescent="0.25">
      <c r="A11657" s="28">
        <v>44531</v>
      </c>
      <c r="B11657" s="27" t="s">
        <v>181</v>
      </c>
      <c r="C11657" s="27" t="s">
        <v>50</v>
      </c>
      <c r="D11657" s="27" t="s">
        <v>6</v>
      </c>
      <c r="E11657" s="27" t="s">
        <v>64</v>
      </c>
      <c r="F11657" s="29"/>
      <c r="G11657" s="30">
        <v>739</v>
      </c>
    </row>
    <row r="11658" spans="1:7" hidden="1" x14ac:dyDescent="0.25">
      <c r="A11658" s="28">
        <v>44531</v>
      </c>
      <c r="B11658" s="27" t="s">
        <v>181</v>
      </c>
      <c r="C11658" s="27" t="s">
        <v>50</v>
      </c>
      <c r="D11658" s="27" t="s">
        <v>6</v>
      </c>
      <c r="E11658" s="27" t="s">
        <v>21</v>
      </c>
      <c r="F11658" s="29"/>
      <c r="G11658" s="30">
        <v>45</v>
      </c>
    </row>
    <row r="11659" spans="1:7" hidden="1" x14ac:dyDescent="0.25">
      <c r="A11659" s="28">
        <v>44531</v>
      </c>
      <c r="B11659" s="27" t="s">
        <v>181</v>
      </c>
      <c r="C11659" s="27" t="s">
        <v>50</v>
      </c>
      <c r="D11659" s="27" t="s">
        <v>6</v>
      </c>
      <c r="E11659" s="27" t="s">
        <v>41</v>
      </c>
      <c r="F11659" s="29"/>
      <c r="G11659" s="30">
        <v>9446.9500000000007</v>
      </c>
    </row>
    <row r="11660" spans="1:7" hidden="1" x14ac:dyDescent="0.25">
      <c r="A11660" s="28">
        <v>44531</v>
      </c>
      <c r="B11660" s="27" t="s">
        <v>181</v>
      </c>
      <c r="C11660" s="27" t="s">
        <v>50</v>
      </c>
      <c r="D11660" s="27" t="s">
        <v>6</v>
      </c>
      <c r="E11660" s="27" t="s">
        <v>13</v>
      </c>
      <c r="F11660" s="29"/>
      <c r="G11660" s="30">
        <v>68</v>
      </c>
    </row>
    <row r="11661" spans="1:7" hidden="1" x14ac:dyDescent="0.25">
      <c r="A11661" s="28">
        <v>44531</v>
      </c>
      <c r="B11661" s="27" t="s">
        <v>181</v>
      </c>
      <c r="C11661" s="27" t="s">
        <v>50</v>
      </c>
      <c r="D11661" s="27" t="s">
        <v>6</v>
      </c>
      <c r="E11661" s="27" t="s">
        <v>14</v>
      </c>
      <c r="F11661" s="29"/>
      <c r="G11661" s="30">
        <v>130</v>
      </c>
    </row>
    <row r="11662" spans="1:7" hidden="1" x14ac:dyDescent="0.25">
      <c r="A11662" s="28">
        <v>44531</v>
      </c>
      <c r="B11662" s="27" t="s">
        <v>181</v>
      </c>
      <c r="C11662" s="27" t="s">
        <v>50</v>
      </c>
      <c r="D11662" s="27" t="s">
        <v>6</v>
      </c>
      <c r="E11662" s="27" t="s">
        <v>15</v>
      </c>
      <c r="F11662" s="29"/>
      <c r="G11662" s="30">
        <v>45</v>
      </c>
    </row>
    <row r="11663" spans="1:7" hidden="1" x14ac:dyDescent="0.25">
      <c r="A11663" s="28">
        <v>44531</v>
      </c>
      <c r="B11663" s="27" t="s">
        <v>181</v>
      </c>
      <c r="C11663" s="27" t="s">
        <v>50</v>
      </c>
      <c r="D11663" s="27" t="s">
        <v>6</v>
      </c>
      <c r="E11663" s="27" t="s">
        <v>16</v>
      </c>
      <c r="F11663" s="29"/>
      <c r="G11663" s="30">
        <v>416</v>
      </c>
    </row>
    <row r="11664" spans="1:7" hidden="1" x14ac:dyDescent="0.25">
      <c r="A11664" s="28">
        <v>44531</v>
      </c>
      <c r="B11664" s="27" t="s">
        <v>181</v>
      </c>
      <c r="C11664" s="27" t="s">
        <v>50</v>
      </c>
      <c r="D11664" s="27" t="s">
        <v>6</v>
      </c>
      <c r="E11664" s="27" t="s">
        <v>19</v>
      </c>
      <c r="F11664" s="29"/>
      <c r="G11664" s="30">
        <v>395</v>
      </c>
    </row>
    <row r="11665" spans="1:7" hidden="1" x14ac:dyDescent="0.25">
      <c r="A11665" s="28">
        <v>44531</v>
      </c>
      <c r="B11665" s="27" t="s">
        <v>181</v>
      </c>
      <c r="C11665" s="27" t="s">
        <v>50</v>
      </c>
      <c r="D11665" s="27" t="s">
        <v>6</v>
      </c>
      <c r="E11665" s="27" t="s">
        <v>23</v>
      </c>
      <c r="F11665" s="29"/>
      <c r="G11665" s="30">
        <v>394.44</v>
      </c>
    </row>
    <row r="11666" spans="1:7" hidden="1" x14ac:dyDescent="0.25">
      <c r="A11666" s="28">
        <v>44531</v>
      </c>
      <c r="B11666" s="27" t="s">
        <v>181</v>
      </c>
      <c r="C11666" s="27" t="s">
        <v>50</v>
      </c>
      <c r="D11666" s="27" t="s">
        <v>6</v>
      </c>
      <c r="E11666" s="27" t="s">
        <v>40</v>
      </c>
      <c r="F11666" s="29"/>
      <c r="G11666" s="30">
        <v>95</v>
      </c>
    </row>
    <row r="11667" spans="1:7" hidden="1" x14ac:dyDescent="0.25">
      <c r="A11667" s="28">
        <v>44531</v>
      </c>
      <c r="B11667" s="27" t="s">
        <v>181</v>
      </c>
      <c r="C11667" s="27" t="s">
        <v>50</v>
      </c>
      <c r="D11667" s="27" t="s">
        <v>6</v>
      </c>
      <c r="E11667" s="27" t="s">
        <v>43</v>
      </c>
      <c r="F11667" s="29"/>
      <c r="G11667" s="30">
        <v>600</v>
      </c>
    </row>
    <row r="11668" spans="1:7" hidden="1" x14ac:dyDescent="0.25">
      <c r="A11668" s="28">
        <v>44531</v>
      </c>
      <c r="B11668" s="27" t="s">
        <v>181</v>
      </c>
      <c r="C11668" s="27" t="s">
        <v>50</v>
      </c>
      <c r="D11668" s="27" t="s">
        <v>6</v>
      </c>
      <c r="E11668" s="27" t="s">
        <v>37</v>
      </c>
      <c r="F11668" s="29"/>
      <c r="G11668" s="30">
        <v>8197.85</v>
      </c>
    </row>
    <row r="11669" spans="1:7" hidden="1" x14ac:dyDescent="0.25">
      <c r="A11669" s="28">
        <v>44531</v>
      </c>
      <c r="B11669" s="27" t="s">
        <v>2</v>
      </c>
      <c r="C11669" s="27" t="s">
        <v>50</v>
      </c>
      <c r="D11669" s="27" t="s">
        <v>7</v>
      </c>
      <c r="E11669" s="27" t="s">
        <v>8</v>
      </c>
      <c r="F11669" s="29"/>
      <c r="G11669" s="30">
        <v>1391.38</v>
      </c>
    </row>
    <row r="11670" spans="1:7" hidden="1" x14ac:dyDescent="0.25">
      <c r="A11670" s="28">
        <v>44531</v>
      </c>
      <c r="B11670" s="27" t="s">
        <v>2</v>
      </c>
      <c r="C11670" s="27" t="s">
        <v>50</v>
      </c>
      <c r="D11670" s="27" t="s">
        <v>7</v>
      </c>
      <c r="E11670" s="27" t="s">
        <v>9</v>
      </c>
      <c r="F11670" s="29"/>
      <c r="G11670" s="30">
        <v>439.59</v>
      </c>
    </row>
    <row r="11671" spans="1:7" hidden="1" x14ac:dyDescent="0.25">
      <c r="A11671" s="28">
        <v>44531</v>
      </c>
      <c r="B11671" s="27" t="s">
        <v>2</v>
      </c>
      <c r="C11671" s="27" t="s">
        <v>50</v>
      </c>
      <c r="D11671" s="27" t="s">
        <v>7</v>
      </c>
      <c r="E11671" s="27" t="s">
        <v>22</v>
      </c>
      <c r="F11671" s="29"/>
      <c r="G11671" s="30">
        <v>914.39</v>
      </c>
    </row>
    <row r="11672" spans="1:7" hidden="1" x14ac:dyDescent="0.25">
      <c r="A11672" s="28">
        <v>44531</v>
      </c>
      <c r="B11672" s="27" t="s">
        <v>2</v>
      </c>
      <c r="C11672" s="27" t="s">
        <v>50</v>
      </c>
      <c r="D11672" s="27" t="s">
        <v>7</v>
      </c>
      <c r="E11672" s="27" t="s">
        <v>39</v>
      </c>
      <c r="F11672" s="29"/>
      <c r="G11672" s="30">
        <v>309.08</v>
      </c>
    </row>
    <row r="11673" spans="1:7" hidden="1" x14ac:dyDescent="0.25">
      <c r="A11673" s="28">
        <v>44531</v>
      </c>
      <c r="B11673" s="27" t="s">
        <v>2</v>
      </c>
      <c r="C11673" s="27" t="s">
        <v>50</v>
      </c>
      <c r="D11673" s="27" t="s">
        <v>7</v>
      </c>
      <c r="E11673" s="27" t="s">
        <v>64</v>
      </c>
      <c r="F11673" s="29"/>
      <c r="G11673" s="30">
        <v>471.79</v>
      </c>
    </row>
    <row r="11674" spans="1:7" hidden="1" x14ac:dyDescent="0.25">
      <c r="A11674" s="28">
        <v>44531</v>
      </c>
      <c r="B11674" s="27" t="s">
        <v>2</v>
      </c>
      <c r="C11674" s="27" t="s">
        <v>50</v>
      </c>
      <c r="D11674" s="27" t="s">
        <v>7</v>
      </c>
      <c r="E11674" s="27" t="s">
        <v>21</v>
      </c>
      <c r="F11674" s="29"/>
      <c r="G11674" s="30">
        <v>657.36</v>
      </c>
    </row>
    <row r="11675" spans="1:7" hidden="1" x14ac:dyDescent="0.25">
      <c r="A11675" s="28">
        <v>44531</v>
      </c>
      <c r="B11675" s="27" t="s">
        <v>2</v>
      </c>
      <c r="C11675" s="27" t="s">
        <v>50</v>
      </c>
      <c r="D11675" s="27" t="s">
        <v>51</v>
      </c>
      <c r="E11675" s="27" t="s">
        <v>41</v>
      </c>
      <c r="F11675" s="29"/>
      <c r="G11675" s="30">
        <v>134.47999999999999</v>
      </c>
    </row>
    <row r="11676" spans="1:7" hidden="1" x14ac:dyDescent="0.25">
      <c r="A11676" s="28">
        <v>44531</v>
      </c>
      <c r="B11676" s="27" t="s">
        <v>2</v>
      </c>
      <c r="C11676" s="27" t="s">
        <v>50</v>
      </c>
      <c r="D11676" s="27" t="s">
        <v>51</v>
      </c>
      <c r="E11676" s="27" t="s">
        <v>10</v>
      </c>
      <c r="F11676" s="29"/>
      <c r="G11676" s="30">
        <v>577.98</v>
      </c>
    </row>
    <row r="11677" spans="1:7" hidden="1" x14ac:dyDescent="0.25">
      <c r="A11677" s="28">
        <v>44531</v>
      </c>
      <c r="B11677" s="27" t="s">
        <v>2</v>
      </c>
      <c r="C11677" s="27" t="s">
        <v>50</v>
      </c>
      <c r="D11677" s="27" t="s">
        <v>51</v>
      </c>
      <c r="E11677" s="27" t="s">
        <v>11</v>
      </c>
      <c r="F11677" s="29"/>
      <c r="G11677" s="30">
        <v>656.48</v>
      </c>
    </row>
    <row r="11678" spans="1:7" hidden="1" x14ac:dyDescent="0.25">
      <c r="A11678" s="28">
        <v>44531</v>
      </c>
      <c r="B11678" s="27" t="s">
        <v>2</v>
      </c>
      <c r="C11678" s="27" t="s">
        <v>50</v>
      </c>
      <c r="D11678" s="27" t="s">
        <v>51</v>
      </c>
      <c r="E11678" s="27" t="s">
        <v>12</v>
      </c>
      <c r="F11678" s="29"/>
      <c r="G11678" s="30">
        <v>225.58</v>
      </c>
    </row>
    <row r="11679" spans="1:7" hidden="1" x14ac:dyDescent="0.25">
      <c r="A11679" s="28">
        <v>44531</v>
      </c>
      <c r="B11679" s="27" t="s">
        <v>2</v>
      </c>
      <c r="C11679" s="27" t="s">
        <v>50</v>
      </c>
      <c r="D11679" s="27" t="s">
        <v>51</v>
      </c>
      <c r="E11679" s="27" t="s">
        <v>13</v>
      </c>
      <c r="F11679" s="29"/>
      <c r="G11679" s="30">
        <v>984.15</v>
      </c>
    </row>
    <row r="11680" spans="1:7" hidden="1" x14ac:dyDescent="0.25">
      <c r="A11680" s="28">
        <v>44531</v>
      </c>
      <c r="B11680" s="27" t="s">
        <v>2</v>
      </c>
      <c r="C11680" s="27" t="s">
        <v>50</v>
      </c>
      <c r="D11680" s="27" t="s">
        <v>51</v>
      </c>
      <c r="E11680" s="27" t="s">
        <v>14</v>
      </c>
      <c r="F11680" s="29"/>
      <c r="G11680" s="30">
        <v>297.02</v>
      </c>
    </row>
    <row r="11681" spans="1:7" hidden="1" x14ac:dyDescent="0.25">
      <c r="A11681" s="28">
        <v>44531</v>
      </c>
      <c r="B11681" s="27" t="s">
        <v>2</v>
      </c>
      <c r="C11681" s="27" t="s">
        <v>50</v>
      </c>
      <c r="D11681" s="27" t="s">
        <v>51</v>
      </c>
      <c r="E11681" s="27" t="s">
        <v>15</v>
      </c>
      <c r="F11681" s="29"/>
      <c r="G11681" s="30">
        <v>412.18</v>
      </c>
    </row>
    <row r="11682" spans="1:7" hidden="1" x14ac:dyDescent="0.25">
      <c r="A11682" s="28">
        <v>44531</v>
      </c>
      <c r="B11682" s="27" t="s">
        <v>2</v>
      </c>
      <c r="C11682" s="27" t="s">
        <v>50</v>
      </c>
      <c r="D11682" s="27" t="s">
        <v>51</v>
      </c>
      <c r="E11682" s="27" t="s">
        <v>16</v>
      </c>
      <c r="F11682" s="29"/>
      <c r="G11682" s="30">
        <v>52.48</v>
      </c>
    </row>
    <row r="11683" spans="1:7" hidden="1" x14ac:dyDescent="0.25">
      <c r="A11683" s="28">
        <v>44531</v>
      </c>
      <c r="B11683" s="27" t="s">
        <v>2</v>
      </c>
      <c r="C11683" s="27" t="s">
        <v>50</v>
      </c>
      <c r="D11683" s="27" t="s">
        <v>51</v>
      </c>
      <c r="E11683" s="27" t="s">
        <v>17</v>
      </c>
      <c r="F11683" s="29"/>
      <c r="G11683" s="30">
        <v>957.78</v>
      </c>
    </row>
    <row r="11684" spans="1:7" hidden="1" x14ac:dyDescent="0.25">
      <c r="A11684" s="28">
        <v>44531</v>
      </c>
      <c r="B11684" s="27" t="s">
        <v>2</v>
      </c>
      <c r="C11684" s="27" t="s">
        <v>50</v>
      </c>
      <c r="D11684" s="27" t="s">
        <v>51</v>
      </c>
      <c r="E11684" s="27" t="s">
        <v>18</v>
      </c>
      <c r="F11684" s="29"/>
      <c r="G11684" s="30">
        <v>90.52</v>
      </c>
    </row>
    <row r="11685" spans="1:7" hidden="1" x14ac:dyDescent="0.25">
      <c r="A11685" s="28">
        <v>44531</v>
      </c>
      <c r="B11685" s="27" t="s">
        <v>2</v>
      </c>
      <c r="C11685" s="27" t="s">
        <v>50</v>
      </c>
      <c r="D11685" s="27" t="s">
        <v>51</v>
      </c>
      <c r="E11685" s="27" t="s">
        <v>19</v>
      </c>
      <c r="F11685" s="29"/>
      <c r="G11685" s="30">
        <v>1018.76</v>
      </c>
    </row>
    <row r="11686" spans="1:7" hidden="1" x14ac:dyDescent="0.25">
      <c r="A11686" s="28">
        <v>44531</v>
      </c>
      <c r="B11686" s="27" t="s">
        <v>2</v>
      </c>
      <c r="C11686" s="27" t="s">
        <v>50</v>
      </c>
      <c r="D11686" s="27" t="s">
        <v>51</v>
      </c>
      <c r="E11686" s="27" t="s">
        <v>20</v>
      </c>
      <c r="F11686" s="29"/>
      <c r="G11686" s="30">
        <v>504.32</v>
      </c>
    </row>
    <row r="11687" spans="1:7" hidden="1" x14ac:dyDescent="0.25">
      <c r="A11687" s="28">
        <v>44531</v>
      </c>
      <c r="B11687" s="27" t="s">
        <v>2</v>
      </c>
      <c r="C11687" s="27" t="s">
        <v>50</v>
      </c>
      <c r="D11687" s="27" t="s">
        <v>51</v>
      </c>
      <c r="E11687" s="27" t="s">
        <v>38</v>
      </c>
      <c r="F11687" s="29"/>
      <c r="G11687" s="30">
        <v>33.72</v>
      </c>
    </row>
    <row r="11688" spans="1:7" hidden="1" x14ac:dyDescent="0.25">
      <c r="A11688" s="28">
        <v>44531</v>
      </c>
      <c r="B11688" s="27" t="s">
        <v>2</v>
      </c>
      <c r="C11688" s="27" t="s">
        <v>50</v>
      </c>
      <c r="D11688" s="27" t="s">
        <v>51</v>
      </c>
      <c r="E11688" s="27" t="s">
        <v>23</v>
      </c>
      <c r="F11688" s="29"/>
      <c r="G11688" s="30">
        <v>546.52</v>
      </c>
    </row>
    <row r="11689" spans="1:7" hidden="1" x14ac:dyDescent="0.25">
      <c r="A11689" s="28">
        <v>44531</v>
      </c>
      <c r="B11689" s="27" t="s">
        <v>2</v>
      </c>
      <c r="C11689" s="27" t="s">
        <v>50</v>
      </c>
      <c r="D11689" s="27" t="s">
        <v>51</v>
      </c>
      <c r="E11689" s="27" t="s">
        <v>40</v>
      </c>
      <c r="F11689" s="29"/>
      <c r="G11689" s="30">
        <v>173.38</v>
      </c>
    </row>
    <row r="11690" spans="1:7" hidden="1" x14ac:dyDescent="0.25">
      <c r="A11690" s="28">
        <v>44531</v>
      </c>
      <c r="B11690" s="27" t="s">
        <v>2</v>
      </c>
      <c r="C11690" s="27" t="s">
        <v>50</v>
      </c>
      <c r="D11690" s="27" t="s">
        <v>51</v>
      </c>
      <c r="E11690" s="27" t="s">
        <v>42</v>
      </c>
      <c r="F11690" s="29"/>
      <c r="G11690" s="30">
        <v>97.08</v>
      </c>
    </row>
    <row r="11691" spans="1:7" hidden="1" x14ac:dyDescent="0.25">
      <c r="A11691" s="28">
        <v>44531</v>
      </c>
      <c r="B11691" s="27" t="s">
        <v>2</v>
      </c>
      <c r="C11691" s="27" t="s">
        <v>50</v>
      </c>
      <c r="D11691" s="27" t="s">
        <v>51</v>
      </c>
      <c r="E11691" s="27" t="s">
        <v>43</v>
      </c>
      <c r="F11691" s="29"/>
      <c r="G11691" s="30">
        <v>97.5</v>
      </c>
    </row>
    <row r="11692" spans="1:7" hidden="1" x14ac:dyDescent="0.25">
      <c r="A11692" s="28">
        <v>44531</v>
      </c>
      <c r="B11692" s="27" t="s">
        <v>2</v>
      </c>
      <c r="C11692" s="27" t="s">
        <v>50</v>
      </c>
      <c r="D11692" s="27" t="s">
        <v>51</v>
      </c>
      <c r="E11692" s="27" t="s">
        <v>72</v>
      </c>
      <c r="F11692" s="29"/>
      <c r="G11692" s="30">
        <v>183.95</v>
      </c>
    </row>
    <row r="11693" spans="1:7" hidden="1" x14ac:dyDescent="0.25">
      <c r="A11693" s="28">
        <v>44531</v>
      </c>
      <c r="B11693" s="27" t="s">
        <v>36</v>
      </c>
      <c r="C11693" s="27" t="s">
        <v>50</v>
      </c>
      <c r="D11693" s="27" t="s">
        <v>6</v>
      </c>
      <c r="E11693" s="27" t="s">
        <v>8</v>
      </c>
      <c r="F11693" s="29"/>
      <c r="G11693" s="30">
        <v>445.02125000000001</v>
      </c>
    </row>
    <row r="11694" spans="1:7" hidden="1" x14ac:dyDescent="0.25">
      <c r="A11694" s="28">
        <v>44531</v>
      </c>
      <c r="B11694" s="27" t="s">
        <v>36</v>
      </c>
      <c r="C11694" s="27" t="s">
        <v>50</v>
      </c>
      <c r="D11694" s="27" t="s">
        <v>6</v>
      </c>
      <c r="E11694" s="27" t="s">
        <v>9</v>
      </c>
      <c r="F11694" s="29"/>
      <c r="G11694" s="30">
        <v>445.02125000000001</v>
      </c>
    </row>
    <row r="11695" spans="1:7" hidden="1" x14ac:dyDescent="0.25">
      <c r="A11695" s="28">
        <v>44531</v>
      </c>
      <c r="B11695" s="27" t="s">
        <v>36</v>
      </c>
      <c r="C11695" s="27" t="s">
        <v>50</v>
      </c>
      <c r="D11695" s="27" t="s">
        <v>6</v>
      </c>
      <c r="E11695" s="27" t="s">
        <v>22</v>
      </c>
      <c r="F11695" s="29"/>
      <c r="G11695" s="30">
        <v>445.02125000000001</v>
      </c>
    </row>
    <row r="11696" spans="1:7" hidden="1" x14ac:dyDescent="0.25">
      <c r="A11696" s="28">
        <v>44531</v>
      </c>
      <c r="B11696" s="27" t="s">
        <v>36</v>
      </c>
      <c r="C11696" s="27" t="s">
        <v>50</v>
      </c>
      <c r="D11696" s="27" t="s">
        <v>6</v>
      </c>
      <c r="E11696" s="27" t="s">
        <v>39</v>
      </c>
      <c r="F11696" s="29"/>
      <c r="G11696" s="30">
        <v>445.02125000000001</v>
      </c>
    </row>
    <row r="11697" spans="1:7" hidden="1" x14ac:dyDescent="0.25">
      <c r="A11697" s="28">
        <v>44531</v>
      </c>
      <c r="B11697" s="27" t="s">
        <v>36</v>
      </c>
      <c r="C11697" s="27" t="s">
        <v>50</v>
      </c>
      <c r="D11697" s="27" t="s">
        <v>6</v>
      </c>
      <c r="E11697" s="27" t="s">
        <v>64</v>
      </c>
      <c r="F11697" s="29"/>
      <c r="G11697" s="30">
        <v>445.02125000000001</v>
      </c>
    </row>
    <row r="11698" spans="1:7" hidden="1" x14ac:dyDescent="0.25">
      <c r="A11698" s="28">
        <v>44531</v>
      </c>
      <c r="B11698" s="27" t="s">
        <v>36</v>
      </c>
      <c r="C11698" s="27" t="s">
        <v>50</v>
      </c>
      <c r="D11698" s="27" t="s">
        <v>6</v>
      </c>
      <c r="E11698" s="27" t="s">
        <v>21</v>
      </c>
      <c r="F11698" s="29"/>
      <c r="G11698" s="30">
        <v>445.02125000000001</v>
      </c>
    </row>
    <row r="11699" spans="1:7" hidden="1" x14ac:dyDescent="0.25">
      <c r="A11699" s="28">
        <v>44531</v>
      </c>
      <c r="B11699" s="27" t="s">
        <v>36</v>
      </c>
      <c r="C11699" s="27" t="s">
        <v>50</v>
      </c>
      <c r="D11699" s="27" t="s">
        <v>6</v>
      </c>
      <c r="E11699" s="27" t="s">
        <v>41</v>
      </c>
      <c r="F11699" s="29"/>
      <c r="G11699" s="30">
        <v>445.02125000000001</v>
      </c>
    </row>
    <row r="11700" spans="1:7" hidden="1" x14ac:dyDescent="0.25">
      <c r="A11700" s="28">
        <v>44531</v>
      </c>
      <c r="B11700" s="27" t="s">
        <v>36</v>
      </c>
      <c r="C11700" s="27" t="s">
        <v>50</v>
      </c>
      <c r="D11700" s="27" t="s">
        <v>6</v>
      </c>
      <c r="E11700" s="27" t="s">
        <v>10</v>
      </c>
      <c r="F11700" s="29"/>
      <c r="G11700" s="30">
        <v>445.02125000000001</v>
      </c>
    </row>
    <row r="11701" spans="1:7" hidden="1" x14ac:dyDescent="0.25">
      <c r="A11701" s="28">
        <v>44531</v>
      </c>
      <c r="B11701" s="27" t="s">
        <v>36</v>
      </c>
      <c r="C11701" s="27" t="s">
        <v>50</v>
      </c>
      <c r="D11701" s="27" t="s">
        <v>6</v>
      </c>
      <c r="E11701" s="27" t="s">
        <v>11</v>
      </c>
      <c r="F11701" s="29"/>
      <c r="G11701" s="30">
        <v>445.02125000000001</v>
      </c>
    </row>
    <row r="11702" spans="1:7" hidden="1" x14ac:dyDescent="0.25">
      <c r="A11702" s="28">
        <v>44531</v>
      </c>
      <c r="B11702" s="27" t="s">
        <v>36</v>
      </c>
      <c r="C11702" s="27" t="s">
        <v>50</v>
      </c>
      <c r="D11702" s="27" t="s">
        <v>6</v>
      </c>
      <c r="E11702" s="27" t="s">
        <v>12</v>
      </c>
      <c r="F11702" s="29"/>
      <c r="G11702" s="30">
        <v>445.02125000000001</v>
      </c>
    </row>
    <row r="11703" spans="1:7" hidden="1" x14ac:dyDescent="0.25">
      <c r="A11703" s="28">
        <v>44531</v>
      </c>
      <c r="B11703" s="27" t="s">
        <v>36</v>
      </c>
      <c r="C11703" s="27" t="s">
        <v>50</v>
      </c>
      <c r="D11703" s="27" t="s">
        <v>6</v>
      </c>
      <c r="E11703" s="27" t="s">
        <v>13</v>
      </c>
      <c r="F11703" s="29"/>
      <c r="G11703" s="30">
        <v>445.02125000000001</v>
      </c>
    </row>
    <row r="11704" spans="1:7" hidden="1" x14ac:dyDescent="0.25">
      <c r="A11704" s="28">
        <v>44531</v>
      </c>
      <c r="B11704" s="27" t="s">
        <v>36</v>
      </c>
      <c r="C11704" s="27" t="s">
        <v>50</v>
      </c>
      <c r="D11704" s="27" t="s">
        <v>6</v>
      </c>
      <c r="E11704" s="27" t="s">
        <v>14</v>
      </c>
      <c r="F11704" s="29"/>
      <c r="G11704" s="30">
        <v>445.02125000000001</v>
      </c>
    </row>
    <row r="11705" spans="1:7" hidden="1" x14ac:dyDescent="0.25">
      <c r="A11705" s="28">
        <v>44531</v>
      </c>
      <c r="B11705" s="27" t="s">
        <v>36</v>
      </c>
      <c r="C11705" s="27" t="s">
        <v>50</v>
      </c>
      <c r="D11705" s="27" t="s">
        <v>6</v>
      </c>
      <c r="E11705" s="27" t="s">
        <v>15</v>
      </c>
      <c r="F11705" s="29"/>
      <c r="G11705" s="30">
        <v>445.02125000000001</v>
      </c>
    </row>
    <row r="11706" spans="1:7" hidden="1" x14ac:dyDescent="0.25">
      <c r="A11706" s="28">
        <v>44531</v>
      </c>
      <c r="B11706" s="27" t="s">
        <v>36</v>
      </c>
      <c r="C11706" s="27" t="s">
        <v>50</v>
      </c>
      <c r="D11706" s="27" t="s">
        <v>6</v>
      </c>
      <c r="E11706" s="27" t="s">
        <v>16</v>
      </c>
      <c r="F11706" s="29"/>
      <c r="G11706" s="30">
        <v>445.02125000000001</v>
      </c>
    </row>
    <row r="11707" spans="1:7" hidden="1" x14ac:dyDescent="0.25">
      <c r="A11707" s="28">
        <v>44531</v>
      </c>
      <c r="B11707" s="27" t="s">
        <v>36</v>
      </c>
      <c r="C11707" s="27" t="s">
        <v>50</v>
      </c>
      <c r="D11707" s="27" t="s">
        <v>6</v>
      </c>
      <c r="E11707" s="27" t="s">
        <v>17</v>
      </c>
      <c r="F11707" s="29"/>
      <c r="G11707" s="30">
        <v>445.02125000000001</v>
      </c>
    </row>
    <row r="11708" spans="1:7" hidden="1" x14ac:dyDescent="0.25">
      <c r="A11708" s="28">
        <v>44531</v>
      </c>
      <c r="B11708" s="27" t="s">
        <v>36</v>
      </c>
      <c r="C11708" s="27" t="s">
        <v>50</v>
      </c>
      <c r="D11708" s="27" t="s">
        <v>6</v>
      </c>
      <c r="E11708" s="27" t="s">
        <v>18</v>
      </c>
      <c r="F11708" s="29"/>
      <c r="G11708" s="30">
        <v>445.02125000000001</v>
      </c>
    </row>
    <row r="11709" spans="1:7" hidden="1" x14ac:dyDescent="0.25">
      <c r="A11709" s="28">
        <v>44531</v>
      </c>
      <c r="B11709" s="27" t="s">
        <v>36</v>
      </c>
      <c r="C11709" s="27" t="s">
        <v>50</v>
      </c>
      <c r="D11709" s="27" t="s">
        <v>6</v>
      </c>
      <c r="E11709" s="27" t="s">
        <v>19</v>
      </c>
      <c r="F11709" s="29"/>
      <c r="G11709" s="30">
        <v>445.02125000000001</v>
      </c>
    </row>
    <row r="11710" spans="1:7" hidden="1" x14ac:dyDescent="0.25">
      <c r="A11710" s="28">
        <v>44531</v>
      </c>
      <c r="B11710" s="27" t="s">
        <v>36</v>
      </c>
      <c r="C11710" s="27" t="s">
        <v>50</v>
      </c>
      <c r="D11710" s="27" t="s">
        <v>6</v>
      </c>
      <c r="E11710" s="27" t="s">
        <v>20</v>
      </c>
      <c r="F11710" s="29"/>
      <c r="G11710" s="30">
        <v>445.02125000000001</v>
      </c>
    </row>
    <row r="11711" spans="1:7" hidden="1" x14ac:dyDescent="0.25">
      <c r="A11711" s="28">
        <v>44531</v>
      </c>
      <c r="B11711" s="27" t="s">
        <v>36</v>
      </c>
      <c r="C11711" s="27" t="s">
        <v>50</v>
      </c>
      <c r="D11711" s="27" t="s">
        <v>6</v>
      </c>
      <c r="E11711" s="27" t="s">
        <v>38</v>
      </c>
      <c r="F11711" s="29"/>
      <c r="G11711" s="30">
        <v>445.02125000000001</v>
      </c>
    </row>
    <row r="11712" spans="1:7" hidden="1" x14ac:dyDescent="0.25">
      <c r="A11712" s="28">
        <v>44531</v>
      </c>
      <c r="B11712" s="27" t="s">
        <v>36</v>
      </c>
      <c r="C11712" s="27" t="s">
        <v>50</v>
      </c>
      <c r="D11712" s="27" t="s">
        <v>6</v>
      </c>
      <c r="E11712" s="27" t="s">
        <v>23</v>
      </c>
      <c r="F11712" s="29"/>
      <c r="G11712" s="30">
        <v>445.02125000000001</v>
      </c>
    </row>
    <row r="11713" spans="1:7" hidden="1" x14ac:dyDescent="0.25">
      <c r="A11713" s="28">
        <v>44531</v>
      </c>
      <c r="B11713" s="27" t="s">
        <v>36</v>
      </c>
      <c r="C11713" s="27" t="s">
        <v>50</v>
      </c>
      <c r="D11713" s="27" t="s">
        <v>6</v>
      </c>
      <c r="E11713" s="27" t="s">
        <v>40</v>
      </c>
      <c r="F11713" s="29"/>
      <c r="G11713" s="30">
        <v>445.02125000000001</v>
      </c>
    </row>
    <row r="11714" spans="1:7" hidden="1" x14ac:dyDescent="0.25">
      <c r="A11714" s="28">
        <v>44531</v>
      </c>
      <c r="B11714" s="27" t="s">
        <v>36</v>
      </c>
      <c r="C11714" s="27" t="s">
        <v>50</v>
      </c>
      <c r="D11714" s="27" t="s">
        <v>6</v>
      </c>
      <c r="E11714" s="27" t="s">
        <v>42</v>
      </c>
      <c r="F11714" s="29"/>
      <c r="G11714" s="30">
        <v>445.02125000000001</v>
      </c>
    </row>
    <row r="11715" spans="1:7" hidden="1" x14ac:dyDescent="0.25">
      <c r="A11715" s="28">
        <v>44531</v>
      </c>
      <c r="B11715" s="27" t="s">
        <v>36</v>
      </c>
      <c r="C11715" s="27" t="s">
        <v>50</v>
      </c>
      <c r="D11715" s="27" t="s">
        <v>6</v>
      </c>
      <c r="E11715" s="27" t="s">
        <v>43</v>
      </c>
      <c r="F11715" s="29"/>
      <c r="G11715" s="30">
        <v>445.02125000000001</v>
      </c>
    </row>
    <row r="11716" spans="1:7" hidden="1" x14ac:dyDescent="0.25">
      <c r="A11716" s="28">
        <v>44531</v>
      </c>
      <c r="B11716" s="27" t="s">
        <v>36</v>
      </c>
      <c r="C11716" s="27" t="s">
        <v>50</v>
      </c>
      <c r="D11716" s="27" t="s">
        <v>6</v>
      </c>
      <c r="E11716" s="27" t="s">
        <v>72</v>
      </c>
      <c r="F11716" s="29"/>
      <c r="G11716" s="30">
        <v>445.02125000000001</v>
      </c>
    </row>
    <row r="11717" spans="1:7" hidden="1" x14ac:dyDescent="0.25">
      <c r="A11717" s="28">
        <v>44531</v>
      </c>
      <c r="B11717" s="27" t="s">
        <v>200</v>
      </c>
      <c r="C11717" s="27" t="s">
        <v>53</v>
      </c>
      <c r="D11717" s="27" t="s">
        <v>6</v>
      </c>
      <c r="E11717" s="27" t="s">
        <v>8</v>
      </c>
      <c r="F11717" s="29"/>
      <c r="G11717" s="30">
        <f t="shared" ref="G11717:G11737" si="209">1918.0724/21</f>
        <v>91.336780952380948</v>
      </c>
    </row>
    <row r="11718" spans="1:7" hidden="1" x14ac:dyDescent="0.25">
      <c r="A11718" s="28">
        <v>44531</v>
      </c>
      <c r="B11718" s="27" t="s">
        <v>200</v>
      </c>
      <c r="C11718" s="27" t="s">
        <v>53</v>
      </c>
      <c r="D11718" s="27" t="s">
        <v>6</v>
      </c>
      <c r="E11718" s="27" t="s">
        <v>9</v>
      </c>
      <c r="F11718" s="29"/>
      <c r="G11718" s="30">
        <f t="shared" si="209"/>
        <v>91.336780952380948</v>
      </c>
    </row>
    <row r="11719" spans="1:7" hidden="1" x14ac:dyDescent="0.25">
      <c r="A11719" s="28">
        <v>44531</v>
      </c>
      <c r="B11719" s="27" t="s">
        <v>200</v>
      </c>
      <c r="C11719" s="27" t="s">
        <v>53</v>
      </c>
      <c r="D11719" s="27" t="s">
        <v>6</v>
      </c>
      <c r="E11719" s="27" t="s">
        <v>22</v>
      </c>
      <c r="F11719" s="29"/>
      <c r="G11719" s="30">
        <f t="shared" si="209"/>
        <v>91.336780952380948</v>
      </c>
    </row>
    <row r="11720" spans="1:7" hidden="1" x14ac:dyDescent="0.25">
      <c r="A11720" s="28">
        <v>44531</v>
      </c>
      <c r="B11720" s="27" t="s">
        <v>200</v>
      </c>
      <c r="C11720" s="27" t="s">
        <v>53</v>
      </c>
      <c r="D11720" s="27" t="s">
        <v>6</v>
      </c>
      <c r="E11720" s="27" t="s">
        <v>39</v>
      </c>
      <c r="F11720" s="29"/>
      <c r="G11720" s="30">
        <f t="shared" si="209"/>
        <v>91.336780952380948</v>
      </c>
    </row>
    <row r="11721" spans="1:7" hidden="1" x14ac:dyDescent="0.25">
      <c r="A11721" s="28">
        <v>44531</v>
      </c>
      <c r="B11721" s="27" t="s">
        <v>200</v>
      </c>
      <c r="C11721" s="27" t="s">
        <v>53</v>
      </c>
      <c r="D11721" s="27" t="s">
        <v>6</v>
      </c>
      <c r="E11721" s="27" t="s">
        <v>64</v>
      </c>
      <c r="F11721" s="29"/>
      <c r="G11721" s="30">
        <f t="shared" si="209"/>
        <v>91.336780952380948</v>
      </c>
    </row>
    <row r="11722" spans="1:7" hidden="1" x14ac:dyDescent="0.25">
      <c r="A11722" s="28">
        <v>44531</v>
      </c>
      <c r="B11722" s="27" t="s">
        <v>200</v>
      </c>
      <c r="C11722" s="27" t="s">
        <v>53</v>
      </c>
      <c r="D11722" s="27" t="s">
        <v>6</v>
      </c>
      <c r="E11722" s="27" t="s">
        <v>21</v>
      </c>
      <c r="F11722" s="29"/>
      <c r="G11722" s="30">
        <f t="shared" si="209"/>
        <v>91.336780952380948</v>
      </c>
    </row>
    <row r="11723" spans="1:7" hidden="1" x14ac:dyDescent="0.25">
      <c r="A11723" s="28">
        <v>44531</v>
      </c>
      <c r="B11723" s="27" t="s">
        <v>200</v>
      </c>
      <c r="C11723" s="27" t="s">
        <v>53</v>
      </c>
      <c r="D11723" s="27" t="s">
        <v>6</v>
      </c>
      <c r="E11723" s="27" t="s">
        <v>41</v>
      </c>
      <c r="F11723" s="29"/>
      <c r="G11723" s="30">
        <f t="shared" si="209"/>
        <v>91.336780952380948</v>
      </c>
    </row>
    <row r="11724" spans="1:7" hidden="1" x14ac:dyDescent="0.25">
      <c r="A11724" s="28">
        <v>44531</v>
      </c>
      <c r="B11724" s="27" t="s">
        <v>200</v>
      </c>
      <c r="C11724" s="27" t="s">
        <v>53</v>
      </c>
      <c r="D11724" s="27" t="s">
        <v>6</v>
      </c>
      <c r="E11724" s="27" t="s">
        <v>10</v>
      </c>
      <c r="F11724" s="29"/>
      <c r="G11724" s="30">
        <f t="shared" si="209"/>
        <v>91.336780952380948</v>
      </c>
    </row>
    <row r="11725" spans="1:7" hidden="1" x14ac:dyDescent="0.25">
      <c r="A11725" s="28">
        <v>44531</v>
      </c>
      <c r="B11725" s="27" t="s">
        <v>200</v>
      </c>
      <c r="C11725" s="27" t="s">
        <v>53</v>
      </c>
      <c r="D11725" s="27" t="s">
        <v>6</v>
      </c>
      <c r="E11725" s="27" t="s">
        <v>11</v>
      </c>
      <c r="F11725" s="29"/>
      <c r="G11725" s="30">
        <f t="shared" si="209"/>
        <v>91.336780952380948</v>
      </c>
    </row>
    <row r="11726" spans="1:7" hidden="1" x14ac:dyDescent="0.25">
      <c r="A11726" s="28">
        <v>44531</v>
      </c>
      <c r="B11726" s="27" t="s">
        <v>200</v>
      </c>
      <c r="C11726" s="27" t="s">
        <v>53</v>
      </c>
      <c r="D11726" s="27" t="s">
        <v>6</v>
      </c>
      <c r="E11726" s="27" t="s">
        <v>12</v>
      </c>
      <c r="F11726" s="29"/>
      <c r="G11726" s="30">
        <f t="shared" si="209"/>
        <v>91.336780952380948</v>
      </c>
    </row>
    <row r="11727" spans="1:7" hidden="1" x14ac:dyDescent="0.25">
      <c r="A11727" s="28">
        <v>44531</v>
      </c>
      <c r="B11727" s="27" t="s">
        <v>200</v>
      </c>
      <c r="C11727" s="27" t="s">
        <v>53</v>
      </c>
      <c r="D11727" s="27" t="s">
        <v>6</v>
      </c>
      <c r="E11727" s="27" t="s">
        <v>13</v>
      </c>
      <c r="F11727" s="29"/>
      <c r="G11727" s="30">
        <f t="shared" si="209"/>
        <v>91.336780952380948</v>
      </c>
    </row>
    <row r="11728" spans="1:7" hidden="1" x14ac:dyDescent="0.25">
      <c r="A11728" s="28">
        <v>44531</v>
      </c>
      <c r="B11728" s="27" t="s">
        <v>200</v>
      </c>
      <c r="C11728" s="27" t="s">
        <v>53</v>
      </c>
      <c r="D11728" s="27" t="s">
        <v>6</v>
      </c>
      <c r="E11728" s="27" t="s">
        <v>14</v>
      </c>
      <c r="F11728" s="29"/>
      <c r="G11728" s="30">
        <f t="shared" si="209"/>
        <v>91.336780952380948</v>
      </c>
    </row>
    <row r="11729" spans="1:7" hidden="1" x14ac:dyDescent="0.25">
      <c r="A11729" s="28">
        <v>44531</v>
      </c>
      <c r="B11729" s="27" t="s">
        <v>200</v>
      </c>
      <c r="C11729" s="27" t="s">
        <v>53</v>
      </c>
      <c r="D11729" s="27" t="s">
        <v>6</v>
      </c>
      <c r="E11729" s="27" t="s">
        <v>15</v>
      </c>
      <c r="F11729" s="29"/>
      <c r="G11729" s="30">
        <f t="shared" si="209"/>
        <v>91.336780952380948</v>
      </c>
    </row>
    <row r="11730" spans="1:7" hidden="1" x14ac:dyDescent="0.25">
      <c r="A11730" s="28">
        <v>44531</v>
      </c>
      <c r="B11730" s="27" t="s">
        <v>200</v>
      </c>
      <c r="C11730" s="27" t="s">
        <v>53</v>
      </c>
      <c r="D11730" s="27" t="s">
        <v>6</v>
      </c>
      <c r="E11730" s="27" t="s">
        <v>16</v>
      </c>
      <c r="F11730" s="29"/>
      <c r="G11730" s="30">
        <f t="shared" si="209"/>
        <v>91.336780952380948</v>
      </c>
    </row>
    <row r="11731" spans="1:7" hidden="1" x14ac:dyDescent="0.25">
      <c r="A11731" s="28">
        <v>44531</v>
      </c>
      <c r="B11731" s="27" t="s">
        <v>200</v>
      </c>
      <c r="C11731" s="27" t="s">
        <v>53</v>
      </c>
      <c r="D11731" s="27" t="s">
        <v>6</v>
      </c>
      <c r="E11731" s="27" t="s">
        <v>17</v>
      </c>
      <c r="F11731" s="29"/>
      <c r="G11731" s="30">
        <f t="shared" si="209"/>
        <v>91.336780952380948</v>
      </c>
    </row>
    <row r="11732" spans="1:7" hidden="1" x14ac:dyDescent="0.25">
      <c r="A11732" s="28">
        <v>44531</v>
      </c>
      <c r="B11732" s="27" t="s">
        <v>200</v>
      </c>
      <c r="C11732" s="27" t="s">
        <v>53</v>
      </c>
      <c r="D11732" s="27" t="s">
        <v>6</v>
      </c>
      <c r="E11732" s="27" t="s">
        <v>18</v>
      </c>
      <c r="F11732" s="29"/>
      <c r="G11732" s="30">
        <f t="shared" si="209"/>
        <v>91.336780952380948</v>
      </c>
    </row>
    <row r="11733" spans="1:7" hidden="1" x14ac:dyDescent="0.25">
      <c r="A11733" s="28">
        <v>44531</v>
      </c>
      <c r="B11733" s="27" t="s">
        <v>200</v>
      </c>
      <c r="C11733" s="27" t="s">
        <v>53</v>
      </c>
      <c r="D11733" s="27" t="s">
        <v>6</v>
      </c>
      <c r="E11733" s="27" t="s">
        <v>19</v>
      </c>
      <c r="F11733" s="29"/>
      <c r="G11733" s="30">
        <f t="shared" si="209"/>
        <v>91.336780952380948</v>
      </c>
    </row>
    <row r="11734" spans="1:7" hidden="1" x14ac:dyDescent="0.25">
      <c r="A11734" s="28">
        <v>44531</v>
      </c>
      <c r="B11734" s="27" t="s">
        <v>200</v>
      </c>
      <c r="C11734" s="27" t="s">
        <v>53</v>
      </c>
      <c r="D11734" s="27" t="s">
        <v>6</v>
      </c>
      <c r="E11734" s="27" t="s">
        <v>20</v>
      </c>
      <c r="F11734" s="29"/>
      <c r="G11734" s="30">
        <f t="shared" si="209"/>
        <v>91.336780952380948</v>
      </c>
    </row>
    <row r="11735" spans="1:7" hidden="1" x14ac:dyDescent="0.25">
      <c r="A11735" s="28">
        <v>44531</v>
      </c>
      <c r="B11735" s="27" t="s">
        <v>200</v>
      </c>
      <c r="C11735" s="27" t="s">
        <v>53</v>
      </c>
      <c r="D11735" s="27" t="s">
        <v>6</v>
      </c>
      <c r="E11735" s="27" t="s">
        <v>38</v>
      </c>
      <c r="F11735" s="29"/>
      <c r="G11735" s="30">
        <f t="shared" si="209"/>
        <v>91.336780952380948</v>
      </c>
    </row>
    <row r="11736" spans="1:7" hidden="1" x14ac:dyDescent="0.25">
      <c r="A11736" s="28">
        <v>44531</v>
      </c>
      <c r="B11736" s="27" t="s">
        <v>200</v>
      </c>
      <c r="C11736" s="27" t="s">
        <v>53</v>
      </c>
      <c r="D11736" s="27" t="s">
        <v>6</v>
      </c>
      <c r="E11736" s="27" t="s">
        <v>23</v>
      </c>
      <c r="F11736" s="29"/>
      <c r="G11736" s="30">
        <f t="shared" si="209"/>
        <v>91.336780952380948</v>
      </c>
    </row>
    <row r="11737" spans="1:7" hidden="1" x14ac:dyDescent="0.25">
      <c r="A11737" s="28">
        <v>44531</v>
      </c>
      <c r="B11737" s="27" t="s">
        <v>200</v>
      </c>
      <c r="C11737" s="27" t="s">
        <v>53</v>
      </c>
      <c r="D11737" s="27" t="s">
        <v>6</v>
      </c>
      <c r="E11737" s="27" t="s">
        <v>40</v>
      </c>
      <c r="F11737" s="29"/>
      <c r="G11737" s="30">
        <f t="shared" si="209"/>
        <v>91.336780952380948</v>
      </c>
    </row>
    <row r="11738" spans="1:7" hidden="1" x14ac:dyDescent="0.25">
      <c r="A11738" s="28">
        <v>44531</v>
      </c>
      <c r="B11738" s="27" t="s">
        <v>200</v>
      </c>
      <c r="C11738" s="27" t="s">
        <v>54</v>
      </c>
      <c r="D11738" s="27" t="s">
        <v>7</v>
      </c>
      <c r="E11738" s="27" t="s">
        <v>8</v>
      </c>
      <c r="F11738" s="29"/>
      <c r="G11738" s="30">
        <f t="shared" ref="G11738:G11761" si="210">167.91/24</f>
        <v>6.9962499999999999</v>
      </c>
    </row>
    <row r="11739" spans="1:7" hidden="1" x14ac:dyDescent="0.25">
      <c r="A11739" s="28">
        <v>44531</v>
      </c>
      <c r="B11739" s="27" t="s">
        <v>200</v>
      </c>
      <c r="C11739" s="27" t="s">
        <v>54</v>
      </c>
      <c r="D11739" s="27" t="s">
        <v>7</v>
      </c>
      <c r="E11739" s="27" t="s">
        <v>9</v>
      </c>
      <c r="F11739" s="29"/>
      <c r="G11739" s="30">
        <f t="shared" si="210"/>
        <v>6.9962499999999999</v>
      </c>
    </row>
    <row r="11740" spans="1:7" hidden="1" x14ac:dyDescent="0.25">
      <c r="A11740" s="28">
        <v>44531</v>
      </c>
      <c r="B11740" s="27" t="s">
        <v>200</v>
      </c>
      <c r="C11740" s="27" t="s">
        <v>54</v>
      </c>
      <c r="D11740" s="27" t="s">
        <v>7</v>
      </c>
      <c r="E11740" s="27" t="s">
        <v>22</v>
      </c>
      <c r="F11740" s="29"/>
      <c r="G11740" s="30">
        <f t="shared" si="210"/>
        <v>6.9962499999999999</v>
      </c>
    </row>
    <row r="11741" spans="1:7" hidden="1" x14ac:dyDescent="0.25">
      <c r="A11741" s="28">
        <v>44531</v>
      </c>
      <c r="B11741" s="27" t="s">
        <v>200</v>
      </c>
      <c r="C11741" s="27" t="s">
        <v>54</v>
      </c>
      <c r="D11741" s="27" t="s">
        <v>7</v>
      </c>
      <c r="E11741" s="27" t="s">
        <v>39</v>
      </c>
      <c r="F11741" s="29"/>
      <c r="G11741" s="30">
        <f t="shared" si="210"/>
        <v>6.9962499999999999</v>
      </c>
    </row>
    <row r="11742" spans="1:7" hidden="1" x14ac:dyDescent="0.25">
      <c r="A11742" s="28">
        <v>44531</v>
      </c>
      <c r="B11742" s="27" t="s">
        <v>200</v>
      </c>
      <c r="C11742" s="27" t="s">
        <v>54</v>
      </c>
      <c r="D11742" s="27" t="s">
        <v>7</v>
      </c>
      <c r="E11742" s="27" t="s">
        <v>64</v>
      </c>
      <c r="F11742" s="29"/>
      <c r="G11742" s="30">
        <f t="shared" si="210"/>
        <v>6.9962499999999999</v>
      </c>
    </row>
    <row r="11743" spans="1:7" hidden="1" x14ac:dyDescent="0.25">
      <c r="A11743" s="28">
        <v>44531</v>
      </c>
      <c r="B11743" s="27" t="s">
        <v>200</v>
      </c>
      <c r="C11743" s="27" t="s">
        <v>54</v>
      </c>
      <c r="D11743" s="27" t="s">
        <v>7</v>
      </c>
      <c r="E11743" s="27" t="s">
        <v>21</v>
      </c>
      <c r="F11743" s="29"/>
      <c r="G11743" s="30">
        <f t="shared" si="210"/>
        <v>6.9962499999999999</v>
      </c>
    </row>
    <row r="11744" spans="1:7" hidden="1" x14ac:dyDescent="0.25">
      <c r="A11744" s="28">
        <v>44531</v>
      </c>
      <c r="B11744" s="27" t="s">
        <v>200</v>
      </c>
      <c r="C11744" s="27" t="s">
        <v>54</v>
      </c>
      <c r="D11744" s="27" t="s">
        <v>7</v>
      </c>
      <c r="E11744" s="27" t="s">
        <v>41</v>
      </c>
      <c r="F11744" s="29"/>
      <c r="G11744" s="30">
        <f t="shared" si="210"/>
        <v>6.9962499999999999</v>
      </c>
    </row>
    <row r="11745" spans="1:7" hidden="1" x14ac:dyDescent="0.25">
      <c r="A11745" s="28">
        <v>44531</v>
      </c>
      <c r="B11745" s="27" t="s">
        <v>200</v>
      </c>
      <c r="C11745" s="27" t="s">
        <v>54</v>
      </c>
      <c r="D11745" s="27" t="s">
        <v>7</v>
      </c>
      <c r="E11745" s="27" t="s">
        <v>10</v>
      </c>
      <c r="F11745" s="29"/>
      <c r="G11745" s="30">
        <f t="shared" si="210"/>
        <v>6.9962499999999999</v>
      </c>
    </row>
    <row r="11746" spans="1:7" hidden="1" x14ac:dyDescent="0.25">
      <c r="A11746" s="28">
        <v>44531</v>
      </c>
      <c r="B11746" s="27" t="s">
        <v>200</v>
      </c>
      <c r="C11746" s="27" t="s">
        <v>54</v>
      </c>
      <c r="D11746" s="27" t="s">
        <v>7</v>
      </c>
      <c r="E11746" s="27" t="s">
        <v>11</v>
      </c>
      <c r="F11746" s="29"/>
      <c r="G11746" s="30">
        <f t="shared" si="210"/>
        <v>6.9962499999999999</v>
      </c>
    </row>
    <row r="11747" spans="1:7" hidden="1" x14ac:dyDescent="0.25">
      <c r="A11747" s="28">
        <v>44531</v>
      </c>
      <c r="B11747" s="27" t="s">
        <v>200</v>
      </c>
      <c r="C11747" s="27" t="s">
        <v>54</v>
      </c>
      <c r="D11747" s="27" t="s">
        <v>7</v>
      </c>
      <c r="E11747" s="27" t="s">
        <v>12</v>
      </c>
      <c r="F11747" s="29"/>
      <c r="G11747" s="30">
        <f t="shared" si="210"/>
        <v>6.9962499999999999</v>
      </c>
    </row>
    <row r="11748" spans="1:7" hidden="1" x14ac:dyDescent="0.25">
      <c r="A11748" s="28">
        <v>44531</v>
      </c>
      <c r="B11748" s="27" t="s">
        <v>200</v>
      </c>
      <c r="C11748" s="27" t="s">
        <v>54</v>
      </c>
      <c r="D11748" s="27" t="s">
        <v>7</v>
      </c>
      <c r="E11748" s="27" t="s">
        <v>13</v>
      </c>
      <c r="F11748" s="29"/>
      <c r="G11748" s="30">
        <f t="shared" si="210"/>
        <v>6.9962499999999999</v>
      </c>
    </row>
    <row r="11749" spans="1:7" hidden="1" x14ac:dyDescent="0.25">
      <c r="A11749" s="28">
        <v>44531</v>
      </c>
      <c r="B11749" s="27" t="s">
        <v>200</v>
      </c>
      <c r="C11749" s="27" t="s">
        <v>54</v>
      </c>
      <c r="D11749" s="27" t="s">
        <v>7</v>
      </c>
      <c r="E11749" s="27" t="s">
        <v>14</v>
      </c>
      <c r="F11749" s="29"/>
      <c r="G11749" s="30">
        <f t="shared" si="210"/>
        <v>6.9962499999999999</v>
      </c>
    </row>
    <row r="11750" spans="1:7" hidden="1" x14ac:dyDescent="0.25">
      <c r="A11750" s="28">
        <v>44531</v>
      </c>
      <c r="B11750" s="27" t="s">
        <v>200</v>
      </c>
      <c r="C11750" s="27" t="s">
        <v>54</v>
      </c>
      <c r="D11750" s="27" t="s">
        <v>7</v>
      </c>
      <c r="E11750" s="27" t="s">
        <v>15</v>
      </c>
      <c r="F11750" s="29"/>
      <c r="G11750" s="30">
        <f t="shared" si="210"/>
        <v>6.9962499999999999</v>
      </c>
    </row>
    <row r="11751" spans="1:7" hidden="1" x14ac:dyDescent="0.25">
      <c r="A11751" s="28">
        <v>44531</v>
      </c>
      <c r="B11751" s="27" t="s">
        <v>200</v>
      </c>
      <c r="C11751" s="27" t="s">
        <v>54</v>
      </c>
      <c r="D11751" s="27" t="s">
        <v>7</v>
      </c>
      <c r="E11751" s="27" t="s">
        <v>16</v>
      </c>
      <c r="F11751" s="29"/>
      <c r="G11751" s="30">
        <f t="shared" si="210"/>
        <v>6.9962499999999999</v>
      </c>
    </row>
    <row r="11752" spans="1:7" hidden="1" x14ac:dyDescent="0.25">
      <c r="A11752" s="28">
        <v>44531</v>
      </c>
      <c r="B11752" s="27" t="s">
        <v>200</v>
      </c>
      <c r="C11752" s="27" t="s">
        <v>54</v>
      </c>
      <c r="D11752" s="27" t="s">
        <v>7</v>
      </c>
      <c r="E11752" s="27" t="s">
        <v>17</v>
      </c>
      <c r="F11752" s="29"/>
      <c r="G11752" s="30">
        <f t="shared" si="210"/>
        <v>6.9962499999999999</v>
      </c>
    </row>
    <row r="11753" spans="1:7" hidden="1" x14ac:dyDescent="0.25">
      <c r="A11753" s="28">
        <v>44531</v>
      </c>
      <c r="B11753" s="27" t="s">
        <v>200</v>
      </c>
      <c r="C11753" s="27" t="s">
        <v>54</v>
      </c>
      <c r="D11753" s="27" t="s">
        <v>7</v>
      </c>
      <c r="E11753" s="27" t="s">
        <v>18</v>
      </c>
      <c r="F11753" s="29"/>
      <c r="G11753" s="30">
        <f t="shared" si="210"/>
        <v>6.9962499999999999</v>
      </c>
    </row>
    <row r="11754" spans="1:7" hidden="1" x14ac:dyDescent="0.25">
      <c r="A11754" s="28">
        <v>44531</v>
      </c>
      <c r="B11754" s="27" t="s">
        <v>200</v>
      </c>
      <c r="C11754" s="27" t="s">
        <v>54</v>
      </c>
      <c r="D11754" s="27" t="s">
        <v>7</v>
      </c>
      <c r="E11754" s="27" t="s">
        <v>19</v>
      </c>
      <c r="F11754" s="29"/>
      <c r="G11754" s="30">
        <f t="shared" si="210"/>
        <v>6.9962499999999999</v>
      </c>
    </row>
    <row r="11755" spans="1:7" hidden="1" x14ac:dyDescent="0.25">
      <c r="A11755" s="28">
        <v>44531</v>
      </c>
      <c r="B11755" s="27" t="s">
        <v>200</v>
      </c>
      <c r="C11755" s="27" t="s">
        <v>54</v>
      </c>
      <c r="D11755" s="27" t="s">
        <v>7</v>
      </c>
      <c r="E11755" s="27" t="s">
        <v>20</v>
      </c>
      <c r="F11755" s="29"/>
      <c r="G11755" s="30">
        <f t="shared" si="210"/>
        <v>6.9962499999999999</v>
      </c>
    </row>
    <row r="11756" spans="1:7" hidden="1" x14ac:dyDescent="0.25">
      <c r="A11756" s="28">
        <v>44531</v>
      </c>
      <c r="B11756" s="27" t="s">
        <v>200</v>
      </c>
      <c r="C11756" s="27" t="s">
        <v>54</v>
      </c>
      <c r="D11756" s="27" t="s">
        <v>7</v>
      </c>
      <c r="E11756" s="27" t="s">
        <v>38</v>
      </c>
      <c r="F11756" s="29"/>
      <c r="G11756" s="30">
        <f t="shared" si="210"/>
        <v>6.9962499999999999</v>
      </c>
    </row>
    <row r="11757" spans="1:7" hidden="1" x14ac:dyDescent="0.25">
      <c r="A11757" s="28">
        <v>44531</v>
      </c>
      <c r="B11757" s="27" t="s">
        <v>200</v>
      </c>
      <c r="C11757" s="27" t="s">
        <v>54</v>
      </c>
      <c r="D11757" s="27" t="s">
        <v>7</v>
      </c>
      <c r="E11757" s="27" t="s">
        <v>23</v>
      </c>
      <c r="F11757" s="29"/>
      <c r="G11757" s="30">
        <f t="shared" si="210"/>
        <v>6.9962499999999999</v>
      </c>
    </row>
    <row r="11758" spans="1:7" hidden="1" x14ac:dyDescent="0.25">
      <c r="A11758" s="28">
        <v>44531</v>
      </c>
      <c r="B11758" s="27" t="s">
        <v>200</v>
      </c>
      <c r="C11758" s="27" t="s">
        <v>54</v>
      </c>
      <c r="D11758" s="27" t="s">
        <v>7</v>
      </c>
      <c r="E11758" s="27" t="s">
        <v>40</v>
      </c>
      <c r="F11758" s="29"/>
      <c r="G11758" s="30">
        <f t="shared" si="210"/>
        <v>6.9962499999999999</v>
      </c>
    </row>
    <row r="11759" spans="1:7" hidden="1" x14ac:dyDescent="0.25">
      <c r="A11759" s="28">
        <v>44531</v>
      </c>
      <c r="B11759" s="27" t="s">
        <v>200</v>
      </c>
      <c r="C11759" s="27" t="s">
        <v>54</v>
      </c>
      <c r="D11759" s="27" t="s">
        <v>7</v>
      </c>
      <c r="E11759" s="27" t="s">
        <v>42</v>
      </c>
      <c r="F11759" s="29"/>
      <c r="G11759" s="30">
        <f t="shared" si="210"/>
        <v>6.9962499999999999</v>
      </c>
    </row>
    <row r="11760" spans="1:7" hidden="1" x14ac:dyDescent="0.25">
      <c r="A11760" s="28">
        <v>44531</v>
      </c>
      <c r="B11760" s="27" t="s">
        <v>200</v>
      </c>
      <c r="C11760" s="27" t="s">
        <v>54</v>
      </c>
      <c r="D11760" s="27" t="s">
        <v>7</v>
      </c>
      <c r="E11760" s="27" t="s">
        <v>43</v>
      </c>
      <c r="F11760" s="29"/>
      <c r="G11760" s="30">
        <f t="shared" si="210"/>
        <v>6.9962499999999999</v>
      </c>
    </row>
    <row r="11761" spans="1:7" hidden="1" x14ac:dyDescent="0.25">
      <c r="A11761" s="28">
        <v>44531</v>
      </c>
      <c r="B11761" s="27" t="s">
        <v>200</v>
      </c>
      <c r="C11761" s="27" t="s">
        <v>54</v>
      </c>
      <c r="D11761" s="27" t="s">
        <v>7</v>
      </c>
      <c r="E11761" s="27" t="s">
        <v>72</v>
      </c>
      <c r="F11761" s="29"/>
      <c r="G11761" s="30">
        <f t="shared" si="210"/>
        <v>6.9962499999999999</v>
      </c>
    </row>
    <row r="11762" spans="1:7" hidden="1" x14ac:dyDescent="0.25">
      <c r="A11762" s="28">
        <v>44531</v>
      </c>
      <c r="B11762" s="27" t="s">
        <v>200</v>
      </c>
      <c r="C11762" s="27" t="s">
        <v>55</v>
      </c>
      <c r="D11762" s="27" t="s">
        <v>6</v>
      </c>
      <c r="E11762" s="27" t="s">
        <v>8</v>
      </c>
      <c r="F11762" s="29"/>
      <c r="G11762" s="30">
        <f t="shared" ref="G11762:G11782" si="211">34772.9464/21</f>
        <v>1655.8545904761904</v>
      </c>
    </row>
    <row r="11763" spans="1:7" hidden="1" x14ac:dyDescent="0.25">
      <c r="A11763" s="28">
        <v>44531</v>
      </c>
      <c r="B11763" s="27" t="s">
        <v>200</v>
      </c>
      <c r="C11763" s="27" t="s">
        <v>55</v>
      </c>
      <c r="D11763" s="27" t="s">
        <v>6</v>
      </c>
      <c r="E11763" s="27" t="s">
        <v>9</v>
      </c>
      <c r="F11763" s="29"/>
      <c r="G11763" s="30">
        <f t="shared" si="211"/>
        <v>1655.8545904761904</v>
      </c>
    </row>
    <row r="11764" spans="1:7" hidden="1" x14ac:dyDescent="0.25">
      <c r="A11764" s="28">
        <v>44531</v>
      </c>
      <c r="B11764" s="27" t="s">
        <v>200</v>
      </c>
      <c r="C11764" s="27" t="s">
        <v>55</v>
      </c>
      <c r="D11764" s="27" t="s">
        <v>6</v>
      </c>
      <c r="E11764" s="27" t="s">
        <v>22</v>
      </c>
      <c r="F11764" s="29"/>
      <c r="G11764" s="30">
        <f t="shared" si="211"/>
        <v>1655.8545904761904</v>
      </c>
    </row>
    <row r="11765" spans="1:7" hidden="1" x14ac:dyDescent="0.25">
      <c r="A11765" s="28">
        <v>44531</v>
      </c>
      <c r="B11765" s="27" t="s">
        <v>200</v>
      </c>
      <c r="C11765" s="27" t="s">
        <v>55</v>
      </c>
      <c r="D11765" s="27" t="s">
        <v>6</v>
      </c>
      <c r="E11765" s="27" t="s">
        <v>39</v>
      </c>
      <c r="F11765" s="29"/>
      <c r="G11765" s="30">
        <f t="shared" si="211"/>
        <v>1655.8545904761904</v>
      </c>
    </row>
    <row r="11766" spans="1:7" hidden="1" x14ac:dyDescent="0.25">
      <c r="A11766" s="28">
        <v>44531</v>
      </c>
      <c r="B11766" s="27" t="s">
        <v>200</v>
      </c>
      <c r="C11766" s="27" t="s">
        <v>55</v>
      </c>
      <c r="D11766" s="27" t="s">
        <v>6</v>
      </c>
      <c r="E11766" s="27" t="s">
        <v>64</v>
      </c>
      <c r="F11766" s="29"/>
      <c r="G11766" s="30">
        <f t="shared" si="211"/>
        <v>1655.8545904761904</v>
      </c>
    </row>
    <row r="11767" spans="1:7" hidden="1" x14ac:dyDescent="0.25">
      <c r="A11767" s="28">
        <v>44531</v>
      </c>
      <c r="B11767" s="27" t="s">
        <v>200</v>
      </c>
      <c r="C11767" s="27" t="s">
        <v>55</v>
      </c>
      <c r="D11767" s="27" t="s">
        <v>6</v>
      </c>
      <c r="E11767" s="27" t="s">
        <v>21</v>
      </c>
      <c r="F11767" s="29"/>
      <c r="G11767" s="30">
        <f t="shared" si="211"/>
        <v>1655.8545904761904</v>
      </c>
    </row>
    <row r="11768" spans="1:7" hidden="1" x14ac:dyDescent="0.25">
      <c r="A11768" s="28">
        <v>44531</v>
      </c>
      <c r="B11768" s="27" t="s">
        <v>200</v>
      </c>
      <c r="C11768" s="27" t="s">
        <v>55</v>
      </c>
      <c r="D11768" s="27" t="s">
        <v>6</v>
      </c>
      <c r="E11768" s="27" t="s">
        <v>41</v>
      </c>
      <c r="F11768" s="29"/>
      <c r="G11768" s="30">
        <f t="shared" si="211"/>
        <v>1655.8545904761904</v>
      </c>
    </row>
    <row r="11769" spans="1:7" hidden="1" x14ac:dyDescent="0.25">
      <c r="A11769" s="28">
        <v>44531</v>
      </c>
      <c r="B11769" s="27" t="s">
        <v>200</v>
      </c>
      <c r="C11769" s="27" t="s">
        <v>55</v>
      </c>
      <c r="D11769" s="27" t="s">
        <v>6</v>
      </c>
      <c r="E11769" s="27" t="s">
        <v>10</v>
      </c>
      <c r="F11769" s="29"/>
      <c r="G11769" s="30">
        <f t="shared" si="211"/>
        <v>1655.8545904761904</v>
      </c>
    </row>
    <row r="11770" spans="1:7" hidden="1" x14ac:dyDescent="0.25">
      <c r="A11770" s="28">
        <v>44531</v>
      </c>
      <c r="B11770" s="27" t="s">
        <v>200</v>
      </c>
      <c r="C11770" s="27" t="s">
        <v>55</v>
      </c>
      <c r="D11770" s="27" t="s">
        <v>6</v>
      </c>
      <c r="E11770" s="27" t="s">
        <v>11</v>
      </c>
      <c r="F11770" s="29"/>
      <c r="G11770" s="30">
        <f t="shared" si="211"/>
        <v>1655.8545904761904</v>
      </c>
    </row>
    <row r="11771" spans="1:7" hidden="1" x14ac:dyDescent="0.25">
      <c r="A11771" s="28">
        <v>44531</v>
      </c>
      <c r="B11771" s="27" t="s">
        <v>200</v>
      </c>
      <c r="C11771" s="27" t="s">
        <v>55</v>
      </c>
      <c r="D11771" s="27" t="s">
        <v>6</v>
      </c>
      <c r="E11771" s="27" t="s">
        <v>12</v>
      </c>
      <c r="F11771" s="29"/>
      <c r="G11771" s="30">
        <f t="shared" si="211"/>
        <v>1655.8545904761904</v>
      </c>
    </row>
    <row r="11772" spans="1:7" hidden="1" x14ac:dyDescent="0.25">
      <c r="A11772" s="28">
        <v>44531</v>
      </c>
      <c r="B11772" s="27" t="s">
        <v>200</v>
      </c>
      <c r="C11772" s="27" t="s">
        <v>55</v>
      </c>
      <c r="D11772" s="27" t="s">
        <v>6</v>
      </c>
      <c r="E11772" s="27" t="s">
        <v>13</v>
      </c>
      <c r="F11772" s="29"/>
      <c r="G11772" s="30">
        <f t="shared" si="211"/>
        <v>1655.8545904761904</v>
      </c>
    </row>
    <row r="11773" spans="1:7" hidden="1" x14ac:dyDescent="0.25">
      <c r="A11773" s="28">
        <v>44531</v>
      </c>
      <c r="B11773" s="27" t="s">
        <v>200</v>
      </c>
      <c r="C11773" s="27" t="s">
        <v>55</v>
      </c>
      <c r="D11773" s="27" t="s">
        <v>6</v>
      </c>
      <c r="E11773" s="27" t="s">
        <v>14</v>
      </c>
      <c r="F11773" s="29"/>
      <c r="G11773" s="30">
        <f t="shared" si="211"/>
        <v>1655.8545904761904</v>
      </c>
    </row>
    <row r="11774" spans="1:7" hidden="1" x14ac:dyDescent="0.25">
      <c r="A11774" s="28">
        <v>44531</v>
      </c>
      <c r="B11774" s="27" t="s">
        <v>200</v>
      </c>
      <c r="C11774" s="27" t="s">
        <v>55</v>
      </c>
      <c r="D11774" s="27" t="s">
        <v>6</v>
      </c>
      <c r="E11774" s="27" t="s">
        <v>15</v>
      </c>
      <c r="F11774" s="29"/>
      <c r="G11774" s="30">
        <f t="shared" si="211"/>
        <v>1655.8545904761904</v>
      </c>
    </row>
    <row r="11775" spans="1:7" hidden="1" x14ac:dyDescent="0.25">
      <c r="A11775" s="28">
        <v>44531</v>
      </c>
      <c r="B11775" s="27" t="s">
        <v>200</v>
      </c>
      <c r="C11775" s="27" t="s">
        <v>55</v>
      </c>
      <c r="D11775" s="27" t="s">
        <v>6</v>
      </c>
      <c r="E11775" s="27" t="s">
        <v>16</v>
      </c>
      <c r="F11775" s="29"/>
      <c r="G11775" s="30">
        <f t="shared" si="211"/>
        <v>1655.8545904761904</v>
      </c>
    </row>
    <row r="11776" spans="1:7" hidden="1" x14ac:dyDescent="0.25">
      <c r="A11776" s="28">
        <v>44531</v>
      </c>
      <c r="B11776" s="27" t="s">
        <v>200</v>
      </c>
      <c r="C11776" s="27" t="s">
        <v>55</v>
      </c>
      <c r="D11776" s="27" t="s">
        <v>6</v>
      </c>
      <c r="E11776" s="27" t="s">
        <v>17</v>
      </c>
      <c r="F11776" s="29"/>
      <c r="G11776" s="30">
        <f t="shared" si="211"/>
        <v>1655.8545904761904</v>
      </c>
    </row>
    <row r="11777" spans="1:7" hidden="1" x14ac:dyDescent="0.25">
      <c r="A11777" s="28">
        <v>44531</v>
      </c>
      <c r="B11777" s="27" t="s">
        <v>200</v>
      </c>
      <c r="C11777" s="27" t="s">
        <v>55</v>
      </c>
      <c r="D11777" s="27" t="s">
        <v>6</v>
      </c>
      <c r="E11777" s="27" t="s">
        <v>18</v>
      </c>
      <c r="F11777" s="29"/>
      <c r="G11777" s="30">
        <f t="shared" si="211"/>
        <v>1655.8545904761904</v>
      </c>
    </row>
    <row r="11778" spans="1:7" hidden="1" x14ac:dyDescent="0.25">
      <c r="A11778" s="28">
        <v>44531</v>
      </c>
      <c r="B11778" s="27" t="s">
        <v>200</v>
      </c>
      <c r="C11778" s="27" t="s">
        <v>55</v>
      </c>
      <c r="D11778" s="27" t="s">
        <v>6</v>
      </c>
      <c r="E11778" s="27" t="s">
        <v>19</v>
      </c>
      <c r="F11778" s="29"/>
      <c r="G11778" s="30">
        <f t="shared" si="211"/>
        <v>1655.8545904761904</v>
      </c>
    </row>
    <row r="11779" spans="1:7" hidden="1" x14ac:dyDescent="0.25">
      <c r="A11779" s="28">
        <v>44531</v>
      </c>
      <c r="B11779" s="27" t="s">
        <v>200</v>
      </c>
      <c r="C11779" s="27" t="s">
        <v>55</v>
      </c>
      <c r="D11779" s="27" t="s">
        <v>6</v>
      </c>
      <c r="E11779" s="27" t="s">
        <v>20</v>
      </c>
      <c r="F11779" s="29"/>
      <c r="G11779" s="30">
        <f t="shared" si="211"/>
        <v>1655.8545904761904</v>
      </c>
    </row>
    <row r="11780" spans="1:7" hidden="1" x14ac:dyDescent="0.25">
      <c r="A11780" s="28">
        <v>44531</v>
      </c>
      <c r="B11780" s="27" t="s">
        <v>200</v>
      </c>
      <c r="C11780" s="27" t="s">
        <v>55</v>
      </c>
      <c r="D11780" s="27" t="s">
        <v>6</v>
      </c>
      <c r="E11780" s="27" t="s">
        <v>38</v>
      </c>
      <c r="F11780" s="29"/>
      <c r="G11780" s="30">
        <f t="shared" si="211"/>
        <v>1655.8545904761904</v>
      </c>
    </row>
    <row r="11781" spans="1:7" hidden="1" x14ac:dyDescent="0.25">
      <c r="A11781" s="28">
        <v>44531</v>
      </c>
      <c r="B11781" s="27" t="s">
        <v>200</v>
      </c>
      <c r="C11781" s="27" t="s">
        <v>55</v>
      </c>
      <c r="D11781" s="27" t="s">
        <v>6</v>
      </c>
      <c r="E11781" s="27" t="s">
        <v>23</v>
      </c>
      <c r="F11781" s="29"/>
      <c r="G11781" s="30">
        <f t="shared" si="211"/>
        <v>1655.8545904761904</v>
      </c>
    </row>
    <row r="11782" spans="1:7" hidden="1" x14ac:dyDescent="0.25">
      <c r="A11782" s="28">
        <v>44531</v>
      </c>
      <c r="B11782" s="27" t="s">
        <v>200</v>
      </c>
      <c r="C11782" s="27" t="s">
        <v>55</v>
      </c>
      <c r="D11782" s="27" t="s">
        <v>6</v>
      </c>
      <c r="E11782" s="27" t="s">
        <v>40</v>
      </c>
      <c r="F11782" s="29"/>
      <c r="G11782" s="30">
        <f t="shared" si="211"/>
        <v>1655.8545904761904</v>
      </c>
    </row>
    <row r="11783" spans="1:7" hidden="1" x14ac:dyDescent="0.25">
      <c r="A11783" s="28">
        <v>44531</v>
      </c>
      <c r="B11783" s="27" t="s">
        <v>200</v>
      </c>
      <c r="C11783" s="27" t="s">
        <v>183</v>
      </c>
      <c r="D11783" s="27" t="s">
        <v>7</v>
      </c>
      <c r="E11783" s="27" t="s">
        <v>8</v>
      </c>
      <c r="F11783" s="29"/>
      <c r="G11783" s="30">
        <f t="shared" ref="G11783:G11806" si="212">1643.9/24</f>
        <v>68.495833333333337</v>
      </c>
    </row>
    <row r="11784" spans="1:7" hidden="1" x14ac:dyDescent="0.25">
      <c r="A11784" s="28">
        <v>44531</v>
      </c>
      <c r="B11784" s="27" t="s">
        <v>200</v>
      </c>
      <c r="C11784" s="27" t="s">
        <v>183</v>
      </c>
      <c r="D11784" s="27" t="s">
        <v>7</v>
      </c>
      <c r="E11784" s="27" t="s">
        <v>9</v>
      </c>
      <c r="F11784" s="29"/>
      <c r="G11784" s="30">
        <f t="shared" si="212"/>
        <v>68.495833333333337</v>
      </c>
    </row>
    <row r="11785" spans="1:7" hidden="1" x14ac:dyDescent="0.25">
      <c r="A11785" s="28">
        <v>44531</v>
      </c>
      <c r="B11785" s="27" t="s">
        <v>200</v>
      </c>
      <c r="C11785" s="27" t="s">
        <v>183</v>
      </c>
      <c r="D11785" s="27" t="s">
        <v>7</v>
      </c>
      <c r="E11785" s="27" t="s">
        <v>22</v>
      </c>
      <c r="F11785" s="29"/>
      <c r="G11785" s="30">
        <f t="shared" si="212"/>
        <v>68.495833333333337</v>
      </c>
    </row>
    <row r="11786" spans="1:7" hidden="1" x14ac:dyDescent="0.25">
      <c r="A11786" s="28">
        <v>44531</v>
      </c>
      <c r="B11786" s="27" t="s">
        <v>200</v>
      </c>
      <c r="C11786" s="27" t="s">
        <v>183</v>
      </c>
      <c r="D11786" s="27" t="s">
        <v>7</v>
      </c>
      <c r="E11786" s="27" t="s">
        <v>39</v>
      </c>
      <c r="F11786" s="29"/>
      <c r="G11786" s="30">
        <f t="shared" si="212"/>
        <v>68.495833333333337</v>
      </c>
    </row>
    <row r="11787" spans="1:7" hidden="1" x14ac:dyDescent="0.25">
      <c r="A11787" s="28">
        <v>44531</v>
      </c>
      <c r="B11787" s="27" t="s">
        <v>200</v>
      </c>
      <c r="C11787" s="27" t="s">
        <v>183</v>
      </c>
      <c r="D11787" s="27" t="s">
        <v>7</v>
      </c>
      <c r="E11787" s="27" t="s">
        <v>64</v>
      </c>
      <c r="F11787" s="29"/>
      <c r="G11787" s="30">
        <f t="shared" si="212"/>
        <v>68.495833333333337</v>
      </c>
    </row>
    <row r="11788" spans="1:7" hidden="1" x14ac:dyDescent="0.25">
      <c r="A11788" s="28">
        <v>44531</v>
      </c>
      <c r="B11788" s="27" t="s">
        <v>200</v>
      </c>
      <c r="C11788" s="27" t="s">
        <v>183</v>
      </c>
      <c r="D11788" s="27" t="s">
        <v>7</v>
      </c>
      <c r="E11788" s="27" t="s">
        <v>21</v>
      </c>
      <c r="F11788" s="29"/>
      <c r="G11788" s="30">
        <f t="shared" si="212"/>
        <v>68.495833333333337</v>
      </c>
    </row>
    <row r="11789" spans="1:7" hidden="1" x14ac:dyDescent="0.25">
      <c r="A11789" s="28">
        <v>44531</v>
      </c>
      <c r="B11789" s="27" t="s">
        <v>200</v>
      </c>
      <c r="C11789" s="27" t="s">
        <v>183</v>
      </c>
      <c r="D11789" s="27" t="s">
        <v>7</v>
      </c>
      <c r="E11789" s="27" t="s">
        <v>41</v>
      </c>
      <c r="F11789" s="29"/>
      <c r="G11789" s="30">
        <f t="shared" si="212"/>
        <v>68.495833333333337</v>
      </c>
    </row>
    <row r="11790" spans="1:7" hidden="1" x14ac:dyDescent="0.25">
      <c r="A11790" s="28">
        <v>44531</v>
      </c>
      <c r="B11790" s="27" t="s">
        <v>200</v>
      </c>
      <c r="C11790" s="27" t="s">
        <v>183</v>
      </c>
      <c r="D11790" s="27" t="s">
        <v>7</v>
      </c>
      <c r="E11790" s="27" t="s">
        <v>10</v>
      </c>
      <c r="F11790" s="29"/>
      <c r="G11790" s="30">
        <f t="shared" si="212"/>
        <v>68.495833333333337</v>
      </c>
    </row>
    <row r="11791" spans="1:7" hidden="1" x14ac:dyDescent="0.25">
      <c r="A11791" s="28">
        <v>44531</v>
      </c>
      <c r="B11791" s="27" t="s">
        <v>200</v>
      </c>
      <c r="C11791" s="27" t="s">
        <v>183</v>
      </c>
      <c r="D11791" s="27" t="s">
        <v>7</v>
      </c>
      <c r="E11791" s="27" t="s">
        <v>11</v>
      </c>
      <c r="F11791" s="29"/>
      <c r="G11791" s="30">
        <f t="shared" si="212"/>
        <v>68.495833333333337</v>
      </c>
    </row>
    <row r="11792" spans="1:7" hidden="1" x14ac:dyDescent="0.25">
      <c r="A11792" s="28">
        <v>44531</v>
      </c>
      <c r="B11792" s="27" t="s">
        <v>200</v>
      </c>
      <c r="C11792" s="27" t="s">
        <v>183</v>
      </c>
      <c r="D11792" s="27" t="s">
        <v>7</v>
      </c>
      <c r="E11792" s="27" t="s">
        <v>12</v>
      </c>
      <c r="F11792" s="29"/>
      <c r="G11792" s="30">
        <f t="shared" si="212"/>
        <v>68.495833333333337</v>
      </c>
    </row>
    <row r="11793" spans="1:7" hidden="1" x14ac:dyDescent="0.25">
      <c r="A11793" s="28">
        <v>44531</v>
      </c>
      <c r="B11793" s="27" t="s">
        <v>200</v>
      </c>
      <c r="C11793" s="27" t="s">
        <v>183</v>
      </c>
      <c r="D11793" s="27" t="s">
        <v>7</v>
      </c>
      <c r="E11793" s="27" t="s">
        <v>13</v>
      </c>
      <c r="F11793" s="29"/>
      <c r="G11793" s="30">
        <f t="shared" si="212"/>
        <v>68.495833333333337</v>
      </c>
    </row>
    <row r="11794" spans="1:7" hidden="1" x14ac:dyDescent="0.25">
      <c r="A11794" s="28">
        <v>44531</v>
      </c>
      <c r="B11794" s="27" t="s">
        <v>200</v>
      </c>
      <c r="C11794" s="27" t="s">
        <v>183</v>
      </c>
      <c r="D11794" s="27" t="s">
        <v>7</v>
      </c>
      <c r="E11794" s="27" t="s">
        <v>14</v>
      </c>
      <c r="F11794" s="29"/>
      <c r="G11794" s="30">
        <f t="shared" si="212"/>
        <v>68.495833333333337</v>
      </c>
    </row>
    <row r="11795" spans="1:7" hidden="1" x14ac:dyDescent="0.25">
      <c r="A11795" s="28">
        <v>44531</v>
      </c>
      <c r="B11795" s="27" t="s">
        <v>200</v>
      </c>
      <c r="C11795" s="27" t="s">
        <v>183</v>
      </c>
      <c r="D11795" s="27" t="s">
        <v>7</v>
      </c>
      <c r="E11795" s="27" t="s">
        <v>15</v>
      </c>
      <c r="F11795" s="29"/>
      <c r="G11795" s="30">
        <f t="shared" si="212"/>
        <v>68.495833333333337</v>
      </c>
    </row>
    <row r="11796" spans="1:7" hidden="1" x14ac:dyDescent="0.25">
      <c r="A11796" s="28">
        <v>44531</v>
      </c>
      <c r="B11796" s="27" t="s">
        <v>200</v>
      </c>
      <c r="C11796" s="27" t="s">
        <v>183</v>
      </c>
      <c r="D11796" s="27" t="s">
        <v>7</v>
      </c>
      <c r="E11796" s="27" t="s">
        <v>16</v>
      </c>
      <c r="F11796" s="29"/>
      <c r="G11796" s="30">
        <f t="shared" si="212"/>
        <v>68.495833333333337</v>
      </c>
    </row>
    <row r="11797" spans="1:7" hidden="1" x14ac:dyDescent="0.25">
      <c r="A11797" s="28">
        <v>44531</v>
      </c>
      <c r="B11797" s="27" t="s">
        <v>200</v>
      </c>
      <c r="C11797" s="27" t="s">
        <v>183</v>
      </c>
      <c r="D11797" s="27" t="s">
        <v>7</v>
      </c>
      <c r="E11797" s="27" t="s">
        <v>17</v>
      </c>
      <c r="F11797" s="29"/>
      <c r="G11797" s="30">
        <f t="shared" si="212"/>
        <v>68.495833333333337</v>
      </c>
    </row>
    <row r="11798" spans="1:7" hidden="1" x14ac:dyDescent="0.25">
      <c r="A11798" s="28">
        <v>44531</v>
      </c>
      <c r="B11798" s="27" t="s">
        <v>200</v>
      </c>
      <c r="C11798" s="27" t="s">
        <v>183</v>
      </c>
      <c r="D11798" s="27" t="s">
        <v>7</v>
      </c>
      <c r="E11798" s="27" t="s">
        <v>18</v>
      </c>
      <c r="F11798" s="29"/>
      <c r="G11798" s="30">
        <f t="shared" si="212"/>
        <v>68.495833333333337</v>
      </c>
    </row>
    <row r="11799" spans="1:7" hidden="1" x14ac:dyDescent="0.25">
      <c r="A11799" s="28">
        <v>44531</v>
      </c>
      <c r="B11799" s="27" t="s">
        <v>200</v>
      </c>
      <c r="C11799" s="27" t="s">
        <v>183</v>
      </c>
      <c r="D11799" s="27" t="s">
        <v>7</v>
      </c>
      <c r="E11799" s="27" t="s">
        <v>19</v>
      </c>
      <c r="F11799" s="29"/>
      <c r="G11799" s="30">
        <f t="shared" si="212"/>
        <v>68.495833333333337</v>
      </c>
    </row>
    <row r="11800" spans="1:7" hidden="1" x14ac:dyDescent="0.25">
      <c r="A11800" s="28">
        <v>44531</v>
      </c>
      <c r="B11800" s="27" t="s">
        <v>200</v>
      </c>
      <c r="C11800" s="27" t="s">
        <v>183</v>
      </c>
      <c r="D11800" s="27" t="s">
        <v>7</v>
      </c>
      <c r="E11800" s="27" t="s">
        <v>20</v>
      </c>
      <c r="F11800" s="29"/>
      <c r="G11800" s="30">
        <f t="shared" si="212"/>
        <v>68.495833333333337</v>
      </c>
    </row>
    <row r="11801" spans="1:7" hidden="1" x14ac:dyDescent="0.25">
      <c r="A11801" s="28">
        <v>44531</v>
      </c>
      <c r="B11801" s="27" t="s">
        <v>200</v>
      </c>
      <c r="C11801" s="27" t="s">
        <v>183</v>
      </c>
      <c r="D11801" s="27" t="s">
        <v>7</v>
      </c>
      <c r="E11801" s="27" t="s">
        <v>38</v>
      </c>
      <c r="F11801" s="29"/>
      <c r="G11801" s="30">
        <f t="shared" si="212"/>
        <v>68.495833333333337</v>
      </c>
    </row>
    <row r="11802" spans="1:7" hidden="1" x14ac:dyDescent="0.25">
      <c r="A11802" s="28">
        <v>44531</v>
      </c>
      <c r="B11802" s="27" t="s">
        <v>200</v>
      </c>
      <c r="C11802" s="27" t="s">
        <v>183</v>
      </c>
      <c r="D11802" s="27" t="s">
        <v>7</v>
      </c>
      <c r="E11802" s="27" t="s">
        <v>23</v>
      </c>
      <c r="F11802" s="29"/>
      <c r="G11802" s="30">
        <f t="shared" si="212"/>
        <v>68.495833333333337</v>
      </c>
    </row>
    <row r="11803" spans="1:7" hidden="1" x14ac:dyDescent="0.25">
      <c r="A11803" s="28">
        <v>44531</v>
      </c>
      <c r="B11803" s="27" t="s">
        <v>200</v>
      </c>
      <c r="C11803" s="27" t="s">
        <v>183</v>
      </c>
      <c r="D11803" s="27" t="s">
        <v>7</v>
      </c>
      <c r="E11803" s="27" t="s">
        <v>40</v>
      </c>
      <c r="F11803" s="29"/>
      <c r="G11803" s="30">
        <f t="shared" si="212"/>
        <v>68.495833333333337</v>
      </c>
    </row>
    <row r="11804" spans="1:7" hidden="1" x14ac:dyDescent="0.25">
      <c r="A11804" s="28">
        <v>44531</v>
      </c>
      <c r="B11804" s="27" t="s">
        <v>200</v>
      </c>
      <c r="C11804" s="27" t="s">
        <v>183</v>
      </c>
      <c r="D11804" s="27" t="s">
        <v>7</v>
      </c>
      <c r="E11804" s="27" t="s">
        <v>42</v>
      </c>
      <c r="F11804" s="29"/>
      <c r="G11804" s="30">
        <f t="shared" si="212"/>
        <v>68.495833333333337</v>
      </c>
    </row>
    <row r="11805" spans="1:7" hidden="1" x14ac:dyDescent="0.25">
      <c r="A11805" s="28">
        <v>44531</v>
      </c>
      <c r="B11805" s="27" t="s">
        <v>200</v>
      </c>
      <c r="C11805" s="27" t="s">
        <v>183</v>
      </c>
      <c r="D11805" s="27" t="s">
        <v>7</v>
      </c>
      <c r="E11805" s="27" t="s">
        <v>43</v>
      </c>
      <c r="F11805" s="29"/>
      <c r="G11805" s="30">
        <f t="shared" si="212"/>
        <v>68.495833333333337</v>
      </c>
    </row>
    <row r="11806" spans="1:7" hidden="1" x14ac:dyDescent="0.25">
      <c r="A11806" s="28">
        <v>44531</v>
      </c>
      <c r="B11806" s="27" t="s">
        <v>200</v>
      </c>
      <c r="C11806" s="27" t="s">
        <v>183</v>
      </c>
      <c r="D11806" s="27" t="s">
        <v>7</v>
      </c>
      <c r="E11806" s="27" t="s">
        <v>72</v>
      </c>
      <c r="F11806" s="29"/>
      <c r="G11806" s="30">
        <f t="shared" si="212"/>
        <v>68.495833333333337</v>
      </c>
    </row>
    <row r="11807" spans="1:7" hidden="1" x14ac:dyDescent="0.25">
      <c r="A11807" s="28">
        <v>44531</v>
      </c>
      <c r="B11807" s="27" t="s">
        <v>200</v>
      </c>
      <c r="C11807" s="27" t="s">
        <v>56</v>
      </c>
      <c r="D11807" s="27" t="s">
        <v>6</v>
      </c>
      <c r="E11807" s="27" t="s">
        <v>8</v>
      </c>
      <c r="F11807" s="29"/>
      <c r="G11807" s="30">
        <f t="shared" ref="G11807:G11827" si="213">48095.4327555556/21</f>
        <v>2290.2587026455049</v>
      </c>
    </row>
    <row r="11808" spans="1:7" hidden="1" x14ac:dyDescent="0.25">
      <c r="A11808" s="28">
        <v>44531</v>
      </c>
      <c r="B11808" s="27" t="s">
        <v>200</v>
      </c>
      <c r="C11808" s="27" t="s">
        <v>56</v>
      </c>
      <c r="D11808" s="27" t="s">
        <v>6</v>
      </c>
      <c r="E11808" s="27" t="s">
        <v>9</v>
      </c>
      <c r="F11808" s="29"/>
      <c r="G11808" s="30">
        <f t="shared" si="213"/>
        <v>2290.2587026455049</v>
      </c>
    </row>
    <row r="11809" spans="1:7" hidden="1" x14ac:dyDescent="0.25">
      <c r="A11809" s="28">
        <v>44531</v>
      </c>
      <c r="B11809" s="27" t="s">
        <v>200</v>
      </c>
      <c r="C11809" s="27" t="s">
        <v>56</v>
      </c>
      <c r="D11809" s="27" t="s">
        <v>6</v>
      </c>
      <c r="E11809" s="27" t="s">
        <v>22</v>
      </c>
      <c r="F11809" s="29"/>
      <c r="G11809" s="30">
        <f t="shared" si="213"/>
        <v>2290.2587026455049</v>
      </c>
    </row>
    <row r="11810" spans="1:7" hidden="1" x14ac:dyDescent="0.25">
      <c r="A11810" s="28">
        <v>44531</v>
      </c>
      <c r="B11810" s="27" t="s">
        <v>200</v>
      </c>
      <c r="C11810" s="27" t="s">
        <v>56</v>
      </c>
      <c r="D11810" s="27" t="s">
        <v>6</v>
      </c>
      <c r="E11810" s="27" t="s">
        <v>39</v>
      </c>
      <c r="F11810" s="29"/>
      <c r="G11810" s="30">
        <f t="shared" si="213"/>
        <v>2290.2587026455049</v>
      </c>
    </row>
    <row r="11811" spans="1:7" hidden="1" x14ac:dyDescent="0.25">
      <c r="A11811" s="28">
        <v>44531</v>
      </c>
      <c r="B11811" s="27" t="s">
        <v>200</v>
      </c>
      <c r="C11811" s="27" t="s">
        <v>56</v>
      </c>
      <c r="D11811" s="27" t="s">
        <v>6</v>
      </c>
      <c r="E11811" s="27" t="s">
        <v>64</v>
      </c>
      <c r="F11811" s="29"/>
      <c r="G11811" s="30">
        <f t="shared" si="213"/>
        <v>2290.2587026455049</v>
      </c>
    </row>
    <row r="11812" spans="1:7" hidden="1" x14ac:dyDescent="0.25">
      <c r="A11812" s="28">
        <v>44531</v>
      </c>
      <c r="B11812" s="27" t="s">
        <v>200</v>
      </c>
      <c r="C11812" s="27" t="s">
        <v>56</v>
      </c>
      <c r="D11812" s="27" t="s">
        <v>6</v>
      </c>
      <c r="E11812" s="27" t="s">
        <v>21</v>
      </c>
      <c r="F11812" s="29"/>
      <c r="G11812" s="30">
        <f t="shared" si="213"/>
        <v>2290.2587026455049</v>
      </c>
    </row>
    <row r="11813" spans="1:7" hidden="1" x14ac:dyDescent="0.25">
      <c r="A11813" s="28">
        <v>44531</v>
      </c>
      <c r="B11813" s="27" t="s">
        <v>200</v>
      </c>
      <c r="C11813" s="27" t="s">
        <v>56</v>
      </c>
      <c r="D11813" s="27" t="s">
        <v>6</v>
      </c>
      <c r="E11813" s="27" t="s">
        <v>41</v>
      </c>
      <c r="F11813" s="29"/>
      <c r="G11813" s="30">
        <f t="shared" si="213"/>
        <v>2290.2587026455049</v>
      </c>
    </row>
    <row r="11814" spans="1:7" hidden="1" x14ac:dyDescent="0.25">
      <c r="A11814" s="28">
        <v>44531</v>
      </c>
      <c r="B11814" s="27" t="s">
        <v>200</v>
      </c>
      <c r="C11814" s="27" t="s">
        <v>56</v>
      </c>
      <c r="D11814" s="27" t="s">
        <v>6</v>
      </c>
      <c r="E11814" s="27" t="s">
        <v>10</v>
      </c>
      <c r="F11814" s="29"/>
      <c r="G11814" s="30">
        <f t="shared" si="213"/>
        <v>2290.2587026455049</v>
      </c>
    </row>
    <row r="11815" spans="1:7" hidden="1" x14ac:dyDescent="0.25">
      <c r="A11815" s="28">
        <v>44531</v>
      </c>
      <c r="B11815" s="27" t="s">
        <v>200</v>
      </c>
      <c r="C11815" s="27" t="s">
        <v>56</v>
      </c>
      <c r="D11815" s="27" t="s">
        <v>6</v>
      </c>
      <c r="E11815" s="27" t="s">
        <v>11</v>
      </c>
      <c r="F11815" s="29"/>
      <c r="G11815" s="30">
        <f t="shared" si="213"/>
        <v>2290.2587026455049</v>
      </c>
    </row>
    <row r="11816" spans="1:7" hidden="1" x14ac:dyDescent="0.25">
      <c r="A11816" s="28">
        <v>44531</v>
      </c>
      <c r="B11816" s="27" t="s">
        <v>200</v>
      </c>
      <c r="C11816" s="27" t="s">
        <v>56</v>
      </c>
      <c r="D11816" s="27" t="s">
        <v>6</v>
      </c>
      <c r="E11816" s="27" t="s">
        <v>12</v>
      </c>
      <c r="F11816" s="29"/>
      <c r="G11816" s="30">
        <f t="shared" si="213"/>
        <v>2290.2587026455049</v>
      </c>
    </row>
    <row r="11817" spans="1:7" hidden="1" x14ac:dyDescent="0.25">
      <c r="A11817" s="28">
        <v>44531</v>
      </c>
      <c r="B11817" s="27" t="s">
        <v>200</v>
      </c>
      <c r="C11817" s="27" t="s">
        <v>56</v>
      </c>
      <c r="D11817" s="27" t="s">
        <v>6</v>
      </c>
      <c r="E11817" s="27" t="s">
        <v>13</v>
      </c>
      <c r="F11817" s="29"/>
      <c r="G11817" s="30">
        <f t="shared" si="213"/>
        <v>2290.2587026455049</v>
      </c>
    </row>
    <row r="11818" spans="1:7" hidden="1" x14ac:dyDescent="0.25">
      <c r="A11818" s="28">
        <v>44531</v>
      </c>
      <c r="B11818" s="27" t="s">
        <v>200</v>
      </c>
      <c r="C11818" s="27" t="s">
        <v>56</v>
      </c>
      <c r="D11818" s="27" t="s">
        <v>6</v>
      </c>
      <c r="E11818" s="27" t="s">
        <v>14</v>
      </c>
      <c r="F11818" s="29"/>
      <c r="G11818" s="30">
        <f t="shared" si="213"/>
        <v>2290.2587026455049</v>
      </c>
    </row>
    <row r="11819" spans="1:7" hidden="1" x14ac:dyDescent="0.25">
      <c r="A11819" s="28">
        <v>44531</v>
      </c>
      <c r="B11819" s="27" t="s">
        <v>200</v>
      </c>
      <c r="C11819" s="27" t="s">
        <v>56</v>
      </c>
      <c r="D11819" s="27" t="s">
        <v>6</v>
      </c>
      <c r="E11819" s="27" t="s">
        <v>15</v>
      </c>
      <c r="F11819" s="29"/>
      <c r="G11819" s="30">
        <f t="shared" si="213"/>
        <v>2290.2587026455049</v>
      </c>
    </row>
    <row r="11820" spans="1:7" hidden="1" x14ac:dyDescent="0.25">
      <c r="A11820" s="28">
        <v>44531</v>
      </c>
      <c r="B11820" s="27" t="s">
        <v>200</v>
      </c>
      <c r="C11820" s="27" t="s">
        <v>56</v>
      </c>
      <c r="D11820" s="27" t="s">
        <v>6</v>
      </c>
      <c r="E11820" s="27" t="s">
        <v>16</v>
      </c>
      <c r="F11820" s="29"/>
      <c r="G11820" s="30">
        <f t="shared" si="213"/>
        <v>2290.2587026455049</v>
      </c>
    </row>
    <row r="11821" spans="1:7" hidden="1" x14ac:dyDescent="0.25">
      <c r="A11821" s="28">
        <v>44531</v>
      </c>
      <c r="B11821" s="27" t="s">
        <v>200</v>
      </c>
      <c r="C11821" s="27" t="s">
        <v>56</v>
      </c>
      <c r="D11821" s="27" t="s">
        <v>6</v>
      </c>
      <c r="E11821" s="27" t="s">
        <v>17</v>
      </c>
      <c r="F11821" s="29"/>
      <c r="G11821" s="30">
        <f t="shared" si="213"/>
        <v>2290.2587026455049</v>
      </c>
    </row>
    <row r="11822" spans="1:7" hidden="1" x14ac:dyDescent="0.25">
      <c r="A11822" s="28">
        <v>44531</v>
      </c>
      <c r="B11822" s="27" t="s">
        <v>200</v>
      </c>
      <c r="C11822" s="27" t="s">
        <v>56</v>
      </c>
      <c r="D11822" s="27" t="s">
        <v>6</v>
      </c>
      <c r="E11822" s="27" t="s">
        <v>18</v>
      </c>
      <c r="F11822" s="29"/>
      <c r="G11822" s="30">
        <f t="shared" si="213"/>
        <v>2290.2587026455049</v>
      </c>
    </row>
    <row r="11823" spans="1:7" hidden="1" x14ac:dyDescent="0.25">
      <c r="A11823" s="28">
        <v>44531</v>
      </c>
      <c r="B11823" s="27" t="s">
        <v>200</v>
      </c>
      <c r="C11823" s="27" t="s">
        <v>56</v>
      </c>
      <c r="D11823" s="27" t="s">
        <v>6</v>
      </c>
      <c r="E11823" s="27" t="s">
        <v>19</v>
      </c>
      <c r="F11823" s="29"/>
      <c r="G11823" s="30">
        <f t="shared" si="213"/>
        <v>2290.2587026455049</v>
      </c>
    </row>
    <row r="11824" spans="1:7" hidden="1" x14ac:dyDescent="0.25">
      <c r="A11824" s="28">
        <v>44531</v>
      </c>
      <c r="B11824" s="27" t="s">
        <v>200</v>
      </c>
      <c r="C11824" s="27" t="s">
        <v>56</v>
      </c>
      <c r="D11824" s="27" t="s">
        <v>6</v>
      </c>
      <c r="E11824" s="27" t="s">
        <v>20</v>
      </c>
      <c r="F11824" s="29"/>
      <c r="G11824" s="30">
        <f t="shared" si="213"/>
        <v>2290.2587026455049</v>
      </c>
    </row>
    <row r="11825" spans="1:7" hidden="1" x14ac:dyDescent="0.25">
      <c r="A11825" s="28">
        <v>44531</v>
      </c>
      <c r="B11825" s="27" t="s">
        <v>200</v>
      </c>
      <c r="C11825" s="27" t="s">
        <v>56</v>
      </c>
      <c r="D11825" s="27" t="s">
        <v>6</v>
      </c>
      <c r="E11825" s="27" t="s">
        <v>38</v>
      </c>
      <c r="F11825" s="29"/>
      <c r="G11825" s="30">
        <f t="shared" si="213"/>
        <v>2290.2587026455049</v>
      </c>
    </row>
    <row r="11826" spans="1:7" hidden="1" x14ac:dyDescent="0.25">
      <c r="A11826" s="28">
        <v>44531</v>
      </c>
      <c r="B11826" s="27" t="s">
        <v>200</v>
      </c>
      <c r="C11826" s="27" t="s">
        <v>56</v>
      </c>
      <c r="D11826" s="27" t="s">
        <v>6</v>
      </c>
      <c r="E11826" s="27" t="s">
        <v>23</v>
      </c>
      <c r="F11826" s="29"/>
      <c r="G11826" s="30">
        <f t="shared" si="213"/>
        <v>2290.2587026455049</v>
      </c>
    </row>
    <row r="11827" spans="1:7" hidden="1" x14ac:dyDescent="0.25">
      <c r="A11827" s="28">
        <v>44531</v>
      </c>
      <c r="B11827" s="27" t="s">
        <v>200</v>
      </c>
      <c r="C11827" s="27" t="s">
        <v>56</v>
      </c>
      <c r="D11827" s="27" t="s">
        <v>6</v>
      </c>
      <c r="E11827" s="27" t="s">
        <v>40</v>
      </c>
      <c r="F11827" s="29"/>
      <c r="G11827" s="30">
        <f t="shared" si="213"/>
        <v>2290.2587026455049</v>
      </c>
    </row>
    <row r="11828" spans="1:7" hidden="1" x14ac:dyDescent="0.25">
      <c r="A11828" s="28">
        <v>44531</v>
      </c>
      <c r="B11828" s="27" t="s">
        <v>200</v>
      </c>
      <c r="C11828" s="27" t="s">
        <v>182</v>
      </c>
      <c r="D11828" s="27" t="s">
        <v>7</v>
      </c>
      <c r="E11828" s="27" t="s">
        <v>8</v>
      </c>
      <c r="F11828" s="29"/>
      <c r="G11828" s="30">
        <f t="shared" ref="G11828:G11851" si="214">2978.16/24</f>
        <v>124.08999999999999</v>
      </c>
    </row>
    <row r="11829" spans="1:7" hidden="1" x14ac:dyDescent="0.25">
      <c r="A11829" s="28">
        <v>44531</v>
      </c>
      <c r="B11829" s="27" t="s">
        <v>200</v>
      </c>
      <c r="C11829" s="27" t="s">
        <v>182</v>
      </c>
      <c r="D11829" s="27" t="s">
        <v>7</v>
      </c>
      <c r="E11829" s="27" t="s">
        <v>9</v>
      </c>
      <c r="F11829" s="29"/>
      <c r="G11829" s="30">
        <f t="shared" si="214"/>
        <v>124.08999999999999</v>
      </c>
    </row>
    <row r="11830" spans="1:7" hidden="1" x14ac:dyDescent="0.25">
      <c r="A11830" s="28">
        <v>44531</v>
      </c>
      <c r="B11830" s="27" t="s">
        <v>200</v>
      </c>
      <c r="C11830" s="27" t="s">
        <v>182</v>
      </c>
      <c r="D11830" s="27" t="s">
        <v>7</v>
      </c>
      <c r="E11830" s="27" t="s">
        <v>22</v>
      </c>
      <c r="F11830" s="29"/>
      <c r="G11830" s="30">
        <f t="shared" si="214"/>
        <v>124.08999999999999</v>
      </c>
    </row>
    <row r="11831" spans="1:7" hidden="1" x14ac:dyDescent="0.25">
      <c r="A11831" s="28">
        <v>44531</v>
      </c>
      <c r="B11831" s="27" t="s">
        <v>200</v>
      </c>
      <c r="C11831" s="27" t="s">
        <v>182</v>
      </c>
      <c r="D11831" s="27" t="s">
        <v>7</v>
      </c>
      <c r="E11831" s="27" t="s">
        <v>39</v>
      </c>
      <c r="F11831" s="29"/>
      <c r="G11831" s="30">
        <f t="shared" si="214"/>
        <v>124.08999999999999</v>
      </c>
    </row>
    <row r="11832" spans="1:7" hidden="1" x14ac:dyDescent="0.25">
      <c r="A11832" s="28">
        <v>44531</v>
      </c>
      <c r="B11832" s="27" t="s">
        <v>200</v>
      </c>
      <c r="C11832" s="27" t="s">
        <v>182</v>
      </c>
      <c r="D11832" s="27" t="s">
        <v>7</v>
      </c>
      <c r="E11832" s="27" t="s">
        <v>64</v>
      </c>
      <c r="F11832" s="29"/>
      <c r="G11832" s="30">
        <f t="shared" si="214"/>
        <v>124.08999999999999</v>
      </c>
    </row>
    <row r="11833" spans="1:7" hidden="1" x14ac:dyDescent="0.25">
      <c r="A11833" s="28">
        <v>44531</v>
      </c>
      <c r="B11833" s="27" t="s">
        <v>200</v>
      </c>
      <c r="C11833" s="27" t="s">
        <v>182</v>
      </c>
      <c r="D11833" s="27" t="s">
        <v>7</v>
      </c>
      <c r="E11833" s="27" t="s">
        <v>21</v>
      </c>
      <c r="F11833" s="29"/>
      <c r="G11833" s="30">
        <f t="shared" si="214"/>
        <v>124.08999999999999</v>
      </c>
    </row>
    <row r="11834" spans="1:7" hidden="1" x14ac:dyDescent="0.25">
      <c r="A11834" s="28">
        <v>44531</v>
      </c>
      <c r="B11834" s="27" t="s">
        <v>200</v>
      </c>
      <c r="C11834" s="27" t="s">
        <v>182</v>
      </c>
      <c r="D11834" s="27" t="s">
        <v>7</v>
      </c>
      <c r="E11834" s="27" t="s">
        <v>41</v>
      </c>
      <c r="F11834" s="29"/>
      <c r="G11834" s="30">
        <f t="shared" si="214"/>
        <v>124.08999999999999</v>
      </c>
    </row>
    <row r="11835" spans="1:7" hidden="1" x14ac:dyDescent="0.25">
      <c r="A11835" s="28">
        <v>44531</v>
      </c>
      <c r="B11835" s="27" t="s">
        <v>200</v>
      </c>
      <c r="C11835" s="27" t="s">
        <v>182</v>
      </c>
      <c r="D11835" s="27" t="s">
        <v>7</v>
      </c>
      <c r="E11835" s="27" t="s">
        <v>10</v>
      </c>
      <c r="F11835" s="29"/>
      <c r="G11835" s="30">
        <f t="shared" si="214"/>
        <v>124.08999999999999</v>
      </c>
    </row>
    <row r="11836" spans="1:7" hidden="1" x14ac:dyDescent="0.25">
      <c r="A11836" s="28">
        <v>44531</v>
      </c>
      <c r="B11836" s="27" t="s">
        <v>200</v>
      </c>
      <c r="C11836" s="27" t="s">
        <v>182</v>
      </c>
      <c r="D11836" s="27" t="s">
        <v>7</v>
      </c>
      <c r="E11836" s="27" t="s">
        <v>11</v>
      </c>
      <c r="F11836" s="29"/>
      <c r="G11836" s="30">
        <f t="shared" si="214"/>
        <v>124.08999999999999</v>
      </c>
    </row>
    <row r="11837" spans="1:7" hidden="1" x14ac:dyDescent="0.25">
      <c r="A11837" s="28">
        <v>44531</v>
      </c>
      <c r="B11837" s="27" t="s">
        <v>200</v>
      </c>
      <c r="C11837" s="27" t="s">
        <v>182</v>
      </c>
      <c r="D11837" s="27" t="s">
        <v>7</v>
      </c>
      <c r="E11837" s="27" t="s">
        <v>12</v>
      </c>
      <c r="F11837" s="29"/>
      <c r="G11837" s="30">
        <f t="shared" si="214"/>
        <v>124.08999999999999</v>
      </c>
    </row>
    <row r="11838" spans="1:7" hidden="1" x14ac:dyDescent="0.25">
      <c r="A11838" s="28">
        <v>44531</v>
      </c>
      <c r="B11838" s="27" t="s">
        <v>200</v>
      </c>
      <c r="C11838" s="27" t="s">
        <v>182</v>
      </c>
      <c r="D11838" s="27" t="s">
        <v>7</v>
      </c>
      <c r="E11838" s="27" t="s">
        <v>13</v>
      </c>
      <c r="F11838" s="29"/>
      <c r="G11838" s="30">
        <f t="shared" si="214"/>
        <v>124.08999999999999</v>
      </c>
    </row>
    <row r="11839" spans="1:7" hidden="1" x14ac:dyDescent="0.25">
      <c r="A11839" s="28">
        <v>44531</v>
      </c>
      <c r="B11839" s="27" t="s">
        <v>200</v>
      </c>
      <c r="C11839" s="27" t="s">
        <v>182</v>
      </c>
      <c r="D11839" s="27" t="s">
        <v>7</v>
      </c>
      <c r="E11839" s="27" t="s">
        <v>14</v>
      </c>
      <c r="F11839" s="29"/>
      <c r="G11839" s="30">
        <f t="shared" si="214"/>
        <v>124.08999999999999</v>
      </c>
    </row>
    <row r="11840" spans="1:7" hidden="1" x14ac:dyDescent="0.25">
      <c r="A11840" s="28">
        <v>44531</v>
      </c>
      <c r="B11840" s="27" t="s">
        <v>200</v>
      </c>
      <c r="C11840" s="27" t="s">
        <v>182</v>
      </c>
      <c r="D11840" s="27" t="s">
        <v>7</v>
      </c>
      <c r="E11840" s="27" t="s">
        <v>15</v>
      </c>
      <c r="F11840" s="29"/>
      <c r="G11840" s="30">
        <f t="shared" si="214"/>
        <v>124.08999999999999</v>
      </c>
    </row>
    <row r="11841" spans="1:7" hidden="1" x14ac:dyDescent="0.25">
      <c r="A11841" s="28">
        <v>44531</v>
      </c>
      <c r="B11841" s="27" t="s">
        <v>200</v>
      </c>
      <c r="C11841" s="27" t="s">
        <v>182</v>
      </c>
      <c r="D11841" s="27" t="s">
        <v>7</v>
      </c>
      <c r="E11841" s="27" t="s">
        <v>16</v>
      </c>
      <c r="F11841" s="29"/>
      <c r="G11841" s="30">
        <f t="shared" si="214"/>
        <v>124.08999999999999</v>
      </c>
    </row>
    <row r="11842" spans="1:7" hidden="1" x14ac:dyDescent="0.25">
      <c r="A11842" s="28">
        <v>44531</v>
      </c>
      <c r="B11842" s="27" t="s">
        <v>200</v>
      </c>
      <c r="C11842" s="27" t="s">
        <v>182</v>
      </c>
      <c r="D11842" s="27" t="s">
        <v>7</v>
      </c>
      <c r="E11842" s="27" t="s">
        <v>17</v>
      </c>
      <c r="F11842" s="29"/>
      <c r="G11842" s="30">
        <f t="shared" si="214"/>
        <v>124.08999999999999</v>
      </c>
    </row>
    <row r="11843" spans="1:7" hidden="1" x14ac:dyDescent="0.25">
      <c r="A11843" s="28">
        <v>44531</v>
      </c>
      <c r="B11843" s="27" t="s">
        <v>200</v>
      </c>
      <c r="C11843" s="27" t="s">
        <v>182</v>
      </c>
      <c r="D11843" s="27" t="s">
        <v>7</v>
      </c>
      <c r="E11843" s="27" t="s">
        <v>18</v>
      </c>
      <c r="F11843" s="29"/>
      <c r="G11843" s="30">
        <f t="shared" si="214"/>
        <v>124.08999999999999</v>
      </c>
    </row>
    <row r="11844" spans="1:7" hidden="1" x14ac:dyDescent="0.25">
      <c r="A11844" s="28">
        <v>44531</v>
      </c>
      <c r="B11844" s="27" t="s">
        <v>200</v>
      </c>
      <c r="C11844" s="27" t="s">
        <v>182</v>
      </c>
      <c r="D11844" s="27" t="s">
        <v>7</v>
      </c>
      <c r="E11844" s="27" t="s">
        <v>19</v>
      </c>
      <c r="F11844" s="29"/>
      <c r="G11844" s="30">
        <f t="shared" si="214"/>
        <v>124.08999999999999</v>
      </c>
    </row>
    <row r="11845" spans="1:7" hidden="1" x14ac:dyDescent="0.25">
      <c r="A11845" s="28">
        <v>44531</v>
      </c>
      <c r="B11845" s="27" t="s">
        <v>200</v>
      </c>
      <c r="C11845" s="27" t="s">
        <v>182</v>
      </c>
      <c r="D11845" s="27" t="s">
        <v>7</v>
      </c>
      <c r="E11845" s="27" t="s">
        <v>20</v>
      </c>
      <c r="F11845" s="29"/>
      <c r="G11845" s="30">
        <f t="shared" si="214"/>
        <v>124.08999999999999</v>
      </c>
    </row>
    <row r="11846" spans="1:7" hidden="1" x14ac:dyDescent="0.25">
      <c r="A11846" s="28">
        <v>44531</v>
      </c>
      <c r="B11846" s="27" t="s">
        <v>200</v>
      </c>
      <c r="C11846" s="27" t="s">
        <v>182</v>
      </c>
      <c r="D11846" s="27" t="s">
        <v>7</v>
      </c>
      <c r="E11846" s="27" t="s">
        <v>38</v>
      </c>
      <c r="F11846" s="29"/>
      <c r="G11846" s="30">
        <f t="shared" si="214"/>
        <v>124.08999999999999</v>
      </c>
    </row>
    <row r="11847" spans="1:7" hidden="1" x14ac:dyDescent="0.25">
      <c r="A11847" s="28">
        <v>44531</v>
      </c>
      <c r="B11847" s="27" t="s">
        <v>200</v>
      </c>
      <c r="C11847" s="27" t="s">
        <v>182</v>
      </c>
      <c r="D11847" s="27" t="s">
        <v>7</v>
      </c>
      <c r="E11847" s="27" t="s">
        <v>23</v>
      </c>
      <c r="F11847" s="29"/>
      <c r="G11847" s="30">
        <f t="shared" si="214"/>
        <v>124.08999999999999</v>
      </c>
    </row>
    <row r="11848" spans="1:7" hidden="1" x14ac:dyDescent="0.25">
      <c r="A11848" s="28">
        <v>44531</v>
      </c>
      <c r="B11848" s="27" t="s">
        <v>200</v>
      </c>
      <c r="C11848" s="27" t="s">
        <v>182</v>
      </c>
      <c r="D11848" s="27" t="s">
        <v>7</v>
      </c>
      <c r="E11848" s="27" t="s">
        <v>40</v>
      </c>
      <c r="F11848" s="29"/>
      <c r="G11848" s="30">
        <f t="shared" si="214"/>
        <v>124.08999999999999</v>
      </c>
    </row>
    <row r="11849" spans="1:7" hidden="1" x14ac:dyDescent="0.25">
      <c r="A11849" s="28">
        <v>44531</v>
      </c>
      <c r="B11849" s="27" t="s">
        <v>200</v>
      </c>
      <c r="C11849" s="27" t="s">
        <v>182</v>
      </c>
      <c r="D11849" s="27" t="s">
        <v>7</v>
      </c>
      <c r="E11849" s="27" t="s">
        <v>42</v>
      </c>
      <c r="F11849" s="29"/>
      <c r="G11849" s="30">
        <f t="shared" si="214"/>
        <v>124.08999999999999</v>
      </c>
    </row>
    <row r="11850" spans="1:7" hidden="1" x14ac:dyDescent="0.25">
      <c r="A11850" s="28">
        <v>44531</v>
      </c>
      <c r="B11850" s="27" t="s">
        <v>200</v>
      </c>
      <c r="C11850" s="27" t="s">
        <v>182</v>
      </c>
      <c r="D11850" s="27" t="s">
        <v>7</v>
      </c>
      <c r="E11850" s="27" t="s">
        <v>43</v>
      </c>
      <c r="F11850" s="29"/>
      <c r="G11850" s="30">
        <f t="shared" si="214"/>
        <v>124.08999999999999</v>
      </c>
    </row>
    <row r="11851" spans="1:7" hidden="1" x14ac:dyDescent="0.25">
      <c r="A11851" s="28">
        <v>44531</v>
      </c>
      <c r="B11851" s="27" t="s">
        <v>200</v>
      </c>
      <c r="C11851" s="27" t="s">
        <v>182</v>
      </c>
      <c r="D11851" s="27" t="s">
        <v>7</v>
      </c>
      <c r="E11851" s="27" t="s">
        <v>72</v>
      </c>
      <c r="F11851" s="29"/>
      <c r="G11851" s="30">
        <f t="shared" si="214"/>
        <v>124.08999999999999</v>
      </c>
    </row>
    <row r="11852" spans="1:7" hidden="1" x14ac:dyDescent="0.25">
      <c r="A11852" s="28">
        <v>44531</v>
      </c>
      <c r="B11852" s="27" t="s">
        <v>35</v>
      </c>
      <c r="C11852" s="27" t="s">
        <v>50</v>
      </c>
      <c r="D11852" s="27" t="s">
        <v>7</v>
      </c>
      <c r="E11852" s="27" t="s">
        <v>8</v>
      </c>
      <c r="F11852" s="29"/>
      <c r="G11852" s="30">
        <v>501.67541666666665</v>
      </c>
    </row>
    <row r="11853" spans="1:7" hidden="1" x14ac:dyDescent="0.25">
      <c r="A11853" s="28">
        <v>44531</v>
      </c>
      <c r="B11853" s="27" t="s">
        <v>35</v>
      </c>
      <c r="C11853" s="27" t="s">
        <v>50</v>
      </c>
      <c r="D11853" s="27" t="s">
        <v>7</v>
      </c>
      <c r="E11853" s="27" t="s">
        <v>9</v>
      </c>
      <c r="F11853" s="29"/>
      <c r="G11853" s="30">
        <v>501.67541666666665</v>
      </c>
    </row>
    <row r="11854" spans="1:7" hidden="1" x14ac:dyDescent="0.25">
      <c r="A11854" s="28">
        <v>44531</v>
      </c>
      <c r="B11854" s="27" t="s">
        <v>35</v>
      </c>
      <c r="C11854" s="27" t="s">
        <v>50</v>
      </c>
      <c r="D11854" s="27" t="s">
        <v>7</v>
      </c>
      <c r="E11854" s="27" t="s">
        <v>22</v>
      </c>
      <c r="F11854" s="29"/>
      <c r="G11854" s="30">
        <v>501.67541666666665</v>
      </c>
    </row>
    <row r="11855" spans="1:7" hidden="1" x14ac:dyDescent="0.25">
      <c r="A11855" s="28">
        <v>44531</v>
      </c>
      <c r="B11855" s="27" t="s">
        <v>35</v>
      </c>
      <c r="C11855" s="27" t="s">
        <v>50</v>
      </c>
      <c r="D11855" s="27" t="s">
        <v>7</v>
      </c>
      <c r="E11855" s="27" t="s">
        <v>39</v>
      </c>
      <c r="F11855" s="29"/>
      <c r="G11855" s="30">
        <v>501.67541666666665</v>
      </c>
    </row>
    <row r="11856" spans="1:7" hidden="1" x14ac:dyDescent="0.25">
      <c r="A11856" s="28">
        <v>44531</v>
      </c>
      <c r="B11856" s="27" t="s">
        <v>35</v>
      </c>
      <c r="C11856" s="27" t="s">
        <v>50</v>
      </c>
      <c r="D11856" s="27" t="s">
        <v>7</v>
      </c>
      <c r="E11856" s="27" t="s">
        <v>64</v>
      </c>
      <c r="F11856" s="29"/>
      <c r="G11856" s="30">
        <v>501.67541666666665</v>
      </c>
    </row>
    <row r="11857" spans="1:7" hidden="1" x14ac:dyDescent="0.25">
      <c r="A11857" s="28">
        <v>44531</v>
      </c>
      <c r="B11857" s="27" t="s">
        <v>35</v>
      </c>
      <c r="C11857" s="27" t="s">
        <v>50</v>
      </c>
      <c r="D11857" s="27" t="s">
        <v>7</v>
      </c>
      <c r="E11857" s="27" t="s">
        <v>21</v>
      </c>
      <c r="F11857" s="29"/>
      <c r="G11857" s="30">
        <v>501.67541666666665</v>
      </c>
    </row>
    <row r="11858" spans="1:7" hidden="1" x14ac:dyDescent="0.25">
      <c r="A11858" s="28">
        <v>44531</v>
      </c>
      <c r="B11858" s="27" t="s">
        <v>35</v>
      </c>
      <c r="C11858" s="27" t="s">
        <v>50</v>
      </c>
      <c r="D11858" s="27" t="s">
        <v>7</v>
      </c>
      <c r="E11858" s="27" t="s">
        <v>41</v>
      </c>
      <c r="F11858" s="29"/>
      <c r="G11858" s="30">
        <v>501.67541666666665</v>
      </c>
    </row>
    <row r="11859" spans="1:7" hidden="1" x14ac:dyDescent="0.25">
      <c r="A11859" s="28">
        <v>44531</v>
      </c>
      <c r="B11859" s="27" t="s">
        <v>35</v>
      </c>
      <c r="C11859" s="27" t="s">
        <v>50</v>
      </c>
      <c r="D11859" s="27" t="s">
        <v>7</v>
      </c>
      <c r="E11859" s="27" t="s">
        <v>10</v>
      </c>
      <c r="F11859" s="29"/>
      <c r="G11859" s="30">
        <v>501.67541666666665</v>
      </c>
    </row>
    <row r="11860" spans="1:7" hidden="1" x14ac:dyDescent="0.25">
      <c r="A11860" s="28">
        <v>44531</v>
      </c>
      <c r="B11860" s="27" t="s">
        <v>35</v>
      </c>
      <c r="C11860" s="27" t="s">
        <v>50</v>
      </c>
      <c r="D11860" s="27" t="s">
        <v>7</v>
      </c>
      <c r="E11860" s="27" t="s">
        <v>11</v>
      </c>
      <c r="F11860" s="29"/>
      <c r="G11860" s="30">
        <v>501.67541666666665</v>
      </c>
    </row>
    <row r="11861" spans="1:7" hidden="1" x14ac:dyDescent="0.25">
      <c r="A11861" s="28">
        <v>44531</v>
      </c>
      <c r="B11861" s="27" t="s">
        <v>35</v>
      </c>
      <c r="C11861" s="27" t="s">
        <v>50</v>
      </c>
      <c r="D11861" s="27" t="s">
        <v>7</v>
      </c>
      <c r="E11861" s="27" t="s">
        <v>12</v>
      </c>
      <c r="F11861" s="29"/>
      <c r="G11861" s="30">
        <v>501.67541666666665</v>
      </c>
    </row>
    <row r="11862" spans="1:7" hidden="1" x14ac:dyDescent="0.25">
      <c r="A11862" s="28">
        <v>44531</v>
      </c>
      <c r="B11862" s="27" t="s">
        <v>35</v>
      </c>
      <c r="C11862" s="27" t="s">
        <v>50</v>
      </c>
      <c r="D11862" s="27" t="s">
        <v>7</v>
      </c>
      <c r="E11862" s="27" t="s">
        <v>13</v>
      </c>
      <c r="F11862" s="29"/>
      <c r="G11862" s="30">
        <v>501.67541666666665</v>
      </c>
    </row>
    <row r="11863" spans="1:7" hidden="1" x14ac:dyDescent="0.25">
      <c r="A11863" s="28">
        <v>44531</v>
      </c>
      <c r="B11863" s="27" t="s">
        <v>35</v>
      </c>
      <c r="C11863" s="27" t="s">
        <v>50</v>
      </c>
      <c r="D11863" s="27" t="s">
        <v>7</v>
      </c>
      <c r="E11863" s="27" t="s">
        <v>14</v>
      </c>
      <c r="F11863" s="29"/>
      <c r="G11863" s="30">
        <v>501.67541666666665</v>
      </c>
    </row>
    <row r="11864" spans="1:7" hidden="1" x14ac:dyDescent="0.25">
      <c r="A11864" s="28">
        <v>44531</v>
      </c>
      <c r="B11864" s="27" t="s">
        <v>35</v>
      </c>
      <c r="C11864" s="27" t="s">
        <v>50</v>
      </c>
      <c r="D11864" s="27" t="s">
        <v>7</v>
      </c>
      <c r="E11864" s="27" t="s">
        <v>15</v>
      </c>
      <c r="F11864" s="29"/>
      <c r="G11864" s="30">
        <v>501.67541666666665</v>
      </c>
    </row>
    <row r="11865" spans="1:7" hidden="1" x14ac:dyDescent="0.25">
      <c r="A11865" s="28">
        <v>44531</v>
      </c>
      <c r="B11865" s="27" t="s">
        <v>35</v>
      </c>
      <c r="C11865" s="27" t="s">
        <v>50</v>
      </c>
      <c r="D11865" s="27" t="s">
        <v>7</v>
      </c>
      <c r="E11865" s="27" t="s">
        <v>16</v>
      </c>
      <c r="F11865" s="29"/>
      <c r="G11865" s="30">
        <v>501.67541666666665</v>
      </c>
    </row>
    <row r="11866" spans="1:7" hidden="1" x14ac:dyDescent="0.25">
      <c r="A11866" s="28">
        <v>44531</v>
      </c>
      <c r="B11866" s="27" t="s">
        <v>35</v>
      </c>
      <c r="C11866" s="27" t="s">
        <v>50</v>
      </c>
      <c r="D11866" s="27" t="s">
        <v>7</v>
      </c>
      <c r="E11866" s="27" t="s">
        <v>17</v>
      </c>
      <c r="F11866" s="29"/>
      <c r="G11866" s="30">
        <v>501.67541666666665</v>
      </c>
    </row>
    <row r="11867" spans="1:7" hidden="1" x14ac:dyDescent="0.25">
      <c r="A11867" s="28">
        <v>44531</v>
      </c>
      <c r="B11867" s="27" t="s">
        <v>35</v>
      </c>
      <c r="C11867" s="27" t="s">
        <v>50</v>
      </c>
      <c r="D11867" s="27" t="s">
        <v>7</v>
      </c>
      <c r="E11867" s="27" t="s">
        <v>18</v>
      </c>
      <c r="F11867" s="29"/>
      <c r="G11867" s="30">
        <v>501.67541666666665</v>
      </c>
    </row>
    <row r="11868" spans="1:7" hidden="1" x14ac:dyDescent="0.25">
      <c r="A11868" s="28">
        <v>44531</v>
      </c>
      <c r="B11868" s="27" t="s">
        <v>35</v>
      </c>
      <c r="C11868" s="27" t="s">
        <v>50</v>
      </c>
      <c r="D11868" s="27" t="s">
        <v>7</v>
      </c>
      <c r="E11868" s="27" t="s">
        <v>19</v>
      </c>
      <c r="F11868" s="29"/>
      <c r="G11868" s="30">
        <v>501.67541666666665</v>
      </c>
    </row>
    <row r="11869" spans="1:7" hidden="1" x14ac:dyDescent="0.25">
      <c r="A11869" s="28">
        <v>44531</v>
      </c>
      <c r="B11869" s="27" t="s">
        <v>35</v>
      </c>
      <c r="C11869" s="27" t="s">
        <v>50</v>
      </c>
      <c r="D11869" s="27" t="s">
        <v>7</v>
      </c>
      <c r="E11869" s="27" t="s">
        <v>20</v>
      </c>
      <c r="F11869" s="29"/>
      <c r="G11869" s="30">
        <v>501.67541666666665</v>
      </c>
    </row>
    <row r="11870" spans="1:7" hidden="1" x14ac:dyDescent="0.25">
      <c r="A11870" s="28">
        <v>44531</v>
      </c>
      <c r="B11870" s="27" t="s">
        <v>35</v>
      </c>
      <c r="C11870" s="27" t="s">
        <v>50</v>
      </c>
      <c r="D11870" s="27" t="s">
        <v>7</v>
      </c>
      <c r="E11870" s="27" t="s">
        <v>38</v>
      </c>
      <c r="F11870" s="29"/>
      <c r="G11870" s="30">
        <v>501.67541666666665</v>
      </c>
    </row>
    <row r="11871" spans="1:7" hidden="1" x14ac:dyDescent="0.25">
      <c r="A11871" s="28">
        <v>44531</v>
      </c>
      <c r="B11871" s="27" t="s">
        <v>35</v>
      </c>
      <c r="C11871" s="27" t="s">
        <v>50</v>
      </c>
      <c r="D11871" s="27" t="s">
        <v>7</v>
      </c>
      <c r="E11871" s="27" t="s">
        <v>23</v>
      </c>
      <c r="F11871" s="29"/>
      <c r="G11871" s="30">
        <v>501.67541666666665</v>
      </c>
    </row>
    <row r="11872" spans="1:7" hidden="1" x14ac:dyDescent="0.25">
      <c r="A11872" s="28">
        <v>44531</v>
      </c>
      <c r="B11872" s="27" t="s">
        <v>35</v>
      </c>
      <c r="C11872" s="27" t="s">
        <v>50</v>
      </c>
      <c r="D11872" s="27" t="s">
        <v>7</v>
      </c>
      <c r="E11872" s="27" t="s">
        <v>40</v>
      </c>
      <c r="F11872" s="29"/>
      <c r="G11872" s="30">
        <v>501.67541666666665</v>
      </c>
    </row>
    <row r="11873" spans="1:7" hidden="1" x14ac:dyDescent="0.25">
      <c r="A11873" s="28">
        <v>44531</v>
      </c>
      <c r="B11873" s="27" t="s">
        <v>35</v>
      </c>
      <c r="C11873" s="27" t="s">
        <v>50</v>
      </c>
      <c r="D11873" s="27" t="s">
        <v>7</v>
      </c>
      <c r="E11873" s="27" t="s">
        <v>42</v>
      </c>
      <c r="F11873" s="29"/>
      <c r="G11873" s="30">
        <v>501.67541666666665</v>
      </c>
    </row>
    <row r="11874" spans="1:7" hidden="1" x14ac:dyDescent="0.25">
      <c r="A11874" s="28">
        <v>44531</v>
      </c>
      <c r="B11874" s="27" t="s">
        <v>35</v>
      </c>
      <c r="C11874" s="27" t="s">
        <v>50</v>
      </c>
      <c r="D11874" s="27" t="s">
        <v>7</v>
      </c>
      <c r="E11874" s="27" t="s">
        <v>43</v>
      </c>
      <c r="F11874" s="29"/>
      <c r="G11874" s="30">
        <v>501.67541666666665</v>
      </c>
    </row>
    <row r="11875" spans="1:7" hidden="1" x14ac:dyDescent="0.25">
      <c r="A11875" s="28">
        <v>44531</v>
      </c>
      <c r="B11875" s="27" t="s">
        <v>35</v>
      </c>
      <c r="C11875" s="27" t="s">
        <v>50</v>
      </c>
      <c r="D11875" s="27" t="s">
        <v>7</v>
      </c>
      <c r="E11875" s="27" t="s">
        <v>72</v>
      </c>
      <c r="F11875" s="29"/>
      <c r="G11875" s="30">
        <v>501.67541666666665</v>
      </c>
    </row>
    <row r="11876" spans="1:7" hidden="1" x14ac:dyDescent="0.25">
      <c r="A11876" s="28">
        <v>44531</v>
      </c>
      <c r="B11876" s="27" t="s">
        <v>34</v>
      </c>
      <c r="C11876" s="27" t="s">
        <v>50</v>
      </c>
      <c r="D11876" s="27" t="s">
        <v>6</v>
      </c>
      <c r="E11876" s="27" t="s">
        <v>8</v>
      </c>
      <c r="F11876" s="29"/>
      <c r="G11876" s="30">
        <v>512.69000000000005</v>
      </c>
    </row>
    <row r="11877" spans="1:7" hidden="1" x14ac:dyDescent="0.25">
      <c r="A11877" s="28">
        <v>44531</v>
      </c>
      <c r="B11877" s="27" t="s">
        <v>34</v>
      </c>
      <c r="C11877" s="27" t="s">
        <v>50</v>
      </c>
      <c r="D11877" s="27" t="s">
        <v>6</v>
      </c>
      <c r="E11877" s="27" t="s">
        <v>9</v>
      </c>
      <c r="F11877" s="29"/>
      <c r="G11877" s="30">
        <v>583.98</v>
      </c>
    </row>
    <row r="11878" spans="1:7" hidden="1" x14ac:dyDescent="0.25">
      <c r="A11878" s="28">
        <v>44531</v>
      </c>
      <c r="B11878" s="27" t="s">
        <v>34</v>
      </c>
      <c r="C11878" s="27" t="s">
        <v>50</v>
      </c>
      <c r="D11878" s="27" t="s">
        <v>6</v>
      </c>
      <c r="E11878" s="27" t="s">
        <v>22</v>
      </c>
      <c r="F11878" s="29"/>
      <c r="G11878" s="30">
        <v>717.29</v>
      </c>
    </row>
    <row r="11879" spans="1:7" hidden="1" x14ac:dyDescent="0.25">
      <c r="A11879" s="28">
        <v>44531</v>
      </c>
      <c r="B11879" s="27" t="s">
        <v>34</v>
      </c>
      <c r="C11879" s="27" t="s">
        <v>50</v>
      </c>
      <c r="D11879" s="27" t="s">
        <v>6</v>
      </c>
      <c r="E11879" s="27" t="s">
        <v>39</v>
      </c>
      <c r="F11879" s="29"/>
      <c r="G11879" s="30">
        <v>357.63</v>
      </c>
    </row>
    <row r="11880" spans="1:7" hidden="1" x14ac:dyDescent="0.25">
      <c r="A11880" s="28">
        <v>44531</v>
      </c>
      <c r="B11880" s="27" t="s">
        <v>34</v>
      </c>
      <c r="C11880" s="27" t="s">
        <v>50</v>
      </c>
      <c r="D11880" s="27" t="s">
        <v>6</v>
      </c>
      <c r="E11880" s="27" t="s">
        <v>64</v>
      </c>
      <c r="F11880" s="29"/>
      <c r="G11880" s="30">
        <v>632.99</v>
      </c>
    </row>
    <row r="11881" spans="1:7" hidden="1" x14ac:dyDescent="0.25">
      <c r="A11881" s="28">
        <v>44531</v>
      </c>
      <c r="B11881" s="27" t="s">
        <v>34</v>
      </c>
      <c r="C11881" s="27" t="s">
        <v>50</v>
      </c>
      <c r="D11881" s="27" t="s">
        <v>6</v>
      </c>
      <c r="E11881" s="27" t="s">
        <v>21</v>
      </c>
      <c r="F11881" s="29"/>
      <c r="G11881" s="30">
        <v>525.32000000000005</v>
      </c>
    </row>
    <row r="11882" spans="1:7" hidden="1" x14ac:dyDescent="0.25">
      <c r="A11882" s="28">
        <v>44531</v>
      </c>
      <c r="B11882" s="27" t="s">
        <v>34</v>
      </c>
      <c r="C11882" s="27" t="s">
        <v>50</v>
      </c>
      <c r="D11882" s="27" t="s">
        <v>6</v>
      </c>
      <c r="E11882" s="27" t="s">
        <v>41</v>
      </c>
      <c r="F11882" s="29"/>
      <c r="G11882" s="30">
        <v>541.32000000000005</v>
      </c>
    </row>
    <row r="11883" spans="1:7" hidden="1" x14ac:dyDescent="0.25">
      <c r="A11883" s="28">
        <v>44531</v>
      </c>
      <c r="B11883" s="27" t="s">
        <v>34</v>
      </c>
      <c r="C11883" s="27" t="s">
        <v>50</v>
      </c>
      <c r="D11883" s="27" t="s">
        <v>6</v>
      </c>
      <c r="E11883" s="27" t="s">
        <v>10</v>
      </c>
      <c r="F11883" s="29"/>
      <c r="G11883" s="30">
        <v>721.06</v>
      </c>
    </row>
    <row r="11884" spans="1:7" hidden="1" x14ac:dyDescent="0.25">
      <c r="A11884" s="28">
        <v>44531</v>
      </c>
      <c r="B11884" s="27" t="s">
        <v>34</v>
      </c>
      <c r="C11884" s="27" t="s">
        <v>50</v>
      </c>
      <c r="D11884" s="27" t="s">
        <v>6</v>
      </c>
      <c r="E11884" s="27" t="s">
        <v>11</v>
      </c>
      <c r="F11884" s="29"/>
      <c r="G11884" s="30">
        <v>309.66000000000003</v>
      </c>
    </row>
    <row r="11885" spans="1:7" hidden="1" x14ac:dyDescent="0.25">
      <c r="A11885" s="28">
        <v>44531</v>
      </c>
      <c r="B11885" s="27" t="s">
        <v>34</v>
      </c>
      <c r="C11885" s="27" t="s">
        <v>50</v>
      </c>
      <c r="D11885" s="27" t="s">
        <v>6</v>
      </c>
      <c r="E11885" s="27" t="s">
        <v>12</v>
      </c>
      <c r="F11885" s="29"/>
      <c r="G11885" s="30">
        <v>366.63</v>
      </c>
    </row>
    <row r="11886" spans="1:7" hidden="1" x14ac:dyDescent="0.25">
      <c r="A11886" s="28">
        <v>44531</v>
      </c>
      <c r="B11886" s="27" t="s">
        <v>34</v>
      </c>
      <c r="C11886" s="27" t="s">
        <v>50</v>
      </c>
      <c r="D11886" s="27" t="s">
        <v>6</v>
      </c>
      <c r="E11886" s="27" t="s">
        <v>13</v>
      </c>
      <c r="F11886" s="29"/>
      <c r="G11886" s="30">
        <v>444.8</v>
      </c>
    </row>
    <row r="11887" spans="1:7" hidden="1" x14ac:dyDescent="0.25">
      <c r="A11887" s="28">
        <v>44531</v>
      </c>
      <c r="B11887" s="27" t="s">
        <v>34</v>
      </c>
      <c r="C11887" s="27" t="s">
        <v>50</v>
      </c>
      <c r="D11887" s="27" t="s">
        <v>6</v>
      </c>
      <c r="E11887" s="27" t="s">
        <v>14</v>
      </c>
      <c r="F11887" s="29"/>
      <c r="G11887" s="30">
        <v>153.91999999999999</v>
      </c>
    </row>
    <row r="11888" spans="1:7" hidden="1" x14ac:dyDescent="0.25">
      <c r="A11888" s="28">
        <v>44531</v>
      </c>
      <c r="B11888" s="27" t="s">
        <v>34</v>
      </c>
      <c r="C11888" s="27" t="s">
        <v>50</v>
      </c>
      <c r="D11888" s="27" t="s">
        <v>6</v>
      </c>
      <c r="E11888" s="27" t="s">
        <v>15</v>
      </c>
      <c r="F11888" s="29"/>
      <c r="G11888" s="30">
        <v>377.23</v>
      </c>
    </row>
    <row r="11889" spans="1:7" hidden="1" x14ac:dyDescent="0.25">
      <c r="A11889" s="28">
        <v>44531</v>
      </c>
      <c r="B11889" s="27" t="s">
        <v>34</v>
      </c>
      <c r="C11889" s="27" t="s">
        <v>50</v>
      </c>
      <c r="D11889" s="27" t="s">
        <v>6</v>
      </c>
      <c r="E11889" s="27" t="s">
        <v>16</v>
      </c>
      <c r="F11889" s="29"/>
      <c r="G11889" s="30">
        <v>455.42</v>
      </c>
    </row>
    <row r="11890" spans="1:7" hidden="1" x14ac:dyDescent="0.25">
      <c r="A11890" s="28">
        <v>44531</v>
      </c>
      <c r="B11890" s="27" t="s">
        <v>34</v>
      </c>
      <c r="C11890" s="27" t="s">
        <v>50</v>
      </c>
      <c r="D11890" s="27" t="s">
        <v>6</v>
      </c>
      <c r="E11890" s="27" t="s">
        <v>17</v>
      </c>
      <c r="F11890" s="29"/>
      <c r="G11890" s="30">
        <v>825.43</v>
      </c>
    </row>
    <row r="11891" spans="1:7" hidden="1" x14ac:dyDescent="0.25">
      <c r="A11891" s="28">
        <v>44531</v>
      </c>
      <c r="B11891" s="27" t="s">
        <v>34</v>
      </c>
      <c r="C11891" s="27" t="s">
        <v>50</v>
      </c>
      <c r="D11891" s="27" t="s">
        <v>6</v>
      </c>
      <c r="E11891" s="27" t="s">
        <v>18</v>
      </c>
      <c r="F11891" s="29"/>
      <c r="G11891" s="30">
        <v>361.39</v>
      </c>
    </row>
    <row r="11892" spans="1:7" hidden="1" x14ac:dyDescent="0.25">
      <c r="A11892" s="28">
        <v>44531</v>
      </c>
      <c r="B11892" s="27" t="s">
        <v>34</v>
      </c>
      <c r="C11892" s="27" t="s">
        <v>50</v>
      </c>
      <c r="D11892" s="27" t="s">
        <v>6</v>
      </c>
      <c r="E11892" s="27" t="s">
        <v>19</v>
      </c>
      <c r="F11892" s="29"/>
      <c r="G11892" s="30">
        <v>492.72</v>
      </c>
    </row>
    <row r="11893" spans="1:7" hidden="1" x14ac:dyDescent="0.25">
      <c r="A11893" s="28">
        <v>44531</v>
      </c>
      <c r="B11893" s="27" t="s">
        <v>34</v>
      </c>
      <c r="C11893" s="27" t="s">
        <v>50</v>
      </c>
      <c r="D11893" s="27" t="s">
        <v>6</v>
      </c>
      <c r="E11893" s="27" t="s">
        <v>20</v>
      </c>
      <c r="F11893" s="29"/>
      <c r="G11893" s="30">
        <v>371.7</v>
      </c>
    </row>
    <row r="11894" spans="1:7" hidden="1" x14ac:dyDescent="0.25">
      <c r="A11894" s="28">
        <v>44531</v>
      </c>
      <c r="B11894" s="27" t="s">
        <v>34</v>
      </c>
      <c r="C11894" s="27" t="s">
        <v>50</v>
      </c>
      <c r="D11894" s="27" t="s">
        <v>6</v>
      </c>
      <c r="E11894" s="27" t="s">
        <v>38</v>
      </c>
      <c r="F11894" s="29"/>
      <c r="G11894" s="30">
        <v>182.93</v>
      </c>
    </row>
    <row r="11895" spans="1:7" hidden="1" x14ac:dyDescent="0.25">
      <c r="A11895" s="28">
        <v>44531</v>
      </c>
      <c r="B11895" s="27" t="s">
        <v>34</v>
      </c>
      <c r="C11895" s="27" t="s">
        <v>50</v>
      </c>
      <c r="D11895" s="27" t="s">
        <v>6</v>
      </c>
      <c r="E11895" s="27" t="s">
        <v>23</v>
      </c>
      <c r="F11895" s="29"/>
      <c r="G11895" s="30">
        <v>571.6</v>
      </c>
    </row>
    <row r="11896" spans="1:7" hidden="1" x14ac:dyDescent="0.25">
      <c r="A11896" s="28">
        <v>44531</v>
      </c>
      <c r="B11896" s="27" t="s">
        <v>34</v>
      </c>
      <c r="C11896" s="27" t="s">
        <v>50</v>
      </c>
      <c r="D11896" s="27" t="s">
        <v>6</v>
      </c>
      <c r="E11896" s="27" t="s">
        <v>40</v>
      </c>
      <c r="F11896" s="29"/>
      <c r="G11896" s="30">
        <v>169.73</v>
      </c>
    </row>
    <row r="11897" spans="1:7" hidden="1" x14ac:dyDescent="0.25">
      <c r="A11897" s="28">
        <v>44531</v>
      </c>
      <c r="B11897" s="27" t="s">
        <v>34</v>
      </c>
      <c r="C11897" s="27" t="s">
        <v>50</v>
      </c>
      <c r="D11897" s="27" t="s">
        <v>6</v>
      </c>
      <c r="E11897" s="27" t="s">
        <v>42</v>
      </c>
      <c r="F11897" s="29"/>
      <c r="G11897" s="30">
        <v>654.29999999999995</v>
      </c>
    </row>
    <row r="11898" spans="1:7" hidden="1" x14ac:dyDescent="0.25">
      <c r="A11898" s="28">
        <v>44531</v>
      </c>
      <c r="B11898" s="27" t="s">
        <v>34</v>
      </c>
      <c r="C11898" s="27" t="s">
        <v>50</v>
      </c>
      <c r="D11898" s="27" t="s">
        <v>6</v>
      </c>
      <c r="E11898" s="27" t="s">
        <v>43</v>
      </c>
      <c r="F11898" s="29"/>
      <c r="G11898" s="30">
        <v>626</v>
      </c>
    </row>
    <row r="11899" spans="1:7" hidden="1" x14ac:dyDescent="0.25">
      <c r="A11899" s="28">
        <v>44562</v>
      </c>
      <c r="B11899" s="27" t="s">
        <v>33</v>
      </c>
      <c r="C11899" s="27" t="s">
        <v>50</v>
      </c>
      <c r="D11899" s="27" t="s">
        <v>7</v>
      </c>
      <c r="E11899" s="27" t="s">
        <v>8</v>
      </c>
      <c r="F11899" s="29"/>
      <c r="G11899" s="30">
        <v>2411.4735999999998</v>
      </c>
    </row>
    <row r="11900" spans="1:7" hidden="1" x14ac:dyDescent="0.25">
      <c r="A11900" s="28">
        <v>44562</v>
      </c>
      <c r="B11900" s="27" t="s">
        <v>33</v>
      </c>
      <c r="C11900" s="27" t="s">
        <v>50</v>
      </c>
      <c r="D11900" s="27" t="s">
        <v>7</v>
      </c>
      <c r="E11900" s="27" t="s">
        <v>9</v>
      </c>
      <c r="F11900" s="29"/>
      <c r="G11900" s="30">
        <v>2411.4735999999998</v>
      </c>
    </row>
    <row r="11901" spans="1:7" hidden="1" x14ac:dyDescent="0.25">
      <c r="A11901" s="28">
        <v>44562</v>
      </c>
      <c r="B11901" s="27" t="s">
        <v>33</v>
      </c>
      <c r="C11901" s="27" t="s">
        <v>50</v>
      </c>
      <c r="D11901" s="27" t="s">
        <v>7</v>
      </c>
      <c r="E11901" s="27" t="s">
        <v>22</v>
      </c>
      <c r="F11901" s="29"/>
      <c r="G11901" s="30">
        <v>2411.4735999999998</v>
      </c>
    </row>
    <row r="11902" spans="1:7" hidden="1" x14ac:dyDescent="0.25">
      <c r="A11902" s="28">
        <v>44562</v>
      </c>
      <c r="B11902" s="27" t="s">
        <v>33</v>
      </c>
      <c r="C11902" s="27" t="s">
        <v>50</v>
      </c>
      <c r="D11902" s="27" t="s">
        <v>7</v>
      </c>
      <c r="E11902" s="27" t="s">
        <v>39</v>
      </c>
      <c r="F11902" s="29"/>
      <c r="G11902" s="30">
        <v>2411.4735999999998</v>
      </c>
    </row>
    <row r="11903" spans="1:7" hidden="1" x14ac:dyDescent="0.25">
      <c r="A11903" s="28">
        <v>44562</v>
      </c>
      <c r="B11903" s="27" t="s">
        <v>33</v>
      </c>
      <c r="C11903" s="27" t="s">
        <v>50</v>
      </c>
      <c r="D11903" s="27" t="s">
        <v>7</v>
      </c>
      <c r="E11903" s="27" t="s">
        <v>64</v>
      </c>
      <c r="F11903" s="29"/>
      <c r="G11903" s="30">
        <v>2411.4735999999998</v>
      </c>
    </row>
    <row r="11904" spans="1:7" hidden="1" x14ac:dyDescent="0.25">
      <c r="A11904" s="28">
        <v>44562</v>
      </c>
      <c r="B11904" s="27" t="s">
        <v>33</v>
      </c>
      <c r="C11904" s="27" t="s">
        <v>50</v>
      </c>
      <c r="D11904" s="27" t="s">
        <v>7</v>
      </c>
      <c r="E11904" s="27" t="s">
        <v>21</v>
      </c>
      <c r="F11904" s="29"/>
      <c r="G11904" s="30">
        <v>2411.4735999999998</v>
      </c>
    </row>
    <row r="11905" spans="1:7" hidden="1" x14ac:dyDescent="0.25">
      <c r="A11905" s="28">
        <v>44562</v>
      </c>
      <c r="B11905" s="27" t="s">
        <v>33</v>
      </c>
      <c r="C11905" s="27" t="s">
        <v>50</v>
      </c>
      <c r="D11905" s="27" t="s">
        <v>7</v>
      </c>
      <c r="E11905" s="27" t="s">
        <v>41</v>
      </c>
      <c r="F11905" s="29"/>
      <c r="G11905" s="30">
        <v>2411.4735999999998</v>
      </c>
    </row>
    <row r="11906" spans="1:7" hidden="1" x14ac:dyDescent="0.25">
      <c r="A11906" s="28">
        <v>44562</v>
      </c>
      <c r="B11906" s="27" t="s">
        <v>33</v>
      </c>
      <c r="C11906" s="27" t="s">
        <v>50</v>
      </c>
      <c r="D11906" s="27" t="s">
        <v>7</v>
      </c>
      <c r="E11906" s="27" t="s">
        <v>10</v>
      </c>
      <c r="F11906" s="29"/>
      <c r="G11906" s="30">
        <v>2411.4735999999998</v>
      </c>
    </row>
    <row r="11907" spans="1:7" hidden="1" x14ac:dyDescent="0.25">
      <c r="A11907" s="28">
        <v>44562</v>
      </c>
      <c r="B11907" s="27" t="s">
        <v>33</v>
      </c>
      <c r="C11907" s="27" t="s">
        <v>50</v>
      </c>
      <c r="D11907" s="27" t="s">
        <v>7</v>
      </c>
      <c r="E11907" s="27" t="s">
        <v>11</v>
      </c>
      <c r="F11907" s="29"/>
      <c r="G11907" s="30">
        <v>2411.4735999999998</v>
      </c>
    </row>
    <row r="11908" spans="1:7" hidden="1" x14ac:dyDescent="0.25">
      <c r="A11908" s="28">
        <v>44562</v>
      </c>
      <c r="B11908" s="27" t="s">
        <v>33</v>
      </c>
      <c r="C11908" s="27" t="s">
        <v>50</v>
      </c>
      <c r="D11908" s="27" t="s">
        <v>7</v>
      </c>
      <c r="E11908" s="27" t="s">
        <v>12</v>
      </c>
      <c r="F11908" s="29"/>
      <c r="G11908" s="30">
        <v>2411.4735999999998</v>
      </c>
    </row>
    <row r="11909" spans="1:7" hidden="1" x14ac:dyDescent="0.25">
      <c r="A11909" s="28">
        <v>44562</v>
      </c>
      <c r="B11909" s="27" t="s">
        <v>33</v>
      </c>
      <c r="C11909" s="27" t="s">
        <v>50</v>
      </c>
      <c r="D11909" s="27" t="s">
        <v>7</v>
      </c>
      <c r="E11909" s="27" t="s">
        <v>13</v>
      </c>
      <c r="F11909" s="29"/>
      <c r="G11909" s="30">
        <v>2411.4735999999998</v>
      </c>
    </row>
    <row r="11910" spans="1:7" hidden="1" x14ac:dyDescent="0.25">
      <c r="A11910" s="28">
        <v>44562</v>
      </c>
      <c r="B11910" s="27" t="s">
        <v>33</v>
      </c>
      <c r="C11910" s="27" t="s">
        <v>50</v>
      </c>
      <c r="D11910" s="27" t="s">
        <v>7</v>
      </c>
      <c r="E11910" s="27" t="s">
        <v>14</v>
      </c>
      <c r="F11910" s="29"/>
      <c r="G11910" s="30">
        <v>2411.4735999999998</v>
      </c>
    </row>
    <row r="11911" spans="1:7" hidden="1" x14ac:dyDescent="0.25">
      <c r="A11911" s="28">
        <v>44562</v>
      </c>
      <c r="B11911" s="27" t="s">
        <v>33</v>
      </c>
      <c r="C11911" s="27" t="s">
        <v>50</v>
      </c>
      <c r="D11911" s="27" t="s">
        <v>7</v>
      </c>
      <c r="E11911" s="27" t="s">
        <v>15</v>
      </c>
      <c r="F11911" s="29"/>
      <c r="G11911" s="30">
        <v>2411.4735999999998</v>
      </c>
    </row>
    <row r="11912" spans="1:7" hidden="1" x14ac:dyDescent="0.25">
      <c r="A11912" s="28">
        <v>44562</v>
      </c>
      <c r="B11912" s="27" t="s">
        <v>33</v>
      </c>
      <c r="C11912" s="27" t="s">
        <v>50</v>
      </c>
      <c r="D11912" s="27" t="s">
        <v>7</v>
      </c>
      <c r="E11912" s="27" t="s">
        <v>16</v>
      </c>
      <c r="F11912" s="29"/>
      <c r="G11912" s="30">
        <v>2411.4735999999998</v>
      </c>
    </row>
    <row r="11913" spans="1:7" hidden="1" x14ac:dyDescent="0.25">
      <c r="A11913" s="28">
        <v>44562</v>
      </c>
      <c r="B11913" s="27" t="s">
        <v>33</v>
      </c>
      <c r="C11913" s="27" t="s">
        <v>50</v>
      </c>
      <c r="D11913" s="27" t="s">
        <v>7</v>
      </c>
      <c r="E11913" s="27" t="s">
        <v>17</v>
      </c>
      <c r="F11913" s="29"/>
      <c r="G11913" s="30">
        <v>2411.4735999999998</v>
      </c>
    </row>
    <row r="11914" spans="1:7" hidden="1" x14ac:dyDescent="0.25">
      <c r="A11914" s="28">
        <v>44562</v>
      </c>
      <c r="B11914" s="27" t="s">
        <v>33</v>
      </c>
      <c r="C11914" s="27" t="s">
        <v>50</v>
      </c>
      <c r="D11914" s="27" t="s">
        <v>7</v>
      </c>
      <c r="E11914" s="27" t="s">
        <v>18</v>
      </c>
      <c r="F11914" s="29"/>
      <c r="G11914" s="30">
        <v>2411.4735999999998</v>
      </c>
    </row>
    <row r="11915" spans="1:7" hidden="1" x14ac:dyDescent="0.25">
      <c r="A11915" s="28">
        <v>44562</v>
      </c>
      <c r="B11915" s="27" t="s">
        <v>33</v>
      </c>
      <c r="C11915" s="27" t="s">
        <v>50</v>
      </c>
      <c r="D11915" s="27" t="s">
        <v>7</v>
      </c>
      <c r="E11915" s="27" t="s">
        <v>19</v>
      </c>
      <c r="F11915" s="29"/>
      <c r="G11915" s="30">
        <v>2411.4735999999998</v>
      </c>
    </row>
    <row r="11916" spans="1:7" hidden="1" x14ac:dyDescent="0.25">
      <c r="A11916" s="28">
        <v>44562</v>
      </c>
      <c r="B11916" s="27" t="s">
        <v>33</v>
      </c>
      <c r="C11916" s="27" t="s">
        <v>50</v>
      </c>
      <c r="D11916" s="27" t="s">
        <v>7</v>
      </c>
      <c r="E11916" s="27" t="s">
        <v>20</v>
      </c>
      <c r="F11916" s="29"/>
      <c r="G11916" s="30">
        <v>2411.4735999999998</v>
      </c>
    </row>
    <row r="11917" spans="1:7" hidden="1" x14ac:dyDescent="0.25">
      <c r="A11917" s="28">
        <v>44562</v>
      </c>
      <c r="B11917" s="27" t="s">
        <v>33</v>
      </c>
      <c r="C11917" s="27" t="s">
        <v>50</v>
      </c>
      <c r="D11917" s="27" t="s">
        <v>7</v>
      </c>
      <c r="E11917" s="27" t="s">
        <v>38</v>
      </c>
      <c r="F11917" s="29"/>
      <c r="G11917" s="30">
        <v>2411.4735999999998</v>
      </c>
    </row>
    <row r="11918" spans="1:7" hidden="1" x14ac:dyDescent="0.25">
      <c r="A11918" s="28">
        <v>44562</v>
      </c>
      <c r="B11918" s="27" t="s">
        <v>33</v>
      </c>
      <c r="C11918" s="27" t="s">
        <v>50</v>
      </c>
      <c r="D11918" s="27" t="s">
        <v>7</v>
      </c>
      <c r="E11918" s="27" t="s">
        <v>23</v>
      </c>
      <c r="F11918" s="29"/>
      <c r="G11918" s="30">
        <v>2411.4735999999998</v>
      </c>
    </row>
    <row r="11919" spans="1:7" hidden="1" x14ac:dyDescent="0.25">
      <c r="A11919" s="28">
        <v>44562</v>
      </c>
      <c r="B11919" s="27" t="s">
        <v>33</v>
      </c>
      <c r="C11919" s="27" t="s">
        <v>50</v>
      </c>
      <c r="D11919" s="27" t="s">
        <v>7</v>
      </c>
      <c r="E11919" s="27" t="s">
        <v>40</v>
      </c>
      <c r="F11919" s="29"/>
      <c r="G11919" s="30">
        <v>2411.4735999999998</v>
      </c>
    </row>
    <row r="11920" spans="1:7" hidden="1" x14ac:dyDescent="0.25">
      <c r="A11920" s="28">
        <v>44562</v>
      </c>
      <c r="B11920" s="27" t="s">
        <v>33</v>
      </c>
      <c r="C11920" s="27" t="s">
        <v>50</v>
      </c>
      <c r="D11920" s="27" t="s">
        <v>7</v>
      </c>
      <c r="E11920" s="27" t="s">
        <v>42</v>
      </c>
      <c r="F11920" s="29"/>
      <c r="G11920" s="30">
        <v>2411.4735999999998</v>
      </c>
    </row>
    <row r="11921" spans="1:7" hidden="1" x14ac:dyDescent="0.25">
      <c r="A11921" s="28">
        <v>44562</v>
      </c>
      <c r="B11921" s="27" t="s">
        <v>33</v>
      </c>
      <c r="C11921" s="27" t="s">
        <v>50</v>
      </c>
      <c r="D11921" s="27" t="s">
        <v>7</v>
      </c>
      <c r="E11921" s="27" t="s">
        <v>43</v>
      </c>
      <c r="F11921" s="29"/>
      <c r="G11921" s="30">
        <v>2411.4735999999998</v>
      </c>
    </row>
    <row r="11922" spans="1:7" hidden="1" x14ac:dyDescent="0.25">
      <c r="A11922" s="28">
        <v>44562</v>
      </c>
      <c r="B11922" s="27" t="s">
        <v>33</v>
      </c>
      <c r="C11922" s="27" t="s">
        <v>50</v>
      </c>
      <c r="D11922" s="27" t="s">
        <v>7</v>
      </c>
      <c r="E11922" s="27" t="s">
        <v>72</v>
      </c>
      <c r="F11922" s="29"/>
      <c r="G11922" s="30">
        <v>2411.4735999999998</v>
      </c>
    </row>
    <row r="11923" spans="1:7" hidden="1" x14ac:dyDescent="0.25">
      <c r="A11923" s="28">
        <v>44562</v>
      </c>
      <c r="B11923" s="27" t="s">
        <v>33</v>
      </c>
      <c r="C11923" s="27" t="s">
        <v>50</v>
      </c>
      <c r="D11923" s="27" t="s">
        <v>7</v>
      </c>
      <c r="E11923" s="27" t="s">
        <v>206</v>
      </c>
      <c r="F11923" s="29"/>
      <c r="G11923" s="30">
        <v>2411.4735999999998</v>
      </c>
    </row>
    <row r="11924" spans="1:7" hidden="1" x14ac:dyDescent="0.25">
      <c r="A11924" s="28">
        <v>44562</v>
      </c>
      <c r="B11924" s="27" t="s">
        <v>4</v>
      </c>
      <c r="C11924" s="27" t="s">
        <v>50</v>
      </c>
      <c r="D11924" s="27" t="s">
        <v>7</v>
      </c>
      <c r="E11924" s="27" t="s">
        <v>8</v>
      </c>
      <c r="F11924" s="29"/>
      <c r="G11924" s="30">
        <v>2471.1</v>
      </c>
    </row>
    <row r="11925" spans="1:7" hidden="1" x14ac:dyDescent="0.25">
      <c r="A11925" s="28">
        <v>44562</v>
      </c>
      <c r="B11925" s="27" t="s">
        <v>4</v>
      </c>
      <c r="C11925" s="27" t="s">
        <v>50</v>
      </c>
      <c r="D11925" s="27" t="s">
        <v>7</v>
      </c>
      <c r="E11925" s="27" t="s">
        <v>9</v>
      </c>
      <c r="F11925" s="29"/>
      <c r="G11925" s="30">
        <f>53716.45/9</f>
        <v>5968.4944444444445</v>
      </c>
    </row>
    <row r="11926" spans="1:7" hidden="1" x14ac:dyDescent="0.25">
      <c r="A11926" s="28">
        <v>44562</v>
      </c>
      <c r="B11926" s="27" t="s">
        <v>4</v>
      </c>
      <c r="C11926" s="27" t="s">
        <v>50</v>
      </c>
      <c r="D11926" s="27" t="s">
        <v>7</v>
      </c>
      <c r="E11926" s="27" t="s">
        <v>22</v>
      </c>
      <c r="F11926" s="29"/>
      <c r="G11926" s="30">
        <v>1304.08</v>
      </c>
    </row>
    <row r="11927" spans="1:7" hidden="1" x14ac:dyDescent="0.25">
      <c r="A11927" s="28">
        <v>44562</v>
      </c>
      <c r="B11927" s="27" t="s">
        <v>4</v>
      </c>
      <c r="C11927" s="27" t="s">
        <v>50</v>
      </c>
      <c r="D11927" s="27" t="s">
        <v>7</v>
      </c>
      <c r="E11927" s="27" t="s">
        <v>39</v>
      </c>
      <c r="F11927" s="29"/>
      <c r="G11927" s="30">
        <v>1651.33</v>
      </c>
    </row>
    <row r="11928" spans="1:7" hidden="1" x14ac:dyDescent="0.25">
      <c r="A11928" s="28">
        <v>44562</v>
      </c>
      <c r="B11928" s="27" t="s">
        <v>4</v>
      </c>
      <c r="C11928" s="27" t="s">
        <v>50</v>
      </c>
      <c r="D11928" s="27" t="s">
        <v>7</v>
      </c>
      <c r="E11928" s="27" t="s">
        <v>64</v>
      </c>
      <c r="F11928" s="29"/>
      <c r="G11928" s="30">
        <f>53716.45/9</f>
        <v>5968.4944444444445</v>
      </c>
    </row>
    <row r="11929" spans="1:7" hidden="1" x14ac:dyDescent="0.25">
      <c r="A11929" s="28">
        <v>44562</v>
      </c>
      <c r="B11929" s="27" t="s">
        <v>4</v>
      </c>
      <c r="C11929" s="27" t="s">
        <v>50</v>
      </c>
      <c r="D11929" s="27" t="s">
        <v>7</v>
      </c>
      <c r="E11929" s="27" t="s">
        <v>21</v>
      </c>
      <c r="F11929" s="29"/>
      <c r="G11929" s="30">
        <v>4842.1400000000003</v>
      </c>
    </row>
    <row r="11930" spans="1:7" hidden="1" x14ac:dyDescent="0.25">
      <c r="A11930" s="28">
        <v>44562</v>
      </c>
      <c r="B11930" s="27" t="s">
        <v>4</v>
      </c>
      <c r="C11930" s="27" t="s">
        <v>50</v>
      </c>
      <c r="D11930" s="27" t="s">
        <v>7</v>
      </c>
      <c r="E11930" s="27" t="s">
        <v>41</v>
      </c>
      <c r="F11930" s="29"/>
      <c r="G11930" s="30">
        <v>2979.45</v>
      </c>
    </row>
    <row r="11931" spans="1:7" hidden="1" x14ac:dyDescent="0.25">
      <c r="A11931" s="28">
        <v>44562</v>
      </c>
      <c r="B11931" s="27" t="s">
        <v>4</v>
      </c>
      <c r="C11931" s="27" t="s">
        <v>50</v>
      </c>
      <c r="D11931" s="27" t="s">
        <v>7</v>
      </c>
      <c r="E11931" s="27" t="s">
        <v>10</v>
      </c>
      <c r="F11931" s="29"/>
      <c r="G11931" s="30">
        <v>3891.38</v>
      </c>
    </row>
    <row r="11932" spans="1:7" hidden="1" x14ac:dyDescent="0.25">
      <c r="A11932" s="28">
        <v>44562</v>
      </c>
      <c r="B11932" s="27" t="s">
        <v>4</v>
      </c>
      <c r="C11932" s="27" t="s">
        <v>50</v>
      </c>
      <c r="D11932" s="27" t="s">
        <v>7</v>
      </c>
      <c r="E11932" s="27" t="s">
        <v>11</v>
      </c>
      <c r="F11932" s="29"/>
      <c r="G11932" s="30">
        <v>460.6</v>
      </c>
    </row>
    <row r="11933" spans="1:7" hidden="1" x14ac:dyDescent="0.25">
      <c r="A11933" s="28">
        <v>44562</v>
      </c>
      <c r="B11933" s="27" t="s">
        <v>4</v>
      </c>
      <c r="C11933" s="27" t="s">
        <v>50</v>
      </c>
      <c r="D11933" s="27" t="s">
        <v>7</v>
      </c>
      <c r="E11933" s="27" t="s">
        <v>12</v>
      </c>
      <c r="F11933" s="29"/>
      <c r="G11933" s="30">
        <v>587</v>
      </c>
    </row>
    <row r="11934" spans="1:7" hidden="1" x14ac:dyDescent="0.25">
      <c r="A11934" s="28">
        <v>44562</v>
      </c>
      <c r="B11934" s="27" t="s">
        <v>4</v>
      </c>
      <c r="C11934" s="27" t="s">
        <v>50</v>
      </c>
      <c r="D11934" s="27" t="s">
        <v>7</v>
      </c>
      <c r="E11934" s="27" t="s">
        <v>13</v>
      </c>
      <c r="F11934" s="29"/>
      <c r="G11934" s="30">
        <v>6705.58</v>
      </c>
    </row>
    <row r="11935" spans="1:7" hidden="1" x14ac:dyDescent="0.25">
      <c r="A11935" s="28">
        <v>44562</v>
      </c>
      <c r="B11935" s="27" t="s">
        <v>4</v>
      </c>
      <c r="C11935" s="27" t="s">
        <v>50</v>
      </c>
      <c r="D11935" s="27" t="s">
        <v>7</v>
      </c>
      <c r="E11935" s="27" t="s">
        <v>14</v>
      </c>
      <c r="F11935" s="29"/>
      <c r="G11935" s="30">
        <v>1163.8499999999999</v>
      </c>
    </row>
    <row r="11936" spans="1:7" hidden="1" x14ac:dyDescent="0.25">
      <c r="A11936" s="28">
        <v>44562</v>
      </c>
      <c r="B11936" s="27" t="s">
        <v>4</v>
      </c>
      <c r="C11936" s="27" t="s">
        <v>50</v>
      </c>
      <c r="D11936" s="27" t="s">
        <v>7</v>
      </c>
      <c r="E11936" s="27" t="s">
        <v>15</v>
      </c>
      <c r="F11936" s="29"/>
      <c r="G11936" s="30">
        <v>5209.41</v>
      </c>
    </row>
    <row r="11937" spans="1:7" hidden="1" x14ac:dyDescent="0.25">
      <c r="A11937" s="28">
        <v>44562</v>
      </c>
      <c r="B11937" s="27" t="s">
        <v>4</v>
      </c>
      <c r="C11937" s="27" t="s">
        <v>50</v>
      </c>
      <c r="D11937" s="27" t="s">
        <v>7</v>
      </c>
      <c r="E11937" s="27" t="s">
        <v>16</v>
      </c>
      <c r="F11937" s="29"/>
      <c r="G11937" s="30">
        <f>53716.45/9</f>
        <v>5968.4944444444445</v>
      </c>
    </row>
    <row r="11938" spans="1:7" hidden="1" x14ac:dyDescent="0.25">
      <c r="A11938" s="28">
        <v>44562</v>
      </c>
      <c r="B11938" s="27" t="s">
        <v>4</v>
      </c>
      <c r="C11938" s="27" t="s">
        <v>50</v>
      </c>
      <c r="D11938" s="27" t="s">
        <v>7</v>
      </c>
      <c r="E11938" s="27" t="s">
        <v>17</v>
      </c>
      <c r="F11938" s="29"/>
      <c r="G11938" s="30">
        <v>2487.5700000000002</v>
      </c>
    </row>
    <row r="11939" spans="1:7" hidden="1" x14ac:dyDescent="0.25">
      <c r="A11939" s="28">
        <v>44562</v>
      </c>
      <c r="B11939" s="27" t="s">
        <v>4</v>
      </c>
      <c r="C11939" s="27" t="s">
        <v>50</v>
      </c>
      <c r="D11939" s="27" t="s">
        <v>7</v>
      </c>
      <c r="E11939" s="27" t="s">
        <v>18</v>
      </c>
      <c r="F11939" s="29"/>
      <c r="G11939" s="30">
        <f>53716.45/9</f>
        <v>5968.4944444444445</v>
      </c>
    </row>
    <row r="11940" spans="1:7" hidden="1" x14ac:dyDescent="0.25">
      <c r="A11940" s="28">
        <v>44562</v>
      </c>
      <c r="B11940" s="27" t="s">
        <v>4</v>
      </c>
      <c r="C11940" s="27" t="s">
        <v>50</v>
      </c>
      <c r="D11940" s="27" t="s">
        <v>7</v>
      </c>
      <c r="E11940" s="27" t="s">
        <v>19</v>
      </c>
      <c r="F11940" s="29"/>
      <c r="G11940" s="30">
        <v>6886.06</v>
      </c>
    </row>
    <row r="11941" spans="1:7" hidden="1" x14ac:dyDescent="0.25">
      <c r="A11941" s="28">
        <v>44562</v>
      </c>
      <c r="B11941" s="27" t="s">
        <v>4</v>
      </c>
      <c r="C11941" s="27" t="s">
        <v>50</v>
      </c>
      <c r="D11941" s="27" t="s">
        <v>7</v>
      </c>
      <c r="E11941" s="27" t="s">
        <v>20</v>
      </c>
      <c r="F11941" s="29"/>
      <c r="G11941" s="30">
        <v>2182.9299999999998</v>
      </c>
    </row>
    <row r="11942" spans="1:7" hidden="1" x14ac:dyDescent="0.25">
      <c r="A11942" s="28">
        <v>44562</v>
      </c>
      <c r="B11942" s="27" t="s">
        <v>4</v>
      </c>
      <c r="C11942" s="27" t="s">
        <v>50</v>
      </c>
      <c r="D11942" s="27" t="s">
        <v>7</v>
      </c>
      <c r="E11942" s="27" t="s">
        <v>38</v>
      </c>
      <c r="F11942" s="29"/>
      <c r="G11942" s="30">
        <f>53716.45/9</f>
        <v>5968.4944444444445</v>
      </c>
    </row>
    <row r="11943" spans="1:7" hidden="1" x14ac:dyDescent="0.25">
      <c r="A11943" s="28">
        <v>44562</v>
      </c>
      <c r="B11943" s="27" t="s">
        <v>4</v>
      </c>
      <c r="C11943" s="27" t="s">
        <v>50</v>
      </c>
      <c r="D11943" s="27" t="s">
        <v>7</v>
      </c>
      <c r="E11943" s="27" t="s">
        <v>23</v>
      </c>
      <c r="F11943" s="29"/>
      <c r="G11943" s="30">
        <f>53716.45/9</f>
        <v>5968.4944444444445</v>
      </c>
    </row>
    <row r="11944" spans="1:7" hidden="1" x14ac:dyDescent="0.25">
      <c r="A11944" s="28">
        <v>44562</v>
      </c>
      <c r="B11944" s="27" t="s">
        <v>4</v>
      </c>
      <c r="C11944" s="27" t="s">
        <v>50</v>
      </c>
      <c r="D11944" s="27" t="s">
        <v>7</v>
      </c>
      <c r="E11944" s="27" t="s">
        <v>40</v>
      </c>
      <c r="F11944" s="29"/>
      <c r="G11944" s="30">
        <v>704.68</v>
      </c>
    </row>
    <row r="11945" spans="1:7" hidden="1" x14ac:dyDescent="0.25">
      <c r="A11945" s="28">
        <v>44562</v>
      </c>
      <c r="B11945" s="27" t="s">
        <v>4</v>
      </c>
      <c r="C11945" s="27" t="s">
        <v>50</v>
      </c>
      <c r="D11945" s="27" t="s">
        <v>7</v>
      </c>
      <c r="E11945" s="27" t="s">
        <v>42</v>
      </c>
      <c r="F11945" s="29"/>
      <c r="G11945" s="30">
        <f>53716.45/9</f>
        <v>5968.4944444444445</v>
      </c>
    </row>
    <row r="11946" spans="1:7" hidden="1" x14ac:dyDescent="0.25">
      <c r="A11946" s="28">
        <v>44562</v>
      </c>
      <c r="B11946" s="27" t="s">
        <v>4</v>
      </c>
      <c r="C11946" s="27" t="s">
        <v>50</v>
      </c>
      <c r="D11946" s="27" t="s">
        <v>7</v>
      </c>
      <c r="E11946" s="27" t="s">
        <v>43</v>
      </c>
      <c r="F11946" s="29"/>
      <c r="G11946" s="30">
        <f>53716.45/9</f>
        <v>5968.4944444444445</v>
      </c>
    </row>
    <row r="11947" spans="1:7" hidden="1" x14ac:dyDescent="0.25">
      <c r="A11947" s="28">
        <v>44562</v>
      </c>
      <c r="B11947" s="27" t="s">
        <v>4</v>
      </c>
      <c r="C11947" s="27" t="s">
        <v>50</v>
      </c>
      <c r="D11947" s="27" t="s">
        <v>7</v>
      </c>
      <c r="E11947" s="27" t="s">
        <v>72</v>
      </c>
      <c r="F11947" s="29"/>
      <c r="G11947" s="30">
        <v>171.9</v>
      </c>
    </row>
    <row r="11948" spans="1:7" hidden="1" x14ac:dyDescent="0.25">
      <c r="A11948" s="28">
        <v>44562</v>
      </c>
      <c r="B11948" s="27" t="s">
        <v>4</v>
      </c>
      <c r="C11948" s="27" t="s">
        <v>50</v>
      </c>
      <c r="D11948" s="27" t="s">
        <v>7</v>
      </c>
      <c r="E11948" s="27" t="s">
        <v>206</v>
      </c>
      <c r="F11948" s="29"/>
      <c r="G11948" s="30">
        <f>53716.45/9</f>
        <v>5968.4944444444445</v>
      </c>
    </row>
    <row r="11949" spans="1:7" hidden="1" x14ac:dyDescent="0.25">
      <c r="A11949" s="28">
        <v>44562</v>
      </c>
      <c r="B11949" s="27" t="s">
        <v>26</v>
      </c>
      <c r="C11949" s="27" t="s">
        <v>50</v>
      </c>
      <c r="D11949" s="27" t="s">
        <v>6</v>
      </c>
      <c r="E11949" s="27" t="s">
        <v>8</v>
      </c>
      <c r="F11949" s="29"/>
      <c r="G11949" s="30">
        <v>719.18234681218985</v>
      </c>
    </row>
    <row r="11950" spans="1:7" hidden="1" x14ac:dyDescent="0.25">
      <c r="A11950" s="28">
        <v>44562</v>
      </c>
      <c r="B11950" s="27" t="s">
        <v>26</v>
      </c>
      <c r="C11950" s="27" t="s">
        <v>50</v>
      </c>
      <c r="D11950" s="27" t="s">
        <v>6</v>
      </c>
      <c r="E11950" s="27" t="s">
        <v>9</v>
      </c>
      <c r="F11950" s="29"/>
      <c r="G11950" s="30">
        <v>1595.1320615825009</v>
      </c>
    </row>
    <row r="11951" spans="1:7" hidden="1" x14ac:dyDescent="0.25">
      <c r="A11951" s="28">
        <v>44562</v>
      </c>
      <c r="B11951" s="27" t="s">
        <v>26</v>
      </c>
      <c r="C11951" s="27" t="s">
        <v>50</v>
      </c>
      <c r="D11951" s="27" t="s">
        <v>6</v>
      </c>
      <c r="E11951" s="27" t="s">
        <v>22</v>
      </c>
      <c r="F11951" s="29"/>
      <c r="G11951" s="30">
        <v>2121.8036778000037</v>
      </c>
    </row>
    <row r="11952" spans="1:7" hidden="1" x14ac:dyDescent="0.25">
      <c r="A11952" s="28">
        <v>44562</v>
      </c>
      <c r="B11952" s="27" t="s">
        <v>26</v>
      </c>
      <c r="C11952" s="27" t="s">
        <v>50</v>
      </c>
      <c r="D11952" s="27" t="s">
        <v>6</v>
      </c>
      <c r="E11952" s="27" t="s">
        <v>39</v>
      </c>
      <c r="F11952" s="29"/>
      <c r="G11952" s="30">
        <v>1858.2521149872089</v>
      </c>
    </row>
    <row r="11953" spans="1:7" hidden="1" x14ac:dyDescent="0.25">
      <c r="A11953" s="28">
        <v>44562</v>
      </c>
      <c r="B11953" s="27" t="s">
        <v>26</v>
      </c>
      <c r="C11953" s="27" t="s">
        <v>50</v>
      </c>
      <c r="D11953" s="27" t="s">
        <v>6</v>
      </c>
      <c r="E11953" s="27" t="s">
        <v>64</v>
      </c>
      <c r="F11953" s="29"/>
      <c r="G11953" s="30">
        <v>1276.3329108875935</v>
      </c>
    </row>
    <row r="11954" spans="1:7" hidden="1" x14ac:dyDescent="0.25">
      <c r="A11954" s="28">
        <v>44562</v>
      </c>
      <c r="B11954" s="27" t="s">
        <v>26</v>
      </c>
      <c r="C11954" s="27" t="s">
        <v>50</v>
      </c>
      <c r="D11954" s="27" t="s">
        <v>6</v>
      </c>
      <c r="E11954" s="27" t="s">
        <v>21</v>
      </c>
      <c r="F11954" s="29"/>
      <c r="G11954" s="30">
        <v>1372.0704648952321</v>
      </c>
    </row>
    <row r="11955" spans="1:7" hidden="1" x14ac:dyDescent="0.25">
      <c r="A11955" s="28">
        <v>44562</v>
      </c>
      <c r="B11955" s="27" t="s">
        <v>26</v>
      </c>
      <c r="C11955" s="27" t="s">
        <v>50</v>
      </c>
      <c r="D11955" s="27" t="s">
        <v>6</v>
      </c>
      <c r="E11955" s="27" t="s">
        <v>41</v>
      </c>
      <c r="F11955" s="29"/>
      <c r="G11955" s="30">
        <v>1581.4819806400055</v>
      </c>
    </row>
    <row r="11956" spans="1:7" hidden="1" x14ac:dyDescent="0.25">
      <c r="A11956" s="28">
        <v>44562</v>
      </c>
      <c r="B11956" s="27" t="s">
        <v>26</v>
      </c>
      <c r="C11956" s="27" t="s">
        <v>50</v>
      </c>
      <c r="D11956" s="27" t="s">
        <v>6</v>
      </c>
      <c r="E11956" s="27" t="s">
        <v>10</v>
      </c>
      <c r="F11956" s="29"/>
      <c r="G11956" s="30">
        <v>2188.8314725228997</v>
      </c>
    </row>
    <row r="11957" spans="1:7" hidden="1" x14ac:dyDescent="0.25">
      <c r="A11957" s="28">
        <v>44562</v>
      </c>
      <c r="B11957" s="27" t="s">
        <v>26</v>
      </c>
      <c r="C11957" s="27" t="s">
        <v>50</v>
      </c>
      <c r="D11957" s="27" t="s">
        <v>6</v>
      </c>
      <c r="E11957" s="27" t="s">
        <v>11</v>
      </c>
      <c r="F11957" s="29"/>
      <c r="G11957" s="30">
        <v>1627.7110218930932</v>
      </c>
    </row>
    <row r="11958" spans="1:7" hidden="1" x14ac:dyDescent="0.25">
      <c r="A11958" s="28">
        <v>44562</v>
      </c>
      <c r="B11958" s="27" t="s">
        <v>26</v>
      </c>
      <c r="C11958" s="27" t="s">
        <v>50</v>
      </c>
      <c r="D11958" s="27" t="s">
        <v>6</v>
      </c>
      <c r="E11958" s="27" t="s">
        <v>12</v>
      </c>
      <c r="F11958" s="29"/>
      <c r="G11958" s="30">
        <v>1714.4875638594519</v>
      </c>
    </row>
    <row r="11959" spans="1:7" hidden="1" x14ac:dyDescent="0.25">
      <c r="A11959" s="28">
        <v>44562</v>
      </c>
      <c r="B11959" s="27" t="s">
        <v>26</v>
      </c>
      <c r="C11959" s="27" t="s">
        <v>50</v>
      </c>
      <c r="D11959" s="27" t="s">
        <v>6</v>
      </c>
      <c r="E11959" s="27" t="s">
        <v>13</v>
      </c>
      <c r="F11959" s="29"/>
      <c r="G11959" s="30">
        <v>1743.4562287890469</v>
      </c>
    </row>
    <row r="11960" spans="1:7" hidden="1" x14ac:dyDescent="0.25">
      <c r="A11960" s="28">
        <v>44562</v>
      </c>
      <c r="B11960" s="27" t="s">
        <v>26</v>
      </c>
      <c r="C11960" s="27" t="s">
        <v>50</v>
      </c>
      <c r="D11960" s="27" t="s">
        <v>6</v>
      </c>
      <c r="E11960" s="27" t="s">
        <v>14</v>
      </c>
      <c r="F11960" s="29"/>
      <c r="G11960" s="30">
        <v>561.68141286032039</v>
      </c>
    </row>
    <row r="11961" spans="1:7" hidden="1" x14ac:dyDescent="0.25">
      <c r="A11961" s="28">
        <v>44562</v>
      </c>
      <c r="B11961" s="27" t="s">
        <v>26</v>
      </c>
      <c r="C11961" s="27" t="s">
        <v>50</v>
      </c>
      <c r="D11961" s="27" t="s">
        <v>6</v>
      </c>
      <c r="E11961" s="27" t="s">
        <v>15</v>
      </c>
      <c r="F11961" s="29"/>
      <c r="G11961" s="30">
        <v>1903.4886846016955</v>
      </c>
    </row>
    <row r="11962" spans="1:7" hidden="1" x14ac:dyDescent="0.25">
      <c r="A11962" s="28">
        <v>44562</v>
      </c>
      <c r="B11962" s="27" t="s">
        <v>26</v>
      </c>
      <c r="C11962" s="27" t="s">
        <v>50</v>
      </c>
      <c r="D11962" s="27" t="s">
        <v>6</v>
      </c>
      <c r="E11962" s="27" t="s">
        <v>16</v>
      </c>
      <c r="F11962" s="29"/>
      <c r="G11962" s="30">
        <v>2154.0949651718715</v>
      </c>
    </row>
    <row r="11963" spans="1:7" hidden="1" x14ac:dyDescent="0.25">
      <c r="A11963" s="28">
        <v>44562</v>
      </c>
      <c r="B11963" s="27" t="s">
        <v>26</v>
      </c>
      <c r="C11963" s="27" t="s">
        <v>50</v>
      </c>
      <c r="D11963" s="27" t="s">
        <v>6</v>
      </c>
      <c r="E11963" s="27" t="s">
        <v>17</v>
      </c>
      <c r="F11963" s="29"/>
      <c r="G11963" s="30">
        <v>3135.6350321011482</v>
      </c>
    </row>
    <row r="11964" spans="1:7" hidden="1" x14ac:dyDescent="0.25">
      <c r="A11964" s="28">
        <v>44562</v>
      </c>
      <c r="B11964" s="27" t="s">
        <v>26</v>
      </c>
      <c r="C11964" s="27" t="s">
        <v>50</v>
      </c>
      <c r="D11964" s="27" t="s">
        <v>6</v>
      </c>
      <c r="E11964" s="27" t="s">
        <v>18</v>
      </c>
      <c r="F11964" s="29"/>
      <c r="G11964" s="30">
        <v>1603.690331509566</v>
      </c>
    </row>
    <row r="11965" spans="1:7" hidden="1" x14ac:dyDescent="0.25">
      <c r="A11965" s="28">
        <v>44562</v>
      </c>
      <c r="B11965" s="27" t="s">
        <v>26</v>
      </c>
      <c r="C11965" s="27" t="s">
        <v>50</v>
      </c>
      <c r="D11965" s="27" t="s">
        <v>6</v>
      </c>
      <c r="E11965" s="27" t="s">
        <v>19</v>
      </c>
      <c r="F11965" s="29"/>
      <c r="G11965" s="30">
        <v>2421.1417541901737</v>
      </c>
    </row>
    <row r="11966" spans="1:7" hidden="1" x14ac:dyDescent="0.25">
      <c r="A11966" s="28">
        <v>44562</v>
      </c>
      <c r="B11966" s="27" t="s">
        <v>26</v>
      </c>
      <c r="C11966" s="27" t="s">
        <v>50</v>
      </c>
      <c r="D11966" s="27" t="s">
        <v>6</v>
      </c>
      <c r="E11966" s="27" t="s">
        <v>20</v>
      </c>
      <c r="F11966" s="29"/>
      <c r="G11966" s="30">
        <v>1946.4814052941281</v>
      </c>
    </row>
    <row r="11967" spans="1:7" hidden="1" x14ac:dyDescent="0.25">
      <c r="A11967" s="28">
        <v>44562</v>
      </c>
      <c r="B11967" s="27" t="s">
        <v>26</v>
      </c>
      <c r="C11967" s="27" t="s">
        <v>50</v>
      </c>
      <c r="D11967" s="27" t="s">
        <v>6</v>
      </c>
      <c r="E11967" s="27" t="s">
        <v>38</v>
      </c>
      <c r="F11967" s="29"/>
      <c r="G11967" s="30">
        <v>760.63601728244464</v>
      </c>
    </row>
    <row r="11968" spans="1:7" hidden="1" x14ac:dyDescent="0.25">
      <c r="A11968" s="28">
        <v>44562</v>
      </c>
      <c r="B11968" s="27" t="s">
        <v>26</v>
      </c>
      <c r="C11968" s="27" t="s">
        <v>50</v>
      </c>
      <c r="D11968" s="27" t="s">
        <v>6</v>
      </c>
      <c r="E11968" s="27" t="s">
        <v>23</v>
      </c>
      <c r="F11968" s="29"/>
      <c r="G11968" s="30">
        <v>2589.0564485238838</v>
      </c>
    </row>
    <row r="11969" spans="1:7" hidden="1" x14ac:dyDescent="0.25">
      <c r="A11969" s="28">
        <v>44562</v>
      </c>
      <c r="B11969" s="27" t="s">
        <v>26</v>
      </c>
      <c r="C11969" s="27" t="s">
        <v>50</v>
      </c>
      <c r="D11969" s="27" t="s">
        <v>6</v>
      </c>
      <c r="E11969" s="27" t="s">
        <v>40</v>
      </c>
      <c r="F11969" s="29"/>
      <c r="G11969" s="30">
        <v>834.25152230214019</v>
      </c>
    </row>
    <row r="11970" spans="1:7" hidden="1" x14ac:dyDescent="0.25">
      <c r="A11970" s="28">
        <v>44562</v>
      </c>
      <c r="B11970" s="27" t="s">
        <v>26</v>
      </c>
      <c r="C11970" s="27" t="s">
        <v>50</v>
      </c>
      <c r="D11970" s="27" t="s">
        <v>6</v>
      </c>
      <c r="E11970" s="27" t="s">
        <v>42</v>
      </c>
      <c r="F11970" s="29"/>
      <c r="G11970" s="30">
        <v>770.09371289428304</v>
      </c>
    </row>
    <row r="11971" spans="1:7" hidden="1" x14ac:dyDescent="0.25">
      <c r="A11971" s="28">
        <v>44562</v>
      </c>
      <c r="B11971" s="27" t="s">
        <v>26</v>
      </c>
      <c r="C11971" s="27" t="s">
        <v>50</v>
      </c>
      <c r="D11971" s="27" t="s">
        <v>6</v>
      </c>
      <c r="E11971" s="27" t="s">
        <v>43</v>
      </c>
      <c r="F11971" s="29"/>
      <c r="G11971" s="30">
        <v>715.10130483040575</v>
      </c>
    </row>
    <row r="11972" spans="1:7" hidden="1" x14ac:dyDescent="0.25">
      <c r="A11972" s="28">
        <v>44562</v>
      </c>
      <c r="B11972" s="27" t="s">
        <v>26</v>
      </c>
      <c r="C11972" s="27" t="s">
        <v>50</v>
      </c>
      <c r="D11972" s="27" t="s">
        <v>6</v>
      </c>
      <c r="E11972" s="27" t="s">
        <v>72</v>
      </c>
      <c r="F11972" s="29"/>
      <c r="G11972" s="30">
        <v>667.44121784171193</v>
      </c>
    </row>
    <row r="11973" spans="1:7" hidden="1" x14ac:dyDescent="0.25">
      <c r="A11973" s="28">
        <v>44562</v>
      </c>
      <c r="B11973" s="27" t="s">
        <v>26</v>
      </c>
      <c r="C11973" s="27" t="s">
        <v>50</v>
      </c>
      <c r="D11973" s="27" t="s">
        <v>6</v>
      </c>
      <c r="E11973" s="27" t="s">
        <v>206</v>
      </c>
      <c r="F11973" s="29"/>
      <c r="G11973" s="30">
        <v>625.73864172660501</v>
      </c>
    </row>
    <row r="11974" spans="1:7" hidden="1" x14ac:dyDescent="0.25">
      <c r="A11974" s="28">
        <v>44562</v>
      </c>
      <c r="B11974" s="27" t="s">
        <v>26</v>
      </c>
      <c r="C11974" s="27" t="s">
        <v>50</v>
      </c>
      <c r="D11974" s="27" t="s">
        <v>6</v>
      </c>
      <c r="E11974" s="27" t="s">
        <v>67</v>
      </c>
      <c r="F11974" s="29"/>
      <c r="G11974" s="30">
        <v>588.94225103680481</v>
      </c>
    </row>
    <row r="11975" spans="1:7" hidden="1" x14ac:dyDescent="0.25">
      <c r="A11975" s="28">
        <v>44562</v>
      </c>
      <c r="B11975" s="27" t="s">
        <v>26</v>
      </c>
      <c r="C11975" s="27" t="s">
        <v>50</v>
      </c>
      <c r="D11975" s="27" t="s">
        <v>6</v>
      </c>
      <c r="E11975" s="27" t="s">
        <v>68</v>
      </c>
      <c r="F11975" s="29"/>
      <c r="G11975" s="30">
        <v>556.23434820142666</v>
      </c>
    </row>
    <row r="11976" spans="1:7" hidden="1" x14ac:dyDescent="0.25">
      <c r="A11976" s="28">
        <v>44562</v>
      </c>
      <c r="B11976" s="27" t="s">
        <v>26</v>
      </c>
      <c r="C11976" s="27" t="s">
        <v>50</v>
      </c>
      <c r="D11976" s="27" t="s">
        <v>6</v>
      </c>
      <c r="E11976" s="27" t="s">
        <v>74</v>
      </c>
      <c r="F11976" s="29"/>
      <c r="G11976" s="30">
        <v>1778.7894736842106</v>
      </c>
    </row>
    <row r="11977" spans="1:7" hidden="1" x14ac:dyDescent="0.25">
      <c r="A11977" s="28">
        <v>44562</v>
      </c>
      <c r="B11977" s="27" t="s">
        <v>26</v>
      </c>
      <c r="C11977" s="27" t="s">
        <v>50</v>
      </c>
      <c r="D11977" s="27" t="s">
        <v>6</v>
      </c>
      <c r="E11977" s="27" t="s">
        <v>37</v>
      </c>
      <c r="F11977" s="29"/>
      <c r="G11977" s="30">
        <v>791.10058149340887</v>
      </c>
    </row>
    <row r="11978" spans="1:7" hidden="1" x14ac:dyDescent="0.25">
      <c r="A11978" s="28">
        <v>44562</v>
      </c>
      <c r="B11978" s="27" t="s">
        <v>3</v>
      </c>
      <c r="C11978" s="27" t="s">
        <v>50</v>
      </c>
      <c r="D11978" s="27" t="s">
        <v>7</v>
      </c>
      <c r="E11978" s="27" t="s">
        <v>8</v>
      </c>
      <c r="F11978" s="29"/>
      <c r="G11978" s="30">
        <v>693.04639999999995</v>
      </c>
    </row>
    <row r="11979" spans="1:7" hidden="1" x14ac:dyDescent="0.25">
      <c r="A11979" s="28">
        <v>44562</v>
      </c>
      <c r="B11979" s="27" t="s">
        <v>3</v>
      </c>
      <c r="C11979" s="27" t="s">
        <v>50</v>
      </c>
      <c r="D11979" s="27" t="s">
        <v>7</v>
      </c>
      <c r="E11979" s="27" t="s">
        <v>9</v>
      </c>
      <c r="F11979" s="29"/>
      <c r="G11979" s="30">
        <v>693.04639999999995</v>
      </c>
    </row>
    <row r="11980" spans="1:7" hidden="1" x14ac:dyDescent="0.25">
      <c r="A11980" s="28">
        <v>44562</v>
      </c>
      <c r="B11980" s="27" t="s">
        <v>3</v>
      </c>
      <c r="C11980" s="27" t="s">
        <v>50</v>
      </c>
      <c r="D11980" s="27" t="s">
        <v>7</v>
      </c>
      <c r="E11980" s="27" t="s">
        <v>22</v>
      </c>
      <c r="F11980" s="29"/>
      <c r="G11980" s="30">
        <v>693.04639999999995</v>
      </c>
    </row>
    <row r="11981" spans="1:7" hidden="1" x14ac:dyDescent="0.25">
      <c r="A11981" s="28">
        <v>44562</v>
      </c>
      <c r="B11981" s="27" t="s">
        <v>3</v>
      </c>
      <c r="C11981" s="27" t="s">
        <v>50</v>
      </c>
      <c r="D11981" s="27" t="s">
        <v>7</v>
      </c>
      <c r="E11981" s="27" t="s">
        <v>39</v>
      </c>
      <c r="F11981" s="29"/>
      <c r="G11981" s="30">
        <v>693.04639999999995</v>
      </c>
    </row>
    <row r="11982" spans="1:7" hidden="1" x14ac:dyDescent="0.25">
      <c r="A11982" s="28">
        <v>44562</v>
      </c>
      <c r="B11982" s="27" t="s">
        <v>3</v>
      </c>
      <c r="C11982" s="27" t="s">
        <v>50</v>
      </c>
      <c r="D11982" s="27" t="s">
        <v>7</v>
      </c>
      <c r="E11982" s="27" t="s">
        <v>64</v>
      </c>
      <c r="F11982" s="29"/>
      <c r="G11982" s="30">
        <v>693.04639999999995</v>
      </c>
    </row>
    <row r="11983" spans="1:7" hidden="1" x14ac:dyDescent="0.25">
      <c r="A11983" s="28">
        <v>44562</v>
      </c>
      <c r="B11983" s="27" t="s">
        <v>3</v>
      </c>
      <c r="C11983" s="27" t="s">
        <v>50</v>
      </c>
      <c r="D11983" s="27" t="s">
        <v>7</v>
      </c>
      <c r="E11983" s="27" t="s">
        <v>21</v>
      </c>
      <c r="F11983" s="29"/>
      <c r="G11983" s="30">
        <v>693.04639999999995</v>
      </c>
    </row>
    <row r="11984" spans="1:7" hidden="1" x14ac:dyDescent="0.25">
      <c r="A11984" s="28">
        <v>44562</v>
      </c>
      <c r="B11984" s="27" t="s">
        <v>3</v>
      </c>
      <c r="C11984" s="27" t="s">
        <v>50</v>
      </c>
      <c r="D11984" s="27" t="s">
        <v>7</v>
      </c>
      <c r="E11984" s="27" t="s">
        <v>41</v>
      </c>
      <c r="F11984" s="29"/>
      <c r="G11984" s="30">
        <v>693.04639999999995</v>
      </c>
    </row>
    <row r="11985" spans="1:7" hidden="1" x14ac:dyDescent="0.25">
      <c r="A11985" s="28">
        <v>44562</v>
      </c>
      <c r="B11985" s="27" t="s">
        <v>3</v>
      </c>
      <c r="C11985" s="27" t="s">
        <v>50</v>
      </c>
      <c r="D11985" s="27" t="s">
        <v>7</v>
      </c>
      <c r="E11985" s="27" t="s">
        <v>10</v>
      </c>
      <c r="F11985" s="29"/>
      <c r="G11985" s="30">
        <v>693.04639999999995</v>
      </c>
    </row>
    <row r="11986" spans="1:7" hidden="1" x14ac:dyDescent="0.25">
      <c r="A11986" s="28">
        <v>44562</v>
      </c>
      <c r="B11986" s="27" t="s">
        <v>3</v>
      </c>
      <c r="C11986" s="27" t="s">
        <v>50</v>
      </c>
      <c r="D11986" s="27" t="s">
        <v>7</v>
      </c>
      <c r="E11986" s="27" t="s">
        <v>11</v>
      </c>
      <c r="F11986" s="29"/>
      <c r="G11986" s="30">
        <v>693.04639999999995</v>
      </c>
    </row>
    <row r="11987" spans="1:7" hidden="1" x14ac:dyDescent="0.25">
      <c r="A11987" s="28">
        <v>44562</v>
      </c>
      <c r="B11987" s="27" t="s">
        <v>3</v>
      </c>
      <c r="C11987" s="27" t="s">
        <v>50</v>
      </c>
      <c r="D11987" s="27" t="s">
        <v>7</v>
      </c>
      <c r="E11987" s="27" t="s">
        <v>12</v>
      </c>
      <c r="F11987" s="29"/>
      <c r="G11987" s="30">
        <v>693.04639999999995</v>
      </c>
    </row>
    <row r="11988" spans="1:7" hidden="1" x14ac:dyDescent="0.25">
      <c r="A11988" s="28">
        <v>44562</v>
      </c>
      <c r="B11988" s="27" t="s">
        <v>3</v>
      </c>
      <c r="C11988" s="27" t="s">
        <v>50</v>
      </c>
      <c r="D11988" s="27" t="s">
        <v>7</v>
      </c>
      <c r="E11988" s="27" t="s">
        <v>13</v>
      </c>
      <c r="F11988" s="29"/>
      <c r="G11988" s="30">
        <v>693.04639999999995</v>
      </c>
    </row>
    <row r="11989" spans="1:7" hidden="1" x14ac:dyDescent="0.25">
      <c r="A11989" s="28">
        <v>44562</v>
      </c>
      <c r="B11989" s="27" t="s">
        <v>3</v>
      </c>
      <c r="C11989" s="27" t="s">
        <v>50</v>
      </c>
      <c r="D11989" s="27" t="s">
        <v>7</v>
      </c>
      <c r="E11989" s="27" t="s">
        <v>14</v>
      </c>
      <c r="F11989" s="29"/>
      <c r="G11989" s="30">
        <v>693.04639999999995</v>
      </c>
    </row>
    <row r="11990" spans="1:7" hidden="1" x14ac:dyDescent="0.25">
      <c r="A11990" s="28">
        <v>44562</v>
      </c>
      <c r="B11990" s="27" t="s">
        <v>3</v>
      </c>
      <c r="C11990" s="27" t="s">
        <v>50</v>
      </c>
      <c r="D11990" s="27" t="s">
        <v>7</v>
      </c>
      <c r="E11990" s="27" t="s">
        <v>15</v>
      </c>
      <c r="F11990" s="29"/>
      <c r="G11990" s="30">
        <v>693.04639999999995</v>
      </c>
    </row>
    <row r="11991" spans="1:7" hidden="1" x14ac:dyDescent="0.25">
      <c r="A11991" s="28">
        <v>44562</v>
      </c>
      <c r="B11991" s="27" t="s">
        <v>3</v>
      </c>
      <c r="C11991" s="27" t="s">
        <v>50</v>
      </c>
      <c r="D11991" s="27" t="s">
        <v>7</v>
      </c>
      <c r="E11991" s="27" t="s">
        <v>16</v>
      </c>
      <c r="F11991" s="29"/>
      <c r="G11991" s="30">
        <v>693.04639999999995</v>
      </c>
    </row>
    <row r="11992" spans="1:7" hidden="1" x14ac:dyDescent="0.25">
      <c r="A11992" s="28">
        <v>44562</v>
      </c>
      <c r="B11992" s="27" t="s">
        <v>3</v>
      </c>
      <c r="C11992" s="27" t="s">
        <v>50</v>
      </c>
      <c r="D11992" s="27" t="s">
        <v>7</v>
      </c>
      <c r="E11992" s="27" t="s">
        <v>17</v>
      </c>
      <c r="F11992" s="29"/>
      <c r="G11992" s="30">
        <v>693.04639999999995</v>
      </c>
    </row>
    <row r="11993" spans="1:7" hidden="1" x14ac:dyDescent="0.25">
      <c r="A11993" s="28">
        <v>44562</v>
      </c>
      <c r="B11993" s="27" t="s">
        <v>3</v>
      </c>
      <c r="C11993" s="27" t="s">
        <v>50</v>
      </c>
      <c r="D11993" s="27" t="s">
        <v>7</v>
      </c>
      <c r="E11993" s="27" t="s">
        <v>18</v>
      </c>
      <c r="F11993" s="29"/>
      <c r="G11993" s="30">
        <v>693.04639999999995</v>
      </c>
    </row>
    <row r="11994" spans="1:7" hidden="1" x14ac:dyDescent="0.25">
      <c r="A11994" s="28">
        <v>44562</v>
      </c>
      <c r="B11994" s="27" t="s">
        <v>3</v>
      </c>
      <c r="C11994" s="27" t="s">
        <v>50</v>
      </c>
      <c r="D11994" s="27" t="s">
        <v>7</v>
      </c>
      <c r="E11994" s="27" t="s">
        <v>19</v>
      </c>
      <c r="F11994" s="29"/>
      <c r="G11994" s="30">
        <v>693.04639999999995</v>
      </c>
    </row>
    <row r="11995" spans="1:7" hidden="1" x14ac:dyDescent="0.25">
      <c r="A11995" s="28">
        <v>44562</v>
      </c>
      <c r="B11995" s="27" t="s">
        <v>3</v>
      </c>
      <c r="C11995" s="27" t="s">
        <v>50</v>
      </c>
      <c r="D11995" s="27" t="s">
        <v>7</v>
      </c>
      <c r="E11995" s="27" t="s">
        <v>20</v>
      </c>
      <c r="F11995" s="29"/>
      <c r="G11995" s="30">
        <v>693.04639999999995</v>
      </c>
    </row>
    <row r="11996" spans="1:7" hidden="1" x14ac:dyDescent="0.25">
      <c r="A11996" s="28">
        <v>44562</v>
      </c>
      <c r="B11996" s="27" t="s">
        <v>3</v>
      </c>
      <c r="C11996" s="27" t="s">
        <v>50</v>
      </c>
      <c r="D11996" s="27" t="s">
        <v>7</v>
      </c>
      <c r="E11996" s="27" t="s">
        <v>38</v>
      </c>
      <c r="F11996" s="29"/>
      <c r="G11996" s="30">
        <v>693.04639999999995</v>
      </c>
    </row>
    <row r="11997" spans="1:7" hidden="1" x14ac:dyDescent="0.25">
      <c r="A11997" s="28">
        <v>44562</v>
      </c>
      <c r="B11997" s="27" t="s">
        <v>3</v>
      </c>
      <c r="C11997" s="27" t="s">
        <v>50</v>
      </c>
      <c r="D11997" s="27" t="s">
        <v>7</v>
      </c>
      <c r="E11997" s="27" t="s">
        <v>23</v>
      </c>
      <c r="F11997" s="29"/>
      <c r="G11997" s="30">
        <v>693.04639999999995</v>
      </c>
    </row>
    <row r="11998" spans="1:7" hidden="1" x14ac:dyDescent="0.25">
      <c r="A11998" s="28">
        <v>44562</v>
      </c>
      <c r="B11998" s="27" t="s">
        <v>3</v>
      </c>
      <c r="C11998" s="27" t="s">
        <v>50</v>
      </c>
      <c r="D11998" s="27" t="s">
        <v>7</v>
      </c>
      <c r="E11998" s="27" t="s">
        <v>40</v>
      </c>
      <c r="F11998" s="29"/>
      <c r="G11998" s="30">
        <v>693.04639999999995</v>
      </c>
    </row>
    <row r="11999" spans="1:7" hidden="1" x14ac:dyDescent="0.25">
      <c r="A11999" s="28">
        <v>44562</v>
      </c>
      <c r="B11999" s="27" t="s">
        <v>3</v>
      </c>
      <c r="C11999" s="27" t="s">
        <v>50</v>
      </c>
      <c r="D11999" s="27" t="s">
        <v>7</v>
      </c>
      <c r="E11999" s="27" t="s">
        <v>42</v>
      </c>
      <c r="F11999" s="29"/>
      <c r="G11999" s="30">
        <v>693.04639999999995</v>
      </c>
    </row>
    <row r="12000" spans="1:7" hidden="1" x14ac:dyDescent="0.25">
      <c r="A12000" s="28">
        <v>44562</v>
      </c>
      <c r="B12000" s="27" t="s">
        <v>3</v>
      </c>
      <c r="C12000" s="27" t="s">
        <v>50</v>
      </c>
      <c r="D12000" s="27" t="s">
        <v>7</v>
      </c>
      <c r="E12000" s="27" t="s">
        <v>43</v>
      </c>
      <c r="F12000" s="29"/>
      <c r="G12000" s="30">
        <v>693.04639999999995</v>
      </c>
    </row>
    <row r="12001" spans="1:7" hidden="1" x14ac:dyDescent="0.25">
      <c r="A12001" s="28">
        <v>44562</v>
      </c>
      <c r="B12001" s="27" t="s">
        <v>3</v>
      </c>
      <c r="C12001" s="27" t="s">
        <v>50</v>
      </c>
      <c r="D12001" s="27" t="s">
        <v>7</v>
      </c>
      <c r="E12001" s="27" t="s">
        <v>72</v>
      </c>
      <c r="F12001" s="29"/>
      <c r="G12001" s="30">
        <v>693.04639999999995</v>
      </c>
    </row>
    <row r="12002" spans="1:7" hidden="1" x14ac:dyDescent="0.25">
      <c r="A12002" s="28">
        <v>44562</v>
      </c>
      <c r="B12002" s="27" t="s">
        <v>3</v>
      </c>
      <c r="C12002" s="27" t="s">
        <v>50</v>
      </c>
      <c r="D12002" s="27" t="s">
        <v>7</v>
      </c>
      <c r="E12002" s="27" t="s">
        <v>206</v>
      </c>
      <c r="F12002" s="29"/>
      <c r="G12002" s="30">
        <v>693.04639999999995</v>
      </c>
    </row>
    <row r="12003" spans="1:7" hidden="1" x14ac:dyDescent="0.25">
      <c r="A12003" s="28">
        <v>44562</v>
      </c>
      <c r="B12003" s="27" t="s">
        <v>32</v>
      </c>
      <c r="C12003" s="27" t="s">
        <v>50</v>
      </c>
      <c r="D12003" s="27" t="s">
        <v>7</v>
      </c>
      <c r="E12003" s="27" t="s">
        <v>17</v>
      </c>
      <c r="F12003" s="29"/>
      <c r="G12003" s="30">
        <v>75</v>
      </c>
    </row>
    <row r="12004" spans="1:7" hidden="1" x14ac:dyDescent="0.25">
      <c r="A12004" s="28">
        <v>44562</v>
      </c>
      <c r="B12004" s="27" t="s">
        <v>5</v>
      </c>
      <c r="C12004" s="27" t="s">
        <v>51</v>
      </c>
      <c r="D12004" s="27" t="s">
        <v>51</v>
      </c>
      <c r="E12004" s="27" t="s">
        <v>8</v>
      </c>
      <c r="F12004" s="29">
        <v>2870</v>
      </c>
      <c r="G12004" s="30">
        <v>5.0174373312160157</v>
      </c>
    </row>
    <row r="12005" spans="1:7" hidden="1" x14ac:dyDescent="0.25">
      <c r="A12005" s="28">
        <v>44562</v>
      </c>
      <c r="B12005" s="27" t="s">
        <v>5</v>
      </c>
      <c r="C12005" s="27" t="s">
        <v>51</v>
      </c>
      <c r="D12005" s="27" t="s">
        <v>51</v>
      </c>
      <c r="E12005" s="27" t="s">
        <v>9</v>
      </c>
      <c r="F12005" s="29">
        <v>2522</v>
      </c>
      <c r="G12005" s="30">
        <v>3.966332221087431</v>
      </c>
    </row>
    <row r="12006" spans="1:7" hidden="1" x14ac:dyDescent="0.25">
      <c r="A12006" s="28">
        <v>44562</v>
      </c>
      <c r="B12006" s="27" t="s">
        <v>5</v>
      </c>
      <c r="C12006" s="27" t="s">
        <v>51</v>
      </c>
      <c r="D12006" s="27" t="s">
        <v>51</v>
      </c>
      <c r="E12006" s="27" t="s">
        <v>22</v>
      </c>
      <c r="F12006" s="29">
        <v>4255</v>
      </c>
      <c r="G12006" s="30">
        <v>2.5395209113513517</v>
      </c>
    </row>
    <row r="12007" spans="1:7" hidden="1" x14ac:dyDescent="0.25">
      <c r="A12007" s="28">
        <v>44562</v>
      </c>
      <c r="B12007" s="27" t="s">
        <v>5</v>
      </c>
      <c r="C12007" s="27" t="s">
        <v>51</v>
      </c>
      <c r="D12007" s="27" t="s">
        <v>51</v>
      </c>
      <c r="E12007" s="27" t="s">
        <v>39</v>
      </c>
      <c r="F12007" s="29">
        <v>1216</v>
      </c>
      <c r="G12007" s="30">
        <v>9.2409726274565838</v>
      </c>
    </row>
    <row r="12008" spans="1:7" hidden="1" x14ac:dyDescent="0.25">
      <c r="A12008" s="28">
        <v>44562</v>
      </c>
      <c r="B12008" s="27" t="s">
        <v>5</v>
      </c>
      <c r="C12008" s="27" t="s">
        <v>51</v>
      </c>
      <c r="D12008" s="27" t="s">
        <v>51</v>
      </c>
      <c r="E12008" s="27" t="s">
        <v>64</v>
      </c>
      <c r="F12008" s="29">
        <v>4696</v>
      </c>
      <c r="G12008" s="30">
        <v>2.7022899262508879</v>
      </c>
    </row>
    <row r="12009" spans="1:7" hidden="1" x14ac:dyDescent="0.25">
      <c r="A12009" s="28">
        <v>44562</v>
      </c>
      <c r="B12009" s="27" t="s">
        <v>5</v>
      </c>
      <c r="C12009" s="27" t="s">
        <v>51</v>
      </c>
      <c r="D12009" s="27" t="s">
        <v>51</v>
      </c>
      <c r="E12009" s="27" t="s">
        <v>21</v>
      </c>
      <c r="F12009" s="29">
        <v>6129</v>
      </c>
      <c r="G12009" s="30">
        <v>1.7109395113224395</v>
      </c>
    </row>
    <row r="12010" spans="1:7" hidden="1" x14ac:dyDescent="0.25">
      <c r="A12010" s="28">
        <v>44562</v>
      </c>
      <c r="B12010" s="27" t="s">
        <v>5</v>
      </c>
      <c r="C12010" s="27" t="s">
        <v>51</v>
      </c>
      <c r="D12010" s="27" t="s">
        <v>51</v>
      </c>
      <c r="E12010" s="27" t="s">
        <v>41</v>
      </c>
      <c r="F12010" s="29">
        <v>4309</v>
      </c>
      <c r="G12010" s="30">
        <v>3.0789138502297524</v>
      </c>
    </row>
    <row r="12011" spans="1:7" hidden="1" x14ac:dyDescent="0.25">
      <c r="A12011" s="28">
        <v>44562</v>
      </c>
      <c r="B12011" s="27" t="s">
        <v>5</v>
      </c>
      <c r="C12011" s="27" t="s">
        <v>51</v>
      </c>
      <c r="D12011" s="27" t="s">
        <v>51</v>
      </c>
      <c r="E12011" s="27" t="s">
        <v>10</v>
      </c>
      <c r="F12011" s="29">
        <v>2981</v>
      </c>
      <c r="G12011" s="30">
        <v>3.8773999572367988</v>
      </c>
    </row>
    <row r="12012" spans="1:7" hidden="1" x14ac:dyDescent="0.25">
      <c r="A12012" s="28">
        <v>44562</v>
      </c>
      <c r="B12012" s="27" t="s">
        <v>5</v>
      </c>
      <c r="C12012" s="27" t="s">
        <v>51</v>
      </c>
      <c r="D12012" s="27" t="s">
        <v>51</v>
      </c>
      <c r="E12012" s="27" t="s">
        <v>11</v>
      </c>
      <c r="F12012" s="29">
        <v>2956</v>
      </c>
      <c r="G12012" s="30">
        <v>3.5551247705998286</v>
      </c>
    </row>
    <row r="12013" spans="1:7" hidden="1" x14ac:dyDescent="0.25">
      <c r="A12013" s="28">
        <v>44562</v>
      </c>
      <c r="B12013" s="27" t="s">
        <v>5</v>
      </c>
      <c r="C12013" s="27" t="s">
        <v>51</v>
      </c>
      <c r="D12013" s="27" t="s">
        <v>51</v>
      </c>
      <c r="E12013" s="27" t="s">
        <v>12</v>
      </c>
      <c r="F12013" s="29">
        <v>2208</v>
      </c>
      <c r="G12013" s="30">
        <v>4.857941740878374</v>
      </c>
    </row>
    <row r="12014" spans="1:7" hidden="1" x14ac:dyDescent="0.25">
      <c r="A12014" s="28">
        <v>44562</v>
      </c>
      <c r="B12014" s="27" t="s">
        <v>5</v>
      </c>
      <c r="C12014" s="27" t="s">
        <v>51</v>
      </c>
      <c r="D12014" s="27" t="s">
        <v>51</v>
      </c>
      <c r="E12014" s="27" t="s">
        <v>13</v>
      </c>
      <c r="F12014" s="29">
        <v>5011</v>
      </c>
      <c r="G12014" s="30">
        <v>3.0565070502472653</v>
      </c>
    </row>
    <row r="12015" spans="1:7" hidden="1" x14ac:dyDescent="0.25">
      <c r="A12015" s="28">
        <v>44562</v>
      </c>
      <c r="B12015" s="27" t="s">
        <v>5</v>
      </c>
      <c r="C12015" s="27" t="s">
        <v>51</v>
      </c>
      <c r="D12015" s="27" t="s">
        <v>51</v>
      </c>
      <c r="E12015" s="27" t="s">
        <v>14</v>
      </c>
      <c r="F12015" s="29">
        <v>5109</v>
      </c>
      <c r="G12015" s="30">
        <v>1.8776007071560621</v>
      </c>
    </row>
    <row r="12016" spans="1:7" hidden="1" x14ac:dyDescent="0.25">
      <c r="A12016" s="28">
        <v>44562</v>
      </c>
      <c r="B12016" s="27" t="s">
        <v>5</v>
      </c>
      <c r="C12016" s="27" t="s">
        <v>51</v>
      </c>
      <c r="D12016" s="27" t="s">
        <v>51</v>
      </c>
      <c r="E12016" s="27" t="s">
        <v>15</v>
      </c>
      <c r="F12016" s="29">
        <v>5496</v>
      </c>
      <c r="G12016" s="30">
        <v>1.9744898989449955</v>
      </c>
    </row>
    <row r="12017" spans="1:7" hidden="1" x14ac:dyDescent="0.25">
      <c r="A12017" s="28">
        <v>44562</v>
      </c>
      <c r="B12017" s="27" t="s">
        <v>5</v>
      </c>
      <c r="C12017" s="27" t="s">
        <v>51</v>
      </c>
      <c r="D12017" s="27" t="s">
        <v>51</v>
      </c>
      <c r="E12017" s="27" t="s">
        <v>16</v>
      </c>
      <c r="F12017" s="29">
        <v>1504</v>
      </c>
      <c r="G12017" s="30">
        <v>7.8718568917366145</v>
      </c>
    </row>
    <row r="12018" spans="1:7" hidden="1" x14ac:dyDescent="0.25">
      <c r="A12018" s="28">
        <v>44562</v>
      </c>
      <c r="B12018" s="27" t="s">
        <v>5</v>
      </c>
      <c r="C12018" s="27" t="s">
        <v>51</v>
      </c>
      <c r="D12018" s="27" t="s">
        <v>51</v>
      </c>
      <c r="E12018" s="27" t="s">
        <v>17</v>
      </c>
      <c r="F12018" s="29">
        <v>3762</v>
      </c>
      <c r="G12018" s="30">
        <v>3.2543445356272969</v>
      </c>
    </row>
    <row r="12019" spans="1:7" hidden="1" x14ac:dyDescent="0.25">
      <c r="A12019" s="28">
        <v>44562</v>
      </c>
      <c r="B12019" s="27" t="s">
        <v>5</v>
      </c>
      <c r="C12019" s="27" t="s">
        <v>51</v>
      </c>
      <c r="D12019" s="27" t="s">
        <v>51</v>
      </c>
      <c r="E12019" s="27" t="s">
        <v>18</v>
      </c>
      <c r="F12019" s="29">
        <v>4846</v>
      </c>
      <c r="G12019" s="30">
        <v>2.1971065067085358</v>
      </c>
    </row>
    <row r="12020" spans="1:7" hidden="1" x14ac:dyDescent="0.25">
      <c r="A12020" s="28">
        <v>44562</v>
      </c>
      <c r="B12020" s="27" t="s">
        <v>5</v>
      </c>
      <c r="C12020" s="27" t="s">
        <v>51</v>
      </c>
      <c r="D12020" s="27" t="s">
        <v>51</v>
      </c>
      <c r="E12020" s="27" t="s">
        <v>19</v>
      </c>
      <c r="F12020" s="29">
        <v>6038</v>
      </c>
      <c r="G12020" s="30">
        <v>1.935707113976511</v>
      </c>
    </row>
    <row r="12021" spans="1:7" hidden="1" x14ac:dyDescent="0.25">
      <c r="A12021" s="28">
        <v>44562</v>
      </c>
      <c r="B12021" s="27" t="s">
        <v>5</v>
      </c>
      <c r="C12021" s="27" t="s">
        <v>51</v>
      </c>
      <c r="D12021" s="27" t="s">
        <v>51</v>
      </c>
      <c r="E12021" s="27" t="s">
        <v>20</v>
      </c>
      <c r="F12021" s="29">
        <v>7077</v>
      </c>
      <c r="G12021" s="30">
        <v>1.4931142016806735</v>
      </c>
    </row>
    <row r="12022" spans="1:7" hidden="1" x14ac:dyDescent="0.25">
      <c r="A12022" s="28">
        <v>44562</v>
      </c>
      <c r="B12022" s="27" t="s">
        <v>5</v>
      </c>
      <c r="C12022" s="27" t="s">
        <v>51</v>
      </c>
      <c r="D12022" s="27" t="s">
        <v>51</v>
      </c>
      <c r="E12022" s="27" t="s">
        <v>23</v>
      </c>
      <c r="F12022" s="29">
        <v>3875</v>
      </c>
      <c r="G12022" s="30">
        <v>2.9392733544577765</v>
      </c>
    </row>
    <row r="12023" spans="1:7" hidden="1" x14ac:dyDescent="0.25">
      <c r="A12023" s="28">
        <v>44562</v>
      </c>
      <c r="B12023" s="27" t="s">
        <v>5</v>
      </c>
      <c r="C12023" s="27" t="s">
        <v>51</v>
      </c>
      <c r="D12023" s="27" t="s">
        <v>51</v>
      </c>
      <c r="E12023" s="27" t="s">
        <v>40</v>
      </c>
      <c r="F12023" s="29">
        <v>4025</v>
      </c>
      <c r="G12023" s="30">
        <v>2.2776644279011529</v>
      </c>
    </row>
    <row r="12024" spans="1:7" hidden="1" x14ac:dyDescent="0.25">
      <c r="A12024" s="28">
        <v>44562</v>
      </c>
      <c r="B12024" s="27" t="s">
        <v>5</v>
      </c>
      <c r="C12024" s="27" t="s">
        <v>51</v>
      </c>
      <c r="D12024" s="27" t="s">
        <v>51</v>
      </c>
      <c r="E12024" s="27" t="s">
        <v>42</v>
      </c>
      <c r="F12024" s="29">
        <v>2471</v>
      </c>
      <c r="G12024" s="30">
        <v>6.1874227085772073</v>
      </c>
    </row>
    <row r="12025" spans="1:7" hidden="1" x14ac:dyDescent="0.25">
      <c r="A12025" s="28">
        <v>44562</v>
      </c>
      <c r="B12025" s="27" t="s">
        <v>5</v>
      </c>
      <c r="C12025" s="27" t="s">
        <v>51</v>
      </c>
      <c r="D12025" s="27" t="s">
        <v>51</v>
      </c>
      <c r="E12025" s="27" t="s">
        <v>43</v>
      </c>
      <c r="F12025" s="29">
        <v>3635</v>
      </c>
      <c r="G12025" s="30">
        <v>2.4378732062807167</v>
      </c>
    </row>
    <row r="12026" spans="1:7" hidden="1" x14ac:dyDescent="0.25">
      <c r="A12026" s="28">
        <v>44562</v>
      </c>
      <c r="B12026" s="27" t="s">
        <v>5</v>
      </c>
      <c r="C12026" s="27" t="s">
        <v>51</v>
      </c>
      <c r="D12026" s="27" t="s">
        <v>51</v>
      </c>
      <c r="E12026" s="27" t="s">
        <v>72</v>
      </c>
      <c r="F12026" s="29">
        <v>4698</v>
      </c>
      <c r="G12026" s="30">
        <v>2.0807022175056855</v>
      </c>
    </row>
    <row r="12027" spans="1:7" hidden="1" x14ac:dyDescent="0.25">
      <c r="A12027" s="28">
        <v>44562</v>
      </c>
      <c r="B12027" s="27" t="s">
        <v>180</v>
      </c>
      <c r="C12027" s="27" t="s">
        <v>50</v>
      </c>
      <c r="D12027" s="27" t="s">
        <v>7</v>
      </c>
      <c r="E12027" s="27" t="s">
        <v>8</v>
      </c>
      <c r="F12027" s="29"/>
      <c r="G12027" s="30">
        <v>502</v>
      </c>
    </row>
    <row r="12028" spans="1:7" hidden="1" x14ac:dyDescent="0.25">
      <c r="A12028" s="28">
        <v>44562</v>
      </c>
      <c r="B12028" s="27" t="s">
        <v>180</v>
      </c>
      <c r="C12028" s="27" t="s">
        <v>50</v>
      </c>
      <c r="D12028" s="27" t="s">
        <v>7</v>
      </c>
      <c r="E12028" s="27" t="s">
        <v>9</v>
      </c>
      <c r="F12028" s="29"/>
      <c r="G12028" s="30">
        <v>120</v>
      </c>
    </row>
    <row r="12029" spans="1:7" hidden="1" x14ac:dyDescent="0.25">
      <c r="A12029" s="28">
        <v>44562</v>
      </c>
      <c r="B12029" s="27" t="s">
        <v>180</v>
      </c>
      <c r="C12029" s="27" t="s">
        <v>50</v>
      </c>
      <c r="D12029" s="27" t="s">
        <v>7</v>
      </c>
      <c r="E12029" s="27" t="s">
        <v>64</v>
      </c>
      <c r="F12029" s="29"/>
      <c r="G12029" s="30">
        <v>645</v>
      </c>
    </row>
    <row r="12030" spans="1:7" hidden="1" x14ac:dyDescent="0.25">
      <c r="A12030" s="28">
        <v>44562</v>
      </c>
      <c r="B12030" s="27" t="s">
        <v>180</v>
      </c>
      <c r="C12030" s="27" t="s">
        <v>50</v>
      </c>
      <c r="D12030" s="27" t="s">
        <v>7</v>
      </c>
      <c r="E12030" s="27" t="s">
        <v>21</v>
      </c>
      <c r="F12030" s="29"/>
      <c r="G12030" s="30">
        <v>214</v>
      </c>
    </row>
    <row r="12031" spans="1:7" hidden="1" x14ac:dyDescent="0.25">
      <c r="A12031" s="28">
        <v>44562</v>
      </c>
      <c r="B12031" s="27" t="s">
        <v>180</v>
      </c>
      <c r="C12031" s="27" t="s">
        <v>50</v>
      </c>
      <c r="D12031" s="27" t="s">
        <v>7</v>
      </c>
      <c r="E12031" s="27" t="s">
        <v>41</v>
      </c>
      <c r="F12031" s="29"/>
      <c r="G12031" s="30">
        <v>1553</v>
      </c>
    </row>
    <row r="12032" spans="1:7" hidden="1" x14ac:dyDescent="0.25">
      <c r="A12032" s="28">
        <v>44562</v>
      </c>
      <c r="B12032" s="27" t="s">
        <v>180</v>
      </c>
      <c r="C12032" s="27" t="s">
        <v>50</v>
      </c>
      <c r="D12032" s="27" t="s">
        <v>7</v>
      </c>
      <c r="E12032" s="27" t="s">
        <v>12</v>
      </c>
      <c r="F12032" s="29"/>
      <c r="G12032" s="30">
        <v>404</v>
      </c>
    </row>
    <row r="12033" spans="1:7" hidden="1" x14ac:dyDescent="0.25">
      <c r="A12033" s="28">
        <v>44562</v>
      </c>
      <c r="B12033" s="27" t="s">
        <v>180</v>
      </c>
      <c r="C12033" s="27" t="s">
        <v>50</v>
      </c>
      <c r="D12033" s="27" t="s">
        <v>7</v>
      </c>
      <c r="E12033" s="27" t="s">
        <v>13</v>
      </c>
      <c r="F12033" s="29"/>
      <c r="G12033" s="30">
        <v>4000</v>
      </c>
    </row>
    <row r="12034" spans="1:7" hidden="1" x14ac:dyDescent="0.25">
      <c r="A12034" s="28">
        <v>44562</v>
      </c>
      <c r="B12034" s="27" t="s">
        <v>180</v>
      </c>
      <c r="C12034" s="27" t="s">
        <v>50</v>
      </c>
      <c r="D12034" s="27" t="s">
        <v>7</v>
      </c>
      <c r="E12034" s="27" t="s">
        <v>14</v>
      </c>
      <c r="F12034" s="29"/>
      <c r="G12034" s="30">
        <v>17</v>
      </c>
    </row>
    <row r="12035" spans="1:7" hidden="1" x14ac:dyDescent="0.25">
      <c r="A12035" s="28">
        <v>44562</v>
      </c>
      <c r="B12035" s="27" t="s">
        <v>180</v>
      </c>
      <c r="C12035" s="27" t="s">
        <v>50</v>
      </c>
      <c r="D12035" s="27" t="s">
        <v>7</v>
      </c>
      <c r="E12035" s="27" t="s">
        <v>15</v>
      </c>
      <c r="F12035" s="29"/>
      <c r="G12035" s="30">
        <v>200</v>
      </c>
    </row>
    <row r="12036" spans="1:7" hidden="1" x14ac:dyDescent="0.25">
      <c r="A12036" s="28">
        <v>44562</v>
      </c>
      <c r="B12036" s="27" t="s">
        <v>180</v>
      </c>
      <c r="C12036" s="27" t="s">
        <v>50</v>
      </c>
      <c r="D12036" s="27" t="s">
        <v>7</v>
      </c>
      <c r="E12036" s="27" t="s">
        <v>16</v>
      </c>
      <c r="F12036" s="29"/>
      <c r="G12036" s="30">
        <v>1520</v>
      </c>
    </row>
    <row r="12037" spans="1:7" hidden="1" x14ac:dyDescent="0.25">
      <c r="A12037" s="28">
        <v>44562</v>
      </c>
      <c r="B12037" s="27" t="s">
        <v>180</v>
      </c>
      <c r="C12037" s="27" t="s">
        <v>50</v>
      </c>
      <c r="D12037" s="27" t="s">
        <v>7</v>
      </c>
      <c r="E12037" s="27" t="s">
        <v>42</v>
      </c>
      <c r="F12037" s="29"/>
      <c r="G12037" s="30">
        <v>2846.34</v>
      </c>
    </row>
    <row r="12038" spans="1:7" hidden="1" x14ac:dyDescent="0.25">
      <c r="A12038" s="28">
        <v>44562</v>
      </c>
      <c r="B12038" s="27" t="s">
        <v>180</v>
      </c>
      <c r="C12038" s="27" t="s">
        <v>50</v>
      </c>
      <c r="D12038" s="27" t="s">
        <v>7</v>
      </c>
      <c r="E12038" s="27" t="s">
        <v>206</v>
      </c>
      <c r="F12038" s="29"/>
      <c r="G12038" s="30">
        <v>624.25</v>
      </c>
    </row>
    <row r="12039" spans="1:7" hidden="1" x14ac:dyDescent="0.25">
      <c r="A12039" s="28">
        <v>44562</v>
      </c>
      <c r="B12039" s="27" t="s">
        <v>180</v>
      </c>
      <c r="C12039" s="27" t="s">
        <v>50</v>
      </c>
      <c r="D12039" s="27" t="s">
        <v>7</v>
      </c>
      <c r="E12039" s="27" t="s">
        <v>37</v>
      </c>
      <c r="F12039" s="29"/>
      <c r="G12039" s="30">
        <v>1215</v>
      </c>
    </row>
    <row r="12040" spans="1:7" hidden="1" x14ac:dyDescent="0.25">
      <c r="A12040" s="28">
        <v>44562</v>
      </c>
      <c r="B12040" s="27" t="s">
        <v>181</v>
      </c>
      <c r="C12040" s="27" t="s">
        <v>50</v>
      </c>
      <c r="D12040" s="27" t="s">
        <v>6</v>
      </c>
      <c r="E12040" s="27" t="s">
        <v>8</v>
      </c>
      <c r="F12040" s="29"/>
      <c r="G12040" s="30">
        <v>1150.08</v>
      </c>
    </row>
    <row r="12041" spans="1:7" hidden="1" x14ac:dyDescent="0.25">
      <c r="A12041" s="28">
        <v>44562</v>
      </c>
      <c r="B12041" s="27" t="s">
        <v>181</v>
      </c>
      <c r="C12041" s="27" t="s">
        <v>50</v>
      </c>
      <c r="D12041" s="27" t="s">
        <v>6</v>
      </c>
      <c r="E12041" s="27" t="s">
        <v>39</v>
      </c>
      <c r="F12041" s="29"/>
      <c r="G12041" s="30">
        <v>550</v>
      </c>
    </row>
    <row r="12042" spans="1:7" hidden="1" x14ac:dyDescent="0.25">
      <c r="A12042" s="28">
        <v>44562</v>
      </c>
      <c r="B12042" s="27" t="s">
        <v>181</v>
      </c>
      <c r="C12042" s="27" t="s">
        <v>50</v>
      </c>
      <c r="D12042" s="27" t="s">
        <v>6</v>
      </c>
      <c r="E12042" s="27" t="s">
        <v>64</v>
      </c>
      <c r="F12042" s="29"/>
      <c r="G12042" s="30">
        <v>220</v>
      </c>
    </row>
    <row r="12043" spans="1:7" hidden="1" x14ac:dyDescent="0.25">
      <c r="A12043" s="28">
        <v>44562</v>
      </c>
      <c r="B12043" s="27" t="s">
        <v>181</v>
      </c>
      <c r="C12043" s="27" t="s">
        <v>50</v>
      </c>
      <c r="D12043" s="27" t="s">
        <v>6</v>
      </c>
      <c r="E12043" s="27" t="s">
        <v>41</v>
      </c>
      <c r="F12043" s="29"/>
      <c r="G12043" s="30">
        <v>977</v>
      </c>
    </row>
    <row r="12044" spans="1:7" hidden="1" x14ac:dyDescent="0.25">
      <c r="A12044" s="28">
        <v>44562</v>
      </c>
      <c r="B12044" s="27" t="s">
        <v>181</v>
      </c>
      <c r="C12044" s="27" t="s">
        <v>50</v>
      </c>
      <c r="D12044" s="27" t="s">
        <v>6</v>
      </c>
      <c r="E12044" s="27" t="s">
        <v>10</v>
      </c>
      <c r="F12044" s="29"/>
      <c r="G12044" s="30">
        <v>420</v>
      </c>
    </row>
    <row r="12045" spans="1:7" hidden="1" x14ac:dyDescent="0.25">
      <c r="A12045" s="28">
        <v>44562</v>
      </c>
      <c r="B12045" s="27" t="s">
        <v>181</v>
      </c>
      <c r="C12045" s="27" t="s">
        <v>50</v>
      </c>
      <c r="D12045" s="27" t="s">
        <v>6</v>
      </c>
      <c r="E12045" s="27" t="s">
        <v>12</v>
      </c>
      <c r="F12045" s="29"/>
      <c r="G12045" s="30">
        <v>140</v>
      </c>
    </row>
    <row r="12046" spans="1:7" hidden="1" x14ac:dyDescent="0.25">
      <c r="A12046" s="28">
        <v>44562</v>
      </c>
      <c r="B12046" s="27" t="s">
        <v>181</v>
      </c>
      <c r="C12046" s="27" t="s">
        <v>50</v>
      </c>
      <c r="D12046" s="27" t="s">
        <v>6</v>
      </c>
      <c r="E12046" s="27" t="s">
        <v>14</v>
      </c>
      <c r="F12046" s="29"/>
      <c r="G12046" s="30">
        <v>60</v>
      </c>
    </row>
    <row r="12047" spans="1:7" hidden="1" x14ac:dyDescent="0.25">
      <c r="A12047" s="28">
        <v>44562</v>
      </c>
      <c r="B12047" s="27" t="s">
        <v>181</v>
      </c>
      <c r="C12047" s="27" t="s">
        <v>50</v>
      </c>
      <c r="D12047" s="27" t="s">
        <v>6</v>
      </c>
      <c r="E12047" s="27" t="s">
        <v>17</v>
      </c>
      <c r="F12047" s="29"/>
      <c r="G12047" s="30">
        <v>180</v>
      </c>
    </row>
    <row r="12048" spans="1:7" hidden="1" x14ac:dyDescent="0.25">
      <c r="A12048" s="28">
        <v>44562</v>
      </c>
      <c r="B12048" s="27" t="s">
        <v>181</v>
      </c>
      <c r="C12048" s="27" t="s">
        <v>50</v>
      </c>
      <c r="D12048" s="27" t="s">
        <v>6</v>
      </c>
      <c r="E12048" s="27" t="s">
        <v>18</v>
      </c>
      <c r="F12048" s="29"/>
      <c r="G12048" s="30">
        <v>992</v>
      </c>
    </row>
    <row r="12049" spans="1:7" hidden="1" x14ac:dyDescent="0.25">
      <c r="A12049" s="28">
        <v>44562</v>
      </c>
      <c r="B12049" s="27" t="s">
        <v>181</v>
      </c>
      <c r="C12049" s="27" t="s">
        <v>50</v>
      </c>
      <c r="D12049" s="27" t="s">
        <v>6</v>
      </c>
      <c r="E12049" s="27" t="s">
        <v>42</v>
      </c>
      <c r="F12049" s="29"/>
      <c r="G12049" s="30">
        <v>3306.44</v>
      </c>
    </row>
    <row r="12050" spans="1:7" hidden="1" x14ac:dyDescent="0.25">
      <c r="A12050" s="28">
        <v>44562</v>
      </c>
      <c r="B12050" s="27" t="s">
        <v>181</v>
      </c>
      <c r="C12050" s="27" t="s">
        <v>50</v>
      </c>
      <c r="D12050" s="27" t="s">
        <v>6</v>
      </c>
      <c r="E12050" s="27" t="s">
        <v>72</v>
      </c>
      <c r="F12050" s="29"/>
      <c r="G12050" s="30">
        <v>948.13</v>
      </c>
    </row>
    <row r="12051" spans="1:7" hidden="1" x14ac:dyDescent="0.25">
      <c r="A12051" s="28">
        <v>44562</v>
      </c>
      <c r="B12051" s="27" t="s">
        <v>181</v>
      </c>
      <c r="C12051" s="27" t="s">
        <v>50</v>
      </c>
      <c r="D12051" s="27" t="s">
        <v>6</v>
      </c>
      <c r="E12051" s="27" t="s">
        <v>206</v>
      </c>
      <c r="F12051" s="29"/>
      <c r="G12051" s="30">
        <v>4139.03</v>
      </c>
    </row>
    <row r="12052" spans="1:7" hidden="1" x14ac:dyDescent="0.25">
      <c r="A12052" s="28">
        <v>44562</v>
      </c>
      <c r="B12052" s="27" t="s">
        <v>181</v>
      </c>
      <c r="C12052" s="27" t="s">
        <v>50</v>
      </c>
      <c r="D12052" s="27" t="s">
        <v>6</v>
      </c>
      <c r="E12052" s="27" t="s">
        <v>37</v>
      </c>
      <c r="F12052" s="29"/>
      <c r="G12052" s="30">
        <v>4163.59</v>
      </c>
    </row>
    <row r="12053" spans="1:7" hidden="1" x14ac:dyDescent="0.25">
      <c r="A12053" s="28">
        <v>44562</v>
      </c>
      <c r="B12053" s="27" t="s">
        <v>25</v>
      </c>
      <c r="C12053" s="27" t="s">
        <v>50</v>
      </c>
      <c r="D12053" s="27" t="s">
        <v>7</v>
      </c>
      <c r="E12053" s="27" t="s">
        <v>39</v>
      </c>
      <c r="F12053" s="29"/>
      <c r="G12053" s="30">
        <v>104.13</v>
      </c>
    </row>
    <row r="12054" spans="1:7" hidden="1" x14ac:dyDescent="0.25">
      <c r="A12054" s="28">
        <v>44562</v>
      </c>
      <c r="B12054" s="27" t="s">
        <v>25</v>
      </c>
      <c r="C12054" s="27" t="s">
        <v>50</v>
      </c>
      <c r="D12054" s="27" t="s">
        <v>7</v>
      </c>
      <c r="E12054" s="27" t="s">
        <v>41</v>
      </c>
      <c r="F12054" s="29"/>
      <c r="G12054" s="30">
        <v>767.31</v>
      </c>
    </row>
    <row r="12055" spans="1:7" hidden="1" x14ac:dyDescent="0.25">
      <c r="A12055" s="28">
        <v>44562</v>
      </c>
      <c r="B12055" s="27" t="s">
        <v>25</v>
      </c>
      <c r="C12055" s="27" t="s">
        <v>50</v>
      </c>
      <c r="D12055" s="27" t="s">
        <v>7</v>
      </c>
      <c r="E12055" s="27" t="s">
        <v>11</v>
      </c>
      <c r="F12055" s="29"/>
      <c r="G12055" s="30">
        <v>312.39</v>
      </c>
    </row>
    <row r="12056" spans="1:7" hidden="1" x14ac:dyDescent="0.25">
      <c r="A12056" s="28">
        <v>44562</v>
      </c>
      <c r="B12056" s="27" t="s">
        <v>25</v>
      </c>
      <c r="C12056" s="27" t="s">
        <v>50</v>
      </c>
      <c r="D12056" s="27" t="s">
        <v>7</v>
      </c>
      <c r="E12056" s="27" t="s">
        <v>15</v>
      </c>
      <c r="F12056" s="29"/>
      <c r="G12056" s="30">
        <v>208.26</v>
      </c>
    </row>
    <row r="12057" spans="1:7" hidden="1" x14ac:dyDescent="0.25">
      <c r="A12057" s="28">
        <v>44562</v>
      </c>
      <c r="B12057" s="27" t="s">
        <v>25</v>
      </c>
      <c r="C12057" s="27" t="s">
        <v>50</v>
      </c>
      <c r="D12057" s="27" t="s">
        <v>7</v>
      </c>
      <c r="E12057" s="27" t="s">
        <v>16</v>
      </c>
      <c r="F12057" s="29"/>
      <c r="G12057" s="30">
        <v>104.13</v>
      </c>
    </row>
    <row r="12058" spans="1:7" hidden="1" x14ac:dyDescent="0.25">
      <c r="A12058" s="28">
        <v>44562</v>
      </c>
      <c r="B12058" s="27" t="s">
        <v>25</v>
      </c>
      <c r="C12058" s="27" t="s">
        <v>50</v>
      </c>
      <c r="D12058" s="27" t="s">
        <v>7</v>
      </c>
      <c r="E12058" s="27" t="s">
        <v>17</v>
      </c>
      <c r="F12058" s="29"/>
      <c r="G12058" s="30">
        <v>70.709999999999994</v>
      </c>
    </row>
    <row r="12059" spans="1:7" hidden="1" x14ac:dyDescent="0.25">
      <c r="A12059" s="28">
        <v>44562</v>
      </c>
      <c r="B12059" s="27" t="s">
        <v>25</v>
      </c>
      <c r="C12059" s="27" t="s">
        <v>50</v>
      </c>
      <c r="D12059" s="27" t="s">
        <v>7</v>
      </c>
      <c r="E12059" s="27" t="s">
        <v>19</v>
      </c>
      <c r="F12059" s="29"/>
      <c r="G12059" s="30">
        <v>208.26</v>
      </c>
    </row>
    <row r="12060" spans="1:7" hidden="1" x14ac:dyDescent="0.25">
      <c r="A12060" s="28">
        <v>44562</v>
      </c>
      <c r="B12060" s="27" t="s">
        <v>25</v>
      </c>
      <c r="C12060" s="27" t="s">
        <v>50</v>
      </c>
      <c r="D12060" s="27" t="s">
        <v>7</v>
      </c>
      <c r="E12060" s="27" t="s">
        <v>37</v>
      </c>
      <c r="F12060" s="29"/>
      <c r="G12060" s="30">
        <v>435.15999999999997</v>
      </c>
    </row>
    <row r="12061" spans="1:7" hidden="1" x14ac:dyDescent="0.25">
      <c r="A12061" s="28">
        <v>44562</v>
      </c>
      <c r="B12061" s="27" t="s">
        <v>2</v>
      </c>
      <c r="C12061" s="27" t="s">
        <v>50</v>
      </c>
      <c r="D12061" s="27" t="s">
        <v>7</v>
      </c>
      <c r="E12061" s="27" t="s">
        <v>8</v>
      </c>
      <c r="F12061" s="29"/>
      <c r="G12061" s="30">
        <v>131.88</v>
      </c>
    </row>
    <row r="12062" spans="1:7" hidden="1" x14ac:dyDescent="0.25">
      <c r="A12062" s="28">
        <v>44562</v>
      </c>
      <c r="B12062" s="27" t="s">
        <v>2</v>
      </c>
      <c r="C12062" s="27" t="s">
        <v>50</v>
      </c>
      <c r="D12062" s="27" t="s">
        <v>7</v>
      </c>
      <c r="E12062" s="27" t="s">
        <v>9</v>
      </c>
      <c r="F12062" s="29"/>
      <c r="G12062" s="30">
        <v>270.19</v>
      </c>
    </row>
    <row r="12063" spans="1:7" hidden="1" x14ac:dyDescent="0.25">
      <c r="A12063" s="28">
        <v>44562</v>
      </c>
      <c r="B12063" s="27" t="s">
        <v>2</v>
      </c>
      <c r="C12063" s="27" t="s">
        <v>50</v>
      </c>
      <c r="D12063" s="27" t="s">
        <v>7</v>
      </c>
      <c r="E12063" s="27" t="s">
        <v>22</v>
      </c>
      <c r="F12063" s="29"/>
      <c r="G12063" s="30">
        <v>666.09</v>
      </c>
    </row>
    <row r="12064" spans="1:7" hidden="1" x14ac:dyDescent="0.25">
      <c r="A12064" s="28">
        <v>44562</v>
      </c>
      <c r="B12064" s="27" t="s">
        <v>2</v>
      </c>
      <c r="C12064" s="27" t="s">
        <v>50</v>
      </c>
      <c r="D12064" s="27" t="s">
        <v>7</v>
      </c>
      <c r="E12064" s="27" t="s">
        <v>39</v>
      </c>
      <c r="F12064" s="29"/>
      <c r="G12064" s="30">
        <v>162.08000000000001</v>
      </c>
    </row>
    <row r="12065" spans="1:7" hidden="1" x14ac:dyDescent="0.25">
      <c r="A12065" s="28">
        <v>44562</v>
      </c>
      <c r="B12065" s="27" t="s">
        <v>2</v>
      </c>
      <c r="C12065" s="27" t="s">
        <v>50</v>
      </c>
      <c r="D12065" s="27" t="s">
        <v>7</v>
      </c>
      <c r="E12065" s="27" t="s">
        <v>64</v>
      </c>
      <c r="F12065" s="29"/>
      <c r="G12065" s="30">
        <v>447.49</v>
      </c>
    </row>
    <row r="12066" spans="1:7" hidden="1" x14ac:dyDescent="0.25">
      <c r="A12066" s="28">
        <v>44562</v>
      </c>
      <c r="B12066" s="27" t="s">
        <v>2</v>
      </c>
      <c r="C12066" s="27" t="s">
        <v>50</v>
      </c>
      <c r="D12066" s="27" t="s">
        <v>7</v>
      </c>
      <c r="E12066" s="27" t="s">
        <v>21</v>
      </c>
      <c r="F12066" s="29"/>
      <c r="G12066" s="30">
        <v>882.51</v>
      </c>
    </row>
    <row r="12067" spans="1:7" hidden="1" x14ac:dyDescent="0.25">
      <c r="A12067" s="28">
        <v>44562</v>
      </c>
      <c r="B12067" s="27" t="s">
        <v>2</v>
      </c>
      <c r="C12067" s="27" t="s">
        <v>50</v>
      </c>
      <c r="D12067" s="27" t="s">
        <v>7</v>
      </c>
      <c r="E12067" s="27" t="s">
        <v>41</v>
      </c>
      <c r="F12067" s="29"/>
      <c r="G12067" s="30">
        <v>370.48</v>
      </c>
    </row>
    <row r="12068" spans="1:7" hidden="1" x14ac:dyDescent="0.25">
      <c r="A12068" s="28">
        <v>44562</v>
      </c>
      <c r="B12068" s="27" t="s">
        <v>2</v>
      </c>
      <c r="C12068" s="27" t="s">
        <v>50</v>
      </c>
      <c r="D12068" s="27" t="s">
        <v>7</v>
      </c>
      <c r="E12068" s="27" t="s">
        <v>10</v>
      </c>
      <c r="F12068" s="29"/>
      <c r="G12068" s="30">
        <v>931.93</v>
      </c>
    </row>
    <row r="12069" spans="1:7" hidden="1" x14ac:dyDescent="0.25">
      <c r="A12069" s="28">
        <v>44562</v>
      </c>
      <c r="B12069" s="27" t="s">
        <v>2</v>
      </c>
      <c r="C12069" s="27" t="s">
        <v>50</v>
      </c>
      <c r="D12069" s="27" t="s">
        <v>7</v>
      </c>
      <c r="E12069" s="27" t="s">
        <v>11</v>
      </c>
      <c r="F12069" s="29"/>
      <c r="G12069" s="30">
        <v>551.08000000000004</v>
      </c>
    </row>
    <row r="12070" spans="1:7" hidden="1" x14ac:dyDescent="0.25">
      <c r="A12070" s="28">
        <v>44562</v>
      </c>
      <c r="B12070" s="27" t="s">
        <v>2</v>
      </c>
      <c r="C12070" s="27" t="s">
        <v>50</v>
      </c>
      <c r="D12070" s="27" t="s">
        <v>7</v>
      </c>
      <c r="E12070" s="27" t="s">
        <v>12</v>
      </c>
      <c r="F12070" s="29"/>
      <c r="G12070" s="30">
        <v>450.08</v>
      </c>
    </row>
    <row r="12071" spans="1:7" hidden="1" x14ac:dyDescent="0.25">
      <c r="A12071" s="28">
        <v>44562</v>
      </c>
      <c r="B12071" s="27" t="s">
        <v>2</v>
      </c>
      <c r="C12071" s="27" t="s">
        <v>50</v>
      </c>
      <c r="D12071" s="27" t="s">
        <v>7</v>
      </c>
      <c r="E12071" s="27" t="s">
        <v>13</v>
      </c>
      <c r="F12071" s="29"/>
      <c r="G12071" s="30">
        <v>1010.14</v>
      </c>
    </row>
    <row r="12072" spans="1:7" hidden="1" x14ac:dyDescent="0.25">
      <c r="A12072" s="28">
        <v>44562</v>
      </c>
      <c r="B12072" s="27" t="s">
        <v>2</v>
      </c>
      <c r="C12072" s="27" t="s">
        <v>50</v>
      </c>
      <c r="D12072" s="27" t="s">
        <v>7</v>
      </c>
      <c r="E12072" s="27" t="s">
        <v>14</v>
      </c>
      <c r="F12072" s="29"/>
      <c r="G12072" s="30">
        <v>391.42</v>
      </c>
    </row>
    <row r="12073" spans="1:7" hidden="1" x14ac:dyDescent="0.25">
      <c r="A12073" s="28">
        <v>44562</v>
      </c>
      <c r="B12073" s="27" t="s">
        <v>2</v>
      </c>
      <c r="C12073" s="27" t="s">
        <v>50</v>
      </c>
      <c r="D12073" s="27" t="s">
        <v>7</v>
      </c>
      <c r="E12073" s="27" t="s">
        <v>15</v>
      </c>
      <c r="F12073" s="29"/>
      <c r="G12073" s="30">
        <v>522.28</v>
      </c>
    </row>
    <row r="12074" spans="1:7" hidden="1" x14ac:dyDescent="0.25">
      <c r="A12074" s="28">
        <v>44562</v>
      </c>
      <c r="B12074" s="27" t="s">
        <v>2</v>
      </c>
      <c r="C12074" s="27" t="s">
        <v>50</v>
      </c>
      <c r="D12074" s="27" t="s">
        <v>7</v>
      </c>
      <c r="E12074" s="27" t="s">
        <v>16</v>
      </c>
      <c r="F12074" s="29"/>
      <c r="G12074" s="30">
        <v>43.28</v>
      </c>
    </row>
    <row r="12075" spans="1:7" hidden="1" x14ac:dyDescent="0.25">
      <c r="A12075" s="28">
        <v>44562</v>
      </c>
      <c r="B12075" s="27" t="s">
        <v>2</v>
      </c>
      <c r="C12075" s="27" t="s">
        <v>50</v>
      </c>
      <c r="D12075" s="27" t="s">
        <v>7</v>
      </c>
      <c r="E12075" s="27" t="s">
        <v>17</v>
      </c>
      <c r="F12075" s="29"/>
      <c r="G12075" s="30">
        <v>770.24</v>
      </c>
    </row>
    <row r="12076" spans="1:7" hidden="1" x14ac:dyDescent="0.25">
      <c r="A12076" s="28">
        <v>44562</v>
      </c>
      <c r="B12076" s="27" t="s">
        <v>2</v>
      </c>
      <c r="C12076" s="27" t="s">
        <v>50</v>
      </c>
      <c r="D12076" s="27" t="s">
        <v>7</v>
      </c>
      <c r="E12076" s="27" t="s">
        <v>18</v>
      </c>
      <c r="F12076" s="29"/>
      <c r="G12076" s="30">
        <v>33.72</v>
      </c>
    </row>
    <row r="12077" spans="1:7" hidden="1" x14ac:dyDescent="0.25">
      <c r="A12077" s="28">
        <v>44562</v>
      </c>
      <c r="B12077" s="27" t="s">
        <v>2</v>
      </c>
      <c r="C12077" s="27" t="s">
        <v>50</v>
      </c>
      <c r="D12077" s="27" t="s">
        <v>7</v>
      </c>
      <c r="E12077" s="27" t="s">
        <v>19</v>
      </c>
      <c r="F12077" s="29"/>
      <c r="G12077" s="30">
        <v>1040.6300000000001</v>
      </c>
    </row>
    <row r="12078" spans="1:7" hidden="1" x14ac:dyDescent="0.25">
      <c r="A12078" s="28">
        <v>44562</v>
      </c>
      <c r="B12078" s="27" t="s">
        <v>2</v>
      </c>
      <c r="C12078" s="27" t="s">
        <v>50</v>
      </c>
      <c r="D12078" s="27" t="s">
        <v>7</v>
      </c>
      <c r="E12078" s="27" t="s">
        <v>20</v>
      </c>
      <c r="F12078" s="29"/>
      <c r="G12078" s="30">
        <v>602.52</v>
      </c>
    </row>
    <row r="12079" spans="1:7" hidden="1" x14ac:dyDescent="0.25">
      <c r="A12079" s="28">
        <v>44562</v>
      </c>
      <c r="B12079" s="27" t="s">
        <v>2</v>
      </c>
      <c r="C12079" s="27" t="s">
        <v>50</v>
      </c>
      <c r="D12079" s="27" t="s">
        <v>7</v>
      </c>
      <c r="E12079" s="27" t="s">
        <v>38</v>
      </c>
      <c r="F12079" s="29"/>
      <c r="G12079" s="30">
        <v>33.72</v>
      </c>
    </row>
    <row r="12080" spans="1:7" hidden="1" x14ac:dyDescent="0.25">
      <c r="A12080" s="28">
        <v>44562</v>
      </c>
      <c r="B12080" s="27" t="s">
        <v>2</v>
      </c>
      <c r="C12080" s="27" t="s">
        <v>50</v>
      </c>
      <c r="D12080" s="27" t="s">
        <v>7</v>
      </c>
      <c r="E12080" s="27" t="s">
        <v>23</v>
      </c>
      <c r="F12080" s="29"/>
      <c r="G12080" s="30">
        <v>782.86</v>
      </c>
    </row>
    <row r="12081" spans="1:7" hidden="1" x14ac:dyDescent="0.25">
      <c r="A12081" s="28">
        <v>44562</v>
      </c>
      <c r="B12081" s="27" t="s">
        <v>2</v>
      </c>
      <c r="C12081" s="27" t="s">
        <v>50</v>
      </c>
      <c r="D12081" s="27" t="s">
        <v>7</v>
      </c>
      <c r="E12081" s="27" t="s">
        <v>40</v>
      </c>
      <c r="F12081" s="29"/>
      <c r="G12081" s="30">
        <v>315.58</v>
      </c>
    </row>
    <row r="12082" spans="1:7" hidden="1" x14ac:dyDescent="0.25">
      <c r="A12082" s="28">
        <v>44562</v>
      </c>
      <c r="B12082" s="27" t="s">
        <v>2</v>
      </c>
      <c r="C12082" s="27" t="s">
        <v>50</v>
      </c>
      <c r="D12082" s="27" t="s">
        <v>7</v>
      </c>
      <c r="E12082" s="27" t="s">
        <v>42</v>
      </c>
      <c r="F12082" s="29"/>
      <c r="G12082" s="30">
        <v>348.48</v>
      </c>
    </row>
    <row r="12083" spans="1:7" hidden="1" x14ac:dyDescent="0.25">
      <c r="A12083" s="28">
        <v>44562</v>
      </c>
      <c r="B12083" s="27" t="s">
        <v>2</v>
      </c>
      <c r="C12083" s="27" t="s">
        <v>50</v>
      </c>
      <c r="D12083" s="27" t="s">
        <v>7</v>
      </c>
      <c r="E12083" s="27" t="s">
        <v>43</v>
      </c>
      <c r="F12083" s="29"/>
      <c r="G12083" s="30">
        <v>128.80000000000001</v>
      </c>
    </row>
    <row r="12084" spans="1:7" hidden="1" x14ac:dyDescent="0.25">
      <c r="A12084" s="28">
        <v>44562</v>
      </c>
      <c r="B12084" s="27" t="s">
        <v>2</v>
      </c>
      <c r="C12084" s="27" t="s">
        <v>50</v>
      </c>
      <c r="D12084" s="27" t="s">
        <v>7</v>
      </c>
      <c r="E12084" s="27" t="s">
        <v>72</v>
      </c>
      <c r="F12084" s="29"/>
      <c r="G12084" s="30">
        <v>141.80000000000001</v>
      </c>
    </row>
    <row r="12085" spans="1:7" hidden="1" x14ac:dyDescent="0.25">
      <c r="A12085" s="28">
        <v>44562</v>
      </c>
      <c r="B12085" s="27" t="s">
        <v>36</v>
      </c>
      <c r="C12085" s="27" t="s">
        <v>50</v>
      </c>
      <c r="D12085" s="27" t="s">
        <v>6</v>
      </c>
      <c r="E12085" s="27" t="s">
        <v>8</v>
      </c>
      <c r="F12085" s="29"/>
      <c r="G12085" s="30">
        <v>380.26959999999997</v>
      </c>
    </row>
    <row r="12086" spans="1:7" hidden="1" x14ac:dyDescent="0.25">
      <c r="A12086" s="28">
        <v>44562</v>
      </c>
      <c r="B12086" s="27" t="s">
        <v>36</v>
      </c>
      <c r="C12086" s="27" t="s">
        <v>50</v>
      </c>
      <c r="D12086" s="27" t="s">
        <v>6</v>
      </c>
      <c r="E12086" s="27" t="s">
        <v>9</v>
      </c>
      <c r="F12086" s="29"/>
      <c r="G12086" s="30">
        <v>380.26959999999997</v>
      </c>
    </row>
    <row r="12087" spans="1:7" hidden="1" x14ac:dyDescent="0.25">
      <c r="A12087" s="28">
        <v>44562</v>
      </c>
      <c r="B12087" s="27" t="s">
        <v>36</v>
      </c>
      <c r="C12087" s="27" t="s">
        <v>50</v>
      </c>
      <c r="D12087" s="27" t="s">
        <v>6</v>
      </c>
      <c r="E12087" s="27" t="s">
        <v>22</v>
      </c>
      <c r="F12087" s="29"/>
      <c r="G12087" s="30">
        <v>380.26959999999997</v>
      </c>
    </row>
    <row r="12088" spans="1:7" hidden="1" x14ac:dyDescent="0.25">
      <c r="A12088" s="28">
        <v>44562</v>
      </c>
      <c r="B12088" s="27" t="s">
        <v>36</v>
      </c>
      <c r="C12088" s="27" t="s">
        <v>50</v>
      </c>
      <c r="D12088" s="27" t="s">
        <v>6</v>
      </c>
      <c r="E12088" s="27" t="s">
        <v>39</v>
      </c>
      <c r="F12088" s="29"/>
      <c r="G12088" s="30">
        <v>380.26959999999997</v>
      </c>
    </row>
    <row r="12089" spans="1:7" hidden="1" x14ac:dyDescent="0.25">
      <c r="A12089" s="28">
        <v>44562</v>
      </c>
      <c r="B12089" s="27" t="s">
        <v>36</v>
      </c>
      <c r="C12089" s="27" t="s">
        <v>50</v>
      </c>
      <c r="D12089" s="27" t="s">
        <v>6</v>
      </c>
      <c r="E12089" s="27" t="s">
        <v>64</v>
      </c>
      <c r="F12089" s="29"/>
      <c r="G12089" s="30">
        <v>380.26959999999997</v>
      </c>
    </row>
    <row r="12090" spans="1:7" hidden="1" x14ac:dyDescent="0.25">
      <c r="A12090" s="28">
        <v>44562</v>
      </c>
      <c r="B12090" s="27" t="s">
        <v>36</v>
      </c>
      <c r="C12090" s="27" t="s">
        <v>50</v>
      </c>
      <c r="D12090" s="27" t="s">
        <v>6</v>
      </c>
      <c r="E12090" s="27" t="s">
        <v>21</v>
      </c>
      <c r="F12090" s="29"/>
      <c r="G12090" s="30">
        <v>380.26959999999997</v>
      </c>
    </row>
    <row r="12091" spans="1:7" hidden="1" x14ac:dyDescent="0.25">
      <c r="A12091" s="28">
        <v>44562</v>
      </c>
      <c r="B12091" s="27" t="s">
        <v>36</v>
      </c>
      <c r="C12091" s="27" t="s">
        <v>50</v>
      </c>
      <c r="D12091" s="27" t="s">
        <v>6</v>
      </c>
      <c r="E12091" s="27" t="s">
        <v>41</v>
      </c>
      <c r="F12091" s="29"/>
      <c r="G12091" s="30">
        <v>380.26959999999997</v>
      </c>
    </row>
    <row r="12092" spans="1:7" hidden="1" x14ac:dyDescent="0.25">
      <c r="A12092" s="28">
        <v>44562</v>
      </c>
      <c r="B12092" s="27" t="s">
        <v>36</v>
      </c>
      <c r="C12092" s="27" t="s">
        <v>50</v>
      </c>
      <c r="D12092" s="27" t="s">
        <v>6</v>
      </c>
      <c r="E12092" s="27" t="s">
        <v>10</v>
      </c>
      <c r="F12092" s="29"/>
      <c r="G12092" s="30">
        <v>380.26959999999997</v>
      </c>
    </row>
    <row r="12093" spans="1:7" hidden="1" x14ac:dyDescent="0.25">
      <c r="A12093" s="28">
        <v>44562</v>
      </c>
      <c r="B12093" s="27" t="s">
        <v>36</v>
      </c>
      <c r="C12093" s="27" t="s">
        <v>50</v>
      </c>
      <c r="D12093" s="27" t="s">
        <v>6</v>
      </c>
      <c r="E12093" s="27" t="s">
        <v>11</v>
      </c>
      <c r="F12093" s="29"/>
      <c r="G12093" s="30">
        <v>380.26959999999997</v>
      </c>
    </row>
    <row r="12094" spans="1:7" hidden="1" x14ac:dyDescent="0.25">
      <c r="A12094" s="28">
        <v>44562</v>
      </c>
      <c r="B12094" s="27" t="s">
        <v>36</v>
      </c>
      <c r="C12094" s="27" t="s">
        <v>50</v>
      </c>
      <c r="D12094" s="27" t="s">
        <v>6</v>
      </c>
      <c r="E12094" s="27" t="s">
        <v>12</v>
      </c>
      <c r="F12094" s="29"/>
      <c r="G12094" s="30">
        <v>380.26959999999997</v>
      </c>
    </row>
    <row r="12095" spans="1:7" hidden="1" x14ac:dyDescent="0.25">
      <c r="A12095" s="28">
        <v>44562</v>
      </c>
      <c r="B12095" s="27" t="s">
        <v>36</v>
      </c>
      <c r="C12095" s="27" t="s">
        <v>50</v>
      </c>
      <c r="D12095" s="27" t="s">
        <v>6</v>
      </c>
      <c r="E12095" s="27" t="s">
        <v>13</v>
      </c>
      <c r="F12095" s="29"/>
      <c r="G12095" s="30">
        <v>380.26959999999997</v>
      </c>
    </row>
    <row r="12096" spans="1:7" hidden="1" x14ac:dyDescent="0.25">
      <c r="A12096" s="28">
        <v>44562</v>
      </c>
      <c r="B12096" s="27" t="s">
        <v>36</v>
      </c>
      <c r="C12096" s="27" t="s">
        <v>50</v>
      </c>
      <c r="D12096" s="27" t="s">
        <v>6</v>
      </c>
      <c r="E12096" s="27" t="s">
        <v>14</v>
      </c>
      <c r="F12096" s="29"/>
      <c r="G12096" s="30">
        <v>380.26959999999997</v>
      </c>
    </row>
    <row r="12097" spans="1:7" hidden="1" x14ac:dyDescent="0.25">
      <c r="A12097" s="28">
        <v>44562</v>
      </c>
      <c r="B12097" s="27" t="s">
        <v>36</v>
      </c>
      <c r="C12097" s="27" t="s">
        <v>50</v>
      </c>
      <c r="D12097" s="27" t="s">
        <v>6</v>
      </c>
      <c r="E12097" s="27" t="s">
        <v>15</v>
      </c>
      <c r="F12097" s="29"/>
      <c r="G12097" s="30">
        <v>380.26959999999997</v>
      </c>
    </row>
    <row r="12098" spans="1:7" hidden="1" x14ac:dyDescent="0.25">
      <c r="A12098" s="28">
        <v>44562</v>
      </c>
      <c r="B12098" s="27" t="s">
        <v>36</v>
      </c>
      <c r="C12098" s="27" t="s">
        <v>50</v>
      </c>
      <c r="D12098" s="27" t="s">
        <v>6</v>
      </c>
      <c r="E12098" s="27" t="s">
        <v>16</v>
      </c>
      <c r="F12098" s="29"/>
      <c r="G12098" s="30">
        <v>380.26959999999997</v>
      </c>
    </row>
    <row r="12099" spans="1:7" hidden="1" x14ac:dyDescent="0.25">
      <c r="A12099" s="28">
        <v>44562</v>
      </c>
      <c r="B12099" s="27" t="s">
        <v>36</v>
      </c>
      <c r="C12099" s="27" t="s">
        <v>50</v>
      </c>
      <c r="D12099" s="27" t="s">
        <v>6</v>
      </c>
      <c r="E12099" s="27" t="s">
        <v>17</v>
      </c>
      <c r="F12099" s="29"/>
      <c r="G12099" s="30">
        <v>380.26959999999997</v>
      </c>
    </row>
    <row r="12100" spans="1:7" hidden="1" x14ac:dyDescent="0.25">
      <c r="A12100" s="28">
        <v>44562</v>
      </c>
      <c r="B12100" s="27" t="s">
        <v>36</v>
      </c>
      <c r="C12100" s="27" t="s">
        <v>50</v>
      </c>
      <c r="D12100" s="27" t="s">
        <v>6</v>
      </c>
      <c r="E12100" s="27" t="s">
        <v>18</v>
      </c>
      <c r="F12100" s="29"/>
      <c r="G12100" s="30">
        <v>380.26959999999997</v>
      </c>
    </row>
    <row r="12101" spans="1:7" hidden="1" x14ac:dyDescent="0.25">
      <c r="A12101" s="28">
        <v>44562</v>
      </c>
      <c r="B12101" s="27" t="s">
        <v>36</v>
      </c>
      <c r="C12101" s="27" t="s">
        <v>50</v>
      </c>
      <c r="D12101" s="27" t="s">
        <v>6</v>
      </c>
      <c r="E12101" s="27" t="s">
        <v>19</v>
      </c>
      <c r="F12101" s="29"/>
      <c r="G12101" s="30">
        <v>380.26959999999997</v>
      </c>
    </row>
    <row r="12102" spans="1:7" hidden="1" x14ac:dyDescent="0.25">
      <c r="A12102" s="28">
        <v>44562</v>
      </c>
      <c r="B12102" s="27" t="s">
        <v>36</v>
      </c>
      <c r="C12102" s="27" t="s">
        <v>50</v>
      </c>
      <c r="D12102" s="27" t="s">
        <v>6</v>
      </c>
      <c r="E12102" s="27" t="s">
        <v>20</v>
      </c>
      <c r="F12102" s="29"/>
      <c r="G12102" s="30">
        <v>380.26959999999997</v>
      </c>
    </row>
    <row r="12103" spans="1:7" hidden="1" x14ac:dyDescent="0.25">
      <c r="A12103" s="28">
        <v>44562</v>
      </c>
      <c r="B12103" s="27" t="s">
        <v>36</v>
      </c>
      <c r="C12103" s="27" t="s">
        <v>50</v>
      </c>
      <c r="D12103" s="27" t="s">
        <v>6</v>
      </c>
      <c r="E12103" s="27" t="s">
        <v>38</v>
      </c>
      <c r="F12103" s="29"/>
      <c r="G12103" s="30">
        <v>380.26959999999997</v>
      </c>
    </row>
    <row r="12104" spans="1:7" hidden="1" x14ac:dyDescent="0.25">
      <c r="A12104" s="28">
        <v>44562</v>
      </c>
      <c r="B12104" s="27" t="s">
        <v>36</v>
      </c>
      <c r="C12104" s="27" t="s">
        <v>50</v>
      </c>
      <c r="D12104" s="27" t="s">
        <v>6</v>
      </c>
      <c r="E12104" s="27" t="s">
        <v>23</v>
      </c>
      <c r="F12104" s="29"/>
      <c r="G12104" s="30">
        <v>380.26959999999997</v>
      </c>
    </row>
    <row r="12105" spans="1:7" hidden="1" x14ac:dyDescent="0.25">
      <c r="A12105" s="28">
        <v>44562</v>
      </c>
      <c r="B12105" s="27" t="s">
        <v>36</v>
      </c>
      <c r="C12105" s="27" t="s">
        <v>50</v>
      </c>
      <c r="D12105" s="27" t="s">
        <v>6</v>
      </c>
      <c r="E12105" s="27" t="s">
        <v>40</v>
      </c>
      <c r="F12105" s="29"/>
      <c r="G12105" s="30">
        <v>380.26959999999997</v>
      </c>
    </row>
    <row r="12106" spans="1:7" hidden="1" x14ac:dyDescent="0.25">
      <c r="A12106" s="28">
        <v>44562</v>
      </c>
      <c r="B12106" s="27" t="s">
        <v>36</v>
      </c>
      <c r="C12106" s="27" t="s">
        <v>50</v>
      </c>
      <c r="D12106" s="27" t="s">
        <v>6</v>
      </c>
      <c r="E12106" s="27" t="s">
        <v>42</v>
      </c>
      <c r="F12106" s="29"/>
      <c r="G12106" s="30">
        <v>380.26959999999997</v>
      </c>
    </row>
    <row r="12107" spans="1:7" hidden="1" x14ac:dyDescent="0.25">
      <c r="A12107" s="28">
        <v>44562</v>
      </c>
      <c r="B12107" s="27" t="s">
        <v>36</v>
      </c>
      <c r="C12107" s="27" t="s">
        <v>50</v>
      </c>
      <c r="D12107" s="27" t="s">
        <v>6</v>
      </c>
      <c r="E12107" s="27" t="s">
        <v>43</v>
      </c>
      <c r="F12107" s="29"/>
      <c r="G12107" s="30">
        <v>380.26959999999997</v>
      </c>
    </row>
    <row r="12108" spans="1:7" hidden="1" x14ac:dyDescent="0.25">
      <c r="A12108" s="28">
        <v>44562</v>
      </c>
      <c r="B12108" s="27" t="s">
        <v>36</v>
      </c>
      <c r="C12108" s="27" t="s">
        <v>50</v>
      </c>
      <c r="D12108" s="27" t="s">
        <v>6</v>
      </c>
      <c r="E12108" s="27" t="s">
        <v>72</v>
      </c>
      <c r="F12108" s="29"/>
      <c r="G12108" s="30">
        <v>380.26959999999997</v>
      </c>
    </row>
    <row r="12109" spans="1:7" hidden="1" x14ac:dyDescent="0.25">
      <c r="A12109" s="28">
        <v>44562</v>
      </c>
      <c r="B12109" s="27" t="s">
        <v>36</v>
      </c>
      <c r="C12109" s="27" t="s">
        <v>50</v>
      </c>
      <c r="D12109" s="27" t="s">
        <v>6</v>
      </c>
      <c r="E12109" s="27" t="s">
        <v>206</v>
      </c>
      <c r="F12109" s="29"/>
      <c r="G12109" s="30">
        <v>380.26959999999997</v>
      </c>
    </row>
    <row r="12110" spans="1:7" hidden="1" x14ac:dyDescent="0.25">
      <c r="A12110" s="28">
        <v>44562</v>
      </c>
      <c r="B12110" s="27" t="s">
        <v>200</v>
      </c>
      <c r="C12110" s="27" t="s">
        <v>53</v>
      </c>
      <c r="D12110" s="27" t="s">
        <v>6</v>
      </c>
      <c r="E12110" s="27" t="s">
        <v>8</v>
      </c>
      <c r="F12110" s="29"/>
      <c r="G12110" s="30">
        <f t="shared" ref="G12110:G12133" si="215">1931.58302222222/24</f>
        <v>80.482625925925831</v>
      </c>
    </row>
    <row r="12111" spans="1:7" hidden="1" x14ac:dyDescent="0.25">
      <c r="A12111" s="28">
        <v>44562</v>
      </c>
      <c r="B12111" s="27" t="s">
        <v>200</v>
      </c>
      <c r="C12111" s="27" t="s">
        <v>53</v>
      </c>
      <c r="D12111" s="27" t="s">
        <v>6</v>
      </c>
      <c r="E12111" s="27" t="s">
        <v>9</v>
      </c>
      <c r="F12111" s="29"/>
      <c r="G12111" s="30">
        <f t="shared" si="215"/>
        <v>80.482625925925831</v>
      </c>
    </row>
    <row r="12112" spans="1:7" hidden="1" x14ac:dyDescent="0.25">
      <c r="A12112" s="28">
        <v>44562</v>
      </c>
      <c r="B12112" s="27" t="s">
        <v>200</v>
      </c>
      <c r="C12112" s="27" t="s">
        <v>53</v>
      </c>
      <c r="D12112" s="27" t="s">
        <v>6</v>
      </c>
      <c r="E12112" s="27" t="s">
        <v>22</v>
      </c>
      <c r="F12112" s="29"/>
      <c r="G12112" s="30">
        <f t="shared" si="215"/>
        <v>80.482625925925831</v>
      </c>
    </row>
    <row r="12113" spans="1:7" hidden="1" x14ac:dyDescent="0.25">
      <c r="A12113" s="28">
        <v>44562</v>
      </c>
      <c r="B12113" s="27" t="s">
        <v>200</v>
      </c>
      <c r="C12113" s="27" t="s">
        <v>53</v>
      </c>
      <c r="D12113" s="27" t="s">
        <v>6</v>
      </c>
      <c r="E12113" s="27" t="s">
        <v>39</v>
      </c>
      <c r="F12113" s="29"/>
      <c r="G12113" s="30">
        <f t="shared" si="215"/>
        <v>80.482625925925831</v>
      </c>
    </row>
    <row r="12114" spans="1:7" hidden="1" x14ac:dyDescent="0.25">
      <c r="A12114" s="28">
        <v>44562</v>
      </c>
      <c r="B12114" s="27" t="s">
        <v>200</v>
      </c>
      <c r="C12114" s="27" t="s">
        <v>53</v>
      </c>
      <c r="D12114" s="27" t="s">
        <v>6</v>
      </c>
      <c r="E12114" s="27" t="s">
        <v>64</v>
      </c>
      <c r="F12114" s="29"/>
      <c r="G12114" s="30">
        <f t="shared" si="215"/>
        <v>80.482625925925831</v>
      </c>
    </row>
    <row r="12115" spans="1:7" hidden="1" x14ac:dyDescent="0.25">
      <c r="A12115" s="28">
        <v>44562</v>
      </c>
      <c r="B12115" s="27" t="s">
        <v>200</v>
      </c>
      <c r="C12115" s="27" t="s">
        <v>53</v>
      </c>
      <c r="D12115" s="27" t="s">
        <v>6</v>
      </c>
      <c r="E12115" s="27" t="s">
        <v>21</v>
      </c>
      <c r="F12115" s="29"/>
      <c r="G12115" s="30">
        <f t="shared" si="215"/>
        <v>80.482625925925831</v>
      </c>
    </row>
    <row r="12116" spans="1:7" hidden="1" x14ac:dyDescent="0.25">
      <c r="A12116" s="28">
        <v>44562</v>
      </c>
      <c r="B12116" s="27" t="s">
        <v>200</v>
      </c>
      <c r="C12116" s="27" t="s">
        <v>53</v>
      </c>
      <c r="D12116" s="27" t="s">
        <v>6</v>
      </c>
      <c r="E12116" s="27" t="s">
        <v>41</v>
      </c>
      <c r="F12116" s="29"/>
      <c r="G12116" s="30">
        <f t="shared" si="215"/>
        <v>80.482625925925831</v>
      </c>
    </row>
    <row r="12117" spans="1:7" hidden="1" x14ac:dyDescent="0.25">
      <c r="A12117" s="28">
        <v>44562</v>
      </c>
      <c r="B12117" s="27" t="s">
        <v>200</v>
      </c>
      <c r="C12117" s="27" t="s">
        <v>53</v>
      </c>
      <c r="D12117" s="27" t="s">
        <v>6</v>
      </c>
      <c r="E12117" s="27" t="s">
        <v>10</v>
      </c>
      <c r="F12117" s="29"/>
      <c r="G12117" s="30">
        <f t="shared" si="215"/>
        <v>80.482625925925831</v>
      </c>
    </row>
    <row r="12118" spans="1:7" hidden="1" x14ac:dyDescent="0.25">
      <c r="A12118" s="28">
        <v>44562</v>
      </c>
      <c r="B12118" s="27" t="s">
        <v>200</v>
      </c>
      <c r="C12118" s="27" t="s">
        <v>53</v>
      </c>
      <c r="D12118" s="27" t="s">
        <v>6</v>
      </c>
      <c r="E12118" s="27" t="s">
        <v>11</v>
      </c>
      <c r="F12118" s="29"/>
      <c r="G12118" s="30">
        <f t="shared" si="215"/>
        <v>80.482625925925831</v>
      </c>
    </row>
    <row r="12119" spans="1:7" hidden="1" x14ac:dyDescent="0.25">
      <c r="A12119" s="28">
        <v>44562</v>
      </c>
      <c r="B12119" s="27" t="s">
        <v>200</v>
      </c>
      <c r="C12119" s="27" t="s">
        <v>53</v>
      </c>
      <c r="D12119" s="27" t="s">
        <v>6</v>
      </c>
      <c r="E12119" s="27" t="s">
        <v>12</v>
      </c>
      <c r="F12119" s="29"/>
      <c r="G12119" s="30">
        <f t="shared" si="215"/>
        <v>80.482625925925831</v>
      </c>
    </row>
    <row r="12120" spans="1:7" hidden="1" x14ac:dyDescent="0.25">
      <c r="A12120" s="28">
        <v>44562</v>
      </c>
      <c r="B12120" s="27" t="s">
        <v>200</v>
      </c>
      <c r="C12120" s="27" t="s">
        <v>53</v>
      </c>
      <c r="D12120" s="27" t="s">
        <v>6</v>
      </c>
      <c r="E12120" s="27" t="s">
        <v>13</v>
      </c>
      <c r="F12120" s="29"/>
      <c r="G12120" s="30">
        <f t="shared" si="215"/>
        <v>80.482625925925831</v>
      </c>
    </row>
    <row r="12121" spans="1:7" hidden="1" x14ac:dyDescent="0.25">
      <c r="A12121" s="28">
        <v>44562</v>
      </c>
      <c r="B12121" s="27" t="s">
        <v>200</v>
      </c>
      <c r="C12121" s="27" t="s">
        <v>53</v>
      </c>
      <c r="D12121" s="27" t="s">
        <v>6</v>
      </c>
      <c r="E12121" s="27" t="s">
        <v>14</v>
      </c>
      <c r="F12121" s="29"/>
      <c r="G12121" s="30">
        <f t="shared" si="215"/>
        <v>80.482625925925831</v>
      </c>
    </row>
    <row r="12122" spans="1:7" hidden="1" x14ac:dyDescent="0.25">
      <c r="A12122" s="28">
        <v>44562</v>
      </c>
      <c r="B12122" s="27" t="s">
        <v>200</v>
      </c>
      <c r="C12122" s="27" t="s">
        <v>53</v>
      </c>
      <c r="D12122" s="27" t="s">
        <v>6</v>
      </c>
      <c r="E12122" s="27" t="s">
        <v>15</v>
      </c>
      <c r="F12122" s="29"/>
      <c r="G12122" s="30">
        <f t="shared" si="215"/>
        <v>80.482625925925831</v>
      </c>
    </row>
    <row r="12123" spans="1:7" hidden="1" x14ac:dyDescent="0.25">
      <c r="A12123" s="28">
        <v>44562</v>
      </c>
      <c r="B12123" s="27" t="s">
        <v>200</v>
      </c>
      <c r="C12123" s="27" t="s">
        <v>53</v>
      </c>
      <c r="D12123" s="27" t="s">
        <v>6</v>
      </c>
      <c r="E12123" s="27" t="s">
        <v>16</v>
      </c>
      <c r="F12123" s="29"/>
      <c r="G12123" s="30">
        <f t="shared" si="215"/>
        <v>80.482625925925831</v>
      </c>
    </row>
    <row r="12124" spans="1:7" hidden="1" x14ac:dyDescent="0.25">
      <c r="A12124" s="28">
        <v>44562</v>
      </c>
      <c r="B12124" s="27" t="s">
        <v>200</v>
      </c>
      <c r="C12124" s="27" t="s">
        <v>53</v>
      </c>
      <c r="D12124" s="27" t="s">
        <v>6</v>
      </c>
      <c r="E12124" s="27" t="s">
        <v>17</v>
      </c>
      <c r="F12124" s="29"/>
      <c r="G12124" s="30">
        <f t="shared" si="215"/>
        <v>80.482625925925831</v>
      </c>
    </row>
    <row r="12125" spans="1:7" hidden="1" x14ac:dyDescent="0.25">
      <c r="A12125" s="28">
        <v>44562</v>
      </c>
      <c r="B12125" s="27" t="s">
        <v>200</v>
      </c>
      <c r="C12125" s="27" t="s">
        <v>53</v>
      </c>
      <c r="D12125" s="27" t="s">
        <v>6</v>
      </c>
      <c r="E12125" s="27" t="s">
        <v>18</v>
      </c>
      <c r="F12125" s="29"/>
      <c r="G12125" s="30">
        <f t="shared" si="215"/>
        <v>80.482625925925831</v>
      </c>
    </row>
    <row r="12126" spans="1:7" hidden="1" x14ac:dyDescent="0.25">
      <c r="A12126" s="28">
        <v>44562</v>
      </c>
      <c r="B12126" s="27" t="s">
        <v>200</v>
      </c>
      <c r="C12126" s="27" t="s">
        <v>53</v>
      </c>
      <c r="D12126" s="27" t="s">
        <v>6</v>
      </c>
      <c r="E12126" s="27" t="s">
        <v>19</v>
      </c>
      <c r="F12126" s="29"/>
      <c r="G12126" s="30">
        <f t="shared" si="215"/>
        <v>80.482625925925831</v>
      </c>
    </row>
    <row r="12127" spans="1:7" hidden="1" x14ac:dyDescent="0.25">
      <c r="A12127" s="28">
        <v>44562</v>
      </c>
      <c r="B12127" s="27" t="s">
        <v>200</v>
      </c>
      <c r="C12127" s="27" t="s">
        <v>53</v>
      </c>
      <c r="D12127" s="27" t="s">
        <v>6</v>
      </c>
      <c r="E12127" s="27" t="s">
        <v>20</v>
      </c>
      <c r="F12127" s="29"/>
      <c r="G12127" s="30">
        <f t="shared" si="215"/>
        <v>80.482625925925831</v>
      </c>
    </row>
    <row r="12128" spans="1:7" hidden="1" x14ac:dyDescent="0.25">
      <c r="A12128" s="28">
        <v>44562</v>
      </c>
      <c r="B12128" s="27" t="s">
        <v>200</v>
      </c>
      <c r="C12128" s="27" t="s">
        <v>53</v>
      </c>
      <c r="D12128" s="27" t="s">
        <v>6</v>
      </c>
      <c r="E12128" s="27" t="s">
        <v>38</v>
      </c>
      <c r="F12128" s="29"/>
      <c r="G12128" s="30">
        <f t="shared" si="215"/>
        <v>80.482625925925831</v>
      </c>
    </row>
    <row r="12129" spans="1:7" hidden="1" x14ac:dyDescent="0.25">
      <c r="A12129" s="28">
        <v>44562</v>
      </c>
      <c r="B12129" s="27" t="s">
        <v>200</v>
      </c>
      <c r="C12129" s="27" t="s">
        <v>53</v>
      </c>
      <c r="D12129" s="27" t="s">
        <v>6</v>
      </c>
      <c r="E12129" s="27" t="s">
        <v>23</v>
      </c>
      <c r="F12129" s="29"/>
      <c r="G12129" s="30">
        <f t="shared" si="215"/>
        <v>80.482625925925831</v>
      </c>
    </row>
    <row r="12130" spans="1:7" hidden="1" x14ac:dyDescent="0.25">
      <c r="A12130" s="28">
        <v>44562</v>
      </c>
      <c r="B12130" s="27" t="s">
        <v>200</v>
      </c>
      <c r="C12130" s="27" t="s">
        <v>53</v>
      </c>
      <c r="D12130" s="27" t="s">
        <v>6</v>
      </c>
      <c r="E12130" s="27" t="s">
        <v>40</v>
      </c>
      <c r="F12130" s="29"/>
      <c r="G12130" s="30">
        <f t="shared" si="215"/>
        <v>80.482625925925831</v>
      </c>
    </row>
    <row r="12131" spans="1:7" hidden="1" x14ac:dyDescent="0.25">
      <c r="A12131" s="28">
        <v>44562</v>
      </c>
      <c r="B12131" s="27" t="s">
        <v>200</v>
      </c>
      <c r="C12131" s="27" t="s">
        <v>53</v>
      </c>
      <c r="D12131" s="27" t="s">
        <v>6</v>
      </c>
      <c r="E12131" s="27" t="s">
        <v>42</v>
      </c>
      <c r="F12131" s="29"/>
      <c r="G12131" s="30">
        <f t="shared" si="215"/>
        <v>80.482625925925831</v>
      </c>
    </row>
    <row r="12132" spans="1:7" hidden="1" x14ac:dyDescent="0.25">
      <c r="A12132" s="28">
        <v>44562</v>
      </c>
      <c r="B12132" s="27" t="s">
        <v>200</v>
      </c>
      <c r="C12132" s="27" t="s">
        <v>53</v>
      </c>
      <c r="D12132" s="27" t="s">
        <v>6</v>
      </c>
      <c r="E12132" s="27" t="s">
        <v>72</v>
      </c>
      <c r="F12132" s="29"/>
      <c r="G12132" s="30">
        <f t="shared" si="215"/>
        <v>80.482625925925831</v>
      </c>
    </row>
    <row r="12133" spans="1:7" hidden="1" x14ac:dyDescent="0.25">
      <c r="A12133" s="28">
        <v>44562</v>
      </c>
      <c r="B12133" s="27" t="s">
        <v>200</v>
      </c>
      <c r="C12133" s="27" t="s">
        <v>53</v>
      </c>
      <c r="D12133" s="27" t="s">
        <v>6</v>
      </c>
      <c r="E12133" s="27" t="s">
        <v>12</v>
      </c>
      <c r="F12133" s="29"/>
      <c r="G12133" s="30">
        <f t="shared" si="215"/>
        <v>80.482625925925831</v>
      </c>
    </row>
    <row r="12134" spans="1:7" hidden="1" x14ac:dyDescent="0.25">
      <c r="A12134" s="28">
        <v>44562</v>
      </c>
      <c r="B12134" s="27" t="s">
        <v>200</v>
      </c>
      <c r="C12134" s="27" t="s">
        <v>54</v>
      </c>
      <c r="D12134" s="27" t="s">
        <v>7</v>
      </c>
      <c r="E12134" s="27" t="s">
        <v>8</v>
      </c>
      <c r="F12134" s="29"/>
      <c r="G12134" s="30">
        <f t="shared" ref="G12134:G12158" si="216">26.47/25</f>
        <v>1.0588</v>
      </c>
    </row>
    <row r="12135" spans="1:7" hidden="1" x14ac:dyDescent="0.25">
      <c r="A12135" s="28">
        <v>44562</v>
      </c>
      <c r="B12135" s="27" t="s">
        <v>200</v>
      </c>
      <c r="C12135" s="27" t="s">
        <v>54</v>
      </c>
      <c r="D12135" s="27" t="s">
        <v>7</v>
      </c>
      <c r="E12135" s="27" t="s">
        <v>9</v>
      </c>
      <c r="F12135" s="29"/>
      <c r="G12135" s="30">
        <f t="shared" si="216"/>
        <v>1.0588</v>
      </c>
    </row>
    <row r="12136" spans="1:7" hidden="1" x14ac:dyDescent="0.25">
      <c r="A12136" s="28">
        <v>44562</v>
      </c>
      <c r="B12136" s="27" t="s">
        <v>200</v>
      </c>
      <c r="C12136" s="27" t="s">
        <v>54</v>
      </c>
      <c r="D12136" s="27" t="s">
        <v>7</v>
      </c>
      <c r="E12136" s="27" t="s">
        <v>22</v>
      </c>
      <c r="F12136" s="29"/>
      <c r="G12136" s="30">
        <f t="shared" si="216"/>
        <v>1.0588</v>
      </c>
    </row>
    <row r="12137" spans="1:7" hidden="1" x14ac:dyDescent="0.25">
      <c r="A12137" s="28">
        <v>44562</v>
      </c>
      <c r="B12137" s="27" t="s">
        <v>200</v>
      </c>
      <c r="C12137" s="27" t="s">
        <v>54</v>
      </c>
      <c r="D12137" s="27" t="s">
        <v>7</v>
      </c>
      <c r="E12137" s="27" t="s">
        <v>39</v>
      </c>
      <c r="F12137" s="29"/>
      <c r="G12137" s="30">
        <f t="shared" si="216"/>
        <v>1.0588</v>
      </c>
    </row>
    <row r="12138" spans="1:7" hidden="1" x14ac:dyDescent="0.25">
      <c r="A12138" s="28">
        <v>44562</v>
      </c>
      <c r="B12138" s="27" t="s">
        <v>200</v>
      </c>
      <c r="C12138" s="27" t="s">
        <v>54</v>
      </c>
      <c r="D12138" s="27" t="s">
        <v>7</v>
      </c>
      <c r="E12138" s="27" t="s">
        <v>64</v>
      </c>
      <c r="F12138" s="29"/>
      <c r="G12138" s="30">
        <f t="shared" si="216"/>
        <v>1.0588</v>
      </c>
    </row>
    <row r="12139" spans="1:7" hidden="1" x14ac:dyDescent="0.25">
      <c r="A12139" s="28">
        <v>44562</v>
      </c>
      <c r="B12139" s="27" t="s">
        <v>200</v>
      </c>
      <c r="C12139" s="27" t="s">
        <v>54</v>
      </c>
      <c r="D12139" s="27" t="s">
        <v>7</v>
      </c>
      <c r="E12139" s="27" t="s">
        <v>21</v>
      </c>
      <c r="F12139" s="29"/>
      <c r="G12139" s="30">
        <f t="shared" si="216"/>
        <v>1.0588</v>
      </c>
    </row>
    <row r="12140" spans="1:7" hidden="1" x14ac:dyDescent="0.25">
      <c r="A12140" s="28">
        <v>44562</v>
      </c>
      <c r="B12140" s="27" t="s">
        <v>200</v>
      </c>
      <c r="C12140" s="27" t="s">
        <v>54</v>
      </c>
      <c r="D12140" s="27" t="s">
        <v>7</v>
      </c>
      <c r="E12140" s="27" t="s">
        <v>41</v>
      </c>
      <c r="F12140" s="29"/>
      <c r="G12140" s="30">
        <f t="shared" si="216"/>
        <v>1.0588</v>
      </c>
    </row>
    <row r="12141" spans="1:7" hidden="1" x14ac:dyDescent="0.25">
      <c r="A12141" s="28">
        <v>44562</v>
      </c>
      <c r="B12141" s="27" t="s">
        <v>200</v>
      </c>
      <c r="C12141" s="27" t="s">
        <v>54</v>
      </c>
      <c r="D12141" s="27" t="s">
        <v>7</v>
      </c>
      <c r="E12141" s="27" t="s">
        <v>10</v>
      </c>
      <c r="F12141" s="29"/>
      <c r="G12141" s="30">
        <f t="shared" si="216"/>
        <v>1.0588</v>
      </c>
    </row>
    <row r="12142" spans="1:7" hidden="1" x14ac:dyDescent="0.25">
      <c r="A12142" s="28">
        <v>44562</v>
      </c>
      <c r="B12142" s="27" t="s">
        <v>200</v>
      </c>
      <c r="C12142" s="27" t="s">
        <v>54</v>
      </c>
      <c r="D12142" s="27" t="s">
        <v>7</v>
      </c>
      <c r="E12142" s="27" t="s">
        <v>11</v>
      </c>
      <c r="F12142" s="29"/>
      <c r="G12142" s="30">
        <f t="shared" si="216"/>
        <v>1.0588</v>
      </c>
    </row>
    <row r="12143" spans="1:7" hidden="1" x14ac:dyDescent="0.25">
      <c r="A12143" s="28">
        <v>44562</v>
      </c>
      <c r="B12143" s="27" t="s">
        <v>200</v>
      </c>
      <c r="C12143" s="27" t="s">
        <v>54</v>
      </c>
      <c r="D12143" s="27" t="s">
        <v>7</v>
      </c>
      <c r="E12143" s="27" t="s">
        <v>12</v>
      </c>
      <c r="F12143" s="29"/>
      <c r="G12143" s="30">
        <f t="shared" si="216"/>
        <v>1.0588</v>
      </c>
    </row>
    <row r="12144" spans="1:7" hidden="1" x14ac:dyDescent="0.25">
      <c r="A12144" s="28">
        <v>44562</v>
      </c>
      <c r="B12144" s="27" t="s">
        <v>200</v>
      </c>
      <c r="C12144" s="27" t="s">
        <v>54</v>
      </c>
      <c r="D12144" s="27" t="s">
        <v>7</v>
      </c>
      <c r="E12144" s="27" t="s">
        <v>13</v>
      </c>
      <c r="F12144" s="29"/>
      <c r="G12144" s="30">
        <f t="shared" si="216"/>
        <v>1.0588</v>
      </c>
    </row>
    <row r="12145" spans="1:7" hidden="1" x14ac:dyDescent="0.25">
      <c r="A12145" s="28">
        <v>44562</v>
      </c>
      <c r="B12145" s="27" t="s">
        <v>200</v>
      </c>
      <c r="C12145" s="27" t="s">
        <v>54</v>
      </c>
      <c r="D12145" s="27" t="s">
        <v>7</v>
      </c>
      <c r="E12145" s="27" t="s">
        <v>14</v>
      </c>
      <c r="F12145" s="29"/>
      <c r="G12145" s="30">
        <f t="shared" si="216"/>
        <v>1.0588</v>
      </c>
    </row>
    <row r="12146" spans="1:7" hidden="1" x14ac:dyDescent="0.25">
      <c r="A12146" s="28">
        <v>44562</v>
      </c>
      <c r="B12146" s="27" t="s">
        <v>200</v>
      </c>
      <c r="C12146" s="27" t="s">
        <v>54</v>
      </c>
      <c r="D12146" s="27" t="s">
        <v>7</v>
      </c>
      <c r="E12146" s="27" t="s">
        <v>15</v>
      </c>
      <c r="F12146" s="29"/>
      <c r="G12146" s="30">
        <f t="shared" si="216"/>
        <v>1.0588</v>
      </c>
    </row>
    <row r="12147" spans="1:7" hidden="1" x14ac:dyDescent="0.25">
      <c r="A12147" s="28">
        <v>44562</v>
      </c>
      <c r="B12147" s="27" t="s">
        <v>200</v>
      </c>
      <c r="C12147" s="27" t="s">
        <v>54</v>
      </c>
      <c r="D12147" s="27" t="s">
        <v>7</v>
      </c>
      <c r="E12147" s="27" t="s">
        <v>16</v>
      </c>
      <c r="F12147" s="29"/>
      <c r="G12147" s="30">
        <f t="shared" si="216"/>
        <v>1.0588</v>
      </c>
    </row>
    <row r="12148" spans="1:7" hidden="1" x14ac:dyDescent="0.25">
      <c r="A12148" s="28">
        <v>44562</v>
      </c>
      <c r="B12148" s="27" t="s">
        <v>200</v>
      </c>
      <c r="C12148" s="27" t="s">
        <v>54</v>
      </c>
      <c r="D12148" s="27" t="s">
        <v>7</v>
      </c>
      <c r="E12148" s="27" t="s">
        <v>17</v>
      </c>
      <c r="F12148" s="29"/>
      <c r="G12148" s="30">
        <f t="shared" si="216"/>
        <v>1.0588</v>
      </c>
    </row>
    <row r="12149" spans="1:7" hidden="1" x14ac:dyDescent="0.25">
      <c r="A12149" s="28">
        <v>44562</v>
      </c>
      <c r="B12149" s="27" t="s">
        <v>200</v>
      </c>
      <c r="C12149" s="27" t="s">
        <v>54</v>
      </c>
      <c r="D12149" s="27" t="s">
        <v>7</v>
      </c>
      <c r="E12149" s="27" t="s">
        <v>18</v>
      </c>
      <c r="F12149" s="29"/>
      <c r="G12149" s="30">
        <f t="shared" si="216"/>
        <v>1.0588</v>
      </c>
    </row>
    <row r="12150" spans="1:7" hidden="1" x14ac:dyDescent="0.25">
      <c r="A12150" s="28">
        <v>44562</v>
      </c>
      <c r="B12150" s="27" t="s">
        <v>200</v>
      </c>
      <c r="C12150" s="27" t="s">
        <v>54</v>
      </c>
      <c r="D12150" s="27" t="s">
        <v>7</v>
      </c>
      <c r="E12150" s="27" t="s">
        <v>19</v>
      </c>
      <c r="F12150" s="29"/>
      <c r="G12150" s="30">
        <f t="shared" si="216"/>
        <v>1.0588</v>
      </c>
    </row>
    <row r="12151" spans="1:7" hidden="1" x14ac:dyDescent="0.25">
      <c r="A12151" s="28">
        <v>44562</v>
      </c>
      <c r="B12151" s="27" t="s">
        <v>200</v>
      </c>
      <c r="C12151" s="27" t="s">
        <v>54</v>
      </c>
      <c r="D12151" s="27" t="s">
        <v>7</v>
      </c>
      <c r="E12151" s="27" t="s">
        <v>20</v>
      </c>
      <c r="F12151" s="29"/>
      <c r="G12151" s="30">
        <f t="shared" si="216"/>
        <v>1.0588</v>
      </c>
    </row>
    <row r="12152" spans="1:7" hidden="1" x14ac:dyDescent="0.25">
      <c r="A12152" s="28">
        <v>44562</v>
      </c>
      <c r="B12152" s="27" t="s">
        <v>200</v>
      </c>
      <c r="C12152" s="27" t="s">
        <v>54</v>
      </c>
      <c r="D12152" s="27" t="s">
        <v>7</v>
      </c>
      <c r="E12152" s="27" t="s">
        <v>38</v>
      </c>
      <c r="F12152" s="29"/>
      <c r="G12152" s="30">
        <f t="shared" si="216"/>
        <v>1.0588</v>
      </c>
    </row>
    <row r="12153" spans="1:7" hidden="1" x14ac:dyDescent="0.25">
      <c r="A12153" s="28">
        <v>44562</v>
      </c>
      <c r="B12153" s="27" t="s">
        <v>200</v>
      </c>
      <c r="C12153" s="27" t="s">
        <v>54</v>
      </c>
      <c r="D12153" s="27" t="s">
        <v>7</v>
      </c>
      <c r="E12153" s="27" t="s">
        <v>23</v>
      </c>
      <c r="F12153" s="29"/>
      <c r="G12153" s="30">
        <f t="shared" si="216"/>
        <v>1.0588</v>
      </c>
    </row>
    <row r="12154" spans="1:7" hidden="1" x14ac:dyDescent="0.25">
      <c r="A12154" s="28">
        <v>44562</v>
      </c>
      <c r="B12154" s="27" t="s">
        <v>200</v>
      </c>
      <c r="C12154" s="27" t="s">
        <v>54</v>
      </c>
      <c r="D12154" s="27" t="s">
        <v>7</v>
      </c>
      <c r="E12154" s="27" t="s">
        <v>40</v>
      </c>
      <c r="F12154" s="29"/>
      <c r="G12154" s="30">
        <f t="shared" si="216"/>
        <v>1.0588</v>
      </c>
    </row>
    <row r="12155" spans="1:7" hidden="1" x14ac:dyDescent="0.25">
      <c r="A12155" s="28">
        <v>44562</v>
      </c>
      <c r="B12155" s="27" t="s">
        <v>200</v>
      </c>
      <c r="C12155" s="27" t="s">
        <v>54</v>
      </c>
      <c r="D12155" s="27" t="s">
        <v>7</v>
      </c>
      <c r="E12155" s="27" t="s">
        <v>42</v>
      </c>
      <c r="F12155" s="29"/>
      <c r="G12155" s="30">
        <f t="shared" si="216"/>
        <v>1.0588</v>
      </c>
    </row>
    <row r="12156" spans="1:7" hidden="1" x14ac:dyDescent="0.25">
      <c r="A12156" s="28">
        <v>44562</v>
      </c>
      <c r="B12156" s="27" t="s">
        <v>200</v>
      </c>
      <c r="C12156" s="27" t="s">
        <v>54</v>
      </c>
      <c r="D12156" s="27" t="s">
        <v>7</v>
      </c>
      <c r="E12156" s="27" t="s">
        <v>43</v>
      </c>
      <c r="F12156" s="29"/>
      <c r="G12156" s="30">
        <f t="shared" si="216"/>
        <v>1.0588</v>
      </c>
    </row>
    <row r="12157" spans="1:7" hidden="1" x14ac:dyDescent="0.25">
      <c r="A12157" s="28">
        <v>44562</v>
      </c>
      <c r="B12157" s="27" t="s">
        <v>200</v>
      </c>
      <c r="C12157" s="27" t="s">
        <v>54</v>
      </c>
      <c r="D12157" s="27" t="s">
        <v>7</v>
      </c>
      <c r="E12157" s="27" t="s">
        <v>72</v>
      </c>
      <c r="F12157" s="29"/>
      <c r="G12157" s="30">
        <f t="shared" si="216"/>
        <v>1.0588</v>
      </c>
    </row>
    <row r="12158" spans="1:7" hidden="1" x14ac:dyDescent="0.25">
      <c r="A12158" s="28">
        <v>44562</v>
      </c>
      <c r="B12158" s="27" t="s">
        <v>200</v>
      </c>
      <c r="C12158" s="27" t="s">
        <v>54</v>
      </c>
      <c r="D12158" s="27" t="s">
        <v>7</v>
      </c>
      <c r="E12158" s="27" t="s">
        <v>206</v>
      </c>
      <c r="F12158" s="29"/>
      <c r="G12158" s="30">
        <f t="shared" si="216"/>
        <v>1.0588</v>
      </c>
    </row>
    <row r="12159" spans="1:7" hidden="1" x14ac:dyDescent="0.25">
      <c r="A12159" s="28">
        <v>44562</v>
      </c>
      <c r="B12159" s="27" t="s">
        <v>200</v>
      </c>
      <c r="C12159" s="27" t="s">
        <v>55</v>
      </c>
      <c r="D12159" s="27" t="s">
        <v>6</v>
      </c>
      <c r="E12159" s="27" t="s">
        <v>8</v>
      </c>
      <c r="F12159" s="29"/>
      <c r="G12159" s="30">
        <f t="shared" ref="G12159:G12182" si="217">35128.4644/24</f>
        <v>1463.6860166666665</v>
      </c>
    </row>
    <row r="12160" spans="1:7" hidden="1" x14ac:dyDescent="0.25">
      <c r="A12160" s="28">
        <v>44562</v>
      </c>
      <c r="B12160" s="27" t="s">
        <v>200</v>
      </c>
      <c r="C12160" s="27" t="s">
        <v>55</v>
      </c>
      <c r="D12160" s="27" t="s">
        <v>6</v>
      </c>
      <c r="E12160" s="27" t="s">
        <v>9</v>
      </c>
      <c r="F12160" s="29"/>
      <c r="G12160" s="30">
        <f t="shared" si="217"/>
        <v>1463.6860166666665</v>
      </c>
    </row>
    <row r="12161" spans="1:7" hidden="1" x14ac:dyDescent="0.25">
      <c r="A12161" s="28">
        <v>44562</v>
      </c>
      <c r="B12161" s="27" t="s">
        <v>200</v>
      </c>
      <c r="C12161" s="27" t="s">
        <v>55</v>
      </c>
      <c r="D12161" s="27" t="s">
        <v>6</v>
      </c>
      <c r="E12161" s="27" t="s">
        <v>22</v>
      </c>
      <c r="F12161" s="29"/>
      <c r="G12161" s="30">
        <f t="shared" si="217"/>
        <v>1463.6860166666665</v>
      </c>
    </row>
    <row r="12162" spans="1:7" hidden="1" x14ac:dyDescent="0.25">
      <c r="A12162" s="28">
        <v>44562</v>
      </c>
      <c r="B12162" s="27" t="s">
        <v>200</v>
      </c>
      <c r="C12162" s="27" t="s">
        <v>55</v>
      </c>
      <c r="D12162" s="27" t="s">
        <v>6</v>
      </c>
      <c r="E12162" s="27" t="s">
        <v>39</v>
      </c>
      <c r="F12162" s="29"/>
      <c r="G12162" s="30">
        <f t="shared" si="217"/>
        <v>1463.6860166666665</v>
      </c>
    </row>
    <row r="12163" spans="1:7" hidden="1" x14ac:dyDescent="0.25">
      <c r="A12163" s="28">
        <v>44562</v>
      </c>
      <c r="B12163" s="27" t="s">
        <v>200</v>
      </c>
      <c r="C12163" s="27" t="s">
        <v>55</v>
      </c>
      <c r="D12163" s="27" t="s">
        <v>6</v>
      </c>
      <c r="E12163" s="27" t="s">
        <v>64</v>
      </c>
      <c r="F12163" s="29"/>
      <c r="G12163" s="30">
        <f t="shared" si="217"/>
        <v>1463.6860166666665</v>
      </c>
    </row>
    <row r="12164" spans="1:7" hidden="1" x14ac:dyDescent="0.25">
      <c r="A12164" s="28">
        <v>44562</v>
      </c>
      <c r="B12164" s="27" t="s">
        <v>200</v>
      </c>
      <c r="C12164" s="27" t="s">
        <v>55</v>
      </c>
      <c r="D12164" s="27" t="s">
        <v>6</v>
      </c>
      <c r="E12164" s="27" t="s">
        <v>21</v>
      </c>
      <c r="F12164" s="29"/>
      <c r="G12164" s="30">
        <f t="shared" si="217"/>
        <v>1463.6860166666665</v>
      </c>
    </row>
    <row r="12165" spans="1:7" hidden="1" x14ac:dyDescent="0.25">
      <c r="A12165" s="28">
        <v>44562</v>
      </c>
      <c r="B12165" s="27" t="s">
        <v>200</v>
      </c>
      <c r="C12165" s="27" t="s">
        <v>55</v>
      </c>
      <c r="D12165" s="27" t="s">
        <v>6</v>
      </c>
      <c r="E12165" s="27" t="s">
        <v>41</v>
      </c>
      <c r="F12165" s="29"/>
      <c r="G12165" s="30">
        <f t="shared" si="217"/>
        <v>1463.6860166666665</v>
      </c>
    </row>
    <row r="12166" spans="1:7" hidden="1" x14ac:dyDescent="0.25">
      <c r="A12166" s="28">
        <v>44562</v>
      </c>
      <c r="B12166" s="27" t="s">
        <v>200</v>
      </c>
      <c r="C12166" s="27" t="s">
        <v>55</v>
      </c>
      <c r="D12166" s="27" t="s">
        <v>6</v>
      </c>
      <c r="E12166" s="27" t="s">
        <v>10</v>
      </c>
      <c r="F12166" s="29"/>
      <c r="G12166" s="30">
        <f t="shared" si="217"/>
        <v>1463.6860166666665</v>
      </c>
    </row>
    <row r="12167" spans="1:7" hidden="1" x14ac:dyDescent="0.25">
      <c r="A12167" s="28">
        <v>44562</v>
      </c>
      <c r="B12167" s="27" t="s">
        <v>200</v>
      </c>
      <c r="C12167" s="27" t="s">
        <v>55</v>
      </c>
      <c r="D12167" s="27" t="s">
        <v>6</v>
      </c>
      <c r="E12167" s="27" t="s">
        <v>11</v>
      </c>
      <c r="F12167" s="29"/>
      <c r="G12167" s="30">
        <f t="shared" si="217"/>
        <v>1463.6860166666665</v>
      </c>
    </row>
    <row r="12168" spans="1:7" hidden="1" x14ac:dyDescent="0.25">
      <c r="A12168" s="28">
        <v>44562</v>
      </c>
      <c r="B12168" s="27" t="s">
        <v>200</v>
      </c>
      <c r="C12168" s="27" t="s">
        <v>55</v>
      </c>
      <c r="D12168" s="27" t="s">
        <v>6</v>
      </c>
      <c r="E12168" s="27" t="s">
        <v>12</v>
      </c>
      <c r="F12168" s="29"/>
      <c r="G12168" s="30">
        <f t="shared" si="217"/>
        <v>1463.6860166666665</v>
      </c>
    </row>
    <row r="12169" spans="1:7" hidden="1" x14ac:dyDescent="0.25">
      <c r="A12169" s="28">
        <v>44562</v>
      </c>
      <c r="B12169" s="27" t="s">
        <v>200</v>
      </c>
      <c r="C12169" s="27" t="s">
        <v>55</v>
      </c>
      <c r="D12169" s="27" t="s">
        <v>6</v>
      </c>
      <c r="E12169" s="27" t="s">
        <v>13</v>
      </c>
      <c r="F12169" s="29"/>
      <c r="G12169" s="30">
        <f t="shared" si="217"/>
        <v>1463.6860166666665</v>
      </c>
    </row>
    <row r="12170" spans="1:7" hidden="1" x14ac:dyDescent="0.25">
      <c r="A12170" s="28">
        <v>44562</v>
      </c>
      <c r="B12170" s="27" t="s">
        <v>200</v>
      </c>
      <c r="C12170" s="27" t="s">
        <v>55</v>
      </c>
      <c r="D12170" s="27" t="s">
        <v>6</v>
      </c>
      <c r="E12170" s="27" t="s">
        <v>14</v>
      </c>
      <c r="F12170" s="29"/>
      <c r="G12170" s="30">
        <f t="shared" si="217"/>
        <v>1463.6860166666665</v>
      </c>
    </row>
    <row r="12171" spans="1:7" hidden="1" x14ac:dyDescent="0.25">
      <c r="A12171" s="28">
        <v>44562</v>
      </c>
      <c r="B12171" s="27" t="s">
        <v>200</v>
      </c>
      <c r="C12171" s="27" t="s">
        <v>55</v>
      </c>
      <c r="D12171" s="27" t="s">
        <v>6</v>
      </c>
      <c r="E12171" s="27" t="s">
        <v>15</v>
      </c>
      <c r="F12171" s="29"/>
      <c r="G12171" s="30">
        <f t="shared" si="217"/>
        <v>1463.6860166666665</v>
      </c>
    </row>
    <row r="12172" spans="1:7" hidden="1" x14ac:dyDescent="0.25">
      <c r="A12172" s="28">
        <v>44562</v>
      </c>
      <c r="B12172" s="27" t="s">
        <v>200</v>
      </c>
      <c r="C12172" s="27" t="s">
        <v>55</v>
      </c>
      <c r="D12172" s="27" t="s">
        <v>6</v>
      </c>
      <c r="E12172" s="27" t="s">
        <v>16</v>
      </c>
      <c r="F12172" s="29"/>
      <c r="G12172" s="30">
        <f t="shared" si="217"/>
        <v>1463.6860166666665</v>
      </c>
    </row>
    <row r="12173" spans="1:7" hidden="1" x14ac:dyDescent="0.25">
      <c r="A12173" s="28">
        <v>44562</v>
      </c>
      <c r="B12173" s="27" t="s">
        <v>200</v>
      </c>
      <c r="C12173" s="27" t="s">
        <v>55</v>
      </c>
      <c r="D12173" s="27" t="s">
        <v>6</v>
      </c>
      <c r="E12173" s="27" t="s">
        <v>17</v>
      </c>
      <c r="F12173" s="29"/>
      <c r="G12173" s="30">
        <f t="shared" si="217"/>
        <v>1463.6860166666665</v>
      </c>
    </row>
    <row r="12174" spans="1:7" hidden="1" x14ac:dyDescent="0.25">
      <c r="A12174" s="28">
        <v>44562</v>
      </c>
      <c r="B12174" s="27" t="s">
        <v>200</v>
      </c>
      <c r="C12174" s="27" t="s">
        <v>55</v>
      </c>
      <c r="D12174" s="27" t="s">
        <v>6</v>
      </c>
      <c r="E12174" s="27" t="s">
        <v>18</v>
      </c>
      <c r="F12174" s="29"/>
      <c r="G12174" s="30">
        <f t="shared" si="217"/>
        <v>1463.6860166666665</v>
      </c>
    </row>
    <row r="12175" spans="1:7" hidden="1" x14ac:dyDescent="0.25">
      <c r="A12175" s="28">
        <v>44562</v>
      </c>
      <c r="B12175" s="27" t="s">
        <v>200</v>
      </c>
      <c r="C12175" s="27" t="s">
        <v>55</v>
      </c>
      <c r="D12175" s="27" t="s">
        <v>6</v>
      </c>
      <c r="E12175" s="27" t="s">
        <v>19</v>
      </c>
      <c r="F12175" s="29"/>
      <c r="G12175" s="30">
        <f t="shared" si="217"/>
        <v>1463.6860166666665</v>
      </c>
    </row>
    <row r="12176" spans="1:7" hidden="1" x14ac:dyDescent="0.25">
      <c r="A12176" s="28">
        <v>44562</v>
      </c>
      <c r="B12176" s="27" t="s">
        <v>200</v>
      </c>
      <c r="C12176" s="27" t="s">
        <v>55</v>
      </c>
      <c r="D12176" s="27" t="s">
        <v>6</v>
      </c>
      <c r="E12176" s="27" t="s">
        <v>20</v>
      </c>
      <c r="F12176" s="29"/>
      <c r="G12176" s="30">
        <f t="shared" si="217"/>
        <v>1463.6860166666665</v>
      </c>
    </row>
    <row r="12177" spans="1:7" hidden="1" x14ac:dyDescent="0.25">
      <c r="A12177" s="28">
        <v>44562</v>
      </c>
      <c r="B12177" s="27" t="s">
        <v>200</v>
      </c>
      <c r="C12177" s="27" t="s">
        <v>55</v>
      </c>
      <c r="D12177" s="27" t="s">
        <v>6</v>
      </c>
      <c r="E12177" s="27" t="s">
        <v>38</v>
      </c>
      <c r="F12177" s="29"/>
      <c r="G12177" s="30">
        <f t="shared" si="217"/>
        <v>1463.6860166666665</v>
      </c>
    </row>
    <row r="12178" spans="1:7" hidden="1" x14ac:dyDescent="0.25">
      <c r="A12178" s="28">
        <v>44562</v>
      </c>
      <c r="B12178" s="27" t="s">
        <v>200</v>
      </c>
      <c r="C12178" s="27" t="s">
        <v>55</v>
      </c>
      <c r="D12178" s="27" t="s">
        <v>6</v>
      </c>
      <c r="E12178" s="27" t="s">
        <v>23</v>
      </c>
      <c r="F12178" s="29"/>
      <c r="G12178" s="30">
        <f t="shared" si="217"/>
        <v>1463.6860166666665</v>
      </c>
    </row>
    <row r="12179" spans="1:7" hidden="1" x14ac:dyDescent="0.25">
      <c r="A12179" s="28">
        <v>44562</v>
      </c>
      <c r="B12179" s="27" t="s">
        <v>200</v>
      </c>
      <c r="C12179" s="27" t="s">
        <v>55</v>
      </c>
      <c r="D12179" s="27" t="s">
        <v>6</v>
      </c>
      <c r="E12179" s="27" t="s">
        <v>40</v>
      </c>
      <c r="F12179" s="29"/>
      <c r="G12179" s="30">
        <f t="shared" si="217"/>
        <v>1463.6860166666665</v>
      </c>
    </row>
    <row r="12180" spans="1:7" hidden="1" x14ac:dyDescent="0.25">
      <c r="A12180" s="28">
        <v>44562</v>
      </c>
      <c r="B12180" s="27" t="s">
        <v>200</v>
      </c>
      <c r="C12180" s="27" t="s">
        <v>55</v>
      </c>
      <c r="D12180" s="27" t="s">
        <v>6</v>
      </c>
      <c r="E12180" s="27" t="s">
        <v>42</v>
      </c>
      <c r="F12180" s="29"/>
      <c r="G12180" s="30">
        <f t="shared" si="217"/>
        <v>1463.6860166666665</v>
      </c>
    </row>
    <row r="12181" spans="1:7" hidden="1" x14ac:dyDescent="0.25">
      <c r="A12181" s="28">
        <v>44562</v>
      </c>
      <c r="B12181" s="27" t="s">
        <v>200</v>
      </c>
      <c r="C12181" s="27" t="s">
        <v>55</v>
      </c>
      <c r="D12181" s="27" t="s">
        <v>6</v>
      </c>
      <c r="E12181" s="27" t="s">
        <v>72</v>
      </c>
      <c r="F12181" s="29"/>
      <c r="G12181" s="30">
        <f t="shared" si="217"/>
        <v>1463.6860166666665</v>
      </c>
    </row>
    <row r="12182" spans="1:7" hidden="1" x14ac:dyDescent="0.25">
      <c r="A12182" s="28">
        <v>44562</v>
      </c>
      <c r="B12182" s="27" t="s">
        <v>200</v>
      </c>
      <c r="C12182" s="27" t="s">
        <v>55</v>
      </c>
      <c r="D12182" s="27" t="s">
        <v>6</v>
      </c>
      <c r="E12182" s="27" t="s">
        <v>12</v>
      </c>
      <c r="F12182" s="29"/>
      <c r="G12182" s="30">
        <f t="shared" si="217"/>
        <v>1463.6860166666665</v>
      </c>
    </row>
    <row r="12183" spans="1:7" hidden="1" x14ac:dyDescent="0.25">
      <c r="A12183" s="28">
        <v>44562</v>
      </c>
      <c r="B12183" s="27" t="s">
        <v>200</v>
      </c>
      <c r="C12183" s="27" t="s">
        <v>183</v>
      </c>
      <c r="D12183" s="27" t="s">
        <v>7</v>
      </c>
      <c r="E12183" s="27" t="s">
        <v>8</v>
      </c>
      <c r="F12183" s="29"/>
      <c r="G12183" s="30">
        <f t="shared" ref="G12183:G12207" si="218">2342.84/25</f>
        <v>93.7136</v>
      </c>
    </row>
    <row r="12184" spans="1:7" hidden="1" x14ac:dyDescent="0.25">
      <c r="A12184" s="28">
        <v>44562</v>
      </c>
      <c r="B12184" s="27" t="s">
        <v>200</v>
      </c>
      <c r="C12184" s="27" t="s">
        <v>183</v>
      </c>
      <c r="D12184" s="27" t="s">
        <v>7</v>
      </c>
      <c r="E12184" s="27" t="s">
        <v>9</v>
      </c>
      <c r="F12184" s="29"/>
      <c r="G12184" s="30">
        <f t="shared" si="218"/>
        <v>93.7136</v>
      </c>
    </row>
    <row r="12185" spans="1:7" hidden="1" x14ac:dyDescent="0.25">
      <c r="A12185" s="28">
        <v>44562</v>
      </c>
      <c r="B12185" s="27" t="s">
        <v>200</v>
      </c>
      <c r="C12185" s="27" t="s">
        <v>183</v>
      </c>
      <c r="D12185" s="27" t="s">
        <v>7</v>
      </c>
      <c r="E12185" s="27" t="s">
        <v>22</v>
      </c>
      <c r="F12185" s="29"/>
      <c r="G12185" s="30">
        <f t="shared" si="218"/>
        <v>93.7136</v>
      </c>
    </row>
    <row r="12186" spans="1:7" hidden="1" x14ac:dyDescent="0.25">
      <c r="A12186" s="28">
        <v>44562</v>
      </c>
      <c r="B12186" s="27" t="s">
        <v>200</v>
      </c>
      <c r="C12186" s="27" t="s">
        <v>183</v>
      </c>
      <c r="D12186" s="27" t="s">
        <v>7</v>
      </c>
      <c r="E12186" s="27" t="s">
        <v>39</v>
      </c>
      <c r="F12186" s="29"/>
      <c r="G12186" s="30">
        <f t="shared" si="218"/>
        <v>93.7136</v>
      </c>
    </row>
    <row r="12187" spans="1:7" hidden="1" x14ac:dyDescent="0.25">
      <c r="A12187" s="28">
        <v>44562</v>
      </c>
      <c r="B12187" s="27" t="s">
        <v>200</v>
      </c>
      <c r="C12187" s="27" t="s">
        <v>183</v>
      </c>
      <c r="D12187" s="27" t="s">
        <v>7</v>
      </c>
      <c r="E12187" s="27" t="s">
        <v>64</v>
      </c>
      <c r="F12187" s="29"/>
      <c r="G12187" s="30">
        <f t="shared" si="218"/>
        <v>93.7136</v>
      </c>
    </row>
    <row r="12188" spans="1:7" hidden="1" x14ac:dyDescent="0.25">
      <c r="A12188" s="28">
        <v>44562</v>
      </c>
      <c r="B12188" s="27" t="s">
        <v>200</v>
      </c>
      <c r="C12188" s="27" t="s">
        <v>183</v>
      </c>
      <c r="D12188" s="27" t="s">
        <v>7</v>
      </c>
      <c r="E12188" s="27" t="s">
        <v>21</v>
      </c>
      <c r="F12188" s="29"/>
      <c r="G12188" s="30">
        <f t="shared" si="218"/>
        <v>93.7136</v>
      </c>
    </row>
    <row r="12189" spans="1:7" hidden="1" x14ac:dyDescent="0.25">
      <c r="A12189" s="28">
        <v>44562</v>
      </c>
      <c r="B12189" s="27" t="s">
        <v>200</v>
      </c>
      <c r="C12189" s="27" t="s">
        <v>183</v>
      </c>
      <c r="D12189" s="27" t="s">
        <v>7</v>
      </c>
      <c r="E12189" s="27" t="s">
        <v>41</v>
      </c>
      <c r="F12189" s="29"/>
      <c r="G12189" s="30">
        <f t="shared" si="218"/>
        <v>93.7136</v>
      </c>
    </row>
    <row r="12190" spans="1:7" hidden="1" x14ac:dyDescent="0.25">
      <c r="A12190" s="28">
        <v>44562</v>
      </c>
      <c r="B12190" s="27" t="s">
        <v>200</v>
      </c>
      <c r="C12190" s="27" t="s">
        <v>183</v>
      </c>
      <c r="D12190" s="27" t="s">
        <v>7</v>
      </c>
      <c r="E12190" s="27" t="s">
        <v>10</v>
      </c>
      <c r="F12190" s="29"/>
      <c r="G12190" s="30">
        <f t="shared" si="218"/>
        <v>93.7136</v>
      </c>
    </row>
    <row r="12191" spans="1:7" hidden="1" x14ac:dyDescent="0.25">
      <c r="A12191" s="28">
        <v>44562</v>
      </c>
      <c r="B12191" s="27" t="s">
        <v>200</v>
      </c>
      <c r="C12191" s="27" t="s">
        <v>183</v>
      </c>
      <c r="D12191" s="27" t="s">
        <v>7</v>
      </c>
      <c r="E12191" s="27" t="s">
        <v>11</v>
      </c>
      <c r="F12191" s="29"/>
      <c r="G12191" s="30">
        <f t="shared" si="218"/>
        <v>93.7136</v>
      </c>
    </row>
    <row r="12192" spans="1:7" hidden="1" x14ac:dyDescent="0.25">
      <c r="A12192" s="28">
        <v>44562</v>
      </c>
      <c r="B12192" s="27" t="s">
        <v>200</v>
      </c>
      <c r="C12192" s="27" t="s">
        <v>183</v>
      </c>
      <c r="D12192" s="27" t="s">
        <v>7</v>
      </c>
      <c r="E12192" s="27" t="s">
        <v>12</v>
      </c>
      <c r="F12192" s="29"/>
      <c r="G12192" s="30">
        <f t="shared" si="218"/>
        <v>93.7136</v>
      </c>
    </row>
    <row r="12193" spans="1:7" hidden="1" x14ac:dyDescent="0.25">
      <c r="A12193" s="28">
        <v>44562</v>
      </c>
      <c r="B12193" s="27" t="s">
        <v>200</v>
      </c>
      <c r="C12193" s="27" t="s">
        <v>183</v>
      </c>
      <c r="D12193" s="27" t="s">
        <v>7</v>
      </c>
      <c r="E12193" s="27" t="s">
        <v>13</v>
      </c>
      <c r="F12193" s="29"/>
      <c r="G12193" s="30">
        <f t="shared" si="218"/>
        <v>93.7136</v>
      </c>
    </row>
    <row r="12194" spans="1:7" hidden="1" x14ac:dyDescent="0.25">
      <c r="A12194" s="28">
        <v>44562</v>
      </c>
      <c r="B12194" s="27" t="s">
        <v>200</v>
      </c>
      <c r="C12194" s="27" t="s">
        <v>183</v>
      </c>
      <c r="D12194" s="27" t="s">
        <v>7</v>
      </c>
      <c r="E12194" s="27" t="s">
        <v>14</v>
      </c>
      <c r="F12194" s="29"/>
      <c r="G12194" s="30">
        <f t="shared" si="218"/>
        <v>93.7136</v>
      </c>
    </row>
    <row r="12195" spans="1:7" hidden="1" x14ac:dyDescent="0.25">
      <c r="A12195" s="28">
        <v>44562</v>
      </c>
      <c r="B12195" s="27" t="s">
        <v>200</v>
      </c>
      <c r="C12195" s="27" t="s">
        <v>183</v>
      </c>
      <c r="D12195" s="27" t="s">
        <v>7</v>
      </c>
      <c r="E12195" s="27" t="s">
        <v>15</v>
      </c>
      <c r="F12195" s="29"/>
      <c r="G12195" s="30">
        <f t="shared" si="218"/>
        <v>93.7136</v>
      </c>
    </row>
    <row r="12196" spans="1:7" hidden="1" x14ac:dyDescent="0.25">
      <c r="A12196" s="28">
        <v>44562</v>
      </c>
      <c r="B12196" s="27" t="s">
        <v>200</v>
      </c>
      <c r="C12196" s="27" t="s">
        <v>183</v>
      </c>
      <c r="D12196" s="27" t="s">
        <v>7</v>
      </c>
      <c r="E12196" s="27" t="s">
        <v>16</v>
      </c>
      <c r="F12196" s="29"/>
      <c r="G12196" s="30">
        <f t="shared" si="218"/>
        <v>93.7136</v>
      </c>
    </row>
    <row r="12197" spans="1:7" hidden="1" x14ac:dyDescent="0.25">
      <c r="A12197" s="28">
        <v>44562</v>
      </c>
      <c r="B12197" s="27" t="s">
        <v>200</v>
      </c>
      <c r="C12197" s="27" t="s">
        <v>183</v>
      </c>
      <c r="D12197" s="27" t="s">
        <v>7</v>
      </c>
      <c r="E12197" s="27" t="s">
        <v>17</v>
      </c>
      <c r="F12197" s="29"/>
      <c r="G12197" s="30">
        <f t="shared" si="218"/>
        <v>93.7136</v>
      </c>
    </row>
    <row r="12198" spans="1:7" hidden="1" x14ac:dyDescent="0.25">
      <c r="A12198" s="28">
        <v>44562</v>
      </c>
      <c r="B12198" s="27" t="s">
        <v>200</v>
      </c>
      <c r="C12198" s="27" t="s">
        <v>183</v>
      </c>
      <c r="D12198" s="27" t="s">
        <v>7</v>
      </c>
      <c r="E12198" s="27" t="s">
        <v>18</v>
      </c>
      <c r="F12198" s="29"/>
      <c r="G12198" s="30">
        <f t="shared" si="218"/>
        <v>93.7136</v>
      </c>
    </row>
    <row r="12199" spans="1:7" hidden="1" x14ac:dyDescent="0.25">
      <c r="A12199" s="28">
        <v>44562</v>
      </c>
      <c r="B12199" s="27" t="s">
        <v>200</v>
      </c>
      <c r="C12199" s="27" t="s">
        <v>183</v>
      </c>
      <c r="D12199" s="27" t="s">
        <v>7</v>
      </c>
      <c r="E12199" s="27" t="s">
        <v>19</v>
      </c>
      <c r="F12199" s="29"/>
      <c r="G12199" s="30">
        <f t="shared" si="218"/>
        <v>93.7136</v>
      </c>
    </row>
    <row r="12200" spans="1:7" hidden="1" x14ac:dyDescent="0.25">
      <c r="A12200" s="28">
        <v>44562</v>
      </c>
      <c r="B12200" s="27" t="s">
        <v>200</v>
      </c>
      <c r="C12200" s="27" t="s">
        <v>183</v>
      </c>
      <c r="D12200" s="27" t="s">
        <v>7</v>
      </c>
      <c r="E12200" s="27" t="s">
        <v>20</v>
      </c>
      <c r="F12200" s="29"/>
      <c r="G12200" s="30">
        <f t="shared" si="218"/>
        <v>93.7136</v>
      </c>
    </row>
    <row r="12201" spans="1:7" hidden="1" x14ac:dyDescent="0.25">
      <c r="A12201" s="28">
        <v>44562</v>
      </c>
      <c r="B12201" s="27" t="s">
        <v>200</v>
      </c>
      <c r="C12201" s="27" t="s">
        <v>183</v>
      </c>
      <c r="D12201" s="27" t="s">
        <v>7</v>
      </c>
      <c r="E12201" s="27" t="s">
        <v>38</v>
      </c>
      <c r="F12201" s="29"/>
      <c r="G12201" s="30">
        <f t="shared" si="218"/>
        <v>93.7136</v>
      </c>
    </row>
    <row r="12202" spans="1:7" hidden="1" x14ac:dyDescent="0.25">
      <c r="A12202" s="28">
        <v>44562</v>
      </c>
      <c r="B12202" s="27" t="s">
        <v>200</v>
      </c>
      <c r="C12202" s="27" t="s">
        <v>183</v>
      </c>
      <c r="D12202" s="27" t="s">
        <v>7</v>
      </c>
      <c r="E12202" s="27" t="s">
        <v>23</v>
      </c>
      <c r="F12202" s="29"/>
      <c r="G12202" s="30">
        <f t="shared" si="218"/>
        <v>93.7136</v>
      </c>
    </row>
    <row r="12203" spans="1:7" hidden="1" x14ac:dyDescent="0.25">
      <c r="A12203" s="28">
        <v>44562</v>
      </c>
      <c r="B12203" s="27" t="s">
        <v>200</v>
      </c>
      <c r="C12203" s="27" t="s">
        <v>183</v>
      </c>
      <c r="D12203" s="27" t="s">
        <v>7</v>
      </c>
      <c r="E12203" s="27" t="s">
        <v>40</v>
      </c>
      <c r="F12203" s="29"/>
      <c r="G12203" s="30">
        <f t="shared" si="218"/>
        <v>93.7136</v>
      </c>
    </row>
    <row r="12204" spans="1:7" hidden="1" x14ac:dyDescent="0.25">
      <c r="A12204" s="28">
        <v>44562</v>
      </c>
      <c r="B12204" s="27" t="s">
        <v>200</v>
      </c>
      <c r="C12204" s="27" t="s">
        <v>183</v>
      </c>
      <c r="D12204" s="27" t="s">
        <v>7</v>
      </c>
      <c r="E12204" s="27" t="s">
        <v>42</v>
      </c>
      <c r="F12204" s="29"/>
      <c r="G12204" s="30">
        <f t="shared" si="218"/>
        <v>93.7136</v>
      </c>
    </row>
    <row r="12205" spans="1:7" hidden="1" x14ac:dyDescent="0.25">
      <c r="A12205" s="28">
        <v>44562</v>
      </c>
      <c r="B12205" s="27" t="s">
        <v>200</v>
      </c>
      <c r="C12205" s="27" t="s">
        <v>183</v>
      </c>
      <c r="D12205" s="27" t="s">
        <v>7</v>
      </c>
      <c r="E12205" s="27" t="s">
        <v>43</v>
      </c>
      <c r="F12205" s="29"/>
      <c r="G12205" s="30">
        <f t="shared" si="218"/>
        <v>93.7136</v>
      </c>
    </row>
    <row r="12206" spans="1:7" hidden="1" x14ac:dyDescent="0.25">
      <c r="A12206" s="28">
        <v>44562</v>
      </c>
      <c r="B12206" s="27" t="s">
        <v>200</v>
      </c>
      <c r="C12206" s="27" t="s">
        <v>183</v>
      </c>
      <c r="D12206" s="27" t="s">
        <v>7</v>
      </c>
      <c r="E12206" s="27" t="s">
        <v>72</v>
      </c>
      <c r="F12206" s="29"/>
      <c r="G12206" s="30">
        <f t="shared" si="218"/>
        <v>93.7136</v>
      </c>
    </row>
    <row r="12207" spans="1:7" hidden="1" x14ac:dyDescent="0.25">
      <c r="A12207" s="28">
        <v>44562</v>
      </c>
      <c r="B12207" s="27" t="s">
        <v>200</v>
      </c>
      <c r="C12207" s="27" t="s">
        <v>183</v>
      </c>
      <c r="D12207" s="27" t="s">
        <v>7</v>
      </c>
      <c r="E12207" s="27" t="s">
        <v>206</v>
      </c>
      <c r="F12207" s="29"/>
      <c r="G12207" s="30">
        <f t="shared" si="218"/>
        <v>93.7136</v>
      </c>
    </row>
    <row r="12208" spans="1:7" hidden="1" x14ac:dyDescent="0.25">
      <c r="A12208" s="28">
        <v>44562</v>
      </c>
      <c r="B12208" s="27" t="s">
        <v>200</v>
      </c>
      <c r="C12208" s="27" t="s">
        <v>56</v>
      </c>
      <c r="D12208" s="27" t="s">
        <v>6</v>
      </c>
      <c r="E12208" s="27" t="s">
        <v>8</v>
      </c>
      <c r="F12208" s="29"/>
      <c r="G12208" s="30">
        <f t="shared" ref="G12208:G12231" si="219">54229.9074222221/24</f>
        <v>2259.5794759259211</v>
      </c>
    </row>
    <row r="12209" spans="1:7" hidden="1" x14ac:dyDescent="0.25">
      <c r="A12209" s="28">
        <v>44562</v>
      </c>
      <c r="B12209" s="27" t="s">
        <v>200</v>
      </c>
      <c r="C12209" s="27" t="s">
        <v>56</v>
      </c>
      <c r="D12209" s="27" t="s">
        <v>6</v>
      </c>
      <c r="E12209" s="27" t="s">
        <v>9</v>
      </c>
      <c r="F12209" s="29"/>
      <c r="G12209" s="30">
        <f t="shared" si="219"/>
        <v>2259.5794759259211</v>
      </c>
    </row>
    <row r="12210" spans="1:7" hidden="1" x14ac:dyDescent="0.25">
      <c r="A12210" s="28">
        <v>44562</v>
      </c>
      <c r="B12210" s="27" t="s">
        <v>200</v>
      </c>
      <c r="C12210" s="27" t="s">
        <v>56</v>
      </c>
      <c r="D12210" s="27" t="s">
        <v>6</v>
      </c>
      <c r="E12210" s="27" t="s">
        <v>22</v>
      </c>
      <c r="F12210" s="29"/>
      <c r="G12210" s="30">
        <f t="shared" si="219"/>
        <v>2259.5794759259211</v>
      </c>
    </row>
    <row r="12211" spans="1:7" hidden="1" x14ac:dyDescent="0.25">
      <c r="A12211" s="28">
        <v>44562</v>
      </c>
      <c r="B12211" s="27" t="s">
        <v>200</v>
      </c>
      <c r="C12211" s="27" t="s">
        <v>56</v>
      </c>
      <c r="D12211" s="27" t="s">
        <v>6</v>
      </c>
      <c r="E12211" s="27" t="s">
        <v>39</v>
      </c>
      <c r="F12211" s="29"/>
      <c r="G12211" s="30">
        <f t="shared" si="219"/>
        <v>2259.5794759259211</v>
      </c>
    </row>
    <row r="12212" spans="1:7" hidden="1" x14ac:dyDescent="0.25">
      <c r="A12212" s="28">
        <v>44562</v>
      </c>
      <c r="B12212" s="27" t="s">
        <v>200</v>
      </c>
      <c r="C12212" s="27" t="s">
        <v>56</v>
      </c>
      <c r="D12212" s="27" t="s">
        <v>6</v>
      </c>
      <c r="E12212" s="27" t="s">
        <v>64</v>
      </c>
      <c r="F12212" s="29"/>
      <c r="G12212" s="30">
        <f t="shared" si="219"/>
        <v>2259.5794759259211</v>
      </c>
    </row>
    <row r="12213" spans="1:7" hidden="1" x14ac:dyDescent="0.25">
      <c r="A12213" s="28">
        <v>44562</v>
      </c>
      <c r="B12213" s="27" t="s">
        <v>200</v>
      </c>
      <c r="C12213" s="27" t="s">
        <v>56</v>
      </c>
      <c r="D12213" s="27" t="s">
        <v>6</v>
      </c>
      <c r="E12213" s="27" t="s">
        <v>21</v>
      </c>
      <c r="F12213" s="29"/>
      <c r="G12213" s="30">
        <f t="shared" si="219"/>
        <v>2259.5794759259211</v>
      </c>
    </row>
    <row r="12214" spans="1:7" hidden="1" x14ac:dyDescent="0.25">
      <c r="A12214" s="28">
        <v>44562</v>
      </c>
      <c r="B12214" s="27" t="s">
        <v>200</v>
      </c>
      <c r="C12214" s="27" t="s">
        <v>56</v>
      </c>
      <c r="D12214" s="27" t="s">
        <v>6</v>
      </c>
      <c r="E12214" s="27" t="s">
        <v>41</v>
      </c>
      <c r="F12214" s="29"/>
      <c r="G12214" s="30">
        <f t="shared" si="219"/>
        <v>2259.5794759259211</v>
      </c>
    </row>
    <row r="12215" spans="1:7" hidden="1" x14ac:dyDescent="0.25">
      <c r="A12215" s="28">
        <v>44562</v>
      </c>
      <c r="B12215" s="27" t="s">
        <v>200</v>
      </c>
      <c r="C12215" s="27" t="s">
        <v>56</v>
      </c>
      <c r="D12215" s="27" t="s">
        <v>6</v>
      </c>
      <c r="E12215" s="27" t="s">
        <v>10</v>
      </c>
      <c r="F12215" s="29"/>
      <c r="G12215" s="30">
        <f t="shared" si="219"/>
        <v>2259.5794759259211</v>
      </c>
    </row>
    <row r="12216" spans="1:7" hidden="1" x14ac:dyDescent="0.25">
      <c r="A12216" s="28">
        <v>44562</v>
      </c>
      <c r="B12216" s="27" t="s">
        <v>200</v>
      </c>
      <c r="C12216" s="27" t="s">
        <v>56</v>
      </c>
      <c r="D12216" s="27" t="s">
        <v>6</v>
      </c>
      <c r="E12216" s="27" t="s">
        <v>11</v>
      </c>
      <c r="F12216" s="29"/>
      <c r="G12216" s="30">
        <f t="shared" si="219"/>
        <v>2259.5794759259211</v>
      </c>
    </row>
    <row r="12217" spans="1:7" hidden="1" x14ac:dyDescent="0.25">
      <c r="A12217" s="28">
        <v>44562</v>
      </c>
      <c r="B12217" s="27" t="s">
        <v>200</v>
      </c>
      <c r="C12217" s="27" t="s">
        <v>56</v>
      </c>
      <c r="D12217" s="27" t="s">
        <v>6</v>
      </c>
      <c r="E12217" s="27" t="s">
        <v>12</v>
      </c>
      <c r="F12217" s="29"/>
      <c r="G12217" s="30">
        <f t="shared" si="219"/>
        <v>2259.5794759259211</v>
      </c>
    </row>
    <row r="12218" spans="1:7" hidden="1" x14ac:dyDescent="0.25">
      <c r="A12218" s="28">
        <v>44562</v>
      </c>
      <c r="B12218" s="27" t="s">
        <v>200</v>
      </c>
      <c r="C12218" s="27" t="s">
        <v>56</v>
      </c>
      <c r="D12218" s="27" t="s">
        <v>6</v>
      </c>
      <c r="E12218" s="27" t="s">
        <v>13</v>
      </c>
      <c r="F12218" s="29"/>
      <c r="G12218" s="30">
        <f t="shared" si="219"/>
        <v>2259.5794759259211</v>
      </c>
    </row>
    <row r="12219" spans="1:7" hidden="1" x14ac:dyDescent="0.25">
      <c r="A12219" s="28">
        <v>44562</v>
      </c>
      <c r="B12219" s="27" t="s">
        <v>200</v>
      </c>
      <c r="C12219" s="27" t="s">
        <v>56</v>
      </c>
      <c r="D12219" s="27" t="s">
        <v>6</v>
      </c>
      <c r="E12219" s="27" t="s">
        <v>14</v>
      </c>
      <c r="F12219" s="29"/>
      <c r="G12219" s="30">
        <f t="shared" si="219"/>
        <v>2259.5794759259211</v>
      </c>
    </row>
    <row r="12220" spans="1:7" hidden="1" x14ac:dyDescent="0.25">
      <c r="A12220" s="28">
        <v>44562</v>
      </c>
      <c r="B12220" s="27" t="s">
        <v>200</v>
      </c>
      <c r="C12220" s="27" t="s">
        <v>56</v>
      </c>
      <c r="D12220" s="27" t="s">
        <v>6</v>
      </c>
      <c r="E12220" s="27" t="s">
        <v>15</v>
      </c>
      <c r="F12220" s="29"/>
      <c r="G12220" s="30">
        <f t="shared" si="219"/>
        <v>2259.5794759259211</v>
      </c>
    </row>
    <row r="12221" spans="1:7" hidden="1" x14ac:dyDescent="0.25">
      <c r="A12221" s="28">
        <v>44562</v>
      </c>
      <c r="B12221" s="27" t="s">
        <v>200</v>
      </c>
      <c r="C12221" s="27" t="s">
        <v>56</v>
      </c>
      <c r="D12221" s="27" t="s">
        <v>6</v>
      </c>
      <c r="E12221" s="27" t="s">
        <v>16</v>
      </c>
      <c r="F12221" s="29"/>
      <c r="G12221" s="30">
        <f t="shared" si="219"/>
        <v>2259.5794759259211</v>
      </c>
    </row>
    <row r="12222" spans="1:7" hidden="1" x14ac:dyDescent="0.25">
      <c r="A12222" s="28">
        <v>44562</v>
      </c>
      <c r="B12222" s="27" t="s">
        <v>200</v>
      </c>
      <c r="C12222" s="27" t="s">
        <v>56</v>
      </c>
      <c r="D12222" s="27" t="s">
        <v>6</v>
      </c>
      <c r="E12222" s="27" t="s">
        <v>17</v>
      </c>
      <c r="F12222" s="29"/>
      <c r="G12222" s="30">
        <f t="shared" si="219"/>
        <v>2259.5794759259211</v>
      </c>
    </row>
    <row r="12223" spans="1:7" hidden="1" x14ac:dyDescent="0.25">
      <c r="A12223" s="28">
        <v>44562</v>
      </c>
      <c r="B12223" s="27" t="s">
        <v>200</v>
      </c>
      <c r="C12223" s="27" t="s">
        <v>56</v>
      </c>
      <c r="D12223" s="27" t="s">
        <v>6</v>
      </c>
      <c r="E12223" s="27" t="s">
        <v>18</v>
      </c>
      <c r="F12223" s="29"/>
      <c r="G12223" s="30">
        <f t="shared" si="219"/>
        <v>2259.5794759259211</v>
      </c>
    </row>
    <row r="12224" spans="1:7" hidden="1" x14ac:dyDescent="0.25">
      <c r="A12224" s="28">
        <v>44562</v>
      </c>
      <c r="B12224" s="27" t="s">
        <v>200</v>
      </c>
      <c r="C12224" s="27" t="s">
        <v>56</v>
      </c>
      <c r="D12224" s="27" t="s">
        <v>6</v>
      </c>
      <c r="E12224" s="27" t="s">
        <v>19</v>
      </c>
      <c r="F12224" s="29"/>
      <c r="G12224" s="30">
        <f t="shared" si="219"/>
        <v>2259.5794759259211</v>
      </c>
    </row>
    <row r="12225" spans="1:7" hidden="1" x14ac:dyDescent="0.25">
      <c r="A12225" s="28">
        <v>44562</v>
      </c>
      <c r="B12225" s="27" t="s">
        <v>200</v>
      </c>
      <c r="C12225" s="27" t="s">
        <v>56</v>
      </c>
      <c r="D12225" s="27" t="s">
        <v>6</v>
      </c>
      <c r="E12225" s="27" t="s">
        <v>20</v>
      </c>
      <c r="F12225" s="29"/>
      <c r="G12225" s="30">
        <f t="shared" si="219"/>
        <v>2259.5794759259211</v>
      </c>
    </row>
    <row r="12226" spans="1:7" hidden="1" x14ac:dyDescent="0.25">
      <c r="A12226" s="28">
        <v>44562</v>
      </c>
      <c r="B12226" s="27" t="s">
        <v>200</v>
      </c>
      <c r="C12226" s="27" t="s">
        <v>56</v>
      </c>
      <c r="D12226" s="27" t="s">
        <v>6</v>
      </c>
      <c r="E12226" s="27" t="s">
        <v>38</v>
      </c>
      <c r="F12226" s="29"/>
      <c r="G12226" s="30">
        <f t="shared" si="219"/>
        <v>2259.5794759259211</v>
      </c>
    </row>
    <row r="12227" spans="1:7" hidden="1" x14ac:dyDescent="0.25">
      <c r="A12227" s="28">
        <v>44562</v>
      </c>
      <c r="B12227" s="27" t="s">
        <v>200</v>
      </c>
      <c r="C12227" s="27" t="s">
        <v>56</v>
      </c>
      <c r="D12227" s="27" t="s">
        <v>6</v>
      </c>
      <c r="E12227" s="27" t="s">
        <v>23</v>
      </c>
      <c r="F12227" s="29"/>
      <c r="G12227" s="30">
        <f t="shared" si="219"/>
        <v>2259.5794759259211</v>
      </c>
    </row>
    <row r="12228" spans="1:7" hidden="1" x14ac:dyDescent="0.25">
      <c r="A12228" s="28">
        <v>44562</v>
      </c>
      <c r="B12228" s="27" t="s">
        <v>200</v>
      </c>
      <c r="C12228" s="27" t="s">
        <v>56</v>
      </c>
      <c r="D12228" s="27" t="s">
        <v>6</v>
      </c>
      <c r="E12228" s="27" t="s">
        <v>40</v>
      </c>
      <c r="F12228" s="29"/>
      <c r="G12228" s="30">
        <f t="shared" si="219"/>
        <v>2259.5794759259211</v>
      </c>
    </row>
    <row r="12229" spans="1:7" hidden="1" x14ac:dyDescent="0.25">
      <c r="A12229" s="28">
        <v>44562</v>
      </c>
      <c r="B12229" s="27" t="s">
        <v>200</v>
      </c>
      <c r="C12229" s="27" t="s">
        <v>56</v>
      </c>
      <c r="D12229" s="27" t="s">
        <v>6</v>
      </c>
      <c r="E12229" s="27" t="s">
        <v>42</v>
      </c>
      <c r="F12229" s="29"/>
      <c r="G12229" s="30">
        <f t="shared" si="219"/>
        <v>2259.5794759259211</v>
      </c>
    </row>
    <row r="12230" spans="1:7" hidden="1" x14ac:dyDescent="0.25">
      <c r="A12230" s="28">
        <v>44562</v>
      </c>
      <c r="B12230" s="27" t="s">
        <v>200</v>
      </c>
      <c r="C12230" s="27" t="s">
        <v>56</v>
      </c>
      <c r="D12230" s="27" t="s">
        <v>6</v>
      </c>
      <c r="E12230" s="27" t="s">
        <v>72</v>
      </c>
      <c r="F12230" s="29"/>
      <c r="G12230" s="30">
        <f t="shared" si="219"/>
        <v>2259.5794759259211</v>
      </c>
    </row>
    <row r="12231" spans="1:7" hidden="1" x14ac:dyDescent="0.25">
      <c r="A12231" s="28">
        <v>44562</v>
      </c>
      <c r="B12231" s="27" t="s">
        <v>200</v>
      </c>
      <c r="C12231" s="27" t="s">
        <v>56</v>
      </c>
      <c r="D12231" s="27" t="s">
        <v>6</v>
      </c>
      <c r="E12231" s="27" t="s">
        <v>12</v>
      </c>
      <c r="F12231" s="29"/>
      <c r="G12231" s="30">
        <f t="shared" si="219"/>
        <v>2259.5794759259211</v>
      </c>
    </row>
    <row r="12232" spans="1:7" hidden="1" x14ac:dyDescent="0.25">
      <c r="A12232" s="28">
        <v>44562</v>
      </c>
      <c r="B12232" s="27" t="s">
        <v>200</v>
      </c>
      <c r="C12232" s="27" t="s">
        <v>182</v>
      </c>
      <c r="D12232" s="27" t="s">
        <v>7</v>
      </c>
      <c r="E12232" s="27" t="s">
        <v>8</v>
      </c>
      <c r="F12232" s="29"/>
      <c r="G12232" s="30">
        <f t="shared" ref="G12232:G12256" si="220">3319.11/25</f>
        <v>132.76439999999999</v>
      </c>
    </row>
    <row r="12233" spans="1:7" hidden="1" x14ac:dyDescent="0.25">
      <c r="A12233" s="28">
        <v>44562</v>
      </c>
      <c r="B12233" s="27" t="s">
        <v>200</v>
      </c>
      <c r="C12233" s="27" t="s">
        <v>182</v>
      </c>
      <c r="D12233" s="27" t="s">
        <v>7</v>
      </c>
      <c r="E12233" s="27" t="s">
        <v>9</v>
      </c>
      <c r="F12233" s="29"/>
      <c r="G12233" s="30">
        <f t="shared" si="220"/>
        <v>132.76439999999999</v>
      </c>
    </row>
    <row r="12234" spans="1:7" hidden="1" x14ac:dyDescent="0.25">
      <c r="A12234" s="28">
        <v>44562</v>
      </c>
      <c r="B12234" s="27" t="s">
        <v>200</v>
      </c>
      <c r="C12234" s="27" t="s">
        <v>182</v>
      </c>
      <c r="D12234" s="27" t="s">
        <v>7</v>
      </c>
      <c r="E12234" s="27" t="s">
        <v>22</v>
      </c>
      <c r="F12234" s="29"/>
      <c r="G12234" s="30">
        <f t="shared" si="220"/>
        <v>132.76439999999999</v>
      </c>
    </row>
    <row r="12235" spans="1:7" hidden="1" x14ac:dyDescent="0.25">
      <c r="A12235" s="28">
        <v>44562</v>
      </c>
      <c r="B12235" s="27" t="s">
        <v>200</v>
      </c>
      <c r="C12235" s="27" t="s">
        <v>182</v>
      </c>
      <c r="D12235" s="27" t="s">
        <v>7</v>
      </c>
      <c r="E12235" s="27" t="s">
        <v>39</v>
      </c>
      <c r="F12235" s="29"/>
      <c r="G12235" s="30">
        <f t="shared" si="220"/>
        <v>132.76439999999999</v>
      </c>
    </row>
    <row r="12236" spans="1:7" hidden="1" x14ac:dyDescent="0.25">
      <c r="A12236" s="28">
        <v>44562</v>
      </c>
      <c r="B12236" s="27" t="s">
        <v>200</v>
      </c>
      <c r="C12236" s="27" t="s">
        <v>182</v>
      </c>
      <c r="D12236" s="27" t="s">
        <v>7</v>
      </c>
      <c r="E12236" s="27" t="s">
        <v>64</v>
      </c>
      <c r="F12236" s="29"/>
      <c r="G12236" s="30">
        <f t="shared" si="220"/>
        <v>132.76439999999999</v>
      </c>
    </row>
    <row r="12237" spans="1:7" hidden="1" x14ac:dyDescent="0.25">
      <c r="A12237" s="28">
        <v>44562</v>
      </c>
      <c r="B12237" s="27" t="s">
        <v>200</v>
      </c>
      <c r="C12237" s="27" t="s">
        <v>182</v>
      </c>
      <c r="D12237" s="27" t="s">
        <v>7</v>
      </c>
      <c r="E12237" s="27" t="s">
        <v>21</v>
      </c>
      <c r="F12237" s="29"/>
      <c r="G12237" s="30">
        <f t="shared" si="220"/>
        <v>132.76439999999999</v>
      </c>
    </row>
    <row r="12238" spans="1:7" hidden="1" x14ac:dyDescent="0.25">
      <c r="A12238" s="28">
        <v>44562</v>
      </c>
      <c r="B12238" s="27" t="s">
        <v>200</v>
      </c>
      <c r="C12238" s="27" t="s">
        <v>182</v>
      </c>
      <c r="D12238" s="27" t="s">
        <v>7</v>
      </c>
      <c r="E12238" s="27" t="s">
        <v>41</v>
      </c>
      <c r="F12238" s="29"/>
      <c r="G12238" s="30">
        <f t="shared" si="220"/>
        <v>132.76439999999999</v>
      </c>
    </row>
    <row r="12239" spans="1:7" hidden="1" x14ac:dyDescent="0.25">
      <c r="A12239" s="28">
        <v>44562</v>
      </c>
      <c r="B12239" s="27" t="s">
        <v>200</v>
      </c>
      <c r="C12239" s="27" t="s">
        <v>182</v>
      </c>
      <c r="D12239" s="27" t="s">
        <v>7</v>
      </c>
      <c r="E12239" s="27" t="s">
        <v>10</v>
      </c>
      <c r="F12239" s="29"/>
      <c r="G12239" s="30">
        <f t="shared" si="220"/>
        <v>132.76439999999999</v>
      </c>
    </row>
    <row r="12240" spans="1:7" hidden="1" x14ac:dyDescent="0.25">
      <c r="A12240" s="28">
        <v>44562</v>
      </c>
      <c r="B12240" s="27" t="s">
        <v>200</v>
      </c>
      <c r="C12240" s="27" t="s">
        <v>182</v>
      </c>
      <c r="D12240" s="27" t="s">
        <v>7</v>
      </c>
      <c r="E12240" s="27" t="s">
        <v>11</v>
      </c>
      <c r="F12240" s="29"/>
      <c r="G12240" s="30">
        <f t="shared" si="220"/>
        <v>132.76439999999999</v>
      </c>
    </row>
    <row r="12241" spans="1:7" hidden="1" x14ac:dyDescent="0.25">
      <c r="A12241" s="28">
        <v>44562</v>
      </c>
      <c r="B12241" s="27" t="s">
        <v>200</v>
      </c>
      <c r="C12241" s="27" t="s">
        <v>182</v>
      </c>
      <c r="D12241" s="27" t="s">
        <v>7</v>
      </c>
      <c r="E12241" s="27" t="s">
        <v>12</v>
      </c>
      <c r="F12241" s="29"/>
      <c r="G12241" s="30">
        <f t="shared" si="220"/>
        <v>132.76439999999999</v>
      </c>
    </row>
    <row r="12242" spans="1:7" hidden="1" x14ac:dyDescent="0.25">
      <c r="A12242" s="28">
        <v>44562</v>
      </c>
      <c r="B12242" s="27" t="s">
        <v>200</v>
      </c>
      <c r="C12242" s="27" t="s">
        <v>182</v>
      </c>
      <c r="D12242" s="27" t="s">
        <v>7</v>
      </c>
      <c r="E12242" s="27" t="s">
        <v>13</v>
      </c>
      <c r="F12242" s="29"/>
      <c r="G12242" s="30">
        <f t="shared" si="220"/>
        <v>132.76439999999999</v>
      </c>
    </row>
    <row r="12243" spans="1:7" hidden="1" x14ac:dyDescent="0.25">
      <c r="A12243" s="28">
        <v>44562</v>
      </c>
      <c r="B12243" s="27" t="s">
        <v>200</v>
      </c>
      <c r="C12243" s="27" t="s">
        <v>182</v>
      </c>
      <c r="D12243" s="27" t="s">
        <v>7</v>
      </c>
      <c r="E12243" s="27" t="s">
        <v>14</v>
      </c>
      <c r="F12243" s="29"/>
      <c r="G12243" s="30">
        <f t="shared" si="220"/>
        <v>132.76439999999999</v>
      </c>
    </row>
    <row r="12244" spans="1:7" hidden="1" x14ac:dyDescent="0.25">
      <c r="A12244" s="28">
        <v>44562</v>
      </c>
      <c r="B12244" s="27" t="s">
        <v>200</v>
      </c>
      <c r="C12244" s="27" t="s">
        <v>182</v>
      </c>
      <c r="D12244" s="27" t="s">
        <v>7</v>
      </c>
      <c r="E12244" s="27" t="s">
        <v>15</v>
      </c>
      <c r="F12244" s="29"/>
      <c r="G12244" s="30">
        <f t="shared" si="220"/>
        <v>132.76439999999999</v>
      </c>
    </row>
    <row r="12245" spans="1:7" hidden="1" x14ac:dyDescent="0.25">
      <c r="A12245" s="28">
        <v>44562</v>
      </c>
      <c r="B12245" s="27" t="s">
        <v>200</v>
      </c>
      <c r="C12245" s="27" t="s">
        <v>182</v>
      </c>
      <c r="D12245" s="27" t="s">
        <v>7</v>
      </c>
      <c r="E12245" s="27" t="s">
        <v>16</v>
      </c>
      <c r="F12245" s="29"/>
      <c r="G12245" s="30">
        <f t="shared" si="220"/>
        <v>132.76439999999999</v>
      </c>
    </row>
    <row r="12246" spans="1:7" hidden="1" x14ac:dyDescent="0.25">
      <c r="A12246" s="28">
        <v>44562</v>
      </c>
      <c r="B12246" s="27" t="s">
        <v>200</v>
      </c>
      <c r="C12246" s="27" t="s">
        <v>182</v>
      </c>
      <c r="D12246" s="27" t="s">
        <v>7</v>
      </c>
      <c r="E12246" s="27" t="s">
        <v>17</v>
      </c>
      <c r="F12246" s="29"/>
      <c r="G12246" s="30">
        <f t="shared" si="220"/>
        <v>132.76439999999999</v>
      </c>
    </row>
    <row r="12247" spans="1:7" hidden="1" x14ac:dyDescent="0.25">
      <c r="A12247" s="28">
        <v>44562</v>
      </c>
      <c r="B12247" s="27" t="s">
        <v>200</v>
      </c>
      <c r="C12247" s="27" t="s">
        <v>182</v>
      </c>
      <c r="D12247" s="27" t="s">
        <v>7</v>
      </c>
      <c r="E12247" s="27" t="s">
        <v>18</v>
      </c>
      <c r="F12247" s="29"/>
      <c r="G12247" s="30">
        <f t="shared" si="220"/>
        <v>132.76439999999999</v>
      </c>
    </row>
    <row r="12248" spans="1:7" hidden="1" x14ac:dyDescent="0.25">
      <c r="A12248" s="28">
        <v>44562</v>
      </c>
      <c r="B12248" s="27" t="s">
        <v>200</v>
      </c>
      <c r="C12248" s="27" t="s">
        <v>182</v>
      </c>
      <c r="D12248" s="27" t="s">
        <v>7</v>
      </c>
      <c r="E12248" s="27" t="s">
        <v>19</v>
      </c>
      <c r="F12248" s="29"/>
      <c r="G12248" s="30">
        <f t="shared" si="220"/>
        <v>132.76439999999999</v>
      </c>
    </row>
    <row r="12249" spans="1:7" hidden="1" x14ac:dyDescent="0.25">
      <c r="A12249" s="28">
        <v>44562</v>
      </c>
      <c r="B12249" s="27" t="s">
        <v>200</v>
      </c>
      <c r="C12249" s="27" t="s">
        <v>182</v>
      </c>
      <c r="D12249" s="27" t="s">
        <v>7</v>
      </c>
      <c r="E12249" s="27" t="s">
        <v>20</v>
      </c>
      <c r="F12249" s="29"/>
      <c r="G12249" s="30">
        <f t="shared" si="220"/>
        <v>132.76439999999999</v>
      </c>
    </row>
    <row r="12250" spans="1:7" hidden="1" x14ac:dyDescent="0.25">
      <c r="A12250" s="28">
        <v>44562</v>
      </c>
      <c r="B12250" s="27" t="s">
        <v>200</v>
      </c>
      <c r="C12250" s="27" t="s">
        <v>182</v>
      </c>
      <c r="D12250" s="27" t="s">
        <v>7</v>
      </c>
      <c r="E12250" s="27" t="s">
        <v>38</v>
      </c>
      <c r="F12250" s="29"/>
      <c r="G12250" s="30">
        <f t="shared" si="220"/>
        <v>132.76439999999999</v>
      </c>
    </row>
    <row r="12251" spans="1:7" hidden="1" x14ac:dyDescent="0.25">
      <c r="A12251" s="28">
        <v>44562</v>
      </c>
      <c r="B12251" s="27" t="s">
        <v>200</v>
      </c>
      <c r="C12251" s="27" t="s">
        <v>182</v>
      </c>
      <c r="D12251" s="27" t="s">
        <v>7</v>
      </c>
      <c r="E12251" s="27" t="s">
        <v>23</v>
      </c>
      <c r="F12251" s="29"/>
      <c r="G12251" s="30">
        <f t="shared" si="220"/>
        <v>132.76439999999999</v>
      </c>
    </row>
    <row r="12252" spans="1:7" hidden="1" x14ac:dyDescent="0.25">
      <c r="A12252" s="28">
        <v>44562</v>
      </c>
      <c r="B12252" s="27" t="s">
        <v>200</v>
      </c>
      <c r="C12252" s="27" t="s">
        <v>182</v>
      </c>
      <c r="D12252" s="27" t="s">
        <v>7</v>
      </c>
      <c r="E12252" s="27" t="s">
        <v>40</v>
      </c>
      <c r="F12252" s="29"/>
      <c r="G12252" s="30">
        <f t="shared" si="220"/>
        <v>132.76439999999999</v>
      </c>
    </row>
    <row r="12253" spans="1:7" hidden="1" x14ac:dyDescent="0.25">
      <c r="A12253" s="28">
        <v>44562</v>
      </c>
      <c r="B12253" s="27" t="s">
        <v>200</v>
      </c>
      <c r="C12253" s="27" t="s">
        <v>182</v>
      </c>
      <c r="D12253" s="27" t="s">
        <v>7</v>
      </c>
      <c r="E12253" s="27" t="s">
        <v>42</v>
      </c>
      <c r="F12253" s="29"/>
      <c r="G12253" s="30">
        <f t="shared" si="220"/>
        <v>132.76439999999999</v>
      </c>
    </row>
    <row r="12254" spans="1:7" hidden="1" x14ac:dyDescent="0.25">
      <c r="A12254" s="28">
        <v>44562</v>
      </c>
      <c r="B12254" s="27" t="s">
        <v>200</v>
      </c>
      <c r="C12254" s="27" t="s">
        <v>182</v>
      </c>
      <c r="D12254" s="27" t="s">
        <v>7</v>
      </c>
      <c r="E12254" s="27" t="s">
        <v>43</v>
      </c>
      <c r="F12254" s="29"/>
      <c r="G12254" s="30">
        <f t="shared" si="220"/>
        <v>132.76439999999999</v>
      </c>
    </row>
    <row r="12255" spans="1:7" hidden="1" x14ac:dyDescent="0.25">
      <c r="A12255" s="28">
        <v>44562</v>
      </c>
      <c r="B12255" s="27" t="s">
        <v>200</v>
      </c>
      <c r="C12255" s="27" t="s">
        <v>182</v>
      </c>
      <c r="D12255" s="27" t="s">
        <v>7</v>
      </c>
      <c r="E12255" s="27" t="s">
        <v>72</v>
      </c>
      <c r="F12255" s="29"/>
      <c r="G12255" s="30">
        <f t="shared" si="220"/>
        <v>132.76439999999999</v>
      </c>
    </row>
    <row r="12256" spans="1:7" hidden="1" x14ac:dyDescent="0.25">
      <c r="A12256" s="28">
        <v>44562</v>
      </c>
      <c r="B12256" s="27" t="s">
        <v>200</v>
      </c>
      <c r="C12256" s="27" t="s">
        <v>182</v>
      </c>
      <c r="D12256" s="27" t="s">
        <v>7</v>
      </c>
      <c r="E12256" s="27" t="s">
        <v>206</v>
      </c>
      <c r="F12256" s="29"/>
      <c r="G12256" s="30">
        <f t="shared" si="220"/>
        <v>132.76439999999999</v>
      </c>
    </row>
    <row r="12257" spans="1:7" hidden="1" x14ac:dyDescent="0.25">
      <c r="A12257" s="28">
        <v>44562</v>
      </c>
      <c r="B12257" s="27" t="s">
        <v>35</v>
      </c>
      <c r="C12257" s="27" t="s">
        <v>50</v>
      </c>
      <c r="D12257" s="27" t="s">
        <v>7</v>
      </c>
      <c r="E12257" s="27" t="s">
        <v>8</v>
      </c>
      <c r="F12257" s="29"/>
      <c r="G12257" s="30">
        <v>544.79279999999994</v>
      </c>
    </row>
    <row r="12258" spans="1:7" hidden="1" x14ac:dyDescent="0.25">
      <c r="A12258" s="28">
        <v>44562</v>
      </c>
      <c r="B12258" s="27" t="s">
        <v>35</v>
      </c>
      <c r="C12258" s="27" t="s">
        <v>50</v>
      </c>
      <c r="D12258" s="27" t="s">
        <v>7</v>
      </c>
      <c r="E12258" s="27" t="s">
        <v>9</v>
      </c>
      <c r="F12258" s="29"/>
      <c r="G12258" s="30">
        <v>544.79279999999994</v>
      </c>
    </row>
    <row r="12259" spans="1:7" hidden="1" x14ac:dyDescent="0.25">
      <c r="A12259" s="28">
        <v>44562</v>
      </c>
      <c r="B12259" s="27" t="s">
        <v>35</v>
      </c>
      <c r="C12259" s="27" t="s">
        <v>50</v>
      </c>
      <c r="D12259" s="27" t="s">
        <v>7</v>
      </c>
      <c r="E12259" s="27" t="s">
        <v>22</v>
      </c>
      <c r="F12259" s="29"/>
      <c r="G12259" s="30">
        <v>544.79279999999994</v>
      </c>
    </row>
    <row r="12260" spans="1:7" hidden="1" x14ac:dyDescent="0.25">
      <c r="A12260" s="28">
        <v>44562</v>
      </c>
      <c r="B12260" s="27" t="s">
        <v>35</v>
      </c>
      <c r="C12260" s="27" t="s">
        <v>50</v>
      </c>
      <c r="D12260" s="27" t="s">
        <v>7</v>
      </c>
      <c r="E12260" s="27" t="s">
        <v>39</v>
      </c>
      <c r="F12260" s="29"/>
      <c r="G12260" s="30">
        <v>544.79279999999994</v>
      </c>
    </row>
    <row r="12261" spans="1:7" hidden="1" x14ac:dyDescent="0.25">
      <c r="A12261" s="28">
        <v>44562</v>
      </c>
      <c r="B12261" s="27" t="s">
        <v>35</v>
      </c>
      <c r="C12261" s="27" t="s">
        <v>50</v>
      </c>
      <c r="D12261" s="27" t="s">
        <v>7</v>
      </c>
      <c r="E12261" s="27" t="s">
        <v>64</v>
      </c>
      <c r="F12261" s="29"/>
      <c r="G12261" s="30">
        <v>544.79279999999994</v>
      </c>
    </row>
    <row r="12262" spans="1:7" hidden="1" x14ac:dyDescent="0.25">
      <c r="A12262" s="28">
        <v>44562</v>
      </c>
      <c r="B12262" s="27" t="s">
        <v>35</v>
      </c>
      <c r="C12262" s="27" t="s">
        <v>50</v>
      </c>
      <c r="D12262" s="27" t="s">
        <v>7</v>
      </c>
      <c r="E12262" s="27" t="s">
        <v>21</v>
      </c>
      <c r="F12262" s="29"/>
      <c r="G12262" s="30">
        <v>544.79279999999994</v>
      </c>
    </row>
    <row r="12263" spans="1:7" hidden="1" x14ac:dyDescent="0.25">
      <c r="A12263" s="28">
        <v>44562</v>
      </c>
      <c r="B12263" s="27" t="s">
        <v>35</v>
      </c>
      <c r="C12263" s="27" t="s">
        <v>50</v>
      </c>
      <c r="D12263" s="27" t="s">
        <v>7</v>
      </c>
      <c r="E12263" s="27" t="s">
        <v>41</v>
      </c>
      <c r="F12263" s="29"/>
      <c r="G12263" s="30">
        <v>544.79279999999994</v>
      </c>
    </row>
    <row r="12264" spans="1:7" hidden="1" x14ac:dyDescent="0.25">
      <c r="A12264" s="28">
        <v>44562</v>
      </c>
      <c r="B12264" s="27" t="s">
        <v>35</v>
      </c>
      <c r="C12264" s="27" t="s">
        <v>50</v>
      </c>
      <c r="D12264" s="27" t="s">
        <v>7</v>
      </c>
      <c r="E12264" s="27" t="s">
        <v>10</v>
      </c>
      <c r="F12264" s="29"/>
      <c r="G12264" s="30">
        <v>544.79279999999994</v>
      </c>
    </row>
    <row r="12265" spans="1:7" hidden="1" x14ac:dyDescent="0.25">
      <c r="A12265" s="28">
        <v>44562</v>
      </c>
      <c r="B12265" s="27" t="s">
        <v>35</v>
      </c>
      <c r="C12265" s="27" t="s">
        <v>50</v>
      </c>
      <c r="D12265" s="27" t="s">
        <v>7</v>
      </c>
      <c r="E12265" s="27" t="s">
        <v>11</v>
      </c>
      <c r="F12265" s="29"/>
      <c r="G12265" s="30">
        <v>544.79279999999994</v>
      </c>
    </row>
    <row r="12266" spans="1:7" hidden="1" x14ac:dyDescent="0.25">
      <c r="A12266" s="28">
        <v>44562</v>
      </c>
      <c r="B12266" s="27" t="s">
        <v>35</v>
      </c>
      <c r="C12266" s="27" t="s">
        <v>50</v>
      </c>
      <c r="D12266" s="27" t="s">
        <v>7</v>
      </c>
      <c r="E12266" s="27" t="s">
        <v>12</v>
      </c>
      <c r="F12266" s="29"/>
      <c r="G12266" s="30">
        <v>544.79279999999994</v>
      </c>
    </row>
    <row r="12267" spans="1:7" hidden="1" x14ac:dyDescent="0.25">
      <c r="A12267" s="28">
        <v>44562</v>
      </c>
      <c r="B12267" s="27" t="s">
        <v>35</v>
      </c>
      <c r="C12267" s="27" t="s">
        <v>50</v>
      </c>
      <c r="D12267" s="27" t="s">
        <v>7</v>
      </c>
      <c r="E12267" s="27" t="s">
        <v>13</v>
      </c>
      <c r="F12267" s="29"/>
      <c r="G12267" s="30">
        <v>544.79279999999994</v>
      </c>
    </row>
    <row r="12268" spans="1:7" hidden="1" x14ac:dyDescent="0.25">
      <c r="A12268" s="28">
        <v>44562</v>
      </c>
      <c r="B12268" s="27" t="s">
        <v>35</v>
      </c>
      <c r="C12268" s="27" t="s">
        <v>50</v>
      </c>
      <c r="D12268" s="27" t="s">
        <v>7</v>
      </c>
      <c r="E12268" s="27" t="s">
        <v>14</v>
      </c>
      <c r="F12268" s="29"/>
      <c r="G12268" s="30">
        <v>544.79279999999994</v>
      </c>
    </row>
    <row r="12269" spans="1:7" hidden="1" x14ac:dyDescent="0.25">
      <c r="A12269" s="28">
        <v>44562</v>
      </c>
      <c r="B12269" s="27" t="s">
        <v>35</v>
      </c>
      <c r="C12269" s="27" t="s">
        <v>50</v>
      </c>
      <c r="D12269" s="27" t="s">
        <v>7</v>
      </c>
      <c r="E12269" s="27" t="s">
        <v>15</v>
      </c>
      <c r="F12269" s="29"/>
      <c r="G12269" s="30">
        <v>544.79279999999994</v>
      </c>
    </row>
    <row r="12270" spans="1:7" hidden="1" x14ac:dyDescent="0.25">
      <c r="A12270" s="28">
        <v>44562</v>
      </c>
      <c r="B12270" s="27" t="s">
        <v>35</v>
      </c>
      <c r="C12270" s="27" t="s">
        <v>50</v>
      </c>
      <c r="D12270" s="27" t="s">
        <v>7</v>
      </c>
      <c r="E12270" s="27" t="s">
        <v>16</v>
      </c>
      <c r="F12270" s="29"/>
      <c r="G12270" s="30">
        <v>544.79279999999994</v>
      </c>
    </row>
    <row r="12271" spans="1:7" hidden="1" x14ac:dyDescent="0.25">
      <c r="A12271" s="28">
        <v>44562</v>
      </c>
      <c r="B12271" s="27" t="s">
        <v>35</v>
      </c>
      <c r="C12271" s="27" t="s">
        <v>50</v>
      </c>
      <c r="D12271" s="27" t="s">
        <v>7</v>
      </c>
      <c r="E12271" s="27" t="s">
        <v>17</v>
      </c>
      <c r="F12271" s="29"/>
      <c r="G12271" s="30">
        <v>544.79279999999994</v>
      </c>
    </row>
    <row r="12272" spans="1:7" hidden="1" x14ac:dyDescent="0.25">
      <c r="A12272" s="28">
        <v>44562</v>
      </c>
      <c r="B12272" s="27" t="s">
        <v>35</v>
      </c>
      <c r="C12272" s="27" t="s">
        <v>50</v>
      </c>
      <c r="D12272" s="27" t="s">
        <v>7</v>
      </c>
      <c r="E12272" s="27" t="s">
        <v>18</v>
      </c>
      <c r="F12272" s="29"/>
      <c r="G12272" s="30">
        <v>544.79279999999994</v>
      </c>
    </row>
    <row r="12273" spans="1:7" hidden="1" x14ac:dyDescent="0.25">
      <c r="A12273" s="28">
        <v>44562</v>
      </c>
      <c r="B12273" s="27" t="s">
        <v>35</v>
      </c>
      <c r="C12273" s="27" t="s">
        <v>50</v>
      </c>
      <c r="D12273" s="27" t="s">
        <v>7</v>
      </c>
      <c r="E12273" s="27" t="s">
        <v>19</v>
      </c>
      <c r="F12273" s="29"/>
      <c r="G12273" s="30">
        <v>544.79279999999994</v>
      </c>
    </row>
    <row r="12274" spans="1:7" hidden="1" x14ac:dyDescent="0.25">
      <c r="A12274" s="28">
        <v>44562</v>
      </c>
      <c r="B12274" s="27" t="s">
        <v>35</v>
      </c>
      <c r="C12274" s="27" t="s">
        <v>50</v>
      </c>
      <c r="D12274" s="27" t="s">
        <v>7</v>
      </c>
      <c r="E12274" s="27" t="s">
        <v>20</v>
      </c>
      <c r="F12274" s="29"/>
      <c r="G12274" s="30">
        <v>544.79279999999994</v>
      </c>
    </row>
    <row r="12275" spans="1:7" hidden="1" x14ac:dyDescent="0.25">
      <c r="A12275" s="28">
        <v>44562</v>
      </c>
      <c r="B12275" s="27" t="s">
        <v>35</v>
      </c>
      <c r="C12275" s="27" t="s">
        <v>50</v>
      </c>
      <c r="D12275" s="27" t="s">
        <v>7</v>
      </c>
      <c r="E12275" s="27" t="s">
        <v>38</v>
      </c>
      <c r="F12275" s="29"/>
      <c r="G12275" s="30">
        <v>544.79279999999994</v>
      </c>
    </row>
    <row r="12276" spans="1:7" hidden="1" x14ac:dyDescent="0.25">
      <c r="A12276" s="28">
        <v>44562</v>
      </c>
      <c r="B12276" s="27" t="s">
        <v>35</v>
      </c>
      <c r="C12276" s="27" t="s">
        <v>50</v>
      </c>
      <c r="D12276" s="27" t="s">
        <v>7</v>
      </c>
      <c r="E12276" s="27" t="s">
        <v>23</v>
      </c>
      <c r="F12276" s="29"/>
      <c r="G12276" s="30">
        <v>544.79279999999994</v>
      </c>
    </row>
    <row r="12277" spans="1:7" hidden="1" x14ac:dyDescent="0.25">
      <c r="A12277" s="28">
        <v>44562</v>
      </c>
      <c r="B12277" s="27" t="s">
        <v>35</v>
      </c>
      <c r="C12277" s="27" t="s">
        <v>50</v>
      </c>
      <c r="D12277" s="27" t="s">
        <v>7</v>
      </c>
      <c r="E12277" s="27" t="s">
        <v>40</v>
      </c>
      <c r="F12277" s="29"/>
      <c r="G12277" s="30">
        <v>544.79279999999994</v>
      </c>
    </row>
    <row r="12278" spans="1:7" hidden="1" x14ac:dyDescent="0.25">
      <c r="A12278" s="28">
        <v>44562</v>
      </c>
      <c r="B12278" s="27" t="s">
        <v>35</v>
      </c>
      <c r="C12278" s="27" t="s">
        <v>50</v>
      </c>
      <c r="D12278" s="27" t="s">
        <v>7</v>
      </c>
      <c r="E12278" s="27" t="s">
        <v>42</v>
      </c>
      <c r="F12278" s="29"/>
      <c r="G12278" s="30">
        <v>544.79279999999994</v>
      </c>
    </row>
    <row r="12279" spans="1:7" hidden="1" x14ac:dyDescent="0.25">
      <c r="A12279" s="28">
        <v>44562</v>
      </c>
      <c r="B12279" s="27" t="s">
        <v>35</v>
      </c>
      <c r="C12279" s="27" t="s">
        <v>50</v>
      </c>
      <c r="D12279" s="27" t="s">
        <v>7</v>
      </c>
      <c r="E12279" s="27" t="s">
        <v>43</v>
      </c>
      <c r="F12279" s="29"/>
      <c r="G12279" s="30">
        <v>544.79279999999994</v>
      </c>
    </row>
    <row r="12280" spans="1:7" hidden="1" x14ac:dyDescent="0.25">
      <c r="A12280" s="28">
        <v>44562</v>
      </c>
      <c r="B12280" s="27" t="s">
        <v>35</v>
      </c>
      <c r="C12280" s="27" t="s">
        <v>50</v>
      </c>
      <c r="D12280" s="27" t="s">
        <v>7</v>
      </c>
      <c r="E12280" s="27" t="s">
        <v>72</v>
      </c>
      <c r="F12280" s="29"/>
      <c r="G12280" s="30">
        <v>544.79279999999994</v>
      </c>
    </row>
    <row r="12281" spans="1:7" hidden="1" x14ac:dyDescent="0.25">
      <c r="A12281" s="28">
        <v>44562</v>
      </c>
      <c r="B12281" s="27" t="s">
        <v>35</v>
      </c>
      <c r="C12281" s="27" t="s">
        <v>50</v>
      </c>
      <c r="D12281" s="27" t="s">
        <v>7</v>
      </c>
      <c r="E12281" s="27" t="s">
        <v>206</v>
      </c>
      <c r="F12281" s="29"/>
      <c r="G12281" s="30">
        <v>544.79279999999994</v>
      </c>
    </row>
    <row r="12282" spans="1:7" hidden="1" x14ac:dyDescent="0.25">
      <c r="A12282" s="28">
        <v>44562</v>
      </c>
      <c r="B12282" s="27" t="s">
        <v>34</v>
      </c>
      <c r="C12282" s="27" t="s">
        <v>50</v>
      </c>
      <c r="D12282" s="27" t="s">
        <v>6</v>
      </c>
      <c r="E12282" s="27" t="s">
        <v>8</v>
      </c>
      <c r="F12282" s="29"/>
      <c r="G12282" s="30">
        <v>91.564999999999998</v>
      </c>
    </row>
    <row r="12283" spans="1:7" hidden="1" x14ac:dyDescent="0.25">
      <c r="A12283" s="28">
        <v>44562</v>
      </c>
      <c r="B12283" s="27" t="s">
        <v>34</v>
      </c>
      <c r="C12283" s="27" t="s">
        <v>50</v>
      </c>
      <c r="D12283" s="27" t="s">
        <v>6</v>
      </c>
      <c r="E12283" s="27" t="s">
        <v>9</v>
      </c>
      <c r="F12283" s="29"/>
      <c r="G12283" s="30">
        <v>91.564999999999998</v>
      </c>
    </row>
    <row r="12284" spans="1:7" hidden="1" x14ac:dyDescent="0.25">
      <c r="A12284" s="28">
        <v>44562</v>
      </c>
      <c r="B12284" s="27" t="s">
        <v>34</v>
      </c>
      <c r="C12284" s="27" t="s">
        <v>50</v>
      </c>
      <c r="D12284" s="27" t="s">
        <v>6</v>
      </c>
      <c r="E12284" s="27" t="s">
        <v>22</v>
      </c>
      <c r="F12284" s="29"/>
      <c r="G12284" s="30">
        <v>91.564999999999998</v>
      </c>
    </row>
    <row r="12285" spans="1:7" hidden="1" x14ac:dyDescent="0.25">
      <c r="A12285" s="28">
        <v>44562</v>
      </c>
      <c r="B12285" s="27" t="s">
        <v>34</v>
      </c>
      <c r="C12285" s="27" t="s">
        <v>50</v>
      </c>
      <c r="D12285" s="27" t="s">
        <v>6</v>
      </c>
      <c r="E12285" s="27" t="s">
        <v>39</v>
      </c>
      <c r="F12285" s="29"/>
      <c r="G12285" s="30">
        <v>91.564999999999998</v>
      </c>
    </row>
    <row r="12286" spans="1:7" hidden="1" x14ac:dyDescent="0.25">
      <c r="A12286" s="28">
        <v>44562</v>
      </c>
      <c r="B12286" s="27" t="s">
        <v>34</v>
      </c>
      <c r="C12286" s="27" t="s">
        <v>50</v>
      </c>
      <c r="D12286" s="27" t="s">
        <v>6</v>
      </c>
      <c r="E12286" s="27" t="s">
        <v>64</v>
      </c>
      <c r="F12286" s="29"/>
      <c r="G12286" s="30">
        <v>632.99</v>
      </c>
    </row>
    <row r="12287" spans="1:7" hidden="1" x14ac:dyDescent="0.25">
      <c r="A12287" s="28">
        <v>44562</v>
      </c>
      <c r="B12287" s="27" t="s">
        <v>34</v>
      </c>
      <c r="C12287" s="27" t="s">
        <v>50</v>
      </c>
      <c r="D12287" s="27" t="s">
        <v>6</v>
      </c>
      <c r="E12287" s="27" t="s">
        <v>21</v>
      </c>
      <c r="F12287" s="29"/>
      <c r="G12287" s="30">
        <v>91.564999999999998</v>
      </c>
    </row>
    <row r="12288" spans="1:7" hidden="1" x14ac:dyDescent="0.25">
      <c r="A12288" s="28">
        <v>44562</v>
      </c>
      <c r="B12288" s="27" t="s">
        <v>34</v>
      </c>
      <c r="C12288" s="27" t="s">
        <v>50</v>
      </c>
      <c r="D12288" s="27" t="s">
        <v>6</v>
      </c>
      <c r="E12288" s="27" t="s">
        <v>41</v>
      </c>
      <c r="F12288" s="29"/>
      <c r="G12288" s="30">
        <v>91.564999999999998</v>
      </c>
    </row>
    <row r="12289" spans="1:7" hidden="1" x14ac:dyDescent="0.25">
      <c r="A12289" s="28">
        <v>44562</v>
      </c>
      <c r="B12289" s="27" t="s">
        <v>34</v>
      </c>
      <c r="C12289" s="27" t="s">
        <v>50</v>
      </c>
      <c r="D12289" s="27" t="s">
        <v>6</v>
      </c>
      <c r="E12289" s="27" t="s">
        <v>10</v>
      </c>
      <c r="F12289" s="29"/>
      <c r="G12289" s="30">
        <v>91.564999999999998</v>
      </c>
    </row>
    <row r="12290" spans="1:7" hidden="1" x14ac:dyDescent="0.25">
      <c r="A12290" s="28">
        <v>44562</v>
      </c>
      <c r="B12290" s="27" t="s">
        <v>34</v>
      </c>
      <c r="C12290" s="27" t="s">
        <v>50</v>
      </c>
      <c r="D12290" s="27" t="s">
        <v>6</v>
      </c>
      <c r="E12290" s="27" t="s">
        <v>11</v>
      </c>
      <c r="F12290" s="29"/>
      <c r="G12290" s="30">
        <v>91.564999999999998</v>
      </c>
    </row>
    <row r="12291" spans="1:7" hidden="1" x14ac:dyDescent="0.25">
      <c r="A12291" s="28">
        <v>44562</v>
      </c>
      <c r="B12291" s="27" t="s">
        <v>34</v>
      </c>
      <c r="C12291" s="27" t="s">
        <v>50</v>
      </c>
      <c r="D12291" s="27" t="s">
        <v>6</v>
      </c>
      <c r="E12291" s="27" t="s">
        <v>12</v>
      </c>
      <c r="F12291" s="29"/>
      <c r="G12291" s="30">
        <v>91.564999999999998</v>
      </c>
    </row>
    <row r="12292" spans="1:7" hidden="1" x14ac:dyDescent="0.25">
      <c r="A12292" s="28">
        <v>44562</v>
      </c>
      <c r="B12292" s="27" t="s">
        <v>34</v>
      </c>
      <c r="C12292" s="27" t="s">
        <v>50</v>
      </c>
      <c r="D12292" s="27" t="s">
        <v>6</v>
      </c>
      <c r="E12292" s="27" t="s">
        <v>13</v>
      </c>
      <c r="F12292" s="29"/>
      <c r="G12292" s="30">
        <v>91.564999999999998</v>
      </c>
    </row>
    <row r="12293" spans="1:7" hidden="1" x14ac:dyDescent="0.25">
      <c r="A12293" s="28">
        <v>44562</v>
      </c>
      <c r="B12293" s="27" t="s">
        <v>34</v>
      </c>
      <c r="C12293" s="27" t="s">
        <v>50</v>
      </c>
      <c r="D12293" s="27" t="s">
        <v>6</v>
      </c>
      <c r="E12293" s="27" t="s">
        <v>14</v>
      </c>
      <c r="F12293" s="29"/>
      <c r="G12293" s="30">
        <v>91.564999999999998</v>
      </c>
    </row>
    <row r="12294" spans="1:7" hidden="1" x14ac:dyDescent="0.25">
      <c r="A12294" s="28">
        <v>44562</v>
      </c>
      <c r="B12294" s="27" t="s">
        <v>34</v>
      </c>
      <c r="C12294" s="27" t="s">
        <v>50</v>
      </c>
      <c r="D12294" s="27" t="s">
        <v>6</v>
      </c>
      <c r="E12294" s="27" t="s">
        <v>15</v>
      </c>
      <c r="F12294" s="29"/>
      <c r="G12294" s="30">
        <v>91.564999999999998</v>
      </c>
    </row>
    <row r="12295" spans="1:7" hidden="1" x14ac:dyDescent="0.25">
      <c r="A12295" s="28">
        <v>44562</v>
      </c>
      <c r="B12295" s="27" t="s">
        <v>34</v>
      </c>
      <c r="C12295" s="27" t="s">
        <v>50</v>
      </c>
      <c r="D12295" s="27" t="s">
        <v>6</v>
      </c>
      <c r="E12295" s="27" t="s">
        <v>16</v>
      </c>
      <c r="F12295" s="29"/>
      <c r="G12295" s="30">
        <v>91.564999999999998</v>
      </c>
    </row>
    <row r="12296" spans="1:7" hidden="1" x14ac:dyDescent="0.25">
      <c r="A12296" s="28">
        <v>44562</v>
      </c>
      <c r="B12296" s="27" t="s">
        <v>34</v>
      </c>
      <c r="C12296" s="27" t="s">
        <v>50</v>
      </c>
      <c r="D12296" s="27" t="s">
        <v>6</v>
      </c>
      <c r="E12296" s="27" t="s">
        <v>17</v>
      </c>
      <c r="F12296" s="29"/>
      <c r="G12296" s="30">
        <v>91.564999999999998</v>
      </c>
    </row>
    <row r="12297" spans="1:7" hidden="1" x14ac:dyDescent="0.25">
      <c r="A12297" s="28">
        <v>44562</v>
      </c>
      <c r="B12297" s="27" t="s">
        <v>34</v>
      </c>
      <c r="C12297" s="27" t="s">
        <v>50</v>
      </c>
      <c r="D12297" s="27" t="s">
        <v>6</v>
      </c>
      <c r="E12297" s="27" t="s">
        <v>18</v>
      </c>
      <c r="F12297" s="29"/>
      <c r="G12297" s="30">
        <v>91.564999999999998</v>
      </c>
    </row>
    <row r="12298" spans="1:7" hidden="1" x14ac:dyDescent="0.25">
      <c r="A12298" s="28">
        <v>44562</v>
      </c>
      <c r="B12298" s="27" t="s">
        <v>34</v>
      </c>
      <c r="C12298" s="27" t="s">
        <v>50</v>
      </c>
      <c r="D12298" s="27" t="s">
        <v>6</v>
      </c>
      <c r="E12298" s="27" t="s">
        <v>19</v>
      </c>
      <c r="F12298" s="29"/>
      <c r="G12298" s="30">
        <v>91.564999999999998</v>
      </c>
    </row>
    <row r="12299" spans="1:7" hidden="1" x14ac:dyDescent="0.25">
      <c r="A12299" s="28">
        <v>44562</v>
      </c>
      <c r="B12299" s="27" t="s">
        <v>34</v>
      </c>
      <c r="C12299" s="27" t="s">
        <v>50</v>
      </c>
      <c r="D12299" s="27" t="s">
        <v>6</v>
      </c>
      <c r="E12299" s="27" t="s">
        <v>20</v>
      </c>
      <c r="F12299" s="29"/>
      <c r="G12299" s="30">
        <v>91.564999999999998</v>
      </c>
    </row>
    <row r="12300" spans="1:7" hidden="1" x14ac:dyDescent="0.25">
      <c r="A12300" s="28">
        <v>44562</v>
      </c>
      <c r="B12300" s="27" t="s">
        <v>34</v>
      </c>
      <c r="C12300" s="27" t="s">
        <v>50</v>
      </c>
      <c r="D12300" s="27" t="s">
        <v>6</v>
      </c>
      <c r="E12300" s="27" t="s">
        <v>38</v>
      </c>
      <c r="F12300" s="29"/>
      <c r="G12300" s="30">
        <v>91.564999999999998</v>
      </c>
    </row>
    <row r="12301" spans="1:7" hidden="1" x14ac:dyDescent="0.25">
      <c r="A12301" s="28">
        <v>44562</v>
      </c>
      <c r="B12301" s="27" t="s">
        <v>34</v>
      </c>
      <c r="C12301" s="27" t="s">
        <v>50</v>
      </c>
      <c r="D12301" s="27" t="s">
        <v>6</v>
      </c>
      <c r="E12301" s="27" t="s">
        <v>23</v>
      </c>
      <c r="F12301" s="29"/>
      <c r="G12301" s="30">
        <v>91.564999999999998</v>
      </c>
    </row>
    <row r="12302" spans="1:7" hidden="1" x14ac:dyDescent="0.25">
      <c r="A12302" s="28">
        <v>44562</v>
      </c>
      <c r="B12302" s="27" t="s">
        <v>34</v>
      </c>
      <c r="C12302" s="27" t="s">
        <v>50</v>
      </c>
      <c r="D12302" s="27" t="s">
        <v>6</v>
      </c>
      <c r="E12302" s="27" t="s">
        <v>40</v>
      </c>
      <c r="F12302" s="29"/>
      <c r="G12302" s="30">
        <v>91.564999999999998</v>
      </c>
    </row>
    <row r="12303" spans="1:7" hidden="1" x14ac:dyDescent="0.25">
      <c r="A12303" s="28">
        <v>44562</v>
      </c>
      <c r="B12303" s="27" t="s">
        <v>34</v>
      </c>
      <c r="C12303" s="27" t="s">
        <v>50</v>
      </c>
      <c r="D12303" s="27" t="s">
        <v>6</v>
      </c>
      <c r="E12303" s="27" t="s">
        <v>42</v>
      </c>
      <c r="F12303" s="29"/>
      <c r="G12303" s="30">
        <v>91.564999999999998</v>
      </c>
    </row>
    <row r="12304" spans="1:7" hidden="1" x14ac:dyDescent="0.25">
      <c r="A12304" s="28">
        <v>44562</v>
      </c>
      <c r="B12304" s="27" t="s">
        <v>34</v>
      </c>
      <c r="C12304" s="27" t="s">
        <v>50</v>
      </c>
      <c r="D12304" s="27" t="s">
        <v>6</v>
      </c>
      <c r="E12304" s="27" t="s">
        <v>43</v>
      </c>
      <c r="F12304" s="29"/>
      <c r="G12304" s="30">
        <v>91.564999999999998</v>
      </c>
    </row>
    <row r="12305" spans="1:7" hidden="1" x14ac:dyDescent="0.25">
      <c r="A12305" s="28">
        <v>44562</v>
      </c>
      <c r="B12305" s="27" t="s">
        <v>34</v>
      </c>
      <c r="C12305" s="27" t="s">
        <v>50</v>
      </c>
      <c r="D12305" s="27" t="s">
        <v>6</v>
      </c>
      <c r="E12305" s="27" t="s">
        <v>72</v>
      </c>
      <c r="F12305" s="29"/>
      <c r="G12305" s="30">
        <v>91.564999999999998</v>
      </c>
    </row>
    <row r="12306" spans="1:7" hidden="1" x14ac:dyDescent="0.25">
      <c r="A12306" s="28">
        <v>44562</v>
      </c>
      <c r="B12306" s="27" t="s">
        <v>34</v>
      </c>
      <c r="C12306" s="27" t="s">
        <v>50</v>
      </c>
      <c r="D12306" s="27" t="s">
        <v>6</v>
      </c>
      <c r="E12306" s="27" t="s">
        <v>206</v>
      </c>
      <c r="F12306" s="29"/>
      <c r="G12306" s="30">
        <v>91.564999999999998</v>
      </c>
    </row>
    <row r="12307" spans="1:7" hidden="1" x14ac:dyDescent="0.25">
      <c r="A12307" s="28">
        <v>44593</v>
      </c>
      <c r="B12307" s="27" t="s">
        <v>33</v>
      </c>
      <c r="C12307" s="27" t="s">
        <v>50</v>
      </c>
      <c r="D12307" s="27" t="s">
        <v>7</v>
      </c>
      <c r="E12307" s="27" t="s">
        <v>8</v>
      </c>
      <c r="F12307" s="29"/>
      <c r="G12307" s="30">
        <v>2646.9544000000001</v>
      </c>
    </row>
    <row r="12308" spans="1:7" hidden="1" x14ac:dyDescent="0.25">
      <c r="A12308" s="28">
        <v>44593</v>
      </c>
      <c r="B12308" s="27" t="s">
        <v>33</v>
      </c>
      <c r="C12308" s="27" t="s">
        <v>50</v>
      </c>
      <c r="D12308" s="27" t="s">
        <v>7</v>
      </c>
      <c r="E12308" s="27" t="s">
        <v>9</v>
      </c>
      <c r="F12308" s="29"/>
      <c r="G12308" s="30">
        <v>2646.9544000000001</v>
      </c>
    </row>
    <row r="12309" spans="1:7" hidden="1" x14ac:dyDescent="0.25">
      <c r="A12309" s="28">
        <v>44593</v>
      </c>
      <c r="B12309" s="27" t="s">
        <v>33</v>
      </c>
      <c r="C12309" s="27" t="s">
        <v>50</v>
      </c>
      <c r="D12309" s="27" t="s">
        <v>7</v>
      </c>
      <c r="E12309" s="27" t="s">
        <v>22</v>
      </c>
      <c r="F12309" s="29"/>
      <c r="G12309" s="30">
        <v>2646.9544000000001</v>
      </c>
    </row>
    <row r="12310" spans="1:7" hidden="1" x14ac:dyDescent="0.25">
      <c r="A12310" s="28">
        <v>44593</v>
      </c>
      <c r="B12310" s="27" t="s">
        <v>33</v>
      </c>
      <c r="C12310" s="27" t="s">
        <v>50</v>
      </c>
      <c r="D12310" s="27" t="s">
        <v>7</v>
      </c>
      <c r="E12310" s="27" t="s">
        <v>39</v>
      </c>
      <c r="F12310" s="29"/>
      <c r="G12310" s="30">
        <v>2646.9544000000001</v>
      </c>
    </row>
    <row r="12311" spans="1:7" hidden="1" x14ac:dyDescent="0.25">
      <c r="A12311" s="28">
        <v>44593</v>
      </c>
      <c r="B12311" s="27" t="s">
        <v>33</v>
      </c>
      <c r="C12311" s="27" t="s">
        <v>50</v>
      </c>
      <c r="D12311" s="27" t="s">
        <v>7</v>
      </c>
      <c r="E12311" s="27" t="s">
        <v>64</v>
      </c>
      <c r="F12311" s="29"/>
      <c r="G12311" s="30">
        <v>2646.9544000000001</v>
      </c>
    </row>
    <row r="12312" spans="1:7" hidden="1" x14ac:dyDescent="0.25">
      <c r="A12312" s="28">
        <v>44593</v>
      </c>
      <c r="B12312" s="27" t="s">
        <v>33</v>
      </c>
      <c r="C12312" s="27" t="s">
        <v>50</v>
      </c>
      <c r="D12312" s="27" t="s">
        <v>7</v>
      </c>
      <c r="E12312" s="27" t="s">
        <v>21</v>
      </c>
      <c r="F12312" s="29"/>
      <c r="G12312" s="30">
        <v>2646.9544000000001</v>
      </c>
    </row>
    <row r="12313" spans="1:7" hidden="1" x14ac:dyDescent="0.25">
      <c r="A12313" s="28">
        <v>44593</v>
      </c>
      <c r="B12313" s="27" t="s">
        <v>33</v>
      </c>
      <c r="C12313" s="27" t="s">
        <v>50</v>
      </c>
      <c r="D12313" s="27" t="s">
        <v>7</v>
      </c>
      <c r="E12313" s="27" t="s">
        <v>41</v>
      </c>
      <c r="F12313" s="29"/>
      <c r="G12313" s="30">
        <v>2646.9544000000001</v>
      </c>
    </row>
    <row r="12314" spans="1:7" hidden="1" x14ac:dyDescent="0.25">
      <c r="A12314" s="28">
        <v>44593</v>
      </c>
      <c r="B12314" s="27" t="s">
        <v>33</v>
      </c>
      <c r="C12314" s="27" t="s">
        <v>50</v>
      </c>
      <c r="D12314" s="27" t="s">
        <v>7</v>
      </c>
      <c r="E12314" s="27" t="s">
        <v>10</v>
      </c>
      <c r="F12314" s="29"/>
      <c r="G12314" s="30">
        <v>2646.9544000000001</v>
      </c>
    </row>
    <row r="12315" spans="1:7" hidden="1" x14ac:dyDescent="0.25">
      <c r="A12315" s="28">
        <v>44593</v>
      </c>
      <c r="B12315" s="27" t="s">
        <v>33</v>
      </c>
      <c r="C12315" s="27" t="s">
        <v>50</v>
      </c>
      <c r="D12315" s="27" t="s">
        <v>7</v>
      </c>
      <c r="E12315" s="27" t="s">
        <v>11</v>
      </c>
      <c r="F12315" s="29"/>
      <c r="G12315" s="30">
        <v>2646.9544000000001</v>
      </c>
    </row>
    <row r="12316" spans="1:7" hidden="1" x14ac:dyDescent="0.25">
      <c r="A12316" s="28">
        <v>44593</v>
      </c>
      <c r="B12316" s="27" t="s">
        <v>33</v>
      </c>
      <c r="C12316" s="27" t="s">
        <v>50</v>
      </c>
      <c r="D12316" s="27" t="s">
        <v>7</v>
      </c>
      <c r="E12316" s="27" t="s">
        <v>12</v>
      </c>
      <c r="F12316" s="29"/>
      <c r="G12316" s="30">
        <v>2646.9544000000001</v>
      </c>
    </row>
    <row r="12317" spans="1:7" hidden="1" x14ac:dyDescent="0.25">
      <c r="A12317" s="28">
        <v>44593</v>
      </c>
      <c r="B12317" s="27" t="s">
        <v>33</v>
      </c>
      <c r="C12317" s="27" t="s">
        <v>50</v>
      </c>
      <c r="D12317" s="27" t="s">
        <v>7</v>
      </c>
      <c r="E12317" s="27" t="s">
        <v>13</v>
      </c>
      <c r="F12317" s="29"/>
      <c r="G12317" s="30">
        <v>2646.9544000000001</v>
      </c>
    </row>
    <row r="12318" spans="1:7" hidden="1" x14ac:dyDescent="0.25">
      <c r="A12318" s="28">
        <v>44593</v>
      </c>
      <c r="B12318" s="27" t="s">
        <v>33</v>
      </c>
      <c r="C12318" s="27" t="s">
        <v>50</v>
      </c>
      <c r="D12318" s="27" t="s">
        <v>7</v>
      </c>
      <c r="E12318" s="27" t="s">
        <v>14</v>
      </c>
      <c r="F12318" s="29"/>
      <c r="G12318" s="30">
        <v>2646.9544000000001</v>
      </c>
    </row>
    <row r="12319" spans="1:7" hidden="1" x14ac:dyDescent="0.25">
      <c r="A12319" s="28">
        <v>44593</v>
      </c>
      <c r="B12319" s="27" t="s">
        <v>33</v>
      </c>
      <c r="C12319" s="27" t="s">
        <v>50</v>
      </c>
      <c r="D12319" s="27" t="s">
        <v>7</v>
      </c>
      <c r="E12319" s="27" t="s">
        <v>15</v>
      </c>
      <c r="F12319" s="29"/>
      <c r="G12319" s="30">
        <v>2646.9544000000001</v>
      </c>
    </row>
    <row r="12320" spans="1:7" hidden="1" x14ac:dyDescent="0.25">
      <c r="A12320" s="28">
        <v>44593</v>
      </c>
      <c r="B12320" s="27" t="s">
        <v>33</v>
      </c>
      <c r="C12320" s="27" t="s">
        <v>50</v>
      </c>
      <c r="D12320" s="27" t="s">
        <v>7</v>
      </c>
      <c r="E12320" s="27" t="s">
        <v>16</v>
      </c>
      <c r="F12320" s="29"/>
      <c r="G12320" s="30">
        <v>2646.9544000000001</v>
      </c>
    </row>
    <row r="12321" spans="1:7" hidden="1" x14ac:dyDescent="0.25">
      <c r="A12321" s="28">
        <v>44593</v>
      </c>
      <c r="B12321" s="27" t="s">
        <v>33</v>
      </c>
      <c r="C12321" s="27" t="s">
        <v>50</v>
      </c>
      <c r="D12321" s="27" t="s">
        <v>7</v>
      </c>
      <c r="E12321" s="27" t="s">
        <v>17</v>
      </c>
      <c r="F12321" s="29"/>
      <c r="G12321" s="30">
        <v>2646.9544000000001</v>
      </c>
    </row>
    <row r="12322" spans="1:7" hidden="1" x14ac:dyDescent="0.25">
      <c r="A12322" s="28">
        <v>44593</v>
      </c>
      <c r="B12322" s="27" t="s">
        <v>33</v>
      </c>
      <c r="C12322" s="27" t="s">
        <v>50</v>
      </c>
      <c r="D12322" s="27" t="s">
        <v>7</v>
      </c>
      <c r="E12322" s="27" t="s">
        <v>18</v>
      </c>
      <c r="F12322" s="29"/>
      <c r="G12322" s="30">
        <v>2646.9544000000001</v>
      </c>
    </row>
    <row r="12323" spans="1:7" hidden="1" x14ac:dyDescent="0.25">
      <c r="A12323" s="28">
        <v>44593</v>
      </c>
      <c r="B12323" s="27" t="s">
        <v>33</v>
      </c>
      <c r="C12323" s="27" t="s">
        <v>50</v>
      </c>
      <c r="D12323" s="27" t="s">
        <v>7</v>
      </c>
      <c r="E12323" s="27" t="s">
        <v>19</v>
      </c>
      <c r="F12323" s="29"/>
      <c r="G12323" s="30">
        <v>2646.9544000000001</v>
      </c>
    </row>
    <row r="12324" spans="1:7" hidden="1" x14ac:dyDescent="0.25">
      <c r="A12324" s="28">
        <v>44593</v>
      </c>
      <c r="B12324" s="27" t="s">
        <v>33</v>
      </c>
      <c r="C12324" s="27" t="s">
        <v>50</v>
      </c>
      <c r="D12324" s="27" t="s">
        <v>7</v>
      </c>
      <c r="E12324" s="27" t="s">
        <v>20</v>
      </c>
      <c r="F12324" s="29"/>
      <c r="G12324" s="30">
        <v>2646.9544000000001</v>
      </c>
    </row>
    <row r="12325" spans="1:7" hidden="1" x14ac:dyDescent="0.25">
      <c r="A12325" s="28">
        <v>44593</v>
      </c>
      <c r="B12325" s="27" t="s">
        <v>33</v>
      </c>
      <c r="C12325" s="27" t="s">
        <v>50</v>
      </c>
      <c r="D12325" s="27" t="s">
        <v>7</v>
      </c>
      <c r="E12325" s="27" t="s">
        <v>38</v>
      </c>
      <c r="F12325" s="29"/>
      <c r="G12325" s="30">
        <v>2646.9544000000001</v>
      </c>
    </row>
    <row r="12326" spans="1:7" hidden="1" x14ac:dyDescent="0.25">
      <c r="A12326" s="28">
        <v>44593</v>
      </c>
      <c r="B12326" s="27" t="s">
        <v>33</v>
      </c>
      <c r="C12326" s="27" t="s">
        <v>50</v>
      </c>
      <c r="D12326" s="27" t="s">
        <v>7</v>
      </c>
      <c r="E12326" s="27" t="s">
        <v>23</v>
      </c>
      <c r="F12326" s="29"/>
      <c r="G12326" s="30">
        <v>2646.9544000000001</v>
      </c>
    </row>
    <row r="12327" spans="1:7" hidden="1" x14ac:dyDescent="0.25">
      <c r="A12327" s="28">
        <v>44593</v>
      </c>
      <c r="B12327" s="27" t="s">
        <v>33</v>
      </c>
      <c r="C12327" s="27" t="s">
        <v>50</v>
      </c>
      <c r="D12327" s="27" t="s">
        <v>7</v>
      </c>
      <c r="E12327" s="27" t="s">
        <v>40</v>
      </c>
      <c r="F12327" s="29"/>
      <c r="G12327" s="30">
        <v>2646.9544000000001</v>
      </c>
    </row>
    <row r="12328" spans="1:7" hidden="1" x14ac:dyDescent="0.25">
      <c r="A12328" s="28">
        <v>44593</v>
      </c>
      <c r="B12328" s="27" t="s">
        <v>33</v>
      </c>
      <c r="C12328" s="27" t="s">
        <v>50</v>
      </c>
      <c r="D12328" s="27" t="s">
        <v>7</v>
      </c>
      <c r="E12328" s="27" t="s">
        <v>42</v>
      </c>
      <c r="F12328" s="29"/>
      <c r="G12328" s="30">
        <v>2646.9544000000001</v>
      </c>
    </row>
    <row r="12329" spans="1:7" hidden="1" x14ac:dyDescent="0.25">
      <c r="A12329" s="28">
        <v>44593</v>
      </c>
      <c r="B12329" s="27" t="s">
        <v>33</v>
      </c>
      <c r="C12329" s="27" t="s">
        <v>50</v>
      </c>
      <c r="D12329" s="27" t="s">
        <v>7</v>
      </c>
      <c r="E12329" s="27" t="s">
        <v>43</v>
      </c>
      <c r="F12329" s="29"/>
      <c r="G12329" s="30">
        <v>2646.9544000000001</v>
      </c>
    </row>
    <row r="12330" spans="1:7" hidden="1" x14ac:dyDescent="0.25">
      <c r="A12330" s="28">
        <v>44593</v>
      </c>
      <c r="B12330" s="27" t="s">
        <v>33</v>
      </c>
      <c r="C12330" s="27" t="s">
        <v>50</v>
      </c>
      <c r="D12330" s="27" t="s">
        <v>7</v>
      </c>
      <c r="E12330" s="27" t="s">
        <v>72</v>
      </c>
      <c r="F12330" s="29"/>
      <c r="G12330" s="30">
        <v>2646.9544000000001</v>
      </c>
    </row>
    <row r="12331" spans="1:7" hidden="1" x14ac:dyDescent="0.25">
      <c r="A12331" s="28">
        <v>44593</v>
      </c>
      <c r="B12331" s="27" t="s">
        <v>33</v>
      </c>
      <c r="C12331" s="27" t="s">
        <v>50</v>
      </c>
      <c r="D12331" s="27" t="s">
        <v>7</v>
      </c>
      <c r="E12331" s="27" t="s">
        <v>206</v>
      </c>
      <c r="F12331" s="29"/>
      <c r="G12331" s="30">
        <v>2646.9544000000001</v>
      </c>
    </row>
    <row r="12332" spans="1:7" hidden="1" x14ac:dyDescent="0.25">
      <c r="A12332" s="28">
        <v>44593</v>
      </c>
      <c r="B12332" s="27" t="s">
        <v>4</v>
      </c>
      <c r="C12332" s="27" t="s">
        <v>50</v>
      </c>
      <c r="D12332" s="27" t="s">
        <v>7</v>
      </c>
      <c r="E12332" s="27" t="s">
        <v>8</v>
      </c>
      <c r="F12332" s="29"/>
      <c r="G12332" s="30">
        <v>1066.1599999999999</v>
      </c>
    </row>
    <row r="12333" spans="1:7" hidden="1" x14ac:dyDescent="0.25">
      <c r="A12333" s="28">
        <v>44593</v>
      </c>
      <c r="B12333" s="27" t="s">
        <v>4</v>
      </c>
      <c r="C12333" s="27" t="s">
        <v>50</v>
      </c>
      <c r="D12333" s="27" t="s">
        <v>7</v>
      </c>
      <c r="E12333" s="27" t="s">
        <v>9</v>
      </c>
      <c r="F12333" s="29"/>
      <c r="G12333" s="30">
        <f>74762.31/10</f>
        <v>7476.2309999999998</v>
      </c>
    </row>
    <row r="12334" spans="1:7" hidden="1" x14ac:dyDescent="0.25">
      <c r="A12334" s="28">
        <v>44593</v>
      </c>
      <c r="B12334" s="27" t="s">
        <v>4</v>
      </c>
      <c r="C12334" s="27" t="s">
        <v>50</v>
      </c>
      <c r="D12334" s="27" t="s">
        <v>7</v>
      </c>
      <c r="E12334" s="27" t="s">
        <v>22</v>
      </c>
      <c r="F12334" s="29"/>
      <c r="G12334" s="30">
        <f>74762.31/10</f>
        <v>7476.2309999999998</v>
      </c>
    </row>
    <row r="12335" spans="1:7" hidden="1" x14ac:dyDescent="0.25">
      <c r="A12335" s="28">
        <v>44593</v>
      </c>
      <c r="B12335" s="27" t="s">
        <v>4</v>
      </c>
      <c r="C12335" s="27" t="s">
        <v>50</v>
      </c>
      <c r="D12335" s="27" t="s">
        <v>7</v>
      </c>
      <c r="E12335" s="27" t="s">
        <v>39</v>
      </c>
      <c r="F12335" s="29"/>
      <c r="G12335" s="30">
        <f>74762.31/10</f>
        <v>7476.2309999999998</v>
      </c>
    </row>
    <row r="12336" spans="1:7" hidden="1" x14ac:dyDescent="0.25">
      <c r="A12336" s="28">
        <v>44593</v>
      </c>
      <c r="B12336" s="27" t="s">
        <v>4</v>
      </c>
      <c r="C12336" s="27" t="s">
        <v>50</v>
      </c>
      <c r="D12336" s="27" t="s">
        <v>7</v>
      </c>
      <c r="E12336" s="27" t="s">
        <v>64</v>
      </c>
      <c r="F12336" s="29"/>
      <c r="G12336" s="30">
        <f>74762.31/10</f>
        <v>7476.2309999999998</v>
      </c>
    </row>
    <row r="12337" spans="1:7" hidden="1" x14ac:dyDescent="0.25">
      <c r="A12337" s="28">
        <v>44593</v>
      </c>
      <c r="B12337" s="27" t="s">
        <v>4</v>
      </c>
      <c r="C12337" s="27" t="s">
        <v>50</v>
      </c>
      <c r="D12337" s="27" t="s">
        <v>7</v>
      </c>
      <c r="E12337" s="27" t="s">
        <v>21</v>
      </c>
      <c r="F12337" s="29"/>
      <c r="G12337" s="30">
        <v>2799.04</v>
      </c>
    </row>
    <row r="12338" spans="1:7" hidden="1" x14ac:dyDescent="0.25">
      <c r="A12338" s="28">
        <v>44593</v>
      </c>
      <c r="B12338" s="27" t="s">
        <v>4</v>
      </c>
      <c r="C12338" s="27" t="s">
        <v>50</v>
      </c>
      <c r="D12338" s="27" t="s">
        <v>7</v>
      </c>
      <c r="E12338" s="27" t="s">
        <v>41</v>
      </c>
      <c r="F12338" s="29"/>
      <c r="G12338" s="30">
        <v>2681.0299999999997</v>
      </c>
    </row>
    <row r="12339" spans="1:7" hidden="1" x14ac:dyDescent="0.25">
      <c r="A12339" s="28">
        <v>44593</v>
      </c>
      <c r="B12339" s="27" t="s">
        <v>4</v>
      </c>
      <c r="C12339" s="27" t="s">
        <v>50</v>
      </c>
      <c r="D12339" s="27" t="s">
        <v>7</v>
      </c>
      <c r="E12339" s="27" t="s">
        <v>10</v>
      </c>
      <c r="F12339" s="29"/>
      <c r="G12339" s="30">
        <v>814.97</v>
      </c>
    </row>
    <row r="12340" spans="1:7" hidden="1" x14ac:dyDescent="0.25">
      <c r="A12340" s="28">
        <v>44593</v>
      </c>
      <c r="B12340" s="27" t="s">
        <v>4</v>
      </c>
      <c r="C12340" s="27" t="s">
        <v>50</v>
      </c>
      <c r="D12340" s="27" t="s">
        <v>7</v>
      </c>
      <c r="E12340" s="27" t="s">
        <v>11</v>
      </c>
      <c r="F12340" s="29"/>
      <c r="G12340" s="30">
        <f>74762.31/10</f>
        <v>7476.2309999999998</v>
      </c>
    </row>
    <row r="12341" spans="1:7" hidden="1" x14ac:dyDescent="0.25">
      <c r="A12341" s="28">
        <v>44593</v>
      </c>
      <c r="B12341" s="27" t="s">
        <v>4</v>
      </c>
      <c r="C12341" s="27" t="s">
        <v>50</v>
      </c>
      <c r="D12341" s="27" t="s">
        <v>7</v>
      </c>
      <c r="E12341" s="27" t="s">
        <v>12</v>
      </c>
      <c r="F12341" s="29"/>
      <c r="G12341" s="30">
        <f>74762.31/10</f>
        <v>7476.2309999999998</v>
      </c>
    </row>
    <row r="12342" spans="1:7" hidden="1" x14ac:dyDescent="0.25">
      <c r="A12342" s="28">
        <v>44593</v>
      </c>
      <c r="B12342" s="27" t="s">
        <v>4</v>
      </c>
      <c r="C12342" s="27" t="s">
        <v>50</v>
      </c>
      <c r="D12342" s="27" t="s">
        <v>7</v>
      </c>
      <c r="E12342" s="27" t="s">
        <v>13</v>
      </c>
      <c r="F12342" s="29"/>
      <c r="G12342" s="30">
        <v>6135.84</v>
      </c>
    </row>
    <row r="12343" spans="1:7" hidden="1" x14ac:dyDescent="0.25">
      <c r="A12343" s="28">
        <v>44593</v>
      </c>
      <c r="B12343" s="27" t="s">
        <v>4</v>
      </c>
      <c r="C12343" s="27" t="s">
        <v>50</v>
      </c>
      <c r="D12343" s="27" t="s">
        <v>7</v>
      </c>
      <c r="E12343" s="27" t="s">
        <v>14</v>
      </c>
      <c r="F12343" s="29"/>
      <c r="G12343" s="30">
        <v>1924.66</v>
      </c>
    </row>
    <row r="12344" spans="1:7" hidden="1" x14ac:dyDescent="0.25">
      <c r="A12344" s="28">
        <v>44593</v>
      </c>
      <c r="B12344" s="27" t="s">
        <v>4</v>
      </c>
      <c r="C12344" s="27" t="s">
        <v>50</v>
      </c>
      <c r="D12344" s="27" t="s">
        <v>7</v>
      </c>
      <c r="E12344" s="27" t="s">
        <v>15</v>
      </c>
      <c r="F12344" s="29"/>
      <c r="G12344" s="30">
        <v>633.67999999999995</v>
      </c>
    </row>
    <row r="12345" spans="1:7" hidden="1" x14ac:dyDescent="0.25">
      <c r="A12345" s="28">
        <v>44593</v>
      </c>
      <c r="B12345" s="27" t="s">
        <v>4</v>
      </c>
      <c r="C12345" s="27" t="s">
        <v>50</v>
      </c>
      <c r="D12345" s="27" t="s">
        <v>7</v>
      </c>
      <c r="E12345" s="27" t="s">
        <v>16</v>
      </c>
      <c r="F12345" s="29"/>
      <c r="G12345" s="30">
        <f>74762.31/10</f>
        <v>7476.2309999999998</v>
      </c>
    </row>
    <row r="12346" spans="1:7" hidden="1" x14ac:dyDescent="0.25">
      <c r="A12346" s="28">
        <v>44593</v>
      </c>
      <c r="B12346" s="27" t="s">
        <v>4</v>
      </c>
      <c r="C12346" s="27" t="s">
        <v>50</v>
      </c>
      <c r="D12346" s="27" t="s">
        <v>7</v>
      </c>
      <c r="E12346" s="27" t="s">
        <v>17</v>
      </c>
      <c r="F12346" s="29"/>
      <c r="G12346" s="30">
        <v>3814.06</v>
      </c>
    </row>
    <row r="12347" spans="1:7" hidden="1" x14ac:dyDescent="0.25">
      <c r="A12347" s="28">
        <v>44593</v>
      </c>
      <c r="B12347" s="27" t="s">
        <v>4</v>
      </c>
      <c r="C12347" s="27" t="s">
        <v>50</v>
      </c>
      <c r="D12347" s="27" t="s">
        <v>7</v>
      </c>
      <c r="E12347" s="27" t="s">
        <v>18</v>
      </c>
      <c r="F12347" s="29"/>
      <c r="G12347" s="30">
        <f>74762.31/10</f>
        <v>7476.2309999999998</v>
      </c>
    </row>
    <row r="12348" spans="1:7" hidden="1" x14ac:dyDescent="0.25">
      <c r="A12348" s="28">
        <v>44593</v>
      </c>
      <c r="B12348" s="27" t="s">
        <v>4</v>
      </c>
      <c r="C12348" s="27" t="s">
        <v>50</v>
      </c>
      <c r="D12348" s="27" t="s">
        <v>7</v>
      </c>
      <c r="E12348" s="27" t="s">
        <v>19</v>
      </c>
      <c r="F12348" s="29"/>
      <c r="G12348" s="30">
        <v>2118.54</v>
      </c>
    </row>
    <row r="12349" spans="1:7" hidden="1" x14ac:dyDescent="0.25">
      <c r="A12349" s="28">
        <v>44593</v>
      </c>
      <c r="B12349" s="27" t="s">
        <v>4</v>
      </c>
      <c r="C12349" s="27" t="s">
        <v>50</v>
      </c>
      <c r="D12349" s="27" t="s">
        <v>7</v>
      </c>
      <c r="E12349" s="27" t="s">
        <v>20</v>
      </c>
      <c r="F12349" s="29"/>
      <c r="G12349" s="30">
        <v>815.87</v>
      </c>
    </row>
    <row r="12350" spans="1:7" hidden="1" x14ac:dyDescent="0.25">
      <c r="A12350" s="28">
        <v>44593</v>
      </c>
      <c r="B12350" s="27" t="s">
        <v>4</v>
      </c>
      <c r="C12350" s="27" t="s">
        <v>50</v>
      </c>
      <c r="D12350" s="27" t="s">
        <v>7</v>
      </c>
      <c r="E12350" s="27" t="s">
        <v>38</v>
      </c>
      <c r="F12350" s="29"/>
      <c r="G12350" s="30">
        <v>791.23</v>
      </c>
    </row>
    <row r="12351" spans="1:7" hidden="1" x14ac:dyDescent="0.25">
      <c r="A12351" s="28">
        <v>44593</v>
      </c>
      <c r="B12351" s="27" t="s">
        <v>4</v>
      </c>
      <c r="C12351" s="27" t="s">
        <v>50</v>
      </c>
      <c r="D12351" s="27" t="s">
        <v>7</v>
      </c>
      <c r="E12351" s="27" t="s">
        <v>23</v>
      </c>
      <c r="F12351" s="29"/>
      <c r="G12351" s="30">
        <v>1897.3899999999999</v>
      </c>
    </row>
    <row r="12352" spans="1:7" hidden="1" x14ac:dyDescent="0.25">
      <c r="A12352" s="28">
        <v>44593</v>
      </c>
      <c r="B12352" s="27" t="s">
        <v>4</v>
      </c>
      <c r="C12352" s="27" t="s">
        <v>50</v>
      </c>
      <c r="D12352" s="27" t="s">
        <v>7</v>
      </c>
      <c r="E12352" s="27" t="s">
        <v>40</v>
      </c>
      <c r="F12352" s="29"/>
      <c r="G12352" s="30">
        <v>658.04</v>
      </c>
    </row>
    <row r="12353" spans="1:7" hidden="1" x14ac:dyDescent="0.25">
      <c r="A12353" s="28">
        <v>44593</v>
      </c>
      <c r="B12353" s="27" t="s">
        <v>4</v>
      </c>
      <c r="C12353" s="27" t="s">
        <v>50</v>
      </c>
      <c r="D12353" s="27" t="s">
        <v>7</v>
      </c>
      <c r="E12353" s="27" t="s">
        <v>42</v>
      </c>
      <c r="F12353" s="29"/>
      <c r="G12353" s="30">
        <f>74762.31/10</f>
        <v>7476.2309999999998</v>
      </c>
    </row>
    <row r="12354" spans="1:7" hidden="1" x14ac:dyDescent="0.25">
      <c r="A12354" s="28">
        <v>44593</v>
      </c>
      <c r="B12354" s="27" t="s">
        <v>4</v>
      </c>
      <c r="C12354" s="27" t="s">
        <v>50</v>
      </c>
      <c r="D12354" s="27" t="s">
        <v>7</v>
      </c>
      <c r="E12354" s="27" t="s">
        <v>43</v>
      </c>
      <c r="F12354" s="29"/>
      <c r="G12354" s="30">
        <v>50</v>
      </c>
    </row>
    <row r="12355" spans="1:7" hidden="1" x14ac:dyDescent="0.25">
      <c r="A12355" s="28">
        <v>44593</v>
      </c>
      <c r="B12355" s="27" t="s">
        <v>4</v>
      </c>
      <c r="C12355" s="27" t="s">
        <v>50</v>
      </c>
      <c r="D12355" s="27" t="s">
        <v>7</v>
      </c>
      <c r="E12355" s="27" t="s">
        <v>72</v>
      </c>
      <c r="F12355" s="29"/>
      <c r="G12355" s="30">
        <v>515.71</v>
      </c>
    </row>
    <row r="12356" spans="1:7" hidden="1" x14ac:dyDescent="0.25">
      <c r="A12356" s="28">
        <v>44593</v>
      </c>
      <c r="B12356" s="27" t="s">
        <v>4</v>
      </c>
      <c r="C12356" s="27" t="s">
        <v>50</v>
      </c>
      <c r="D12356" s="27" t="s">
        <v>7</v>
      </c>
      <c r="E12356" s="27" t="s">
        <v>206</v>
      </c>
      <c r="F12356" s="29"/>
      <c r="G12356" s="30">
        <f>74762.31/10</f>
        <v>7476.2309999999998</v>
      </c>
    </row>
    <row r="12357" spans="1:7" hidden="1" x14ac:dyDescent="0.25">
      <c r="A12357" s="28">
        <v>44593</v>
      </c>
      <c r="B12357" s="27" t="s">
        <v>26</v>
      </c>
      <c r="C12357" s="27" t="s">
        <v>50</v>
      </c>
      <c r="D12357" s="27" t="s">
        <v>6</v>
      </c>
      <c r="E12357" s="27" t="s">
        <v>8</v>
      </c>
      <c r="F12357" s="29"/>
      <c r="G12357" s="30">
        <v>719.18234681218985</v>
      </c>
    </row>
    <row r="12358" spans="1:7" hidden="1" x14ac:dyDescent="0.25">
      <c r="A12358" s="28">
        <v>44593</v>
      </c>
      <c r="B12358" s="27" t="s">
        <v>26</v>
      </c>
      <c r="C12358" s="27" t="s">
        <v>50</v>
      </c>
      <c r="D12358" s="27" t="s">
        <v>6</v>
      </c>
      <c r="E12358" s="27" t="s">
        <v>9</v>
      </c>
      <c r="F12358" s="29"/>
      <c r="G12358" s="30">
        <v>1595.1320615825009</v>
      </c>
    </row>
    <row r="12359" spans="1:7" hidden="1" x14ac:dyDescent="0.25">
      <c r="A12359" s="28">
        <v>44593</v>
      </c>
      <c r="B12359" s="27" t="s">
        <v>26</v>
      </c>
      <c r="C12359" s="27" t="s">
        <v>50</v>
      </c>
      <c r="D12359" s="27" t="s">
        <v>6</v>
      </c>
      <c r="E12359" s="27" t="s">
        <v>22</v>
      </c>
      <c r="F12359" s="29"/>
      <c r="G12359" s="30">
        <v>2121.8036778000037</v>
      </c>
    </row>
    <row r="12360" spans="1:7" hidden="1" x14ac:dyDescent="0.25">
      <c r="A12360" s="28">
        <v>44593</v>
      </c>
      <c r="B12360" s="27" t="s">
        <v>26</v>
      </c>
      <c r="C12360" s="27" t="s">
        <v>50</v>
      </c>
      <c r="D12360" s="27" t="s">
        <v>6</v>
      </c>
      <c r="E12360" s="27" t="s">
        <v>39</v>
      </c>
      <c r="F12360" s="29"/>
      <c r="G12360" s="30">
        <v>1858.2521149872089</v>
      </c>
    </row>
    <row r="12361" spans="1:7" hidden="1" x14ac:dyDescent="0.25">
      <c r="A12361" s="28">
        <v>44593</v>
      </c>
      <c r="B12361" s="27" t="s">
        <v>26</v>
      </c>
      <c r="C12361" s="27" t="s">
        <v>50</v>
      </c>
      <c r="D12361" s="27" t="s">
        <v>6</v>
      </c>
      <c r="E12361" s="27" t="s">
        <v>64</v>
      </c>
      <c r="F12361" s="29"/>
      <c r="G12361" s="30">
        <v>1276.3329108875935</v>
      </c>
    </row>
    <row r="12362" spans="1:7" hidden="1" x14ac:dyDescent="0.25">
      <c r="A12362" s="28">
        <v>44593</v>
      </c>
      <c r="B12362" s="27" t="s">
        <v>26</v>
      </c>
      <c r="C12362" s="27" t="s">
        <v>50</v>
      </c>
      <c r="D12362" s="27" t="s">
        <v>6</v>
      </c>
      <c r="E12362" s="27" t="s">
        <v>21</v>
      </c>
      <c r="F12362" s="29"/>
      <c r="G12362" s="30">
        <v>1372.0704648952321</v>
      </c>
    </row>
    <row r="12363" spans="1:7" hidden="1" x14ac:dyDescent="0.25">
      <c r="A12363" s="28">
        <v>44593</v>
      </c>
      <c r="B12363" s="27" t="s">
        <v>26</v>
      </c>
      <c r="C12363" s="27" t="s">
        <v>50</v>
      </c>
      <c r="D12363" s="27" t="s">
        <v>6</v>
      </c>
      <c r="E12363" s="27" t="s">
        <v>41</v>
      </c>
      <c r="F12363" s="29"/>
      <c r="G12363" s="30">
        <v>1581.4819806400055</v>
      </c>
    </row>
    <row r="12364" spans="1:7" hidden="1" x14ac:dyDescent="0.25">
      <c r="A12364" s="28">
        <v>44593</v>
      </c>
      <c r="B12364" s="27" t="s">
        <v>26</v>
      </c>
      <c r="C12364" s="27" t="s">
        <v>50</v>
      </c>
      <c r="D12364" s="27" t="s">
        <v>6</v>
      </c>
      <c r="E12364" s="27" t="s">
        <v>10</v>
      </c>
      <c r="F12364" s="29"/>
      <c r="G12364" s="30">
        <v>2188.8314725228997</v>
      </c>
    </row>
    <row r="12365" spans="1:7" hidden="1" x14ac:dyDescent="0.25">
      <c r="A12365" s="28">
        <v>44593</v>
      </c>
      <c r="B12365" s="27" t="s">
        <v>26</v>
      </c>
      <c r="C12365" s="27" t="s">
        <v>50</v>
      </c>
      <c r="D12365" s="27" t="s">
        <v>6</v>
      </c>
      <c r="E12365" s="27" t="s">
        <v>11</v>
      </c>
      <c r="F12365" s="29"/>
      <c r="G12365" s="30">
        <v>1627.7110218930932</v>
      </c>
    </row>
    <row r="12366" spans="1:7" hidden="1" x14ac:dyDescent="0.25">
      <c r="A12366" s="28">
        <v>44593</v>
      </c>
      <c r="B12366" s="27" t="s">
        <v>26</v>
      </c>
      <c r="C12366" s="27" t="s">
        <v>50</v>
      </c>
      <c r="D12366" s="27" t="s">
        <v>6</v>
      </c>
      <c r="E12366" s="27" t="s">
        <v>12</v>
      </c>
      <c r="F12366" s="29"/>
      <c r="G12366" s="30">
        <v>1714.4875638594519</v>
      </c>
    </row>
    <row r="12367" spans="1:7" hidden="1" x14ac:dyDescent="0.25">
      <c r="A12367" s="28">
        <v>44593</v>
      </c>
      <c r="B12367" s="27" t="s">
        <v>26</v>
      </c>
      <c r="C12367" s="27" t="s">
        <v>50</v>
      </c>
      <c r="D12367" s="27" t="s">
        <v>6</v>
      </c>
      <c r="E12367" s="27" t="s">
        <v>13</v>
      </c>
      <c r="F12367" s="29"/>
      <c r="G12367" s="30">
        <v>1743.4562287890469</v>
      </c>
    </row>
    <row r="12368" spans="1:7" hidden="1" x14ac:dyDescent="0.25">
      <c r="A12368" s="28">
        <v>44593</v>
      </c>
      <c r="B12368" s="27" t="s">
        <v>26</v>
      </c>
      <c r="C12368" s="27" t="s">
        <v>50</v>
      </c>
      <c r="D12368" s="27" t="s">
        <v>6</v>
      </c>
      <c r="E12368" s="27" t="s">
        <v>14</v>
      </c>
      <c r="F12368" s="29"/>
      <c r="G12368" s="30">
        <v>561.68141286032039</v>
      </c>
    </row>
    <row r="12369" spans="1:7" hidden="1" x14ac:dyDescent="0.25">
      <c r="A12369" s="28">
        <v>44593</v>
      </c>
      <c r="B12369" s="27" t="s">
        <v>26</v>
      </c>
      <c r="C12369" s="27" t="s">
        <v>50</v>
      </c>
      <c r="D12369" s="27" t="s">
        <v>6</v>
      </c>
      <c r="E12369" s="27" t="s">
        <v>15</v>
      </c>
      <c r="F12369" s="29"/>
      <c r="G12369" s="30">
        <v>1903.4886846016955</v>
      </c>
    </row>
    <row r="12370" spans="1:7" hidden="1" x14ac:dyDescent="0.25">
      <c r="A12370" s="28">
        <v>44593</v>
      </c>
      <c r="B12370" s="27" t="s">
        <v>26</v>
      </c>
      <c r="C12370" s="27" t="s">
        <v>50</v>
      </c>
      <c r="D12370" s="27" t="s">
        <v>6</v>
      </c>
      <c r="E12370" s="27" t="s">
        <v>16</v>
      </c>
      <c r="F12370" s="29"/>
      <c r="G12370" s="30">
        <v>2154.0949651718715</v>
      </c>
    </row>
    <row r="12371" spans="1:7" hidden="1" x14ac:dyDescent="0.25">
      <c r="A12371" s="28">
        <v>44593</v>
      </c>
      <c r="B12371" s="27" t="s">
        <v>26</v>
      </c>
      <c r="C12371" s="27" t="s">
        <v>50</v>
      </c>
      <c r="D12371" s="27" t="s">
        <v>6</v>
      </c>
      <c r="E12371" s="27" t="s">
        <v>17</v>
      </c>
      <c r="F12371" s="29"/>
      <c r="G12371" s="30">
        <v>3135.6350321011482</v>
      </c>
    </row>
    <row r="12372" spans="1:7" hidden="1" x14ac:dyDescent="0.25">
      <c r="A12372" s="28">
        <v>44593</v>
      </c>
      <c r="B12372" s="27" t="s">
        <v>26</v>
      </c>
      <c r="C12372" s="27" t="s">
        <v>50</v>
      </c>
      <c r="D12372" s="27" t="s">
        <v>6</v>
      </c>
      <c r="E12372" s="27" t="s">
        <v>18</v>
      </c>
      <c r="F12372" s="29"/>
      <c r="G12372" s="30">
        <v>1603.690331509566</v>
      </c>
    </row>
    <row r="12373" spans="1:7" hidden="1" x14ac:dyDescent="0.25">
      <c r="A12373" s="28">
        <v>44593</v>
      </c>
      <c r="B12373" s="27" t="s">
        <v>26</v>
      </c>
      <c r="C12373" s="27" t="s">
        <v>50</v>
      </c>
      <c r="D12373" s="27" t="s">
        <v>6</v>
      </c>
      <c r="E12373" s="27" t="s">
        <v>19</v>
      </c>
      <c r="F12373" s="29"/>
      <c r="G12373" s="30">
        <v>2421.1417541901737</v>
      </c>
    </row>
    <row r="12374" spans="1:7" hidden="1" x14ac:dyDescent="0.25">
      <c r="A12374" s="28">
        <v>44593</v>
      </c>
      <c r="B12374" s="27" t="s">
        <v>26</v>
      </c>
      <c r="C12374" s="27" t="s">
        <v>50</v>
      </c>
      <c r="D12374" s="27" t="s">
        <v>6</v>
      </c>
      <c r="E12374" s="27" t="s">
        <v>20</v>
      </c>
      <c r="F12374" s="29"/>
      <c r="G12374" s="30">
        <v>1946.4814052941281</v>
      </c>
    </row>
    <row r="12375" spans="1:7" hidden="1" x14ac:dyDescent="0.25">
      <c r="A12375" s="28">
        <v>44593</v>
      </c>
      <c r="B12375" s="27" t="s">
        <v>26</v>
      </c>
      <c r="C12375" s="27" t="s">
        <v>50</v>
      </c>
      <c r="D12375" s="27" t="s">
        <v>6</v>
      </c>
      <c r="E12375" s="27" t="s">
        <v>38</v>
      </c>
      <c r="F12375" s="29"/>
      <c r="G12375" s="30">
        <v>760.63601728244464</v>
      </c>
    </row>
    <row r="12376" spans="1:7" hidden="1" x14ac:dyDescent="0.25">
      <c r="A12376" s="28">
        <v>44593</v>
      </c>
      <c r="B12376" s="27" t="s">
        <v>26</v>
      </c>
      <c r="C12376" s="27" t="s">
        <v>50</v>
      </c>
      <c r="D12376" s="27" t="s">
        <v>6</v>
      </c>
      <c r="E12376" s="27" t="s">
        <v>23</v>
      </c>
      <c r="F12376" s="29"/>
      <c r="G12376" s="30">
        <v>2589.0564485238838</v>
      </c>
    </row>
    <row r="12377" spans="1:7" hidden="1" x14ac:dyDescent="0.25">
      <c r="A12377" s="28">
        <v>44593</v>
      </c>
      <c r="B12377" s="27" t="s">
        <v>26</v>
      </c>
      <c r="C12377" s="27" t="s">
        <v>50</v>
      </c>
      <c r="D12377" s="27" t="s">
        <v>6</v>
      </c>
      <c r="E12377" s="27" t="s">
        <v>40</v>
      </c>
      <c r="F12377" s="29"/>
      <c r="G12377" s="30">
        <v>834.25152230214019</v>
      </c>
    </row>
    <row r="12378" spans="1:7" hidden="1" x14ac:dyDescent="0.25">
      <c r="A12378" s="28">
        <v>44593</v>
      </c>
      <c r="B12378" s="27" t="s">
        <v>26</v>
      </c>
      <c r="C12378" s="27" t="s">
        <v>50</v>
      </c>
      <c r="D12378" s="27" t="s">
        <v>6</v>
      </c>
      <c r="E12378" s="27" t="s">
        <v>42</v>
      </c>
      <c r="F12378" s="29"/>
      <c r="G12378" s="30">
        <v>770.09371289428304</v>
      </c>
    </row>
    <row r="12379" spans="1:7" hidden="1" x14ac:dyDescent="0.25">
      <c r="A12379" s="28">
        <v>44593</v>
      </c>
      <c r="B12379" s="27" t="s">
        <v>26</v>
      </c>
      <c r="C12379" s="27" t="s">
        <v>50</v>
      </c>
      <c r="D12379" s="27" t="s">
        <v>6</v>
      </c>
      <c r="E12379" s="27" t="s">
        <v>43</v>
      </c>
      <c r="F12379" s="29"/>
      <c r="G12379" s="30">
        <v>715.10130483040575</v>
      </c>
    </row>
    <row r="12380" spans="1:7" hidden="1" x14ac:dyDescent="0.25">
      <c r="A12380" s="28">
        <v>44593</v>
      </c>
      <c r="B12380" s="27" t="s">
        <v>26</v>
      </c>
      <c r="C12380" s="27" t="s">
        <v>50</v>
      </c>
      <c r="D12380" s="27" t="s">
        <v>6</v>
      </c>
      <c r="E12380" s="27" t="s">
        <v>72</v>
      </c>
      <c r="F12380" s="29"/>
      <c r="G12380" s="30">
        <v>667.44121784171193</v>
      </c>
    </row>
    <row r="12381" spans="1:7" hidden="1" x14ac:dyDescent="0.25">
      <c r="A12381" s="28">
        <v>44593</v>
      </c>
      <c r="B12381" s="27" t="s">
        <v>26</v>
      </c>
      <c r="C12381" s="27" t="s">
        <v>50</v>
      </c>
      <c r="D12381" s="27" t="s">
        <v>6</v>
      </c>
      <c r="E12381" s="27" t="s">
        <v>206</v>
      </c>
      <c r="F12381" s="29"/>
      <c r="G12381" s="30">
        <v>625.73864172660501</v>
      </c>
    </row>
    <row r="12382" spans="1:7" hidden="1" x14ac:dyDescent="0.25">
      <c r="A12382" s="28">
        <v>44593</v>
      </c>
      <c r="B12382" s="27" t="s">
        <v>26</v>
      </c>
      <c r="C12382" s="27" t="s">
        <v>50</v>
      </c>
      <c r="D12382" s="27" t="s">
        <v>6</v>
      </c>
      <c r="E12382" s="27" t="s">
        <v>67</v>
      </c>
      <c r="F12382" s="29"/>
      <c r="G12382" s="30">
        <v>588.94225103680481</v>
      </c>
    </row>
    <row r="12383" spans="1:7" hidden="1" x14ac:dyDescent="0.25">
      <c r="A12383" s="28">
        <v>44593</v>
      </c>
      <c r="B12383" s="27" t="s">
        <v>26</v>
      </c>
      <c r="C12383" s="27" t="s">
        <v>50</v>
      </c>
      <c r="D12383" s="27" t="s">
        <v>6</v>
      </c>
      <c r="E12383" s="27" t="s">
        <v>68</v>
      </c>
      <c r="F12383" s="29"/>
      <c r="G12383" s="30">
        <v>556.23434820142666</v>
      </c>
    </row>
    <row r="12384" spans="1:7" hidden="1" x14ac:dyDescent="0.25">
      <c r="A12384" s="28">
        <v>44593</v>
      </c>
      <c r="B12384" s="27" t="s">
        <v>26</v>
      </c>
      <c r="C12384" s="27" t="s">
        <v>50</v>
      </c>
      <c r="D12384" s="27" t="s">
        <v>6</v>
      </c>
      <c r="E12384" s="27" t="s">
        <v>74</v>
      </c>
      <c r="F12384" s="29"/>
      <c r="G12384" s="30">
        <v>1778.7894736842106</v>
      </c>
    </row>
    <row r="12385" spans="1:7" hidden="1" x14ac:dyDescent="0.25">
      <c r="A12385" s="28">
        <v>44593</v>
      </c>
      <c r="B12385" s="27" t="s">
        <v>26</v>
      </c>
      <c r="C12385" s="27" t="s">
        <v>50</v>
      </c>
      <c r="D12385" s="27" t="s">
        <v>6</v>
      </c>
      <c r="E12385" s="27" t="s">
        <v>37</v>
      </c>
      <c r="F12385" s="29"/>
      <c r="G12385" s="30">
        <v>791.10058149340887</v>
      </c>
    </row>
    <row r="12386" spans="1:7" hidden="1" x14ac:dyDescent="0.25">
      <c r="A12386" s="28">
        <v>44593</v>
      </c>
      <c r="B12386" s="27" t="s">
        <v>3</v>
      </c>
      <c r="C12386" s="27" t="s">
        <v>50</v>
      </c>
      <c r="D12386" s="27" t="s">
        <v>7</v>
      </c>
      <c r="E12386" s="27" t="s">
        <v>8</v>
      </c>
      <c r="F12386" s="29"/>
      <c r="G12386" s="30">
        <v>734.3488000000001</v>
      </c>
    </row>
    <row r="12387" spans="1:7" hidden="1" x14ac:dyDescent="0.25">
      <c r="A12387" s="28">
        <v>44593</v>
      </c>
      <c r="B12387" s="27" t="s">
        <v>3</v>
      </c>
      <c r="C12387" s="27" t="s">
        <v>50</v>
      </c>
      <c r="D12387" s="27" t="s">
        <v>7</v>
      </c>
      <c r="E12387" s="27" t="s">
        <v>9</v>
      </c>
      <c r="F12387" s="29"/>
      <c r="G12387" s="30">
        <v>734.3488000000001</v>
      </c>
    </row>
    <row r="12388" spans="1:7" hidden="1" x14ac:dyDescent="0.25">
      <c r="A12388" s="28">
        <v>44593</v>
      </c>
      <c r="B12388" s="27" t="s">
        <v>3</v>
      </c>
      <c r="C12388" s="27" t="s">
        <v>50</v>
      </c>
      <c r="D12388" s="27" t="s">
        <v>7</v>
      </c>
      <c r="E12388" s="27" t="s">
        <v>22</v>
      </c>
      <c r="F12388" s="29"/>
      <c r="G12388" s="30">
        <v>734.3488000000001</v>
      </c>
    </row>
    <row r="12389" spans="1:7" hidden="1" x14ac:dyDescent="0.25">
      <c r="A12389" s="28">
        <v>44593</v>
      </c>
      <c r="B12389" s="27" t="s">
        <v>3</v>
      </c>
      <c r="C12389" s="27" t="s">
        <v>50</v>
      </c>
      <c r="D12389" s="27" t="s">
        <v>7</v>
      </c>
      <c r="E12389" s="27" t="s">
        <v>39</v>
      </c>
      <c r="F12389" s="29"/>
      <c r="G12389" s="30">
        <v>734.3488000000001</v>
      </c>
    </row>
    <row r="12390" spans="1:7" hidden="1" x14ac:dyDescent="0.25">
      <c r="A12390" s="28">
        <v>44593</v>
      </c>
      <c r="B12390" s="27" t="s">
        <v>3</v>
      </c>
      <c r="C12390" s="27" t="s">
        <v>50</v>
      </c>
      <c r="D12390" s="27" t="s">
        <v>7</v>
      </c>
      <c r="E12390" s="27" t="s">
        <v>64</v>
      </c>
      <c r="F12390" s="29"/>
      <c r="G12390" s="30">
        <v>734.3488000000001</v>
      </c>
    </row>
    <row r="12391" spans="1:7" hidden="1" x14ac:dyDescent="0.25">
      <c r="A12391" s="28">
        <v>44593</v>
      </c>
      <c r="B12391" s="27" t="s">
        <v>3</v>
      </c>
      <c r="C12391" s="27" t="s">
        <v>50</v>
      </c>
      <c r="D12391" s="27" t="s">
        <v>7</v>
      </c>
      <c r="E12391" s="27" t="s">
        <v>21</v>
      </c>
      <c r="F12391" s="29"/>
      <c r="G12391" s="30">
        <v>734.3488000000001</v>
      </c>
    </row>
    <row r="12392" spans="1:7" hidden="1" x14ac:dyDescent="0.25">
      <c r="A12392" s="28">
        <v>44593</v>
      </c>
      <c r="B12392" s="27" t="s">
        <v>3</v>
      </c>
      <c r="C12392" s="27" t="s">
        <v>50</v>
      </c>
      <c r="D12392" s="27" t="s">
        <v>7</v>
      </c>
      <c r="E12392" s="27" t="s">
        <v>41</v>
      </c>
      <c r="F12392" s="29"/>
      <c r="G12392" s="30">
        <v>734.3488000000001</v>
      </c>
    </row>
    <row r="12393" spans="1:7" hidden="1" x14ac:dyDescent="0.25">
      <c r="A12393" s="28">
        <v>44593</v>
      </c>
      <c r="B12393" s="27" t="s">
        <v>3</v>
      </c>
      <c r="C12393" s="27" t="s">
        <v>50</v>
      </c>
      <c r="D12393" s="27" t="s">
        <v>7</v>
      </c>
      <c r="E12393" s="27" t="s">
        <v>10</v>
      </c>
      <c r="F12393" s="29"/>
      <c r="G12393" s="30">
        <v>734.3488000000001</v>
      </c>
    </row>
    <row r="12394" spans="1:7" hidden="1" x14ac:dyDescent="0.25">
      <c r="A12394" s="28">
        <v>44593</v>
      </c>
      <c r="B12394" s="27" t="s">
        <v>3</v>
      </c>
      <c r="C12394" s="27" t="s">
        <v>50</v>
      </c>
      <c r="D12394" s="27" t="s">
        <v>7</v>
      </c>
      <c r="E12394" s="27" t="s">
        <v>11</v>
      </c>
      <c r="F12394" s="29"/>
      <c r="G12394" s="30">
        <v>734.3488000000001</v>
      </c>
    </row>
    <row r="12395" spans="1:7" hidden="1" x14ac:dyDescent="0.25">
      <c r="A12395" s="28">
        <v>44593</v>
      </c>
      <c r="B12395" s="27" t="s">
        <v>3</v>
      </c>
      <c r="C12395" s="27" t="s">
        <v>50</v>
      </c>
      <c r="D12395" s="27" t="s">
        <v>7</v>
      </c>
      <c r="E12395" s="27" t="s">
        <v>12</v>
      </c>
      <c r="F12395" s="29"/>
      <c r="G12395" s="30">
        <v>734.3488000000001</v>
      </c>
    </row>
    <row r="12396" spans="1:7" hidden="1" x14ac:dyDescent="0.25">
      <c r="A12396" s="28">
        <v>44593</v>
      </c>
      <c r="B12396" s="27" t="s">
        <v>3</v>
      </c>
      <c r="C12396" s="27" t="s">
        <v>50</v>
      </c>
      <c r="D12396" s="27" t="s">
        <v>7</v>
      </c>
      <c r="E12396" s="27" t="s">
        <v>13</v>
      </c>
      <c r="F12396" s="29"/>
      <c r="G12396" s="30">
        <v>734.3488000000001</v>
      </c>
    </row>
    <row r="12397" spans="1:7" hidden="1" x14ac:dyDescent="0.25">
      <c r="A12397" s="28">
        <v>44593</v>
      </c>
      <c r="B12397" s="27" t="s">
        <v>3</v>
      </c>
      <c r="C12397" s="27" t="s">
        <v>50</v>
      </c>
      <c r="D12397" s="27" t="s">
        <v>7</v>
      </c>
      <c r="E12397" s="27" t="s">
        <v>14</v>
      </c>
      <c r="F12397" s="29"/>
      <c r="G12397" s="30">
        <v>734.3488000000001</v>
      </c>
    </row>
    <row r="12398" spans="1:7" hidden="1" x14ac:dyDescent="0.25">
      <c r="A12398" s="28">
        <v>44593</v>
      </c>
      <c r="B12398" s="27" t="s">
        <v>3</v>
      </c>
      <c r="C12398" s="27" t="s">
        <v>50</v>
      </c>
      <c r="D12398" s="27" t="s">
        <v>7</v>
      </c>
      <c r="E12398" s="27" t="s">
        <v>15</v>
      </c>
      <c r="F12398" s="29"/>
      <c r="G12398" s="30">
        <v>734.3488000000001</v>
      </c>
    </row>
    <row r="12399" spans="1:7" hidden="1" x14ac:dyDescent="0.25">
      <c r="A12399" s="28">
        <v>44593</v>
      </c>
      <c r="B12399" s="27" t="s">
        <v>3</v>
      </c>
      <c r="C12399" s="27" t="s">
        <v>50</v>
      </c>
      <c r="D12399" s="27" t="s">
        <v>7</v>
      </c>
      <c r="E12399" s="27" t="s">
        <v>16</v>
      </c>
      <c r="F12399" s="29"/>
      <c r="G12399" s="30">
        <v>734.3488000000001</v>
      </c>
    </row>
    <row r="12400" spans="1:7" hidden="1" x14ac:dyDescent="0.25">
      <c r="A12400" s="28">
        <v>44593</v>
      </c>
      <c r="B12400" s="27" t="s">
        <v>3</v>
      </c>
      <c r="C12400" s="27" t="s">
        <v>50</v>
      </c>
      <c r="D12400" s="27" t="s">
        <v>7</v>
      </c>
      <c r="E12400" s="27" t="s">
        <v>17</v>
      </c>
      <c r="F12400" s="29"/>
      <c r="G12400" s="30">
        <v>734.3488000000001</v>
      </c>
    </row>
    <row r="12401" spans="1:7" hidden="1" x14ac:dyDescent="0.25">
      <c r="A12401" s="28">
        <v>44593</v>
      </c>
      <c r="B12401" s="27" t="s">
        <v>3</v>
      </c>
      <c r="C12401" s="27" t="s">
        <v>50</v>
      </c>
      <c r="D12401" s="27" t="s">
        <v>7</v>
      </c>
      <c r="E12401" s="27" t="s">
        <v>18</v>
      </c>
      <c r="F12401" s="29"/>
      <c r="G12401" s="30">
        <v>734.3488000000001</v>
      </c>
    </row>
    <row r="12402" spans="1:7" hidden="1" x14ac:dyDescent="0.25">
      <c r="A12402" s="28">
        <v>44593</v>
      </c>
      <c r="B12402" s="27" t="s">
        <v>3</v>
      </c>
      <c r="C12402" s="27" t="s">
        <v>50</v>
      </c>
      <c r="D12402" s="27" t="s">
        <v>7</v>
      </c>
      <c r="E12402" s="27" t="s">
        <v>19</v>
      </c>
      <c r="F12402" s="29"/>
      <c r="G12402" s="30">
        <v>734.3488000000001</v>
      </c>
    </row>
    <row r="12403" spans="1:7" hidden="1" x14ac:dyDescent="0.25">
      <c r="A12403" s="28">
        <v>44593</v>
      </c>
      <c r="B12403" s="27" t="s">
        <v>3</v>
      </c>
      <c r="C12403" s="27" t="s">
        <v>50</v>
      </c>
      <c r="D12403" s="27" t="s">
        <v>7</v>
      </c>
      <c r="E12403" s="27" t="s">
        <v>20</v>
      </c>
      <c r="F12403" s="29"/>
      <c r="G12403" s="30">
        <v>734.3488000000001</v>
      </c>
    </row>
    <row r="12404" spans="1:7" hidden="1" x14ac:dyDescent="0.25">
      <c r="A12404" s="28">
        <v>44593</v>
      </c>
      <c r="B12404" s="27" t="s">
        <v>3</v>
      </c>
      <c r="C12404" s="27" t="s">
        <v>50</v>
      </c>
      <c r="D12404" s="27" t="s">
        <v>7</v>
      </c>
      <c r="E12404" s="27" t="s">
        <v>38</v>
      </c>
      <c r="F12404" s="29"/>
      <c r="G12404" s="30">
        <v>734.3488000000001</v>
      </c>
    </row>
    <row r="12405" spans="1:7" hidden="1" x14ac:dyDescent="0.25">
      <c r="A12405" s="28">
        <v>44593</v>
      </c>
      <c r="B12405" s="27" t="s">
        <v>3</v>
      </c>
      <c r="C12405" s="27" t="s">
        <v>50</v>
      </c>
      <c r="D12405" s="27" t="s">
        <v>7</v>
      </c>
      <c r="E12405" s="27" t="s">
        <v>23</v>
      </c>
      <c r="F12405" s="29"/>
      <c r="G12405" s="30">
        <v>734.3488000000001</v>
      </c>
    </row>
    <row r="12406" spans="1:7" hidden="1" x14ac:dyDescent="0.25">
      <c r="A12406" s="28">
        <v>44593</v>
      </c>
      <c r="B12406" s="27" t="s">
        <v>3</v>
      </c>
      <c r="C12406" s="27" t="s">
        <v>50</v>
      </c>
      <c r="D12406" s="27" t="s">
        <v>7</v>
      </c>
      <c r="E12406" s="27" t="s">
        <v>40</v>
      </c>
      <c r="F12406" s="29"/>
      <c r="G12406" s="30">
        <v>734.3488000000001</v>
      </c>
    </row>
    <row r="12407" spans="1:7" hidden="1" x14ac:dyDescent="0.25">
      <c r="A12407" s="28">
        <v>44593</v>
      </c>
      <c r="B12407" s="27" t="s">
        <v>3</v>
      </c>
      <c r="C12407" s="27" t="s">
        <v>50</v>
      </c>
      <c r="D12407" s="27" t="s">
        <v>7</v>
      </c>
      <c r="E12407" s="27" t="s">
        <v>42</v>
      </c>
      <c r="F12407" s="29"/>
      <c r="G12407" s="30">
        <v>734.3488000000001</v>
      </c>
    </row>
    <row r="12408" spans="1:7" hidden="1" x14ac:dyDescent="0.25">
      <c r="A12408" s="28">
        <v>44593</v>
      </c>
      <c r="B12408" s="27" t="s">
        <v>3</v>
      </c>
      <c r="C12408" s="27" t="s">
        <v>50</v>
      </c>
      <c r="D12408" s="27" t="s">
        <v>7</v>
      </c>
      <c r="E12408" s="27" t="s">
        <v>43</v>
      </c>
      <c r="F12408" s="29"/>
      <c r="G12408" s="30">
        <v>734.3488000000001</v>
      </c>
    </row>
    <row r="12409" spans="1:7" hidden="1" x14ac:dyDescent="0.25">
      <c r="A12409" s="28">
        <v>44593</v>
      </c>
      <c r="B12409" s="27" t="s">
        <v>3</v>
      </c>
      <c r="C12409" s="27" t="s">
        <v>50</v>
      </c>
      <c r="D12409" s="27" t="s">
        <v>7</v>
      </c>
      <c r="E12409" s="27" t="s">
        <v>72</v>
      </c>
      <c r="F12409" s="29"/>
      <c r="G12409" s="30">
        <v>734.3488000000001</v>
      </c>
    </row>
    <row r="12410" spans="1:7" hidden="1" x14ac:dyDescent="0.25">
      <c r="A12410" s="28">
        <v>44593</v>
      </c>
      <c r="B12410" s="27" t="s">
        <v>3</v>
      </c>
      <c r="C12410" s="27" t="s">
        <v>50</v>
      </c>
      <c r="D12410" s="27" t="s">
        <v>7</v>
      </c>
      <c r="E12410" s="27" t="s">
        <v>206</v>
      </c>
      <c r="F12410" s="29"/>
      <c r="G12410" s="30">
        <v>734.3488000000001</v>
      </c>
    </row>
    <row r="12411" spans="1:7" hidden="1" x14ac:dyDescent="0.25">
      <c r="A12411" s="28">
        <v>44593</v>
      </c>
      <c r="B12411" s="27" t="s">
        <v>32</v>
      </c>
      <c r="C12411" s="27" t="s">
        <v>50</v>
      </c>
      <c r="D12411" s="27" t="s">
        <v>7</v>
      </c>
      <c r="E12411" s="27" t="s">
        <v>17</v>
      </c>
      <c r="F12411" s="29"/>
      <c r="G12411" s="30">
        <v>80</v>
      </c>
    </row>
    <row r="12412" spans="1:7" hidden="1" x14ac:dyDescent="0.25">
      <c r="A12412" s="28">
        <v>44593</v>
      </c>
      <c r="B12412" s="27" t="s">
        <v>5</v>
      </c>
      <c r="C12412" s="27" t="s">
        <v>51</v>
      </c>
      <c r="D12412" s="27" t="s">
        <v>51</v>
      </c>
      <c r="E12412" s="27" t="s">
        <v>8</v>
      </c>
      <c r="F12412" s="29">
        <v>2774</v>
      </c>
      <c r="G12412" s="30">
        <v>5.2046470316954947</v>
      </c>
    </row>
    <row r="12413" spans="1:7" hidden="1" x14ac:dyDescent="0.25">
      <c r="A12413" s="28">
        <v>44593</v>
      </c>
      <c r="B12413" s="27" t="s">
        <v>5</v>
      </c>
      <c r="C12413" s="27" t="s">
        <v>51</v>
      </c>
      <c r="D12413" s="27" t="s">
        <v>51</v>
      </c>
      <c r="E12413" s="27" t="s">
        <v>9</v>
      </c>
      <c r="F12413" s="29">
        <v>2525</v>
      </c>
      <c r="G12413" s="30">
        <v>4.1545329352801978</v>
      </c>
    </row>
    <row r="12414" spans="1:7" hidden="1" x14ac:dyDescent="0.25">
      <c r="A12414" s="28">
        <v>44593</v>
      </c>
      <c r="B12414" s="27" t="s">
        <v>5</v>
      </c>
      <c r="C12414" s="27" t="s">
        <v>51</v>
      </c>
      <c r="D12414" s="27" t="s">
        <v>51</v>
      </c>
      <c r="E12414" s="27" t="s">
        <v>22</v>
      </c>
      <c r="F12414" s="29">
        <v>3379</v>
      </c>
      <c r="G12414" s="30">
        <v>3.42021227517017</v>
      </c>
    </row>
    <row r="12415" spans="1:7" hidden="1" x14ac:dyDescent="0.25">
      <c r="A12415" s="28">
        <v>44593</v>
      </c>
      <c r="B12415" s="27" t="s">
        <v>5</v>
      </c>
      <c r="C12415" s="27" t="s">
        <v>51</v>
      </c>
      <c r="D12415" s="27" t="s">
        <v>51</v>
      </c>
      <c r="E12415" s="27" t="s">
        <v>39</v>
      </c>
      <c r="F12415" s="29">
        <v>1236</v>
      </c>
      <c r="G12415" s="30">
        <v>10.272982293678972</v>
      </c>
    </row>
    <row r="12416" spans="1:7" hidden="1" x14ac:dyDescent="0.25">
      <c r="A12416" s="28">
        <v>44593</v>
      </c>
      <c r="B12416" s="27" t="s">
        <v>5</v>
      </c>
      <c r="C12416" s="27" t="s">
        <v>51</v>
      </c>
      <c r="D12416" s="27" t="s">
        <v>51</v>
      </c>
      <c r="E12416" s="27" t="s">
        <v>64</v>
      </c>
      <c r="F12416" s="29">
        <v>3861</v>
      </c>
      <c r="G12416" s="30">
        <v>2.8817137816336684</v>
      </c>
    </row>
    <row r="12417" spans="1:7" hidden="1" x14ac:dyDescent="0.25">
      <c r="A12417" s="28">
        <v>44593</v>
      </c>
      <c r="B12417" s="27" t="s">
        <v>5</v>
      </c>
      <c r="C12417" s="27" t="s">
        <v>51</v>
      </c>
      <c r="D12417" s="27" t="s">
        <v>51</v>
      </c>
      <c r="E12417" s="27" t="s">
        <v>21</v>
      </c>
      <c r="F12417" s="29">
        <v>3120</v>
      </c>
      <c r="G12417" s="30">
        <v>3.6222256618253952</v>
      </c>
    </row>
    <row r="12418" spans="1:7" hidden="1" x14ac:dyDescent="0.25">
      <c r="A12418" s="28">
        <v>44593</v>
      </c>
      <c r="B12418" s="27" t="s">
        <v>5</v>
      </c>
      <c r="C12418" s="27" t="s">
        <v>51</v>
      </c>
      <c r="D12418" s="27" t="s">
        <v>51</v>
      </c>
      <c r="E12418" s="27" t="s">
        <v>41</v>
      </c>
      <c r="F12418" s="29">
        <v>4449</v>
      </c>
      <c r="G12418" s="30">
        <v>2.4017095034030134</v>
      </c>
    </row>
    <row r="12419" spans="1:7" hidden="1" x14ac:dyDescent="0.25">
      <c r="A12419" s="28">
        <v>44593</v>
      </c>
      <c r="B12419" s="27" t="s">
        <v>5</v>
      </c>
      <c r="C12419" s="27" t="s">
        <v>51</v>
      </c>
      <c r="D12419" s="27" t="s">
        <v>51</v>
      </c>
      <c r="E12419" s="27" t="s">
        <v>10</v>
      </c>
      <c r="F12419" s="29">
        <v>3218</v>
      </c>
      <c r="G12419" s="30">
        <v>3.6237276173160038</v>
      </c>
    </row>
    <row r="12420" spans="1:7" hidden="1" x14ac:dyDescent="0.25">
      <c r="A12420" s="28">
        <v>44593</v>
      </c>
      <c r="B12420" s="27" t="s">
        <v>5</v>
      </c>
      <c r="C12420" s="27" t="s">
        <v>51</v>
      </c>
      <c r="D12420" s="27" t="s">
        <v>51</v>
      </c>
      <c r="E12420" s="27" t="s">
        <v>11</v>
      </c>
      <c r="F12420" s="29">
        <v>2731</v>
      </c>
      <c r="G12420" s="30">
        <v>4.0582003009495038</v>
      </c>
    </row>
    <row r="12421" spans="1:7" hidden="1" x14ac:dyDescent="0.25">
      <c r="A12421" s="28">
        <v>44593</v>
      </c>
      <c r="B12421" s="27" t="s">
        <v>5</v>
      </c>
      <c r="C12421" s="27" t="s">
        <v>51</v>
      </c>
      <c r="D12421" s="27" t="s">
        <v>51</v>
      </c>
      <c r="E12421" s="27" t="s">
        <v>12</v>
      </c>
      <c r="F12421" s="29">
        <v>2142</v>
      </c>
      <c r="G12421" s="30">
        <v>5.187974586302265</v>
      </c>
    </row>
    <row r="12422" spans="1:7" hidden="1" x14ac:dyDescent="0.25">
      <c r="A12422" s="28">
        <v>44593</v>
      </c>
      <c r="B12422" s="27" t="s">
        <v>5</v>
      </c>
      <c r="C12422" s="27" t="s">
        <v>51</v>
      </c>
      <c r="D12422" s="27" t="s">
        <v>51</v>
      </c>
      <c r="E12422" s="27" t="s">
        <v>13</v>
      </c>
      <c r="F12422" s="29">
        <v>5506</v>
      </c>
      <c r="G12422" s="30">
        <v>2.1934272119122857</v>
      </c>
    </row>
    <row r="12423" spans="1:7" hidden="1" x14ac:dyDescent="0.25">
      <c r="A12423" s="28">
        <v>44593</v>
      </c>
      <c r="B12423" s="27" t="s">
        <v>5</v>
      </c>
      <c r="C12423" s="27" t="s">
        <v>51</v>
      </c>
      <c r="D12423" s="27" t="s">
        <v>51</v>
      </c>
      <c r="E12423" s="27" t="s">
        <v>14</v>
      </c>
      <c r="F12423" s="29">
        <v>7835</v>
      </c>
      <c r="G12423" s="30">
        <v>1.3117530839643039</v>
      </c>
    </row>
    <row r="12424" spans="1:7" hidden="1" x14ac:dyDescent="0.25">
      <c r="A12424" s="28">
        <v>44593</v>
      </c>
      <c r="B12424" s="27" t="s">
        <v>5</v>
      </c>
      <c r="C12424" s="27" t="s">
        <v>51</v>
      </c>
      <c r="D12424" s="27" t="s">
        <v>51</v>
      </c>
      <c r="E12424" s="27" t="s">
        <v>15</v>
      </c>
      <c r="F12424" s="29">
        <v>1979</v>
      </c>
      <c r="G12424" s="30">
        <v>5.6659688148568446</v>
      </c>
    </row>
    <row r="12425" spans="1:7" hidden="1" x14ac:dyDescent="0.25">
      <c r="A12425" s="28">
        <v>44593</v>
      </c>
      <c r="B12425" s="27" t="s">
        <v>5</v>
      </c>
      <c r="C12425" s="27" t="s">
        <v>51</v>
      </c>
      <c r="D12425" s="27" t="s">
        <v>51</v>
      </c>
      <c r="E12425" s="27" t="s">
        <v>16</v>
      </c>
      <c r="F12425" s="29">
        <v>1868</v>
      </c>
      <c r="G12425" s="30">
        <v>5.6560591890641705</v>
      </c>
    </row>
    <row r="12426" spans="1:7" hidden="1" x14ac:dyDescent="0.25">
      <c r="A12426" s="28">
        <v>44593</v>
      </c>
      <c r="B12426" s="27" t="s">
        <v>5</v>
      </c>
      <c r="C12426" s="27" t="s">
        <v>51</v>
      </c>
      <c r="D12426" s="27" t="s">
        <v>51</v>
      </c>
      <c r="E12426" s="27" t="s">
        <v>17</v>
      </c>
      <c r="F12426" s="29">
        <v>3619</v>
      </c>
      <c r="G12426" s="30">
        <v>3.3970651097267606</v>
      </c>
    </row>
    <row r="12427" spans="1:7" hidden="1" x14ac:dyDescent="0.25">
      <c r="A12427" s="28">
        <v>44593</v>
      </c>
      <c r="B12427" s="27" t="s">
        <v>5</v>
      </c>
      <c r="C12427" s="27" t="s">
        <v>51</v>
      </c>
      <c r="D12427" s="27" t="s">
        <v>51</v>
      </c>
      <c r="E12427" s="27" t="s">
        <v>18</v>
      </c>
      <c r="F12427" s="29">
        <v>4498</v>
      </c>
      <c r="G12427" s="30">
        <v>2.2244450714783386</v>
      </c>
    </row>
    <row r="12428" spans="1:7" hidden="1" x14ac:dyDescent="0.25">
      <c r="A12428" s="28">
        <v>44593</v>
      </c>
      <c r="B12428" s="27" t="s">
        <v>5</v>
      </c>
      <c r="C12428" s="27" t="s">
        <v>51</v>
      </c>
      <c r="D12428" s="27" t="s">
        <v>51</v>
      </c>
      <c r="E12428" s="27" t="s">
        <v>19</v>
      </c>
      <c r="F12428" s="29">
        <v>4673</v>
      </c>
      <c r="G12428" s="30">
        <v>2.509673732974572</v>
      </c>
    </row>
    <row r="12429" spans="1:7" hidden="1" x14ac:dyDescent="0.25">
      <c r="A12429" s="28">
        <v>44593</v>
      </c>
      <c r="B12429" s="27" t="s">
        <v>5</v>
      </c>
      <c r="C12429" s="27" t="s">
        <v>51</v>
      </c>
      <c r="D12429" s="27" t="s">
        <v>51</v>
      </c>
      <c r="E12429" s="27" t="s">
        <v>20</v>
      </c>
      <c r="F12429" s="29">
        <v>6961</v>
      </c>
      <c r="G12429" s="30">
        <v>1.4817734528507582</v>
      </c>
    </row>
    <row r="12430" spans="1:7" hidden="1" x14ac:dyDescent="0.25">
      <c r="A12430" s="28">
        <v>44593</v>
      </c>
      <c r="B12430" s="27" t="s">
        <v>5</v>
      </c>
      <c r="C12430" s="27" t="s">
        <v>51</v>
      </c>
      <c r="D12430" s="27" t="s">
        <v>51</v>
      </c>
      <c r="E12430" s="27" t="s">
        <v>38</v>
      </c>
      <c r="F12430" s="29">
        <v>1421</v>
      </c>
      <c r="G12430" s="30">
        <v>6.4479237278553452</v>
      </c>
    </row>
    <row r="12431" spans="1:7" hidden="1" x14ac:dyDescent="0.25">
      <c r="A12431" s="28">
        <v>44593</v>
      </c>
      <c r="B12431" s="27" t="s">
        <v>5</v>
      </c>
      <c r="C12431" s="27" t="s">
        <v>51</v>
      </c>
      <c r="D12431" s="27" t="s">
        <v>51</v>
      </c>
      <c r="E12431" s="27" t="s">
        <v>23</v>
      </c>
      <c r="F12431" s="29">
        <v>4789</v>
      </c>
      <c r="G12431" s="30">
        <v>2.4363040402012706</v>
      </c>
    </row>
    <row r="12432" spans="1:7" hidden="1" x14ac:dyDescent="0.25">
      <c r="A12432" s="28">
        <v>44593</v>
      </c>
      <c r="B12432" s="27" t="s">
        <v>5</v>
      </c>
      <c r="C12432" s="27" t="s">
        <v>51</v>
      </c>
      <c r="D12432" s="27" t="s">
        <v>51</v>
      </c>
      <c r="E12432" s="27" t="s">
        <v>40</v>
      </c>
      <c r="F12432" s="29">
        <v>5878</v>
      </c>
      <c r="G12432" s="30">
        <v>1.6661781426169004</v>
      </c>
    </row>
    <row r="12433" spans="1:7" hidden="1" x14ac:dyDescent="0.25">
      <c r="A12433" s="28">
        <v>44593</v>
      </c>
      <c r="B12433" s="27" t="s">
        <v>5</v>
      </c>
      <c r="C12433" s="27" t="s">
        <v>51</v>
      </c>
      <c r="D12433" s="27" t="s">
        <v>51</v>
      </c>
      <c r="E12433" s="27" t="s">
        <v>42</v>
      </c>
      <c r="F12433" s="29">
        <v>2946</v>
      </c>
      <c r="G12433" s="30">
        <v>3.2982407715187652</v>
      </c>
    </row>
    <row r="12434" spans="1:7" hidden="1" x14ac:dyDescent="0.25">
      <c r="A12434" s="28">
        <v>44593</v>
      </c>
      <c r="B12434" s="27" t="s">
        <v>5</v>
      </c>
      <c r="C12434" s="27" t="s">
        <v>51</v>
      </c>
      <c r="D12434" s="27" t="s">
        <v>51</v>
      </c>
      <c r="E12434" s="27" t="s">
        <v>43</v>
      </c>
      <c r="F12434" s="29">
        <v>4423</v>
      </c>
      <c r="G12434" s="30">
        <v>2.3744618821683035</v>
      </c>
    </row>
    <row r="12435" spans="1:7" hidden="1" x14ac:dyDescent="0.25">
      <c r="A12435" s="28">
        <v>44593</v>
      </c>
      <c r="B12435" s="27" t="s">
        <v>5</v>
      </c>
      <c r="C12435" s="27" t="s">
        <v>51</v>
      </c>
      <c r="D12435" s="27" t="s">
        <v>51</v>
      </c>
      <c r="E12435" s="27" t="s">
        <v>72</v>
      </c>
      <c r="F12435" s="29">
        <v>6408</v>
      </c>
      <c r="G12435" s="30">
        <v>1.5154002524721775</v>
      </c>
    </row>
    <row r="12436" spans="1:7" hidden="1" x14ac:dyDescent="0.25">
      <c r="A12436" s="28">
        <v>44593</v>
      </c>
      <c r="B12436" s="27" t="s">
        <v>180</v>
      </c>
      <c r="C12436" s="27" t="s">
        <v>50</v>
      </c>
      <c r="D12436" s="27" t="s">
        <v>7</v>
      </c>
      <c r="E12436" s="27" t="s">
        <v>8</v>
      </c>
      <c r="F12436" s="29"/>
      <c r="G12436" s="30">
        <v>125</v>
      </c>
    </row>
    <row r="12437" spans="1:7" hidden="1" x14ac:dyDescent="0.25">
      <c r="A12437" s="28">
        <v>44593</v>
      </c>
      <c r="B12437" s="27" t="s">
        <v>180</v>
      </c>
      <c r="C12437" s="27" t="s">
        <v>50</v>
      </c>
      <c r="D12437" s="27" t="s">
        <v>7</v>
      </c>
      <c r="E12437" s="27" t="s">
        <v>39</v>
      </c>
      <c r="F12437" s="29"/>
      <c r="G12437" s="30">
        <v>1000</v>
      </c>
    </row>
    <row r="12438" spans="1:7" hidden="1" x14ac:dyDescent="0.25">
      <c r="A12438" s="28">
        <v>44593</v>
      </c>
      <c r="B12438" s="27" t="s">
        <v>180</v>
      </c>
      <c r="C12438" s="27" t="s">
        <v>50</v>
      </c>
      <c r="D12438" s="27" t="s">
        <v>7</v>
      </c>
      <c r="E12438" s="27" t="s">
        <v>21</v>
      </c>
      <c r="F12438" s="29"/>
      <c r="G12438" s="30">
        <v>986.43000000000006</v>
      </c>
    </row>
    <row r="12439" spans="1:7" hidden="1" x14ac:dyDescent="0.25">
      <c r="A12439" s="28">
        <v>44593</v>
      </c>
      <c r="B12439" s="27" t="s">
        <v>180</v>
      </c>
      <c r="C12439" s="27" t="s">
        <v>50</v>
      </c>
      <c r="D12439" s="27" t="s">
        <v>7</v>
      </c>
      <c r="E12439" s="27" t="s">
        <v>19</v>
      </c>
      <c r="F12439" s="29"/>
      <c r="G12439" s="30">
        <v>340</v>
      </c>
    </row>
    <row r="12440" spans="1:7" hidden="1" x14ac:dyDescent="0.25">
      <c r="A12440" s="28">
        <v>44593</v>
      </c>
      <c r="B12440" s="27" t="s">
        <v>180</v>
      </c>
      <c r="C12440" s="27" t="s">
        <v>50</v>
      </c>
      <c r="D12440" s="27" t="s">
        <v>7</v>
      </c>
      <c r="E12440" s="27" t="s">
        <v>42</v>
      </c>
      <c r="F12440" s="29"/>
      <c r="G12440" s="30">
        <v>318</v>
      </c>
    </row>
    <row r="12441" spans="1:7" hidden="1" x14ac:dyDescent="0.25">
      <c r="A12441" s="28">
        <v>44593</v>
      </c>
      <c r="B12441" s="27" t="s">
        <v>180</v>
      </c>
      <c r="C12441" s="27" t="s">
        <v>50</v>
      </c>
      <c r="D12441" s="27" t="s">
        <v>7</v>
      </c>
      <c r="E12441" s="27" t="s">
        <v>72</v>
      </c>
      <c r="F12441" s="29"/>
      <c r="G12441" s="30">
        <v>265</v>
      </c>
    </row>
    <row r="12442" spans="1:7" hidden="1" x14ac:dyDescent="0.25">
      <c r="A12442" s="28">
        <v>44593</v>
      </c>
      <c r="B12442" s="27" t="s">
        <v>180</v>
      </c>
      <c r="C12442" s="27" t="s">
        <v>50</v>
      </c>
      <c r="D12442" s="27" t="s">
        <v>7</v>
      </c>
      <c r="E12442" s="27" t="s">
        <v>37</v>
      </c>
      <c r="F12442" s="29"/>
      <c r="G12442" s="30">
        <v>1168</v>
      </c>
    </row>
    <row r="12443" spans="1:7" hidden="1" x14ac:dyDescent="0.25">
      <c r="A12443" s="28">
        <v>44593</v>
      </c>
      <c r="B12443" s="27" t="s">
        <v>181</v>
      </c>
      <c r="C12443" s="27" t="s">
        <v>50</v>
      </c>
      <c r="D12443" s="27" t="s">
        <v>6</v>
      </c>
      <c r="E12443" s="27" t="s">
        <v>22</v>
      </c>
      <c r="F12443" s="29"/>
      <c r="G12443" s="30">
        <v>605</v>
      </c>
    </row>
    <row r="12444" spans="1:7" hidden="1" x14ac:dyDescent="0.25">
      <c r="A12444" s="28">
        <v>44593</v>
      </c>
      <c r="B12444" s="27" t="s">
        <v>181</v>
      </c>
      <c r="C12444" s="27" t="s">
        <v>50</v>
      </c>
      <c r="D12444" s="27" t="s">
        <v>6</v>
      </c>
      <c r="E12444" s="27" t="s">
        <v>64</v>
      </c>
      <c r="F12444" s="29"/>
      <c r="G12444" s="30">
        <v>497.24</v>
      </c>
    </row>
    <row r="12445" spans="1:7" hidden="1" x14ac:dyDescent="0.25">
      <c r="A12445" s="28">
        <v>44593</v>
      </c>
      <c r="B12445" s="27" t="s">
        <v>181</v>
      </c>
      <c r="C12445" s="27" t="s">
        <v>50</v>
      </c>
      <c r="D12445" s="27" t="s">
        <v>6</v>
      </c>
      <c r="E12445" s="27" t="s">
        <v>21</v>
      </c>
      <c r="F12445" s="29"/>
      <c r="G12445" s="30">
        <v>320</v>
      </c>
    </row>
    <row r="12446" spans="1:7" hidden="1" x14ac:dyDescent="0.25">
      <c r="A12446" s="28">
        <v>44593</v>
      </c>
      <c r="B12446" s="27" t="s">
        <v>181</v>
      </c>
      <c r="C12446" s="27" t="s">
        <v>50</v>
      </c>
      <c r="D12446" s="27" t="s">
        <v>6</v>
      </c>
      <c r="E12446" s="27" t="s">
        <v>41</v>
      </c>
      <c r="F12446" s="29"/>
      <c r="G12446" s="30">
        <v>260</v>
      </c>
    </row>
    <row r="12447" spans="1:7" hidden="1" x14ac:dyDescent="0.25">
      <c r="A12447" s="28">
        <v>44593</v>
      </c>
      <c r="B12447" s="27" t="s">
        <v>181</v>
      </c>
      <c r="C12447" s="27" t="s">
        <v>50</v>
      </c>
      <c r="D12447" s="27" t="s">
        <v>6</v>
      </c>
      <c r="E12447" s="27" t="s">
        <v>12</v>
      </c>
      <c r="F12447" s="29"/>
      <c r="G12447" s="30">
        <v>200</v>
      </c>
    </row>
    <row r="12448" spans="1:7" hidden="1" x14ac:dyDescent="0.25">
      <c r="A12448" s="28">
        <v>44593</v>
      </c>
      <c r="B12448" s="27" t="s">
        <v>181</v>
      </c>
      <c r="C12448" s="27" t="s">
        <v>50</v>
      </c>
      <c r="D12448" s="27" t="s">
        <v>6</v>
      </c>
      <c r="E12448" s="27" t="s">
        <v>15</v>
      </c>
      <c r="F12448" s="29"/>
      <c r="G12448" s="30">
        <v>390</v>
      </c>
    </row>
    <row r="12449" spans="1:7" hidden="1" x14ac:dyDescent="0.25">
      <c r="A12449" s="28">
        <v>44593</v>
      </c>
      <c r="B12449" s="27" t="s">
        <v>181</v>
      </c>
      <c r="C12449" s="27" t="s">
        <v>50</v>
      </c>
      <c r="D12449" s="27" t="s">
        <v>6</v>
      </c>
      <c r="E12449" s="27" t="s">
        <v>43</v>
      </c>
      <c r="F12449" s="29"/>
      <c r="G12449" s="30">
        <v>1160</v>
      </c>
    </row>
    <row r="12450" spans="1:7" hidden="1" x14ac:dyDescent="0.25">
      <c r="A12450" s="28">
        <v>44593</v>
      </c>
      <c r="B12450" s="27" t="s">
        <v>181</v>
      </c>
      <c r="C12450" s="27" t="s">
        <v>50</v>
      </c>
      <c r="D12450" s="27" t="s">
        <v>6</v>
      </c>
      <c r="E12450" s="27" t="s">
        <v>37</v>
      </c>
      <c r="F12450" s="29"/>
      <c r="G12450" s="30">
        <v>9451</v>
      </c>
    </row>
    <row r="12451" spans="1:7" hidden="1" x14ac:dyDescent="0.25">
      <c r="A12451" s="28">
        <v>44593</v>
      </c>
      <c r="B12451" s="27" t="s">
        <v>25</v>
      </c>
      <c r="C12451" s="27" t="s">
        <v>50</v>
      </c>
      <c r="D12451" s="27" t="s">
        <v>7</v>
      </c>
      <c r="E12451" s="27" t="s">
        <v>9</v>
      </c>
      <c r="F12451" s="29"/>
      <c r="G12451" s="30">
        <v>104.13</v>
      </c>
    </row>
    <row r="12452" spans="1:7" hidden="1" x14ac:dyDescent="0.25">
      <c r="A12452" s="28">
        <v>44593</v>
      </c>
      <c r="B12452" s="27" t="s">
        <v>25</v>
      </c>
      <c r="C12452" s="27" t="s">
        <v>50</v>
      </c>
      <c r="D12452" s="27" t="s">
        <v>7</v>
      </c>
      <c r="E12452" s="27" t="s">
        <v>39</v>
      </c>
      <c r="F12452" s="29"/>
      <c r="G12452" s="30">
        <v>728.9</v>
      </c>
    </row>
    <row r="12453" spans="1:7" hidden="1" x14ac:dyDescent="0.25">
      <c r="A12453" s="28">
        <v>44593</v>
      </c>
      <c r="B12453" s="27" t="s">
        <v>25</v>
      </c>
      <c r="C12453" s="27" t="s">
        <v>50</v>
      </c>
      <c r="D12453" s="27" t="s">
        <v>7</v>
      </c>
      <c r="E12453" s="27" t="s">
        <v>11</v>
      </c>
      <c r="F12453" s="29"/>
      <c r="G12453" s="30">
        <v>208.26</v>
      </c>
    </row>
    <row r="12454" spans="1:7" hidden="1" x14ac:dyDescent="0.25">
      <c r="A12454" s="28">
        <v>44593</v>
      </c>
      <c r="B12454" s="27" t="s">
        <v>25</v>
      </c>
      <c r="C12454" s="27" t="s">
        <v>50</v>
      </c>
      <c r="D12454" s="27" t="s">
        <v>7</v>
      </c>
      <c r="E12454" s="27" t="s">
        <v>13</v>
      </c>
      <c r="F12454" s="29"/>
      <c r="G12454" s="30">
        <v>104.13</v>
      </c>
    </row>
    <row r="12455" spans="1:7" hidden="1" x14ac:dyDescent="0.25">
      <c r="A12455" s="28">
        <v>44593</v>
      </c>
      <c r="B12455" s="27" t="s">
        <v>25</v>
      </c>
      <c r="C12455" s="27" t="s">
        <v>50</v>
      </c>
      <c r="D12455" s="27" t="s">
        <v>7</v>
      </c>
      <c r="E12455" s="27" t="s">
        <v>14</v>
      </c>
      <c r="F12455" s="29"/>
      <c r="G12455" s="30">
        <v>104.13</v>
      </c>
    </row>
    <row r="12456" spans="1:7" hidden="1" x14ac:dyDescent="0.25">
      <c r="A12456" s="28">
        <v>44593</v>
      </c>
      <c r="B12456" s="27" t="s">
        <v>25</v>
      </c>
      <c r="C12456" s="27" t="s">
        <v>50</v>
      </c>
      <c r="D12456" s="27" t="s">
        <v>7</v>
      </c>
      <c r="E12456" s="27" t="s">
        <v>15</v>
      </c>
      <c r="F12456" s="29"/>
      <c r="G12456" s="30">
        <v>312.38</v>
      </c>
    </row>
    <row r="12457" spans="1:7" hidden="1" x14ac:dyDescent="0.25">
      <c r="A12457" s="28">
        <v>44593</v>
      </c>
      <c r="B12457" s="27" t="s">
        <v>25</v>
      </c>
      <c r="C12457" s="27" t="s">
        <v>50</v>
      </c>
      <c r="D12457" s="27" t="s">
        <v>7</v>
      </c>
      <c r="E12457" s="27" t="s">
        <v>19</v>
      </c>
      <c r="F12457" s="29"/>
      <c r="G12457" s="30">
        <v>104.12</v>
      </c>
    </row>
    <row r="12458" spans="1:7" hidden="1" x14ac:dyDescent="0.25">
      <c r="A12458" s="28">
        <v>44593</v>
      </c>
      <c r="B12458" s="27" t="s">
        <v>2</v>
      </c>
      <c r="C12458" s="27" t="s">
        <v>50</v>
      </c>
      <c r="D12458" s="27" t="s">
        <v>7</v>
      </c>
      <c r="E12458" s="27" t="s">
        <v>8</v>
      </c>
      <c r="F12458" s="29"/>
      <c r="G12458" s="30">
        <v>743.07999999999993</v>
      </c>
    </row>
    <row r="12459" spans="1:7" hidden="1" x14ac:dyDescent="0.25">
      <c r="A12459" s="28">
        <v>44593</v>
      </c>
      <c r="B12459" s="27" t="s">
        <v>2</v>
      </c>
      <c r="C12459" s="27" t="s">
        <v>50</v>
      </c>
      <c r="D12459" s="27" t="s">
        <v>7</v>
      </c>
      <c r="E12459" s="27" t="s">
        <v>9</v>
      </c>
      <c r="F12459" s="29"/>
      <c r="G12459" s="30">
        <v>422.78999999999996</v>
      </c>
    </row>
    <row r="12460" spans="1:7" hidden="1" x14ac:dyDescent="0.25">
      <c r="A12460" s="28">
        <v>44593</v>
      </c>
      <c r="B12460" s="27" t="s">
        <v>2</v>
      </c>
      <c r="C12460" s="27" t="s">
        <v>50</v>
      </c>
      <c r="D12460" s="27" t="s">
        <v>7</v>
      </c>
      <c r="E12460" s="27" t="s">
        <v>22</v>
      </c>
      <c r="F12460" s="29"/>
      <c r="G12460" s="30">
        <v>461.95</v>
      </c>
    </row>
    <row r="12461" spans="1:7" hidden="1" x14ac:dyDescent="0.25">
      <c r="A12461" s="28">
        <v>44593</v>
      </c>
      <c r="B12461" s="27" t="s">
        <v>2</v>
      </c>
      <c r="C12461" s="27" t="s">
        <v>50</v>
      </c>
      <c r="D12461" s="27" t="s">
        <v>7</v>
      </c>
      <c r="E12461" s="27" t="s">
        <v>39</v>
      </c>
      <c r="F12461" s="29"/>
      <c r="G12461" s="30">
        <v>175.38</v>
      </c>
    </row>
    <row r="12462" spans="1:7" hidden="1" x14ac:dyDescent="0.25">
      <c r="A12462" s="28">
        <v>44593</v>
      </c>
      <c r="B12462" s="27" t="s">
        <v>2</v>
      </c>
      <c r="C12462" s="27" t="s">
        <v>50</v>
      </c>
      <c r="D12462" s="27" t="s">
        <v>7</v>
      </c>
      <c r="E12462" s="27" t="s">
        <v>64</v>
      </c>
      <c r="F12462" s="29"/>
      <c r="G12462" s="30">
        <v>417.84999999999974</v>
      </c>
    </row>
    <row r="12463" spans="1:7" hidden="1" x14ac:dyDescent="0.25">
      <c r="A12463" s="28">
        <v>44593</v>
      </c>
      <c r="B12463" s="27" t="s">
        <v>2</v>
      </c>
      <c r="C12463" s="27" t="s">
        <v>50</v>
      </c>
      <c r="D12463" s="27" t="s">
        <v>7</v>
      </c>
      <c r="E12463" s="27" t="s">
        <v>21</v>
      </c>
      <c r="F12463" s="29"/>
      <c r="G12463" s="30">
        <v>254.69999999999982</v>
      </c>
    </row>
    <row r="12464" spans="1:7" hidden="1" x14ac:dyDescent="0.25">
      <c r="A12464" s="28">
        <v>44593</v>
      </c>
      <c r="B12464" s="27" t="s">
        <v>2</v>
      </c>
      <c r="C12464" s="27" t="s">
        <v>50</v>
      </c>
      <c r="D12464" s="27" t="s">
        <v>7</v>
      </c>
      <c r="E12464" s="27" t="s">
        <v>41</v>
      </c>
      <c r="F12464" s="29"/>
      <c r="G12464" s="30">
        <v>475.58</v>
      </c>
    </row>
    <row r="12465" spans="1:7" hidden="1" x14ac:dyDescent="0.25">
      <c r="A12465" s="28">
        <v>44593</v>
      </c>
      <c r="B12465" s="27" t="s">
        <v>2</v>
      </c>
      <c r="C12465" s="27" t="s">
        <v>50</v>
      </c>
      <c r="D12465" s="27" t="s">
        <v>7</v>
      </c>
      <c r="E12465" s="27" t="s">
        <v>10</v>
      </c>
      <c r="F12465" s="29"/>
      <c r="G12465" s="30">
        <v>537.4499999999997</v>
      </c>
    </row>
    <row r="12466" spans="1:7" hidden="1" x14ac:dyDescent="0.25">
      <c r="A12466" s="28">
        <v>44593</v>
      </c>
      <c r="B12466" s="27" t="s">
        <v>2</v>
      </c>
      <c r="C12466" s="27" t="s">
        <v>50</v>
      </c>
      <c r="D12466" s="27" t="s">
        <v>7</v>
      </c>
      <c r="E12466" s="27" t="s">
        <v>11</v>
      </c>
      <c r="F12466" s="29"/>
      <c r="G12466" s="30">
        <v>312.10000000000002</v>
      </c>
    </row>
    <row r="12467" spans="1:7" hidden="1" x14ac:dyDescent="0.25">
      <c r="A12467" s="28">
        <v>44593</v>
      </c>
      <c r="B12467" s="27" t="s">
        <v>2</v>
      </c>
      <c r="C12467" s="27" t="s">
        <v>50</v>
      </c>
      <c r="D12467" s="27" t="s">
        <v>7</v>
      </c>
      <c r="E12467" s="27" t="s">
        <v>12</v>
      </c>
      <c r="F12467" s="29"/>
      <c r="G12467" s="30">
        <v>263.27999999999997</v>
      </c>
    </row>
    <row r="12468" spans="1:7" hidden="1" x14ac:dyDescent="0.25">
      <c r="A12468" s="28">
        <v>44593</v>
      </c>
      <c r="B12468" s="27" t="s">
        <v>2</v>
      </c>
      <c r="C12468" s="27" t="s">
        <v>50</v>
      </c>
      <c r="D12468" s="27" t="s">
        <v>7</v>
      </c>
      <c r="E12468" s="27" t="s">
        <v>13</v>
      </c>
      <c r="F12468" s="29"/>
      <c r="G12468" s="30">
        <v>1294.55</v>
      </c>
    </row>
    <row r="12469" spans="1:7" hidden="1" x14ac:dyDescent="0.25">
      <c r="A12469" s="28">
        <v>44593</v>
      </c>
      <c r="B12469" s="27" t="s">
        <v>2</v>
      </c>
      <c r="C12469" s="27" t="s">
        <v>50</v>
      </c>
      <c r="D12469" s="27" t="s">
        <v>7</v>
      </c>
      <c r="E12469" s="27" t="s">
        <v>14</v>
      </c>
      <c r="F12469" s="29"/>
      <c r="G12469" s="30">
        <v>676.90000000000009</v>
      </c>
    </row>
    <row r="12470" spans="1:7" hidden="1" x14ac:dyDescent="0.25">
      <c r="A12470" s="28">
        <v>44593</v>
      </c>
      <c r="B12470" s="27" t="s">
        <v>2</v>
      </c>
      <c r="C12470" s="27" t="s">
        <v>50</v>
      </c>
      <c r="D12470" s="27" t="s">
        <v>7</v>
      </c>
      <c r="E12470" s="27" t="s">
        <v>15</v>
      </c>
      <c r="F12470" s="29"/>
      <c r="G12470" s="30">
        <v>238.94</v>
      </c>
    </row>
    <row r="12471" spans="1:7" hidden="1" x14ac:dyDescent="0.25">
      <c r="A12471" s="28">
        <v>44593</v>
      </c>
      <c r="B12471" s="27" t="s">
        <v>2</v>
      </c>
      <c r="C12471" s="27" t="s">
        <v>50</v>
      </c>
      <c r="D12471" s="27" t="s">
        <v>7</v>
      </c>
      <c r="E12471" s="27" t="s">
        <v>16</v>
      </c>
      <c r="F12471" s="29"/>
      <c r="G12471" s="30">
        <v>43.28</v>
      </c>
    </row>
    <row r="12472" spans="1:7" hidden="1" x14ac:dyDescent="0.25">
      <c r="A12472" s="28">
        <v>44593</v>
      </c>
      <c r="B12472" s="27" t="s">
        <v>2</v>
      </c>
      <c r="C12472" s="27" t="s">
        <v>50</v>
      </c>
      <c r="D12472" s="27" t="s">
        <v>7</v>
      </c>
      <c r="E12472" s="27" t="s">
        <v>17</v>
      </c>
      <c r="F12472" s="29"/>
      <c r="G12472" s="30">
        <v>710.19999999999982</v>
      </c>
    </row>
    <row r="12473" spans="1:7" hidden="1" x14ac:dyDescent="0.25">
      <c r="A12473" s="28">
        <v>44593</v>
      </c>
      <c r="B12473" s="27" t="s">
        <v>2</v>
      </c>
      <c r="C12473" s="27" t="s">
        <v>50</v>
      </c>
      <c r="D12473" s="27" t="s">
        <v>7</v>
      </c>
      <c r="E12473" s="27" t="s">
        <v>18</v>
      </c>
      <c r="F12473" s="29"/>
      <c r="G12473" s="30">
        <v>33.72</v>
      </c>
    </row>
    <row r="12474" spans="1:7" hidden="1" x14ac:dyDescent="0.25">
      <c r="A12474" s="28">
        <v>44593</v>
      </c>
      <c r="B12474" s="27" t="s">
        <v>2</v>
      </c>
      <c r="C12474" s="27" t="s">
        <v>50</v>
      </c>
      <c r="D12474" s="27" t="s">
        <v>7</v>
      </c>
      <c r="E12474" s="27" t="s">
        <v>19</v>
      </c>
      <c r="F12474" s="29"/>
      <c r="G12474" s="30">
        <v>494.30000000000041</v>
      </c>
    </row>
    <row r="12475" spans="1:7" hidden="1" x14ac:dyDescent="0.25">
      <c r="A12475" s="28">
        <v>44593</v>
      </c>
      <c r="B12475" s="27" t="s">
        <v>2</v>
      </c>
      <c r="C12475" s="27" t="s">
        <v>50</v>
      </c>
      <c r="D12475" s="27" t="s">
        <v>7</v>
      </c>
      <c r="E12475" s="27" t="s">
        <v>38</v>
      </c>
      <c r="F12475" s="29"/>
      <c r="G12475" s="30">
        <v>33.72</v>
      </c>
    </row>
    <row r="12476" spans="1:7" hidden="1" x14ac:dyDescent="0.25">
      <c r="A12476" s="28">
        <v>44593</v>
      </c>
      <c r="B12476" s="27" t="s">
        <v>2</v>
      </c>
      <c r="C12476" s="27" t="s">
        <v>50</v>
      </c>
      <c r="D12476" s="27" t="s">
        <v>7</v>
      </c>
      <c r="E12476" s="27" t="s">
        <v>23</v>
      </c>
      <c r="F12476" s="29"/>
      <c r="G12476" s="30">
        <v>710.26000000000056</v>
      </c>
    </row>
    <row r="12477" spans="1:7" hidden="1" x14ac:dyDescent="0.25">
      <c r="A12477" s="28">
        <v>44593</v>
      </c>
      <c r="B12477" s="27" t="s">
        <v>2</v>
      </c>
      <c r="C12477" s="27" t="s">
        <v>50</v>
      </c>
      <c r="D12477" s="27" t="s">
        <v>7</v>
      </c>
      <c r="E12477" s="27" t="s">
        <v>40</v>
      </c>
      <c r="F12477" s="29"/>
      <c r="G12477" s="30">
        <v>591.40000000000032</v>
      </c>
    </row>
    <row r="12478" spans="1:7" hidden="1" x14ac:dyDescent="0.25">
      <c r="A12478" s="28">
        <v>44593</v>
      </c>
      <c r="B12478" s="27" t="s">
        <v>2</v>
      </c>
      <c r="C12478" s="27" t="s">
        <v>50</v>
      </c>
      <c r="D12478" s="27" t="s">
        <v>7</v>
      </c>
      <c r="E12478" s="27" t="s">
        <v>42</v>
      </c>
      <c r="F12478" s="29"/>
      <c r="G12478" s="30">
        <v>260.38</v>
      </c>
    </row>
    <row r="12479" spans="1:7" hidden="1" x14ac:dyDescent="0.25">
      <c r="A12479" s="28">
        <v>44593</v>
      </c>
      <c r="B12479" s="27" t="s">
        <v>2</v>
      </c>
      <c r="C12479" s="27" t="s">
        <v>50</v>
      </c>
      <c r="D12479" s="27" t="s">
        <v>7</v>
      </c>
      <c r="E12479" s="27" t="s">
        <v>43</v>
      </c>
      <c r="F12479" s="29"/>
      <c r="G12479" s="30">
        <v>259.00000000000011</v>
      </c>
    </row>
    <row r="12480" spans="1:7" hidden="1" x14ac:dyDescent="0.25">
      <c r="A12480" s="28">
        <v>44593</v>
      </c>
      <c r="B12480" s="27" t="s">
        <v>2</v>
      </c>
      <c r="C12480" s="27" t="s">
        <v>50</v>
      </c>
      <c r="D12480" s="27" t="s">
        <v>7</v>
      </c>
      <c r="E12480" s="27" t="s">
        <v>72</v>
      </c>
      <c r="F12480" s="29"/>
      <c r="G12480" s="30">
        <v>410.1</v>
      </c>
    </row>
    <row r="12481" spans="1:7" hidden="1" x14ac:dyDescent="0.25">
      <c r="A12481" s="28">
        <v>44593</v>
      </c>
      <c r="B12481" s="27" t="s">
        <v>2</v>
      </c>
      <c r="C12481" s="27" t="s">
        <v>50</v>
      </c>
      <c r="D12481" s="27" t="s">
        <v>7</v>
      </c>
      <c r="E12481" s="27" t="s">
        <v>206</v>
      </c>
      <c r="F12481" s="29"/>
      <c r="G12481" s="30">
        <v>82.8</v>
      </c>
    </row>
    <row r="12482" spans="1:7" hidden="1" x14ac:dyDescent="0.25">
      <c r="A12482" s="28">
        <v>44593</v>
      </c>
      <c r="B12482" s="27" t="s">
        <v>2</v>
      </c>
      <c r="C12482" s="27" t="s">
        <v>50</v>
      </c>
      <c r="D12482" s="27" t="s">
        <v>7</v>
      </c>
      <c r="E12482" s="27" t="s">
        <v>37</v>
      </c>
      <c r="F12482" s="29"/>
      <c r="G12482" s="30">
        <v>46</v>
      </c>
    </row>
    <row r="12483" spans="1:7" hidden="1" x14ac:dyDescent="0.25">
      <c r="A12483" s="28">
        <v>44593</v>
      </c>
      <c r="B12483" s="27" t="s">
        <v>36</v>
      </c>
      <c r="C12483" s="27" t="s">
        <v>50</v>
      </c>
      <c r="D12483" s="27" t="s">
        <v>6</v>
      </c>
      <c r="E12483" s="27" t="s">
        <v>8</v>
      </c>
      <c r="F12483" s="29"/>
      <c r="G12483" s="30">
        <v>335.64920000000001</v>
      </c>
    </row>
    <row r="12484" spans="1:7" hidden="1" x14ac:dyDescent="0.25">
      <c r="A12484" s="28">
        <v>44593</v>
      </c>
      <c r="B12484" s="27" t="s">
        <v>36</v>
      </c>
      <c r="C12484" s="27" t="s">
        <v>50</v>
      </c>
      <c r="D12484" s="27" t="s">
        <v>6</v>
      </c>
      <c r="E12484" s="27" t="s">
        <v>9</v>
      </c>
      <c r="F12484" s="29"/>
      <c r="G12484" s="30">
        <v>335.64920000000001</v>
      </c>
    </row>
    <row r="12485" spans="1:7" hidden="1" x14ac:dyDescent="0.25">
      <c r="A12485" s="28">
        <v>44593</v>
      </c>
      <c r="B12485" s="27" t="s">
        <v>36</v>
      </c>
      <c r="C12485" s="27" t="s">
        <v>50</v>
      </c>
      <c r="D12485" s="27" t="s">
        <v>6</v>
      </c>
      <c r="E12485" s="27" t="s">
        <v>22</v>
      </c>
      <c r="F12485" s="29"/>
      <c r="G12485" s="30">
        <v>335.64920000000001</v>
      </c>
    </row>
    <row r="12486" spans="1:7" hidden="1" x14ac:dyDescent="0.25">
      <c r="A12486" s="28">
        <v>44593</v>
      </c>
      <c r="B12486" s="27" t="s">
        <v>36</v>
      </c>
      <c r="C12486" s="27" t="s">
        <v>50</v>
      </c>
      <c r="D12486" s="27" t="s">
        <v>6</v>
      </c>
      <c r="E12486" s="27" t="s">
        <v>39</v>
      </c>
      <c r="F12486" s="29"/>
      <c r="G12486" s="30">
        <v>335.64920000000001</v>
      </c>
    </row>
    <row r="12487" spans="1:7" hidden="1" x14ac:dyDescent="0.25">
      <c r="A12487" s="28">
        <v>44593</v>
      </c>
      <c r="B12487" s="27" t="s">
        <v>36</v>
      </c>
      <c r="C12487" s="27" t="s">
        <v>50</v>
      </c>
      <c r="D12487" s="27" t="s">
        <v>6</v>
      </c>
      <c r="E12487" s="27" t="s">
        <v>64</v>
      </c>
      <c r="F12487" s="29"/>
      <c r="G12487" s="30">
        <v>335.64920000000001</v>
      </c>
    </row>
    <row r="12488" spans="1:7" hidden="1" x14ac:dyDescent="0.25">
      <c r="A12488" s="28">
        <v>44593</v>
      </c>
      <c r="B12488" s="27" t="s">
        <v>36</v>
      </c>
      <c r="C12488" s="27" t="s">
        <v>50</v>
      </c>
      <c r="D12488" s="27" t="s">
        <v>6</v>
      </c>
      <c r="E12488" s="27" t="s">
        <v>21</v>
      </c>
      <c r="F12488" s="29"/>
      <c r="G12488" s="30">
        <v>335.64920000000001</v>
      </c>
    </row>
    <row r="12489" spans="1:7" hidden="1" x14ac:dyDescent="0.25">
      <c r="A12489" s="28">
        <v>44593</v>
      </c>
      <c r="B12489" s="27" t="s">
        <v>36</v>
      </c>
      <c r="C12489" s="27" t="s">
        <v>50</v>
      </c>
      <c r="D12489" s="27" t="s">
        <v>6</v>
      </c>
      <c r="E12489" s="27" t="s">
        <v>41</v>
      </c>
      <c r="F12489" s="29"/>
      <c r="G12489" s="30">
        <v>335.64920000000001</v>
      </c>
    </row>
    <row r="12490" spans="1:7" hidden="1" x14ac:dyDescent="0.25">
      <c r="A12490" s="28">
        <v>44593</v>
      </c>
      <c r="B12490" s="27" t="s">
        <v>36</v>
      </c>
      <c r="C12490" s="27" t="s">
        <v>50</v>
      </c>
      <c r="D12490" s="27" t="s">
        <v>6</v>
      </c>
      <c r="E12490" s="27" t="s">
        <v>10</v>
      </c>
      <c r="F12490" s="29"/>
      <c r="G12490" s="30">
        <v>335.64920000000001</v>
      </c>
    </row>
    <row r="12491" spans="1:7" hidden="1" x14ac:dyDescent="0.25">
      <c r="A12491" s="28">
        <v>44593</v>
      </c>
      <c r="B12491" s="27" t="s">
        <v>36</v>
      </c>
      <c r="C12491" s="27" t="s">
        <v>50</v>
      </c>
      <c r="D12491" s="27" t="s">
        <v>6</v>
      </c>
      <c r="E12491" s="27" t="s">
        <v>11</v>
      </c>
      <c r="F12491" s="29"/>
      <c r="G12491" s="30">
        <v>335.64920000000001</v>
      </c>
    </row>
    <row r="12492" spans="1:7" hidden="1" x14ac:dyDescent="0.25">
      <c r="A12492" s="28">
        <v>44593</v>
      </c>
      <c r="B12492" s="27" t="s">
        <v>36</v>
      </c>
      <c r="C12492" s="27" t="s">
        <v>50</v>
      </c>
      <c r="D12492" s="27" t="s">
        <v>6</v>
      </c>
      <c r="E12492" s="27" t="s">
        <v>12</v>
      </c>
      <c r="F12492" s="29"/>
      <c r="G12492" s="30">
        <v>335.64920000000001</v>
      </c>
    </row>
    <row r="12493" spans="1:7" hidden="1" x14ac:dyDescent="0.25">
      <c r="A12493" s="28">
        <v>44593</v>
      </c>
      <c r="B12493" s="27" t="s">
        <v>36</v>
      </c>
      <c r="C12493" s="27" t="s">
        <v>50</v>
      </c>
      <c r="D12493" s="27" t="s">
        <v>6</v>
      </c>
      <c r="E12493" s="27" t="s">
        <v>13</v>
      </c>
      <c r="F12493" s="29"/>
      <c r="G12493" s="30">
        <v>335.64920000000001</v>
      </c>
    </row>
    <row r="12494" spans="1:7" hidden="1" x14ac:dyDescent="0.25">
      <c r="A12494" s="28">
        <v>44593</v>
      </c>
      <c r="B12494" s="27" t="s">
        <v>36</v>
      </c>
      <c r="C12494" s="27" t="s">
        <v>50</v>
      </c>
      <c r="D12494" s="27" t="s">
        <v>6</v>
      </c>
      <c r="E12494" s="27" t="s">
        <v>14</v>
      </c>
      <c r="F12494" s="29"/>
      <c r="G12494" s="30">
        <v>335.64920000000001</v>
      </c>
    </row>
    <row r="12495" spans="1:7" hidden="1" x14ac:dyDescent="0.25">
      <c r="A12495" s="28">
        <v>44593</v>
      </c>
      <c r="B12495" s="27" t="s">
        <v>36</v>
      </c>
      <c r="C12495" s="27" t="s">
        <v>50</v>
      </c>
      <c r="D12495" s="27" t="s">
        <v>6</v>
      </c>
      <c r="E12495" s="27" t="s">
        <v>15</v>
      </c>
      <c r="F12495" s="29"/>
      <c r="G12495" s="30">
        <v>335.64920000000001</v>
      </c>
    </row>
    <row r="12496" spans="1:7" hidden="1" x14ac:dyDescent="0.25">
      <c r="A12496" s="28">
        <v>44593</v>
      </c>
      <c r="B12496" s="27" t="s">
        <v>36</v>
      </c>
      <c r="C12496" s="27" t="s">
        <v>50</v>
      </c>
      <c r="D12496" s="27" t="s">
        <v>6</v>
      </c>
      <c r="E12496" s="27" t="s">
        <v>16</v>
      </c>
      <c r="F12496" s="29"/>
      <c r="G12496" s="30">
        <v>335.64920000000001</v>
      </c>
    </row>
    <row r="12497" spans="1:7" hidden="1" x14ac:dyDescent="0.25">
      <c r="A12497" s="28">
        <v>44593</v>
      </c>
      <c r="B12497" s="27" t="s">
        <v>36</v>
      </c>
      <c r="C12497" s="27" t="s">
        <v>50</v>
      </c>
      <c r="D12497" s="27" t="s">
        <v>6</v>
      </c>
      <c r="E12497" s="27" t="s">
        <v>17</v>
      </c>
      <c r="F12497" s="29"/>
      <c r="G12497" s="30">
        <v>335.64920000000001</v>
      </c>
    </row>
    <row r="12498" spans="1:7" hidden="1" x14ac:dyDescent="0.25">
      <c r="A12498" s="28">
        <v>44593</v>
      </c>
      <c r="B12498" s="27" t="s">
        <v>36</v>
      </c>
      <c r="C12498" s="27" t="s">
        <v>50</v>
      </c>
      <c r="D12498" s="27" t="s">
        <v>6</v>
      </c>
      <c r="E12498" s="27" t="s">
        <v>18</v>
      </c>
      <c r="F12498" s="29"/>
      <c r="G12498" s="30">
        <v>335.64920000000001</v>
      </c>
    </row>
    <row r="12499" spans="1:7" hidden="1" x14ac:dyDescent="0.25">
      <c r="A12499" s="28">
        <v>44593</v>
      </c>
      <c r="B12499" s="27" t="s">
        <v>36</v>
      </c>
      <c r="C12499" s="27" t="s">
        <v>50</v>
      </c>
      <c r="D12499" s="27" t="s">
        <v>6</v>
      </c>
      <c r="E12499" s="27" t="s">
        <v>19</v>
      </c>
      <c r="F12499" s="29"/>
      <c r="G12499" s="30">
        <v>335.64920000000001</v>
      </c>
    </row>
    <row r="12500" spans="1:7" hidden="1" x14ac:dyDescent="0.25">
      <c r="A12500" s="28">
        <v>44593</v>
      </c>
      <c r="B12500" s="27" t="s">
        <v>36</v>
      </c>
      <c r="C12500" s="27" t="s">
        <v>50</v>
      </c>
      <c r="D12500" s="27" t="s">
        <v>6</v>
      </c>
      <c r="E12500" s="27" t="s">
        <v>20</v>
      </c>
      <c r="F12500" s="29"/>
      <c r="G12500" s="30">
        <v>335.64920000000001</v>
      </c>
    </row>
    <row r="12501" spans="1:7" hidden="1" x14ac:dyDescent="0.25">
      <c r="A12501" s="28">
        <v>44593</v>
      </c>
      <c r="B12501" s="27" t="s">
        <v>36</v>
      </c>
      <c r="C12501" s="27" t="s">
        <v>50</v>
      </c>
      <c r="D12501" s="27" t="s">
        <v>6</v>
      </c>
      <c r="E12501" s="27" t="s">
        <v>38</v>
      </c>
      <c r="F12501" s="29"/>
      <c r="G12501" s="30">
        <v>335.64920000000001</v>
      </c>
    </row>
    <row r="12502" spans="1:7" hidden="1" x14ac:dyDescent="0.25">
      <c r="A12502" s="28">
        <v>44593</v>
      </c>
      <c r="B12502" s="27" t="s">
        <v>36</v>
      </c>
      <c r="C12502" s="27" t="s">
        <v>50</v>
      </c>
      <c r="D12502" s="27" t="s">
        <v>6</v>
      </c>
      <c r="E12502" s="27" t="s">
        <v>23</v>
      </c>
      <c r="F12502" s="29"/>
      <c r="G12502" s="30">
        <v>335.64920000000001</v>
      </c>
    </row>
    <row r="12503" spans="1:7" hidden="1" x14ac:dyDescent="0.25">
      <c r="A12503" s="28">
        <v>44593</v>
      </c>
      <c r="B12503" s="27" t="s">
        <v>36</v>
      </c>
      <c r="C12503" s="27" t="s">
        <v>50</v>
      </c>
      <c r="D12503" s="27" t="s">
        <v>6</v>
      </c>
      <c r="E12503" s="27" t="s">
        <v>40</v>
      </c>
      <c r="F12503" s="29"/>
      <c r="G12503" s="30">
        <v>335.64920000000001</v>
      </c>
    </row>
    <row r="12504" spans="1:7" hidden="1" x14ac:dyDescent="0.25">
      <c r="A12504" s="28">
        <v>44593</v>
      </c>
      <c r="B12504" s="27" t="s">
        <v>36</v>
      </c>
      <c r="C12504" s="27" t="s">
        <v>50</v>
      </c>
      <c r="D12504" s="27" t="s">
        <v>6</v>
      </c>
      <c r="E12504" s="27" t="s">
        <v>42</v>
      </c>
      <c r="F12504" s="29"/>
      <c r="G12504" s="30">
        <v>335.64920000000001</v>
      </c>
    </row>
    <row r="12505" spans="1:7" hidden="1" x14ac:dyDescent="0.25">
      <c r="A12505" s="28">
        <v>44593</v>
      </c>
      <c r="B12505" s="27" t="s">
        <v>36</v>
      </c>
      <c r="C12505" s="27" t="s">
        <v>50</v>
      </c>
      <c r="D12505" s="27" t="s">
        <v>6</v>
      </c>
      <c r="E12505" s="27" t="s">
        <v>43</v>
      </c>
      <c r="F12505" s="29"/>
      <c r="G12505" s="30">
        <v>335.64920000000001</v>
      </c>
    </row>
    <row r="12506" spans="1:7" hidden="1" x14ac:dyDescent="0.25">
      <c r="A12506" s="28">
        <v>44593</v>
      </c>
      <c r="B12506" s="27" t="s">
        <v>36</v>
      </c>
      <c r="C12506" s="27" t="s">
        <v>50</v>
      </c>
      <c r="D12506" s="27" t="s">
        <v>6</v>
      </c>
      <c r="E12506" s="27" t="s">
        <v>72</v>
      </c>
      <c r="F12506" s="29"/>
      <c r="G12506" s="30">
        <v>335.64920000000001</v>
      </c>
    </row>
    <row r="12507" spans="1:7" hidden="1" x14ac:dyDescent="0.25">
      <c r="A12507" s="28">
        <v>44593</v>
      </c>
      <c r="B12507" s="27" t="s">
        <v>36</v>
      </c>
      <c r="C12507" s="27" t="s">
        <v>50</v>
      </c>
      <c r="D12507" s="27" t="s">
        <v>6</v>
      </c>
      <c r="E12507" s="27" t="s">
        <v>206</v>
      </c>
      <c r="F12507" s="29"/>
      <c r="G12507" s="30">
        <v>335.64920000000001</v>
      </c>
    </row>
    <row r="12508" spans="1:7" hidden="1" x14ac:dyDescent="0.25">
      <c r="A12508" s="28">
        <v>44593</v>
      </c>
      <c r="B12508" s="27" t="s">
        <v>200</v>
      </c>
      <c r="C12508" s="27" t="s">
        <v>53</v>
      </c>
      <c r="D12508" s="27" t="s">
        <v>6</v>
      </c>
      <c r="E12508" s="27" t="s">
        <v>8</v>
      </c>
      <c r="F12508" s="29"/>
      <c r="G12508" s="30">
        <f t="shared" ref="G12508:G12531" si="221">2141.938/24</f>
        <v>89.247416666666666</v>
      </c>
    </row>
    <row r="12509" spans="1:7" hidden="1" x14ac:dyDescent="0.25">
      <c r="A12509" s="28">
        <v>44593</v>
      </c>
      <c r="B12509" s="27" t="s">
        <v>200</v>
      </c>
      <c r="C12509" s="27" t="s">
        <v>53</v>
      </c>
      <c r="D12509" s="27" t="s">
        <v>6</v>
      </c>
      <c r="E12509" s="27" t="s">
        <v>9</v>
      </c>
      <c r="F12509" s="29"/>
      <c r="G12509" s="30">
        <f t="shared" si="221"/>
        <v>89.247416666666666</v>
      </c>
    </row>
    <row r="12510" spans="1:7" hidden="1" x14ac:dyDescent="0.25">
      <c r="A12510" s="28">
        <v>44593</v>
      </c>
      <c r="B12510" s="27" t="s">
        <v>200</v>
      </c>
      <c r="C12510" s="27" t="s">
        <v>53</v>
      </c>
      <c r="D12510" s="27" t="s">
        <v>6</v>
      </c>
      <c r="E12510" s="27" t="s">
        <v>22</v>
      </c>
      <c r="F12510" s="29"/>
      <c r="G12510" s="30">
        <f t="shared" si="221"/>
        <v>89.247416666666666</v>
      </c>
    </row>
    <row r="12511" spans="1:7" hidden="1" x14ac:dyDescent="0.25">
      <c r="A12511" s="28">
        <v>44593</v>
      </c>
      <c r="B12511" s="27" t="s">
        <v>200</v>
      </c>
      <c r="C12511" s="27" t="s">
        <v>53</v>
      </c>
      <c r="D12511" s="27" t="s">
        <v>6</v>
      </c>
      <c r="E12511" s="27" t="s">
        <v>39</v>
      </c>
      <c r="F12511" s="29"/>
      <c r="G12511" s="30">
        <f t="shared" si="221"/>
        <v>89.247416666666666</v>
      </c>
    </row>
    <row r="12512" spans="1:7" hidden="1" x14ac:dyDescent="0.25">
      <c r="A12512" s="28">
        <v>44593</v>
      </c>
      <c r="B12512" s="27" t="s">
        <v>200</v>
      </c>
      <c r="C12512" s="27" t="s">
        <v>53</v>
      </c>
      <c r="D12512" s="27" t="s">
        <v>6</v>
      </c>
      <c r="E12512" s="27" t="s">
        <v>64</v>
      </c>
      <c r="F12512" s="29"/>
      <c r="G12512" s="30">
        <f t="shared" si="221"/>
        <v>89.247416666666666</v>
      </c>
    </row>
    <row r="12513" spans="1:7" hidden="1" x14ac:dyDescent="0.25">
      <c r="A12513" s="28">
        <v>44593</v>
      </c>
      <c r="B12513" s="27" t="s">
        <v>200</v>
      </c>
      <c r="C12513" s="27" t="s">
        <v>53</v>
      </c>
      <c r="D12513" s="27" t="s">
        <v>6</v>
      </c>
      <c r="E12513" s="27" t="s">
        <v>21</v>
      </c>
      <c r="F12513" s="29"/>
      <c r="G12513" s="30">
        <f t="shared" si="221"/>
        <v>89.247416666666666</v>
      </c>
    </row>
    <row r="12514" spans="1:7" hidden="1" x14ac:dyDescent="0.25">
      <c r="A12514" s="28">
        <v>44593</v>
      </c>
      <c r="B12514" s="27" t="s">
        <v>200</v>
      </c>
      <c r="C12514" s="27" t="s">
        <v>53</v>
      </c>
      <c r="D12514" s="27" t="s">
        <v>6</v>
      </c>
      <c r="E12514" s="27" t="s">
        <v>41</v>
      </c>
      <c r="F12514" s="29"/>
      <c r="G12514" s="30">
        <f t="shared" si="221"/>
        <v>89.247416666666666</v>
      </c>
    </row>
    <row r="12515" spans="1:7" hidden="1" x14ac:dyDescent="0.25">
      <c r="A12515" s="28">
        <v>44593</v>
      </c>
      <c r="B12515" s="27" t="s">
        <v>200</v>
      </c>
      <c r="C12515" s="27" t="s">
        <v>53</v>
      </c>
      <c r="D12515" s="27" t="s">
        <v>6</v>
      </c>
      <c r="E12515" s="27" t="s">
        <v>10</v>
      </c>
      <c r="F12515" s="29"/>
      <c r="G12515" s="30">
        <f t="shared" si="221"/>
        <v>89.247416666666666</v>
      </c>
    </row>
    <row r="12516" spans="1:7" hidden="1" x14ac:dyDescent="0.25">
      <c r="A12516" s="28">
        <v>44593</v>
      </c>
      <c r="B12516" s="27" t="s">
        <v>200</v>
      </c>
      <c r="C12516" s="27" t="s">
        <v>53</v>
      </c>
      <c r="D12516" s="27" t="s">
        <v>6</v>
      </c>
      <c r="E12516" s="27" t="s">
        <v>11</v>
      </c>
      <c r="F12516" s="29"/>
      <c r="G12516" s="30">
        <f t="shared" si="221"/>
        <v>89.247416666666666</v>
      </c>
    </row>
    <row r="12517" spans="1:7" hidden="1" x14ac:dyDescent="0.25">
      <c r="A12517" s="28">
        <v>44593</v>
      </c>
      <c r="B12517" s="27" t="s">
        <v>200</v>
      </c>
      <c r="C12517" s="27" t="s">
        <v>53</v>
      </c>
      <c r="D12517" s="27" t="s">
        <v>6</v>
      </c>
      <c r="E12517" s="27" t="s">
        <v>12</v>
      </c>
      <c r="F12517" s="29"/>
      <c r="G12517" s="30">
        <f t="shared" si="221"/>
        <v>89.247416666666666</v>
      </c>
    </row>
    <row r="12518" spans="1:7" hidden="1" x14ac:dyDescent="0.25">
      <c r="A12518" s="28">
        <v>44593</v>
      </c>
      <c r="B12518" s="27" t="s">
        <v>200</v>
      </c>
      <c r="C12518" s="27" t="s">
        <v>53</v>
      </c>
      <c r="D12518" s="27" t="s">
        <v>6</v>
      </c>
      <c r="E12518" s="27" t="s">
        <v>13</v>
      </c>
      <c r="F12518" s="29"/>
      <c r="G12518" s="30">
        <f t="shared" si="221"/>
        <v>89.247416666666666</v>
      </c>
    </row>
    <row r="12519" spans="1:7" hidden="1" x14ac:dyDescent="0.25">
      <c r="A12519" s="28">
        <v>44593</v>
      </c>
      <c r="B12519" s="27" t="s">
        <v>200</v>
      </c>
      <c r="C12519" s="27" t="s">
        <v>53</v>
      </c>
      <c r="D12519" s="27" t="s">
        <v>6</v>
      </c>
      <c r="E12519" s="27" t="s">
        <v>14</v>
      </c>
      <c r="F12519" s="29"/>
      <c r="G12519" s="30">
        <f t="shared" si="221"/>
        <v>89.247416666666666</v>
      </c>
    </row>
    <row r="12520" spans="1:7" hidden="1" x14ac:dyDescent="0.25">
      <c r="A12520" s="28">
        <v>44593</v>
      </c>
      <c r="B12520" s="27" t="s">
        <v>200</v>
      </c>
      <c r="C12520" s="27" t="s">
        <v>53</v>
      </c>
      <c r="D12520" s="27" t="s">
        <v>6</v>
      </c>
      <c r="E12520" s="27" t="s">
        <v>15</v>
      </c>
      <c r="F12520" s="29"/>
      <c r="G12520" s="30">
        <f t="shared" si="221"/>
        <v>89.247416666666666</v>
      </c>
    </row>
    <row r="12521" spans="1:7" hidden="1" x14ac:dyDescent="0.25">
      <c r="A12521" s="28">
        <v>44593</v>
      </c>
      <c r="B12521" s="27" t="s">
        <v>200</v>
      </c>
      <c r="C12521" s="27" t="s">
        <v>53</v>
      </c>
      <c r="D12521" s="27" t="s">
        <v>6</v>
      </c>
      <c r="E12521" s="27" t="s">
        <v>16</v>
      </c>
      <c r="F12521" s="29"/>
      <c r="G12521" s="30">
        <f t="shared" si="221"/>
        <v>89.247416666666666</v>
      </c>
    </row>
    <row r="12522" spans="1:7" hidden="1" x14ac:dyDescent="0.25">
      <c r="A12522" s="28">
        <v>44593</v>
      </c>
      <c r="B12522" s="27" t="s">
        <v>200</v>
      </c>
      <c r="C12522" s="27" t="s">
        <v>53</v>
      </c>
      <c r="D12522" s="27" t="s">
        <v>6</v>
      </c>
      <c r="E12522" s="27" t="s">
        <v>17</v>
      </c>
      <c r="F12522" s="29"/>
      <c r="G12522" s="30">
        <f t="shared" si="221"/>
        <v>89.247416666666666</v>
      </c>
    </row>
    <row r="12523" spans="1:7" hidden="1" x14ac:dyDescent="0.25">
      <c r="A12523" s="28">
        <v>44593</v>
      </c>
      <c r="B12523" s="27" t="s">
        <v>200</v>
      </c>
      <c r="C12523" s="27" t="s">
        <v>53</v>
      </c>
      <c r="D12523" s="27" t="s">
        <v>6</v>
      </c>
      <c r="E12523" s="27" t="s">
        <v>18</v>
      </c>
      <c r="F12523" s="29"/>
      <c r="G12523" s="30">
        <f t="shared" si="221"/>
        <v>89.247416666666666</v>
      </c>
    </row>
    <row r="12524" spans="1:7" hidden="1" x14ac:dyDescent="0.25">
      <c r="A12524" s="28">
        <v>44593</v>
      </c>
      <c r="B12524" s="27" t="s">
        <v>200</v>
      </c>
      <c r="C12524" s="27" t="s">
        <v>53</v>
      </c>
      <c r="D12524" s="27" t="s">
        <v>6</v>
      </c>
      <c r="E12524" s="27" t="s">
        <v>19</v>
      </c>
      <c r="F12524" s="29"/>
      <c r="G12524" s="30">
        <f t="shared" si="221"/>
        <v>89.247416666666666</v>
      </c>
    </row>
    <row r="12525" spans="1:7" hidden="1" x14ac:dyDescent="0.25">
      <c r="A12525" s="28">
        <v>44593</v>
      </c>
      <c r="B12525" s="27" t="s">
        <v>200</v>
      </c>
      <c r="C12525" s="27" t="s">
        <v>53</v>
      </c>
      <c r="D12525" s="27" t="s">
        <v>6</v>
      </c>
      <c r="E12525" s="27" t="s">
        <v>20</v>
      </c>
      <c r="F12525" s="29"/>
      <c r="G12525" s="30">
        <f t="shared" si="221"/>
        <v>89.247416666666666</v>
      </c>
    </row>
    <row r="12526" spans="1:7" hidden="1" x14ac:dyDescent="0.25">
      <c r="A12526" s="28">
        <v>44593</v>
      </c>
      <c r="B12526" s="27" t="s">
        <v>200</v>
      </c>
      <c r="C12526" s="27" t="s">
        <v>53</v>
      </c>
      <c r="D12526" s="27" t="s">
        <v>6</v>
      </c>
      <c r="E12526" s="27" t="s">
        <v>38</v>
      </c>
      <c r="F12526" s="29"/>
      <c r="G12526" s="30">
        <f t="shared" si="221"/>
        <v>89.247416666666666</v>
      </c>
    </row>
    <row r="12527" spans="1:7" hidden="1" x14ac:dyDescent="0.25">
      <c r="A12527" s="28">
        <v>44593</v>
      </c>
      <c r="B12527" s="27" t="s">
        <v>200</v>
      </c>
      <c r="C12527" s="27" t="s">
        <v>53</v>
      </c>
      <c r="D12527" s="27" t="s">
        <v>6</v>
      </c>
      <c r="E12527" s="27" t="s">
        <v>23</v>
      </c>
      <c r="F12527" s="29"/>
      <c r="G12527" s="30">
        <f t="shared" si="221"/>
        <v>89.247416666666666</v>
      </c>
    </row>
    <row r="12528" spans="1:7" hidden="1" x14ac:dyDescent="0.25">
      <c r="A12528" s="28">
        <v>44593</v>
      </c>
      <c r="B12528" s="27" t="s">
        <v>200</v>
      </c>
      <c r="C12528" s="27" t="s">
        <v>53</v>
      </c>
      <c r="D12528" s="27" t="s">
        <v>6</v>
      </c>
      <c r="E12528" s="27" t="s">
        <v>40</v>
      </c>
      <c r="F12528" s="29"/>
      <c r="G12528" s="30">
        <f t="shared" si="221"/>
        <v>89.247416666666666</v>
      </c>
    </row>
    <row r="12529" spans="1:7" hidden="1" x14ac:dyDescent="0.25">
      <c r="A12529" s="28">
        <v>44593</v>
      </c>
      <c r="B12529" s="27" t="s">
        <v>200</v>
      </c>
      <c r="C12529" s="27" t="s">
        <v>53</v>
      </c>
      <c r="D12529" s="27" t="s">
        <v>6</v>
      </c>
      <c r="E12529" s="27" t="s">
        <v>42</v>
      </c>
      <c r="F12529" s="29"/>
      <c r="G12529" s="30">
        <f t="shared" si="221"/>
        <v>89.247416666666666</v>
      </c>
    </row>
    <row r="12530" spans="1:7" hidden="1" x14ac:dyDescent="0.25">
      <c r="A12530" s="28">
        <v>44593</v>
      </c>
      <c r="B12530" s="27" t="s">
        <v>200</v>
      </c>
      <c r="C12530" s="27" t="s">
        <v>53</v>
      </c>
      <c r="D12530" s="27" t="s">
        <v>6</v>
      </c>
      <c r="E12530" s="27" t="s">
        <v>72</v>
      </c>
      <c r="F12530" s="29"/>
      <c r="G12530" s="30">
        <f t="shared" si="221"/>
        <v>89.247416666666666</v>
      </c>
    </row>
    <row r="12531" spans="1:7" hidden="1" x14ac:dyDescent="0.25">
      <c r="A12531" s="28">
        <v>44593</v>
      </c>
      <c r="B12531" s="27" t="s">
        <v>200</v>
      </c>
      <c r="C12531" s="27" t="s">
        <v>53</v>
      </c>
      <c r="D12531" s="27" t="s">
        <v>6</v>
      </c>
      <c r="E12531" s="27" t="s">
        <v>12</v>
      </c>
      <c r="F12531" s="29"/>
      <c r="G12531" s="30">
        <f t="shared" si="221"/>
        <v>89.247416666666666</v>
      </c>
    </row>
    <row r="12532" spans="1:7" hidden="1" x14ac:dyDescent="0.25">
      <c r="A12532" s="28">
        <v>44593</v>
      </c>
      <c r="B12532" s="27" t="s">
        <v>200</v>
      </c>
      <c r="C12532" s="27" t="s">
        <v>54</v>
      </c>
      <c r="D12532" s="27" t="s">
        <v>7</v>
      </c>
      <c r="E12532" s="27" t="s">
        <v>8</v>
      </c>
      <c r="F12532" s="29"/>
      <c r="G12532" s="30">
        <f t="shared" ref="G12532:G12556" si="222">424.2/25</f>
        <v>16.968</v>
      </c>
    </row>
    <row r="12533" spans="1:7" hidden="1" x14ac:dyDescent="0.25">
      <c r="A12533" s="28">
        <v>44593</v>
      </c>
      <c r="B12533" s="27" t="s">
        <v>200</v>
      </c>
      <c r="C12533" s="27" t="s">
        <v>54</v>
      </c>
      <c r="D12533" s="27" t="s">
        <v>7</v>
      </c>
      <c r="E12533" s="27" t="s">
        <v>9</v>
      </c>
      <c r="F12533" s="29"/>
      <c r="G12533" s="30">
        <f t="shared" si="222"/>
        <v>16.968</v>
      </c>
    </row>
    <row r="12534" spans="1:7" hidden="1" x14ac:dyDescent="0.25">
      <c r="A12534" s="28">
        <v>44593</v>
      </c>
      <c r="B12534" s="27" t="s">
        <v>200</v>
      </c>
      <c r="C12534" s="27" t="s">
        <v>54</v>
      </c>
      <c r="D12534" s="27" t="s">
        <v>7</v>
      </c>
      <c r="E12534" s="27" t="s">
        <v>22</v>
      </c>
      <c r="F12534" s="29"/>
      <c r="G12534" s="30">
        <f t="shared" si="222"/>
        <v>16.968</v>
      </c>
    </row>
    <row r="12535" spans="1:7" hidden="1" x14ac:dyDescent="0.25">
      <c r="A12535" s="28">
        <v>44593</v>
      </c>
      <c r="B12535" s="27" t="s">
        <v>200</v>
      </c>
      <c r="C12535" s="27" t="s">
        <v>54</v>
      </c>
      <c r="D12535" s="27" t="s">
        <v>7</v>
      </c>
      <c r="E12535" s="27" t="s">
        <v>39</v>
      </c>
      <c r="F12535" s="29"/>
      <c r="G12535" s="30">
        <f t="shared" si="222"/>
        <v>16.968</v>
      </c>
    </row>
    <row r="12536" spans="1:7" hidden="1" x14ac:dyDescent="0.25">
      <c r="A12536" s="28">
        <v>44593</v>
      </c>
      <c r="B12536" s="27" t="s">
        <v>200</v>
      </c>
      <c r="C12536" s="27" t="s">
        <v>54</v>
      </c>
      <c r="D12536" s="27" t="s">
        <v>7</v>
      </c>
      <c r="E12536" s="27" t="s">
        <v>64</v>
      </c>
      <c r="F12536" s="29"/>
      <c r="G12536" s="30">
        <f t="shared" si="222"/>
        <v>16.968</v>
      </c>
    </row>
    <row r="12537" spans="1:7" hidden="1" x14ac:dyDescent="0.25">
      <c r="A12537" s="28">
        <v>44593</v>
      </c>
      <c r="B12537" s="27" t="s">
        <v>200</v>
      </c>
      <c r="C12537" s="27" t="s">
        <v>54</v>
      </c>
      <c r="D12537" s="27" t="s">
        <v>7</v>
      </c>
      <c r="E12537" s="27" t="s">
        <v>21</v>
      </c>
      <c r="F12537" s="29"/>
      <c r="G12537" s="30">
        <f t="shared" si="222"/>
        <v>16.968</v>
      </c>
    </row>
    <row r="12538" spans="1:7" hidden="1" x14ac:dyDescent="0.25">
      <c r="A12538" s="28">
        <v>44593</v>
      </c>
      <c r="B12538" s="27" t="s">
        <v>200</v>
      </c>
      <c r="C12538" s="27" t="s">
        <v>54</v>
      </c>
      <c r="D12538" s="27" t="s">
        <v>7</v>
      </c>
      <c r="E12538" s="27" t="s">
        <v>41</v>
      </c>
      <c r="F12538" s="29"/>
      <c r="G12538" s="30">
        <f t="shared" si="222"/>
        <v>16.968</v>
      </c>
    </row>
    <row r="12539" spans="1:7" hidden="1" x14ac:dyDescent="0.25">
      <c r="A12539" s="28">
        <v>44593</v>
      </c>
      <c r="B12539" s="27" t="s">
        <v>200</v>
      </c>
      <c r="C12539" s="27" t="s">
        <v>54</v>
      </c>
      <c r="D12539" s="27" t="s">
        <v>7</v>
      </c>
      <c r="E12539" s="27" t="s">
        <v>10</v>
      </c>
      <c r="F12539" s="29"/>
      <c r="G12539" s="30">
        <f t="shared" si="222"/>
        <v>16.968</v>
      </c>
    </row>
    <row r="12540" spans="1:7" hidden="1" x14ac:dyDescent="0.25">
      <c r="A12540" s="28">
        <v>44593</v>
      </c>
      <c r="B12540" s="27" t="s">
        <v>200</v>
      </c>
      <c r="C12540" s="27" t="s">
        <v>54</v>
      </c>
      <c r="D12540" s="27" t="s">
        <v>7</v>
      </c>
      <c r="E12540" s="27" t="s">
        <v>11</v>
      </c>
      <c r="F12540" s="29"/>
      <c r="G12540" s="30">
        <f t="shared" si="222"/>
        <v>16.968</v>
      </c>
    </row>
    <row r="12541" spans="1:7" hidden="1" x14ac:dyDescent="0.25">
      <c r="A12541" s="28">
        <v>44593</v>
      </c>
      <c r="B12541" s="27" t="s">
        <v>200</v>
      </c>
      <c r="C12541" s="27" t="s">
        <v>54</v>
      </c>
      <c r="D12541" s="27" t="s">
        <v>7</v>
      </c>
      <c r="E12541" s="27" t="s">
        <v>12</v>
      </c>
      <c r="F12541" s="29"/>
      <c r="G12541" s="30">
        <f t="shared" si="222"/>
        <v>16.968</v>
      </c>
    </row>
    <row r="12542" spans="1:7" hidden="1" x14ac:dyDescent="0.25">
      <c r="A12542" s="28">
        <v>44593</v>
      </c>
      <c r="B12542" s="27" t="s">
        <v>200</v>
      </c>
      <c r="C12542" s="27" t="s">
        <v>54</v>
      </c>
      <c r="D12542" s="27" t="s">
        <v>7</v>
      </c>
      <c r="E12542" s="27" t="s">
        <v>13</v>
      </c>
      <c r="F12542" s="29"/>
      <c r="G12542" s="30">
        <f t="shared" si="222"/>
        <v>16.968</v>
      </c>
    </row>
    <row r="12543" spans="1:7" hidden="1" x14ac:dyDescent="0.25">
      <c r="A12543" s="28">
        <v>44593</v>
      </c>
      <c r="B12543" s="27" t="s">
        <v>200</v>
      </c>
      <c r="C12543" s="27" t="s">
        <v>54</v>
      </c>
      <c r="D12543" s="27" t="s">
        <v>7</v>
      </c>
      <c r="E12543" s="27" t="s">
        <v>14</v>
      </c>
      <c r="F12543" s="29"/>
      <c r="G12543" s="30">
        <f t="shared" si="222"/>
        <v>16.968</v>
      </c>
    </row>
    <row r="12544" spans="1:7" hidden="1" x14ac:dyDescent="0.25">
      <c r="A12544" s="28">
        <v>44593</v>
      </c>
      <c r="B12544" s="27" t="s">
        <v>200</v>
      </c>
      <c r="C12544" s="27" t="s">
        <v>54</v>
      </c>
      <c r="D12544" s="27" t="s">
        <v>7</v>
      </c>
      <c r="E12544" s="27" t="s">
        <v>15</v>
      </c>
      <c r="F12544" s="29"/>
      <c r="G12544" s="30">
        <f t="shared" si="222"/>
        <v>16.968</v>
      </c>
    </row>
    <row r="12545" spans="1:7" hidden="1" x14ac:dyDescent="0.25">
      <c r="A12545" s="28">
        <v>44593</v>
      </c>
      <c r="B12545" s="27" t="s">
        <v>200</v>
      </c>
      <c r="C12545" s="27" t="s">
        <v>54</v>
      </c>
      <c r="D12545" s="27" t="s">
        <v>7</v>
      </c>
      <c r="E12545" s="27" t="s">
        <v>16</v>
      </c>
      <c r="F12545" s="29"/>
      <c r="G12545" s="30">
        <f t="shared" si="222"/>
        <v>16.968</v>
      </c>
    </row>
    <row r="12546" spans="1:7" hidden="1" x14ac:dyDescent="0.25">
      <c r="A12546" s="28">
        <v>44593</v>
      </c>
      <c r="B12546" s="27" t="s">
        <v>200</v>
      </c>
      <c r="C12546" s="27" t="s">
        <v>54</v>
      </c>
      <c r="D12546" s="27" t="s">
        <v>7</v>
      </c>
      <c r="E12546" s="27" t="s">
        <v>17</v>
      </c>
      <c r="F12546" s="29"/>
      <c r="G12546" s="30">
        <f t="shared" si="222"/>
        <v>16.968</v>
      </c>
    </row>
    <row r="12547" spans="1:7" hidden="1" x14ac:dyDescent="0.25">
      <c r="A12547" s="28">
        <v>44593</v>
      </c>
      <c r="B12547" s="27" t="s">
        <v>200</v>
      </c>
      <c r="C12547" s="27" t="s">
        <v>54</v>
      </c>
      <c r="D12547" s="27" t="s">
        <v>7</v>
      </c>
      <c r="E12547" s="27" t="s">
        <v>18</v>
      </c>
      <c r="F12547" s="29"/>
      <c r="G12547" s="30">
        <f t="shared" si="222"/>
        <v>16.968</v>
      </c>
    </row>
    <row r="12548" spans="1:7" hidden="1" x14ac:dyDescent="0.25">
      <c r="A12548" s="28">
        <v>44593</v>
      </c>
      <c r="B12548" s="27" t="s">
        <v>200</v>
      </c>
      <c r="C12548" s="27" t="s">
        <v>54</v>
      </c>
      <c r="D12548" s="27" t="s">
        <v>7</v>
      </c>
      <c r="E12548" s="27" t="s">
        <v>19</v>
      </c>
      <c r="F12548" s="29"/>
      <c r="G12548" s="30">
        <f t="shared" si="222"/>
        <v>16.968</v>
      </c>
    </row>
    <row r="12549" spans="1:7" hidden="1" x14ac:dyDescent="0.25">
      <c r="A12549" s="28">
        <v>44593</v>
      </c>
      <c r="B12549" s="27" t="s">
        <v>200</v>
      </c>
      <c r="C12549" s="27" t="s">
        <v>54</v>
      </c>
      <c r="D12549" s="27" t="s">
        <v>7</v>
      </c>
      <c r="E12549" s="27" t="s">
        <v>20</v>
      </c>
      <c r="F12549" s="29"/>
      <c r="G12549" s="30">
        <f t="shared" si="222"/>
        <v>16.968</v>
      </c>
    </row>
    <row r="12550" spans="1:7" hidden="1" x14ac:dyDescent="0.25">
      <c r="A12550" s="28">
        <v>44593</v>
      </c>
      <c r="B12550" s="27" t="s">
        <v>200</v>
      </c>
      <c r="C12550" s="27" t="s">
        <v>54</v>
      </c>
      <c r="D12550" s="27" t="s">
        <v>7</v>
      </c>
      <c r="E12550" s="27" t="s">
        <v>38</v>
      </c>
      <c r="F12550" s="29"/>
      <c r="G12550" s="30">
        <f t="shared" si="222"/>
        <v>16.968</v>
      </c>
    </row>
    <row r="12551" spans="1:7" hidden="1" x14ac:dyDescent="0.25">
      <c r="A12551" s="28">
        <v>44593</v>
      </c>
      <c r="B12551" s="27" t="s">
        <v>200</v>
      </c>
      <c r="C12551" s="27" t="s">
        <v>54</v>
      </c>
      <c r="D12551" s="27" t="s">
        <v>7</v>
      </c>
      <c r="E12551" s="27" t="s">
        <v>23</v>
      </c>
      <c r="F12551" s="29"/>
      <c r="G12551" s="30">
        <f t="shared" si="222"/>
        <v>16.968</v>
      </c>
    </row>
    <row r="12552" spans="1:7" hidden="1" x14ac:dyDescent="0.25">
      <c r="A12552" s="28">
        <v>44593</v>
      </c>
      <c r="B12552" s="27" t="s">
        <v>200</v>
      </c>
      <c r="C12552" s="27" t="s">
        <v>54</v>
      </c>
      <c r="D12552" s="27" t="s">
        <v>7</v>
      </c>
      <c r="E12552" s="27" t="s">
        <v>40</v>
      </c>
      <c r="F12552" s="29"/>
      <c r="G12552" s="30">
        <f t="shared" si="222"/>
        <v>16.968</v>
      </c>
    </row>
    <row r="12553" spans="1:7" hidden="1" x14ac:dyDescent="0.25">
      <c r="A12553" s="28">
        <v>44593</v>
      </c>
      <c r="B12553" s="27" t="s">
        <v>200</v>
      </c>
      <c r="C12553" s="27" t="s">
        <v>54</v>
      </c>
      <c r="D12553" s="27" t="s">
        <v>7</v>
      </c>
      <c r="E12553" s="27" t="s">
        <v>42</v>
      </c>
      <c r="F12553" s="29"/>
      <c r="G12553" s="30">
        <f t="shared" si="222"/>
        <v>16.968</v>
      </c>
    </row>
    <row r="12554" spans="1:7" hidden="1" x14ac:dyDescent="0.25">
      <c r="A12554" s="28">
        <v>44593</v>
      </c>
      <c r="B12554" s="27" t="s">
        <v>200</v>
      </c>
      <c r="C12554" s="27" t="s">
        <v>54</v>
      </c>
      <c r="D12554" s="27" t="s">
        <v>7</v>
      </c>
      <c r="E12554" s="27" t="s">
        <v>43</v>
      </c>
      <c r="F12554" s="29"/>
      <c r="G12554" s="30">
        <f t="shared" si="222"/>
        <v>16.968</v>
      </c>
    </row>
    <row r="12555" spans="1:7" hidden="1" x14ac:dyDescent="0.25">
      <c r="A12555" s="28">
        <v>44593</v>
      </c>
      <c r="B12555" s="27" t="s">
        <v>200</v>
      </c>
      <c r="C12555" s="27" t="s">
        <v>54</v>
      </c>
      <c r="D12555" s="27" t="s">
        <v>7</v>
      </c>
      <c r="E12555" s="27" t="s">
        <v>72</v>
      </c>
      <c r="F12555" s="29"/>
      <c r="G12555" s="30">
        <f t="shared" si="222"/>
        <v>16.968</v>
      </c>
    </row>
    <row r="12556" spans="1:7" hidden="1" x14ac:dyDescent="0.25">
      <c r="A12556" s="28">
        <v>44593</v>
      </c>
      <c r="B12556" s="27" t="s">
        <v>200</v>
      </c>
      <c r="C12556" s="27" t="s">
        <v>54</v>
      </c>
      <c r="D12556" s="27" t="s">
        <v>7</v>
      </c>
      <c r="E12556" s="27" t="s">
        <v>206</v>
      </c>
      <c r="F12556" s="29"/>
      <c r="G12556" s="30">
        <f t="shared" si="222"/>
        <v>16.968</v>
      </c>
    </row>
    <row r="12557" spans="1:7" hidden="1" x14ac:dyDescent="0.25">
      <c r="A12557" s="28">
        <v>44593</v>
      </c>
      <c r="B12557" s="27" t="s">
        <v>200</v>
      </c>
      <c r="C12557" s="27" t="s">
        <v>55</v>
      </c>
      <c r="D12557" s="27" t="s">
        <v>6</v>
      </c>
      <c r="E12557" s="27" t="s">
        <v>8</v>
      </c>
      <c r="F12557" s="29"/>
      <c r="G12557" s="30">
        <f t="shared" ref="G12557:G12580" si="223">40000.3112/24</f>
        <v>1666.6796333333332</v>
      </c>
    </row>
    <row r="12558" spans="1:7" hidden="1" x14ac:dyDescent="0.25">
      <c r="A12558" s="28">
        <v>44593</v>
      </c>
      <c r="B12558" s="27" t="s">
        <v>200</v>
      </c>
      <c r="C12558" s="27" t="s">
        <v>55</v>
      </c>
      <c r="D12558" s="27" t="s">
        <v>6</v>
      </c>
      <c r="E12558" s="27" t="s">
        <v>9</v>
      </c>
      <c r="F12558" s="29"/>
      <c r="G12558" s="30">
        <f t="shared" si="223"/>
        <v>1666.6796333333332</v>
      </c>
    </row>
    <row r="12559" spans="1:7" hidden="1" x14ac:dyDescent="0.25">
      <c r="A12559" s="28">
        <v>44593</v>
      </c>
      <c r="B12559" s="27" t="s">
        <v>200</v>
      </c>
      <c r="C12559" s="27" t="s">
        <v>55</v>
      </c>
      <c r="D12559" s="27" t="s">
        <v>6</v>
      </c>
      <c r="E12559" s="27" t="s">
        <v>22</v>
      </c>
      <c r="F12559" s="29"/>
      <c r="G12559" s="30">
        <f t="shared" si="223"/>
        <v>1666.6796333333332</v>
      </c>
    </row>
    <row r="12560" spans="1:7" hidden="1" x14ac:dyDescent="0.25">
      <c r="A12560" s="28">
        <v>44593</v>
      </c>
      <c r="B12560" s="27" t="s">
        <v>200</v>
      </c>
      <c r="C12560" s="27" t="s">
        <v>55</v>
      </c>
      <c r="D12560" s="27" t="s">
        <v>6</v>
      </c>
      <c r="E12560" s="27" t="s">
        <v>39</v>
      </c>
      <c r="F12560" s="29"/>
      <c r="G12560" s="30">
        <f t="shared" si="223"/>
        <v>1666.6796333333332</v>
      </c>
    </row>
    <row r="12561" spans="1:7" hidden="1" x14ac:dyDescent="0.25">
      <c r="A12561" s="28">
        <v>44593</v>
      </c>
      <c r="B12561" s="27" t="s">
        <v>200</v>
      </c>
      <c r="C12561" s="27" t="s">
        <v>55</v>
      </c>
      <c r="D12561" s="27" t="s">
        <v>6</v>
      </c>
      <c r="E12561" s="27" t="s">
        <v>64</v>
      </c>
      <c r="F12561" s="29"/>
      <c r="G12561" s="30">
        <f t="shared" si="223"/>
        <v>1666.6796333333332</v>
      </c>
    </row>
    <row r="12562" spans="1:7" hidden="1" x14ac:dyDescent="0.25">
      <c r="A12562" s="28">
        <v>44593</v>
      </c>
      <c r="B12562" s="27" t="s">
        <v>200</v>
      </c>
      <c r="C12562" s="27" t="s">
        <v>55</v>
      </c>
      <c r="D12562" s="27" t="s">
        <v>6</v>
      </c>
      <c r="E12562" s="27" t="s">
        <v>21</v>
      </c>
      <c r="F12562" s="29"/>
      <c r="G12562" s="30">
        <f t="shared" si="223"/>
        <v>1666.6796333333332</v>
      </c>
    </row>
    <row r="12563" spans="1:7" hidden="1" x14ac:dyDescent="0.25">
      <c r="A12563" s="28">
        <v>44593</v>
      </c>
      <c r="B12563" s="27" t="s">
        <v>200</v>
      </c>
      <c r="C12563" s="27" t="s">
        <v>55</v>
      </c>
      <c r="D12563" s="27" t="s">
        <v>6</v>
      </c>
      <c r="E12563" s="27" t="s">
        <v>41</v>
      </c>
      <c r="F12563" s="29"/>
      <c r="G12563" s="30">
        <f t="shared" si="223"/>
        <v>1666.6796333333332</v>
      </c>
    </row>
    <row r="12564" spans="1:7" hidden="1" x14ac:dyDescent="0.25">
      <c r="A12564" s="28">
        <v>44593</v>
      </c>
      <c r="B12564" s="27" t="s">
        <v>200</v>
      </c>
      <c r="C12564" s="27" t="s">
        <v>55</v>
      </c>
      <c r="D12564" s="27" t="s">
        <v>6</v>
      </c>
      <c r="E12564" s="27" t="s">
        <v>10</v>
      </c>
      <c r="F12564" s="29"/>
      <c r="G12564" s="30">
        <f t="shared" si="223"/>
        <v>1666.6796333333332</v>
      </c>
    </row>
    <row r="12565" spans="1:7" hidden="1" x14ac:dyDescent="0.25">
      <c r="A12565" s="28">
        <v>44593</v>
      </c>
      <c r="B12565" s="27" t="s">
        <v>200</v>
      </c>
      <c r="C12565" s="27" t="s">
        <v>55</v>
      </c>
      <c r="D12565" s="27" t="s">
        <v>6</v>
      </c>
      <c r="E12565" s="27" t="s">
        <v>11</v>
      </c>
      <c r="F12565" s="29"/>
      <c r="G12565" s="30">
        <f t="shared" si="223"/>
        <v>1666.6796333333332</v>
      </c>
    </row>
    <row r="12566" spans="1:7" hidden="1" x14ac:dyDescent="0.25">
      <c r="A12566" s="28">
        <v>44593</v>
      </c>
      <c r="B12566" s="27" t="s">
        <v>200</v>
      </c>
      <c r="C12566" s="27" t="s">
        <v>55</v>
      </c>
      <c r="D12566" s="27" t="s">
        <v>6</v>
      </c>
      <c r="E12566" s="27" t="s">
        <v>12</v>
      </c>
      <c r="F12566" s="29"/>
      <c r="G12566" s="30">
        <f t="shared" si="223"/>
        <v>1666.6796333333332</v>
      </c>
    </row>
    <row r="12567" spans="1:7" hidden="1" x14ac:dyDescent="0.25">
      <c r="A12567" s="28">
        <v>44593</v>
      </c>
      <c r="B12567" s="27" t="s">
        <v>200</v>
      </c>
      <c r="C12567" s="27" t="s">
        <v>55</v>
      </c>
      <c r="D12567" s="27" t="s">
        <v>6</v>
      </c>
      <c r="E12567" s="27" t="s">
        <v>13</v>
      </c>
      <c r="F12567" s="29"/>
      <c r="G12567" s="30">
        <f t="shared" si="223"/>
        <v>1666.6796333333332</v>
      </c>
    </row>
    <row r="12568" spans="1:7" hidden="1" x14ac:dyDescent="0.25">
      <c r="A12568" s="28">
        <v>44593</v>
      </c>
      <c r="B12568" s="27" t="s">
        <v>200</v>
      </c>
      <c r="C12568" s="27" t="s">
        <v>55</v>
      </c>
      <c r="D12568" s="27" t="s">
        <v>6</v>
      </c>
      <c r="E12568" s="27" t="s">
        <v>14</v>
      </c>
      <c r="F12568" s="29"/>
      <c r="G12568" s="30">
        <f t="shared" si="223"/>
        <v>1666.6796333333332</v>
      </c>
    </row>
    <row r="12569" spans="1:7" hidden="1" x14ac:dyDescent="0.25">
      <c r="A12569" s="28">
        <v>44593</v>
      </c>
      <c r="B12569" s="27" t="s">
        <v>200</v>
      </c>
      <c r="C12569" s="27" t="s">
        <v>55</v>
      </c>
      <c r="D12569" s="27" t="s">
        <v>6</v>
      </c>
      <c r="E12569" s="27" t="s">
        <v>15</v>
      </c>
      <c r="F12569" s="29"/>
      <c r="G12569" s="30">
        <f t="shared" si="223"/>
        <v>1666.6796333333332</v>
      </c>
    </row>
    <row r="12570" spans="1:7" hidden="1" x14ac:dyDescent="0.25">
      <c r="A12570" s="28">
        <v>44593</v>
      </c>
      <c r="B12570" s="27" t="s">
        <v>200</v>
      </c>
      <c r="C12570" s="27" t="s">
        <v>55</v>
      </c>
      <c r="D12570" s="27" t="s">
        <v>6</v>
      </c>
      <c r="E12570" s="27" t="s">
        <v>16</v>
      </c>
      <c r="F12570" s="29"/>
      <c r="G12570" s="30">
        <f t="shared" si="223"/>
        <v>1666.6796333333332</v>
      </c>
    </row>
    <row r="12571" spans="1:7" hidden="1" x14ac:dyDescent="0.25">
      <c r="A12571" s="28">
        <v>44593</v>
      </c>
      <c r="B12571" s="27" t="s">
        <v>200</v>
      </c>
      <c r="C12571" s="27" t="s">
        <v>55</v>
      </c>
      <c r="D12571" s="27" t="s">
        <v>6</v>
      </c>
      <c r="E12571" s="27" t="s">
        <v>17</v>
      </c>
      <c r="F12571" s="29"/>
      <c r="G12571" s="30">
        <f t="shared" si="223"/>
        <v>1666.6796333333332</v>
      </c>
    </row>
    <row r="12572" spans="1:7" hidden="1" x14ac:dyDescent="0.25">
      <c r="A12572" s="28">
        <v>44593</v>
      </c>
      <c r="B12572" s="27" t="s">
        <v>200</v>
      </c>
      <c r="C12572" s="27" t="s">
        <v>55</v>
      </c>
      <c r="D12572" s="27" t="s">
        <v>6</v>
      </c>
      <c r="E12572" s="27" t="s">
        <v>18</v>
      </c>
      <c r="F12572" s="29"/>
      <c r="G12572" s="30">
        <f t="shared" si="223"/>
        <v>1666.6796333333332</v>
      </c>
    </row>
    <row r="12573" spans="1:7" hidden="1" x14ac:dyDescent="0.25">
      <c r="A12573" s="28">
        <v>44593</v>
      </c>
      <c r="B12573" s="27" t="s">
        <v>200</v>
      </c>
      <c r="C12573" s="27" t="s">
        <v>55</v>
      </c>
      <c r="D12573" s="27" t="s">
        <v>6</v>
      </c>
      <c r="E12573" s="27" t="s">
        <v>19</v>
      </c>
      <c r="F12573" s="29"/>
      <c r="G12573" s="30">
        <f t="shared" si="223"/>
        <v>1666.6796333333332</v>
      </c>
    </row>
    <row r="12574" spans="1:7" hidden="1" x14ac:dyDescent="0.25">
      <c r="A12574" s="28">
        <v>44593</v>
      </c>
      <c r="B12574" s="27" t="s">
        <v>200</v>
      </c>
      <c r="C12574" s="27" t="s">
        <v>55</v>
      </c>
      <c r="D12574" s="27" t="s">
        <v>6</v>
      </c>
      <c r="E12574" s="27" t="s">
        <v>20</v>
      </c>
      <c r="F12574" s="29"/>
      <c r="G12574" s="30">
        <f t="shared" si="223"/>
        <v>1666.6796333333332</v>
      </c>
    </row>
    <row r="12575" spans="1:7" hidden="1" x14ac:dyDescent="0.25">
      <c r="A12575" s="28">
        <v>44593</v>
      </c>
      <c r="B12575" s="27" t="s">
        <v>200</v>
      </c>
      <c r="C12575" s="27" t="s">
        <v>55</v>
      </c>
      <c r="D12575" s="27" t="s">
        <v>6</v>
      </c>
      <c r="E12575" s="27" t="s">
        <v>38</v>
      </c>
      <c r="F12575" s="29"/>
      <c r="G12575" s="30">
        <f t="shared" si="223"/>
        <v>1666.6796333333332</v>
      </c>
    </row>
    <row r="12576" spans="1:7" hidden="1" x14ac:dyDescent="0.25">
      <c r="A12576" s="28">
        <v>44593</v>
      </c>
      <c r="B12576" s="27" t="s">
        <v>200</v>
      </c>
      <c r="C12576" s="27" t="s">
        <v>55</v>
      </c>
      <c r="D12576" s="27" t="s">
        <v>6</v>
      </c>
      <c r="E12576" s="27" t="s">
        <v>23</v>
      </c>
      <c r="F12576" s="29"/>
      <c r="G12576" s="30">
        <f t="shared" si="223"/>
        <v>1666.6796333333332</v>
      </c>
    </row>
    <row r="12577" spans="1:7" hidden="1" x14ac:dyDescent="0.25">
      <c r="A12577" s="28">
        <v>44593</v>
      </c>
      <c r="B12577" s="27" t="s">
        <v>200</v>
      </c>
      <c r="C12577" s="27" t="s">
        <v>55</v>
      </c>
      <c r="D12577" s="27" t="s">
        <v>6</v>
      </c>
      <c r="E12577" s="27" t="s">
        <v>40</v>
      </c>
      <c r="F12577" s="29"/>
      <c r="G12577" s="30">
        <f t="shared" si="223"/>
        <v>1666.6796333333332</v>
      </c>
    </row>
    <row r="12578" spans="1:7" hidden="1" x14ac:dyDescent="0.25">
      <c r="A12578" s="28">
        <v>44593</v>
      </c>
      <c r="B12578" s="27" t="s">
        <v>200</v>
      </c>
      <c r="C12578" s="27" t="s">
        <v>55</v>
      </c>
      <c r="D12578" s="27" t="s">
        <v>6</v>
      </c>
      <c r="E12578" s="27" t="s">
        <v>42</v>
      </c>
      <c r="F12578" s="29"/>
      <c r="G12578" s="30">
        <f t="shared" si="223"/>
        <v>1666.6796333333332</v>
      </c>
    </row>
    <row r="12579" spans="1:7" hidden="1" x14ac:dyDescent="0.25">
      <c r="A12579" s="28">
        <v>44593</v>
      </c>
      <c r="B12579" s="27" t="s">
        <v>200</v>
      </c>
      <c r="C12579" s="27" t="s">
        <v>55</v>
      </c>
      <c r="D12579" s="27" t="s">
        <v>6</v>
      </c>
      <c r="E12579" s="27" t="s">
        <v>72</v>
      </c>
      <c r="F12579" s="29"/>
      <c r="G12579" s="30">
        <f t="shared" si="223"/>
        <v>1666.6796333333332</v>
      </c>
    </row>
    <row r="12580" spans="1:7" hidden="1" x14ac:dyDescent="0.25">
      <c r="A12580" s="28">
        <v>44593</v>
      </c>
      <c r="B12580" s="27" t="s">
        <v>200</v>
      </c>
      <c r="C12580" s="27" t="s">
        <v>55</v>
      </c>
      <c r="D12580" s="27" t="s">
        <v>6</v>
      </c>
      <c r="E12580" s="27" t="s">
        <v>12</v>
      </c>
      <c r="F12580" s="29"/>
      <c r="G12580" s="30">
        <f t="shared" si="223"/>
        <v>1666.6796333333332</v>
      </c>
    </row>
    <row r="12581" spans="1:7" hidden="1" x14ac:dyDescent="0.25">
      <c r="A12581" s="28">
        <v>44593</v>
      </c>
      <c r="B12581" s="27" t="s">
        <v>200</v>
      </c>
      <c r="C12581" s="27" t="s">
        <v>183</v>
      </c>
      <c r="D12581" s="27" t="s">
        <v>7</v>
      </c>
      <c r="E12581" s="27" t="s">
        <v>8</v>
      </c>
      <c r="F12581" s="29"/>
      <c r="G12581" s="30">
        <f t="shared" ref="G12581:G12605" si="224">5331.27/25</f>
        <v>213.25080000000003</v>
      </c>
    </row>
    <row r="12582" spans="1:7" hidden="1" x14ac:dyDescent="0.25">
      <c r="A12582" s="28">
        <v>44593</v>
      </c>
      <c r="B12582" s="27" t="s">
        <v>200</v>
      </c>
      <c r="C12582" s="27" t="s">
        <v>183</v>
      </c>
      <c r="D12582" s="27" t="s">
        <v>7</v>
      </c>
      <c r="E12582" s="27" t="s">
        <v>9</v>
      </c>
      <c r="F12582" s="29"/>
      <c r="G12582" s="30">
        <f t="shared" si="224"/>
        <v>213.25080000000003</v>
      </c>
    </row>
    <row r="12583" spans="1:7" hidden="1" x14ac:dyDescent="0.25">
      <c r="A12583" s="28">
        <v>44593</v>
      </c>
      <c r="B12583" s="27" t="s">
        <v>200</v>
      </c>
      <c r="C12583" s="27" t="s">
        <v>183</v>
      </c>
      <c r="D12583" s="27" t="s">
        <v>7</v>
      </c>
      <c r="E12583" s="27" t="s">
        <v>22</v>
      </c>
      <c r="F12583" s="29"/>
      <c r="G12583" s="30">
        <f t="shared" si="224"/>
        <v>213.25080000000003</v>
      </c>
    </row>
    <row r="12584" spans="1:7" hidden="1" x14ac:dyDescent="0.25">
      <c r="A12584" s="28">
        <v>44593</v>
      </c>
      <c r="B12584" s="27" t="s">
        <v>200</v>
      </c>
      <c r="C12584" s="27" t="s">
        <v>183</v>
      </c>
      <c r="D12584" s="27" t="s">
        <v>7</v>
      </c>
      <c r="E12584" s="27" t="s">
        <v>39</v>
      </c>
      <c r="F12584" s="29"/>
      <c r="G12584" s="30">
        <f t="shared" si="224"/>
        <v>213.25080000000003</v>
      </c>
    </row>
    <row r="12585" spans="1:7" hidden="1" x14ac:dyDescent="0.25">
      <c r="A12585" s="28">
        <v>44593</v>
      </c>
      <c r="B12585" s="27" t="s">
        <v>200</v>
      </c>
      <c r="C12585" s="27" t="s">
        <v>183</v>
      </c>
      <c r="D12585" s="27" t="s">
        <v>7</v>
      </c>
      <c r="E12585" s="27" t="s">
        <v>64</v>
      </c>
      <c r="F12585" s="29"/>
      <c r="G12585" s="30">
        <f t="shared" si="224"/>
        <v>213.25080000000003</v>
      </c>
    </row>
    <row r="12586" spans="1:7" hidden="1" x14ac:dyDescent="0.25">
      <c r="A12586" s="28">
        <v>44593</v>
      </c>
      <c r="B12586" s="27" t="s">
        <v>200</v>
      </c>
      <c r="C12586" s="27" t="s">
        <v>183</v>
      </c>
      <c r="D12586" s="27" t="s">
        <v>7</v>
      </c>
      <c r="E12586" s="27" t="s">
        <v>21</v>
      </c>
      <c r="F12586" s="29"/>
      <c r="G12586" s="30">
        <f t="shared" si="224"/>
        <v>213.25080000000003</v>
      </c>
    </row>
    <row r="12587" spans="1:7" hidden="1" x14ac:dyDescent="0.25">
      <c r="A12587" s="28">
        <v>44593</v>
      </c>
      <c r="B12587" s="27" t="s">
        <v>200</v>
      </c>
      <c r="C12587" s="27" t="s">
        <v>183</v>
      </c>
      <c r="D12587" s="27" t="s">
        <v>7</v>
      </c>
      <c r="E12587" s="27" t="s">
        <v>41</v>
      </c>
      <c r="F12587" s="29"/>
      <c r="G12587" s="30">
        <f t="shared" si="224"/>
        <v>213.25080000000003</v>
      </c>
    </row>
    <row r="12588" spans="1:7" hidden="1" x14ac:dyDescent="0.25">
      <c r="A12588" s="28">
        <v>44593</v>
      </c>
      <c r="B12588" s="27" t="s">
        <v>200</v>
      </c>
      <c r="C12588" s="27" t="s">
        <v>183</v>
      </c>
      <c r="D12588" s="27" t="s">
        <v>7</v>
      </c>
      <c r="E12588" s="27" t="s">
        <v>10</v>
      </c>
      <c r="F12588" s="29"/>
      <c r="G12588" s="30">
        <f t="shared" si="224"/>
        <v>213.25080000000003</v>
      </c>
    </row>
    <row r="12589" spans="1:7" hidden="1" x14ac:dyDescent="0.25">
      <c r="A12589" s="28">
        <v>44593</v>
      </c>
      <c r="B12589" s="27" t="s">
        <v>200</v>
      </c>
      <c r="C12589" s="27" t="s">
        <v>183</v>
      </c>
      <c r="D12589" s="27" t="s">
        <v>7</v>
      </c>
      <c r="E12589" s="27" t="s">
        <v>11</v>
      </c>
      <c r="F12589" s="29"/>
      <c r="G12589" s="30">
        <f t="shared" si="224"/>
        <v>213.25080000000003</v>
      </c>
    </row>
    <row r="12590" spans="1:7" hidden="1" x14ac:dyDescent="0.25">
      <c r="A12590" s="28">
        <v>44593</v>
      </c>
      <c r="B12590" s="27" t="s">
        <v>200</v>
      </c>
      <c r="C12590" s="27" t="s">
        <v>183</v>
      </c>
      <c r="D12590" s="27" t="s">
        <v>7</v>
      </c>
      <c r="E12590" s="27" t="s">
        <v>12</v>
      </c>
      <c r="F12590" s="29"/>
      <c r="G12590" s="30">
        <f t="shared" si="224"/>
        <v>213.25080000000003</v>
      </c>
    </row>
    <row r="12591" spans="1:7" hidden="1" x14ac:dyDescent="0.25">
      <c r="A12591" s="28">
        <v>44593</v>
      </c>
      <c r="B12591" s="27" t="s">
        <v>200</v>
      </c>
      <c r="C12591" s="27" t="s">
        <v>183</v>
      </c>
      <c r="D12591" s="27" t="s">
        <v>7</v>
      </c>
      <c r="E12591" s="27" t="s">
        <v>13</v>
      </c>
      <c r="F12591" s="29"/>
      <c r="G12591" s="30">
        <f t="shared" si="224"/>
        <v>213.25080000000003</v>
      </c>
    </row>
    <row r="12592" spans="1:7" hidden="1" x14ac:dyDescent="0.25">
      <c r="A12592" s="28">
        <v>44593</v>
      </c>
      <c r="B12592" s="27" t="s">
        <v>200</v>
      </c>
      <c r="C12592" s="27" t="s">
        <v>183</v>
      </c>
      <c r="D12592" s="27" t="s">
        <v>7</v>
      </c>
      <c r="E12592" s="27" t="s">
        <v>14</v>
      </c>
      <c r="F12592" s="29"/>
      <c r="G12592" s="30">
        <f t="shared" si="224"/>
        <v>213.25080000000003</v>
      </c>
    </row>
    <row r="12593" spans="1:7" hidden="1" x14ac:dyDescent="0.25">
      <c r="A12593" s="28">
        <v>44593</v>
      </c>
      <c r="B12593" s="27" t="s">
        <v>200</v>
      </c>
      <c r="C12593" s="27" t="s">
        <v>183</v>
      </c>
      <c r="D12593" s="27" t="s">
        <v>7</v>
      </c>
      <c r="E12593" s="27" t="s">
        <v>15</v>
      </c>
      <c r="F12593" s="29"/>
      <c r="G12593" s="30">
        <f t="shared" si="224"/>
        <v>213.25080000000003</v>
      </c>
    </row>
    <row r="12594" spans="1:7" hidden="1" x14ac:dyDescent="0.25">
      <c r="A12594" s="28">
        <v>44593</v>
      </c>
      <c r="B12594" s="27" t="s">
        <v>200</v>
      </c>
      <c r="C12594" s="27" t="s">
        <v>183</v>
      </c>
      <c r="D12594" s="27" t="s">
        <v>7</v>
      </c>
      <c r="E12594" s="27" t="s">
        <v>16</v>
      </c>
      <c r="F12594" s="29"/>
      <c r="G12594" s="30">
        <f t="shared" si="224"/>
        <v>213.25080000000003</v>
      </c>
    </row>
    <row r="12595" spans="1:7" hidden="1" x14ac:dyDescent="0.25">
      <c r="A12595" s="28">
        <v>44593</v>
      </c>
      <c r="B12595" s="27" t="s">
        <v>200</v>
      </c>
      <c r="C12595" s="27" t="s">
        <v>183</v>
      </c>
      <c r="D12595" s="27" t="s">
        <v>7</v>
      </c>
      <c r="E12595" s="27" t="s">
        <v>17</v>
      </c>
      <c r="F12595" s="29"/>
      <c r="G12595" s="30">
        <f t="shared" si="224"/>
        <v>213.25080000000003</v>
      </c>
    </row>
    <row r="12596" spans="1:7" hidden="1" x14ac:dyDescent="0.25">
      <c r="A12596" s="28">
        <v>44593</v>
      </c>
      <c r="B12596" s="27" t="s">
        <v>200</v>
      </c>
      <c r="C12596" s="27" t="s">
        <v>183</v>
      </c>
      <c r="D12596" s="27" t="s">
        <v>7</v>
      </c>
      <c r="E12596" s="27" t="s">
        <v>18</v>
      </c>
      <c r="F12596" s="29"/>
      <c r="G12596" s="30">
        <f t="shared" si="224"/>
        <v>213.25080000000003</v>
      </c>
    </row>
    <row r="12597" spans="1:7" hidden="1" x14ac:dyDescent="0.25">
      <c r="A12597" s="28">
        <v>44593</v>
      </c>
      <c r="B12597" s="27" t="s">
        <v>200</v>
      </c>
      <c r="C12597" s="27" t="s">
        <v>183</v>
      </c>
      <c r="D12597" s="27" t="s">
        <v>7</v>
      </c>
      <c r="E12597" s="27" t="s">
        <v>19</v>
      </c>
      <c r="F12597" s="29"/>
      <c r="G12597" s="30">
        <f t="shared" si="224"/>
        <v>213.25080000000003</v>
      </c>
    </row>
    <row r="12598" spans="1:7" hidden="1" x14ac:dyDescent="0.25">
      <c r="A12598" s="28">
        <v>44593</v>
      </c>
      <c r="B12598" s="27" t="s">
        <v>200</v>
      </c>
      <c r="C12598" s="27" t="s">
        <v>183</v>
      </c>
      <c r="D12598" s="27" t="s">
        <v>7</v>
      </c>
      <c r="E12598" s="27" t="s">
        <v>20</v>
      </c>
      <c r="F12598" s="29"/>
      <c r="G12598" s="30">
        <f t="shared" si="224"/>
        <v>213.25080000000003</v>
      </c>
    </row>
    <row r="12599" spans="1:7" hidden="1" x14ac:dyDescent="0.25">
      <c r="A12599" s="28">
        <v>44593</v>
      </c>
      <c r="B12599" s="27" t="s">
        <v>200</v>
      </c>
      <c r="C12599" s="27" t="s">
        <v>183</v>
      </c>
      <c r="D12599" s="27" t="s">
        <v>7</v>
      </c>
      <c r="E12599" s="27" t="s">
        <v>38</v>
      </c>
      <c r="F12599" s="29"/>
      <c r="G12599" s="30">
        <f t="shared" si="224"/>
        <v>213.25080000000003</v>
      </c>
    </row>
    <row r="12600" spans="1:7" hidden="1" x14ac:dyDescent="0.25">
      <c r="A12600" s="28">
        <v>44593</v>
      </c>
      <c r="B12600" s="27" t="s">
        <v>200</v>
      </c>
      <c r="C12600" s="27" t="s">
        <v>183</v>
      </c>
      <c r="D12600" s="27" t="s">
        <v>7</v>
      </c>
      <c r="E12600" s="27" t="s">
        <v>23</v>
      </c>
      <c r="F12600" s="29"/>
      <c r="G12600" s="30">
        <f t="shared" si="224"/>
        <v>213.25080000000003</v>
      </c>
    </row>
    <row r="12601" spans="1:7" hidden="1" x14ac:dyDescent="0.25">
      <c r="A12601" s="28">
        <v>44593</v>
      </c>
      <c r="B12601" s="27" t="s">
        <v>200</v>
      </c>
      <c r="C12601" s="27" t="s">
        <v>183</v>
      </c>
      <c r="D12601" s="27" t="s">
        <v>7</v>
      </c>
      <c r="E12601" s="27" t="s">
        <v>40</v>
      </c>
      <c r="F12601" s="29"/>
      <c r="G12601" s="30">
        <f t="shared" si="224"/>
        <v>213.25080000000003</v>
      </c>
    </row>
    <row r="12602" spans="1:7" hidden="1" x14ac:dyDescent="0.25">
      <c r="A12602" s="28">
        <v>44593</v>
      </c>
      <c r="B12602" s="27" t="s">
        <v>200</v>
      </c>
      <c r="C12602" s="27" t="s">
        <v>183</v>
      </c>
      <c r="D12602" s="27" t="s">
        <v>7</v>
      </c>
      <c r="E12602" s="27" t="s">
        <v>42</v>
      </c>
      <c r="F12602" s="29"/>
      <c r="G12602" s="30">
        <f t="shared" si="224"/>
        <v>213.25080000000003</v>
      </c>
    </row>
    <row r="12603" spans="1:7" hidden="1" x14ac:dyDescent="0.25">
      <c r="A12603" s="28">
        <v>44593</v>
      </c>
      <c r="B12603" s="27" t="s">
        <v>200</v>
      </c>
      <c r="C12603" s="27" t="s">
        <v>183</v>
      </c>
      <c r="D12603" s="27" t="s">
        <v>7</v>
      </c>
      <c r="E12603" s="27" t="s">
        <v>43</v>
      </c>
      <c r="F12603" s="29"/>
      <c r="G12603" s="30">
        <f t="shared" si="224"/>
        <v>213.25080000000003</v>
      </c>
    </row>
    <row r="12604" spans="1:7" hidden="1" x14ac:dyDescent="0.25">
      <c r="A12604" s="28">
        <v>44593</v>
      </c>
      <c r="B12604" s="27" t="s">
        <v>200</v>
      </c>
      <c r="C12604" s="27" t="s">
        <v>183</v>
      </c>
      <c r="D12604" s="27" t="s">
        <v>7</v>
      </c>
      <c r="E12604" s="27" t="s">
        <v>72</v>
      </c>
      <c r="F12604" s="29"/>
      <c r="G12604" s="30">
        <f t="shared" si="224"/>
        <v>213.25080000000003</v>
      </c>
    </row>
    <row r="12605" spans="1:7" hidden="1" x14ac:dyDescent="0.25">
      <c r="A12605" s="28">
        <v>44593</v>
      </c>
      <c r="B12605" s="27" t="s">
        <v>200</v>
      </c>
      <c r="C12605" s="27" t="s">
        <v>183</v>
      </c>
      <c r="D12605" s="27" t="s">
        <v>7</v>
      </c>
      <c r="E12605" s="27" t="s">
        <v>206</v>
      </c>
      <c r="F12605" s="29"/>
      <c r="G12605" s="30">
        <f t="shared" si="224"/>
        <v>213.25080000000003</v>
      </c>
    </row>
    <row r="12606" spans="1:7" hidden="1" x14ac:dyDescent="0.25">
      <c r="A12606" s="28">
        <v>44593</v>
      </c>
      <c r="B12606" s="27" t="s">
        <v>200</v>
      </c>
      <c r="C12606" s="27" t="s">
        <v>56</v>
      </c>
      <c r="D12606" s="27" t="s">
        <v>6</v>
      </c>
      <c r="E12606" s="27" t="s">
        <v>8</v>
      </c>
      <c r="F12606" s="29"/>
      <c r="G12606" s="30">
        <f t="shared" ref="G12606:G12629" si="225">58376.0637777778/24</f>
        <v>2432.3359907407416</v>
      </c>
    </row>
    <row r="12607" spans="1:7" hidden="1" x14ac:dyDescent="0.25">
      <c r="A12607" s="28">
        <v>44593</v>
      </c>
      <c r="B12607" s="27" t="s">
        <v>200</v>
      </c>
      <c r="C12607" s="27" t="s">
        <v>56</v>
      </c>
      <c r="D12607" s="27" t="s">
        <v>6</v>
      </c>
      <c r="E12607" s="27" t="s">
        <v>9</v>
      </c>
      <c r="F12607" s="29"/>
      <c r="G12607" s="30">
        <f t="shared" si="225"/>
        <v>2432.3359907407416</v>
      </c>
    </row>
    <row r="12608" spans="1:7" hidden="1" x14ac:dyDescent="0.25">
      <c r="A12608" s="28">
        <v>44593</v>
      </c>
      <c r="B12608" s="27" t="s">
        <v>200</v>
      </c>
      <c r="C12608" s="27" t="s">
        <v>56</v>
      </c>
      <c r="D12608" s="27" t="s">
        <v>6</v>
      </c>
      <c r="E12608" s="27" t="s">
        <v>22</v>
      </c>
      <c r="F12608" s="29"/>
      <c r="G12608" s="30">
        <f t="shared" si="225"/>
        <v>2432.3359907407416</v>
      </c>
    </row>
    <row r="12609" spans="1:7" hidden="1" x14ac:dyDescent="0.25">
      <c r="A12609" s="28">
        <v>44593</v>
      </c>
      <c r="B12609" s="27" t="s">
        <v>200</v>
      </c>
      <c r="C12609" s="27" t="s">
        <v>56</v>
      </c>
      <c r="D12609" s="27" t="s">
        <v>6</v>
      </c>
      <c r="E12609" s="27" t="s">
        <v>39</v>
      </c>
      <c r="F12609" s="29"/>
      <c r="G12609" s="30">
        <f t="shared" si="225"/>
        <v>2432.3359907407416</v>
      </c>
    </row>
    <row r="12610" spans="1:7" hidden="1" x14ac:dyDescent="0.25">
      <c r="A12610" s="28">
        <v>44593</v>
      </c>
      <c r="B12610" s="27" t="s">
        <v>200</v>
      </c>
      <c r="C12610" s="27" t="s">
        <v>56</v>
      </c>
      <c r="D12610" s="27" t="s">
        <v>6</v>
      </c>
      <c r="E12610" s="27" t="s">
        <v>64</v>
      </c>
      <c r="F12610" s="29"/>
      <c r="G12610" s="30">
        <f t="shared" si="225"/>
        <v>2432.3359907407416</v>
      </c>
    </row>
    <row r="12611" spans="1:7" hidden="1" x14ac:dyDescent="0.25">
      <c r="A12611" s="28">
        <v>44593</v>
      </c>
      <c r="B12611" s="27" t="s">
        <v>200</v>
      </c>
      <c r="C12611" s="27" t="s">
        <v>56</v>
      </c>
      <c r="D12611" s="27" t="s">
        <v>6</v>
      </c>
      <c r="E12611" s="27" t="s">
        <v>21</v>
      </c>
      <c r="F12611" s="29"/>
      <c r="G12611" s="30">
        <f t="shared" si="225"/>
        <v>2432.3359907407416</v>
      </c>
    </row>
    <row r="12612" spans="1:7" hidden="1" x14ac:dyDescent="0.25">
      <c r="A12612" s="28">
        <v>44593</v>
      </c>
      <c r="B12612" s="27" t="s">
        <v>200</v>
      </c>
      <c r="C12612" s="27" t="s">
        <v>56</v>
      </c>
      <c r="D12612" s="27" t="s">
        <v>6</v>
      </c>
      <c r="E12612" s="27" t="s">
        <v>41</v>
      </c>
      <c r="F12612" s="29"/>
      <c r="G12612" s="30">
        <f t="shared" si="225"/>
        <v>2432.3359907407416</v>
      </c>
    </row>
    <row r="12613" spans="1:7" hidden="1" x14ac:dyDescent="0.25">
      <c r="A12613" s="28">
        <v>44593</v>
      </c>
      <c r="B12613" s="27" t="s">
        <v>200</v>
      </c>
      <c r="C12613" s="27" t="s">
        <v>56</v>
      </c>
      <c r="D12613" s="27" t="s">
        <v>6</v>
      </c>
      <c r="E12613" s="27" t="s">
        <v>10</v>
      </c>
      <c r="F12613" s="29"/>
      <c r="G12613" s="30">
        <f t="shared" si="225"/>
        <v>2432.3359907407416</v>
      </c>
    </row>
    <row r="12614" spans="1:7" hidden="1" x14ac:dyDescent="0.25">
      <c r="A12614" s="28">
        <v>44593</v>
      </c>
      <c r="B12614" s="27" t="s">
        <v>200</v>
      </c>
      <c r="C12614" s="27" t="s">
        <v>56</v>
      </c>
      <c r="D12614" s="27" t="s">
        <v>6</v>
      </c>
      <c r="E12614" s="27" t="s">
        <v>11</v>
      </c>
      <c r="F12614" s="29"/>
      <c r="G12614" s="30">
        <f t="shared" si="225"/>
        <v>2432.3359907407416</v>
      </c>
    </row>
    <row r="12615" spans="1:7" hidden="1" x14ac:dyDescent="0.25">
      <c r="A12615" s="28">
        <v>44593</v>
      </c>
      <c r="B12615" s="27" t="s">
        <v>200</v>
      </c>
      <c r="C12615" s="27" t="s">
        <v>56</v>
      </c>
      <c r="D12615" s="27" t="s">
        <v>6</v>
      </c>
      <c r="E12615" s="27" t="s">
        <v>12</v>
      </c>
      <c r="F12615" s="29"/>
      <c r="G12615" s="30">
        <f t="shared" si="225"/>
        <v>2432.3359907407416</v>
      </c>
    </row>
    <row r="12616" spans="1:7" hidden="1" x14ac:dyDescent="0.25">
      <c r="A12616" s="28">
        <v>44593</v>
      </c>
      <c r="B12616" s="27" t="s">
        <v>200</v>
      </c>
      <c r="C12616" s="27" t="s">
        <v>56</v>
      </c>
      <c r="D12616" s="27" t="s">
        <v>6</v>
      </c>
      <c r="E12616" s="27" t="s">
        <v>13</v>
      </c>
      <c r="F12616" s="29"/>
      <c r="G12616" s="30">
        <f t="shared" si="225"/>
        <v>2432.3359907407416</v>
      </c>
    </row>
    <row r="12617" spans="1:7" hidden="1" x14ac:dyDescent="0.25">
      <c r="A12617" s="28">
        <v>44593</v>
      </c>
      <c r="B12617" s="27" t="s">
        <v>200</v>
      </c>
      <c r="C12617" s="27" t="s">
        <v>56</v>
      </c>
      <c r="D12617" s="27" t="s">
        <v>6</v>
      </c>
      <c r="E12617" s="27" t="s">
        <v>14</v>
      </c>
      <c r="F12617" s="29"/>
      <c r="G12617" s="30">
        <f t="shared" si="225"/>
        <v>2432.3359907407416</v>
      </c>
    </row>
    <row r="12618" spans="1:7" hidden="1" x14ac:dyDescent="0.25">
      <c r="A12618" s="28">
        <v>44593</v>
      </c>
      <c r="B12618" s="27" t="s">
        <v>200</v>
      </c>
      <c r="C12618" s="27" t="s">
        <v>56</v>
      </c>
      <c r="D12618" s="27" t="s">
        <v>6</v>
      </c>
      <c r="E12618" s="27" t="s">
        <v>15</v>
      </c>
      <c r="F12618" s="29"/>
      <c r="G12618" s="30">
        <f t="shared" si="225"/>
        <v>2432.3359907407416</v>
      </c>
    </row>
    <row r="12619" spans="1:7" hidden="1" x14ac:dyDescent="0.25">
      <c r="A12619" s="28">
        <v>44593</v>
      </c>
      <c r="B12619" s="27" t="s">
        <v>200</v>
      </c>
      <c r="C12619" s="27" t="s">
        <v>56</v>
      </c>
      <c r="D12619" s="27" t="s">
        <v>6</v>
      </c>
      <c r="E12619" s="27" t="s">
        <v>16</v>
      </c>
      <c r="F12619" s="29"/>
      <c r="G12619" s="30">
        <f t="shared" si="225"/>
        <v>2432.3359907407416</v>
      </c>
    </row>
    <row r="12620" spans="1:7" hidden="1" x14ac:dyDescent="0.25">
      <c r="A12620" s="28">
        <v>44593</v>
      </c>
      <c r="B12620" s="27" t="s">
        <v>200</v>
      </c>
      <c r="C12620" s="27" t="s">
        <v>56</v>
      </c>
      <c r="D12620" s="27" t="s">
        <v>6</v>
      </c>
      <c r="E12620" s="27" t="s">
        <v>17</v>
      </c>
      <c r="F12620" s="29"/>
      <c r="G12620" s="30">
        <f t="shared" si="225"/>
        <v>2432.3359907407416</v>
      </c>
    </row>
    <row r="12621" spans="1:7" hidden="1" x14ac:dyDescent="0.25">
      <c r="A12621" s="28">
        <v>44593</v>
      </c>
      <c r="B12621" s="27" t="s">
        <v>200</v>
      </c>
      <c r="C12621" s="27" t="s">
        <v>56</v>
      </c>
      <c r="D12621" s="27" t="s">
        <v>6</v>
      </c>
      <c r="E12621" s="27" t="s">
        <v>18</v>
      </c>
      <c r="F12621" s="29"/>
      <c r="G12621" s="30">
        <f t="shared" si="225"/>
        <v>2432.3359907407416</v>
      </c>
    </row>
    <row r="12622" spans="1:7" hidden="1" x14ac:dyDescent="0.25">
      <c r="A12622" s="28">
        <v>44593</v>
      </c>
      <c r="B12622" s="27" t="s">
        <v>200</v>
      </c>
      <c r="C12622" s="27" t="s">
        <v>56</v>
      </c>
      <c r="D12622" s="27" t="s">
        <v>6</v>
      </c>
      <c r="E12622" s="27" t="s">
        <v>19</v>
      </c>
      <c r="F12622" s="29"/>
      <c r="G12622" s="30">
        <f t="shared" si="225"/>
        <v>2432.3359907407416</v>
      </c>
    </row>
    <row r="12623" spans="1:7" hidden="1" x14ac:dyDescent="0.25">
      <c r="A12623" s="28">
        <v>44593</v>
      </c>
      <c r="B12623" s="27" t="s">
        <v>200</v>
      </c>
      <c r="C12623" s="27" t="s">
        <v>56</v>
      </c>
      <c r="D12623" s="27" t="s">
        <v>6</v>
      </c>
      <c r="E12623" s="27" t="s">
        <v>20</v>
      </c>
      <c r="F12623" s="29"/>
      <c r="G12623" s="30">
        <f t="shared" si="225"/>
        <v>2432.3359907407416</v>
      </c>
    </row>
    <row r="12624" spans="1:7" hidden="1" x14ac:dyDescent="0.25">
      <c r="A12624" s="28">
        <v>44593</v>
      </c>
      <c r="B12624" s="27" t="s">
        <v>200</v>
      </c>
      <c r="C12624" s="27" t="s">
        <v>56</v>
      </c>
      <c r="D12624" s="27" t="s">
        <v>6</v>
      </c>
      <c r="E12624" s="27" t="s">
        <v>38</v>
      </c>
      <c r="F12624" s="29"/>
      <c r="G12624" s="30">
        <f t="shared" si="225"/>
        <v>2432.3359907407416</v>
      </c>
    </row>
    <row r="12625" spans="1:7" hidden="1" x14ac:dyDescent="0.25">
      <c r="A12625" s="28">
        <v>44593</v>
      </c>
      <c r="B12625" s="27" t="s">
        <v>200</v>
      </c>
      <c r="C12625" s="27" t="s">
        <v>56</v>
      </c>
      <c r="D12625" s="27" t="s">
        <v>6</v>
      </c>
      <c r="E12625" s="27" t="s">
        <v>23</v>
      </c>
      <c r="F12625" s="29"/>
      <c r="G12625" s="30">
        <f t="shared" si="225"/>
        <v>2432.3359907407416</v>
      </c>
    </row>
    <row r="12626" spans="1:7" hidden="1" x14ac:dyDescent="0.25">
      <c r="A12626" s="28">
        <v>44593</v>
      </c>
      <c r="B12626" s="27" t="s">
        <v>200</v>
      </c>
      <c r="C12626" s="27" t="s">
        <v>56</v>
      </c>
      <c r="D12626" s="27" t="s">
        <v>6</v>
      </c>
      <c r="E12626" s="27" t="s">
        <v>40</v>
      </c>
      <c r="F12626" s="29"/>
      <c r="G12626" s="30">
        <f t="shared" si="225"/>
        <v>2432.3359907407416</v>
      </c>
    </row>
    <row r="12627" spans="1:7" hidden="1" x14ac:dyDescent="0.25">
      <c r="A12627" s="28">
        <v>44593</v>
      </c>
      <c r="B12627" s="27" t="s">
        <v>200</v>
      </c>
      <c r="C12627" s="27" t="s">
        <v>56</v>
      </c>
      <c r="D12627" s="27" t="s">
        <v>6</v>
      </c>
      <c r="E12627" s="27" t="s">
        <v>42</v>
      </c>
      <c r="F12627" s="29"/>
      <c r="G12627" s="30">
        <f t="shared" si="225"/>
        <v>2432.3359907407416</v>
      </c>
    </row>
    <row r="12628" spans="1:7" hidden="1" x14ac:dyDescent="0.25">
      <c r="A12628" s="28">
        <v>44593</v>
      </c>
      <c r="B12628" s="27" t="s">
        <v>200</v>
      </c>
      <c r="C12628" s="27" t="s">
        <v>56</v>
      </c>
      <c r="D12628" s="27" t="s">
        <v>6</v>
      </c>
      <c r="E12628" s="27" t="s">
        <v>72</v>
      </c>
      <c r="F12628" s="29"/>
      <c r="G12628" s="30">
        <f t="shared" si="225"/>
        <v>2432.3359907407416</v>
      </c>
    </row>
    <row r="12629" spans="1:7" hidden="1" x14ac:dyDescent="0.25">
      <c r="A12629" s="28">
        <v>44593</v>
      </c>
      <c r="B12629" s="27" t="s">
        <v>200</v>
      </c>
      <c r="C12629" s="27" t="s">
        <v>56</v>
      </c>
      <c r="D12629" s="27" t="s">
        <v>6</v>
      </c>
      <c r="E12629" s="27" t="s">
        <v>12</v>
      </c>
      <c r="F12629" s="29"/>
      <c r="G12629" s="30">
        <f t="shared" si="225"/>
        <v>2432.3359907407416</v>
      </c>
    </row>
    <row r="12630" spans="1:7" hidden="1" x14ac:dyDescent="0.25">
      <c r="A12630" s="28">
        <v>44593</v>
      </c>
      <c r="B12630" s="27" t="s">
        <v>200</v>
      </c>
      <c r="C12630" s="27" t="s">
        <v>182</v>
      </c>
      <c r="D12630" s="27" t="s">
        <v>7</v>
      </c>
      <c r="E12630" s="27" t="s">
        <v>8</v>
      </c>
      <c r="F12630" s="29"/>
      <c r="G12630" s="30">
        <f t="shared" ref="G12630:G12654" si="226">5783.34/25</f>
        <v>231.33360000000002</v>
      </c>
    </row>
    <row r="12631" spans="1:7" hidden="1" x14ac:dyDescent="0.25">
      <c r="A12631" s="28">
        <v>44593</v>
      </c>
      <c r="B12631" s="27" t="s">
        <v>200</v>
      </c>
      <c r="C12631" s="27" t="s">
        <v>182</v>
      </c>
      <c r="D12631" s="27" t="s">
        <v>7</v>
      </c>
      <c r="E12631" s="27" t="s">
        <v>9</v>
      </c>
      <c r="F12631" s="29"/>
      <c r="G12631" s="30">
        <f t="shared" si="226"/>
        <v>231.33360000000002</v>
      </c>
    </row>
    <row r="12632" spans="1:7" hidden="1" x14ac:dyDescent="0.25">
      <c r="A12632" s="28">
        <v>44593</v>
      </c>
      <c r="B12632" s="27" t="s">
        <v>200</v>
      </c>
      <c r="C12632" s="27" t="s">
        <v>182</v>
      </c>
      <c r="D12632" s="27" t="s">
        <v>7</v>
      </c>
      <c r="E12632" s="27" t="s">
        <v>22</v>
      </c>
      <c r="F12632" s="29"/>
      <c r="G12632" s="30">
        <f t="shared" si="226"/>
        <v>231.33360000000002</v>
      </c>
    </row>
    <row r="12633" spans="1:7" hidden="1" x14ac:dyDescent="0.25">
      <c r="A12633" s="28">
        <v>44593</v>
      </c>
      <c r="B12633" s="27" t="s">
        <v>200</v>
      </c>
      <c r="C12633" s="27" t="s">
        <v>182</v>
      </c>
      <c r="D12633" s="27" t="s">
        <v>7</v>
      </c>
      <c r="E12633" s="27" t="s">
        <v>39</v>
      </c>
      <c r="F12633" s="29"/>
      <c r="G12633" s="30">
        <f t="shared" si="226"/>
        <v>231.33360000000002</v>
      </c>
    </row>
    <row r="12634" spans="1:7" hidden="1" x14ac:dyDescent="0.25">
      <c r="A12634" s="28">
        <v>44593</v>
      </c>
      <c r="B12634" s="27" t="s">
        <v>200</v>
      </c>
      <c r="C12634" s="27" t="s">
        <v>182</v>
      </c>
      <c r="D12634" s="27" t="s">
        <v>7</v>
      </c>
      <c r="E12634" s="27" t="s">
        <v>64</v>
      </c>
      <c r="F12634" s="29"/>
      <c r="G12634" s="30">
        <f t="shared" si="226"/>
        <v>231.33360000000002</v>
      </c>
    </row>
    <row r="12635" spans="1:7" hidden="1" x14ac:dyDescent="0.25">
      <c r="A12635" s="28">
        <v>44593</v>
      </c>
      <c r="B12635" s="27" t="s">
        <v>200</v>
      </c>
      <c r="C12635" s="27" t="s">
        <v>182</v>
      </c>
      <c r="D12635" s="27" t="s">
        <v>7</v>
      </c>
      <c r="E12635" s="27" t="s">
        <v>21</v>
      </c>
      <c r="F12635" s="29"/>
      <c r="G12635" s="30">
        <f t="shared" si="226"/>
        <v>231.33360000000002</v>
      </c>
    </row>
    <row r="12636" spans="1:7" hidden="1" x14ac:dyDescent="0.25">
      <c r="A12636" s="28">
        <v>44593</v>
      </c>
      <c r="B12636" s="27" t="s">
        <v>200</v>
      </c>
      <c r="C12636" s="27" t="s">
        <v>182</v>
      </c>
      <c r="D12636" s="27" t="s">
        <v>7</v>
      </c>
      <c r="E12636" s="27" t="s">
        <v>41</v>
      </c>
      <c r="F12636" s="29"/>
      <c r="G12636" s="30">
        <f t="shared" si="226"/>
        <v>231.33360000000002</v>
      </c>
    </row>
    <row r="12637" spans="1:7" hidden="1" x14ac:dyDescent="0.25">
      <c r="A12637" s="28">
        <v>44593</v>
      </c>
      <c r="B12637" s="27" t="s">
        <v>200</v>
      </c>
      <c r="C12637" s="27" t="s">
        <v>182</v>
      </c>
      <c r="D12637" s="27" t="s">
        <v>7</v>
      </c>
      <c r="E12637" s="27" t="s">
        <v>10</v>
      </c>
      <c r="F12637" s="29"/>
      <c r="G12637" s="30">
        <f t="shared" si="226"/>
        <v>231.33360000000002</v>
      </c>
    </row>
    <row r="12638" spans="1:7" hidden="1" x14ac:dyDescent="0.25">
      <c r="A12638" s="28">
        <v>44593</v>
      </c>
      <c r="B12638" s="27" t="s">
        <v>200</v>
      </c>
      <c r="C12638" s="27" t="s">
        <v>182</v>
      </c>
      <c r="D12638" s="27" t="s">
        <v>7</v>
      </c>
      <c r="E12638" s="27" t="s">
        <v>11</v>
      </c>
      <c r="F12638" s="29"/>
      <c r="G12638" s="30">
        <f t="shared" si="226"/>
        <v>231.33360000000002</v>
      </c>
    </row>
    <row r="12639" spans="1:7" hidden="1" x14ac:dyDescent="0.25">
      <c r="A12639" s="28">
        <v>44593</v>
      </c>
      <c r="B12639" s="27" t="s">
        <v>200</v>
      </c>
      <c r="C12639" s="27" t="s">
        <v>182</v>
      </c>
      <c r="D12639" s="27" t="s">
        <v>7</v>
      </c>
      <c r="E12639" s="27" t="s">
        <v>12</v>
      </c>
      <c r="F12639" s="29"/>
      <c r="G12639" s="30">
        <f t="shared" si="226"/>
        <v>231.33360000000002</v>
      </c>
    </row>
    <row r="12640" spans="1:7" hidden="1" x14ac:dyDescent="0.25">
      <c r="A12640" s="28">
        <v>44593</v>
      </c>
      <c r="B12640" s="27" t="s">
        <v>200</v>
      </c>
      <c r="C12640" s="27" t="s">
        <v>182</v>
      </c>
      <c r="D12640" s="27" t="s">
        <v>7</v>
      </c>
      <c r="E12640" s="27" t="s">
        <v>13</v>
      </c>
      <c r="F12640" s="29"/>
      <c r="G12640" s="30">
        <f t="shared" si="226"/>
        <v>231.33360000000002</v>
      </c>
    </row>
    <row r="12641" spans="1:7" hidden="1" x14ac:dyDescent="0.25">
      <c r="A12641" s="28">
        <v>44593</v>
      </c>
      <c r="B12641" s="27" t="s">
        <v>200</v>
      </c>
      <c r="C12641" s="27" t="s">
        <v>182</v>
      </c>
      <c r="D12641" s="27" t="s">
        <v>7</v>
      </c>
      <c r="E12641" s="27" t="s">
        <v>14</v>
      </c>
      <c r="F12641" s="29"/>
      <c r="G12641" s="30">
        <f t="shared" si="226"/>
        <v>231.33360000000002</v>
      </c>
    </row>
    <row r="12642" spans="1:7" hidden="1" x14ac:dyDescent="0.25">
      <c r="A12642" s="28">
        <v>44593</v>
      </c>
      <c r="B12642" s="27" t="s">
        <v>200</v>
      </c>
      <c r="C12642" s="27" t="s">
        <v>182</v>
      </c>
      <c r="D12642" s="27" t="s">
        <v>7</v>
      </c>
      <c r="E12642" s="27" t="s">
        <v>15</v>
      </c>
      <c r="F12642" s="29"/>
      <c r="G12642" s="30">
        <f t="shared" si="226"/>
        <v>231.33360000000002</v>
      </c>
    </row>
    <row r="12643" spans="1:7" hidden="1" x14ac:dyDescent="0.25">
      <c r="A12643" s="28">
        <v>44593</v>
      </c>
      <c r="B12643" s="27" t="s">
        <v>200</v>
      </c>
      <c r="C12643" s="27" t="s">
        <v>182</v>
      </c>
      <c r="D12643" s="27" t="s">
        <v>7</v>
      </c>
      <c r="E12643" s="27" t="s">
        <v>16</v>
      </c>
      <c r="F12643" s="29"/>
      <c r="G12643" s="30">
        <f t="shared" si="226"/>
        <v>231.33360000000002</v>
      </c>
    </row>
    <row r="12644" spans="1:7" hidden="1" x14ac:dyDescent="0.25">
      <c r="A12644" s="28">
        <v>44593</v>
      </c>
      <c r="B12644" s="27" t="s">
        <v>200</v>
      </c>
      <c r="C12644" s="27" t="s">
        <v>182</v>
      </c>
      <c r="D12644" s="27" t="s">
        <v>7</v>
      </c>
      <c r="E12644" s="27" t="s">
        <v>17</v>
      </c>
      <c r="F12644" s="29"/>
      <c r="G12644" s="30">
        <f t="shared" si="226"/>
        <v>231.33360000000002</v>
      </c>
    </row>
    <row r="12645" spans="1:7" hidden="1" x14ac:dyDescent="0.25">
      <c r="A12645" s="28">
        <v>44593</v>
      </c>
      <c r="B12645" s="27" t="s">
        <v>200</v>
      </c>
      <c r="C12645" s="27" t="s">
        <v>182</v>
      </c>
      <c r="D12645" s="27" t="s">
        <v>7</v>
      </c>
      <c r="E12645" s="27" t="s">
        <v>18</v>
      </c>
      <c r="F12645" s="29"/>
      <c r="G12645" s="30">
        <f t="shared" si="226"/>
        <v>231.33360000000002</v>
      </c>
    </row>
    <row r="12646" spans="1:7" hidden="1" x14ac:dyDescent="0.25">
      <c r="A12646" s="28">
        <v>44593</v>
      </c>
      <c r="B12646" s="27" t="s">
        <v>200</v>
      </c>
      <c r="C12646" s="27" t="s">
        <v>182</v>
      </c>
      <c r="D12646" s="27" t="s">
        <v>7</v>
      </c>
      <c r="E12646" s="27" t="s">
        <v>19</v>
      </c>
      <c r="F12646" s="29"/>
      <c r="G12646" s="30">
        <f t="shared" si="226"/>
        <v>231.33360000000002</v>
      </c>
    </row>
    <row r="12647" spans="1:7" hidden="1" x14ac:dyDescent="0.25">
      <c r="A12647" s="28">
        <v>44593</v>
      </c>
      <c r="B12647" s="27" t="s">
        <v>200</v>
      </c>
      <c r="C12647" s="27" t="s">
        <v>182</v>
      </c>
      <c r="D12647" s="27" t="s">
        <v>7</v>
      </c>
      <c r="E12647" s="27" t="s">
        <v>20</v>
      </c>
      <c r="F12647" s="29"/>
      <c r="G12647" s="30">
        <f t="shared" si="226"/>
        <v>231.33360000000002</v>
      </c>
    </row>
    <row r="12648" spans="1:7" hidden="1" x14ac:dyDescent="0.25">
      <c r="A12648" s="28">
        <v>44593</v>
      </c>
      <c r="B12648" s="27" t="s">
        <v>200</v>
      </c>
      <c r="C12648" s="27" t="s">
        <v>182</v>
      </c>
      <c r="D12648" s="27" t="s">
        <v>7</v>
      </c>
      <c r="E12648" s="27" t="s">
        <v>38</v>
      </c>
      <c r="F12648" s="29"/>
      <c r="G12648" s="30">
        <f t="shared" si="226"/>
        <v>231.33360000000002</v>
      </c>
    </row>
    <row r="12649" spans="1:7" hidden="1" x14ac:dyDescent="0.25">
      <c r="A12649" s="28">
        <v>44593</v>
      </c>
      <c r="B12649" s="27" t="s">
        <v>200</v>
      </c>
      <c r="C12649" s="27" t="s">
        <v>182</v>
      </c>
      <c r="D12649" s="27" t="s">
        <v>7</v>
      </c>
      <c r="E12649" s="27" t="s">
        <v>23</v>
      </c>
      <c r="F12649" s="29"/>
      <c r="G12649" s="30">
        <f t="shared" si="226"/>
        <v>231.33360000000002</v>
      </c>
    </row>
    <row r="12650" spans="1:7" hidden="1" x14ac:dyDescent="0.25">
      <c r="A12650" s="28">
        <v>44593</v>
      </c>
      <c r="B12650" s="27" t="s">
        <v>200</v>
      </c>
      <c r="C12650" s="27" t="s">
        <v>182</v>
      </c>
      <c r="D12650" s="27" t="s">
        <v>7</v>
      </c>
      <c r="E12650" s="27" t="s">
        <v>40</v>
      </c>
      <c r="F12650" s="29"/>
      <c r="G12650" s="30">
        <f t="shared" si="226"/>
        <v>231.33360000000002</v>
      </c>
    </row>
    <row r="12651" spans="1:7" hidden="1" x14ac:dyDescent="0.25">
      <c r="A12651" s="28">
        <v>44593</v>
      </c>
      <c r="B12651" s="27" t="s">
        <v>200</v>
      </c>
      <c r="C12651" s="27" t="s">
        <v>182</v>
      </c>
      <c r="D12651" s="27" t="s">
        <v>7</v>
      </c>
      <c r="E12651" s="27" t="s">
        <v>42</v>
      </c>
      <c r="F12651" s="29"/>
      <c r="G12651" s="30">
        <f t="shared" si="226"/>
        <v>231.33360000000002</v>
      </c>
    </row>
    <row r="12652" spans="1:7" hidden="1" x14ac:dyDescent="0.25">
      <c r="A12652" s="28">
        <v>44593</v>
      </c>
      <c r="B12652" s="27" t="s">
        <v>200</v>
      </c>
      <c r="C12652" s="27" t="s">
        <v>182</v>
      </c>
      <c r="D12652" s="27" t="s">
        <v>7</v>
      </c>
      <c r="E12652" s="27" t="s">
        <v>43</v>
      </c>
      <c r="F12652" s="29"/>
      <c r="G12652" s="30">
        <f t="shared" si="226"/>
        <v>231.33360000000002</v>
      </c>
    </row>
    <row r="12653" spans="1:7" hidden="1" x14ac:dyDescent="0.25">
      <c r="A12653" s="28">
        <v>44593</v>
      </c>
      <c r="B12653" s="27" t="s">
        <v>200</v>
      </c>
      <c r="C12653" s="27" t="s">
        <v>182</v>
      </c>
      <c r="D12653" s="27" t="s">
        <v>7</v>
      </c>
      <c r="E12653" s="27" t="s">
        <v>72</v>
      </c>
      <c r="F12653" s="29"/>
      <c r="G12653" s="30">
        <f t="shared" si="226"/>
        <v>231.33360000000002</v>
      </c>
    </row>
    <row r="12654" spans="1:7" hidden="1" x14ac:dyDescent="0.25">
      <c r="A12654" s="28">
        <v>44593</v>
      </c>
      <c r="B12654" s="27" t="s">
        <v>200</v>
      </c>
      <c r="C12654" s="27" t="s">
        <v>182</v>
      </c>
      <c r="D12654" s="27" t="s">
        <v>7</v>
      </c>
      <c r="E12654" s="27" t="s">
        <v>206</v>
      </c>
      <c r="F12654" s="29"/>
      <c r="G12654" s="30">
        <f t="shared" si="226"/>
        <v>231.33360000000002</v>
      </c>
    </row>
    <row r="12655" spans="1:7" hidden="1" x14ac:dyDescent="0.25">
      <c r="A12655" s="28">
        <v>44593</v>
      </c>
      <c r="B12655" s="27" t="s">
        <v>35</v>
      </c>
      <c r="C12655" s="27" t="s">
        <v>50</v>
      </c>
      <c r="D12655" s="27" t="s">
        <v>7</v>
      </c>
      <c r="E12655" s="27" t="s">
        <v>8</v>
      </c>
      <c r="F12655" s="29"/>
      <c r="G12655" s="30">
        <v>566.73040000000003</v>
      </c>
    </row>
    <row r="12656" spans="1:7" hidden="1" x14ac:dyDescent="0.25">
      <c r="A12656" s="28">
        <v>44593</v>
      </c>
      <c r="B12656" s="27" t="s">
        <v>35</v>
      </c>
      <c r="C12656" s="27" t="s">
        <v>50</v>
      </c>
      <c r="D12656" s="27" t="s">
        <v>7</v>
      </c>
      <c r="E12656" s="27" t="s">
        <v>9</v>
      </c>
      <c r="F12656" s="29"/>
      <c r="G12656" s="30">
        <v>566.73040000000003</v>
      </c>
    </row>
    <row r="12657" spans="1:7" hidden="1" x14ac:dyDescent="0.25">
      <c r="A12657" s="28">
        <v>44593</v>
      </c>
      <c r="B12657" s="27" t="s">
        <v>35</v>
      </c>
      <c r="C12657" s="27" t="s">
        <v>50</v>
      </c>
      <c r="D12657" s="27" t="s">
        <v>7</v>
      </c>
      <c r="E12657" s="27" t="s">
        <v>22</v>
      </c>
      <c r="F12657" s="29"/>
      <c r="G12657" s="30">
        <v>566.73040000000003</v>
      </c>
    </row>
    <row r="12658" spans="1:7" hidden="1" x14ac:dyDescent="0.25">
      <c r="A12658" s="28">
        <v>44593</v>
      </c>
      <c r="B12658" s="27" t="s">
        <v>35</v>
      </c>
      <c r="C12658" s="27" t="s">
        <v>50</v>
      </c>
      <c r="D12658" s="27" t="s">
        <v>7</v>
      </c>
      <c r="E12658" s="27" t="s">
        <v>39</v>
      </c>
      <c r="F12658" s="29"/>
      <c r="G12658" s="30">
        <v>566.73040000000003</v>
      </c>
    </row>
    <row r="12659" spans="1:7" hidden="1" x14ac:dyDescent="0.25">
      <c r="A12659" s="28">
        <v>44593</v>
      </c>
      <c r="B12659" s="27" t="s">
        <v>35</v>
      </c>
      <c r="C12659" s="27" t="s">
        <v>50</v>
      </c>
      <c r="D12659" s="27" t="s">
        <v>7</v>
      </c>
      <c r="E12659" s="27" t="s">
        <v>64</v>
      </c>
      <c r="F12659" s="29"/>
      <c r="G12659" s="30">
        <v>566.73040000000003</v>
      </c>
    </row>
    <row r="12660" spans="1:7" hidden="1" x14ac:dyDescent="0.25">
      <c r="A12660" s="28">
        <v>44593</v>
      </c>
      <c r="B12660" s="27" t="s">
        <v>35</v>
      </c>
      <c r="C12660" s="27" t="s">
        <v>50</v>
      </c>
      <c r="D12660" s="27" t="s">
        <v>7</v>
      </c>
      <c r="E12660" s="27" t="s">
        <v>21</v>
      </c>
      <c r="F12660" s="29"/>
      <c r="G12660" s="30">
        <v>566.73040000000003</v>
      </c>
    </row>
    <row r="12661" spans="1:7" hidden="1" x14ac:dyDescent="0.25">
      <c r="A12661" s="28">
        <v>44593</v>
      </c>
      <c r="B12661" s="27" t="s">
        <v>35</v>
      </c>
      <c r="C12661" s="27" t="s">
        <v>50</v>
      </c>
      <c r="D12661" s="27" t="s">
        <v>7</v>
      </c>
      <c r="E12661" s="27" t="s">
        <v>41</v>
      </c>
      <c r="F12661" s="29"/>
      <c r="G12661" s="30">
        <v>566.73040000000003</v>
      </c>
    </row>
    <row r="12662" spans="1:7" hidden="1" x14ac:dyDescent="0.25">
      <c r="A12662" s="28">
        <v>44593</v>
      </c>
      <c r="B12662" s="27" t="s">
        <v>35</v>
      </c>
      <c r="C12662" s="27" t="s">
        <v>50</v>
      </c>
      <c r="D12662" s="27" t="s">
        <v>7</v>
      </c>
      <c r="E12662" s="27" t="s">
        <v>10</v>
      </c>
      <c r="F12662" s="29"/>
      <c r="G12662" s="30">
        <v>566.73040000000003</v>
      </c>
    </row>
    <row r="12663" spans="1:7" hidden="1" x14ac:dyDescent="0.25">
      <c r="A12663" s="28">
        <v>44593</v>
      </c>
      <c r="B12663" s="27" t="s">
        <v>35</v>
      </c>
      <c r="C12663" s="27" t="s">
        <v>50</v>
      </c>
      <c r="D12663" s="27" t="s">
        <v>7</v>
      </c>
      <c r="E12663" s="27" t="s">
        <v>11</v>
      </c>
      <c r="F12663" s="29"/>
      <c r="G12663" s="30">
        <v>566.73040000000003</v>
      </c>
    </row>
    <row r="12664" spans="1:7" hidden="1" x14ac:dyDescent="0.25">
      <c r="A12664" s="28">
        <v>44593</v>
      </c>
      <c r="B12664" s="27" t="s">
        <v>35</v>
      </c>
      <c r="C12664" s="27" t="s">
        <v>50</v>
      </c>
      <c r="D12664" s="27" t="s">
        <v>7</v>
      </c>
      <c r="E12664" s="27" t="s">
        <v>12</v>
      </c>
      <c r="F12664" s="29"/>
      <c r="G12664" s="30">
        <v>566.73040000000003</v>
      </c>
    </row>
    <row r="12665" spans="1:7" hidden="1" x14ac:dyDescent="0.25">
      <c r="A12665" s="28">
        <v>44593</v>
      </c>
      <c r="B12665" s="27" t="s">
        <v>35</v>
      </c>
      <c r="C12665" s="27" t="s">
        <v>50</v>
      </c>
      <c r="D12665" s="27" t="s">
        <v>7</v>
      </c>
      <c r="E12665" s="27" t="s">
        <v>13</v>
      </c>
      <c r="F12665" s="29"/>
      <c r="G12665" s="30">
        <v>566.73040000000003</v>
      </c>
    </row>
    <row r="12666" spans="1:7" hidden="1" x14ac:dyDescent="0.25">
      <c r="A12666" s="28">
        <v>44593</v>
      </c>
      <c r="B12666" s="27" t="s">
        <v>35</v>
      </c>
      <c r="C12666" s="27" t="s">
        <v>50</v>
      </c>
      <c r="D12666" s="27" t="s">
        <v>7</v>
      </c>
      <c r="E12666" s="27" t="s">
        <v>14</v>
      </c>
      <c r="F12666" s="29"/>
      <c r="G12666" s="30">
        <v>566.73040000000003</v>
      </c>
    </row>
    <row r="12667" spans="1:7" hidden="1" x14ac:dyDescent="0.25">
      <c r="A12667" s="28">
        <v>44593</v>
      </c>
      <c r="B12667" s="27" t="s">
        <v>35</v>
      </c>
      <c r="C12667" s="27" t="s">
        <v>50</v>
      </c>
      <c r="D12667" s="27" t="s">
        <v>7</v>
      </c>
      <c r="E12667" s="27" t="s">
        <v>15</v>
      </c>
      <c r="F12667" s="29"/>
      <c r="G12667" s="30">
        <v>566.73040000000003</v>
      </c>
    </row>
    <row r="12668" spans="1:7" hidden="1" x14ac:dyDescent="0.25">
      <c r="A12668" s="28">
        <v>44593</v>
      </c>
      <c r="B12668" s="27" t="s">
        <v>35</v>
      </c>
      <c r="C12668" s="27" t="s">
        <v>50</v>
      </c>
      <c r="D12668" s="27" t="s">
        <v>7</v>
      </c>
      <c r="E12668" s="27" t="s">
        <v>16</v>
      </c>
      <c r="F12668" s="29"/>
      <c r="G12668" s="30">
        <v>566.73040000000003</v>
      </c>
    </row>
    <row r="12669" spans="1:7" hidden="1" x14ac:dyDescent="0.25">
      <c r="A12669" s="28">
        <v>44593</v>
      </c>
      <c r="B12669" s="27" t="s">
        <v>35</v>
      </c>
      <c r="C12669" s="27" t="s">
        <v>50</v>
      </c>
      <c r="D12669" s="27" t="s">
        <v>7</v>
      </c>
      <c r="E12669" s="27" t="s">
        <v>17</v>
      </c>
      <c r="F12669" s="29"/>
      <c r="G12669" s="30">
        <v>566.73040000000003</v>
      </c>
    </row>
    <row r="12670" spans="1:7" hidden="1" x14ac:dyDescent="0.25">
      <c r="A12670" s="28">
        <v>44593</v>
      </c>
      <c r="B12670" s="27" t="s">
        <v>35</v>
      </c>
      <c r="C12670" s="27" t="s">
        <v>50</v>
      </c>
      <c r="D12670" s="27" t="s">
        <v>7</v>
      </c>
      <c r="E12670" s="27" t="s">
        <v>18</v>
      </c>
      <c r="F12670" s="29"/>
      <c r="G12670" s="30">
        <v>566.73040000000003</v>
      </c>
    </row>
    <row r="12671" spans="1:7" hidden="1" x14ac:dyDescent="0.25">
      <c r="A12671" s="28">
        <v>44593</v>
      </c>
      <c r="B12671" s="27" t="s">
        <v>35</v>
      </c>
      <c r="C12671" s="27" t="s">
        <v>50</v>
      </c>
      <c r="D12671" s="27" t="s">
        <v>7</v>
      </c>
      <c r="E12671" s="27" t="s">
        <v>19</v>
      </c>
      <c r="F12671" s="29"/>
      <c r="G12671" s="30">
        <v>566.73040000000003</v>
      </c>
    </row>
    <row r="12672" spans="1:7" hidden="1" x14ac:dyDescent="0.25">
      <c r="A12672" s="28">
        <v>44593</v>
      </c>
      <c r="B12672" s="27" t="s">
        <v>35</v>
      </c>
      <c r="C12672" s="27" t="s">
        <v>50</v>
      </c>
      <c r="D12672" s="27" t="s">
        <v>7</v>
      </c>
      <c r="E12672" s="27" t="s">
        <v>20</v>
      </c>
      <c r="F12672" s="29"/>
      <c r="G12672" s="30">
        <v>566.73040000000003</v>
      </c>
    </row>
    <row r="12673" spans="1:7" hidden="1" x14ac:dyDescent="0.25">
      <c r="A12673" s="28">
        <v>44593</v>
      </c>
      <c r="B12673" s="27" t="s">
        <v>35</v>
      </c>
      <c r="C12673" s="27" t="s">
        <v>50</v>
      </c>
      <c r="D12673" s="27" t="s">
        <v>7</v>
      </c>
      <c r="E12673" s="27" t="s">
        <v>38</v>
      </c>
      <c r="F12673" s="29"/>
      <c r="G12673" s="30">
        <v>566.73040000000003</v>
      </c>
    </row>
    <row r="12674" spans="1:7" hidden="1" x14ac:dyDescent="0.25">
      <c r="A12674" s="28">
        <v>44593</v>
      </c>
      <c r="B12674" s="27" t="s">
        <v>35</v>
      </c>
      <c r="C12674" s="27" t="s">
        <v>50</v>
      </c>
      <c r="D12674" s="27" t="s">
        <v>7</v>
      </c>
      <c r="E12674" s="27" t="s">
        <v>23</v>
      </c>
      <c r="F12674" s="29"/>
      <c r="G12674" s="30">
        <v>566.73040000000003</v>
      </c>
    </row>
    <row r="12675" spans="1:7" hidden="1" x14ac:dyDescent="0.25">
      <c r="A12675" s="28">
        <v>44593</v>
      </c>
      <c r="B12675" s="27" t="s">
        <v>35</v>
      </c>
      <c r="C12675" s="27" t="s">
        <v>50</v>
      </c>
      <c r="D12675" s="27" t="s">
        <v>7</v>
      </c>
      <c r="E12675" s="27" t="s">
        <v>40</v>
      </c>
      <c r="F12675" s="29"/>
      <c r="G12675" s="30">
        <v>566.73040000000003</v>
      </c>
    </row>
    <row r="12676" spans="1:7" hidden="1" x14ac:dyDescent="0.25">
      <c r="A12676" s="28">
        <v>44593</v>
      </c>
      <c r="B12676" s="27" t="s">
        <v>35</v>
      </c>
      <c r="C12676" s="27" t="s">
        <v>50</v>
      </c>
      <c r="D12676" s="27" t="s">
        <v>7</v>
      </c>
      <c r="E12676" s="27" t="s">
        <v>42</v>
      </c>
      <c r="F12676" s="29"/>
      <c r="G12676" s="30">
        <v>566.73040000000003</v>
      </c>
    </row>
    <row r="12677" spans="1:7" hidden="1" x14ac:dyDescent="0.25">
      <c r="A12677" s="28">
        <v>44593</v>
      </c>
      <c r="B12677" s="27" t="s">
        <v>35</v>
      </c>
      <c r="C12677" s="27" t="s">
        <v>50</v>
      </c>
      <c r="D12677" s="27" t="s">
        <v>7</v>
      </c>
      <c r="E12677" s="27" t="s">
        <v>43</v>
      </c>
      <c r="F12677" s="29"/>
      <c r="G12677" s="30">
        <v>566.73040000000003</v>
      </c>
    </row>
    <row r="12678" spans="1:7" hidden="1" x14ac:dyDescent="0.25">
      <c r="A12678" s="28">
        <v>44593</v>
      </c>
      <c r="B12678" s="27" t="s">
        <v>35</v>
      </c>
      <c r="C12678" s="27" t="s">
        <v>50</v>
      </c>
      <c r="D12678" s="27" t="s">
        <v>7</v>
      </c>
      <c r="E12678" s="27" t="s">
        <v>72</v>
      </c>
      <c r="F12678" s="29"/>
      <c r="G12678" s="30">
        <v>566.73040000000003</v>
      </c>
    </row>
    <row r="12679" spans="1:7" hidden="1" x14ac:dyDescent="0.25">
      <c r="A12679" s="28">
        <v>44593</v>
      </c>
      <c r="B12679" s="27" t="s">
        <v>35</v>
      </c>
      <c r="C12679" s="27" t="s">
        <v>50</v>
      </c>
      <c r="D12679" s="27" t="s">
        <v>7</v>
      </c>
      <c r="E12679" s="27" t="s">
        <v>206</v>
      </c>
      <c r="F12679" s="29"/>
      <c r="G12679" s="30">
        <v>566.73040000000003</v>
      </c>
    </row>
    <row r="12680" spans="1:7" hidden="1" x14ac:dyDescent="0.25">
      <c r="A12680" s="28">
        <v>44593</v>
      </c>
      <c r="B12680" s="27" t="s">
        <v>34</v>
      </c>
      <c r="C12680" s="27" t="s">
        <v>50</v>
      </c>
      <c r="D12680" s="27" t="s">
        <v>6</v>
      </c>
      <c r="E12680" s="27" t="s">
        <v>8</v>
      </c>
      <c r="F12680" s="29"/>
      <c r="G12680" s="30">
        <v>25.319600000000001</v>
      </c>
    </row>
    <row r="12681" spans="1:7" hidden="1" x14ac:dyDescent="0.25">
      <c r="A12681" s="28">
        <v>44593</v>
      </c>
      <c r="B12681" s="27" t="s">
        <v>34</v>
      </c>
      <c r="C12681" s="27" t="s">
        <v>50</v>
      </c>
      <c r="D12681" s="27" t="s">
        <v>6</v>
      </c>
      <c r="E12681" s="27" t="s">
        <v>9</v>
      </c>
      <c r="F12681" s="29"/>
      <c r="G12681" s="30">
        <v>25.319600000000001</v>
      </c>
    </row>
    <row r="12682" spans="1:7" hidden="1" x14ac:dyDescent="0.25">
      <c r="A12682" s="28">
        <v>44593</v>
      </c>
      <c r="B12682" s="27" t="s">
        <v>34</v>
      </c>
      <c r="C12682" s="27" t="s">
        <v>50</v>
      </c>
      <c r="D12682" s="27" t="s">
        <v>6</v>
      </c>
      <c r="E12682" s="27" t="s">
        <v>22</v>
      </c>
      <c r="F12682" s="29"/>
      <c r="G12682" s="30">
        <v>25.319600000000001</v>
      </c>
    </row>
    <row r="12683" spans="1:7" hidden="1" x14ac:dyDescent="0.25">
      <c r="A12683" s="28">
        <v>44593</v>
      </c>
      <c r="B12683" s="27" t="s">
        <v>34</v>
      </c>
      <c r="C12683" s="27" t="s">
        <v>50</v>
      </c>
      <c r="D12683" s="27" t="s">
        <v>6</v>
      </c>
      <c r="E12683" s="27" t="s">
        <v>39</v>
      </c>
      <c r="F12683" s="29"/>
      <c r="G12683" s="30">
        <v>25.319600000000001</v>
      </c>
    </row>
    <row r="12684" spans="1:7" hidden="1" x14ac:dyDescent="0.25">
      <c r="A12684" s="28">
        <v>44593</v>
      </c>
      <c r="B12684" s="27" t="s">
        <v>34</v>
      </c>
      <c r="C12684" s="27" t="s">
        <v>50</v>
      </c>
      <c r="D12684" s="27" t="s">
        <v>6</v>
      </c>
      <c r="E12684" s="27" t="s">
        <v>64</v>
      </c>
      <c r="F12684" s="29"/>
      <c r="G12684" s="30">
        <v>25.319600000000001</v>
      </c>
    </row>
    <row r="12685" spans="1:7" hidden="1" x14ac:dyDescent="0.25">
      <c r="A12685" s="28">
        <v>44593</v>
      </c>
      <c r="B12685" s="27" t="s">
        <v>34</v>
      </c>
      <c r="C12685" s="27" t="s">
        <v>50</v>
      </c>
      <c r="D12685" s="27" t="s">
        <v>6</v>
      </c>
      <c r="E12685" s="27" t="s">
        <v>21</v>
      </c>
      <c r="F12685" s="29"/>
      <c r="G12685" s="30">
        <v>25.319600000000001</v>
      </c>
    </row>
    <row r="12686" spans="1:7" hidden="1" x14ac:dyDescent="0.25">
      <c r="A12686" s="28">
        <v>44593</v>
      </c>
      <c r="B12686" s="27" t="s">
        <v>34</v>
      </c>
      <c r="C12686" s="27" t="s">
        <v>50</v>
      </c>
      <c r="D12686" s="27" t="s">
        <v>6</v>
      </c>
      <c r="E12686" s="27" t="s">
        <v>41</v>
      </c>
      <c r="F12686" s="29"/>
      <c r="G12686" s="30">
        <v>25.319600000000001</v>
      </c>
    </row>
    <row r="12687" spans="1:7" hidden="1" x14ac:dyDescent="0.25">
      <c r="A12687" s="28">
        <v>44593</v>
      </c>
      <c r="B12687" s="27" t="s">
        <v>34</v>
      </c>
      <c r="C12687" s="27" t="s">
        <v>50</v>
      </c>
      <c r="D12687" s="27" t="s">
        <v>6</v>
      </c>
      <c r="E12687" s="27" t="s">
        <v>10</v>
      </c>
      <c r="F12687" s="29"/>
      <c r="G12687" s="30">
        <v>25.319600000000001</v>
      </c>
    </row>
    <row r="12688" spans="1:7" hidden="1" x14ac:dyDescent="0.25">
      <c r="A12688" s="28">
        <v>44593</v>
      </c>
      <c r="B12688" s="27" t="s">
        <v>34</v>
      </c>
      <c r="C12688" s="27" t="s">
        <v>50</v>
      </c>
      <c r="D12688" s="27" t="s">
        <v>6</v>
      </c>
      <c r="E12688" s="27" t="s">
        <v>11</v>
      </c>
      <c r="F12688" s="29"/>
      <c r="G12688" s="30">
        <v>25.319600000000001</v>
      </c>
    </row>
    <row r="12689" spans="1:7" hidden="1" x14ac:dyDescent="0.25">
      <c r="A12689" s="28">
        <v>44593</v>
      </c>
      <c r="B12689" s="27" t="s">
        <v>34</v>
      </c>
      <c r="C12689" s="27" t="s">
        <v>50</v>
      </c>
      <c r="D12689" s="27" t="s">
        <v>6</v>
      </c>
      <c r="E12689" s="27" t="s">
        <v>12</v>
      </c>
      <c r="F12689" s="29"/>
      <c r="G12689" s="30">
        <v>25.319600000000001</v>
      </c>
    </row>
    <row r="12690" spans="1:7" hidden="1" x14ac:dyDescent="0.25">
      <c r="A12690" s="28">
        <v>44593</v>
      </c>
      <c r="B12690" s="27" t="s">
        <v>34</v>
      </c>
      <c r="C12690" s="27" t="s">
        <v>50</v>
      </c>
      <c r="D12690" s="27" t="s">
        <v>6</v>
      </c>
      <c r="E12690" s="27" t="s">
        <v>13</v>
      </c>
      <c r="F12690" s="29"/>
      <c r="G12690" s="30">
        <v>25.319600000000001</v>
      </c>
    </row>
    <row r="12691" spans="1:7" hidden="1" x14ac:dyDescent="0.25">
      <c r="A12691" s="28">
        <v>44593</v>
      </c>
      <c r="B12691" s="27" t="s">
        <v>34</v>
      </c>
      <c r="C12691" s="27" t="s">
        <v>50</v>
      </c>
      <c r="D12691" s="27" t="s">
        <v>6</v>
      </c>
      <c r="E12691" s="27" t="s">
        <v>14</v>
      </c>
      <c r="F12691" s="29"/>
      <c r="G12691" s="30">
        <v>25.319600000000001</v>
      </c>
    </row>
    <row r="12692" spans="1:7" hidden="1" x14ac:dyDescent="0.25">
      <c r="A12692" s="28">
        <v>44593</v>
      </c>
      <c r="B12692" s="27" t="s">
        <v>34</v>
      </c>
      <c r="C12692" s="27" t="s">
        <v>50</v>
      </c>
      <c r="D12692" s="27" t="s">
        <v>6</v>
      </c>
      <c r="E12692" s="27" t="s">
        <v>15</v>
      </c>
      <c r="F12692" s="29"/>
      <c r="G12692" s="30">
        <v>25.319600000000001</v>
      </c>
    </row>
    <row r="12693" spans="1:7" hidden="1" x14ac:dyDescent="0.25">
      <c r="A12693" s="28">
        <v>44593</v>
      </c>
      <c r="B12693" s="27" t="s">
        <v>34</v>
      </c>
      <c r="C12693" s="27" t="s">
        <v>50</v>
      </c>
      <c r="D12693" s="27" t="s">
        <v>6</v>
      </c>
      <c r="E12693" s="27" t="s">
        <v>16</v>
      </c>
      <c r="F12693" s="29"/>
      <c r="G12693" s="30">
        <v>25.319600000000001</v>
      </c>
    </row>
    <row r="12694" spans="1:7" hidden="1" x14ac:dyDescent="0.25">
      <c r="A12694" s="28">
        <v>44593</v>
      </c>
      <c r="B12694" s="27" t="s">
        <v>34</v>
      </c>
      <c r="C12694" s="27" t="s">
        <v>50</v>
      </c>
      <c r="D12694" s="27" t="s">
        <v>6</v>
      </c>
      <c r="E12694" s="27" t="s">
        <v>17</v>
      </c>
      <c r="F12694" s="29"/>
      <c r="G12694" s="30">
        <v>25.319600000000001</v>
      </c>
    </row>
    <row r="12695" spans="1:7" hidden="1" x14ac:dyDescent="0.25">
      <c r="A12695" s="28">
        <v>44593</v>
      </c>
      <c r="B12695" s="27" t="s">
        <v>34</v>
      </c>
      <c r="C12695" s="27" t="s">
        <v>50</v>
      </c>
      <c r="D12695" s="27" t="s">
        <v>6</v>
      </c>
      <c r="E12695" s="27" t="s">
        <v>18</v>
      </c>
      <c r="F12695" s="29"/>
      <c r="G12695" s="30">
        <v>25.319600000000001</v>
      </c>
    </row>
    <row r="12696" spans="1:7" hidden="1" x14ac:dyDescent="0.25">
      <c r="A12696" s="28">
        <v>44593</v>
      </c>
      <c r="B12696" s="27" t="s">
        <v>34</v>
      </c>
      <c r="C12696" s="27" t="s">
        <v>50</v>
      </c>
      <c r="D12696" s="27" t="s">
        <v>6</v>
      </c>
      <c r="E12696" s="27" t="s">
        <v>19</v>
      </c>
      <c r="F12696" s="29"/>
      <c r="G12696" s="30">
        <v>25.319600000000001</v>
      </c>
    </row>
    <row r="12697" spans="1:7" hidden="1" x14ac:dyDescent="0.25">
      <c r="A12697" s="28">
        <v>44593</v>
      </c>
      <c r="B12697" s="27" t="s">
        <v>34</v>
      </c>
      <c r="C12697" s="27" t="s">
        <v>50</v>
      </c>
      <c r="D12697" s="27" t="s">
        <v>6</v>
      </c>
      <c r="E12697" s="27" t="s">
        <v>20</v>
      </c>
      <c r="F12697" s="29"/>
      <c r="G12697" s="30">
        <v>25.319600000000001</v>
      </c>
    </row>
    <row r="12698" spans="1:7" hidden="1" x14ac:dyDescent="0.25">
      <c r="A12698" s="28">
        <v>44593</v>
      </c>
      <c r="B12698" s="27" t="s">
        <v>34</v>
      </c>
      <c r="C12698" s="27" t="s">
        <v>50</v>
      </c>
      <c r="D12698" s="27" t="s">
        <v>6</v>
      </c>
      <c r="E12698" s="27" t="s">
        <v>38</v>
      </c>
      <c r="F12698" s="29"/>
      <c r="G12698" s="30">
        <v>25.319600000000001</v>
      </c>
    </row>
    <row r="12699" spans="1:7" hidden="1" x14ac:dyDescent="0.25">
      <c r="A12699" s="28">
        <v>44593</v>
      </c>
      <c r="B12699" s="27" t="s">
        <v>34</v>
      </c>
      <c r="C12699" s="27" t="s">
        <v>50</v>
      </c>
      <c r="D12699" s="27" t="s">
        <v>6</v>
      </c>
      <c r="E12699" s="27" t="s">
        <v>23</v>
      </c>
      <c r="F12699" s="29"/>
      <c r="G12699" s="30">
        <v>25.319600000000001</v>
      </c>
    </row>
    <row r="12700" spans="1:7" hidden="1" x14ac:dyDescent="0.25">
      <c r="A12700" s="28">
        <v>44593</v>
      </c>
      <c r="B12700" s="27" t="s">
        <v>34</v>
      </c>
      <c r="C12700" s="27" t="s">
        <v>50</v>
      </c>
      <c r="D12700" s="27" t="s">
        <v>6</v>
      </c>
      <c r="E12700" s="27" t="s">
        <v>40</v>
      </c>
      <c r="F12700" s="29"/>
      <c r="G12700" s="30">
        <v>25.319600000000001</v>
      </c>
    </row>
    <row r="12701" spans="1:7" hidden="1" x14ac:dyDescent="0.25">
      <c r="A12701" s="28">
        <v>44593</v>
      </c>
      <c r="B12701" s="27" t="s">
        <v>34</v>
      </c>
      <c r="C12701" s="27" t="s">
        <v>50</v>
      </c>
      <c r="D12701" s="27" t="s">
        <v>6</v>
      </c>
      <c r="E12701" s="27" t="s">
        <v>42</v>
      </c>
      <c r="F12701" s="29"/>
      <c r="G12701" s="30">
        <v>25.319600000000001</v>
      </c>
    </row>
    <row r="12702" spans="1:7" hidden="1" x14ac:dyDescent="0.25">
      <c r="A12702" s="28">
        <v>44593</v>
      </c>
      <c r="B12702" s="27" t="s">
        <v>34</v>
      </c>
      <c r="C12702" s="27" t="s">
        <v>50</v>
      </c>
      <c r="D12702" s="27" t="s">
        <v>6</v>
      </c>
      <c r="E12702" s="27" t="s">
        <v>43</v>
      </c>
      <c r="F12702" s="29"/>
      <c r="G12702" s="30">
        <v>25.319600000000001</v>
      </c>
    </row>
    <row r="12703" spans="1:7" hidden="1" x14ac:dyDescent="0.25">
      <c r="A12703" s="28">
        <v>44593</v>
      </c>
      <c r="B12703" s="27" t="s">
        <v>34</v>
      </c>
      <c r="C12703" s="27" t="s">
        <v>50</v>
      </c>
      <c r="D12703" s="27" t="s">
        <v>6</v>
      </c>
      <c r="E12703" s="27" t="s">
        <v>72</v>
      </c>
      <c r="F12703" s="29"/>
      <c r="G12703" s="30">
        <v>25.319600000000001</v>
      </c>
    </row>
    <row r="12704" spans="1:7" hidden="1" x14ac:dyDescent="0.25">
      <c r="A12704" s="28">
        <v>44593</v>
      </c>
      <c r="B12704" s="27" t="s">
        <v>34</v>
      </c>
      <c r="C12704" s="27" t="s">
        <v>50</v>
      </c>
      <c r="D12704" s="27" t="s">
        <v>6</v>
      </c>
      <c r="E12704" s="27" t="s">
        <v>206</v>
      </c>
      <c r="F12704" s="29"/>
      <c r="G12704" s="30">
        <v>25.319600000000001</v>
      </c>
    </row>
    <row r="12705" spans="1:7" hidden="1" x14ac:dyDescent="0.25">
      <c r="A12705" s="28">
        <v>44621</v>
      </c>
      <c r="B12705" s="27" t="s">
        <v>33</v>
      </c>
      <c r="C12705" s="27" t="s">
        <v>50</v>
      </c>
      <c r="D12705" s="27" t="s">
        <v>7</v>
      </c>
      <c r="E12705" s="27" t="s">
        <v>8</v>
      </c>
      <c r="F12705" s="29"/>
      <c r="G12705" s="30">
        <v>2809.7012</v>
      </c>
    </row>
    <row r="12706" spans="1:7" hidden="1" x14ac:dyDescent="0.25">
      <c r="A12706" s="28">
        <v>44621</v>
      </c>
      <c r="B12706" s="27" t="s">
        <v>33</v>
      </c>
      <c r="C12706" s="27" t="s">
        <v>50</v>
      </c>
      <c r="D12706" s="27" t="s">
        <v>7</v>
      </c>
      <c r="E12706" s="27" t="s">
        <v>9</v>
      </c>
      <c r="F12706" s="29"/>
      <c r="G12706" s="30">
        <v>2809.7012</v>
      </c>
    </row>
    <row r="12707" spans="1:7" hidden="1" x14ac:dyDescent="0.25">
      <c r="A12707" s="28">
        <v>44621</v>
      </c>
      <c r="B12707" s="27" t="s">
        <v>33</v>
      </c>
      <c r="C12707" s="27" t="s">
        <v>50</v>
      </c>
      <c r="D12707" s="27" t="s">
        <v>7</v>
      </c>
      <c r="E12707" s="27" t="s">
        <v>22</v>
      </c>
      <c r="F12707" s="29"/>
      <c r="G12707" s="30">
        <v>2809.7012</v>
      </c>
    </row>
    <row r="12708" spans="1:7" hidden="1" x14ac:dyDescent="0.25">
      <c r="A12708" s="28">
        <v>44621</v>
      </c>
      <c r="B12708" s="27" t="s">
        <v>33</v>
      </c>
      <c r="C12708" s="27" t="s">
        <v>50</v>
      </c>
      <c r="D12708" s="27" t="s">
        <v>7</v>
      </c>
      <c r="E12708" s="27" t="s">
        <v>39</v>
      </c>
      <c r="F12708" s="29"/>
      <c r="G12708" s="30">
        <v>2809.7012</v>
      </c>
    </row>
    <row r="12709" spans="1:7" hidden="1" x14ac:dyDescent="0.25">
      <c r="A12709" s="28">
        <v>44621</v>
      </c>
      <c r="B12709" s="27" t="s">
        <v>33</v>
      </c>
      <c r="C12709" s="27" t="s">
        <v>50</v>
      </c>
      <c r="D12709" s="27" t="s">
        <v>7</v>
      </c>
      <c r="E12709" s="27" t="s">
        <v>64</v>
      </c>
      <c r="F12709" s="29"/>
      <c r="G12709" s="30">
        <v>2809.7012</v>
      </c>
    </row>
    <row r="12710" spans="1:7" hidden="1" x14ac:dyDescent="0.25">
      <c r="A12710" s="28">
        <v>44621</v>
      </c>
      <c r="B12710" s="27" t="s">
        <v>33</v>
      </c>
      <c r="C12710" s="27" t="s">
        <v>50</v>
      </c>
      <c r="D12710" s="27" t="s">
        <v>7</v>
      </c>
      <c r="E12710" s="27" t="s">
        <v>21</v>
      </c>
      <c r="F12710" s="29"/>
      <c r="G12710" s="30">
        <v>2809.7012</v>
      </c>
    </row>
    <row r="12711" spans="1:7" hidden="1" x14ac:dyDescent="0.25">
      <c r="A12711" s="28">
        <v>44621</v>
      </c>
      <c r="B12711" s="27" t="s">
        <v>33</v>
      </c>
      <c r="C12711" s="27" t="s">
        <v>50</v>
      </c>
      <c r="D12711" s="27" t="s">
        <v>7</v>
      </c>
      <c r="E12711" s="27" t="s">
        <v>41</v>
      </c>
      <c r="F12711" s="29"/>
      <c r="G12711" s="30">
        <v>2809.7012</v>
      </c>
    </row>
    <row r="12712" spans="1:7" hidden="1" x14ac:dyDescent="0.25">
      <c r="A12712" s="28">
        <v>44621</v>
      </c>
      <c r="B12712" s="27" t="s">
        <v>33</v>
      </c>
      <c r="C12712" s="27" t="s">
        <v>50</v>
      </c>
      <c r="D12712" s="27" t="s">
        <v>7</v>
      </c>
      <c r="E12712" s="27" t="s">
        <v>10</v>
      </c>
      <c r="F12712" s="29"/>
      <c r="G12712" s="30">
        <v>2809.7012</v>
      </c>
    </row>
    <row r="12713" spans="1:7" hidden="1" x14ac:dyDescent="0.25">
      <c r="A12713" s="28">
        <v>44621</v>
      </c>
      <c r="B12713" s="27" t="s">
        <v>33</v>
      </c>
      <c r="C12713" s="27" t="s">
        <v>50</v>
      </c>
      <c r="D12713" s="27" t="s">
        <v>7</v>
      </c>
      <c r="E12713" s="27" t="s">
        <v>11</v>
      </c>
      <c r="F12713" s="29"/>
      <c r="G12713" s="30">
        <v>2809.7012</v>
      </c>
    </row>
    <row r="12714" spans="1:7" hidden="1" x14ac:dyDescent="0.25">
      <c r="A12714" s="28">
        <v>44621</v>
      </c>
      <c r="B12714" s="27" t="s">
        <v>33</v>
      </c>
      <c r="C12714" s="27" t="s">
        <v>50</v>
      </c>
      <c r="D12714" s="27" t="s">
        <v>7</v>
      </c>
      <c r="E12714" s="27" t="s">
        <v>12</v>
      </c>
      <c r="F12714" s="29"/>
      <c r="G12714" s="30">
        <v>2809.7012</v>
      </c>
    </row>
    <row r="12715" spans="1:7" hidden="1" x14ac:dyDescent="0.25">
      <c r="A12715" s="28">
        <v>44621</v>
      </c>
      <c r="B12715" s="27" t="s">
        <v>33</v>
      </c>
      <c r="C12715" s="27" t="s">
        <v>50</v>
      </c>
      <c r="D12715" s="27" t="s">
        <v>7</v>
      </c>
      <c r="E12715" s="27" t="s">
        <v>13</v>
      </c>
      <c r="F12715" s="29"/>
      <c r="G12715" s="30">
        <v>2809.7012</v>
      </c>
    </row>
    <row r="12716" spans="1:7" hidden="1" x14ac:dyDescent="0.25">
      <c r="A12716" s="28">
        <v>44621</v>
      </c>
      <c r="B12716" s="27" t="s">
        <v>33</v>
      </c>
      <c r="C12716" s="27" t="s">
        <v>50</v>
      </c>
      <c r="D12716" s="27" t="s">
        <v>7</v>
      </c>
      <c r="E12716" s="27" t="s">
        <v>14</v>
      </c>
      <c r="F12716" s="29"/>
      <c r="G12716" s="30">
        <v>2809.7012</v>
      </c>
    </row>
    <row r="12717" spans="1:7" hidden="1" x14ac:dyDescent="0.25">
      <c r="A12717" s="28">
        <v>44621</v>
      </c>
      <c r="B12717" s="27" t="s">
        <v>33</v>
      </c>
      <c r="C12717" s="27" t="s">
        <v>50</v>
      </c>
      <c r="D12717" s="27" t="s">
        <v>7</v>
      </c>
      <c r="E12717" s="27" t="s">
        <v>15</v>
      </c>
      <c r="F12717" s="29"/>
      <c r="G12717" s="30">
        <v>2809.7012</v>
      </c>
    </row>
    <row r="12718" spans="1:7" hidden="1" x14ac:dyDescent="0.25">
      <c r="A12718" s="28">
        <v>44621</v>
      </c>
      <c r="B12718" s="27" t="s">
        <v>33</v>
      </c>
      <c r="C12718" s="27" t="s">
        <v>50</v>
      </c>
      <c r="D12718" s="27" t="s">
        <v>7</v>
      </c>
      <c r="E12718" s="27" t="s">
        <v>16</v>
      </c>
      <c r="F12718" s="29"/>
      <c r="G12718" s="30">
        <v>2809.7012</v>
      </c>
    </row>
    <row r="12719" spans="1:7" hidden="1" x14ac:dyDescent="0.25">
      <c r="A12719" s="28">
        <v>44621</v>
      </c>
      <c r="B12719" s="27" t="s">
        <v>33</v>
      </c>
      <c r="C12719" s="27" t="s">
        <v>50</v>
      </c>
      <c r="D12719" s="27" t="s">
        <v>7</v>
      </c>
      <c r="E12719" s="27" t="s">
        <v>17</v>
      </c>
      <c r="F12719" s="29"/>
      <c r="G12719" s="30">
        <v>2809.7012</v>
      </c>
    </row>
    <row r="12720" spans="1:7" hidden="1" x14ac:dyDescent="0.25">
      <c r="A12720" s="28">
        <v>44621</v>
      </c>
      <c r="B12720" s="27" t="s">
        <v>33</v>
      </c>
      <c r="C12720" s="27" t="s">
        <v>50</v>
      </c>
      <c r="D12720" s="27" t="s">
        <v>7</v>
      </c>
      <c r="E12720" s="27" t="s">
        <v>18</v>
      </c>
      <c r="F12720" s="29"/>
      <c r="G12720" s="30">
        <v>2809.7012</v>
      </c>
    </row>
    <row r="12721" spans="1:7" hidden="1" x14ac:dyDescent="0.25">
      <c r="A12721" s="28">
        <v>44621</v>
      </c>
      <c r="B12721" s="27" t="s">
        <v>33</v>
      </c>
      <c r="C12721" s="27" t="s">
        <v>50</v>
      </c>
      <c r="D12721" s="27" t="s">
        <v>7</v>
      </c>
      <c r="E12721" s="27" t="s">
        <v>19</v>
      </c>
      <c r="F12721" s="29"/>
      <c r="G12721" s="30">
        <v>2809.7012</v>
      </c>
    </row>
    <row r="12722" spans="1:7" hidden="1" x14ac:dyDescent="0.25">
      <c r="A12722" s="28">
        <v>44621</v>
      </c>
      <c r="B12722" s="27" t="s">
        <v>33</v>
      </c>
      <c r="C12722" s="27" t="s">
        <v>50</v>
      </c>
      <c r="D12722" s="27" t="s">
        <v>7</v>
      </c>
      <c r="E12722" s="27" t="s">
        <v>20</v>
      </c>
      <c r="F12722" s="29"/>
      <c r="G12722" s="30">
        <v>2809.7012</v>
      </c>
    </row>
    <row r="12723" spans="1:7" hidden="1" x14ac:dyDescent="0.25">
      <c r="A12723" s="28">
        <v>44621</v>
      </c>
      <c r="B12723" s="27" t="s">
        <v>33</v>
      </c>
      <c r="C12723" s="27" t="s">
        <v>50</v>
      </c>
      <c r="D12723" s="27" t="s">
        <v>7</v>
      </c>
      <c r="E12723" s="27" t="s">
        <v>38</v>
      </c>
      <c r="F12723" s="29"/>
      <c r="G12723" s="30">
        <v>2809.7012</v>
      </c>
    </row>
    <row r="12724" spans="1:7" hidden="1" x14ac:dyDescent="0.25">
      <c r="A12724" s="28">
        <v>44621</v>
      </c>
      <c r="B12724" s="27" t="s">
        <v>33</v>
      </c>
      <c r="C12724" s="27" t="s">
        <v>50</v>
      </c>
      <c r="D12724" s="27" t="s">
        <v>7</v>
      </c>
      <c r="E12724" s="27" t="s">
        <v>23</v>
      </c>
      <c r="F12724" s="29"/>
      <c r="G12724" s="30">
        <v>2809.7012</v>
      </c>
    </row>
    <row r="12725" spans="1:7" hidden="1" x14ac:dyDescent="0.25">
      <c r="A12725" s="28">
        <v>44621</v>
      </c>
      <c r="B12725" s="27" t="s">
        <v>33</v>
      </c>
      <c r="C12725" s="27" t="s">
        <v>50</v>
      </c>
      <c r="D12725" s="27" t="s">
        <v>7</v>
      </c>
      <c r="E12725" s="27" t="s">
        <v>40</v>
      </c>
      <c r="F12725" s="29"/>
      <c r="G12725" s="30">
        <v>2809.7012</v>
      </c>
    </row>
    <row r="12726" spans="1:7" hidden="1" x14ac:dyDescent="0.25">
      <c r="A12726" s="28">
        <v>44621</v>
      </c>
      <c r="B12726" s="27" t="s">
        <v>33</v>
      </c>
      <c r="C12726" s="27" t="s">
        <v>50</v>
      </c>
      <c r="D12726" s="27" t="s">
        <v>7</v>
      </c>
      <c r="E12726" s="27" t="s">
        <v>42</v>
      </c>
      <c r="F12726" s="29"/>
      <c r="G12726" s="30">
        <v>2809.7012</v>
      </c>
    </row>
    <row r="12727" spans="1:7" hidden="1" x14ac:dyDescent="0.25">
      <c r="A12727" s="28">
        <v>44621</v>
      </c>
      <c r="B12727" s="27" t="s">
        <v>33</v>
      </c>
      <c r="C12727" s="27" t="s">
        <v>50</v>
      </c>
      <c r="D12727" s="27" t="s">
        <v>7</v>
      </c>
      <c r="E12727" s="27" t="s">
        <v>43</v>
      </c>
      <c r="F12727" s="29"/>
      <c r="G12727" s="30">
        <v>2809.7012</v>
      </c>
    </row>
    <row r="12728" spans="1:7" hidden="1" x14ac:dyDescent="0.25">
      <c r="A12728" s="28">
        <v>44621</v>
      </c>
      <c r="B12728" s="27" t="s">
        <v>33</v>
      </c>
      <c r="C12728" s="27" t="s">
        <v>50</v>
      </c>
      <c r="D12728" s="27" t="s">
        <v>7</v>
      </c>
      <c r="E12728" s="27" t="s">
        <v>72</v>
      </c>
      <c r="F12728" s="29"/>
      <c r="G12728" s="30">
        <v>2809.7012</v>
      </c>
    </row>
    <row r="12729" spans="1:7" hidden="1" x14ac:dyDescent="0.25">
      <c r="A12729" s="28">
        <v>44621</v>
      </c>
      <c r="B12729" s="27" t="s">
        <v>33</v>
      </c>
      <c r="C12729" s="27" t="s">
        <v>50</v>
      </c>
      <c r="D12729" s="27" t="s">
        <v>7</v>
      </c>
      <c r="E12729" s="27" t="s">
        <v>206</v>
      </c>
      <c r="F12729" s="29"/>
      <c r="G12729" s="30">
        <v>2809.7012</v>
      </c>
    </row>
    <row r="12730" spans="1:7" hidden="1" x14ac:dyDescent="0.25">
      <c r="A12730" s="28">
        <v>44621</v>
      </c>
      <c r="B12730" s="27" t="s">
        <v>4</v>
      </c>
      <c r="C12730" s="27" t="s">
        <v>50</v>
      </c>
      <c r="D12730" s="27" t="s">
        <v>7</v>
      </c>
      <c r="E12730" s="27" t="s">
        <v>8</v>
      </c>
      <c r="F12730" s="29"/>
      <c r="G12730" s="30">
        <f>92748.99/12</f>
        <v>7729.0825000000004</v>
      </c>
    </row>
    <row r="12731" spans="1:7" hidden="1" x14ac:dyDescent="0.25">
      <c r="A12731" s="28">
        <v>44621</v>
      </c>
      <c r="B12731" s="27" t="s">
        <v>4</v>
      </c>
      <c r="C12731" s="27" t="s">
        <v>50</v>
      </c>
      <c r="D12731" s="27" t="s">
        <v>7</v>
      </c>
      <c r="E12731" s="27" t="s">
        <v>9</v>
      </c>
      <c r="F12731" s="29"/>
      <c r="G12731" s="30">
        <f>92748.99/12</f>
        <v>7729.0825000000004</v>
      </c>
    </row>
    <row r="12732" spans="1:7" hidden="1" x14ac:dyDescent="0.25">
      <c r="A12732" s="28">
        <v>44621</v>
      </c>
      <c r="B12732" s="27" t="s">
        <v>4</v>
      </c>
      <c r="C12732" s="27" t="s">
        <v>50</v>
      </c>
      <c r="D12732" s="27" t="s">
        <v>7</v>
      </c>
      <c r="E12732" s="27" t="s">
        <v>22</v>
      </c>
      <c r="F12732" s="29"/>
      <c r="G12732" s="30">
        <f>92748.99/12</f>
        <v>7729.0825000000004</v>
      </c>
    </row>
    <row r="12733" spans="1:7" hidden="1" x14ac:dyDescent="0.25">
      <c r="A12733" s="28">
        <v>44621</v>
      </c>
      <c r="B12733" s="27" t="s">
        <v>4</v>
      </c>
      <c r="C12733" s="27" t="s">
        <v>50</v>
      </c>
      <c r="D12733" s="27" t="s">
        <v>7</v>
      </c>
      <c r="E12733" s="27" t="s">
        <v>39</v>
      </c>
      <c r="F12733" s="29"/>
      <c r="G12733" s="30">
        <f>92748.99/12</f>
        <v>7729.0825000000004</v>
      </c>
    </row>
    <row r="12734" spans="1:7" hidden="1" x14ac:dyDescent="0.25">
      <c r="A12734" s="28">
        <v>44621</v>
      </c>
      <c r="B12734" s="27" t="s">
        <v>4</v>
      </c>
      <c r="C12734" s="27" t="s">
        <v>50</v>
      </c>
      <c r="D12734" s="27" t="s">
        <v>7</v>
      </c>
      <c r="E12734" s="27" t="s">
        <v>64</v>
      </c>
      <c r="F12734" s="29"/>
      <c r="G12734" s="30">
        <f>92748.99/12</f>
        <v>7729.0825000000004</v>
      </c>
    </row>
    <row r="12735" spans="1:7" hidden="1" x14ac:dyDescent="0.25">
      <c r="A12735" s="28">
        <v>44621</v>
      </c>
      <c r="B12735" s="27" t="s">
        <v>4</v>
      </c>
      <c r="C12735" s="27" t="s">
        <v>50</v>
      </c>
      <c r="D12735" s="27" t="s">
        <v>7</v>
      </c>
      <c r="E12735" s="27" t="s">
        <v>21</v>
      </c>
      <c r="F12735" s="29"/>
      <c r="G12735" s="30">
        <v>1573.62</v>
      </c>
    </row>
    <row r="12736" spans="1:7" hidden="1" x14ac:dyDescent="0.25">
      <c r="A12736" s="28">
        <v>44621</v>
      </c>
      <c r="B12736" s="27" t="s">
        <v>4</v>
      </c>
      <c r="C12736" s="27" t="s">
        <v>50</v>
      </c>
      <c r="D12736" s="27" t="s">
        <v>7</v>
      </c>
      <c r="E12736" s="27" t="s">
        <v>41</v>
      </c>
      <c r="F12736" s="29"/>
      <c r="G12736" s="30">
        <v>3545.14</v>
      </c>
    </row>
    <row r="12737" spans="1:7" hidden="1" x14ac:dyDescent="0.25">
      <c r="A12737" s="28">
        <v>44621</v>
      </c>
      <c r="B12737" s="27" t="s">
        <v>4</v>
      </c>
      <c r="C12737" s="27" t="s">
        <v>50</v>
      </c>
      <c r="D12737" s="27" t="s">
        <v>7</v>
      </c>
      <c r="E12737" s="27" t="s">
        <v>10</v>
      </c>
      <c r="F12737" s="29"/>
      <c r="G12737" s="30">
        <f>92748.99/12</f>
        <v>7729.0825000000004</v>
      </c>
    </row>
    <row r="12738" spans="1:7" hidden="1" x14ac:dyDescent="0.25">
      <c r="A12738" s="28">
        <v>44621</v>
      </c>
      <c r="B12738" s="27" t="s">
        <v>4</v>
      </c>
      <c r="C12738" s="27" t="s">
        <v>50</v>
      </c>
      <c r="D12738" s="27" t="s">
        <v>7</v>
      </c>
      <c r="E12738" s="27" t="s">
        <v>11</v>
      </c>
      <c r="F12738" s="29"/>
      <c r="G12738" s="30">
        <v>630.34</v>
      </c>
    </row>
    <row r="12739" spans="1:7" hidden="1" x14ac:dyDescent="0.25">
      <c r="A12739" s="28">
        <v>44621</v>
      </c>
      <c r="B12739" s="27" t="s">
        <v>4</v>
      </c>
      <c r="C12739" s="27" t="s">
        <v>50</v>
      </c>
      <c r="D12739" s="27" t="s">
        <v>7</v>
      </c>
      <c r="E12739" s="27" t="s">
        <v>12</v>
      </c>
      <c r="F12739" s="29"/>
      <c r="G12739" s="30">
        <f>92748.99/12</f>
        <v>7729.0825000000004</v>
      </c>
    </row>
    <row r="12740" spans="1:7" hidden="1" x14ac:dyDescent="0.25">
      <c r="A12740" s="28">
        <v>44621</v>
      </c>
      <c r="B12740" s="27" t="s">
        <v>4</v>
      </c>
      <c r="C12740" s="27" t="s">
        <v>50</v>
      </c>
      <c r="D12740" s="27" t="s">
        <v>7</v>
      </c>
      <c r="E12740" s="27" t="s">
        <v>13</v>
      </c>
      <c r="F12740" s="29"/>
      <c r="G12740" s="30">
        <v>10290.630000000001</v>
      </c>
    </row>
    <row r="12741" spans="1:7" hidden="1" x14ac:dyDescent="0.25">
      <c r="A12741" s="28">
        <v>44621</v>
      </c>
      <c r="B12741" s="27" t="s">
        <v>4</v>
      </c>
      <c r="C12741" s="27" t="s">
        <v>50</v>
      </c>
      <c r="D12741" s="27" t="s">
        <v>7</v>
      </c>
      <c r="E12741" s="27" t="s">
        <v>14</v>
      </c>
      <c r="F12741" s="29"/>
      <c r="G12741" s="30">
        <v>2179.9299999999998</v>
      </c>
    </row>
    <row r="12742" spans="1:7" hidden="1" x14ac:dyDescent="0.25">
      <c r="A12742" s="28">
        <v>44621</v>
      </c>
      <c r="B12742" s="27" t="s">
        <v>4</v>
      </c>
      <c r="C12742" s="27" t="s">
        <v>50</v>
      </c>
      <c r="D12742" s="27" t="s">
        <v>7</v>
      </c>
      <c r="E12742" s="27" t="s">
        <v>15</v>
      </c>
      <c r="F12742" s="29"/>
      <c r="G12742" s="30">
        <v>1550.02</v>
      </c>
    </row>
    <row r="12743" spans="1:7" hidden="1" x14ac:dyDescent="0.25">
      <c r="A12743" s="28">
        <v>44621</v>
      </c>
      <c r="B12743" s="27" t="s">
        <v>4</v>
      </c>
      <c r="C12743" s="27" t="s">
        <v>50</v>
      </c>
      <c r="D12743" s="27" t="s">
        <v>7</v>
      </c>
      <c r="E12743" s="27" t="s">
        <v>16</v>
      </c>
      <c r="F12743" s="29"/>
      <c r="G12743" s="30">
        <f>92748.99/12</f>
        <v>7729.0825000000004</v>
      </c>
    </row>
    <row r="12744" spans="1:7" hidden="1" x14ac:dyDescent="0.25">
      <c r="A12744" s="28">
        <v>44621</v>
      </c>
      <c r="B12744" s="27" t="s">
        <v>4</v>
      </c>
      <c r="C12744" s="27" t="s">
        <v>50</v>
      </c>
      <c r="D12744" s="27" t="s">
        <v>7</v>
      </c>
      <c r="E12744" s="27" t="s">
        <v>17</v>
      </c>
      <c r="F12744" s="29"/>
      <c r="G12744" s="30">
        <v>3120.77</v>
      </c>
    </row>
    <row r="12745" spans="1:7" hidden="1" x14ac:dyDescent="0.25">
      <c r="A12745" s="28">
        <v>44621</v>
      </c>
      <c r="B12745" s="27" t="s">
        <v>4</v>
      </c>
      <c r="C12745" s="27" t="s">
        <v>50</v>
      </c>
      <c r="D12745" s="27" t="s">
        <v>7</v>
      </c>
      <c r="E12745" s="27" t="s">
        <v>18</v>
      </c>
      <c r="F12745" s="29"/>
      <c r="G12745" s="30">
        <f>92748.99/12</f>
        <v>7729.0825000000004</v>
      </c>
    </row>
    <row r="12746" spans="1:7" hidden="1" x14ac:dyDescent="0.25">
      <c r="A12746" s="28">
        <v>44621</v>
      </c>
      <c r="B12746" s="27" t="s">
        <v>4</v>
      </c>
      <c r="C12746" s="27" t="s">
        <v>50</v>
      </c>
      <c r="D12746" s="27" t="s">
        <v>7</v>
      </c>
      <c r="E12746" s="27" t="s">
        <v>19</v>
      </c>
      <c r="F12746" s="29"/>
      <c r="G12746" s="30">
        <v>300</v>
      </c>
    </row>
    <row r="12747" spans="1:7" hidden="1" x14ac:dyDescent="0.25">
      <c r="A12747" s="28">
        <v>44621</v>
      </c>
      <c r="B12747" s="27" t="s">
        <v>4</v>
      </c>
      <c r="C12747" s="27" t="s">
        <v>50</v>
      </c>
      <c r="D12747" s="27" t="s">
        <v>7</v>
      </c>
      <c r="E12747" s="27" t="s">
        <v>20</v>
      </c>
      <c r="F12747" s="29"/>
      <c r="G12747" s="30">
        <v>373.06</v>
      </c>
    </row>
    <row r="12748" spans="1:7" hidden="1" x14ac:dyDescent="0.25">
      <c r="A12748" s="28">
        <v>44621</v>
      </c>
      <c r="B12748" s="27" t="s">
        <v>4</v>
      </c>
      <c r="C12748" s="27" t="s">
        <v>50</v>
      </c>
      <c r="D12748" s="27" t="s">
        <v>7</v>
      </c>
      <c r="E12748" s="27" t="s">
        <v>38</v>
      </c>
      <c r="F12748" s="29"/>
      <c r="G12748" s="30">
        <f>92748.99/12</f>
        <v>7729.0825000000004</v>
      </c>
    </row>
    <row r="12749" spans="1:7" hidden="1" x14ac:dyDescent="0.25">
      <c r="A12749" s="28">
        <v>44621</v>
      </c>
      <c r="B12749" s="27" t="s">
        <v>4</v>
      </c>
      <c r="C12749" s="27" t="s">
        <v>50</v>
      </c>
      <c r="D12749" s="27" t="s">
        <v>7</v>
      </c>
      <c r="E12749" s="27" t="s">
        <v>23</v>
      </c>
      <c r="F12749" s="29"/>
      <c r="G12749" s="30">
        <v>3739.6400000000003</v>
      </c>
    </row>
    <row r="12750" spans="1:7" hidden="1" x14ac:dyDescent="0.25">
      <c r="A12750" s="28">
        <v>44621</v>
      </c>
      <c r="B12750" s="27" t="s">
        <v>4</v>
      </c>
      <c r="C12750" s="27" t="s">
        <v>50</v>
      </c>
      <c r="D12750" s="27" t="s">
        <v>7</v>
      </c>
      <c r="E12750" s="27" t="s">
        <v>40</v>
      </c>
      <c r="F12750" s="29"/>
      <c r="G12750" s="30">
        <v>1940.23</v>
      </c>
    </row>
    <row r="12751" spans="1:7" hidden="1" x14ac:dyDescent="0.25">
      <c r="A12751" s="28">
        <v>44621</v>
      </c>
      <c r="B12751" s="27" t="s">
        <v>4</v>
      </c>
      <c r="C12751" s="27" t="s">
        <v>50</v>
      </c>
      <c r="D12751" s="27" t="s">
        <v>7</v>
      </c>
      <c r="E12751" s="27" t="s">
        <v>42</v>
      </c>
      <c r="F12751" s="29"/>
      <c r="G12751" s="30">
        <f>92748.99/12</f>
        <v>7729.0825000000004</v>
      </c>
    </row>
    <row r="12752" spans="1:7" hidden="1" x14ac:dyDescent="0.25">
      <c r="A12752" s="28">
        <v>44621</v>
      </c>
      <c r="B12752" s="27" t="s">
        <v>4</v>
      </c>
      <c r="C12752" s="27" t="s">
        <v>50</v>
      </c>
      <c r="D12752" s="27" t="s">
        <v>7</v>
      </c>
      <c r="E12752" s="27" t="s">
        <v>43</v>
      </c>
      <c r="F12752" s="29"/>
      <c r="G12752" s="30">
        <v>150.52000000000001</v>
      </c>
    </row>
    <row r="12753" spans="1:7" hidden="1" x14ac:dyDescent="0.25">
      <c r="A12753" s="28">
        <v>44621</v>
      </c>
      <c r="B12753" s="27" t="s">
        <v>4</v>
      </c>
      <c r="C12753" s="27" t="s">
        <v>50</v>
      </c>
      <c r="D12753" s="27" t="s">
        <v>7</v>
      </c>
      <c r="E12753" s="27" t="s">
        <v>72</v>
      </c>
      <c r="F12753" s="29"/>
      <c r="G12753" s="30">
        <v>1659.2399999999998</v>
      </c>
    </row>
    <row r="12754" spans="1:7" hidden="1" x14ac:dyDescent="0.25">
      <c r="A12754" s="28">
        <v>44621</v>
      </c>
      <c r="B12754" s="27" t="s">
        <v>4</v>
      </c>
      <c r="C12754" s="27" t="s">
        <v>50</v>
      </c>
      <c r="D12754" s="27" t="s">
        <v>7</v>
      </c>
      <c r="E12754" s="27" t="s">
        <v>206</v>
      </c>
      <c r="F12754" s="29"/>
      <c r="G12754" s="30">
        <f>92748.99/12</f>
        <v>7729.0825000000004</v>
      </c>
    </row>
    <row r="12755" spans="1:7" hidden="1" x14ac:dyDescent="0.25">
      <c r="A12755" s="28">
        <v>44621</v>
      </c>
      <c r="B12755" s="27" t="s">
        <v>26</v>
      </c>
      <c r="C12755" s="27" t="s">
        <v>50</v>
      </c>
      <c r="D12755" s="27" t="s">
        <v>6</v>
      </c>
      <c r="E12755" s="27" t="s">
        <v>8</v>
      </c>
      <c r="F12755" s="29"/>
      <c r="G12755" s="30">
        <v>719.18234681218985</v>
      </c>
    </row>
    <row r="12756" spans="1:7" hidden="1" x14ac:dyDescent="0.25">
      <c r="A12756" s="28">
        <v>44621</v>
      </c>
      <c r="B12756" s="27" t="s">
        <v>26</v>
      </c>
      <c r="C12756" s="27" t="s">
        <v>50</v>
      </c>
      <c r="D12756" s="27" t="s">
        <v>6</v>
      </c>
      <c r="E12756" s="27" t="s">
        <v>9</v>
      </c>
      <c r="F12756" s="29"/>
      <c r="G12756" s="30">
        <v>1595.1320615825009</v>
      </c>
    </row>
    <row r="12757" spans="1:7" hidden="1" x14ac:dyDescent="0.25">
      <c r="A12757" s="28">
        <v>44621</v>
      </c>
      <c r="B12757" s="27" t="s">
        <v>26</v>
      </c>
      <c r="C12757" s="27" t="s">
        <v>50</v>
      </c>
      <c r="D12757" s="27" t="s">
        <v>6</v>
      </c>
      <c r="E12757" s="27" t="s">
        <v>22</v>
      </c>
      <c r="F12757" s="29"/>
      <c r="G12757" s="30">
        <v>2121.8036778000037</v>
      </c>
    </row>
    <row r="12758" spans="1:7" hidden="1" x14ac:dyDescent="0.25">
      <c r="A12758" s="28">
        <v>44621</v>
      </c>
      <c r="B12758" s="27" t="s">
        <v>26</v>
      </c>
      <c r="C12758" s="27" t="s">
        <v>50</v>
      </c>
      <c r="D12758" s="27" t="s">
        <v>6</v>
      </c>
      <c r="E12758" s="27" t="s">
        <v>39</v>
      </c>
      <c r="F12758" s="29"/>
      <c r="G12758" s="30">
        <v>1858.2521149872089</v>
      </c>
    </row>
    <row r="12759" spans="1:7" hidden="1" x14ac:dyDescent="0.25">
      <c r="A12759" s="28">
        <v>44621</v>
      </c>
      <c r="B12759" s="27" t="s">
        <v>26</v>
      </c>
      <c r="C12759" s="27" t="s">
        <v>50</v>
      </c>
      <c r="D12759" s="27" t="s">
        <v>6</v>
      </c>
      <c r="E12759" s="27" t="s">
        <v>64</v>
      </c>
      <c r="F12759" s="29"/>
      <c r="G12759" s="30">
        <v>1276.3329108875935</v>
      </c>
    </row>
    <row r="12760" spans="1:7" hidden="1" x14ac:dyDescent="0.25">
      <c r="A12760" s="28">
        <v>44621</v>
      </c>
      <c r="B12760" s="27" t="s">
        <v>26</v>
      </c>
      <c r="C12760" s="27" t="s">
        <v>50</v>
      </c>
      <c r="D12760" s="27" t="s">
        <v>6</v>
      </c>
      <c r="E12760" s="27" t="s">
        <v>21</v>
      </c>
      <c r="F12760" s="29"/>
      <c r="G12760" s="30">
        <v>1372.0704648952321</v>
      </c>
    </row>
    <row r="12761" spans="1:7" hidden="1" x14ac:dyDescent="0.25">
      <c r="A12761" s="28">
        <v>44621</v>
      </c>
      <c r="B12761" s="27" t="s">
        <v>26</v>
      </c>
      <c r="C12761" s="27" t="s">
        <v>50</v>
      </c>
      <c r="D12761" s="27" t="s">
        <v>6</v>
      </c>
      <c r="E12761" s="27" t="s">
        <v>41</v>
      </c>
      <c r="F12761" s="29"/>
      <c r="G12761" s="30">
        <v>1581.4819806400055</v>
      </c>
    </row>
    <row r="12762" spans="1:7" hidden="1" x14ac:dyDescent="0.25">
      <c r="A12762" s="28">
        <v>44621</v>
      </c>
      <c r="B12762" s="27" t="s">
        <v>26</v>
      </c>
      <c r="C12762" s="27" t="s">
        <v>50</v>
      </c>
      <c r="D12762" s="27" t="s">
        <v>6</v>
      </c>
      <c r="E12762" s="27" t="s">
        <v>10</v>
      </c>
      <c r="F12762" s="29"/>
      <c r="G12762" s="30">
        <v>2188.8314725228997</v>
      </c>
    </row>
    <row r="12763" spans="1:7" hidden="1" x14ac:dyDescent="0.25">
      <c r="A12763" s="28">
        <v>44621</v>
      </c>
      <c r="B12763" s="27" t="s">
        <v>26</v>
      </c>
      <c r="C12763" s="27" t="s">
        <v>50</v>
      </c>
      <c r="D12763" s="27" t="s">
        <v>6</v>
      </c>
      <c r="E12763" s="27" t="s">
        <v>11</v>
      </c>
      <c r="F12763" s="29"/>
      <c r="G12763" s="30">
        <v>1627.7110218930932</v>
      </c>
    </row>
    <row r="12764" spans="1:7" hidden="1" x14ac:dyDescent="0.25">
      <c r="A12764" s="28">
        <v>44621</v>
      </c>
      <c r="B12764" s="27" t="s">
        <v>26</v>
      </c>
      <c r="C12764" s="27" t="s">
        <v>50</v>
      </c>
      <c r="D12764" s="27" t="s">
        <v>6</v>
      </c>
      <c r="E12764" s="27" t="s">
        <v>12</v>
      </c>
      <c r="F12764" s="29"/>
      <c r="G12764" s="30">
        <v>1714.4875638594519</v>
      </c>
    </row>
    <row r="12765" spans="1:7" hidden="1" x14ac:dyDescent="0.25">
      <c r="A12765" s="28">
        <v>44621</v>
      </c>
      <c r="B12765" s="27" t="s">
        <v>26</v>
      </c>
      <c r="C12765" s="27" t="s">
        <v>50</v>
      </c>
      <c r="D12765" s="27" t="s">
        <v>6</v>
      </c>
      <c r="E12765" s="27" t="s">
        <v>13</v>
      </c>
      <c r="F12765" s="29"/>
      <c r="G12765" s="30">
        <v>1743.4562287890469</v>
      </c>
    </row>
    <row r="12766" spans="1:7" hidden="1" x14ac:dyDescent="0.25">
      <c r="A12766" s="28">
        <v>44621</v>
      </c>
      <c r="B12766" s="27" t="s">
        <v>26</v>
      </c>
      <c r="C12766" s="27" t="s">
        <v>50</v>
      </c>
      <c r="D12766" s="27" t="s">
        <v>6</v>
      </c>
      <c r="E12766" s="27" t="s">
        <v>14</v>
      </c>
      <c r="F12766" s="29"/>
      <c r="G12766" s="30">
        <v>561.68141286032039</v>
      </c>
    </row>
    <row r="12767" spans="1:7" hidden="1" x14ac:dyDescent="0.25">
      <c r="A12767" s="28">
        <v>44621</v>
      </c>
      <c r="B12767" s="27" t="s">
        <v>26</v>
      </c>
      <c r="C12767" s="27" t="s">
        <v>50</v>
      </c>
      <c r="D12767" s="27" t="s">
        <v>6</v>
      </c>
      <c r="E12767" s="27" t="s">
        <v>15</v>
      </c>
      <c r="F12767" s="29"/>
      <c r="G12767" s="30">
        <v>1903.4886846016955</v>
      </c>
    </row>
    <row r="12768" spans="1:7" hidden="1" x14ac:dyDescent="0.25">
      <c r="A12768" s="28">
        <v>44621</v>
      </c>
      <c r="B12768" s="27" t="s">
        <v>26</v>
      </c>
      <c r="C12768" s="27" t="s">
        <v>50</v>
      </c>
      <c r="D12768" s="27" t="s">
        <v>6</v>
      </c>
      <c r="E12768" s="27" t="s">
        <v>16</v>
      </c>
      <c r="F12768" s="29"/>
      <c r="G12768" s="30">
        <v>2154.0949651718715</v>
      </c>
    </row>
    <row r="12769" spans="1:7" hidden="1" x14ac:dyDescent="0.25">
      <c r="A12769" s="28">
        <v>44621</v>
      </c>
      <c r="B12769" s="27" t="s">
        <v>26</v>
      </c>
      <c r="C12769" s="27" t="s">
        <v>50</v>
      </c>
      <c r="D12769" s="27" t="s">
        <v>6</v>
      </c>
      <c r="E12769" s="27" t="s">
        <v>17</v>
      </c>
      <c r="F12769" s="29"/>
      <c r="G12769" s="30">
        <v>3135.6350321011482</v>
      </c>
    </row>
    <row r="12770" spans="1:7" hidden="1" x14ac:dyDescent="0.25">
      <c r="A12770" s="28">
        <v>44621</v>
      </c>
      <c r="B12770" s="27" t="s">
        <v>26</v>
      </c>
      <c r="C12770" s="27" t="s">
        <v>50</v>
      </c>
      <c r="D12770" s="27" t="s">
        <v>6</v>
      </c>
      <c r="E12770" s="27" t="s">
        <v>18</v>
      </c>
      <c r="F12770" s="29"/>
      <c r="G12770" s="30">
        <v>1603.690331509566</v>
      </c>
    </row>
    <row r="12771" spans="1:7" hidden="1" x14ac:dyDescent="0.25">
      <c r="A12771" s="28">
        <v>44621</v>
      </c>
      <c r="B12771" s="27" t="s">
        <v>26</v>
      </c>
      <c r="C12771" s="27" t="s">
        <v>50</v>
      </c>
      <c r="D12771" s="27" t="s">
        <v>6</v>
      </c>
      <c r="E12771" s="27" t="s">
        <v>19</v>
      </c>
      <c r="F12771" s="29"/>
      <c r="G12771" s="30">
        <v>2421.1417541901737</v>
      </c>
    </row>
    <row r="12772" spans="1:7" hidden="1" x14ac:dyDescent="0.25">
      <c r="A12772" s="28">
        <v>44621</v>
      </c>
      <c r="B12772" s="27" t="s">
        <v>26</v>
      </c>
      <c r="C12772" s="27" t="s">
        <v>50</v>
      </c>
      <c r="D12772" s="27" t="s">
        <v>6</v>
      </c>
      <c r="E12772" s="27" t="s">
        <v>20</v>
      </c>
      <c r="F12772" s="29"/>
      <c r="G12772" s="30">
        <v>1946.4814052941281</v>
      </c>
    </row>
    <row r="12773" spans="1:7" hidden="1" x14ac:dyDescent="0.25">
      <c r="A12773" s="28">
        <v>44621</v>
      </c>
      <c r="B12773" s="27" t="s">
        <v>26</v>
      </c>
      <c r="C12773" s="27" t="s">
        <v>50</v>
      </c>
      <c r="D12773" s="27" t="s">
        <v>6</v>
      </c>
      <c r="E12773" s="27" t="s">
        <v>38</v>
      </c>
      <c r="F12773" s="29"/>
      <c r="G12773" s="30">
        <v>760.63601728244464</v>
      </c>
    </row>
    <row r="12774" spans="1:7" hidden="1" x14ac:dyDescent="0.25">
      <c r="A12774" s="28">
        <v>44621</v>
      </c>
      <c r="B12774" s="27" t="s">
        <v>26</v>
      </c>
      <c r="C12774" s="27" t="s">
        <v>50</v>
      </c>
      <c r="D12774" s="27" t="s">
        <v>6</v>
      </c>
      <c r="E12774" s="27" t="s">
        <v>23</v>
      </c>
      <c r="F12774" s="29"/>
      <c r="G12774" s="30">
        <v>2589.0564485238838</v>
      </c>
    </row>
    <row r="12775" spans="1:7" hidden="1" x14ac:dyDescent="0.25">
      <c r="A12775" s="28">
        <v>44621</v>
      </c>
      <c r="B12775" s="27" t="s">
        <v>26</v>
      </c>
      <c r="C12775" s="27" t="s">
        <v>50</v>
      </c>
      <c r="D12775" s="27" t="s">
        <v>6</v>
      </c>
      <c r="E12775" s="27" t="s">
        <v>40</v>
      </c>
      <c r="F12775" s="29"/>
      <c r="G12775" s="30">
        <v>834.25152230214019</v>
      </c>
    </row>
    <row r="12776" spans="1:7" hidden="1" x14ac:dyDescent="0.25">
      <c r="A12776" s="28">
        <v>44621</v>
      </c>
      <c r="B12776" s="27" t="s">
        <v>26</v>
      </c>
      <c r="C12776" s="27" t="s">
        <v>50</v>
      </c>
      <c r="D12776" s="27" t="s">
        <v>6</v>
      </c>
      <c r="E12776" s="27" t="s">
        <v>42</v>
      </c>
      <c r="F12776" s="29"/>
      <c r="G12776" s="30">
        <v>770.09371289428304</v>
      </c>
    </row>
    <row r="12777" spans="1:7" hidden="1" x14ac:dyDescent="0.25">
      <c r="A12777" s="28">
        <v>44621</v>
      </c>
      <c r="B12777" s="27" t="s">
        <v>26</v>
      </c>
      <c r="C12777" s="27" t="s">
        <v>50</v>
      </c>
      <c r="D12777" s="27" t="s">
        <v>6</v>
      </c>
      <c r="E12777" s="27" t="s">
        <v>43</v>
      </c>
      <c r="F12777" s="29"/>
      <c r="G12777" s="30">
        <v>715.10130483040575</v>
      </c>
    </row>
    <row r="12778" spans="1:7" hidden="1" x14ac:dyDescent="0.25">
      <c r="A12778" s="28">
        <v>44621</v>
      </c>
      <c r="B12778" s="27" t="s">
        <v>26</v>
      </c>
      <c r="C12778" s="27" t="s">
        <v>50</v>
      </c>
      <c r="D12778" s="27" t="s">
        <v>6</v>
      </c>
      <c r="E12778" s="27" t="s">
        <v>72</v>
      </c>
      <c r="F12778" s="29"/>
      <c r="G12778" s="30">
        <v>667.44121784171193</v>
      </c>
    </row>
    <row r="12779" spans="1:7" hidden="1" x14ac:dyDescent="0.25">
      <c r="A12779" s="28">
        <v>44621</v>
      </c>
      <c r="B12779" s="27" t="s">
        <v>26</v>
      </c>
      <c r="C12779" s="27" t="s">
        <v>50</v>
      </c>
      <c r="D12779" s="27" t="s">
        <v>6</v>
      </c>
      <c r="E12779" s="27" t="s">
        <v>206</v>
      </c>
      <c r="F12779" s="29"/>
      <c r="G12779" s="30">
        <v>625.73864172660501</v>
      </c>
    </row>
    <row r="12780" spans="1:7" hidden="1" x14ac:dyDescent="0.25">
      <c r="A12780" s="28">
        <v>44621</v>
      </c>
      <c r="B12780" s="27" t="s">
        <v>26</v>
      </c>
      <c r="C12780" s="27" t="s">
        <v>50</v>
      </c>
      <c r="D12780" s="27" t="s">
        <v>6</v>
      </c>
      <c r="E12780" s="27" t="s">
        <v>67</v>
      </c>
      <c r="F12780" s="29"/>
      <c r="G12780" s="30">
        <v>588.94225103680481</v>
      </c>
    </row>
    <row r="12781" spans="1:7" hidden="1" x14ac:dyDescent="0.25">
      <c r="A12781" s="28">
        <v>44621</v>
      </c>
      <c r="B12781" s="27" t="s">
        <v>26</v>
      </c>
      <c r="C12781" s="27" t="s">
        <v>50</v>
      </c>
      <c r="D12781" s="27" t="s">
        <v>6</v>
      </c>
      <c r="E12781" s="27" t="s">
        <v>68</v>
      </c>
      <c r="F12781" s="29"/>
      <c r="G12781" s="30">
        <v>556.23434820142666</v>
      </c>
    </row>
    <row r="12782" spans="1:7" hidden="1" x14ac:dyDescent="0.25">
      <c r="A12782" s="28">
        <v>44621</v>
      </c>
      <c r="B12782" s="27" t="s">
        <v>26</v>
      </c>
      <c r="C12782" s="27" t="s">
        <v>50</v>
      </c>
      <c r="D12782" s="27" t="s">
        <v>6</v>
      </c>
      <c r="E12782" s="27" t="s">
        <v>74</v>
      </c>
      <c r="F12782" s="29"/>
      <c r="G12782" s="30">
        <v>1778.7894736842106</v>
      </c>
    </row>
    <row r="12783" spans="1:7" hidden="1" x14ac:dyDescent="0.25">
      <c r="A12783" s="28">
        <v>44621</v>
      </c>
      <c r="B12783" s="27" t="s">
        <v>26</v>
      </c>
      <c r="C12783" s="27" t="s">
        <v>50</v>
      </c>
      <c r="D12783" s="27" t="s">
        <v>6</v>
      </c>
      <c r="E12783" s="27" t="s">
        <v>37</v>
      </c>
      <c r="F12783" s="29"/>
      <c r="G12783" s="30">
        <v>791.10058149340887</v>
      </c>
    </row>
    <row r="12784" spans="1:7" hidden="1" x14ac:dyDescent="0.25">
      <c r="A12784" s="28">
        <v>44621</v>
      </c>
      <c r="B12784" s="27" t="s">
        <v>3</v>
      </c>
      <c r="C12784" s="27" t="s">
        <v>50</v>
      </c>
      <c r="D12784" s="27" t="s">
        <v>7</v>
      </c>
      <c r="E12784" s="27" t="s">
        <v>8</v>
      </c>
      <c r="F12784" s="29"/>
      <c r="G12784" s="30">
        <v>757.01639999999998</v>
      </c>
    </row>
    <row r="12785" spans="1:7" hidden="1" x14ac:dyDescent="0.25">
      <c r="A12785" s="28">
        <v>44621</v>
      </c>
      <c r="B12785" s="27" t="s">
        <v>3</v>
      </c>
      <c r="C12785" s="27" t="s">
        <v>50</v>
      </c>
      <c r="D12785" s="27" t="s">
        <v>7</v>
      </c>
      <c r="E12785" s="27" t="s">
        <v>9</v>
      </c>
      <c r="F12785" s="29"/>
      <c r="G12785" s="30">
        <v>757.01639999999998</v>
      </c>
    </row>
    <row r="12786" spans="1:7" hidden="1" x14ac:dyDescent="0.25">
      <c r="A12786" s="28">
        <v>44621</v>
      </c>
      <c r="B12786" s="27" t="s">
        <v>3</v>
      </c>
      <c r="C12786" s="27" t="s">
        <v>50</v>
      </c>
      <c r="D12786" s="27" t="s">
        <v>7</v>
      </c>
      <c r="E12786" s="27" t="s">
        <v>22</v>
      </c>
      <c r="F12786" s="29"/>
      <c r="G12786" s="30">
        <v>757.01639999999998</v>
      </c>
    </row>
    <row r="12787" spans="1:7" hidden="1" x14ac:dyDescent="0.25">
      <c r="A12787" s="28">
        <v>44621</v>
      </c>
      <c r="B12787" s="27" t="s">
        <v>3</v>
      </c>
      <c r="C12787" s="27" t="s">
        <v>50</v>
      </c>
      <c r="D12787" s="27" t="s">
        <v>7</v>
      </c>
      <c r="E12787" s="27" t="s">
        <v>39</v>
      </c>
      <c r="F12787" s="29"/>
      <c r="G12787" s="30">
        <v>757.01639999999998</v>
      </c>
    </row>
    <row r="12788" spans="1:7" hidden="1" x14ac:dyDescent="0.25">
      <c r="A12788" s="28">
        <v>44621</v>
      </c>
      <c r="B12788" s="27" t="s">
        <v>3</v>
      </c>
      <c r="C12788" s="27" t="s">
        <v>50</v>
      </c>
      <c r="D12788" s="27" t="s">
        <v>7</v>
      </c>
      <c r="E12788" s="27" t="s">
        <v>64</v>
      </c>
      <c r="F12788" s="29"/>
      <c r="G12788" s="30">
        <v>757.01639999999998</v>
      </c>
    </row>
    <row r="12789" spans="1:7" hidden="1" x14ac:dyDescent="0.25">
      <c r="A12789" s="28">
        <v>44621</v>
      </c>
      <c r="B12789" s="27" t="s">
        <v>3</v>
      </c>
      <c r="C12789" s="27" t="s">
        <v>50</v>
      </c>
      <c r="D12789" s="27" t="s">
        <v>7</v>
      </c>
      <c r="E12789" s="27" t="s">
        <v>21</v>
      </c>
      <c r="F12789" s="29"/>
      <c r="G12789" s="30">
        <v>757.01639999999998</v>
      </c>
    </row>
    <row r="12790" spans="1:7" hidden="1" x14ac:dyDescent="0.25">
      <c r="A12790" s="28">
        <v>44621</v>
      </c>
      <c r="B12790" s="27" t="s">
        <v>3</v>
      </c>
      <c r="C12790" s="27" t="s">
        <v>50</v>
      </c>
      <c r="D12790" s="27" t="s">
        <v>7</v>
      </c>
      <c r="E12790" s="27" t="s">
        <v>41</v>
      </c>
      <c r="F12790" s="29"/>
      <c r="G12790" s="30">
        <v>757.01639999999998</v>
      </c>
    </row>
    <row r="12791" spans="1:7" hidden="1" x14ac:dyDescent="0.25">
      <c r="A12791" s="28">
        <v>44621</v>
      </c>
      <c r="B12791" s="27" t="s">
        <v>3</v>
      </c>
      <c r="C12791" s="27" t="s">
        <v>50</v>
      </c>
      <c r="D12791" s="27" t="s">
        <v>7</v>
      </c>
      <c r="E12791" s="27" t="s">
        <v>10</v>
      </c>
      <c r="F12791" s="29"/>
      <c r="G12791" s="30">
        <v>757.01639999999998</v>
      </c>
    </row>
    <row r="12792" spans="1:7" hidden="1" x14ac:dyDescent="0.25">
      <c r="A12792" s="28">
        <v>44621</v>
      </c>
      <c r="B12792" s="27" t="s">
        <v>3</v>
      </c>
      <c r="C12792" s="27" t="s">
        <v>50</v>
      </c>
      <c r="D12792" s="27" t="s">
        <v>7</v>
      </c>
      <c r="E12792" s="27" t="s">
        <v>11</v>
      </c>
      <c r="F12792" s="29"/>
      <c r="G12792" s="30">
        <v>757.01639999999998</v>
      </c>
    </row>
    <row r="12793" spans="1:7" hidden="1" x14ac:dyDescent="0.25">
      <c r="A12793" s="28">
        <v>44621</v>
      </c>
      <c r="B12793" s="27" t="s">
        <v>3</v>
      </c>
      <c r="C12793" s="27" t="s">
        <v>50</v>
      </c>
      <c r="D12793" s="27" t="s">
        <v>7</v>
      </c>
      <c r="E12793" s="27" t="s">
        <v>12</v>
      </c>
      <c r="F12793" s="29"/>
      <c r="G12793" s="30">
        <v>757.01639999999998</v>
      </c>
    </row>
    <row r="12794" spans="1:7" hidden="1" x14ac:dyDescent="0.25">
      <c r="A12794" s="28">
        <v>44621</v>
      </c>
      <c r="B12794" s="27" t="s">
        <v>3</v>
      </c>
      <c r="C12794" s="27" t="s">
        <v>50</v>
      </c>
      <c r="D12794" s="27" t="s">
        <v>7</v>
      </c>
      <c r="E12794" s="27" t="s">
        <v>13</v>
      </c>
      <c r="F12794" s="29"/>
      <c r="G12794" s="30">
        <v>757.01639999999998</v>
      </c>
    </row>
    <row r="12795" spans="1:7" hidden="1" x14ac:dyDescent="0.25">
      <c r="A12795" s="28">
        <v>44621</v>
      </c>
      <c r="B12795" s="27" t="s">
        <v>3</v>
      </c>
      <c r="C12795" s="27" t="s">
        <v>50</v>
      </c>
      <c r="D12795" s="27" t="s">
        <v>7</v>
      </c>
      <c r="E12795" s="27" t="s">
        <v>14</v>
      </c>
      <c r="F12795" s="29"/>
      <c r="G12795" s="30">
        <v>757.01639999999998</v>
      </c>
    </row>
    <row r="12796" spans="1:7" hidden="1" x14ac:dyDescent="0.25">
      <c r="A12796" s="28">
        <v>44621</v>
      </c>
      <c r="B12796" s="27" t="s">
        <v>3</v>
      </c>
      <c r="C12796" s="27" t="s">
        <v>50</v>
      </c>
      <c r="D12796" s="27" t="s">
        <v>7</v>
      </c>
      <c r="E12796" s="27" t="s">
        <v>15</v>
      </c>
      <c r="F12796" s="29"/>
      <c r="G12796" s="30">
        <v>757.01639999999998</v>
      </c>
    </row>
    <row r="12797" spans="1:7" hidden="1" x14ac:dyDescent="0.25">
      <c r="A12797" s="28">
        <v>44621</v>
      </c>
      <c r="B12797" s="27" t="s">
        <v>3</v>
      </c>
      <c r="C12797" s="27" t="s">
        <v>50</v>
      </c>
      <c r="D12797" s="27" t="s">
        <v>7</v>
      </c>
      <c r="E12797" s="27" t="s">
        <v>16</v>
      </c>
      <c r="F12797" s="29"/>
      <c r="G12797" s="30">
        <v>757.01639999999998</v>
      </c>
    </row>
    <row r="12798" spans="1:7" hidden="1" x14ac:dyDescent="0.25">
      <c r="A12798" s="28">
        <v>44621</v>
      </c>
      <c r="B12798" s="27" t="s">
        <v>3</v>
      </c>
      <c r="C12798" s="27" t="s">
        <v>50</v>
      </c>
      <c r="D12798" s="27" t="s">
        <v>7</v>
      </c>
      <c r="E12798" s="27" t="s">
        <v>17</v>
      </c>
      <c r="F12798" s="29"/>
      <c r="G12798" s="30">
        <v>757.01639999999998</v>
      </c>
    </row>
    <row r="12799" spans="1:7" hidden="1" x14ac:dyDescent="0.25">
      <c r="A12799" s="28">
        <v>44621</v>
      </c>
      <c r="B12799" s="27" t="s">
        <v>3</v>
      </c>
      <c r="C12799" s="27" t="s">
        <v>50</v>
      </c>
      <c r="D12799" s="27" t="s">
        <v>7</v>
      </c>
      <c r="E12799" s="27" t="s">
        <v>18</v>
      </c>
      <c r="F12799" s="29"/>
      <c r="G12799" s="30">
        <v>757.01639999999998</v>
      </c>
    </row>
    <row r="12800" spans="1:7" hidden="1" x14ac:dyDescent="0.25">
      <c r="A12800" s="28">
        <v>44621</v>
      </c>
      <c r="B12800" s="27" t="s">
        <v>3</v>
      </c>
      <c r="C12800" s="27" t="s">
        <v>50</v>
      </c>
      <c r="D12800" s="27" t="s">
        <v>7</v>
      </c>
      <c r="E12800" s="27" t="s">
        <v>19</v>
      </c>
      <c r="F12800" s="29"/>
      <c r="G12800" s="30">
        <v>757.01639999999998</v>
      </c>
    </row>
    <row r="12801" spans="1:7" hidden="1" x14ac:dyDescent="0.25">
      <c r="A12801" s="28">
        <v>44621</v>
      </c>
      <c r="B12801" s="27" t="s">
        <v>3</v>
      </c>
      <c r="C12801" s="27" t="s">
        <v>50</v>
      </c>
      <c r="D12801" s="27" t="s">
        <v>7</v>
      </c>
      <c r="E12801" s="27" t="s">
        <v>20</v>
      </c>
      <c r="F12801" s="29"/>
      <c r="G12801" s="30">
        <v>757.01639999999998</v>
      </c>
    </row>
    <row r="12802" spans="1:7" hidden="1" x14ac:dyDescent="0.25">
      <c r="A12802" s="28">
        <v>44621</v>
      </c>
      <c r="B12802" s="27" t="s">
        <v>3</v>
      </c>
      <c r="C12802" s="27" t="s">
        <v>50</v>
      </c>
      <c r="D12802" s="27" t="s">
        <v>7</v>
      </c>
      <c r="E12802" s="27" t="s">
        <v>38</v>
      </c>
      <c r="F12802" s="29"/>
      <c r="G12802" s="30">
        <v>757.01639999999998</v>
      </c>
    </row>
    <row r="12803" spans="1:7" hidden="1" x14ac:dyDescent="0.25">
      <c r="A12803" s="28">
        <v>44621</v>
      </c>
      <c r="B12803" s="27" t="s">
        <v>3</v>
      </c>
      <c r="C12803" s="27" t="s">
        <v>50</v>
      </c>
      <c r="D12803" s="27" t="s">
        <v>7</v>
      </c>
      <c r="E12803" s="27" t="s">
        <v>23</v>
      </c>
      <c r="F12803" s="29"/>
      <c r="G12803" s="30">
        <v>757.01639999999998</v>
      </c>
    </row>
    <row r="12804" spans="1:7" hidden="1" x14ac:dyDescent="0.25">
      <c r="A12804" s="28">
        <v>44621</v>
      </c>
      <c r="B12804" s="27" t="s">
        <v>3</v>
      </c>
      <c r="C12804" s="27" t="s">
        <v>50</v>
      </c>
      <c r="D12804" s="27" t="s">
        <v>7</v>
      </c>
      <c r="E12804" s="27" t="s">
        <v>40</v>
      </c>
      <c r="F12804" s="29"/>
      <c r="G12804" s="30">
        <v>757.01639999999998</v>
      </c>
    </row>
    <row r="12805" spans="1:7" hidden="1" x14ac:dyDescent="0.25">
      <c r="A12805" s="28">
        <v>44621</v>
      </c>
      <c r="B12805" s="27" t="s">
        <v>3</v>
      </c>
      <c r="C12805" s="27" t="s">
        <v>50</v>
      </c>
      <c r="D12805" s="27" t="s">
        <v>7</v>
      </c>
      <c r="E12805" s="27" t="s">
        <v>42</v>
      </c>
      <c r="F12805" s="29"/>
      <c r="G12805" s="30">
        <v>757.01639999999998</v>
      </c>
    </row>
    <row r="12806" spans="1:7" hidden="1" x14ac:dyDescent="0.25">
      <c r="A12806" s="28">
        <v>44621</v>
      </c>
      <c r="B12806" s="27" t="s">
        <v>3</v>
      </c>
      <c r="C12806" s="27" t="s">
        <v>50</v>
      </c>
      <c r="D12806" s="27" t="s">
        <v>7</v>
      </c>
      <c r="E12806" s="27" t="s">
        <v>43</v>
      </c>
      <c r="F12806" s="29"/>
      <c r="G12806" s="30">
        <v>757.01639999999998</v>
      </c>
    </row>
    <row r="12807" spans="1:7" hidden="1" x14ac:dyDescent="0.25">
      <c r="A12807" s="28">
        <v>44621</v>
      </c>
      <c r="B12807" s="27" t="s">
        <v>3</v>
      </c>
      <c r="C12807" s="27" t="s">
        <v>50</v>
      </c>
      <c r="D12807" s="27" t="s">
        <v>7</v>
      </c>
      <c r="E12807" s="27" t="s">
        <v>72</v>
      </c>
      <c r="F12807" s="29"/>
      <c r="G12807" s="30">
        <v>757.01639999999998</v>
      </c>
    </row>
    <row r="12808" spans="1:7" hidden="1" x14ac:dyDescent="0.25">
      <c r="A12808" s="28">
        <v>44621</v>
      </c>
      <c r="B12808" s="27" t="s">
        <v>3</v>
      </c>
      <c r="C12808" s="27" t="s">
        <v>50</v>
      </c>
      <c r="D12808" s="27" t="s">
        <v>7</v>
      </c>
      <c r="E12808" s="27" t="s">
        <v>206</v>
      </c>
      <c r="F12808" s="29"/>
      <c r="G12808" s="30">
        <v>757.01639999999998</v>
      </c>
    </row>
    <row r="12809" spans="1:7" hidden="1" x14ac:dyDescent="0.25">
      <c r="A12809" s="28">
        <v>44621</v>
      </c>
      <c r="B12809" s="27" t="s">
        <v>179</v>
      </c>
      <c r="C12809" s="27" t="s">
        <v>50</v>
      </c>
      <c r="D12809" s="27" t="s">
        <v>6</v>
      </c>
      <c r="E12809" s="27" t="s">
        <v>8</v>
      </c>
      <c r="F12809" s="29"/>
      <c r="G12809" s="30">
        <v>224.53</v>
      </c>
    </row>
    <row r="12810" spans="1:7" hidden="1" x14ac:dyDescent="0.25">
      <c r="A12810" s="28">
        <v>44621</v>
      </c>
      <c r="B12810" s="27" t="s">
        <v>179</v>
      </c>
      <c r="C12810" s="27" t="s">
        <v>50</v>
      </c>
      <c r="D12810" s="27" t="s">
        <v>6</v>
      </c>
      <c r="E12810" s="27" t="s">
        <v>9</v>
      </c>
      <c r="F12810" s="29"/>
      <c r="G12810" s="30">
        <v>295.58</v>
      </c>
    </row>
    <row r="12811" spans="1:7" hidden="1" x14ac:dyDescent="0.25">
      <c r="A12811" s="28">
        <v>44621</v>
      </c>
      <c r="B12811" s="27" t="s">
        <v>179</v>
      </c>
      <c r="C12811" s="27" t="s">
        <v>50</v>
      </c>
      <c r="D12811" s="27" t="s">
        <v>6</v>
      </c>
      <c r="E12811" s="27" t="s">
        <v>22</v>
      </c>
      <c r="F12811" s="29"/>
      <c r="G12811" s="30">
        <v>388.92</v>
      </c>
    </row>
    <row r="12812" spans="1:7" hidden="1" x14ac:dyDescent="0.25">
      <c r="A12812" s="28">
        <v>44621</v>
      </c>
      <c r="B12812" s="27" t="s">
        <v>179</v>
      </c>
      <c r="C12812" s="27" t="s">
        <v>50</v>
      </c>
      <c r="D12812" s="27" t="s">
        <v>6</v>
      </c>
      <c r="E12812" s="27" t="s">
        <v>39</v>
      </c>
      <c r="F12812" s="29"/>
      <c r="G12812" s="30">
        <v>296.27999999999997</v>
      </c>
    </row>
    <row r="12813" spans="1:7" hidden="1" x14ac:dyDescent="0.25">
      <c r="A12813" s="28">
        <v>44621</v>
      </c>
      <c r="B12813" s="27" t="s">
        <v>179</v>
      </c>
      <c r="C12813" s="27" t="s">
        <v>50</v>
      </c>
      <c r="D12813" s="27" t="s">
        <v>6</v>
      </c>
      <c r="E12813" s="27" t="s">
        <v>64</v>
      </c>
      <c r="F12813" s="29"/>
      <c r="G12813" s="30">
        <v>247.88</v>
      </c>
    </row>
    <row r="12814" spans="1:7" hidden="1" x14ac:dyDescent="0.25">
      <c r="A12814" s="28">
        <v>44621</v>
      </c>
      <c r="B12814" s="27" t="s">
        <v>179</v>
      </c>
      <c r="C12814" s="27" t="s">
        <v>50</v>
      </c>
      <c r="D12814" s="27" t="s">
        <v>6</v>
      </c>
      <c r="E12814" s="27" t="s">
        <v>21</v>
      </c>
      <c r="F12814" s="29"/>
      <c r="G12814" s="30">
        <v>273.62</v>
      </c>
    </row>
    <row r="12815" spans="1:7" hidden="1" x14ac:dyDescent="0.25">
      <c r="A12815" s="28">
        <v>44621</v>
      </c>
      <c r="B12815" s="27" t="s">
        <v>179</v>
      </c>
      <c r="C12815" s="27" t="s">
        <v>50</v>
      </c>
      <c r="D12815" s="27" t="s">
        <v>6</v>
      </c>
      <c r="E12815" s="27" t="s">
        <v>41</v>
      </c>
      <c r="F12815" s="29"/>
      <c r="G12815" s="30">
        <v>313.69</v>
      </c>
    </row>
    <row r="12816" spans="1:7" hidden="1" x14ac:dyDescent="0.25">
      <c r="A12816" s="28">
        <v>44621</v>
      </c>
      <c r="B12816" s="27" t="s">
        <v>179</v>
      </c>
      <c r="C12816" s="27" t="s">
        <v>50</v>
      </c>
      <c r="D12816" s="27" t="s">
        <v>6</v>
      </c>
      <c r="E12816" s="27" t="s">
        <v>10</v>
      </c>
      <c r="F12816" s="29"/>
      <c r="G12816" s="30">
        <v>354.65</v>
      </c>
    </row>
    <row r="12817" spans="1:7" hidden="1" x14ac:dyDescent="0.25">
      <c r="A12817" s="28">
        <v>44621</v>
      </c>
      <c r="B12817" s="27" t="s">
        <v>179</v>
      </c>
      <c r="C12817" s="27" t="s">
        <v>50</v>
      </c>
      <c r="D12817" s="27" t="s">
        <v>6</v>
      </c>
      <c r="E12817" s="27" t="s">
        <v>11</v>
      </c>
      <c r="F12817" s="29"/>
      <c r="G12817" s="30">
        <v>270.12</v>
      </c>
    </row>
    <row r="12818" spans="1:7" hidden="1" x14ac:dyDescent="0.25">
      <c r="A12818" s="28">
        <v>44621</v>
      </c>
      <c r="B12818" s="27" t="s">
        <v>179</v>
      </c>
      <c r="C12818" s="27" t="s">
        <v>50</v>
      </c>
      <c r="D12818" s="27" t="s">
        <v>6</v>
      </c>
      <c r="E12818" s="27" t="s">
        <v>12</v>
      </c>
      <c r="F12818" s="29"/>
      <c r="G12818" s="30">
        <v>284.35000000000002</v>
      </c>
    </row>
    <row r="12819" spans="1:7" hidden="1" x14ac:dyDescent="0.25">
      <c r="A12819" s="28">
        <v>44621</v>
      </c>
      <c r="B12819" s="27" t="s">
        <v>179</v>
      </c>
      <c r="C12819" s="27" t="s">
        <v>50</v>
      </c>
      <c r="D12819" s="27" t="s">
        <v>6</v>
      </c>
      <c r="E12819" s="27" t="s">
        <v>13</v>
      </c>
      <c r="F12819" s="29"/>
      <c r="G12819" s="30">
        <v>381.13</v>
      </c>
    </row>
    <row r="12820" spans="1:7" hidden="1" x14ac:dyDescent="0.25">
      <c r="A12820" s="28">
        <v>44621</v>
      </c>
      <c r="B12820" s="27" t="s">
        <v>179</v>
      </c>
      <c r="C12820" s="27" t="s">
        <v>50</v>
      </c>
      <c r="D12820" s="27" t="s">
        <v>6</v>
      </c>
      <c r="E12820" s="27" t="s">
        <v>14</v>
      </c>
      <c r="F12820" s="29"/>
      <c r="G12820" s="30">
        <v>324.58</v>
      </c>
    </row>
    <row r="12821" spans="1:7" hidden="1" x14ac:dyDescent="0.25">
      <c r="A12821" s="28">
        <v>44621</v>
      </c>
      <c r="B12821" s="27" t="s">
        <v>179</v>
      </c>
      <c r="C12821" s="27" t="s">
        <v>50</v>
      </c>
      <c r="D12821" s="27" t="s">
        <v>6</v>
      </c>
      <c r="E12821" s="27" t="s">
        <v>15</v>
      </c>
      <c r="F12821" s="29"/>
      <c r="G12821" s="30">
        <v>368.19</v>
      </c>
    </row>
    <row r="12822" spans="1:7" hidden="1" x14ac:dyDescent="0.25">
      <c r="A12822" s="28">
        <v>44621</v>
      </c>
      <c r="B12822" s="27" t="s">
        <v>179</v>
      </c>
      <c r="C12822" s="27" t="s">
        <v>50</v>
      </c>
      <c r="D12822" s="27" t="s">
        <v>6</v>
      </c>
      <c r="E12822" s="27" t="s">
        <v>16</v>
      </c>
      <c r="F12822" s="29"/>
      <c r="G12822" s="30">
        <v>372.56</v>
      </c>
    </row>
    <row r="12823" spans="1:7" hidden="1" x14ac:dyDescent="0.25">
      <c r="A12823" s="28">
        <v>44621</v>
      </c>
      <c r="B12823" s="27" t="s">
        <v>179</v>
      </c>
      <c r="C12823" s="27" t="s">
        <v>50</v>
      </c>
      <c r="D12823" s="27" t="s">
        <v>6</v>
      </c>
      <c r="E12823" s="27" t="s">
        <v>17</v>
      </c>
      <c r="F12823" s="29"/>
      <c r="G12823" s="30">
        <v>575.87</v>
      </c>
    </row>
    <row r="12824" spans="1:7" hidden="1" x14ac:dyDescent="0.25">
      <c r="A12824" s="28">
        <v>44621</v>
      </c>
      <c r="B12824" s="27" t="s">
        <v>179</v>
      </c>
      <c r="C12824" s="27" t="s">
        <v>50</v>
      </c>
      <c r="D12824" s="27" t="s">
        <v>6</v>
      </c>
      <c r="E12824" s="27" t="s">
        <v>18</v>
      </c>
      <c r="F12824" s="29"/>
      <c r="G12824" s="30">
        <v>740.52</v>
      </c>
    </row>
    <row r="12825" spans="1:7" hidden="1" x14ac:dyDescent="0.25">
      <c r="A12825" s="28">
        <v>44621</v>
      </c>
      <c r="B12825" s="27" t="s">
        <v>179</v>
      </c>
      <c r="C12825" s="27" t="s">
        <v>50</v>
      </c>
      <c r="D12825" s="27" t="s">
        <v>6</v>
      </c>
      <c r="E12825" s="27" t="s">
        <v>19</v>
      </c>
      <c r="F12825" s="29"/>
      <c r="G12825" s="30">
        <v>489.05</v>
      </c>
    </row>
    <row r="12826" spans="1:7" hidden="1" x14ac:dyDescent="0.25">
      <c r="A12826" s="28">
        <v>44621</v>
      </c>
      <c r="B12826" s="27" t="s">
        <v>179</v>
      </c>
      <c r="C12826" s="27" t="s">
        <v>50</v>
      </c>
      <c r="D12826" s="27" t="s">
        <v>6</v>
      </c>
      <c r="E12826" s="27" t="s">
        <v>20</v>
      </c>
      <c r="F12826" s="29"/>
      <c r="G12826" s="30">
        <v>906.58</v>
      </c>
    </row>
    <row r="12827" spans="1:7" hidden="1" x14ac:dyDescent="0.25">
      <c r="A12827" s="28">
        <v>44621</v>
      </c>
      <c r="B12827" s="27" t="s">
        <v>179</v>
      </c>
      <c r="C12827" s="27" t="s">
        <v>50</v>
      </c>
      <c r="D12827" s="27" t="s">
        <v>6</v>
      </c>
      <c r="E12827" s="27" t="s">
        <v>38</v>
      </c>
      <c r="F12827" s="29"/>
      <c r="G12827" s="30">
        <v>394.52</v>
      </c>
    </row>
    <row r="12828" spans="1:7" hidden="1" x14ac:dyDescent="0.25">
      <c r="A12828" s="28">
        <v>44621</v>
      </c>
      <c r="B12828" s="27" t="s">
        <v>179</v>
      </c>
      <c r="C12828" s="27" t="s">
        <v>50</v>
      </c>
      <c r="D12828" s="27" t="s">
        <v>6</v>
      </c>
      <c r="E12828" s="27" t="s">
        <v>23</v>
      </c>
      <c r="F12828" s="29"/>
      <c r="G12828" s="30">
        <v>533.80999999999995</v>
      </c>
    </row>
    <row r="12829" spans="1:7" hidden="1" x14ac:dyDescent="0.25">
      <c r="A12829" s="28">
        <v>44621</v>
      </c>
      <c r="B12829" s="27" t="s">
        <v>179</v>
      </c>
      <c r="C12829" s="27" t="s">
        <v>50</v>
      </c>
      <c r="D12829" s="27" t="s">
        <v>6</v>
      </c>
      <c r="E12829" s="27" t="s">
        <v>40</v>
      </c>
      <c r="F12829" s="29"/>
      <c r="G12829" s="30">
        <v>326.05</v>
      </c>
    </row>
    <row r="12830" spans="1:7" hidden="1" x14ac:dyDescent="0.25">
      <c r="A12830" s="28">
        <v>44621</v>
      </c>
      <c r="B12830" s="27" t="s">
        <v>179</v>
      </c>
      <c r="C12830" s="27" t="s">
        <v>50</v>
      </c>
      <c r="D12830" s="27" t="s">
        <v>6</v>
      </c>
      <c r="E12830" s="27" t="s">
        <v>42</v>
      </c>
      <c r="F12830" s="29"/>
      <c r="G12830" s="30">
        <v>202.95</v>
      </c>
    </row>
    <row r="12831" spans="1:7" hidden="1" x14ac:dyDescent="0.25">
      <c r="A12831" s="28">
        <v>44621</v>
      </c>
      <c r="B12831" s="27" t="s">
        <v>179</v>
      </c>
      <c r="C12831" s="27" t="s">
        <v>50</v>
      </c>
      <c r="D12831" s="27" t="s">
        <v>6</v>
      </c>
      <c r="E12831" s="27" t="s">
        <v>72</v>
      </c>
      <c r="F12831" s="29"/>
      <c r="G12831" s="30">
        <v>712.12</v>
      </c>
    </row>
    <row r="12832" spans="1:7" hidden="1" x14ac:dyDescent="0.25">
      <c r="A12832" s="28">
        <v>44621</v>
      </c>
      <c r="B12832" s="27" t="s">
        <v>179</v>
      </c>
      <c r="C12832" s="27" t="s">
        <v>50</v>
      </c>
      <c r="D12832" s="27" t="s">
        <v>6</v>
      </c>
      <c r="E12832" s="27" t="s">
        <v>206</v>
      </c>
      <c r="F12832" s="29"/>
      <c r="G12832" s="30">
        <v>575.63</v>
      </c>
    </row>
    <row r="12833" spans="1:7" hidden="1" x14ac:dyDescent="0.25">
      <c r="A12833" s="28">
        <v>44621</v>
      </c>
      <c r="B12833" s="27" t="s">
        <v>32</v>
      </c>
      <c r="C12833" s="27" t="s">
        <v>50</v>
      </c>
      <c r="D12833" s="27" t="s">
        <v>7</v>
      </c>
      <c r="E12833" s="27" t="s">
        <v>17</v>
      </c>
      <c r="F12833" s="29"/>
      <c r="G12833" s="30">
        <v>70</v>
      </c>
    </row>
    <row r="12834" spans="1:7" hidden="1" x14ac:dyDescent="0.25">
      <c r="A12834" s="28">
        <v>44621</v>
      </c>
      <c r="B12834" s="27" t="s">
        <v>5</v>
      </c>
      <c r="C12834" s="27" t="s">
        <v>51</v>
      </c>
      <c r="D12834" s="27" t="s">
        <v>51</v>
      </c>
      <c r="E12834" s="27" t="s">
        <v>8</v>
      </c>
      <c r="F12834" s="29">
        <v>2407</v>
      </c>
      <c r="G12834" s="30">
        <v>6.2118582867243557</v>
      </c>
    </row>
    <row r="12835" spans="1:7" hidden="1" x14ac:dyDescent="0.25">
      <c r="A12835" s="28">
        <v>44621</v>
      </c>
      <c r="B12835" s="27" t="s">
        <v>5</v>
      </c>
      <c r="C12835" s="27" t="s">
        <v>51</v>
      </c>
      <c r="D12835" s="27" t="s">
        <v>51</v>
      </c>
      <c r="E12835" s="27" t="s">
        <v>9</v>
      </c>
      <c r="F12835" s="29">
        <v>3724</v>
      </c>
      <c r="G12835" s="30">
        <v>3.2965082872133467</v>
      </c>
    </row>
    <row r="12836" spans="1:7" hidden="1" x14ac:dyDescent="0.25">
      <c r="A12836" s="28">
        <v>44621</v>
      </c>
      <c r="B12836" s="27" t="s">
        <v>5</v>
      </c>
      <c r="C12836" s="27" t="s">
        <v>51</v>
      </c>
      <c r="D12836" s="27" t="s">
        <v>51</v>
      </c>
      <c r="E12836" s="27" t="s">
        <v>22</v>
      </c>
      <c r="F12836" s="29">
        <v>3086</v>
      </c>
      <c r="G12836" s="30">
        <v>3.8545581570121059</v>
      </c>
    </row>
    <row r="12837" spans="1:7" hidden="1" x14ac:dyDescent="0.25">
      <c r="A12837" s="28">
        <v>44621</v>
      </c>
      <c r="B12837" s="27" t="s">
        <v>5</v>
      </c>
      <c r="C12837" s="27" t="s">
        <v>51</v>
      </c>
      <c r="D12837" s="27" t="s">
        <v>51</v>
      </c>
      <c r="E12837" s="27" t="s">
        <v>39</v>
      </c>
      <c r="F12837" s="29">
        <v>1536</v>
      </c>
      <c r="G12837" s="30">
        <v>9.2279258561114634</v>
      </c>
    </row>
    <row r="12838" spans="1:7" hidden="1" x14ac:dyDescent="0.25">
      <c r="A12838" s="28">
        <v>44621</v>
      </c>
      <c r="B12838" s="27" t="s">
        <v>5</v>
      </c>
      <c r="C12838" s="27" t="s">
        <v>51</v>
      </c>
      <c r="D12838" s="27" t="s">
        <v>51</v>
      </c>
      <c r="E12838" s="27" t="s">
        <v>64</v>
      </c>
      <c r="F12838" s="29">
        <v>4226</v>
      </c>
      <c r="G12838" s="30">
        <v>3.717847825576809</v>
      </c>
    </row>
    <row r="12839" spans="1:7" hidden="1" x14ac:dyDescent="0.25">
      <c r="A12839" s="28">
        <v>44621</v>
      </c>
      <c r="B12839" s="27" t="s">
        <v>5</v>
      </c>
      <c r="C12839" s="27" t="s">
        <v>51</v>
      </c>
      <c r="D12839" s="27" t="s">
        <v>51</v>
      </c>
      <c r="E12839" s="27" t="s">
        <v>21</v>
      </c>
      <c r="F12839" s="29">
        <v>4376</v>
      </c>
      <c r="G12839" s="30">
        <v>3.2880702159266986</v>
      </c>
    </row>
    <row r="12840" spans="1:7" hidden="1" x14ac:dyDescent="0.25">
      <c r="A12840" s="28">
        <v>44621</v>
      </c>
      <c r="B12840" s="27" t="s">
        <v>5</v>
      </c>
      <c r="C12840" s="27" t="s">
        <v>51</v>
      </c>
      <c r="D12840" s="27" t="s">
        <v>51</v>
      </c>
      <c r="E12840" s="27" t="s">
        <v>41</v>
      </c>
      <c r="F12840" s="29">
        <v>2742</v>
      </c>
      <c r="G12840" s="30">
        <v>5.9465086727352325</v>
      </c>
    </row>
    <row r="12841" spans="1:7" hidden="1" x14ac:dyDescent="0.25">
      <c r="A12841" s="28">
        <v>44621</v>
      </c>
      <c r="B12841" s="27" t="s">
        <v>5</v>
      </c>
      <c r="C12841" s="27" t="s">
        <v>51</v>
      </c>
      <c r="D12841" s="27" t="s">
        <v>51</v>
      </c>
      <c r="E12841" s="27" t="s">
        <v>10</v>
      </c>
      <c r="F12841" s="29">
        <v>2555</v>
      </c>
      <c r="G12841" s="30">
        <v>5.4121618287760862</v>
      </c>
    </row>
    <row r="12842" spans="1:7" hidden="1" x14ac:dyDescent="0.25">
      <c r="A12842" s="28">
        <v>44621</v>
      </c>
      <c r="B12842" s="27" t="s">
        <v>5</v>
      </c>
      <c r="C12842" s="27" t="s">
        <v>51</v>
      </c>
      <c r="D12842" s="27" t="s">
        <v>51</v>
      </c>
      <c r="E12842" s="27" t="s">
        <v>11</v>
      </c>
      <c r="F12842" s="29">
        <v>4048</v>
      </c>
      <c r="G12842" s="30">
        <v>3.2621326635111396</v>
      </c>
    </row>
    <row r="12843" spans="1:7" hidden="1" x14ac:dyDescent="0.25">
      <c r="A12843" s="28">
        <v>44621</v>
      </c>
      <c r="B12843" s="27" t="s">
        <v>5</v>
      </c>
      <c r="C12843" s="27" t="s">
        <v>51</v>
      </c>
      <c r="D12843" s="27" t="s">
        <v>51</v>
      </c>
      <c r="E12843" s="27" t="s">
        <v>12</v>
      </c>
      <c r="F12843" s="29">
        <v>2089</v>
      </c>
      <c r="G12843" s="30">
        <v>6.4832836590997855</v>
      </c>
    </row>
    <row r="12844" spans="1:7" hidden="1" x14ac:dyDescent="0.25">
      <c r="A12844" s="28">
        <v>44621</v>
      </c>
      <c r="B12844" s="27" t="s">
        <v>5</v>
      </c>
      <c r="C12844" s="27" t="s">
        <v>51</v>
      </c>
      <c r="D12844" s="27" t="s">
        <v>51</v>
      </c>
      <c r="E12844" s="27" t="s">
        <v>13</v>
      </c>
      <c r="F12844" s="29">
        <v>7862</v>
      </c>
      <c r="G12844" s="30">
        <v>1.8309282916292353</v>
      </c>
    </row>
    <row r="12845" spans="1:7" hidden="1" x14ac:dyDescent="0.25">
      <c r="A12845" s="28">
        <v>44621</v>
      </c>
      <c r="B12845" s="27" t="s">
        <v>5</v>
      </c>
      <c r="C12845" s="27" t="s">
        <v>51</v>
      </c>
      <c r="D12845" s="27" t="s">
        <v>51</v>
      </c>
      <c r="E12845" s="27" t="s">
        <v>14</v>
      </c>
      <c r="F12845" s="29">
        <v>8369</v>
      </c>
      <c r="G12845" s="30">
        <v>1.4705512501924149</v>
      </c>
    </row>
    <row r="12846" spans="1:7" hidden="1" x14ac:dyDescent="0.25">
      <c r="A12846" s="28">
        <v>44621</v>
      </c>
      <c r="B12846" s="27" t="s">
        <v>5</v>
      </c>
      <c r="C12846" s="27" t="s">
        <v>51</v>
      </c>
      <c r="D12846" s="27" t="s">
        <v>51</v>
      </c>
      <c r="E12846" s="27" t="s">
        <v>15</v>
      </c>
      <c r="F12846" s="29">
        <v>4443</v>
      </c>
      <c r="G12846" s="30">
        <v>2.8759989837050854</v>
      </c>
    </row>
    <row r="12847" spans="1:7" hidden="1" x14ac:dyDescent="0.25">
      <c r="A12847" s="28">
        <v>44621</v>
      </c>
      <c r="B12847" s="27" t="s">
        <v>5</v>
      </c>
      <c r="C12847" s="27" t="s">
        <v>51</v>
      </c>
      <c r="D12847" s="27" t="s">
        <v>51</v>
      </c>
      <c r="E12847" s="27" t="s">
        <v>16</v>
      </c>
      <c r="F12847" s="29">
        <v>2135</v>
      </c>
      <c r="G12847" s="30">
        <v>5.7542575012514616</v>
      </c>
    </row>
    <row r="12848" spans="1:7" hidden="1" x14ac:dyDescent="0.25">
      <c r="A12848" s="28">
        <v>44621</v>
      </c>
      <c r="B12848" s="27" t="s">
        <v>5</v>
      </c>
      <c r="C12848" s="27" t="s">
        <v>51</v>
      </c>
      <c r="D12848" s="27" t="s">
        <v>51</v>
      </c>
      <c r="E12848" s="27" t="s">
        <v>17</v>
      </c>
      <c r="F12848" s="29">
        <v>4883</v>
      </c>
      <c r="G12848" s="30">
        <v>2.9937824763672229</v>
      </c>
    </row>
    <row r="12849" spans="1:7" hidden="1" x14ac:dyDescent="0.25">
      <c r="A12849" s="28">
        <v>44621</v>
      </c>
      <c r="B12849" s="27" t="s">
        <v>5</v>
      </c>
      <c r="C12849" s="27" t="s">
        <v>51</v>
      </c>
      <c r="D12849" s="27" t="s">
        <v>51</v>
      </c>
      <c r="E12849" s="27" t="s">
        <v>18</v>
      </c>
      <c r="F12849" s="29">
        <v>5620</v>
      </c>
      <c r="G12849" s="30">
        <v>2.975995575001702</v>
      </c>
    </row>
    <row r="12850" spans="1:7" hidden="1" x14ac:dyDescent="0.25">
      <c r="A12850" s="28">
        <v>44621</v>
      </c>
      <c r="B12850" s="27" t="s">
        <v>5</v>
      </c>
      <c r="C12850" s="27" t="s">
        <v>51</v>
      </c>
      <c r="D12850" s="27" t="s">
        <v>51</v>
      </c>
      <c r="E12850" s="27" t="s">
        <v>19</v>
      </c>
      <c r="F12850" s="29">
        <v>3542</v>
      </c>
      <c r="G12850" s="30">
        <v>3.7088104331423413</v>
      </c>
    </row>
    <row r="12851" spans="1:7" hidden="1" x14ac:dyDescent="0.25">
      <c r="A12851" s="28">
        <v>44621</v>
      </c>
      <c r="B12851" s="27" t="s">
        <v>5</v>
      </c>
      <c r="C12851" s="27" t="s">
        <v>51</v>
      </c>
      <c r="D12851" s="27" t="s">
        <v>51</v>
      </c>
      <c r="E12851" s="27" t="s">
        <v>20</v>
      </c>
      <c r="F12851" s="29">
        <v>5946</v>
      </c>
      <c r="G12851" s="30">
        <v>2.4397252279337587</v>
      </c>
    </row>
    <row r="12852" spans="1:7" hidden="1" x14ac:dyDescent="0.25">
      <c r="A12852" s="28">
        <v>44621</v>
      </c>
      <c r="B12852" s="27" t="s">
        <v>5</v>
      </c>
      <c r="C12852" s="27" t="s">
        <v>51</v>
      </c>
      <c r="D12852" s="27" t="s">
        <v>51</v>
      </c>
      <c r="E12852" s="27" t="s">
        <v>38</v>
      </c>
      <c r="F12852" s="29">
        <v>1966</v>
      </c>
      <c r="G12852" s="30">
        <v>5.7378437524325756</v>
      </c>
    </row>
    <row r="12853" spans="1:7" hidden="1" x14ac:dyDescent="0.25">
      <c r="A12853" s="28">
        <v>44621</v>
      </c>
      <c r="B12853" s="27" t="s">
        <v>5</v>
      </c>
      <c r="C12853" s="27" t="s">
        <v>51</v>
      </c>
      <c r="D12853" s="27" t="s">
        <v>51</v>
      </c>
      <c r="E12853" s="27" t="s">
        <v>23</v>
      </c>
      <c r="F12853" s="29">
        <v>4313</v>
      </c>
      <c r="G12853" s="30">
        <v>3.1595806279906991</v>
      </c>
    </row>
    <row r="12854" spans="1:7" hidden="1" x14ac:dyDescent="0.25">
      <c r="A12854" s="28">
        <v>44621</v>
      </c>
      <c r="B12854" s="27" t="s">
        <v>5</v>
      </c>
      <c r="C12854" s="27" t="s">
        <v>51</v>
      </c>
      <c r="D12854" s="27" t="s">
        <v>51</v>
      </c>
      <c r="E12854" s="27" t="s">
        <v>40</v>
      </c>
      <c r="F12854" s="29">
        <v>7162</v>
      </c>
      <c r="G12854" s="30">
        <v>1.6668844348369367</v>
      </c>
    </row>
    <row r="12855" spans="1:7" hidden="1" x14ac:dyDescent="0.25">
      <c r="A12855" s="28">
        <v>44621</v>
      </c>
      <c r="B12855" s="27" t="s">
        <v>5</v>
      </c>
      <c r="C12855" s="27" t="s">
        <v>51</v>
      </c>
      <c r="D12855" s="27" t="s">
        <v>51</v>
      </c>
      <c r="E12855" s="27" t="s">
        <v>42</v>
      </c>
      <c r="F12855" s="29">
        <v>939</v>
      </c>
      <c r="G12855" s="30">
        <v>11.620584145787308</v>
      </c>
    </row>
    <row r="12856" spans="1:7" hidden="1" x14ac:dyDescent="0.25">
      <c r="A12856" s="28">
        <v>44621</v>
      </c>
      <c r="B12856" s="27" t="s">
        <v>5</v>
      </c>
      <c r="C12856" s="27" t="s">
        <v>51</v>
      </c>
      <c r="D12856" s="27" t="s">
        <v>51</v>
      </c>
      <c r="E12856" s="27" t="s">
        <v>43</v>
      </c>
      <c r="F12856" s="29">
        <v>8225</v>
      </c>
      <c r="G12856" s="30">
        <v>1.4174341768790766</v>
      </c>
    </row>
    <row r="12857" spans="1:7" hidden="1" x14ac:dyDescent="0.25">
      <c r="A12857" s="28">
        <v>44621</v>
      </c>
      <c r="B12857" s="27" t="s">
        <v>5</v>
      </c>
      <c r="C12857" s="27" t="s">
        <v>51</v>
      </c>
      <c r="D12857" s="27" t="s">
        <v>51</v>
      </c>
      <c r="E12857" s="27" t="s">
        <v>72</v>
      </c>
      <c r="F12857" s="29">
        <v>7457</v>
      </c>
      <c r="G12857" s="30">
        <v>1.6104513903502364</v>
      </c>
    </row>
    <row r="12858" spans="1:7" hidden="1" x14ac:dyDescent="0.25">
      <c r="A12858" s="28">
        <v>44621</v>
      </c>
      <c r="B12858" s="27" t="s">
        <v>180</v>
      </c>
      <c r="C12858" s="27" t="s">
        <v>50</v>
      </c>
      <c r="D12858" s="27" t="s">
        <v>7</v>
      </c>
      <c r="E12858" s="27" t="s">
        <v>64</v>
      </c>
      <c r="F12858" s="29"/>
      <c r="G12858" s="30">
        <v>2885</v>
      </c>
    </row>
    <row r="12859" spans="1:7" hidden="1" x14ac:dyDescent="0.25">
      <c r="A12859" s="28">
        <v>44621</v>
      </c>
      <c r="B12859" s="27" t="s">
        <v>180</v>
      </c>
      <c r="C12859" s="27" t="s">
        <v>50</v>
      </c>
      <c r="D12859" s="27" t="s">
        <v>7</v>
      </c>
      <c r="E12859" s="27" t="s">
        <v>21</v>
      </c>
      <c r="F12859" s="29"/>
      <c r="G12859" s="30">
        <v>1743</v>
      </c>
    </row>
    <row r="12860" spans="1:7" hidden="1" x14ac:dyDescent="0.25">
      <c r="A12860" s="28">
        <v>44621</v>
      </c>
      <c r="B12860" s="27" t="s">
        <v>180</v>
      </c>
      <c r="C12860" s="27" t="s">
        <v>50</v>
      </c>
      <c r="D12860" s="27" t="s">
        <v>7</v>
      </c>
      <c r="E12860" s="27" t="s">
        <v>41</v>
      </c>
      <c r="F12860" s="29"/>
      <c r="G12860" s="30">
        <v>3085</v>
      </c>
    </row>
    <row r="12861" spans="1:7" hidden="1" x14ac:dyDescent="0.25">
      <c r="A12861" s="28">
        <v>44621</v>
      </c>
      <c r="B12861" s="27" t="s">
        <v>180</v>
      </c>
      <c r="C12861" s="27" t="s">
        <v>50</v>
      </c>
      <c r="D12861" s="27" t="s">
        <v>7</v>
      </c>
      <c r="E12861" s="27" t="s">
        <v>11</v>
      </c>
      <c r="F12861" s="29"/>
      <c r="G12861" s="30">
        <v>50</v>
      </c>
    </row>
    <row r="12862" spans="1:7" hidden="1" x14ac:dyDescent="0.25">
      <c r="A12862" s="28">
        <v>44621</v>
      </c>
      <c r="B12862" s="27" t="s">
        <v>180</v>
      </c>
      <c r="C12862" s="27" t="s">
        <v>50</v>
      </c>
      <c r="D12862" s="27" t="s">
        <v>7</v>
      </c>
      <c r="E12862" s="27" t="s">
        <v>17</v>
      </c>
      <c r="F12862" s="29"/>
      <c r="G12862" s="30">
        <v>54.15</v>
      </c>
    </row>
    <row r="12863" spans="1:7" hidden="1" x14ac:dyDescent="0.25">
      <c r="A12863" s="28">
        <v>44621</v>
      </c>
      <c r="B12863" s="27" t="s">
        <v>180</v>
      </c>
      <c r="C12863" s="27" t="s">
        <v>50</v>
      </c>
      <c r="D12863" s="27" t="s">
        <v>7</v>
      </c>
      <c r="E12863" s="27" t="s">
        <v>40</v>
      </c>
      <c r="F12863" s="29"/>
      <c r="G12863" s="30">
        <v>40</v>
      </c>
    </row>
    <row r="12864" spans="1:7" hidden="1" x14ac:dyDescent="0.25">
      <c r="A12864" s="28">
        <v>44621</v>
      </c>
      <c r="B12864" s="27" t="s">
        <v>180</v>
      </c>
      <c r="C12864" s="27" t="s">
        <v>50</v>
      </c>
      <c r="D12864" s="27" t="s">
        <v>7</v>
      </c>
      <c r="E12864" s="27" t="s">
        <v>37</v>
      </c>
      <c r="F12864" s="29"/>
      <c r="G12864" s="30">
        <v>579.14</v>
      </c>
    </row>
    <row r="12865" spans="1:7" hidden="1" x14ac:dyDescent="0.25">
      <c r="A12865" s="28">
        <v>44621</v>
      </c>
      <c r="B12865" s="27" t="s">
        <v>181</v>
      </c>
      <c r="C12865" s="27" t="s">
        <v>50</v>
      </c>
      <c r="D12865" s="27" t="s">
        <v>6</v>
      </c>
      <c r="E12865" s="27" t="s">
        <v>8</v>
      </c>
      <c r="F12865" s="29"/>
      <c r="G12865" s="30">
        <v>383</v>
      </c>
    </row>
    <row r="12866" spans="1:7" hidden="1" x14ac:dyDescent="0.25">
      <c r="A12866" s="28">
        <v>44621</v>
      </c>
      <c r="B12866" s="27" t="s">
        <v>181</v>
      </c>
      <c r="C12866" s="27" t="s">
        <v>50</v>
      </c>
      <c r="D12866" s="27" t="s">
        <v>6</v>
      </c>
      <c r="E12866" s="27" t="s">
        <v>9</v>
      </c>
      <c r="F12866" s="29"/>
      <c r="G12866" s="30">
        <v>214</v>
      </c>
    </row>
    <row r="12867" spans="1:7" hidden="1" x14ac:dyDescent="0.25">
      <c r="A12867" s="28">
        <v>44621</v>
      </c>
      <c r="B12867" s="27" t="s">
        <v>181</v>
      </c>
      <c r="C12867" s="27" t="s">
        <v>50</v>
      </c>
      <c r="D12867" s="27" t="s">
        <v>6</v>
      </c>
      <c r="E12867" s="27" t="s">
        <v>39</v>
      </c>
      <c r="F12867" s="29"/>
      <c r="G12867" s="30">
        <v>297</v>
      </c>
    </row>
    <row r="12868" spans="1:7" hidden="1" x14ac:dyDescent="0.25">
      <c r="A12868" s="28">
        <v>44621</v>
      </c>
      <c r="B12868" s="27" t="s">
        <v>181</v>
      </c>
      <c r="C12868" s="27" t="s">
        <v>50</v>
      </c>
      <c r="D12868" s="27" t="s">
        <v>6</v>
      </c>
      <c r="E12868" s="27" t="s">
        <v>64</v>
      </c>
      <c r="F12868" s="29"/>
      <c r="G12868" s="30">
        <v>206</v>
      </c>
    </row>
    <row r="12869" spans="1:7" hidden="1" x14ac:dyDescent="0.25">
      <c r="A12869" s="28">
        <v>44621</v>
      </c>
      <c r="B12869" s="27" t="s">
        <v>181</v>
      </c>
      <c r="C12869" s="27" t="s">
        <v>50</v>
      </c>
      <c r="D12869" s="27" t="s">
        <v>6</v>
      </c>
      <c r="E12869" s="27" t="s">
        <v>21</v>
      </c>
      <c r="F12869" s="29"/>
      <c r="G12869" s="30">
        <v>219</v>
      </c>
    </row>
    <row r="12870" spans="1:7" hidden="1" x14ac:dyDescent="0.25">
      <c r="A12870" s="28">
        <v>44621</v>
      </c>
      <c r="B12870" s="27" t="s">
        <v>181</v>
      </c>
      <c r="C12870" s="27" t="s">
        <v>50</v>
      </c>
      <c r="D12870" s="27" t="s">
        <v>6</v>
      </c>
      <c r="E12870" s="27" t="s">
        <v>41</v>
      </c>
      <c r="F12870" s="29"/>
      <c r="G12870" s="30">
        <v>900</v>
      </c>
    </row>
    <row r="12871" spans="1:7" hidden="1" x14ac:dyDescent="0.25">
      <c r="A12871" s="28">
        <v>44621</v>
      </c>
      <c r="B12871" s="27" t="s">
        <v>181</v>
      </c>
      <c r="C12871" s="27" t="s">
        <v>50</v>
      </c>
      <c r="D12871" s="27" t="s">
        <v>6</v>
      </c>
      <c r="E12871" s="27" t="s">
        <v>13</v>
      </c>
      <c r="F12871" s="29"/>
      <c r="G12871" s="30">
        <v>340.2</v>
      </c>
    </row>
    <row r="12872" spans="1:7" hidden="1" x14ac:dyDescent="0.25">
      <c r="A12872" s="28">
        <v>44621</v>
      </c>
      <c r="B12872" s="27" t="s">
        <v>181</v>
      </c>
      <c r="C12872" s="27" t="s">
        <v>50</v>
      </c>
      <c r="D12872" s="27" t="s">
        <v>6</v>
      </c>
      <c r="E12872" s="27" t="s">
        <v>17</v>
      </c>
      <c r="F12872" s="29"/>
      <c r="G12872" s="30">
        <v>255</v>
      </c>
    </row>
    <row r="12873" spans="1:7" hidden="1" x14ac:dyDescent="0.25">
      <c r="A12873" s="28">
        <v>44621</v>
      </c>
      <c r="B12873" s="27" t="s">
        <v>181</v>
      </c>
      <c r="C12873" s="27" t="s">
        <v>50</v>
      </c>
      <c r="D12873" s="27" t="s">
        <v>6</v>
      </c>
      <c r="E12873" s="27" t="s">
        <v>18</v>
      </c>
      <c r="F12873" s="29"/>
      <c r="G12873" s="30">
        <v>4580</v>
      </c>
    </row>
    <row r="12874" spans="1:7" hidden="1" x14ac:dyDescent="0.25">
      <c r="A12874" s="28">
        <v>44621</v>
      </c>
      <c r="B12874" s="27" t="s">
        <v>181</v>
      </c>
      <c r="C12874" s="27" t="s">
        <v>50</v>
      </c>
      <c r="D12874" s="27" t="s">
        <v>6</v>
      </c>
      <c r="E12874" s="27" t="s">
        <v>20</v>
      </c>
      <c r="F12874" s="29"/>
      <c r="G12874" s="30">
        <v>794.27</v>
      </c>
    </row>
    <row r="12875" spans="1:7" hidden="1" x14ac:dyDescent="0.25">
      <c r="A12875" s="28">
        <v>44621</v>
      </c>
      <c r="B12875" s="27" t="s">
        <v>181</v>
      </c>
      <c r="C12875" s="27" t="s">
        <v>50</v>
      </c>
      <c r="D12875" s="27" t="s">
        <v>6</v>
      </c>
      <c r="E12875" s="27" t="s">
        <v>38</v>
      </c>
      <c r="F12875" s="29"/>
      <c r="G12875" s="30">
        <v>247</v>
      </c>
    </row>
    <row r="12876" spans="1:7" hidden="1" x14ac:dyDescent="0.25">
      <c r="A12876" s="28">
        <v>44621</v>
      </c>
      <c r="B12876" s="27" t="s">
        <v>181</v>
      </c>
      <c r="C12876" s="27" t="s">
        <v>50</v>
      </c>
      <c r="D12876" s="27" t="s">
        <v>6</v>
      </c>
      <c r="E12876" s="27" t="s">
        <v>40</v>
      </c>
      <c r="F12876" s="29"/>
      <c r="G12876" s="30">
        <v>471.06</v>
      </c>
    </row>
    <row r="12877" spans="1:7" hidden="1" x14ac:dyDescent="0.25">
      <c r="A12877" s="28">
        <v>44621</v>
      </c>
      <c r="B12877" s="27" t="s">
        <v>181</v>
      </c>
      <c r="C12877" s="27" t="s">
        <v>50</v>
      </c>
      <c r="D12877" s="27" t="s">
        <v>6</v>
      </c>
      <c r="E12877" s="27" t="s">
        <v>37</v>
      </c>
      <c r="F12877" s="29"/>
      <c r="G12877" s="30">
        <v>2836.23</v>
      </c>
    </row>
    <row r="12878" spans="1:7" hidden="1" x14ac:dyDescent="0.25">
      <c r="A12878" s="28">
        <v>44621</v>
      </c>
      <c r="B12878" s="27" t="s">
        <v>25</v>
      </c>
      <c r="C12878" s="27" t="s">
        <v>50</v>
      </c>
      <c r="D12878" s="27" t="s">
        <v>7</v>
      </c>
      <c r="E12878" s="27" t="s">
        <v>22</v>
      </c>
      <c r="F12878" s="29"/>
      <c r="G12878" s="30">
        <v>104.13</v>
      </c>
    </row>
    <row r="12879" spans="1:7" hidden="1" x14ac:dyDescent="0.25">
      <c r="A12879" s="28">
        <v>44621</v>
      </c>
      <c r="B12879" s="27" t="s">
        <v>25</v>
      </c>
      <c r="C12879" s="27" t="s">
        <v>50</v>
      </c>
      <c r="D12879" s="27" t="s">
        <v>7</v>
      </c>
      <c r="E12879" s="27" t="s">
        <v>39</v>
      </c>
      <c r="F12879" s="29"/>
      <c r="G12879" s="30">
        <v>728.91</v>
      </c>
    </row>
    <row r="12880" spans="1:7" hidden="1" x14ac:dyDescent="0.25">
      <c r="A12880" s="28">
        <v>44621</v>
      </c>
      <c r="B12880" s="27" t="s">
        <v>25</v>
      </c>
      <c r="C12880" s="27" t="s">
        <v>50</v>
      </c>
      <c r="D12880" s="27" t="s">
        <v>7</v>
      </c>
      <c r="E12880" s="27" t="s">
        <v>11</v>
      </c>
      <c r="F12880" s="29"/>
      <c r="G12880" s="30">
        <v>208.25</v>
      </c>
    </row>
    <row r="12881" spans="1:7" hidden="1" x14ac:dyDescent="0.25">
      <c r="A12881" s="28">
        <v>44621</v>
      </c>
      <c r="B12881" s="27" t="s">
        <v>25</v>
      </c>
      <c r="C12881" s="27" t="s">
        <v>50</v>
      </c>
      <c r="D12881" s="27" t="s">
        <v>7</v>
      </c>
      <c r="E12881" s="27" t="s">
        <v>12</v>
      </c>
      <c r="F12881" s="29"/>
      <c r="G12881" s="30">
        <v>677.81999999999994</v>
      </c>
    </row>
    <row r="12882" spans="1:7" hidden="1" x14ac:dyDescent="0.25">
      <c r="A12882" s="28">
        <v>44621</v>
      </c>
      <c r="B12882" s="27" t="s">
        <v>25</v>
      </c>
      <c r="C12882" s="27" t="s">
        <v>50</v>
      </c>
      <c r="D12882" s="27" t="s">
        <v>7</v>
      </c>
      <c r="E12882" s="27" t="s">
        <v>14</v>
      </c>
      <c r="F12882" s="29"/>
      <c r="G12882" s="30">
        <v>104.12</v>
      </c>
    </row>
    <row r="12883" spans="1:7" hidden="1" x14ac:dyDescent="0.25">
      <c r="A12883" s="28">
        <v>44621</v>
      </c>
      <c r="B12883" s="27" t="s">
        <v>25</v>
      </c>
      <c r="C12883" s="27" t="s">
        <v>50</v>
      </c>
      <c r="D12883" s="27" t="s">
        <v>7</v>
      </c>
      <c r="E12883" s="27" t="s">
        <v>19</v>
      </c>
      <c r="F12883" s="29"/>
      <c r="G12883" s="30">
        <v>104.13</v>
      </c>
    </row>
    <row r="12884" spans="1:7" hidden="1" x14ac:dyDescent="0.25">
      <c r="A12884" s="28">
        <v>44621</v>
      </c>
      <c r="B12884" s="27" t="s">
        <v>25</v>
      </c>
      <c r="C12884" s="27" t="s">
        <v>50</v>
      </c>
      <c r="D12884" s="27" t="s">
        <v>7</v>
      </c>
      <c r="E12884" s="27" t="s">
        <v>38</v>
      </c>
      <c r="F12884" s="29"/>
      <c r="G12884" s="30">
        <v>138.16</v>
      </c>
    </row>
    <row r="12885" spans="1:7" hidden="1" x14ac:dyDescent="0.25">
      <c r="A12885" s="28">
        <v>44621</v>
      </c>
      <c r="B12885" s="27" t="s">
        <v>25</v>
      </c>
      <c r="C12885" s="27" t="s">
        <v>50</v>
      </c>
      <c r="D12885" s="27" t="s">
        <v>7</v>
      </c>
      <c r="E12885" s="27" t="s">
        <v>23</v>
      </c>
      <c r="F12885" s="29"/>
      <c r="G12885" s="30">
        <v>104.13</v>
      </c>
    </row>
    <row r="12886" spans="1:7" hidden="1" x14ac:dyDescent="0.25">
      <c r="A12886" s="28">
        <v>44621</v>
      </c>
      <c r="B12886" s="27" t="s">
        <v>25</v>
      </c>
      <c r="C12886" s="27" t="s">
        <v>50</v>
      </c>
      <c r="D12886" s="27" t="s">
        <v>7</v>
      </c>
      <c r="E12886" s="27" t="s">
        <v>37</v>
      </c>
      <c r="F12886" s="29"/>
      <c r="G12886" s="30">
        <v>837.73</v>
      </c>
    </row>
    <row r="12887" spans="1:7" hidden="1" x14ac:dyDescent="0.25">
      <c r="A12887" s="28">
        <v>44621</v>
      </c>
      <c r="B12887" s="27" t="s">
        <v>2</v>
      </c>
      <c r="C12887" s="27" t="s">
        <v>50</v>
      </c>
      <c r="D12887" s="27" t="s">
        <v>7</v>
      </c>
      <c r="E12887" s="27" t="s">
        <v>8</v>
      </c>
      <c r="F12887" s="29"/>
      <c r="G12887" s="30">
        <v>248.4</v>
      </c>
    </row>
    <row r="12888" spans="1:7" hidden="1" x14ac:dyDescent="0.25">
      <c r="A12888" s="28">
        <v>44621</v>
      </c>
      <c r="B12888" s="27" t="s">
        <v>2</v>
      </c>
      <c r="C12888" s="27" t="s">
        <v>50</v>
      </c>
      <c r="D12888" s="27" t="s">
        <v>7</v>
      </c>
      <c r="E12888" s="27" t="s">
        <v>9</v>
      </c>
      <c r="F12888" s="29"/>
      <c r="G12888" s="30">
        <v>431.2</v>
      </c>
    </row>
    <row r="12889" spans="1:7" hidden="1" x14ac:dyDescent="0.25">
      <c r="A12889" s="28">
        <v>44621</v>
      </c>
      <c r="B12889" s="27" t="s">
        <v>2</v>
      </c>
      <c r="C12889" s="27" t="s">
        <v>50</v>
      </c>
      <c r="D12889" s="27" t="s">
        <v>7</v>
      </c>
      <c r="E12889" s="27" t="s">
        <v>22</v>
      </c>
      <c r="F12889" s="29"/>
      <c r="G12889" s="30">
        <v>700.25</v>
      </c>
    </row>
    <row r="12890" spans="1:7" hidden="1" x14ac:dyDescent="0.25">
      <c r="A12890" s="28">
        <v>44621</v>
      </c>
      <c r="B12890" s="27" t="s">
        <v>2</v>
      </c>
      <c r="C12890" s="27" t="s">
        <v>50</v>
      </c>
      <c r="D12890" s="27" t="s">
        <v>7</v>
      </c>
      <c r="E12890" s="27" t="s">
        <v>39</v>
      </c>
      <c r="F12890" s="29"/>
      <c r="G12890" s="30">
        <v>395.21</v>
      </c>
    </row>
    <row r="12891" spans="1:7" hidden="1" x14ac:dyDescent="0.25">
      <c r="A12891" s="28">
        <v>44621</v>
      </c>
      <c r="B12891" s="27" t="s">
        <v>2</v>
      </c>
      <c r="C12891" s="27" t="s">
        <v>50</v>
      </c>
      <c r="D12891" s="27" t="s">
        <v>7</v>
      </c>
      <c r="E12891" s="27" t="s">
        <v>64</v>
      </c>
      <c r="F12891" s="29"/>
      <c r="G12891" s="30">
        <v>426.92</v>
      </c>
    </row>
    <row r="12892" spans="1:7" hidden="1" x14ac:dyDescent="0.25">
      <c r="A12892" s="28">
        <v>44621</v>
      </c>
      <c r="B12892" s="27" t="s">
        <v>2</v>
      </c>
      <c r="C12892" s="27" t="s">
        <v>50</v>
      </c>
      <c r="D12892" s="27" t="s">
        <v>7</v>
      </c>
      <c r="E12892" s="27" t="s">
        <v>21</v>
      </c>
      <c r="F12892" s="29"/>
      <c r="G12892" s="30">
        <v>651.70000000000005</v>
      </c>
    </row>
    <row r="12893" spans="1:7" hidden="1" x14ac:dyDescent="0.25">
      <c r="A12893" s="28">
        <v>44621</v>
      </c>
      <c r="B12893" s="27" t="s">
        <v>2</v>
      </c>
      <c r="C12893" s="27" t="s">
        <v>50</v>
      </c>
      <c r="D12893" s="27" t="s">
        <v>7</v>
      </c>
      <c r="E12893" s="27" t="s">
        <v>41</v>
      </c>
      <c r="F12893" s="29"/>
      <c r="G12893" s="30">
        <v>388.59</v>
      </c>
    </row>
    <row r="12894" spans="1:7" hidden="1" x14ac:dyDescent="0.25">
      <c r="A12894" s="28">
        <v>44621</v>
      </c>
      <c r="B12894" s="27" t="s">
        <v>2</v>
      </c>
      <c r="C12894" s="27" t="s">
        <v>50</v>
      </c>
      <c r="D12894" s="27" t="s">
        <v>7</v>
      </c>
      <c r="E12894" s="27" t="s">
        <v>10</v>
      </c>
      <c r="F12894" s="29"/>
      <c r="G12894" s="30">
        <v>662.8</v>
      </c>
    </row>
    <row r="12895" spans="1:7" hidden="1" x14ac:dyDescent="0.25">
      <c r="A12895" s="28">
        <v>44621</v>
      </c>
      <c r="B12895" s="27" t="s">
        <v>2</v>
      </c>
      <c r="C12895" s="27" t="s">
        <v>50</v>
      </c>
      <c r="D12895" s="27" t="s">
        <v>7</v>
      </c>
      <c r="E12895" s="27" t="s">
        <v>11</v>
      </c>
      <c r="F12895" s="29"/>
      <c r="G12895" s="30">
        <v>401.5</v>
      </c>
    </row>
    <row r="12896" spans="1:7" hidden="1" x14ac:dyDescent="0.25">
      <c r="A12896" s="28">
        <v>44621</v>
      </c>
      <c r="B12896" s="27" t="s">
        <v>2</v>
      </c>
      <c r="C12896" s="27" t="s">
        <v>50</v>
      </c>
      <c r="D12896" s="27" t="s">
        <v>7</v>
      </c>
      <c r="E12896" s="27" t="s">
        <v>12</v>
      </c>
      <c r="F12896" s="29"/>
      <c r="G12896" s="30">
        <v>179.32</v>
      </c>
    </row>
    <row r="12897" spans="1:7" hidden="1" x14ac:dyDescent="0.25">
      <c r="A12897" s="28">
        <v>44621</v>
      </c>
      <c r="B12897" s="27" t="s">
        <v>2</v>
      </c>
      <c r="C12897" s="27" t="s">
        <v>50</v>
      </c>
      <c r="D12897" s="27" t="s">
        <v>7</v>
      </c>
      <c r="E12897" s="27" t="s">
        <v>13</v>
      </c>
      <c r="F12897" s="29"/>
      <c r="G12897" s="30">
        <v>1201.4100000000001</v>
      </c>
    </row>
    <row r="12898" spans="1:7" hidden="1" x14ac:dyDescent="0.25">
      <c r="A12898" s="28">
        <v>44621</v>
      </c>
      <c r="B12898" s="27" t="s">
        <v>2</v>
      </c>
      <c r="C12898" s="27" t="s">
        <v>50</v>
      </c>
      <c r="D12898" s="27" t="s">
        <v>7</v>
      </c>
      <c r="E12898" s="27" t="s">
        <v>14</v>
      </c>
      <c r="F12898" s="29"/>
      <c r="G12898" s="30">
        <v>672.63</v>
      </c>
    </row>
    <row r="12899" spans="1:7" hidden="1" x14ac:dyDescent="0.25">
      <c r="A12899" s="28">
        <v>44621</v>
      </c>
      <c r="B12899" s="27" t="s">
        <v>2</v>
      </c>
      <c r="C12899" s="27" t="s">
        <v>50</v>
      </c>
      <c r="D12899" s="27" t="s">
        <v>7</v>
      </c>
      <c r="E12899" s="27" t="s">
        <v>15</v>
      </c>
      <c r="F12899" s="29"/>
      <c r="G12899" s="30">
        <v>481.75</v>
      </c>
    </row>
    <row r="12900" spans="1:7" hidden="1" x14ac:dyDescent="0.25">
      <c r="A12900" s="28">
        <v>44621</v>
      </c>
      <c r="B12900" s="27" t="s">
        <v>2</v>
      </c>
      <c r="C12900" s="27" t="s">
        <v>50</v>
      </c>
      <c r="D12900" s="27" t="s">
        <v>7</v>
      </c>
      <c r="E12900" s="27" t="s">
        <v>16</v>
      </c>
      <c r="F12900" s="29"/>
      <c r="G12900" s="30">
        <v>18.399999999999999</v>
      </c>
    </row>
    <row r="12901" spans="1:7" hidden="1" x14ac:dyDescent="0.25">
      <c r="A12901" s="28">
        <v>44621</v>
      </c>
      <c r="B12901" s="27" t="s">
        <v>2</v>
      </c>
      <c r="C12901" s="27" t="s">
        <v>50</v>
      </c>
      <c r="D12901" s="27" t="s">
        <v>7</v>
      </c>
      <c r="E12901" s="27" t="s">
        <v>17</v>
      </c>
      <c r="F12901" s="29"/>
      <c r="G12901" s="30">
        <v>787.7</v>
      </c>
    </row>
    <row r="12902" spans="1:7" hidden="1" x14ac:dyDescent="0.25">
      <c r="A12902" s="28">
        <v>44621</v>
      </c>
      <c r="B12902" s="27" t="s">
        <v>2</v>
      </c>
      <c r="C12902" s="27" t="s">
        <v>50</v>
      </c>
      <c r="D12902" s="27" t="s">
        <v>7</v>
      </c>
      <c r="E12902" s="27" t="s">
        <v>18</v>
      </c>
      <c r="F12902" s="29"/>
      <c r="G12902" s="30">
        <v>60.6</v>
      </c>
    </row>
    <row r="12903" spans="1:7" hidden="1" x14ac:dyDescent="0.25">
      <c r="A12903" s="28">
        <v>44621</v>
      </c>
      <c r="B12903" s="27" t="s">
        <v>2</v>
      </c>
      <c r="C12903" s="27" t="s">
        <v>50</v>
      </c>
      <c r="D12903" s="27" t="s">
        <v>7</v>
      </c>
      <c r="E12903" s="27" t="s">
        <v>19</v>
      </c>
      <c r="F12903" s="29"/>
      <c r="G12903" s="30">
        <v>382</v>
      </c>
    </row>
    <row r="12904" spans="1:7" hidden="1" x14ac:dyDescent="0.25">
      <c r="A12904" s="28">
        <v>44621</v>
      </c>
      <c r="B12904" s="27" t="s">
        <v>2</v>
      </c>
      <c r="C12904" s="27" t="s">
        <v>50</v>
      </c>
      <c r="D12904" s="27" t="s">
        <v>7</v>
      </c>
      <c r="E12904" s="27" t="s">
        <v>20</v>
      </c>
      <c r="F12904" s="29"/>
      <c r="G12904" s="30">
        <v>543.12</v>
      </c>
    </row>
    <row r="12905" spans="1:7" hidden="1" x14ac:dyDescent="0.25">
      <c r="A12905" s="28">
        <v>44621</v>
      </c>
      <c r="B12905" s="27" t="s">
        <v>2</v>
      </c>
      <c r="C12905" s="27" t="s">
        <v>50</v>
      </c>
      <c r="D12905" s="27" t="s">
        <v>7</v>
      </c>
      <c r="E12905" s="27" t="s">
        <v>23</v>
      </c>
      <c r="F12905" s="29"/>
      <c r="G12905" s="30">
        <v>659.99</v>
      </c>
    </row>
    <row r="12906" spans="1:7" hidden="1" x14ac:dyDescent="0.25">
      <c r="A12906" s="28">
        <v>44621</v>
      </c>
      <c r="B12906" s="27" t="s">
        <v>2</v>
      </c>
      <c r="C12906" s="27" t="s">
        <v>50</v>
      </c>
      <c r="D12906" s="27" t="s">
        <v>7</v>
      </c>
      <c r="E12906" s="27" t="s">
        <v>40</v>
      </c>
      <c r="F12906" s="29"/>
      <c r="G12906" s="30">
        <v>526.58000000000004</v>
      </c>
    </row>
    <row r="12907" spans="1:7" hidden="1" x14ac:dyDescent="0.25">
      <c r="A12907" s="28">
        <v>44621</v>
      </c>
      <c r="B12907" s="27" t="s">
        <v>2</v>
      </c>
      <c r="C12907" s="27" t="s">
        <v>50</v>
      </c>
      <c r="D12907" s="27" t="s">
        <v>7</v>
      </c>
      <c r="E12907" s="27" t="s">
        <v>42</v>
      </c>
      <c r="F12907" s="29"/>
      <c r="G12907" s="30">
        <v>198.4</v>
      </c>
    </row>
    <row r="12908" spans="1:7" hidden="1" x14ac:dyDescent="0.25">
      <c r="A12908" s="28">
        <v>44621</v>
      </c>
      <c r="B12908" s="27" t="s">
        <v>2</v>
      </c>
      <c r="C12908" s="27" t="s">
        <v>50</v>
      </c>
      <c r="D12908" s="27" t="s">
        <v>7</v>
      </c>
      <c r="E12908" s="27" t="s">
        <v>43</v>
      </c>
      <c r="F12908" s="29"/>
      <c r="G12908" s="30">
        <v>669.2</v>
      </c>
    </row>
    <row r="12909" spans="1:7" hidden="1" x14ac:dyDescent="0.25">
      <c r="A12909" s="28">
        <v>44621</v>
      </c>
      <c r="B12909" s="27" t="s">
        <v>2</v>
      </c>
      <c r="C12909" s="27" t="s">
        <v>50</v>
      </c>
      <c r="D12909" s="27" t="s">
        <v>7</v>
      </c>
      <c r="E12909" s="27" t="s">
        <v>72</v>
      </c>
      <c r="F12909" s="29"/>
      <c r="G12909" s="30">
        <v>563.24</v>
      </c>
    </row>
    <row r="12910" spans="1:7" hidden="1" x14ac:dyDescent="0.25">
      <c r="A12910" s="28">
        <v>44621</v>
      </c>
      <c r="B12910" s="27" t="s">
        <v>2</v>
      </c>
      <c r="C12910" s="27" t="s">
        <v>50</v>
      </c>
      <c r="D12910" s="27" t="s">
        <v>7</v>
      </c>
      <c r="E12910" s="27" t="s">
        <v>37</v>
      </c>
      <c r="F12910" s="29"/>
      <c r="G12910" s="30">
        <v>101.30000000000001</v>
      </c>
    </row>
    <row r="12911" spans="1:7" hidden="1" x14ac:dyDescent="0.25">
      <c r="A12911" s="28">
        <v>44621</v>
      </c>
      <c r="B12911" s="27" t="s">
        <v>36</v>
      </c>
      <c r="C12911" s="27" t="s">
        <v>50</v>
      </c>
      <c r="D12911" s="27" t="s">
        <v>6</v>
      </c>
      <c r="E12911" s="27" t="s">
        <v>8</v>
      </c>
      <c r="F12911" s="29"/>
      <c r="G12911" s="30">
        <v>314.346</v>
      </c>
    </row>
    <row r="12912" spans="1:7" hidden="1" x14ac:dyDescent="0.25">
      <c r="A12912" s="28">
        <v>44621</v>
      </c>
      <c r="B12912" s="27" t="s">
        <v>36</v>
      </c>
      <c r="C12912" s="27" t="s">
        <v>50</v>
      </c>
      <c r="D12912" s="27" t="s">
        <v>6</v>
      </c>
      <c r="E12912" s="27" t="s">
        <v>9</v>
      </c>
      <c r="F12912" s="29"/>
      <c r="G12912" s="30">
        <v>314.346</v>
      </c>
    </row>
    <row r="12913" spans="1:7" hidden="1" x14ac:dyDescent="0.25">
      <c r="A12913" s="28">
        <v>44621</v>
      </c>
      <c r="B12913" s="27" t="s">
        <v>36</v>
      </c>
      <c r="C12913" s="27" t="s">
        <v>50</v>
      </c>
      <c r="D12913" s="27" t="s">
        <v>6</v>
      </c>
      <c r="E12913" s="27" t="s">
        <v>22</v>
      </c>
      <c r="F12913" s="29"/>
      <c r="G12913" s="30">
        <v>314.346</v>
      </c>
    </row>
    <row r="12914" spans="1:7" hidden="1" x14ac:dyDescent="0.25">
      <c r="A12914" s="28">
        <v>44621</v>
      </c>
      <c r="B12914" s="27" t="s">
        <v>36</v>
      </c>
      <c r="C12914" s="27" t="s">
        <v>50</v>
      </c>
      <c r="D12914" s="27" t="s">
        <v>6</v>
      </c>
      <c r="E12914" s="27" t="s">
        <v>39</v>
      </c>
      <c r="F12914" s="29"/>
      <c r="G12914" s="30">
        <v>314.346</v>
      </c>
    </row>
    <row r="12915" spans="1:7" hidden="1" x14ac:dyDescent="0.25">
      <c r="A12915" s="28">
        <v>44621</v>
      </c>
      <c r="B12915" s="27" t="s">
        <v>36</v>
      </c>
      <c r="C12915" s="27" t="s">
        <v>50</v>
      </c>
      <c r="D12915" s="27" t="s">
        <v>6</v>
      </c>
      <c r="E12915" s="27" t="s">
        <v>64</v>
      </c>
      <c r="F12915" s="29"/>
      <c r="G12915" s="30">
        <v>314.346</v>
      </c>
    </row>
    <row r="12916" spans="1:7" hidden="1" x14ac:dyDescent="0.25">
      <c r="A12916" s="28">
        <v>44621</v>
      </c>
      <c r="B12916" s="27" t="s">
        <v>36</v>
      </c>
      <c r="C12916" s="27" t="s">
        <v>50</v>
      </c>
      <c r="D12916" s="27" t="s">
        <v>6</v>
      </c>
      <c r="E12916" s="27" t="s">
        <v>21</v>
      </c>
      <c r="F12916" s="29"/>
      <c r="G12916" s="30">
        <v>314.346</v>
      </c>
    </row>
    <row r="12917" spans="1:7" hidden="1" x14ac:dyDescent="0.25">
      <c r="A12917" s="28">
        <v>44621</v>
      </c>
      <c r="B12917" s="27" t="s">
        <v>36</v>
      </c>
      <c r="C12917" s="27" t="s">
        <v>50</v>
      </c>
      <c r="D12917" s="27" t="s">
        <v>6</v>
      </c>
      <c r="E12917" s="27" t="s">
        <v>41</v>
      </c>
      <c r="F12917" s="29"/>
      <c r="G12917" s="30">
        <v>314.346</v>
      </c>
    </row>
    <row r="12918" spans="1:7" hidden="1" x14ac:dyDescent="0.25">
      <c r="A12918" s="28">
        <v>44621</v>
      </c>
      <c r="B12918" s="27" t="s">
        <v>36</v>
      </c>
      <c r="C12918" s="27" t="s">
        <v>50</v>
      </c>
      <c r="D12918" s="27" t="s">
        <v>6</v>
      </c>
      <c r="E12918" s="27" t="s">
        <v>10</v>
      </c>
      <c r="F12918" s="29"/>
      <c r="G12918" s="30">
        <v>314.346</v>
      </c>
    </row>
    <row r="12919" spans="1:7" hidden="1" x14ac:dyDescent="0.25">
      <c r="A12919" s="28">
        <v>44621</v>
      </c>
      <c r="B12919" s="27" t="s">
        <v>36</v>
      </c>
      <c r="C12919" s="27" t="s">
        <v>50</v>
      </c>
      <c r="D12919" s="27" t="s">
        <v>6</v>
      </c>
      <c r="E12919" s="27" t="s">
        <v>11</v>
      </c>
      <c r="F12919" s="29"/>
      <c r="G12919" s="30">
        <v>314.346</v>
      </c>
    </row>
    <row r="12920" spans="1:7" hidden="1" x14ac:dyDescent="0.25">
      <c r="A12920" s="28">
        <v>44621</v>
      </c>
      <c r="B12920" s="27" t="s">
        <v>36</v>
      </c>
      <c r="C12920" s="27" t="s">
        <v>50</v>
      </c>
      <c r="D12920" s="27" t="s">
        <v>6</v>
      </c>
      <c r="E12920" s="27" t="s">
        <v>12</v>
      </c>
      <c r="F12920" s="29"/>
      <c r="G12920" s="30">
        <v>314.346</v>
      </c>
    </row>
    <row r="12921" spans="1:7" hidden="1" x14ac:dyDescent="0.25">
      <c r="A12921" s="28">
        <v>44621</v>
      </c>
      <c r="B12921" s="27" t="s">
        <v>36</v>
      </c>
      <c r="C12921" s="27" t="s">
        <v>50</v>
      </c>
      <c r="D12921" s="27" t="s">
        <v>6</v>
      </c>
      <c r="E12921" s="27" t="s">
        <v>13</v>
      </c>
      <c r="F12921" s="29"/>
      <c r="G12921" s="30">
        <v>314.346</v>
      </c>
    </row>
    <row r="12922" spans="1:7" hidden="1" x14ac:dyDescent="0.25">
      <c r="A12922" s="28">
        <v>44621</v>
      </c>
      <c r="B12922" s="27" t="s">
        <v>36</v>
      </c>
      <c r="C12922" s="27" t="s">
        <v>50</v>
      </c>
      <c r="D12922" s="27" t="s">
        <v>6</v>
      </c>
      <c r="E12922" s="27" t="s">
        <v>14</v>
      </c>
      <c r="F12922" s="29"/>
      <c r="G12922" s="30">
        <v>314.346</v>
      </c>
    </row>
    <row r="12923" spans="1:7" hidden="1" x14ac:dyDescent="0.25">
      <c r="A12923" s="28">
        <v>44621</v>
      </c>
      <c r="B12923" s="27" t="s">
        <v>36</v>
      </c>
      <c r="C12923" s="27" t="s">
        <v>50</v>
      </c>
      <c r="D12923" s="27" t="s">
        <v>6</v>
      </c>
      <c r="E12923" s="27" t="s">
        <v>15</v>
      </c>
      <c r="F12923" s="29"/>
      <c r="G12923" s="30">
        <v>314.346</v>
      </c>
    </row>
    <row r="12924" spans="1:7" hidden="1" x14ac:dyDescent="0.25">
      <c r="A12924" s="28">
        <v>44621</v>
      </c>
      <c r="B12924" s="27" t="s">
        <v>36</v>
      </c>
      <c r="C12924" s="27" t="s">
        <v>50</v>
      </c>
      <c r="D12924" s="27" t="s">
        <v>6</v>
      </c>
      <c r="E12924" s="27" t="s">
        <v>16</v>
      </c>
      <c r="F12924" s="29"/>
      <c r="G12924" s="30">
        <v>314.346</v>
      </c>
    </row>
    <row r="12925" spans="1:7" hidden="1" x14ac:dyDescent="0.25">
      <c r="A12925" s="28">
        <v>44621</v>
      </c>
      <c r="B12925" s="27" t="s">
        <v>36</v>
      </c>
      <c r="C12925" s="27" t="s">
        <v>50</v>
      </c>
      <c r="D12925" s="27" t="s">
        <v>6</v>
      </c>
      <c r="E12925" s="27" t="s">
        <v>17</v>
      </c>
      <c r="F12925" s="29"/>
      <c r="G12925" s="30">
        <v>314.346</v>
      </c>
    </row>
    <row r="12926" spans="1:7" hidden="1" x14ac:dyDescent="0.25">
      <c r="A12926" s="28">
        <v>44621</v>
      </c>
      <c r="B12926" s="27" t="s">
        <v>36</v>
      </c>
      <c r="C12926" s="27" t="s">
        <v>50</v>
      </c>
      <c r="D12926" s="27" t="s">
        <v>6</v>
      </c>
      <c r="E12926" s="27" t="s">
        <v>18</v>
      </c>
      <c r="F12926" s="29"/>
      <c r="G12926" s="30">
        <v>314.346</v>
      </c>
    </row>
    <row r="12927" spans="1:7" hidden="1" x14ac:dyDescent="0.25">
      <c r="A12927" s="28">
        <v>44621</v>
      </c>
      <c r="B12927" s="27" t="s">
        <v>36</v>
      </c>
      <c r="C12927" s="27" t="s">
        <v>50</v>
      </c>
      <c r="D12927" s="27" t="s">
        <v>6</v>
      </c>
      <c r="E12927" s="27" t="s">
        <v>19</v>
      </c>
      <c r="F12927" s="29"/>
      <c r="G12927" s="30">
        <v>314.346</v>
      </c>
    </row>
    <row r="12928" spans="1:7" hidden="1" x14ac:dyDescent="0.25">
      <c r="A12928" s="28">
        <v>44621</v>
      </c>
      <c r="B12928" s="27" t="s">
        <v>36</v>
      </c>
      <c r="C12928" s="27" t="s">
        <v>50</v>
      </c>
      <c r="D12928" s="27" t="s">
        <v>6</v>
      </c>
      <c r="E12928" s="27" t="s">
        <v>20</v>
      </c>
      <c r="F12928" s="29"/>
      <c r="G12928" s="30">
        <v>314.346</v>
      </c>
    </row>
    <row r="12929" spans="1:7" hidden="1" x14ac:dyDescent="0.25">
      <c r="A12929" s="28">
        <v>44621</v>
      </c>
      <c r="B12929" s="27" t="s">
        <v>36</v>
      </c>
      <c r="C12929" s="27" t="s">
        <v>50</v>
      </c>
      <c r="D12929" s="27" t="s">
        <v>6</v>
      </c>
      <c r="E12929" s="27" t="s">
        <v>38</v>
      </c>
      <c r="F12929" s="29"/>
      <c r="G12929" s="30">
        <v>314.346</v>
      </c>
    </row>
    <row r="12930" spans="1:7" hidden="1" x14ac:dyDescent="0.25">
      <c r="A12930" s="28">
        <v>44621</v>
      </c>
      <c r="B12930" s="27" t="s">
        <v>36</v>
      </c>
      <c r="C12930" s="27" t="s">
        <v>50</v>
      </c>
      <c r="D12930" s="27" t="s">
        <v>6</v>
      </c>
      <c r="E12930" s="27" t="s">
        <v>23</v>
      </c>
      <c r="F12930" s="29"/>
      <c r="G12930" s="30">
        <v>314.346</v>
      </c>
    </row>
    <row r="12931" spans="1:7" hidden="1" x14ac:dyDescent="0.25">
      <c r="A12931" s="28">
        <v>44621</v>
      </c>
      <c r="B12931" s="27" t="s">
        <v>36</v>
      </c>
      <c r="C12931" s="27" t="s">
        <v>50</v>
      </c>
      <c r="D12931" s="27" t="s">
        <v>6</v>
      </c>
      <c r="E12931" s="27" t="s">
        <v>40</v>
      </c>
      <c r="F12931" s="29"/>
      <c r="G12931" s="30">
        <v>314.346</v>
      </c>
    </row>
    <row r="12932" spans="1:7" hidden="1" x14ac:dyDescent="0.25">
      <c r="A12932" s="28">
        <v>44621</v>
      </c>
      <c r="B12932" s="27" t="s">
        <v>36</v>
      </c>
      <c r="C12932" s="27" t="s">
        <v>50</v>
      </c>
      <c r="D12932" s="27" t="s">
        <v>6</v>
      </c>
      <c r="E12932" s="27" t="s">
        <v>42</v>
      </c>
      <c r="F12932" s="29"/>
      <c r="G12932" s="30">
        <v>314.346</v>
      </c>
    </row>
    <row r="12933" spans="1:7" hidden="1" x14ac:dyDescent="0.25">
      <c r="A12933" s="28">
        <v>44621</v>
      </c>
      <c r="B12933" s="27" t="s">
        <v>36</v>
      </c>
      <c r="C12933" s="27" t="s">
        <v>50</v>
      </c>
      <c r="D12933" s="27" t="s">
        <v>6</v>
      </c>
      <c r="E12933" s="27" t="s">
        <v>43</v>
      </c>
      <c r="F12933" s="29"/>
      <c r="G12933" s="30">
        <v>314.346</v>
      </c>
    </row>
    <row r="12934" spans="1:7" hidden="1" x14ac:dyDescent="0.25">
      <c r="A12934" s="28">
        <v>44621</v>
      </c>
      <c r="B12934" s="27" t="s">
        <v>36</v>
      </c>
      <c r="C12934" s="27" t="s">
        <v>50</v>
      </c>
      <c r="D12934" s="27" t="s">
        <v>6</v>
      </c>
      <c r="E12934" s="27" t="s">
        <v>72</v>
      </c>
      <c r="F12934" s="29"/>
      <c r="G12934" s="30">
        <v>314.346</v>
      </c>
    </row>
    <row r="12935" spans="1:7" hidden="1" x14ac:dyDescent="0.25">
      <c r="A12935" s="28">
        <v>44621</v>
      </c>
      <c r="B12935" s="27" t="s">
        <v>36</v>
      </c>
      <c r="C12935" s="27" t="s">
        <v>50</v>
      </c>
      <c r="D12935" s="27" t="s">
        <v>6</v>
      </c>
      <c r="E12935" s="27" t="s">
        <v>206</v>
      </c>
      <c r="F12935" s="29"/>
      <c r="G12935" s="30">
        <v>314.346</v>
      </c>
    </row>
    <row r="12936" spans="1:7" hidden="1" x14ac:dyDescent="0.25">
      <c r="A12936" s="28">
        <v>44621</v>
      </c>
      <c r="B12936" s="27" t="s">
        <v>200</v>
      </c>
      <c r="C12936" s="27" t="s">
        <v>53</v>
      </c>
      <c r="D12936" s="27" t="s">
        <v>6</v>
      </c>
      <c r="E12936" s="27" t="s">
        <v>8</v>
      </c>
      <c r="F12936" s="29"/>
      <c r="G12936" s="30">
        <f t="shared" ref="G12936:G12959" si="227">2166.82751111111/24</f>
        <v>90.284479629629587</v>
      </c>
    </row>
    <row r="12937" spans="1:7" hidden="1" x14ac:dyDescent="0.25">
      <c r="A12937" s="28">
        <v>44621</v>
      </c>
      <c r="B12937" s="27" t="s">
        <v>200</v>
      </c>
      <c r="C12937" s="27" t="s">
        <v>53</v>
      </c>
      <c r="D12937" s="27" t="s">
        <v>6</v>
      </c>
      <c r="E12937" s="27" t="s">
        <v>9</v>
      </c>
      <c r="F12937" s="29"/>
      <c r="G12937" s="30">
        <f t="shared" si="227"/>
        <v>90.284479629629587</v>
      </c>
    </row>
    <row r="12938" spans="1:7" hidden="1" x14ac:dyDescent="0.25">
      <c r="A12938" s="28">
        <v>44621</v>
      </c>
      <c r="B12938" s="27" t="s">
        <v>200</v>
      </c>
      <c r="C12938" s="27" t="s">
        <v>53</v>
      </c>
      <c r="D12938" s="27" t="s">
        <v>6</v>
      </c>
      <c r="E12938" s="27" t="s">
        <v>22</v>
      </c>
      <c r="F12938" s="29"/>
      <c r="G12938" s="30">
        <f t="shared" si="227"/>
        <v>90.284479629629587</v>
      </c>
    </row>
    <row r="12939" spans="1:7" hidden="1" x14ac:dyDescent="0.25">
      <c r="A12939" s="28">
        <v>44621</v>
      </c>
      <c r="B12939" s="27" t="s">
        <v>200</v>
      </c>
      <c r="C12939" s="27" t="s">
        <v>53</v>
      </c>
      <c r="D12939" s="27" t="s">
        <v>6</v>
      </c>
      <c r="E12939" s="27" t="s">
        <v>39</v>
      </c>
      <c r="F12939" s="29"/>
      <c r="G12939" s="30">
        <f t="shared" si="227"/>
        <v>90.284479629629587</v>
      </c>
    </row>
    <row r="12940" spans="1:7" hidden="1" x14ac:dyDescent="0.25">
      <c r="A12940" s="28">
        <v>44621</v>
      </c>
      <c r="B12940" s="27" t="s">
        <v>200</v>
      </c>
      <c r="C12940" s="27" t="s">
        <v>53</v>
      </c>
      <c r="D12940" s="27" t="s">
        <v>6</v>
      </c>
      <c r="E12940" s="27" t="s">
        <v>64</v>
      </c>
      <c r="F12940" s="29"/>
      <c r="G12940" s="30">
        <f t="shared" si="227"/>
        <v>90.284479629629587</v>
      </c>
    </row>
    <row r="12941" spans="1:7" hidden="1" x14ac:dyDescent="0.25">
      <c r="A12941" s="28">
        <v>44621</v>
      </c>
      <c r="B12941" s="27" t="s">
        <v>200</v>
      </c>
      <c r="C12941" s="27" t="s">
        <v>53</v>
      </c>
      <c r="D12941" s="27" t="s">
        <v>6</v>
      </c>
      <c r="E12941" s="27" t="s">
        <v>21</v>
      </c>
      <c r="F12941" s="29"/>
      <c r="G12941" s="30">
        <f t="shared" si="227"/>
        <v>90.284479629629587</v>
      </c>
    </row>
    <row r="12942" spans="1:7" hidden="1" x14ac:dyDescent="0.25">
      <c r="A12942" s="28">
        <v>44621</v>
      </c>
      <c r="B12942" s="27" t="s">
        <v>200</v>
      </c>
      <c r="C12942" s="27" t="s">
        <v>53</v>
      </c>
      <c r="D12942" s="27" t="s">
        <v>6</v>
      </c>
      <c r="E12942" s="27" t="s">
        <v>41</v>
      </c>
      <c r="F12942" s="29"/>
      <c r="G12942" s="30">
        <f t="shared" si="227"/>
        <v>90.284479629629587</v>
      </c>
    </row>
    <row r="12943" spans="1:7" hidden="1" x14ac:dyDescent="0.25">
      <c r="A12943" s="28">
        <v>44621</v>
      </c>
      <c r="B12943" s="27" t="s">
        <v>200</v>
      </c>
      <c r="C12943" s="27" t="s">
        <v>53</v>
      </c>
      <c r="D12943" s="27" t="s">
        <v>6</v>
      </c>
      <c r="E12943" s="27" t="s">
        <v>10</v>
      </c>
      <c r="F12943" s="29"/>
      <c r="G12943" s="30">
        <f t="shared" si="227"/>
        <v>90.284479629629587</v>
      </c>
    </row>
    <row r="12944" spans="1:7" hidden="1" x14ac:dyDescent="0.25">
      <c r="A12944" s="28">
        <v>44621</v>
      </c>
      <c r="B12944" s="27" t="s">
        <v>200</v>
      </c>
      <c r="C12944" s="27" t="s">
        <v>53</v>
      </c>
      <c r="D12944" s="27" t="s">
        <v>6</v>
      </c>
      <c r="E12944" s="27" t="s">
        <v>11</v>
      </c>
      <c r="F12944" s="29"/>
      <c r="G12944" s="30">
        <f t="shared" si="227"/>
        <v>90.284479629629587</v>
      </c>
    </row>
    <row r="12945" spans="1:7" hidden="1" x14ac:dyDescent="0.25">
      <c r="A12945" s="28">
        <v>44621</v>
      </c>
      <c r="B12945" s="27" t="s">
        <v>200</v>
      </c>
      <c r="C12945" s="27" t="s">
        <v>53</v>
      </c>
      <c r="D12945" s="27" t="s">
        <v>6</v>
      </c>
      <c r="E12945" s="27" t="s">
        <v>12</v>
      </c>
      <c r="F12945" s="29"/>
      <c r="G12945" s="30">
        <f t="shared" si="227"/>
        <v>90.284479629629587</v>
      </c>
    </row>
    <row r="12946" spans="1:7" hidden="1" x14ac:dyDescent="0.25">
      <c r="A12946" s="28">
        <v>44621</v>
      </c>
      <c r="B12946" s="27" t="s">
        <v>200</v>
      </c>
      <c r="C12946" s="27" t="s">
        <v>53</v>
      </c>
      <c r="D12946" s="27" t="s">
        <v>6</v>
      </c>
      <c r="E12946" s="27" t="s">
        <v>13</v>
      </c>
      <c r="F12946" s="29"/>
      <c r="G12946" s="30">
        <f t="shared" si="227"/>
        <v>90.284479629629587</v>
      </c>
    </row>
    <row r="12947" spans="1:7" hidden="1" x14ac:dyDescent="0.25">
      <c r="A12947" s="28">
        <v>44621</v>
      </c>
      <c r="B12947" s="27" t="s">
        <v>200</v>
      </c>
      <c r="C12947" s="27" t="s">
        <v>53</v>
      </c>
      <c r="D12947" s="27" t="s">
        <v>6</v>
      </c>
      <c r="E12947" s="27" t="s">
        <v>14</v>
      </c>
      <c r="F12947" s="29"/>
      <c r="G12947" s="30">
        <f t="shared" si="227"/>
        <v>90.284479629629587</v>
      </c>
    </row>
    <row r="12948" spans="1:7" hidden="1" x14ac:dyDescent="0.25">
      <c r="A12948" s="28">
        <v>44621</v>
      </c>
      <c r="B12948" s="27" t="s">
        <v>200</v>
      </c>
      <c r="C12948" s="27" t="s">
        <v>53</v>
      </c>
      <c r="D12948" s="27" t="s">
        <v>6</v>
      </c>
      <c r="E12948" s="27" t="s">
        <v>15</v>
      </c>
      <c r="F12948" s="29"/>
      <c r="G12948" s="30">
        <f t="shared" si="227"/>
        <v>90.284479629629587</v>
      </c>
    </row>
    <row r="12949" spans="1:7" hidden="1" x14ac:dyDescent="0.25">
      <c r="A12949" s="28">
        <v>44621</v>
      </c>
      <c r="B12949" s="27" t="s">
        <v>200</v>
      </c>
      <c r="C12949" s="27" t="s">
        <v>53</v>
      </c>
      <c r="D12949" s="27" t="s">
        <v>6</v>
      </c>
      <c r="E12949" s="27" t="s">
        <v>16</v>
      </c>
      <c r="F12949" s="29"/>
      <c r="G12949" s="30">
        <f t="shared" si="227"/>
        <v>90.284479629629587</v>
      </c>
    </row>
    <row r="12950" spans="1:7" hidden="1" x14ac:dyDescent="0.25">
      <c r="A12950" s="28">
        <v>44621</v>
      </c>
      <c r="B12950" s="27" t="s">
        <v>200</v>
      </c>
      <c r="C12950" s="27" t="s">
        <v>53</v>
      </c>
      <c r="D12950" s="27" t="s">
        <v>6</v>
      </c>
      <c r="E12950" s="27" t="s">
        <v>17</v>
      </c>
      <c r="F12950" s="29"/>
      <c r="G12950" s="30">
        <f t="shared" si="227"/>
        <v>90.284479629629587</v>
      </c>
    </row>
    <row r="12951" spans="1:7" hidden="1" x14ac:dyDescent="0.25">
      <c r="A12951" s="28">
        <v>44621</v>
      </c>
      <c r="B12951" s="27" t="s">
        <v>200</v>
      </c>
      <c r="C12951" s="27" t="s">
        <v>53</v>
      </c>
      <c r="D12951" s="27" t="s">
        <v>6</v>
      </c>
      <c r="E12951" s="27" t="s">
        <v>18</v>
      </c>
      <c r="F12951" s="29"/>
      <c r="G12951" s="30">
        <f t="shared" si="227"/>
        <v>90.284479629629587</v>
      </c>
    </row>
    <row r="12952" spans="1:7" hidden="1" x14ac:dyDescent="0.25">
      <c r="A12952" s="28">
        <v>44621</v>
      </c>
      <c r="B12952" s="27" t="s">
        <v>200</v>
      </c>
      <c r="C12952" s="27" t="s">
        <v>53</v>
      </c>
      <c r="D12952" s="27" t="s">
        <v>6</v>
      </c>
      <c r="E12952" s="27" t="s">
        <v>19</v>
      </c>
      <c r="F12952" s="29"/>
      <c r="G12952" s="30">
        <f t="shared" si="227"/>
        <v>90.284479629629587</v>
      </c>
    </row>
    <row r="12953" spans="1:7" hidden="1" x14ac:dyDescent="0.25">
      <c r="A12953" s="28">
        <v>44621</v>
      </c>
      <c r="B12953" s="27" t="s">
        <v>200</v>
      </c>
      <c r="C12953" s="27" t="s">
        <v>53</v>
      </c>
      <c r="D12953" s="27" t="s">
        <v>6</v>
      </c>
      <c r="E12953" s="27" t="s">
        <v>20</v>
      </c>
      <c r="F12953" s="29"/>
      <c r="G12953" s="30">
        <f t="shared" si="227"/>
        <v>90.284479629629587</v>
      </c>
    </row>
    <row r="12954" spans="1:7" hidden="1" x14ac:dyDescent="0.25">
      <c r="A12954" s="28">
        <v>44621</v>
      </c>
      <c r="B12954" s="27" t="s">
        <v>200</v>
      </c>
      <c r="C12954" s="27" t="s">
        <v>53</v>
      </c>
      <c r="D12954" s="27" t="s">
        <v>6</v>
      </c>
      <c r="E12954" s="27" t="s">
        <v>38</v>
      </c>
      <c r="F12954" s="29"/>
      <c r="G12954" s="30">
        <f t="shared" si="227"/>
        <v>90.284479629629587</v>
      </c>
    </row>
    <row r="12955" spans="1:7" hidden="1" x14ac:dyDescent="0.25">
      <c r="A12955" s="28">
        <v>44621</v>
      </c>
      <c r="B12955" s="27" t="s">
        <v>200</v>
      </c>
      <c r="C12955" s="27" t="s">
        <v>53</v>
      </c>
      <c r="D12955" s="27" t="s">
        <v>6</v>
      </c>
      <c r="E12955" s="27" t="s">
        <v>23</v>
      </c>
      <c r="F12955" s="29"/>
      <c r="G12955" s="30">
        <f t="shared" si="227"/>
        <v>90.284479629629587</v>
      </c>
    </row>
    <row r="12956" spans="1:7" hidden="1" x14ac:dyDescent="0.25">
      <c r="A12956" s="28">
        <v>44621</v>
      </c>
      <c r="B12956" s="27" t="s">
        <v>200</v>
      </c>
      <c r="C12956" s="27" t="s">
        <v>53</v>
      </c>
      <c r="D12956" s="27" t="s">
        <v>6</v>
      </c>
      <c r="E12956" s="27" t="s">
        <v>40</v>
      </c>
      <c r="F12956" s="29"/>
      <c r="G12956" s="30">
        <f t="shared" si="227"/>
        <v>90.284479629629587</v>
      </c>
    </row>
    <row r="12957" spans="1:7" hidden="1" x14ac:dyDescent="0.25">
      <c r="A12957" s="28">
        <v>44621</v>
      </c>
      <c r="B12957" s="27" t="s">
        <v>200</v>
      </c>
      <c r="C12957" s="27" t="s">
        <v>53</v>
      </c>
      <c r="D12957" s="27" t="s">
        <v>6</v>
      </c>
      <c r="E12957" s="27" t="s">
        <v>42</v>
      </c>
      <c r="F12957" s="29"/>
      <c r="G12957" s="30">
        <f t="shared" si="227"/>
        <v>90.284479629629587</v>
      </c>
    </row>
    <row r="12958" spans="1:7" hidden="1" x14ac:dyDescent="0.25">
      <c r="A12958" s="28">
        <v>44621</v>
      </c>
      <c r="B12958" s="27" t="s">
        <v>200</v>
      </c>
      <c r="C12958" s="27" t="s">
        <v>53</v>
      </c>
      <c r="D12958" s="27" t="s">
        <v>6</v>
      </c>
      <c r="E12958" s="27" t="s">
        <v>72</v>
      </c>
      <c r="F12958" s="29"/>
      <c r="G12958" s="30">
        <f t="shared" si="227"/>
        <v>90.284479629629587</v>
      </c>
    </row>
    <row r="12959" spans="1:7" hidden="1" x14ac:dyDescent="0.25">
      <c r="A12959" s="28">
        <v>44621</v>
      </c>
      <c r="B12959" s="27" t="s">
        <v>200</v>
      </c>
      <c r="C12959" s="27" t="s">
        <v>53</v>
      </c>
      <c r="D12959" s="27" t="s">
        <v>6</v>
      </c>
      <c r="E12959" s="27" t="s">
        <v>12</v>
      </c>
      <c r="F12959" s="29"/>
      <c r="G12959" s="30">
        <f t="shared" si="227"/>
        <v>90.284479629629587</v>
      </c>
    </row>
    <row r="12960" spans="1:7" hidden="1" x14ac:dyDescent="0.25">
      <c r="A12960" s="28">
        <v>44621</v>
      </c>
      <c r="B12960" s="27" t="s">
        <v>200</v>
      </c>
      <c r="C12960" s="27" t="s">
        <v>54</v>
      </c>
      <c r="D12960" s="27" t="s">
        <v>7</v>
      </c>
      <c r="E12960" s="27" t="s">
        <v>8</v>
      </c>
      <c r="F12960" s="29"/>
      <c r="G12960" s="30">
        <f t="shared" ref="G12960:G12984" si="228">471.26/25</f>
        <v>18.8504</v>
      </c>
    </row>
    <row r="12961" spans="1:7" hidden="1" x14ac:dyDescent="0.25">
      <c r="A12961" s="28">
        <v>44621</v>
      </c>
      <c r="B12961" s="27" t="s">
        <v>200</v>
      </c>
      <c r="C12961" s="27" t="s">
        <v>54</v>
      </c>
      <c r="D12961" s="27" t="s">
        <v>7</v>
      </c>
      <c r="E12961" s="27" t="s">
        <v>9</v>
      </c>
      <c r="F12961" s="29"/>
      <c r="G12961" s="30">
        <f t="shared" si="228"/>
        <v>18.8504</v>
      </c>
    </row>
    <row r="12962" spans="1:7" hidden="1" x14ac:dyDescent="0.25">
      <c r="A12962" s="28">
        <v>44621</v>
      </c>
      <c r="B12962" s="27" t="s">
        <v>200</v>
      </c>
      <c r="C12962" s="27" t="s">
        <v>54</v>
      </c>
      <c r="D12962" s="27" t="s">
        <v>7</v>
      </c>
      <c r="E12962" s="27" t="s">
        <v>22</v>
      </c>
      <c r="F12962" s="29"/>
      <c r="G12962" s="30">
        <f t="shared" si="228"/>
        <v>18.8504</v>
      </c>
    </row>
    <row r="12963" spans="1:7" hidden="1" x14ac:dyDescent="0.25">
      <c r="A12963" s="28">
        <v>44621</v>
      </c>
      <c r="B12963" s="27" t="s">
        <v>200</v>
      </c>
      <c r="C12963" s="27" t="s">
        <v>54</v>
      </c>
      <c r="D12963" s="27" t="s">
        <v>7</v>
      </c>
      <c r="E12963" s="27" t="s">
        <v>39</v>
      </c>
      <c r="F12963" s="29"/>
      <c r="G12963" s="30">
        <f t="shared" si="228"/>
        <v>18.8504</v>
      </c>
    </row>
    <row r="12964" spans="1:7" hidden="1" x14ac:dyDescent="0.25">
      <c r="A12964" s="28">
        <v>44621</v>
      </c>
      <c r="B12964" s="27" t="s">
        <v>200</v>
      </c>
      <c r="C12964" s="27" t="s">
        <v>54</v>
      </c>
      <c r="D12964" s="27" t="s">
        <v>7</v>
      </c>
      <c r="E12964" s="27" t="s">
        <v>64</v>
      </c>
      <c r="F12964" s="29"/>
      <c r="G12964" s="30">
        <f t="shared" si="228"/>
        <v>18.8504</v>
      </c>
    </row>
    <row r="12965" spans="1:7" hidden="1" x14ac:dyDescent="0.25">
      <c r="A12965" s="28">
        <v>44621</v>
      </c>
      <c r="B12965" s="27" t="s">
        <v>200</v>
      </c>
      <c r="C12965" s="27" t="s">
        <v>54</v>
      </c>
      <c r="D12965" s="27" t="s">
        <v>7</v>
      </c>
      <c r="E12965" s="27" t="s">
        <v>21</v>
      </c>
      <c r="F12965" s="29"/>
      <c r="G12965" s="30">
        <f t="shared" si="228"/>
        <v>18.8504</v>
      </c>
    </row>
    <row r="12966" spans="1:7" hidden="1" x14ac:dyDescent="0.25">
      <c r="A12966" s="28">
        <v>44621</v>
      </c>
      <c r="B12966" s="27" t="s">
        <v>200</v>
      </c>
      <c r="C12966" s="27" t="s">
        <v>54</v>
      </c>
      <c r="D12966" s="27" t="s">
        <v>7</v>
      </c>
      <c r="E12966" s="27" t="s">
        <v>41</v>
      </c>
      <c r="F12966" s="29"/>
      <c r="G12966" s="30">
        <f t="shared" si="228"/>
        <v>18.8504</v>
      </c>
    </row>
    <row r="12967" spans="1:7" hidden="1" x14ac:dyDescent="0.25">
      <c r="A12967" s="28">
        <v>44621</v>
      </c>
      <c r="B12967" s="27" t="s">
        <v>200</v>
      </c>
      <c r="C12967" s="27" t="s">
        <v>54</v>
      </c>
      <c r="D12967" s="27" t="s">
        <v>7</v>
      </c>
      <c r="E12967" s="27" t="s">
        <v>10</v>
      </c>
      <c r="F12967" s="29"/>
      <c r="G12967" s="30">
        <f t="shared" si="228"/>
        <v>18.8504</v>
      </c>
    </row>
    <row r="12968" spans="1:7" hidden="1" x14ac:dyDescent="0.25">
      <c r="A12968" s="28">
        <v>44621</v>
      </c>
      <c r="B12968" s="27" t="s">
        <v>200</v>
      </c>
      <c r="C12968" s="27" t="s">
        <v>54</v>
      </c>
      <c r="D12968" s="27" t="s">
        <v>7</v>
      </c>
      <c r="E12968" s="27" t="s">
        <v>11</v>
      </c>
      <c r="F12968" s="29"/>
      <c r="G12968" s="30">
        <f t="shared" si="228"/>
        <v>18.8504</v>
      </c>
    </row>
    <row r="12969" spans="1:7" hidden="1" x14ac:dyDescent="0.25">
      <c r="A12969" s="28">
        <v>44621</v>
      </c>
      <c r="B12969" s="27" t="s">
        <v>200</v>
      </c>
      <c r="C12969" s="27" t="s">
        <v>54</v>
      </c>
      <c r="D12969" s="27" t="s">
        <v>7</v>
      </c>
      <c r="E12969" s="27" t="s">
        <v>12</v>
      </c>
      <c r="F12969" s="29"/>
      <c r="G12969" s="30">
        <f t="shared" si="228"/>
        <v>18.8504</v>
      </c>
    </row>
    <row r="12970" spans="1:7" hidden="1" x14ac:dyDescent="0.25">
      <c r="A12970" s="28">
        <v>44621</v>
      </c>
      <c r="B12970" s="27" t="s">
        <v>200</v>
      </c>
      <c r="C12970" s="27" t="s">
        <v>54</v>
      </c>
      <c r="D12970" s="27" t="s">
        <v>7</v>
      </c>
      <c r="E12970" s="27" t="s">
        <v>13</v>
      </c>
      <c r="F12970" s="29"/>
      <c r="G12970" s="30">
        <f t="shared" si="228"/>
        <v>18.8504</v>
      </c>
    </row>
    <row r="12971" spans="1:7" hidden="1" x14ac:dyDescent="0.25">
      <c r="A12971" s="28">
        <v>44621</v>
      </c>
      <c r="B12971" s="27" t="s">
        <v>200</v>
      </c>
      <c r="C12971" s="27" t="s">
        <v>54</v>
      </c>
      <c r="D12971" s="27" t="s">
        <v>7</v>
      </c>
      <c r="E12971" s="27" t="s">
        <v>14</v>
      </c>
      <c r="F12971" s="29"/>
      <c r="G12971" s="30">
        <f t="shared" si="228"/>
        <v>18.8504</v>
      </c>
    </row>
    <row r="12972" spans="1:7" hidden="1" x14ac:dyDescent="0.25">
      <c r="A12972" s="28">
        <v>44621</v>
      </c>
      <c r="B12972" s="27" t="s">
        <v>200</v>
      </c>
      <c r="C12972" s="27" t="s">
        <v>54</v>
      </c>
      <c r="D12972" s="27" t="s">
        <v>7</v>
      </c>
      <c r="E12972" s="27" t="s">
        <v>15</v>
      </c>
      <c r="F12972" s="29"/>
      <c r="G12972" s="30">
        <f t="shared" si="228"/>
        <v>18.8504</v>
      </c>
    </row>
    <row r="12973" spans="1:7" hidden="1" x14ac:dyDescent="0.25">
      <c r="A12973" s="28">
        <v>44621</v>
      </c>
      <c r="B12973" s="27" t="s">
        <v>200</v>
      </c>
      <c r="C12973" s="27" t="s">
        <v>54</v>
      </c>
      <c r="D12973" s="27" t="s">
        <v>7</v>
      </c>
      <c r="E12973" s="27" t="s">
        <v>16</v>
      </c>
      <c r="F12973" s="29"/>
      <c r="G12973" s="30">
        <f t="shared" si="228"/>
        <v>18.8504</v>
      </c>
    </row>
    <row r="12974" spans="1:7" hidden="1" x14ac:dyDescent="0.25">
      <c r="A12974" s="28">
        <v>44621</v>
      </c>
      <c r="B12974" s="27" t="s">
        <v>200</v>
      </c>
      <c r="C12974" s="27" t="s">
        <v>54</v>
      </c>
      <c r="D12974" s="27" t="s">
        <v>7</v>
      </c>
      <c r="E12974" s="27" t="s">
        <v>17</v>
      </c>
      <c r="F12974" s="29"/>
      <c r="G12974" s="30">
        <f t="shared" si="228"/>
        <v>18.8504</v>
      </c>
    </row>
    <row r="12975" spans="1:7" hidden="1" x14ac:dyDescent="0.25">
      <c r="A12975" s="28">
        <v>44621</v>
      </c>
      <c r="B12975" s="27" t="s">
        <v>200</v>
      </c>
      <c r="C12975" s="27" t="s">
        <v>54</v>
      </c>
      <c r="D12975" s="27" t="s">
        <v>7</v>
      </c>
      <c r="E12975" s="27" t="s">
        <v>18</v>
      </c>
      <c r="F12975" s="29"/>
      <c r="G12975" s="30">
        <f t="shared" si="228"/>
        <v>18.8504</v>
      </c>
    </row>
    <row r="12976" spans="1:7" hidden="1" x14ac:dyDescent="0.25">
      <c r="A12976" s="28">
        <v>44621</v>
      </c>
      <c r="B12976" s="27" t="s">
        <v>200</v>
      </c>
      <c r="C12976" s="27" t="s">
        <v>54</v>
      </c>
      <c r="D12976" s="27" t="s">
        <v>7</v>
      </c>
      <c r="E12976" s="27" t="s">
        <v>19</v>
      </c>
      <c r="F12976" s="29"/>
      <c r="G12976" s="30">
        <f t="shared" si="228"/>
        <v>18.8504</v>
      </c>
    </row>
    <row r="12977" spans="1:7" hidden="1" x14ac:dyDescent="0.25">
      <c r="A12977" s="28">
        <v>44621</v>
      </c>
      <c r="B12977" s="27" t="s">
        <v>200</v>
      </c>
      <c r="C12977" s="27" t="s">
        <v>54</v>
      </c>
      <c r="D12977" s="27" t="s">
        <v>7</v>
      </c>
      <c r="E12977" s="27" t="s">
        <v>20</v>
      </c>
      <c r="F12977" s="29"/>
      <c r="G12977" s="30">
        <f t="shared" si="228"/>
        <v>18.8504</v>
      </c>
    </row>
    <row r="12978" spans="1:7" hidden="1" x14ac:dyDescent="0.25">
      <c r="A12978" s="28">
        <v>44621</v>
      </c>
      <c r="B12978" s="27" t="s">
        <v>200</v>
      </c>
      <c r="C12978" s="27" t="s">
        <v>54</v>
      </c>
      <c r="D12978" s="27" t="s">
        <v>7</v>
      </c>
      <c r="E12978" s="27" t="s">
        <v>38</v>
      </c>
      <c r="F12978" s="29"/>
      <c r="G12978" s="30">
        <f t="shared" si="228"/>
        <v>18.8504</v>
      </c>
    </row>
    <row r="12979" spans="1:7" hidden="1" x14ac:dyDescent="0.25">
      <c r="A12979" s="28">
        <v>44621</v>
      </c>
      <c r="B12979" s="27" t="s">
        <v>200</v>
      </c>
      <c r="C12979" s="27" t="s">
        <v>54</v>
      </c>
      <c r="D12979" s="27" t="s">
        <v>7</v>
      </c>
      <c r="E12979" s="27" t="s">
        <v>23</v>
      </c>
      <c r="F12979" s="29"/>
      <c r="G12979" s="30">
        <f t="shared" si="228"/>
        <v>18.8504</v>
      </c>
    </row>
    <row r="12980" spans="1:7" hidden="1" x14ac:dyDescent="0.25">
      <c r="A12980" s="28">
        <v>44621</v>
      </c>
      <c r="B12980" s="27" t="s">
        <v>200</v>
      </c>
      <c r="C12980" s="27" t="s">
        <v>54</v>
      </c>
      <c r="D12980" s="27" t="s">
        <v>7</v>
      </c>
      <c r="E12980" s="27" t="s">
        <v>40</v>
      </c>
      <c r="F12980" s="29"/>
      <c r="G12980" s="30">
        <f t="shared" si="228"/>
        <v>18.8504</v>
      </c>
    </row>
    <row r="12981" spans="1:7" hidden="1" x14ac:dyDescent="0.25">
      <c r="A12981" s="28">
        <v>44621</v>
      </c>
      <c r="B12981" s="27" t="s">
        <v>200</v>
      </c>
      <c r="C12981" s="27" t="s">
        <v>54</v>
      </c>
      <c r="D12981" s="27" t="s">
        <v>7</v>
      </c>
      <c r="E12981" s="27" t="s">
        <v>42</v>
      </c>
      <c r="F12981" s="29"/>
      <c r="G12981" s="30">
        <f t="shared" si="228"/>
        <v>18.8504</v>
      </c>
    </row>
    <row r="12982" spans="1:7" hidden="1" x14ac:dyDescent="0.25">
      <c r="A12982" s="28">
        <v>44621</v>
      </c>
      <c r="B12982" s="27" t="s">
        <v>200</v>
      </c>
      <c r="C12982" s="27" t="s">
        <v>54</v>
      </c>
      <c r="D12982" s="27" t="s">
        <v>7</v>
      </c>
      <c r="E12982" s="27" t="s">
        <v>43</v>
      </c>
      <c r="F12982" s="29"/>
      <c r="G12982" s="30">
        <f t="shared" si="228"/>
        <v>18.8504</v>
      </c>
    </row>
    <row r="12983" spans="1:7" hidden="1" x14ac:dyDescent="0.25">
      <c r="A12983" s="28">
        <v>44621</v>
      </c>
      <c r="B12983" s="27" t="s">
        <v>200</v>
      </c>
      <c r="C12983" s="27" t="s">
        <v>54</v>
      </c>
      <c r="D12983" s="27" t="s">
        <v>7</v>
      </c>
      <c r="E12983" s="27" t="s">
        <v>72</v>
      </c>
      <c r="F12983" s="29"/>
      <c r="G12983" s="30">
        <f t="shared" si="228"/>
        <v>18.8504</v>
      </c>
    </row>
    <row r="12984" spans="1:7" hidden="1" x14ac:dyDescent="0.25">
      <c r="A12984" s="28">
        <v>44621</v>
      </c>
      <c r="B12984" s="27" t="s">
        <v>200</v>
      </c>
      <c r="C12984" s="27" t="s">
        <v>54</v>
      </c>
      <c r="D12984" s="27" t="s">
        <v>7</v>
      </c>
      <c r="E12984" s="27" t="s">
        <v>206</v>
      </c>
      <c r="F12984" s="29"/>
      <c r="G12984" s="30">
        <f t="shared" si="228"/>
        <v>18.8504</v>
      </c>
    </row>
    <row r="12985" spans="1:7" hidden="1" x14ac:dyDescent="0.25">
      <c r="A12985" s="28">
        <v>44621</v>
      </c>
      <c r="B12985" s="27" t="s">
        <v>200</v>
      </c>
      <c r="C12985" s="27" t="s">
        <v>55</v>
      </c>
      <c r="D12985" s="27" t="s">
        <v>6</v>
      </c>
      <c r="E12985" s="27" t="s">
        <v>8</v>
      </c>
      <c r="F12985" s="29"/>
      <c r="G12985" s="30">
        <f t="shared" ref="G12985:G13008" si="229">32557.5249333333/24</f>
        <v>1356.5635388888875</v>
      </c>
    </row>
    <row r="12986" spans="1:7" hidden="1" x14ac:dyDescent="0.25">
      <c r="A12986" s="28">
        <v>44621</v>
      </c>
      <c r="B12986" s="27" t="s">
        <v>200</v>
      </c>
      <c r="C12986" s="27" t="s">
        <v>55</v>
      </c>
      <c r="D12986" s="27" t="s">
        <v>6</v>
      </c>
      <c r="E12986" s="27" t="s">
        <v>9</v>
      </c>
      <c r="F12986" s="29"/>
      <c r="G12986" s="30">
        <f t="shared" si="229"/>
        <v>1356.5635388888875</v>
      </c>
    </row>
    <row r="12987" spans="1:7" hidden="1" x14ac:dyDescent="0.25">
      <c r="A12987" s="28">
        <v>44621</v>
      </c>
      <c r="B12987" s="27" t="s">
        <v>200</v>
      </c>
      <c r="C12987" s="27" t="s">
        <v>55</v>
      </c>
      <c r="D12987" s="27" t="s">
        <v>6</v>
      </c>
      <c r="E12987" s="27" t="s">
        <v>22</v>
      </c>
      <c r="F12987" s="29"/>
      <c r="G12987" s="30">
        <f t="shared" si="229"/>
        <v>1356.5635388888875</v>
      </c>
    </row>
    <row r="12988" spans="1:7" hidden="1" x14ac:dyDescent="0.25">
      <c r="A12988" s="28">
        <v>44621</v>
      </c>
      <c r="B12988" s="27" t="s">
        <v>200</v>
      </c>
      <c r="C12988" s="27" t="s">
        <v>55</v>
      </c>
      <c r="D12988" s="27" t="s">
        <v>6</v>
      </c>
      <c r="E12988" s="27" t="s">
        <v>39</v>
      </c>
      <c r="F12988" s="29"/>
      <c r="G12988" s="30">
        <f t="shared" si="229"/>
        <v>1356.5635388888875</v>
      </c>
    </row>
    <row r="12989" spans="1:7" hidden="1" x14ac:dyDescent="0.25">
      <c r="A12989" s="28">
        <v>44621</v>
      </c>
      <c r="B12989" s="27" t="s">
        <v>200</v>
      </c>
      <c r="C12989" s="27" t="s">
        <v>55</v>
      </c>
      <c r="D12989" s="27" t="s">
        <v>6</v>
      </c>
      <c r="E12989" s="27" t="s">
        <v>64</v>
      </c>
      <c r="F12989" s="29"/>
      <c r="G12989" s="30">
        <f t="shared" si="229"/>
        <v>1356.5635388888875</v>
      </c>
    </row>
    <row r="12990" spans="1:7" hidden="1" x14ac:dyDescent="0.25">
      <c r="A12990" s="28">
        <v>44621</v>
      </c>
      <c r="B12990" s="27" t="s">
        <v>200</v>
      </c>
      <c r="C12990" s="27" t="s">
        <v>55</v>
      </c>
      <c r="D12990" s="27" t="s">
        <v>6</v>
      </c>
      <c r="E12990" s="27" t="s">
        <v>21</v>
      </c>
      <c r="F12990" s="29"/>
      <c r="G12990" s="30">
        <f t="shared" si="229"/>
        <v>1356.5635388888875</v>
      </c>
    </row>
    <row r="12991" spans="1:7" hidden="1" x14ac:dyDescent="0.25">
      <c r="A12991" s="28">
        <v>44621</v>
      </c>
      <c r="B12991" s="27" t="s">
        <v>200</v>
      </c>
      <c r="C12991" s="27" t="s">
        <v>55</v>
      </c>
      <c r="D12991" s="27" t="s">
        <v>6</v>
      </c>
      <c r="E12991" s="27" t="s">
        <v>41</v>
      </c>
      <c r="F12991" s="29"/>
      <c r="G12991" s="30">
        <f t="shared" si="229"/>
        <v>1356.5635388888875</v>
      </c>
    </row>
    <row r="12992" spans="1:7" hidden="1" x14ac:dyDescent="0.25">
      <c r="A12992" s="28">
        <v>44621</v>
      </c>
      <c r="B12992" s="27" t="s">
        <v>200</v>
      </c>
      <c r="C12992" s="27" t="s">
        <v>55</v>
      </c>
      <c r="D12992" s="27" t="s">
        <v>6</v>
      </c>
      <c r="E12992" s="27" t="s">
        <v>10</v>
      </c>
      <c r="F12992" s="29"/>
      <c r="G12992" s="30">
        <f t="shared" si="229"/>
        <v>1356.5635388888875</v>
      </c>
    </row>
    <row r="12993" spans="1:7" hidden="1" x14ac:dyDescent="0.25">
      <c r="A12993" s="28">
        <v>44621</v>
      </c>
      <c r="B12993" s="27" t="s">
        <v>200</v>
      </c>
      <c r="C12993" s="27" t="s">
        <v>55</v>
      </c>
      <c r="D12993" s="27" t="s">
        <v>6</v>
      </c>
      <c r="E12993" s="27" t="s">
        <v>11</v>
      </c>
      <c r="F12993" s="29"/>
      <c r="G12993" s="30">
        <f t="shared" si="229"/>
        <v>1356.5635388888875</v>
      </c>
    </row>
    <row r="12994" spans="1:7" hidden="1" x14ac:dyDescent="0.25">
      <c r="A12994" s="28">
        <v>44621</v>
      </c>
      <c r="B12994" s="27" t="s">
        <v>200</v>
      </c>
      <c r="C12994" s="27" t="s">
        <v>55</v>
      </c>
      <c r="D12994" s="27" t="s">
        <v>6</v>
      </c>
      <c r="E12994" s="27" t="s">
        <v>12</v>
      </c>
      <c r="F12994" s="29"/>
      <c r="G12994" s="30">
        <f t="shared" si="229"/>
        <v>1356.5635388888875</v>
      </c>
    </row>
    <row r="12995" spans="1:7" hidden="1" x14ac:dyDescent="0.25">
      <c r="A12995" s="28">
        <v>44621</v>
      </c>
      <c r="B12995" s="27" t="s">
        <v>200</v>
      </c>
      <c r="C12995" s="27" t="s">
        <v>55</v>
      </c>
      <c r="D12995" s="27" t="s">
        <v>6</v>
      </c>
      <c r="E12995" s="27" t="s">
        <v>13</v>
      </c>
      <c r="F12995" s="29"/>
      <c r="G12995" s="30">
        <f t="shared" si="229"/>
        <v>1356.5635388888875</v>
      </c>
    </row>
    <row r="12996" spans="1:7" hidden="1" x14ac:dyDescent="0.25">
      <c r="A12996" s="28">
        <v>44621</v>
      </c>
      <c r="B12996" s="27" t="s">
        <v>200</v>
      </c>
      <c r="C12996" s="27" t="s">
        <v>55</v>
      </c>
      <c r="D12996" s="27" t="s">
        <v>6</v>
      </c>
      <c r="E12996" s="27" t="s">
        <v>14</v>
      </c>
      <c r="F12996" s="29"/>
      <c r="G12996" s="30">
        <f t="shared" si="229"/>
        <v>1356.5635388888875</v>
      </c>
    </row>
    <row r="12997" spans="1:7" hidden="1" x14ac:dyDescent="0.25">
      <c r="A12997" s="28">
        <v>44621</v>
      </c>
      <c r="B12997" s="27" t="s">
        <v>200</v>
      </c>
      <c r="C12997" s="27" t="s">
        <v>55</v>
      </c>
      <c r="D12997" s="27" t="s">
        <v>6</v>
      </c>
      <c r="E12997" s="27" t="s">
        <v>15</v>
      </c>
      <c r="F12997" s="29"/>
      <c r="G12997" s="30">
        <f t="shared" si="229"/>
        <v>1356.5635388888875</v>
      </c>
    </row>
    <row r="12998" spans="1:7" hidden="1" x14ac:dyDescent="0.25">
      <c r="A12998" s="28">
        <v>44621</v>
      </c>
      <c r="B12998" s="27" t="s">
        <v>200</v>
      </c>
      <c r="C12998" s="27" t="s">
        <v>55</v>
      </c>
      <c r="D12998" s="27" t="s">
        <v>6</v>
      </c>
      <c r="E12998" s="27" t="s">
        <v>16</v>
      </c>
      <c r="F12998" s="29"/>
      <c r="G12998" s="30">
        <f t="shared" si="229"/>
        <v>1356.5635388888875</v>
      </c>
    </row>
    <row r="12999" spans="1:7" hidden="1" x14ac:dyDescent="0.25">
      <c r="A12999" s="28">
        <v>44621</v>
      </c>
      <c r="B12999" s="27" t="s">
        <v>200</v>
      </c>
      <c r="C12999" s="27" t="s">
        <v>55</v>
      </c>
      <c r="D12999" s="27" t="s">
        <v>6</v>
      </c>
      <c r="E12999" s="27" t="s">
        <v>17</v>
      </c>
      <c r="F12999" s="29"/>
      <c r="G12999" s="30">
        <f t="shared" si="229"/>
        <v>1356.5635388888875</v>
      </c>
    </row>
    <row r="13000" spans="1:7" hidden="1" x14ac:dyDescent="0.25">
      <c r="A13000" s="28">
        <v>44621</v>
      </c>
      <c r="B13000" s="27" t="s">
        <v>200</v>
      </c>
      <c r="C13000" s="27" t="s">
        <v>55</v>
      </c>
      <c r="D13000" s="27" t="s">
        <v>6</v>
      </c>
      <c r="E13000" s="27" t="s">
        <v>18</v>
      </c>
      <c r="F13000" s="29"/>
      <c r="G13000" s="30">
        <f t="shared" si="229"/>
        <v>1356.5635388888875</v>
      </c>
    </row>
    <row r="13001" spans="1:7" hidden="1" x14ac:dyDescent="0.25">
      <c r="A13001" s="28">
        <v>44621</v>
      </c>
      <c r="B13001" s="27" t="s">
        <v>200</v>
      </c>
      <c r="C13001" s="27" t="s">
        <v>55</v>
      </c>
      <c r="D13001" s="27" t="s">
        <v>6</v>
      </c>
      <c r="E13001" s="27" t="s">
        <v>19</v>
      </c>
      <c r="F13001" s="29"/>
      <c r="G13001" s="30">
        <f t="shared" si="229"/>
        <v>1356.5635388888875</v>
      </c>
    </row>
    <row r="13002" spans="1:7" hidden="1" x14ac:dyDescent="0.25">
      <c r="A13002" s="28">
        <v>44621</v>
      </c>
      <c r="B13002" s="27" t="s">
        <v>200</v>
      </c>
      <c r="C13002" s="27" t="s">
        <v>55</v>
      </c>
      <c r="D13002" s="27" t="s">
        <v>6</v>
      </c>
      <c r="E13002" s="27" t="s">
        <v>20</v>
      </c>
      <c r="F13002" s="29"/>
      <c r="G13002" s="30">
        <f t="shared" si="229"/>
        <v>1356.5635388888875</v>
      </c>
    </row>
    <row r="13003" spans="1:7" hidden="1" x14ac:dyDescent="0.25">
      <c r="A13003" s="28">
        <v>44621</v>
      </c>
      <c r="B13003" s="27" t="s">
        <v>200</v>
      </c>
      <c r="C13003" s="27" t="s">
        <v>55</v>
      </c>
      <c r="D13003" s="27" t="s">
        <v>6</v>
      </c>
      <c r="E13003" s="27" t="s">
        <v>38</v>
      </c>
      <c r="F13003" s="29"/>
      <c r="G13003" s="30">
        <f t="shared" si="229"/>
        <v>1356.5635388888875</v>
      </c>
    </row>
    <row r="13004" spans="1:7" hidden="1" x14ac:dyDescent="0.25">
      <c r="A13004" s="28">
        <v>44621</v>
      </c>
      <c r="B13004" s="27" t="s">
        <v>200</v>
      </c>
      <c r="C13004" s="27" t="s">
        <v>55</v>
      </c>
      <c r="D13004" s="27" t="s">
        <v>6</v>
      </c>
      <c r="E13004" s="27" t="s">
        <v>23</v>
      </c>
      <c r="F13004" s="29"/>
      <c r="G13004" s="30">
        <f t="shared" si="229"/>
        <v>1356.5635388888875</v>
      </c>
    </row>
    <row r="13005" spans="1:7" hidden="1" x14ac:dyDescent="0.25">
      <c r="A13005" s="28">
        <v>44621</v>
      </c>
      <c r="B13005" s="27" t="s">
        <v>200</v>
      </c>
      <c r="C13005" s="27" t="s">
        <v>55</v>
      </c>
      <c r="D13005" s="27" t="s">
        <v>6</v>
      </c>
      <c r="E13005" s="27" t="s">
        <v>40</v>
      </c>
      <c r="F13005" s="29"/>
      <c r="G13005" s="30">
        <f t="shared" si="229"/>
        <v>1356.5635388888875</v>
      </c>
    </row>
    <row r="13006" spans="1:7" hidden="1" x14ac:dyDescent="0.25">
      <c r="A13006" s="28">
        <v>44621</v>
      </c>
      <c r="B13006" s="27" t="s">
        <v>200</v>
      </c>
      <c r="C13006" s="27" t="s">
        <v>55</v>
      </c>
      <c r="D13006" s="27" t="s">
        <v>6</v>
      </c>
      <c r="E13006" s="27" t="s">
        <v>42</v>
      </c>
      <c r="F13006" s="29"/>
      <c r="G13006" s="30">
        <f t="shared" si="229"/>
        <v>1356.5635388888875</v>
      </c>
    </row>
    <row r="13007" spans="1:7" hidden="1" x14ac:dyDescent="0.25">
      <c r="A13007" s="28">
        <v>44621</v>
      </c>
      <c r="B13007" s="27" t="s">
        <v>200</v>
      </c>
      <c r="C13007" s="27" t="s">
        <v>55</v>
      </c>
      <c r="D13007" s="27" t="s">
        <v>6</v>
      </c>
      <c r="E13007" s="27" t="s">
        <v>72</v>
      </c>
      <c r="F13007" s="29"/>
      <c r="G13007" s="30">
        <f t="shared" si="229"/>
        <v>1356.5635388888875</v>
      </c>
    </row>
    <row r="13008" spans="1:7" hidden="1" x14ac:dyDescent="0.25">
      <c r="A13008" s="28">
        <v>44621</v>
      </c>
      <c r="B13008" s="27" t="s">
        <v>200</v>
      </c>
      <c r="C13008" s="27" t="s">
        <v>55</v>
      </c>
      <c r="D13008" s="27" t="s">
        <v>6</v>
      </c>
      <c r="E13008" s="27" t="s">
        <v>12</v>
      </c>
      <c r="F13008" s="29"/>
      <c r="G13008" s="30">
        <f t="shared" si="229"/>
        <v>1356.5635388888875</v>
      </c>
    </row>
    <row r="13009" spans="1:7" hidden="1" x14ac:dyDescent="0.25">
      <c r="A13009" s="28">
        <v>44621</v>
      </c>
      <c r="B13009" s="27" t="s">
        <v>200</v>
      </c>
      <c r="C13009" s="27" t="s">
        <v>183</v>
      </c>
      <c r="D13009" s="27" t="s">
        <v>7</v>
      </c>
      <c r="E13009" s="27" t="s">
        <v>8</v>
      </c>
      <c r="F13009" s="29"/>
      <c r="G13009" s="30">
        <f t="shared" ref="G13009:G13033" si="230">1501.09/25</f>
        <v>60.043599999999998</v>
      </c>
    </row>
    <row r="13010" spans="1:7" hidden="1" x14ac:dyDescent="0.25">
      <c r="A13010" s="28">
        <v>44621</v>
      </c>
      <c r="B13010" s="27" t="s">
        <v>200</v>
      </c>
      <c r="C13010" s="27" t="s">
        <v>183</v>
      </c>
      <c r="D13010" s="27" t="s">
        <v>7</v>
      </c>
      <c r="E13010" s="27" t="s">
        <v>9</v>
      </c>
      <c r="F13010" s="29"/>
      <c r="G13010" s="30">
        <f t="shared" si="230"/>
        <v>60.043599999999998</v>
      </c>
    </row>
    <row r="13011" spans="1:7" hidden="1" x14ac:dyDescent="0.25">
      <c r="A13011" s="28">
        <v>44621</v>
      </c>
      <c r="B13011" s="27" t="s">
        <v>200</v>
      </c>
      <c r="C13011" s="27" t="s">
        <v>183</v>
      </c>
      <c r="D13011" s="27" t="s">
        <v>7</v>
      </c>
      <c r="E13011" s="27" t="s">
        <v>22</v>
      </c>
      <c r="F13011" s="29"/>
      <c r="G13011" s="30">
        <f t="shared" si="230"/>
        <v>60.043599999999998</v>
      </c>
    </row>
    <row r="13012" spans="1:7" hidden="1" x14ac:dyDescent="0.25">
      <c r="A13012" s="28">
        <v>44621</v>
      </c>
      <c r="B13012" s="27" t="s">
        <v>200</v>
      </c>
      <c r="C13012" s="27" t="s">
        <v>183</v>
      </c>
      <c r="D13012" s="27" t="s">
        <v>7</v>
      </c>
      <c r="E13012" s="27" t="s">
        <v>39</v>
      </c>
      <c r="F13012" s="29"/>
      <c r="G13012" s="30">
        <f t="shared" si="230"/>
        <v>60.043599999999998</v>
      </c>
    </row>
    <row r="13013" spans="1:7" hidden="1" x14ac:dyDescent="0.25">
      <c r="A13013" s="28">
        <v>44621</v>
      </c>
      <c r="B13013" s="27" t="s">
        <v>200</v>
      </c>
      <c r="C13013" s="27" t="s">
        <v>183</v>
      </c>
      <c r="D13013" s="27" t="s">
        <v>7</v>
      </c>
      <c r="E13013" s="27" t="s">
        <v>64</v>
      </c>
      <c r="F13013" s="29"/>
      <c r="G13013" s="30">
        <f t="shared" si="230"/>
        <v>60.043599999999998</v>
      </c>
    </row>
    <row r="13014" spans="1:7" hidden="1" x14ac:dyDescent="0.25">
      <c r="A13014" s="28">
        <v>44621</v>
      </c>
      <c r="B13014" s="27" t="s">
        <v>200</v>
      </c>
      <c r="C13014" s="27" t="s">
        <v>183</v>
      </c>
      <c r="D13014" s="27" t="s">
        <v>7</v>
      </c>
      <c r="E13014" s="27" t="s">
        <v>21</v>
      </c>
      <c r="F13014" s="29"/>
      <c r="G13014" s="30">
        <f t="shared" si="230"/>
        <v>60.043599999999998</v>
      </c>
    </row>
    <row r="13015" spans="1:7" hidden="1" x14ac:dyDescent="0.25">
      <c r="A13015" s="28">
        <v>44621</v>
      </c>
      <c r="B13015" s="27" t="s">
        <v>200</v>
      </c>
      <c r="C13015" s="27" t="s">
        <v>183</v>
      </c>
      <c r="D13015" s="27" t="s">
        <v>7</v>
      </c>
      <c r="E13015" s="27" t="s">
        <v>41</v>
      </c>
      <c r="F13015" s="29"/>
      <c r="G13015" s="30">
        <f t="shared" si="230"/>
        <v>60.043599999999998</v>
      </c>
    </row>
    <row r="13016" spans="1:7" hidden="1" x14ac:dyDescent="0.25">
      <c r="A13016" s="28">
        <v>44621</v>
      </c>
      <c r="B13016" s="27" t="s">
        <v>200</v>
      </c>
      <c r="C13016" s="27" t="s">
        <v>183</v>
      </c>
      <c r="D13016" s="27" t="s">
        <v>7</v>
      </c>
      <c r="E13016" s="27" t="s">
        <v>10</v>
      </c>
      <c r="F13016" s="29"/>
      <c r="G13016" s="30">
        <f t="shared" si="230"/>
        <v>60.043599999999998</v>
      </c>
    </row>
    <row r="13017" spans="1:7" hidden="1" x14ac:dyDescent="0.25">
      <c r="A13017" s="28">
        <v>44621</v>
      </c>
      <c r="B13017" s="27" t="s">
        <v>200</v>
      </c>
      <c r="C13017" s="27" t="s">
        <v>183</v>
      </c>
      <c r="D13017" s="27" t="s">
        <v>7</v>
      </c>
      <c r="E13017" s="27" t="s">
        <v>11</v>
      </c>
      <c r="F13017" s="29"/>
      <c r="G13017" s="30">
        <f t="shared" si="230"/>
        <v>60.043599999999998</v>
      </c>
    </row>
    <row r="13018" spans="1:7" hidden="1" x14ac:dyDescent="0.25">
      <c r="A13018" s="28">
        <v>44621</v>
      </c>
      <c r="B13018" s="27" t="s">
        <v>200</v>
      </c>
      <c r="C13018" s="27" t="s">
        <v>183</v>
      </c>
      <c r="D13018" s="27" t="s">
        <v>7</v>
      </c>
      <c r="E13018" s="27" t="s">
        <v>12</v>
      </c>
      <c r="F13018" s="29"/>
      <c r="G13018" s="30">
        <f t="shared" si="230"/>
        <v>60.043599999999998</v>
      </c>
    </row>
    <row r="13019" spans="1:7" hidden="1" x14ac:dyDescent="0.25">
      <c r="A13019" s="28">
        <v>44621</v>
      </c>
      <c r="B13019" s="27" t="s">
        <v>200</v>
      </c>
      <c r="C13019" s="27" t="s">
        <v>183</v>
      </c>
      <c r="D13019" s="27" t="s">
        <v>7</v>
      </c>
      <c r="E13019" s="27" t="s">
        <v>13</v>
      </c>
      <c r="F13019" s="29"/>
      <c r="G13019" s="30">
        <f t="shared" si="230"/>
        <v>60.043599999999998</v>
      </c>
    </row>
    <row r="13020" spans="1:7" hidden="1" x14ac:dyDescent="0.25">
      <c r="A13020" s="28">
        <v>44621</v>
      </c>
      <c r="B13020" s="27" t="s">
        <v>200</v>
      </c>
      <c r="C13020" s="27" t="s">
        <v>183</v>
      </c>
      <c r="D13020" s="27" t="s">
        <v>7</v>
      </c>
      <c r="E13020" s="27" t="s">
        <v>14</v>
      </c>
      <c r="F13020" s="29"/>
      <c r="G13020" s="30">
        <f t="shared" si="230"/>
        <v>60.043599999999998</v>
      </c>
    </row>
    <row r="13021" spans="1:7" hidden="1" x14ac:dyDescent="0.25">
      <c r="A13021" s="28">
        <v>44621</v>
      </c>
      <c r="B13021" s="27" t="s">
        <v>200</v>
      </c>
      <c r="C13021" s="27" t="s">
        <v>183</v>
      </c>
      <c r="D13021" s="27" t="s">
        <v>7</v>
      </c>
      <c r="E13021" s="27" t="s">
        <v>15</v>
      </c>
      <c r="F13021" s="29"/>
      <c r="G13021" s="30">
        <f t="shared" si="230"/>
        <v>60.043599999999998</v>
      </c>
    </row>
    <row r="13022" spans="1:7" hidden="1" x14ac:dyDescent="0.25">
      <c r="A13022" s="28">
        <v>44621</v>
      </c>
      <c r="B13022" s="27" t="s">
        <v>200</v>
      </c>
      <c r="C13022" s="27" t="s">
        <v>183</v>
      </c>
      <c r="D13022" s="27" t="s">
        <v>7</v>
      </c>
      <c r="E13022" s="27" t="s">
        <v>16</v>
      </c>
      <c r="F13022" s="29"/>
      <c r="G13022" s="30">
        <f t="shared" si="230"/>
        <v>60.043599999999998</v>
      </c>
    </row>
    <row r="13023" spans="1:7" hidden="1" x14ac:dyDescent="0.25">
      <c r="A13023" s="28">
        <v>44621</v>
      </c>
      <c r="B13023" s="27" t="s">
        <v>200</v>
      </c>
      <c r="C13023" s="27" t="s">
        <v>183</v>
      </c>
      <c r="D13023" s="27" t="s">
        <v>7</v>
      </c>
      <c r="E13023" s="27" t="s">
        <v>17</v>
      </c>
      <c r="F13023" s="29"/>
      <c r="G13023" s="30">
        <f t="shared" si="230"/>
        <v>60.043599999999998</v>
      </c>
    </row>
    <row r="13024" spans="1:7" hidden="1" x14ac:dyDescent="0.25">
      <c r="A13024" s="28">
        <v>44621</v>
      </c>
      <c r="B13024" s="27" t="s">
        <v>200</v>
      </c>
      <c r="C13024" s="27" t="s">
        <v>183</v>
      </c>
      <c r="D13024" s="27" t="s">
        <v>7</v>
      </c>
      <c r="E13024" s="27" t="s">
        <v>18</v>
      </c>
      <c r="F13024" s="29"/>
      <c r="G13024" s="30">
        <f t="shared" si="230"/>
        <v>60.043599999999998</v>
      </c>
    </row>
    <row r="13025" spans="1:7" hidden="1" x14ac:dyDescent="0.25">
      <c r="A13025" s="28">
        <v>44621</v>
      </c>
      <c r="B13025" s="27" t="s">
        <v>200</v>
      </c>
      <c r="C13025" s="27" t="s">
        <v>183</v>
      </c>
      <c r="D13025" s="27" t="s">
        <v>7</v>
      </c>
      <c r="E13025" s="27" t="s">
        <v>19</v>
      </c>
      <c r="F13025" s="29"/>
      <c r="G13025" s="30">
        <f t="shared" si="230"/>
        <v>60.043599999999998</v>
      </c>
    </row>
    <row r="13026" spans="1:7" hidden="1" x14ac:dyDescent="0.25">
      <c r="A13026" s="28">
        <v>44621</v>
      </c>
      <c r="B13026" s="27" t="s">
        <v>200</v>
      </c>
      <c r="C13026" s="27" t="s">
        <v>183</v>
      </c>
      <c r="D13026" s="27" t="s">
        <v>7</v>
      </c>
      <c r="E13026" s="27" t="s">
        <v>20</v>
      </c>
      <c r="F13026" s="29"/>
      <c r="G13026" s="30">
        <f t="shared" si="230"/>
        <v>60.043599999999998</v>
      </c>
    </row>
    <row r="13027" spans="1:7" hidden="1" x14ac:dyDescent="0.25">
      <c r="A13027" s="28">
        <v>44621</v>
      </c>
      <c r="B13027" s="27" t="s">
        <v>200</v>
      </c>
      <c r="C13027" s="27" t="s">
        <v>183</v>
      </c>
      <c r="D13027" s="27" t="s">
        <v>7</v>
      </c>
      <c r="E13027" s="27" t="s">
        <v>38</v>
      </c>
      <c r="F13027" s="29"/>
      <c r="G13027" s="30">
        <f t="shared" si="230"/>
        <v>60.043599999999998</v>
      </c>
    </row>
    <row r="13028" spans="1:7" hidden="1" x14ac:dyDescent="0.25">
      <c r="A13028" s="28">
        <v>44621</v>
      </c>
      <c r="B13028" s="27" t="s">
        <v>200</v>
      </c>
      <c r="C13028" s="27" t="s">
        <v>183</v>
      </c>
      <c r="D13028" s="27" t="s">
        <v>7</v>
      </c>
      <c r="E13028" s="27" t="s">
        <v>23</v>
      </c>
      <c r="F13028" s="29"/>
      <c r="G13028" s="30">
        <f t="shared" si="230"/>
        <v>60.043599999999998</v>
      </c>
    </row>
    <row r="13029" spans="1:7" hidden="1" x14ac:dyDescent="0.25">
      <c r="A13029" s="28">
        <v>44621</v>
      </c>
      <c r="B13029" s="27" t="s">
        <v>200</v>
      </c>
      <c r="C13029" s="27" t="s">
        <v>183</v>
      </c>
      <c r="D13029" s="27" t="s">
        <v>7</v>
      </c>
      <c r="E13029" s="27" t="s">
        <v>40</v>
      </c>
      <c r="F13029" s="29"/>
      <c r="G13029" s="30">
        <f t="shared" si="230"/>
        <v>60.043599999999998</v>
      </c>
    </row>
    <row r="13030" spans="1:7" hidden="1" x14ac:dyDescent="0.25">
      <c r="A13030" s="28">
        <v>44621</v>
      </c>
      <c r="B13030" s="27" t="s">
        <v>200</v>
      </c>
      <c r="C13030" s="27" t="s">
        <v>183</v>
      </c>
      <c r="D13030" s="27" t="s">
        <v>7</v>
      </c>
      <c r="E13030" s="27" t="s">
        <v>42</v>
      </c>
      <c r="F13030" s="29"/>
      <c r="G13030" s="30">
        <f t="shared" si="230"/>
        <v>60.043599999999998</v>
      </c>
    </row>
    <row r="13031" spans="1:7" hidden="1" x14ac:dyDescent="0.25">
      <c r="A13031" s="28">
        <v>44621</v>
      </c>
      <c r="B13031" s="27" t="s">
        <v>200</v>
      </c>
      <c r="C13031" s="27" t="s">
        <v>183</v>
      </c>
      <c r="D13031" s="27" t="s">
        <v>7</v>
      </c>
      <c r="E13031" s="27" t="s">
        <v>43</v>
      </c>
      <c r="F13031" s="29"/>
      <c r="G13031" s="30">
        <f t="shared" si="230"/>
        <v>60.043599999999998</v>
      </c>
    </row>
    <row r="13032" spans="1:7" hidden="1" x14ac:dyDescent="0.25">
      <c r="A13032" s="28">
        <v>44621</v>
      </c>
      <c r="B13032" s="27" t="s">
        <v>200</v>
      </c>
      <c r="C13032" s="27" t="s">
        <v>183</v>
      </c>
      <c r="D13032" s="27" t="s">
        <v>7</v>
      </c>
      <c r="E13032" s="27" t="s">
        <v>72</v>
      </c>
      <c r="F13032" s="29"/>
      <c r="G13032" s="30">
        <f t="shared" si="230"/>
        <v>60.043599999999998</v>
      </c>
    </row>
    <row r="13033" spans="1:7" hidden="1" x14ac:dyDescent="0.25">
      <c r="A13033" s="28">
        <v>44621</v>
      </c>
      <c r="B13033" s="27" t="s">
        <v>200</v>
      </c>
      <c r="C13033" s="27" t="s">
        <v>183</v>
      </c>
      <c r="D13033" s="27" t="s">
        <v>7</v>
      </c>
      <c r="E13033" s="27" t="s">
        <v>206</v>
      </c>
      <c r="F13033" s="29"/>
      <c r="G13033" s="30">
        <f t="shared" si="230"/>
        <v>60.043599999999998</v>
      </c>
    </row>
    <row r="13034" spans="1:7" hidden="1" x14ac:dyDescent="0.25">
      <c r="A13034" s="28">
        <v>44621</v>
      </c>
      <c r="B13034" s="27" t="s">
        <v>200</v>
      </c>
      <c r="C13034" s="27" t="s">
        <v>56</v>
      </c>
      <c r="D13034" s="27" t="s">
        <v>6</v>
      </c>
      <c r="E13034" s="27" t="s">
        <v>8</v>
      </c>
      <c r="F13034" s="29"/>
      <c r="G13034" s="30">
        <f t="shared" ref="G13034:G13057" si="231">49526.2912888889/24</f>
        <v>2063.5954703703705</v>
      </c>
    </row>
    <row r="13035" spans="1:7" hidden="1" x14ac:dyDescent="0.25">
      <c r="A13035" s="28">
        <v>44621</v>
      </c>
      <c r="B13035" s="27" t="s">
        <v>200</v>
      </c>
      <c r="C13035" s="27" t="s">
        <v>56</v>
      </c>
      <c r="D13035" s="27" t="s">
        <v>6</v>
      </c>
      <c r="E13035" s="27" t="s">
        <v>9</v>
      </c>
      <c r="F13035" s="29"/>
      <c r="G13035" s="30">
        <f t="shared" si="231"/>
        <v>2063.5954703703705</v>
      </c>
    </row>
    <row r="13036" spans="1:7" hidden="1" x14ac:dyDescent="0.25">
      <c r="A13036" s="28">
        <v>44621</v>
      </c>
      <c r="B13036" s="27" t="s">
        <v>200</v>
      </c>
      <c r="C13036" s="27" t="s">
        <v>56</v>
      </c>
      <c r="D13036" s="27" t="s">
        <v>6</v>
      </c>
      <c r="E13036" s="27" t="s">
        <v>22</v>
      </c>
      <c r="F13036" s="29"/>
      <c r="G13036" s="30">
        <f t="shared" si="231"/>
        <v>2063.5954703703705</v>
      </c>
    </row>
    <row r="13037" spans="1:7" hidden="1" x14ac:dyDescent="0.25">
      <c r="A13037" s="28">
        <v>44621</v>
      </c>
      <c r="B13037" s="27" t="s">
        <v>200</v>
      </c>
      <c r="C13037" s="27" t="s">
        <v>56</v>
      </c>
      <c r="D13037" s="27" t="s">
        <v>6</v>
      </c>
      <c r="E13037" s="27" t="s">
        <v>39</v>
      </c>
      <c r="F13037" s="29"/>
      <c r="G13037" s="30">
        <f t="shared" si="231"/>
        <v>2063.5954703703705</v>
      </c>
    </row>
    <row r="13038" spans="1:7" hidden="1" x14ac:dyDescent="0.25">
      <c r="A13038" s="28">
        <v>44621</v>
      </c>
      <c r="B13038" s="27" t="s">
        <v>200</v>
      </c>
      <c r="C13038" s="27" t="s">
        <v>56</v>
      </c>
      <c r="D13038" s="27" t="s">
        <v>6</v>
      </c>
      <c r="E13038" s="27" t="s">
        <v>64</v>
      </c>
      <c r="F13038" s="29"/>
      <c r="G13038" s="30">
        <f t="shared" si="231"/>
        <v>2063.5954703703705</v>
      </c>
    </row>
    <row r="13039" spans="1:7" hidden="1" x14ac:dyDescent="0.25">
      <c r="A13039" s="28">
        <v>44621</v>
      </c>
      <c r="B13039" s="27" t="s">
        <v>200</v>
      </c>
      <c r="C13039" s="27" t="s">
        <v>56</v>
      </c>
      <c r="D13039" s="27" t="s">
        <v>6</v>
      </c>
      <c r="E13039" s="27" t="s">
        <v>21</v>
      </c>
      <c r="F13039" s="29"/>
      <c r="G13039" s="30">
        <f t="shared" si="231"/>
        <v>2063.5954703703705</v>
      </c>
    </row>
    <row r="13040" spans="1:7" hidden="1" x14ac:dyDescent="0.25">
      <c r="A13040" s="28">
        <v>44621</v>
      </c>
      <c r="B13040" s="27" t="s">
        <v>200</v>
      </c>
      <c r="C13040" s="27" t="s">
        <v>56</v>
      </c>
      <c r="D13040" s="27" t="s">
        <v>6</v>
      </c>
      <c r="E13040" s="27" t="s">
        <v>41</v>
      </c>
      <c r="F13040" s="29"/>
      <c r="G13040" s="30">
        <f t="shared" si="231"/>
        <v>2063.5954703703705</v>
      </c>
    </row>
    <row r="13041" spans="1:7" hidden="1" x14ac:dyDescent="0.25">
      <c r="A13041" s="28">
        <v>44621</v>
      </c>
      <c r="B13041" s="27" t="s">
        <v>200</v>
      </c>
      <c r="C13041" s="27" t="s">
        <v>56</v>
      </c>
      <c r="D13041" s="27" t="s">
        <v>6</v>
      </c>
      <c r="E13041" s="27" t="s">
        <v>10</v>
      </c>
      <c r="F13041" s="29"/>
      <c r="G13041" s="30">
        <f t="shared" si="231"/>
        <v>2063.5954703703705</v>
      </c>
    </row>
    <row r="13042" spans="1:7" hidden="1" x14ac:dyDescent="0.25">
      <c r="A13042" s="28">
        <v>44621</v>
      </c>
      <c r="B13042" s="27" t="s">
        <v>200</v>
      </c>
      <c r="C13042" s="27" t="s">
        <v>56</v>
      </c>
      <c r="D13042" s="27" t="s">
        <v>6</v>
      </c>
      <c r="E13042" s="27" t="s">
        <v>11</v>
      </c>
      <c r="F13042" s="29"/>
      <c r="G13042" s="30">
        <f t="shared" si="231"/>
        <v>2063.5954703703705</v>
      </c>
    </row>
    <row r="13043" spans="1:7" hidden="1" x14ac:dyDescent="0.25">
      <c r="A13043" s="28">
        <v>44621</v>
      </c>
      <c r="B13043" s="27" t="s">
        <v>200</v>
      </c>
      <c r="C13043" s="27" t="s">
        <v>56</v>
      </c>
      <c r="D13043" s="27" t="s">
        <v>6</v>
      </c>
      <c r="E13043" s="27" t="s">
        <v>12</v>
      </c>
      <c r="F13043" s="29"/>
      <c r="G13043" s="30">
        <f t="shared" si="231"/>
        <v>2063.5954703703705</v>
      </c>
    </row>
    <row r="13044" spans="1:7" hidden="1" x14ac:dyDescent="0.25">
      <c r="A13044" s="28">
        <v>44621</v>
      </c>
      <c r="B13044" s="27" t="s">
        <v>200</v>
      </c>
      <c r="C13044" s="27" t="s">
        <v>56</v>
      </c>
      <c r="D13044" s="27" t="s">
        <v>6</v>
      </c>
      <c r="E13044" s="27" t="s">
        <v>13</v>
      </c>
      <c r="F13044" s="29"/>
      <c r="G13044" s="30">
        <f t="shared" si="231"/>
        <v>2063.5954703703705</v>
      </c>
    </row>
    <row r="13045" spans="1:7" hidden="1" x14ac:dyDescent="0.25">
      <c r="A13045" s="28">
        <v>44621</v>
      </c>
      <c r="B13045" s="27" t="s">
        <v>200</v>
      </c>
      <c r="C13045" s="27" t="s">
        <v>56</v>
      </c>
      <c r="D13045" s="27" t="s">
        <v>6</v>
      </c>
      <c r="E13045" s="27" t="s">
        <v>14</v>
      </c>
      <c r="F13045" s="29"/>
      <c r="G13045" s="30">
        <f t="shared" si="231"/>
        <v>2063.5954703703705</v>
      </c>
    </row>
    <row r="13046" spans="1:7" hidden="1" x14ac:dyDescent="0.25">
      <c r="A13046" s="28">
        <v>44621</v>
      </c>
      <c r="B13046" s="27" t="s">
        <v>200</v>
      </c>
      <c r="C13046" s="27" t="s">
        <v>56</v>
      </c>
      <c r="D13046" s="27" t="s">
        <v>6</v>
      </c>
      <c r="E13046" s="27" t="s">
        <v>15</v>
      </c>
      <c r="F13046" s="29"/>
      <c r="G13046" s="30">
        <f t="shared" si="231"/>
        <v>2063.5954703703705</v>
      </c>
    </row>
    <row r="13047" spans="1:7" hidden="1" x14ac:dyDescent="0.25">
      <c r="A13047" s="28">
        <v>44621</v>
      </c>
      <c r="B13047" s="27" t="s">
        <v>200</v>
      </c>
      <c r="C13047" s="27" t="s">
        <v>56</v>
      </c>
      <c r="D13047" s="27" t="s">
        <v>6</v>
      </c>
      <c r="E13047" s="27" t="s">
        <v>16</v>
      </c>
      <c r="F13047" s="29"/>
      <c r="G13047" s="30">
        <f t="shared" si="231"/>
        <v>2063.5954703703705</v>
      </c>
    </row>
    <row r="13048" spans="1:7" hidden="1" x14ac:dyDescent="0.25">
      <c r="A13048" s="28">
        <v>44621</v>
      </c>
      <c r="B13048" s="27" t="s">
        <v>200</v>
      </c>
      <c r="C13048" s="27" t="s">
        <v>56</v>
      </c>
      <c r="D13048" s="27" t="s">
        <v>6</v>
      </c>
      <c r="E13048" s="27" t="s">
        <v>17</v>
      </c>
      <c r="F13048" s="29"/>
      <c r="G13048" s="30">
        <f t="shared" si="231"/>
        <v>2063.5954703703705</v>
      </c>
    </row>
    <row r="13049" spans="1:7" hidden="1" x14ac:dyDescent="0.25">
      <c r="A13049" s="28">
        <v>44621</v>
      </c>
      <c r="B13049" s="27" t="s">
        <v>200</v>
      </c>
      <c r="C13049" s="27" t="s">
        <v>56</v>
      </c>
      <c r="D13049" s="27" t="s">
        <v>6</v>
      </c>
      <c r="E13049" s="27" t="s">
        <v>18</v>
      </c>
      <c r="F13049" s="29"/>
      <c r="G13049" s="30">
        <f t="shared" si="231"/>
        <v>2063.5954703703705</v>
      </c>
    </row>
    <row r="13050" spans="1:7" hidden="1" x14ac:dyDescent="0.25">
      <c r="A13050" s="28">
        <v>44621</v>
      </c>
      <c r="B13050" s="27" t="s">
        <v>200</v>
      </c>
      <c r="C13050" s="27" t="s">
        <v>56</v>
      </c>
      <c r="D13050" s="27" t="s">
        <v>6</v>
      </c>
      <c r="E13050" s="27" t="s">
        <v>19</v>
      </c>
      <c r="F13050" s="29"/>
      <c r="G13050" s="30">
        <f t="shared" si="231"/>
        <v>2063.5954703703705</v>
      </c>
    </row>
    <row r="13051" spans="1:7" hidden="1" x14ac:dyDescent="0.25">
      <c r="A13051" s="28">
        <v>44621</v>
      </c>
      <c r="B13051" s="27" t="s">
        <v>200</v>
      </c>
      <c r="C13051" s="27" t="s">
        <v>56</v>
      </c>
      <c r="D13051" s="27" t="s">
        <v>6</v>
      </c>
      <c r="E13051" s="27" t="s">
        <v>20</v>
      </c>
      <c r="F13051" s="29"/>
      <c r="G13051" s="30">
        <f t="shared" si="231"/>
        <v>2063.5954703703705</v>
      </c>
    </row>
    <row r="13052" spans="1:7" hidden="1" x14ac:dyDescent="0.25">
      <c r="A13052" s="28">
        <v>44621</v>
      </c>
      <c r="B13052" s="27" t="s">
        <v>200</v>
      </c>
      <c r="C13052" s="27" t="s">
        <v>56</v>
      </c>
      <c r="D13052" s="27" t="s">
        <v>6</v>
      </c>
      <c r="E13052" s="27" t="s">
        <v>38</v>
      </c>
      <c r="F13052" s="29"/>
      <c r="G13052" s="30">
        <f t="shared" si="231"/>
        <v>2063.5954703703705</v>
      </c>
    </row>
    <row r="13053" spans="1:7" hidden="1" x14ac:dyDescent="0.25">
      <c r="A13053" s="28">
        <v>44621</v>
      </c>
      <c r="B13053" s="27" t="s">
        <v>200</v>
      </c>
      <c r="C13053" s="27" t="s">
        <v>56</v>
      </c>
      <c r="D13053" s="27" t="s">
        <v>6</v>
      </c>
      <c r="E13053" s="27" t="s">
        <v>23</v>
      </c>
      <c r="F13053" s="29"/>
      <c r="G13053" s="30">
        <f t="shared" si="231"/>
        <v>2063.5954703703705</v>
      </c>
    </row>
    <row r="13054" spans="1:7" hidden="1" x14ac:dyDescent="0.25">
      <c r="A13054" s="28">
        <v>44621</v>
      </c>
      <c r="B13054" s="27" t="s">
        <v>200</v>
      </c>
      <c r="C13054" s="27" t="s">
        <v>56</v>
      </c>
      <c r="D13054" s="27" t="s">
        <v>6</v>
      </c>
      <c r="E13054" s="27" t="s">
        <v>40</v>
      </c>
      <c r="F13054" s="29"/>
      <c r="G13054" s="30">
        <f t="shared" si="231"/>
        <v>2063.5954703703705</v>
      </c>
    </row>
    <row r="13055" spans="1:7" hidden="1" x14ac:dyDescent="0.25">
      <c r="A13055" s="28">
        <v>44621</v>
      </c>
      <c r="B13055" s="27" t="s">
        <v>200</v>
      </c>
      <c r="C13055" s="27" t="s">
        <v>56</v>
      </c>
      <c r="D13055" s="27" t="s">
        <v>6</v>
      </c>
      <c r="E13055" s="27" t="s">
        <v>42</v>
      </c>
      <c r="F13055" s="29"/>
      <c r="G13055" s="30">
        <f t="shared" si="231"/>
        <v>2063.5954703703705</v>
      </c>
    </row>
    <row r="13056" spans="1:7" hidden="1" x14ac:dyDescent="0.25">
      <c r="A13056" s="28">
        <v>44621</v>
      </c>
      <c r="B13056" s="27" t="s">
        <v>200</v>
      </c>
      <c r="C13056" s="27" t="s">
        <v>56</v>
      </c>
      <c r="D13056" s="27" t="s">
        <v>6</v>
      </c>
      <c r="E13056" s="27" t="s">
        <v>72</v>
      </c>
      <c r="F13056" s="29"/>
      <c r="G13056" s="30">
        <f t="shared" si="231"/>
        <v>2063.5954703703705</v>
      </c>
    </row>
    <row r="13057" spans="1:7" hidden="1" x14ac:dyDescent="0.25">
      <c r="A13057" s="28">
        <v>44621</v>
      </c>
      <c r="B13057" s="27" t="s">
        <v>200</v>
      </c>
      <c r="C13057" s="27" t="s">
        <v>56</v>
      </c>
      <c r="D13057" s="27" t="s">
        <v>6</v>
      </c>
      <c r="E13057" s="27" t="s">
        <v>12</v>
      </c>
      <c r="F13057" s="29"/>
      <c r="G13057" s="30">
        <f t="shared" si="231"/>
        <v>2063.5954703703705</v>
      </c>
    </row>
    <row r="13058" spans="1:7" hidden="1" x14ac:dyDescent="0.25">
      <c r="A13058" s="28">
        <v>44621</v>
      </c>
      <c r="B13058" s="27" t="s">
        <v>200</v>
      </c>
      <c r="C13058" s="27" t="s">
        <v>182</v>
      </c>
      <c r="D13058" s="27" t="s">
        <v>7</v>
      </c>
      <c r="E13058" s="27" t="s">
        <v>8</v>
      </c>
      <c r="F13058" s="29"/>
      <c r="G13058" s="30">
        <f t="shared" ref="G13058:G13082" si="232">4690.65/25</f>
        <v>187.62599999999998</v>
      </c>
    </row>
    <row r="13059" spans="1:7" hidden="1" x14ac:dyDescent="0.25">
      <c r="A13059" s="28">
        <v>44621</v>
      </c>
      <c r="B13059" s="27" t="s">
        <v>200</v>
      </c>
      <c r="C13059" s="27" t="s">
        <v>182</v>
      </c>
      <c r="D13059" s="27" t="s">
        <v>7</v>
      </c>
      <c r="E13059" s="27" t="s">
        <v>9</v>
      </c>
      <c r="F13059" s="29"/>
      <c r="G13059" s="30">
        <f t="shared" si="232"/>
        <v>187.62599999999998</v>
      </c>
    </row>
    <row r="13060" spans="1:7" hidden="1" x14ac:dyDescent="0.25">
      <c r="A13060" s="28">
        <v>44621</v>
      </c>
      <c r="B13060" s="27" t="s">
        <v>200</v>
      </c>
      <c r="C13060" s="27" t="s">
        <v>182</v>
      </c>
      <c r="D13060" s="27" t="s">
        <v>7</v>
      </c>
      <c r="E13060" s="27" t="s">
        <v>22</v>
      </c>
      <c r="F13060" s="29"/>
      <c r="G13060" s="30">
        <f t="shared" si="232"/>
        <v>187.62599999999998</v>
      </c>
    </row>
    <row r="13061" spans="1:7" hidden="1" x14ac:dyDescent="0.25">
      <c r="A13061" s="28">
        <v>44621</v>
      </c>
      <c r="B13061" s="27" t="s">
        <v>200</v>
      </c>
      <c r="C13061" s="27" t="s">
        <v>182</v>
      </c>
      <c r="D13061" s="27" t="s">
        <v>7</v>
      </c>
      <c r="E13061" s="27" t="s">
        <v>39</v>
      </c>
      <c r="F13061" s="29"/>
      <c r="G13061" s="30">
        <f t="shared" si="232"/>
        <v>187.62599999999998</v>
      </c>
    </row>
    <row r="13062" spans="1:7" hidden="1" x14ac:dyDescent="0.25">
      <c r="A13062" s="28">
        <v>44621</v>
      </c>
      <c r="B13062" s="27" t="s">
        <v>200</v>
      </c>
      <c r="C13062" s="27" t="s">
        <v>182</v>
      </c>
      <c r="D13062" s="27" t="s">
        <v>7</v>
      </c>
      <c r="E13062" s="27" t="s">
        <v>64</v>
      </c>
      <c r="F13062" s="29"/>
      <c r="G13062" s="30">
        <f t="shared" si="232"/>
        <v>187.62599999999998</v>
      </c>
    </row>
    <row r="13063" spans="1:7" hidden="1" x14ac:dyDescent="0.25">
      <c r="A13063" s="28">
        <v>44621</v>
      </c>
      <c r="B13063" s="27" t="s">
        <v>200</v>
      </c>
      <c r="C13063" s="27" t="s">
        <v>182</v>
      </c>
      <c r="D13063" s="27" t="s">
        <v>7</v>
      </c>
      <c r="E13063" s="27" t="s">
        <v>21</v>
      </c>
      <c r="F13063" s="29"/>
      <c r="G13063" s="30">
        <f t="shared" si="232"/>
        <v>187.62599999999998</v>
      </c>
    </row>
    <row r="13064" spans="1:7" hidden="1" x14ac:dyDescent="0.25">
      <c r="A13064" s="28">
        <v>44621</v>
      </c>
      <c r="B13064" s="27" t="s">
        <v>200</v>
      </c>
      <c r="C13064" s="27" t="s">
        <v>182</v>
      </c>
      <c r="D13064" s="27" t="s">
        <v>7</v>
      </c>
      <c r="E13064" s="27" t="s">
        <v>41</v>
      </c>
      <c r="F13064" s="29"/>
      <c r="G13064" s="30">
        <f t="shared" si="232"/>
        <v>187.62599999999998</v>
      </c>
    </row>
    <row r="13065" spans="1:7" hidden="1" x14ac:dyDescent="0.25">
      <c r="A13065" s="28">
        <v>44621</v>
      </c>
      <c r="B13065" s="27" t="s">
        <v>200</v>
      </c>
      <c r="C13065" s="27" t="s">
        <v>182</v>
      </c>
      <c r="D13065" s="27" t="s">
        <v>7</v>
      </c>
      <c r="E13065" s="27" t="s">
        <v>10</v>
      </c>
      <c r="F13065" s="29"/>
      <c r="G13065" s="30">
        <f t="shared" si="232"/>
        <v>187.62599999999998</v>
      </c>
    </row>
    <row r="13066" spans="1:7" hidden="1" x14ac:dyDescent="0.25">
      <c r="A13066" s="28">
        <v>44621</v>
      </c>
      <c r="B13066" s="27" t="s">
        <v>200</v>
      </c>
      <c r="C13066" s="27" t="s">
        <v>182</v>
      </c>
      <c r="D13066" s="27" t="s">
        <v>7</v>
      </c>
      <c r="E13066" s="27" t="s">
        <v>11</v>
      </c>
      <c r="F13066" s="29"/>
      <c r="G13066" s="30">
        <f t="shared" si="232"/>
        <v>187.62599999999998</v>
      </c>
    </row>
    <row r="13067" spans="1:7" hidden="1" x14ac:dyDescent="0.25">
      <c r="A13067" s="28">
        <v>44621</v>
      </c>
      <c r="B13067" s="27" t="s">
        <v>200</v>
      </c>
      <c r="C13067" s="27" t="s">
        <v>182</v>
      </c>
      <c r="D13067" s="27" t="s">
        <v>7</v>
      </c>
      <c r="E13067" s="27" t="s">
        <v>12</v>
      </c>
      <c r="F13067" s="29"/>
      <c r="G13067" s="30">
        <f t="shared" si="232"/>
        <v>187.62599999999998</v>
      </c>
    </row>
    <row r="13068" spans="1:7" hidden="1" x14ac:dyDescent="0.25">
      <c r="A13068" s="28">
        <v>44621</v>
      </c>
      <c r="B13068" s="27" t="s">
        <v>200</v>
      </c>
      <c r="C13068" s="27" t="s">
        <v>182</v>
      </c>
      <c r="D13068" s="27" t="s">
        <v>7</v>
      </c>
      <c r="E13068" s="27" t="s">
        <v>13</v>
      </c>
      <c r="F13068" s="29"/>
      <c r="G13068" s="30">
        <f t="shared" si="232"/>
        <v>187.62599999999998</v>
      </c>
    </row>
    <row r="13069" spans="1:7" hidden="1" x14ac:dyDescent="0.25">
      <c r="A13069" s="28">
        <v>44621</v>
      </c>
      <c r="B13069" s="27" t="s">
        <v>200</v>
      </c>
      <c r="C13069" s="27" t="s">
        <v>182</v>
      </c>
      <c r="D13069" s="27" t="s">
        <v>7</v>
      </c>
      <c r="E13069" s="27" t="s">
        <v>14</v>
      </c>
      <c r="F13069" s="29"/>
      <c r="G13069" s="30">
        <f t="shared" si="232"/>
        <v>187.62599999999998</v>
      </c>
    </row>
    <row r="13070" spans="1:7" hidden="1" x14ac:dyDescent="0.25">
      <c r="A13070" s="28">
        <v>44621</v>
      </c>
      <c r="B13070" s="27" t="s">
        <v>200</v>
      </c>
      <c r="C13070" s="27" t="s">
        <v>182</v>
      </c>
      <c r="D13070" s="27" t="s">
        <v>7</v>
      </c>
      <c r="E13070" s="27" t="s">
        <v>15</v>
      </c>
      <c r="F13070" s="29"/>
      <c r="G13070" s="30">
        <f t="shared" si="232"/>
        <v>187.62599999999998</v>
      </c>
    </row>
    <row r="13071" spans="1:7" hidden="1" x14ac:dyDescent="0.25">
      <c r="A13071" s="28">
        <v>44621</v>
      </c>
      <c r="B13071" s="27" t="s">
        <v>200</v>
      </c>
      <c r="C13071" s="27" t="s">
        <v>182</v>
      </c>
      <c r="D13071" s="27" t="s">
        <v>7</v>
      </c>
      <c r="E13071" s="27" t="s">
        <v>16</v>
      </c>
      <c r="F13071" s="29"/>
      <c r="G13071" s="30">
        <f t="shared" si="232"/>
        <v>187.62599999999998</v>
      </c>
    </row>
    <row r="13072" spans="1:7" hidden="1" x14ac:dyDescent="0.25">
      <c r="A13072" s="28">
        <v>44621</v>
      </c>
      <c r="B13072" s="27" t="s">
        <v>200</v>
      </c>
      <c r="C13072" s="27" t="s">
        <v>182</v>
      </c>
      <c r="D13072" s="27" t="s">
        <v>7</v>
      </c>
      <c r="E13072" s="27" t="s">
        <v>17</v>
      </c>
      <c r="F13072" s="29"/>
      <c r="G13072" s="30">
        <f t="shared" si="232"/>
        <v>187.62599999999998</v>
      </c>
    </row>
    <row r="13073" spans="1:7" hidden="1" x14ac:dyDescent="0.25">
      <c r="A13073" s="28">
        <v>44621</v>
      </c>
      <c r="B13073" s="27" t="s">
        <v>200</v>
      </c>
      <c r="C13073" s="27" t="s">
        <v>182</v>
      </c>
      <c r="D13073" s="27" t="s">
        <v>7</v>
      </c>
      <c r="E13073" s="27" t="s">
        <v>18</v>
      </c>
      <c r="F13073" s="29"/>
      <c r="G13073" s="30">
        <f t="shared" si="232"/>
        <v>187.62599999999998</v>
      </c>
    </row>
    <row r="13074" spans="1:7" hidden="1" x14ac:dyDescent="0.25">
      <c r="A13074" s="28">
        <v>44621</v>
      </c>
      <c r="B13074" s="27" t="s">
        <v>200</v>
      </c>
      <c r="C13074" s="27" t="s">
        <v>182</v>
      </c>
      <c r="D13074" s="27" t="s">
        <v>7</v>
      </c>
      <c r="E13074" s="27" t="s">
        <v>19</v>
      </c>
      <c r="F13074" s="29"/>
      <c r="G13074" s="30">
        <f t="shared" si="232"/>
        <v>187.62599999999998</v>
      </c>
    </row>
    <row r="13075" spans="1:7" hidden="1" x14ac:dyDescent="0.25">
      <c r="A13075" s="28">
        <v>44621</v>
      </c>
      <c r="B13075" s="27" t="s">
        <v>200</v>
      </c>
      <c r="C13075" s="27" t="s">
        <v>182</v>
      </c>
      <c r="D13075" s="27" t="s">
        <v>7</v>
      </c>
      <c r="E13075" s="27" t="s">
        <v>20</v>
      </c>
      <c r="F13075" s="29"/>
      <c r="G13075" s="30">
        <f t="shared" si="232"/>
        <v>187.62599999999998</v>
      </c>
    </row>
    <row r="13076" spans="1:7" hidden="1" x14ac:dyDescent="0.25">
      <c r="A13076" s="28">
        <v>44621</v>
      </c>
      <c r="B13076" s="27" t="s">
        <v>200</v>
      </c>
      <c r="C13076" s="27" t="s">
        <v>182</v>
      </c>
      <c r="D13076" s="27" t="s">
        <v>7</v>
      </c>
      <c r="E13076" s="27" t="s">
        <v>38</v>
      </c>
      <c r="F13076" s="29"/>
      <c r="G13076" s="30">
        <f t="shared" si="232"/>
        <v>187.62599999999998</v>
      </c>
    </row>
    <row r="13077" spans="1:7" hidden="1" x14ac:dyDescent="0.25">
      <c r="A13077" s="28">
        <v>44621</v>
      </c>
      <c r="B13077" s="27" t="s">
        <v>200</v>
      </c>
      <c r="C13077" s="27" t="s">
        <v>182</v>
      </c>
      <c r="D13077" s="27" t="s">
        <v>7</v>
      </c>
      <c r="E13077" s="27" t="s">
        <v>23</v>
      </c>
      <c r="F13077" s="29"/>
      <c r="G13077" s="30">
        <f t="shared" si="232"/>
        <v>187.62599999999998</v>
      </c>
    </row>
    <row r="13078" spans="1:7" hidden="1" x14ac:dyDescent="0.25">
      <c r="A13078" s="28">
        <v>44621</v>
      </c>
      <c r="B13078" s="27" t="s">
        <v>200</v>
      </c>
      <c r="C13078" s="27" t="s">
        <v>182</v>
      </c>
      <c r="D13078" s="27" t="s">
        <v>7</v>
      </c>
      <c r="E13078" s="27" t="s">
        <v>40</v>
      </c>
      <c r="F13078" s="29"/>
      <c r="G13078" s="30">
        <f t="shared" si="232"/>
        <v>187.62599999999998</v>
      </c>
    </row>
    <row r="13079" spans="1:7" hidden="1" x14ac:dyDescent="0.25">
      <c r="A13079" s="28">
        <v>44621</v>
      </c>
      <c r="B13079" s="27" t="s">
        <v>200</v>
      </c>
      <c r="C13079" s="27" t="s">
        <v>182</v>
      </c>
      <c r="D13079" s="27" t="s">
        <v>7</v>
      </c>
      <c r="E13079" s="27" t="s">
        <v>42</v>
      </c>
      <c r="F13079" s="29"/>
      <c r="G13079" s="30">
        <f t="shared" si="232"/>
        <v>187.62599999999998</v>
      </c>
    </row>
    <row r="13080" spans="1:7" hidden="1" x14ac:dyDescent="0.25">
      <c r="A13080" s="28">
        <v>44621</v>
      </c>
      <c r="B13080" s="27" t="s">
        <v>200</v>
      </c>
      <c r="C13080" s="27" t="s">
        <v>182</v>
      </c>
      <c r="D13080" s="27" t="s">
        <v>7</v>
      </c>
      <c r="E13080" s="27" t="s">
        <v>43</v>
      </c>
      <c r="F13080" s="29"/>
      <c r="G13080" s="30">
        <f t="shared" si="232"/>
        <v>187.62599999999998</v>
      </c>
    </row>
    <row r="13081" spans="1:7" hidden="1" x14ac:dyDescent="0.25">
      <c r="A13081" s="28">
        <v>44621</v>
      </c>
      <c r="B13081" s="27" t="s">
        <v>200</v>
      </c>
      <c r="C13081" s="27" t="s">
        <v>182</v>
      </c>
      <c r="D13081" s="27" t="s">
        <v>7</v>
      </c>
      <c r="E13081" s="27" t="s">
        <v>72</v>
      </c>
      <c r="F13081" s="29"/>
      <c r="G13081" s="30">
        <f t="shared" si="232"/>
        <v>187.62599999999998</v>
      </c>
    </row>
    <row r="13082" spans="1:7" hidden="1" x14ac:dyDescent="0.25">
      <c r="A13082" s="28">
        <v>44621</v>
      </c>
      <c r="B13082" s="27" t="s">
        <v>200</v>
      </c>
      <c r="C13082" s="27" t="s">
        <v>182</v>
      </c>
      <c r="D13082" s="27" t="s">
        <v>7</v>
      </c>
      <c r="E13082" s="27" t="s">
        <v>206</v>
      </c>
      <c r="F13082" s="29"/>
      <c r="G13082" s="30">
        <f t="shared" si="232"/>
        <v>187.62599999999998</v>
      </c>
    </row>
    <row r="13083" spans="1:7" hidden="1" x14ac:dyDescent="0.25">
      <c r="A13083" s="28">
        <v>44621</v>
      </c>
      <c r="B13083" s="27" t="s">
        <v>35</v>
      </c>
      <c r="C13083" s="27" t="s">
        <v>50</v>
      </c>
      <c r="D13083" s="27" t="s">
        <v>7</v>
      </c>
      <c r="E13083" s="27" t="s">
        <v>8</v>
      </c>
      <c r="F13083" s="29"/>
      <c r="G13083" s="30">
        <v>633.62720000000002</v>
      </c>
    </row>
    <row r="13084" spans="1:7" hidden="1" x14ac:dyDescent="0.25">
      <c r="A13084" s="28">
        <v>44621</v>
      </c>
      <c r="B13084" s="27" t="s">
        <v>35</v>
      </c>
      <c r="C13084" s="27" t="s">
        <v>50</v>
      </c>
      <c r="D13084" s="27" t="s">
        <v>7</v>
      </c>
      <c r="E13084" s="27" t="s">
        <v>9</v>
      </c>
      <c r="F13084" s="29"/>
      <c r="G13084" s="30">
        <v>633.62720000000002</v>
      </c>
    </row>
    <row r="13085" spans="1:7" hidden="1" x14ac:dyDescent="0.25">
      <c r="A13085" s="28">
        <v>44621</v>
      </c>
      <c r="B13085" s="27" t="s">
        <v>35</v>
      </c>
      <c r="C13085" s="27" t="s">
        <v>50</v>
      </c>
      <c r="D13085" s="27" t="s">
        <v>7</v>
      </c>
      <c r="E13085" s="27" t="s">
        <v>22</v>
      </c>
      <c r="F13085" s="29"/>
      <c r="G13085" s="30">
        <v>633.62720000000002</v>
      </c>
    </row>
    <row r="13086" spans="1:7" hidden="1" x14ac:dyDescent="0.25">
      <c r="A13086" s="28">
        <v>44621</v>
      </c>
      <c r="B13086" s="27" t="s">
        <v>35</v>
      </c>
      <c r="C13086" s="27" t="s">
        <v>50</v>
      </c>
      <c r="D13086" s="27" t="s">
        <v>7</v>
      </c>
      <c r="E13086" s="27" t="s">
        <v>39</v>
      </c>
      <c r="F13086" s="29"/>
      <c r="G13086" s="30">
        <v>633.62720000000002</v>
      </c>
    </row>
    <row r="13087" spans="1:7" hidden="1" x14ac:dyDescent="0.25">
      <c r="A13087" s="28">
        <v>44621</v>
      </c>
      <c r="B13087" s="27" t="s">
        <v>35</v>
      </c>
      <c r="C13087" s="27" t="s">
        <v>50</v>
      </c>
      <c r="D13087" s="27" t="s">
        <v>7</v>
      </c>
      <c r="E13087" s="27" t="s">
        <v>64</v>
      </c>
      <c r="F13087" s="29"/>
      <c r="G13087" s="30">
        <v>633.62720000000002</v>
      </c>
    </row>
    <row r="13088" spans="1:7" hidden="1" x14ac:dyDescent="0.25">
      <c r="A13088" s="28">
        <v>44621</v>
      </c>
      <c r="B13088" s="27" t="s">
        <v>35</v>
      </c>
      <c r="C13088" s="27" t="s">
        <v>50</v>
      </c>
      <c r="D13088" s="27" t="s">
        <v>7</v>
      </c>
      <c r="E13088" s="27" t="s">
        <v>21</v>
      </c>
      <c r="F13088" s="29"/>
      <c r="G13088" s="30">
        <v>633.62720000000002</v>
      </c>
    </row>
    <row r="13089" spans="1:7" hidden="1" x14ac:dyDescent="0.25">
      <c r="A13089" s="28">
        <v>44621</v>
      </c>
      <c r="B13089" s="27" t="s">
        <v>35</v>
      </c>
      <c r="C13089" s="27" t="s">
        <v>50</v>
      </c>
      <c r="D13089" s="27" t="s">
        <v>7</v>
      </c>
      <c r="E13089" s="27" t="s">
        <v>41</v>
      </c>
      <c r="F13089" s="29"/>
      <c r="G13089" s="30">
        <v>633.62720000000002</v>
      </c>
    </row>
    <row r="13090" spans="1:7" hidden="1" x14ac:dyDescent="0.25">
      <c r="A13090" s="28">
        <v>44621</v>
      </c>
      <c r="B13090" s="27" t="s">
        <v>35</v>
      </c>
      <c r="C13090" s="27" t="s">
        <v>50</v>
      </c>
      <c r="D13090" s="27" t="s">
        <v>7</v>
      </c>
      <c r="E13090" s="27" t="s">
        <v>10</v>
      </c>
      <c r="F13090" s="29"/>
      <c r="G13090" s="30">
        <v>633.62720000000002</v>
      </c>
    </row>
    <row r="13091" spans="1:7" hidden="1" x14ac:dyDescent="0.25">
      <c r="A13091" s="28">
        <v>44621</v>
      </c>
      <c r="B13091" s="27" t="s">
        <v>35</v>
      </c>
      <c r="C13091" s="27" t="s">
        <v>50</v>
      </c>
      <c r="D13091" s="27" t="s">
        <v>7</v>
      </c>
      <c r="E13091" s="27" t="s">
        <v>11</v>
      </c>
      <c r="F13091" s="29"/>
      <c r="G13091" s="30">
        <v>633.62720000000002</v>
      </c>
    </row>
    <row r="13092" spans="1:7" hidden="1" x14ac:dyDescent="0.25">
      <c r="A13092" s="28">
        <v>44621</v>
      </c>
      <c r="B13092" s="27" t="s">
        <v>35</v>
      </c>
      <c r="C13092" s="27" t="s">
        <v>50</v>
      </c>
      <c r="D13092" s="27" t="s">
        <v>7</v>
      </c>
      <c r="E13092" s="27" t="s">
        <v>12</v>
      </c>
      <c r="F13092" s="29"/>
      <c r="G13092" s="30">
        <v>633.62720000000002</v>
      </c>
    </row>
    <row r="13093" spans="1:7" hidden="1" x14ac:dyDescent="0.25">
      <c r="A13093" s="28">
        <v>44621</v>
      </c>
      <c r="B13093" s="27" t="s">
        <v>35</v>
      </c>
      <c r="C13093" s="27" t="s">
        <v>50</v>
      </c>
      <c r="D13093" s="27" t="s">
        <v>7</v>
      </c>
      <c r="E13093" s="27" t="s">
        <v>13</v>
      </c>
      <c r="F13093" s="29"/>
      <c r="G13093" s="30">
        <v>633.62720000000002</v>
      </c>
    </row>
    <row r="13094" spans="1:7" hidden="1" x14ac:dyDescent="0.25">
      <c r="A13094" s="28">
        <v>44621</v>
      </c>
      <c r="B13094" s="27" t="s">
        <v>35</v>
      </c>
      <c r="C13094" s="27" t="s">
        <v>50</v>
      </c>
      <c r="D13094" s="27" t="s">
        <v>7</v>
      </c>
      <c r="E13094" s="27" t="s">
        <v>14</v>
      </c>
      <c r="F13094" s="29"/>
      <c r="G13094" s="30">
        <v>633.62720000000002</v>
      </c>
    </row>
    <row r="13095" spans="1:7" hidden="1" x14ac:dyDescent="0.25">
      <c r="A13095" s="28">
        <v>44621</v>
      </c>
      <c r="B13095" s="27" t="s">
        <v>35</v>
      </c>
      <c r="C13095" s="27" t="s">
        <v>50</v>
      </c>
      <c r="D13095" s="27" t="s">
        <v>7</v>
      </c>
      <c r="E13095" s="27" t="s">
        <v>15</v>
      </c>
      <c r="F13095" s="29"/>
      <c r="G13095" s="30">
        <v>633.62720000000002</v>
      </c>
    </row>
    <row r="13096" spans="1:7" hidden="1" x14ac:dyDescent="0.25">
      <c r="A13096" s="28">
        <v>44621</v>
      </c>
      <c r="B13096" s="27" t="s">
        <v>35</v>
      </c>
      <c r="C13096" s="27" t="s">
        <v>50</v>
      </c>
      <c r="D13096" s="27" t="s">
        <v>7</v>
      </c>
      <c r="E13096" s="27" t="s">
        <v>16</v>
      </c>
      <c r="F13096" s="29"/>
      <c r="G13096" s="30">
        <v>633.62720000000002</v>
      </c>
    </row>
    <row r="13097" spans="1:7" hidden="1" x14ac:dyDescent="0.25">
      <c r="A13097" s="28">
        <v>44621</v>
      </c>
      <c r="B13097" s="27" t="s">
        <v>35</v>
      </c>
      <c r="C13097" s="27" t="s">
        <v>50</v>
      </c>
      <c r="D13097" s="27" t="s">
        <v>7</v>
      </c>
      <c r="E13097" s="27" t="s">
        <v>17</v>
      </c>
      <c r="F13097" s="29"/>
      <c r="G13097" s="30">
        <v>633.62720000000002</v>
      </c>
    </row>
    <row r="13098" spans="1:7" hidden="1" x14ac:dyDescent="0.25">
      <c r="A13098" s="28">
        <v>44621</v>
      </c>
      <c r="B13098" s="27" t="s">
        <v>35</v>
      </c>
      <c r="C13098" s="27" t="s">
        <v>50</v>
      </c>
      <c r="D13098" s="27" t="s">
        <v>7</v>
      </c>
      <c r="E13098" s="27" t="s">
        <v>18</v>
      </c>
      <c r="F13098" s="29"/>
      <c r="G13098" s="30">
        <v>633.62720000000002</v>
      </c>
    </row>
    <row r="13099" spans="1:7" hidden="1" x14ac:dyDescent="0.25">
      <c r="A13099" s="28">
        <v>44621</v>
      </c>
      <c r="B13099" s="27" t="s">
        <v>35</v>
      </c>
      <c r="C13099" s="27" t="s">
        <v>50</v>
      </c>
      <c r="D13099" s="27" t="s">
        <v>7</v>
      </c>
      <c r="E13099" s="27" t="s">
        <v>19</v>
      </c>
      <c r="F13099" s="29"/>
      <c r="G13099" s="30">
        <v>633.62720000000002</v>
      </c>
    </row>
    <row r="13100" spans="1:7" hidden="1" x14ac:dyDescent="0.25">
      <c r="A13100" s="28">
        <v>44621</v>
      </c>
      <c r="B13100" s="27" t="s">
        <v>35</v>
      </c>
      <c r="C13100" s="27" t="s">
        <v>50</v>
      </c>
      <c r="D13100" s="27" t="s">
        <v>7</v>
      </c>
      <c r="E13100" s="27" t="s">
        <v>20</v>
      </c>
      <c r="F13100" s="29"/>
      <c r="G13100" s="30">
        <v>633.62720000000002</v>
      </c>
    </row>
    <row r="13101" spans="1:7" hidden="1" x14ac:dyDescent="0.25">
      <c r="A13101" s="28">
        <v>44621</v>
      </c>
      <c r="B13101" s="27" t="s">
        <v>35</v>
      </c>
      <c r="C13101" s="27" t="s">
        <v>50</v>
      </c>
      <c r="D13101" s="27" t="s">
        <v>7</v>
      </c>
      <c r="E13101" s="27" t="s">
        <v>38</v>
      </c>
      <c r="F13101" s="29"/>
      <c r="G13101" s="30">
        <v>633.62720000000002</v>
      </c>
    </row>
    <row r="13102" spans="1:7" hidden="1" x14ac:dyDescent="0.25">
      <c r="A13102" s="28">
        <v>44621</v>
      </c>
      <c r="B13102" s="27" t="s">
        <v>35</v>
      </c>
      <c r="C13102" s="27" t="s">
        <v>50</v>
      </c>
      <c r="D13102" s="27" t="s">
        <v>7</v>
      </c>
      <c r="E13102" s="27" t="s">
        <v>23</v>
      </c>
      <c r="F13102" s="29"/>
      <c r="G13102" s="30">
        <v>633.62720000000002</v>
      </c>
    </row>
    <row r="13103" spans="1:7" hidden="1" x14ac:dyDescent="0.25">
      <c r="A13103" s="28">
        <v>44621</v>
      </c>
      <c r="B13103" s="27" t="s">
        <v>35</v>
      </c>
      <c r="C13103" s="27" t="s">
        <v>50</v>
      </c>
      <c r="D13103" s="27" t="s">
        <v>7</v>
      </c>
      <c r="E13103" s="27" t="s">
        <v>40</v>
      </c>
      <c r="F13103" s="29"/>
      <c r="G13103" s="30">
        <v>633.62720000000002</v>
      </c>
    </row>
    <row r="13104" spans="1:7" hidden="1" x14ac:dyDescent="0.25">
      <c r="A13104" s="28">
        <v>44621</v>
      </c>
      <c r="B13104" s="27" t="s">
        <v>35</v>
      </c>
      <c r="C13104" s="27" t="s">
        <v>50</v>
      </c>
      <c r="D13104" s="27" t="s">
        <v>7</v>
      </c>
      <c r="E13104" s="27" t="s">
        <v>42</v>
      </c>
      <c r="F13104" s="29"/>
      <c r="G13104" s="30">
        <v>633.62720000000002</v>
      </c>
    </row>
    <row r="13105" spans="1:7" hidden="1" x14ac:dyDescent="0.25">
      <c r="A13105" s="28">
        <v>44621</v>
      </c>
      <c r="B13105" s="27" t="s">
        <v>35</v>
      </c>
      <c r="C13105" s="27" t="s">
        <v>50</v>
      </c>
      <c r="D13105" s="27" t="s">
        <v>7</v>
      </c>
      <c r="E13105" s="27" t="s">
        <v>43</v>
      </c>
      <c r="F13105" s="29"/>
      <c r="G13105" s="30">
        <v>633.62720000000002</v>
      </c>
    </row>
    <row r="13106" spans="1:7" hidden="1" x14ac:dyDescent="0.25">
      <c r="A13106" s="28">
        <v>44621</v>
      </c>
      <c r="B13106" s="27" t="s">
        <v>35</v>
      </c>
      <c r="C13106" s="27" t="s">
        <v>50</v>
      </c>
      <c r="D13106" s="27" t="s">
        <v>7</v>
      </c>
      <c r="E13106" s="27" t="s">
        <v>72</v>
      </c>
      <c r="F13106" s="29"/>
      <c r="G13106" s="30">
        <v>633.62720000000002</v>
      </c>
    </row>
    <row r="13107" spans="1:7" hidden="1" x14ac:dyDescent="0.25">
      <c r="A13107" s="28">
        <v>44621</v>
      </c>
      <c r="B13107" s="27" t="s">
        <v>35</v>
      </c>
      <c r="C13107" s="27" t="s">
        <v>50</v>
      </c>
      <c r="D13107" s="27" t="s">
        <v>7</v>
      </c>
      <c r="E13107" s="27" t="s">
        <v>206</v>
      </c>
      <c r="F13107" s="29"/>
      <c r="G13107" s="30">
        <v>633.62720000000002</v>
      </c>
    </row>
    <row r="13108" spans="1:7" hidden="1" x14ac:dyDescent="0.25">
      <c r="A13108" s="28">
        <v>44621</v>
      </c>
      <c r="B13108" s="27" t="s">
        <v>34</v>
      </c>
      <c r="C13108" s="27" t="s">
        <v>50</v>
      </c>
      <c r="D13108" s="27" t="s">
        <v>6</v>
      </c>
      <c r="E13108" s="27" t="s">
        <v>8</v>
      </c>
      <c r="F13108" s="29"/>
      <c r="G13108" s="30">
        <v>273.50880000000001</v>
      </c>
    </row>
    <row r="13109" spans="1:7" hidden="1" x14ac:dyDescent="0.25">
      <c r="A13109" s="28">
        <v>44621</v>
      </c>
      <c r="B13109" s="27" t="s">
        <v>34</v>
      </c>
      <c r="C13109" s="27" t="s">
        <v>50</v>
      </c>
      <c r="D13109" s="27" t="s">
        <v>6</v>
      </c>
      <c r="E13109" s="27" t="s">
        <v>9</v>
      </c>
      <c r="F13109" s="29"/>
      <c r="G13109" s="30">
        <v>273.50880000000001</v>
      </c>
    </row>
    <row r="13110" spans="1:7" hidden="1" x14ac:dyDescent="0.25">
      <c r="A13110" s="28">
        <v>44621</v>
      </c>
      <c r="B13110" s="27" t="s">
        <v>34</v>
      </c>
      <c r="C13110" s="27" t="s">
        <v>50</v>
      </c>
      <c r="D13110" s="27" t="s">
        <v>6</v>
      </c>
      <c r="E13110" s="27" t="s">
        <v>22</v>
      </c>
      <c r="F13110" s="29"/>
      <c r="G13110" s="30">
        <v>273.50880000000001</v>
      </c>
    </row>
    <row r="13111" spans="1:7" hidden="1" x14ac:dyDescent="0.25">
      <c r="A13111" s="28">
        <v>44621</v>
      </c>
      <c r="B13111" s="27" t="s">
        <v>34</v>
      </c>
      <c r="C13111" s="27" t="s">
        <v>50</v>
      </c>
      <c r="D13111" s="27" t="s">
        <v>6</v>
      </c>
      <c r="E13111" s="27" t="s">
        <v>39</v>
      </c>
      <c r="F13111" s="29"/>
      <c r="G13111" s="30">
        <v>273.50880000000001</v>
      </c>
    </row>
    <row r="13112" spans="1:7" hidden="1" x14ac:dyDescent="0.25">
      <c r="A13112" s="28">
        <v>44621</v>
      </c>
      <c r="B13112" s="27" t="s">
        <v>34</v>
      </c>
      <c r="C13112" s="27" t="s">
        <v>50</v>
      </c>
      <c r="D13112" s="27" t="s">
        <v>6</v>
      </c>
      <c r="E13112" s="27" t="s">
        <v>64</v>
      </c>
      <c r="F13112" s="29"/>
      <c r="G13112" s="30">
        <v>273.50880000000001</v>
      </c>
    </row>
    <row r="13113" spans="1:7" hidden="1" x14ac:dyDescent="0.25">
      <c r="A13113" s="28">
        <v>44621</v>
      </c>
      <c r="B13113" s="27" t="s">
        <v>34</v>
      </c>
      <c r="C13113" s="27" t="s">
        <v>50</v>
      </c>
      <c r="D13113" s="27" t="s">
        <v>6</v>
      </c>
      <c r="E13113" s="27" t="s">
        <v>21</v>
      </c>
      <c r="F13113" s="29"/>
      <c r="G13113" s="30">
        <v>273.50880000000001</v>
      </c>
    </row>
    <row r="13114" spans="1:7" hidden="1" x14ac:dyDescent="0.25">
      <c r="A13114" s="28">
        <v>44621</v>
      </c>
      <c r="B13114" s="27" t="s">
        <v>34</v>
      </c>
      <c r="C13114" s="27" t="s">
        <v>50</v>
      </c>
      <c r="D13114" s="27" t="s">
        <v>6</v>
      </c>
      <c r="E13114" s="27" t="s">
        <v>41</v>
      </c>
      <c r="F13114" s="29"/>
      <c r="G13114" s="30">
        <v>273.50880000000001</v>
      </c>
    </row>
    <row r="13115" spans="1:7" hidden="1" x14ac:dyDescent="0.25">
      <c r="A13115" s="28">
        <v>44621</v>
      </c>
      <c r="B13115" s="27" t="s">
        <v>34</v>
      </c>
      <c r="C13115" s="27" t="s">
        <v>50</v>
      </c>
      <c r="D13115" s="27" t="s">
        <v>6</v>
      </c>
      <c r="E13115" s="27" t="s">
        <v>10</v>
      </c>
      <c r="F13115" s="29"/>
      <c r="G13115" s="30">
        <v>273.50880000000001</v>
      </c>
    </row>
    <row r="13116" spans="1:7" hidden="1" x14ac:dyDescent="0.25">
      <c r="A13116" s="28">
        <v>44621</v>
      </c>
      <c r="B13116" s="27" t="s">
        <v>34</v>
      </c>
      <c r="C13116" s="27" t="s">
        <v>50</v>
      </c>
      <c r="D13116" s="27" t="s">
        <v>6</v>
      </c>
      <c r="E13116" s="27" t="s">
        <v>11</v>
      </c>
      <c r="F13116" s="29"/>
      <c r="G13116" s="30">
        <v>273.50880000000001</v>
      </c>
    </row>
    <row r="13117" spans="1:7" hidden="1" x14ac:dyDescent="0.25">
      <c r="A13117" s="28">
        <v>44621</v>
      </c>
      <c r="B13117" s="27" t="s">
        <v>34</v>
      </c>
      <c r="C13117" s="27" t="s">
        <v>50</v>
      </c>
      <c r="D13117" s="27" t="s">
        <v>6</v>
      </c>
      <c r="E13117" s="27" t="s">
        <v>12</v>
      </c>
      <c r="F13117" s="29"/>
      <c r="G13117" s="30">
        <v>273.50880000000001</v>
      </c>
    </row>
    <row r="13118" spans="1:7" hidden="1" x14ac:dyDescent="0.25">
      <c r="A13118" s="28">
        <v>44621</v>
      </c>
      <c r="B13118" s="27" t="s">
        <v>34</v>
      </c>
      <c r="C13118" s="27" t="s">
        <v>50</v>
      </c>
      <c r="D13118" s="27" t="s">
        <v>6</v>
      </c>
      <c r="E13118" s="27" t="s">
        <v>13</v>
      </c>
      <c r="F13118" s="29"/>
      <c r="G13118" s="30">
        <v>273.50880000000001</v>
      </c>
    </row>
    <row r="13119" spans="1:7" hidden="1" x14ac:dyDescent="0.25">
      <c r="A13119" s="28">
        <v>44621</v>
      </c>
      <c r="B13119" s="27" t="s">
        <v>34</v>
      </c>
      <c r="C13119" s="27" t="s">
        <v>50</v>
      </c>
      <c r="D13119" s="27" t="s">
        <v>6</v>
      </c>
      <c r="E13119" s="27" t="s">
        <v>14</v>
      </c>
      <c r="F13119" s="29"/>
      <c r="G13119" s="30">
        <v>273.50880000000001</v>
      </c>
    </row>
    <row r="13120" spans="1:7" hidden="1" x14ac:dyDescent="0.25">
      <c r="A13120" s="28">
        <v>44621</v>
      </c>
      <c r="B13120" s="27" t="s">
        <v>34</v>
      </c>
      <c r="C13120" s="27" t="s">
        <v>50</v>
      </c>
      <c r="D13120" s="27" t="s">
        <v>6</v>
      </c>
      <c r="E13120" s="27" t="s">
        <v>15</v>
      </c>
      <c r="F13120" s="29"/>
      <c r="G13120" s="30">
        <v>273.50880000000001</v>
      </c>
    </row>
    <row r="13121" spans="1:7" hidden="1" x14ac:dyDescent="0.25">
      <c r="A13121" s="28">
        <v>44621</v>
      </c>
      <c r="B13121" s="27" t="s">
        <v>34</v>
      </c>
      <c r="C13121" s="27" t="s">
        <v>50</v>
      </c>
      <c r="D13121" s="27" t="s">
        <v>6</v>
      </c>
      <c r="E13121" s="27" t="s">
        <v>16</v>
      </c>
      <c r="F13121" s="29"/>
      <c r="G13121" s="30">
        <v>273.50880000000001</v>
      </c>
    </row>
    <row r="13122" spans="1:7" hidden="1" x14ac:dyDescent="0.25">
      <c r="A13122" s="28">
        <v>44621</v>
      </c>
      <c r="B13122" s="27" t="s">
        <v>34</v>
      </c>
      <c r="C13122" s="27" t="s">
        <v>50</v>
      </c>
      <c r="D13122" s="27" t="s">
        <v>6</v>
      </c>
      <c r="E13122" s="27" t="s">
        <v>17</v>
      </c>
      <c r="F13122" s="29"/>
      <c r="G13122" s="30">
        <v>273.50880000000001</v>
      </c>
    </row>
    <row r="13123" spans="1:7" hidden="1" x14ac:dyDescent="0.25">
      <c r="A13123" s="28">
        <v>44621</v>
      </c>
      <c r="B13123" s="27" t="s">
        <v>34</v>
      </c>
      <c r="C13123" s="27" t="s">
        <v>50</v>
      </c>
      <c r="D13123" s="27" t="s">
        <v>6</v>
      </c>
      <c r="E13123" s="27" t="s">
        <v>18</v>
      </c>
      <c r="F13123" s="29"/>
      <c r="G13123" s="30">
        <v>273.50880000000001</v>
      </c>
    </row>
    <row r="13124" spans="1:7" hidden="1" x14ac:dyDescent="0.25">
      <c r="A13124" s="28">
        <v>44621</v>
      </c>
      <c r="B13124" s="27" t="s">
        <v>34</v>
      </c>
      <c r="C13124" s="27" t="s">
        <v>50</v>
      </c>
      <c r="D13124" s="27" t="s">
        <v>6</v>
      </c>
      <c r="E13124" s="27" t="s">
        <v>19</v>
      </c>
      <c r="F13124" s="29"/>
      <c r="G13124" s="30">
        <v>273.50880000000001</v>
      </c>
    </row>
    <row r="13125" spans="1:7" hidden="1" x14ac:dyDescent="0.25">
      <c r="A13125" s="28">
        <v>44621</v>
      </c>
      <c r="B13125" s="27" t="s">
        <v>34</v>
      </c>
      <c r="C13125" s="27" t="s">
        <v>50</v>
      </c>
      <c r="D13125" s="27" t="s">
        <v>6</v>
      </c>
      <c r="E13125" s="27" t="s">
        <v>20</v>
      </c>
      <c r="F13125" s="29"/>
      <c r="G13125" s="30">
        <v>273.50880000000001</v>
      </c>
    </row>
    <row r="13126" spans="1:7" hidden="1" x14ac:dyDescent="0.25">
      <c r="A13126" s="28">
        <v>44621</v>
      </c>
      <c r="B13126" s="27" t="s">
        <v>34</v>
      </c>
      <c r="C13126" s="27" t="s">
        <v>50</v>
      </c>
      <c r="D13126" s="27" t="s">
        <v>6</v>
      </c>
      <c r="E13126" s="27" t="s">
        <v>38</v>
      </c>
      <c r="F13126" s="29"/>
      <c r="G13126" s="30">
        <v>273.50880000000001</v>
      </c>
    </row>
    <row r="13127" spans="1:7" hidden="1" x14ac:dyDescent="0.25">
      <c r="A13127" s="28">
        <v>44621</v>
      </c>
      <c r="B13127" s="27" t="s">
        <v>34</v>
      </c>
      <c r="C13127" s="27" t="s">
        <v>50</v>
      </c>
      <c r="D13127" s="27" t="s">
        <v>6</v>
      </c>
      <c r="E13127" s="27" t="s">
        <v>23</v>
      </c>
      <c r="F13127" s="29"/>
      <c r="G13127" s="30">
        <v>273.50880000000001</v>
      </c>
    </row>
    <row r="13128" spans="1:7" hidden="1" x14ac:dyDescent="0.25">
      <c r="A13128" s="28">
        <v>44621</v>
      </c>
      <c r="B13128" s="27" t="s">
        <v>34</v>
      </c>
      <c r="C13128" s="27" t="s">
        <v>50</v>
      </c>
      <c r="D13128" s="27" t="s">
        <v>6</v>
      </c>
      <c r="E13128" s="27" t="s">
        <v>40</v>
      </c>
      <c r="F13128" s="29"/>
      <c r="G13128" s="30">
        <v>273.50880000000001</v>
      </c>
    </row>
    <row r="13129" spans="1:7" hidden="1" x14ac:dyDescent="0.25">
      <c r="A13129" s="28">
        <v>44621</v>
      </c>
      <c r="B13129" s="27" t="s">
        <v>34</v>
      </c>
      <c r="C13129" s="27" t="s">
        <v>50</v>
      </c>
      <c r="D13129" s="27" t="s">
        <v>6</v>
      </c>
      <c r="E13129" s="27" t="s">
        <v>42</v>
      </c>
      <c r="F13129" s="29"/>
      <c r="G13129" s="30">
        <v>273.50880000000001</v>
      </c>
    </row>
    <row r="13130" spans="1:7" hidden="1" x14ac:dyDescent="0.25">
      <c r="A13130" s="28">
        <v>44621</v>
      </c>
      <c r="B13130" s="27" t="s">
        <v>34</v>
      </c>
      <c r="C13130" s="27" t="s">
        <v>50</v>
      </c>
      <c r="D13130" s="27" t="s">
        <v>6</v>
      </c>
      <c r="E13130" s="27" t="s">
        <v>43</v>
      </c>
      <c r="F13130" s="29"/>
      <c r="G13130" s="30">
        <v>273.50880000000001</v>
      </c>
    </row>
    <row r="13131" spans="1:7" hidden="1" x14ac:dyDescent="0.25">
      <c r="A13131" s="28">
        <v>44621</v>
      </c>
      <c r="B13131" s="27" t="s">
        <v>34</v>
      </c>
      <c r="C13131" s="27" t="s">
        <v>50</v>
      </c>
      <c r="D13131" s="27" t="s">
        <v>6</v>
      </c>
      <c r="E13131" s="27" t="s">
        <v>72</v>
      </c>
      <c r="F13131" s="29"/>
      <c r="G13131" s="30">
        <v>273.50880000000001</v>
      </c>
    </row>
    <row r="13132" spans="1:7" hidden="1" x14ac:dyDescent="0.25">
      <c r="A13132" s="28">
        <v>44621</v>
      </c>
      <c r="B13132" s="27" t="s">
        <v>34</v>
      </c>
      <c r="C13132" s="27" t="s">
        <v>50</v>
      </c>
      <c r="D13132" s="27" t="s">
        <v>6</v>
      </c>
      <c r="E13132" s="27" t="s">
        <v>206</v>
      </c>
      <c r="F13132" s="29"/>
      <c r="G13132" s="30">
        <v>273.50880000000001</v>
      </c>
    </row>
    <row r="13133" spans="1:7" hidden="1" x14ac:dyDescent="0.25">
      <c r="A13133" s="28">
        <v>44652</v>
      </c>
      <c r="B13133" s="27" t="s">
        <v>33</v>
      </c>
      <c r="C13133" s="27" t="s">
        <v>50</v>
      </c>
      <c r="D13133" s="27" t="s">
        <v>7</v>
      </c>
      <c r="E13133" s="27" t="s">
        <v>8</v>
      </c>
      <c r="F13133" s="29"/>
      <c r="G13133" s="30">
        <v>2495.4057142857141</v>
      </c>
    </row>
    <row r="13134" spans="1:7" hidden="1" x14ac:dyDescent="0.25">
      <c r="A13134" s="28">
        <v>44652</v>
      </c>
      <c r="B13134" s="27" t="s">
        <v>33</v>
      </c>
      <c r="C13134" s="27" t="s">
        <v>50</v>
      </c>
      <c r="D13134" s="27" t="s">
        <v>7</v>
      </c>
      <c r="E13134" s="27" t="s">
        <v>9</v>
      </c>
      <c r="F13134" s="29"/>
      <c r="G13134" s="30">
        <v>2495.4057142857141</v>
      </c>
    </row>
    <row r="13135" spans="1:7" hidden="1" x14ac:dyDescent="0.25">
      <c r="A13135" s="28">
        <v>44652</v>
      </c>
      <c r="B13135" s="27" t="s">
        <v>33</v>
      </c>
      <c r="C13135" s="27" t="s">
        <v>50</v>
      </c>
      <c r="D13135" s="27" t="s">
        <v>7</v>
      </c>
      <c r="E13135" s="27" t="s">
        <v>22</v>
      </c>
      <c r="F13135" s="29"/>
      <c r="G13135" s="30">
        <v>2495.4057142857141</v>
      </c>
    </row>
    <row r="13136" spans="1:7" hidden="1" x14ac:dyDescent="0.25">
      <c r="A13136" s="28">
        <v>44652</v>
      </c>
      <c r="B13136" s="27" t="s">
        <v>33</v>
      </c>
      <c r="C13136" s="27" t="s">
        <v>50</v>
      </c>
      <c r="D13136" s="27" t="s">
        <v>7</v>
      </c>
      <c r="E13136" s="27" t="s">
        <v>39</v>
      </c>
      <c r="F13136" s="29"/>
      <c r="G13136" s="30">
        <v>2495.4057142857141</v>
      </c>
    </row>
    <row r="13137" spans="1:7" hidden="1" x14ac:dyDescent="0.25">
      <c r="A13137" s="28">
        <v>44652</v>
      </c>
      <c r="B13137" s="27" t="s">
        <v>33</v>
      </c>
      <c r="C13137" s="27" t="s">
        <v>50</v>
      </c>
      <c r="D13137" s="27" t="s">
        <v>7</v>
      </c>
      <c r="E13137" s="27" t="s">
        <v>64</v>
      </c>
      <c r="F13137" s="29"/>
      <c r="G13137" s="30">
        <v>2495.4057142857141</v>
      </c>
    </row>
    <row r="13138" spans="1:7" hidden="1" x14ac:dyDescent="0.25">
      <c r="A13138" s="28">
        <v>44652</v>
      </c>
      <c r="B13138" s="27" t="s">
        <v>33</v>
      </c>
      <c r="C13138" s="27" t="s">
        <v>50</v>
      </c>
      <c r="D13138" s="27" t="s">
        <v>7</v>
      </c>
      <c r="E13138" s="27" t="s">
        <v>21</v>
      </c>
      <c r="F13138" s="29"/>
      <c r="G13138" s="30">
        <v>2495.4057142857141</v>
      </c>
    </row>
    <row r="13139" spans="1:7" hidden="1" x14ac:dyDescent="0.25">
      <c r="A13139" s="28">
        <v>44652</v>
      </c>
      <c r="B13139" s="27" t="s">
        <v>33</v>
      </c>
      <c r="C13139" s="27" t="s">
        <v>50</v>
      </c>
      <c r="D13139" s="27" t="s">
        <v>7</v>
      </c>
      <c r="E13139" s="27" t="s">
        <v>41</v>
      </c>
      <c r="F13139" s="29"/>
      <c r="G13139" s="30">
        <v>2495.4057142857141</v>
      </c>
    </row>
    <row r="13140" spans="1:7" hidden="1" x14ac:dyDescent="0.25">
      <c r="A13140" s="28">
        <v>44652</v>
      </c>
      <c r="B13140" s="27" t="s">
        <v>33</v>
      </c>
      <c r="C13140" s="27" t="s">
        <v>50</v>
      </c>
      <c r="D13140" s="27" t="s">
        <v>7</v>
      </c>
      <c r="E13140" s="27" t="s">
        <v>10</v>
      </c>
      <c r="F13140" s="29"/>
      <c r="G13140" s="30">
        <v>2495.4057142857141</v>
      </c>
    </row>
    <row r="13141" spans="1:7" hidden="1" x14ac:dyDescent="0.25">
      <c r="A13141" s="28">
        <v>44652</v>
      </c>
      <c r="B13141" s="27" t="s">
        <v>33</v>
      </c>
      <c r="C13141" s="27" t="s">
        <v>50</v>
      </c>
      <c r="D13141" s="27" t="s">
        <v>7</v>
      </c>
      <c r="E13141" s="27" t="s">
        <v>11</v>
      </c>
      <c r="F13141" s="29"/>
      <c r="G13141" s="30">
        <v>2495.4057142857141</v>
      </c>
    </row>
    <row r="13142" spans="1:7" hidden="1" x14ac:dyDescent="0.25">
      <c r="A13142" s="28">
        <v>44652</v>
      </c>
      <c r="B13142" s="27" t="s">
        <v>33</v>
      </c>
      <c r="C13142" s="27" t="s">
        <v>50</v>
      </c>
      <c r="D13142" s="27" t="s">
        <v>7</v>
      </c>
      <c r="E13142" s="27" t="s">
        <v>12</v>
      </c>
      <c r="F13142" s="29"/>
      <c r="G13142" s="30">
        <v>2495.4057142857141</v>
      </c>
    </row>
    <row r="13143" spans="1:7" hidden="1" x14ac:dyDescent="0.25">
      <c r="A13143" s="28">
        <v>44652</v>
      </c>
      <c r="B13143" s="27" t="s">
        <v>33</v>
      </c>
      <c r="C13143" s="27" t="s">
        <v>50</v>
      </c>
      <c r="D13143" s="27" t="s">
        <v>7</v>
      </c>
      <c r="E13143" s="27" t="s">
        <v>13</v>
      </c>
      <c r="F13143" s="29"/>
      <c r="G13143" s="30">
        <v>2495.4057142857141</v>
      </c>
    </row>
    <row r="13144" spans="1:7" hidden="1" x14ac:dyDescent="0.25">
      <c r="A13144" s="28">
        <v>44652</v>
      </c>
      <c r="B13144" s="27" t="s">
        <v>33</v>
      </c>
      <c r="C13144" s="27" t="s">
        <v>50</v>
      </c>
      <c r="D13144" s="27" t="s">
        <v>7</v>
      </c>
      <c r="E13144" s="27" t="s">
        <v>14</v>
      </c>
      <c r="F13144" s="29"/>
      <c r="G13144" s="30">
        <v>2495.4057142857141</v>
      </c>
    </row>
    <row r="13145" spans="1:7" hidden="1" x14ac:dyDescent="0.25">
      <c r="A13145" s="28">
        <v>44652</v>
      </c>
      <c r="B13145" s="27" t="s">
        <v>33</v>
      </c>
      <c r="C13145" s="27" t="s">
        <v>50</v>
      </c>
      <c r="D13145" s="27" t="s">
        <v>7</v>
      </c>
      <c r="E13145" s="27" t="s">
        <v>15</v>
      </c>
      <c r="F13145" s="29"/>
      <c r="G13145" s="30">
        <v>2495.4057142857141</v>
      </c>
    </row>
    <row r="13146" spans="1:7" hidden="1" x14ac:dyDescent="0.25">
      <c r="A13146" s="28">
        <v>44652</v>
      </c>
      <c r="B13146" s="27" t="s">
        <v>33</v>
      </c>
      <c r="C13146" s="27" t="s">
        <v>50</v>
      </c>
      <c r="D13146" s="27" t="s">
        <v>7</v>
      </c>
      <c r="E13146" s="27" t="s">
        <v>16</v>
      </c>
      <c r="F13146" s="29"/>
      <c r="G13146" s="30">
        <v>2495.4057142857141</v>
      </c>
    </row>
    <row r="13147" spans="1:7" hidden="1" x14ac:dyDescent="0.25">
      <c r="A13147" s="28">
        <v>44652</v>
      </c>
      <c r="B13147" s="27" t="s">
        <v>33</v>
      </c>
      <c r="C13147" s="27" t="s">
        <v>50</v>
      </c>
      <c r="D13147" s="27" t="s">
        <v>7</v>
      </c>
      <c r="E13147" s="27" t="s">
        <v>17</v>
      </c>
      <c r="F13147" s="29"/>
      <c r="G13147" s="30">
        <v>2495.4057142857141</v>
      </c>
    </row>
    <row r="13148" spans="1:7" hidden="1" x14ac:dyDescent="0.25">
      <c r="A13148" s="28">
        <v>44652</v>
      </c>
      <c r="B13148" s="27" t="s">
        <v>33</v>
      </c>
      <c r="C13148" s="27" t="s">
        <v>50</v>
      </c>
      <c r="D13148" s="27" t="s">
        <v>7</v>
      </c>
      <c r="E13148" s="27" t="s">
        <v>18</v>
      </c>
      <c r="F13148" s="29"/>
      <c r="G13148" s="30">
        <v>2495.4057142857141</v>
      </c>
    </row>
    <row r="13149" spans="1:7" hidden="1" x14ac:dyDescent="0.25">
      <c r="A13149" s="28">
        <v>44652</v>
      </c>
      <c r="B13149" s="27" t="s">
        <v>33</v>
      </c>
      <c r="C13149" s="27" t="s">
        <v>50</v>
      </c>
      <c r="D13149" s="27" t="s">
        <v>7</v>
      </c>
      <c r="E13149" s="27" t="s">
        <v>19</v>
      </c>
      <c r="F13149" s="29"/>
      <c r="G13149" s="30">
        <v>2495.4057142857141</v>
      </c>
    </row>
    <row r="13150" spans="1:7" hidden="1" x14ac:dyDescent="0.25">
      <c r="A13150" s="28">
        <v>44652</v>
      </c>
      <c r="B13150" s="27" t="s">
        <v>33</v>
      </c>
      <c r="C13150" s="27" t="s">
        <v>50</v>
      </c>
      <c r="D13150" s="27" t="s">
        <v>7</v>
      </c>
      <c r="E13150" s="27" t="s">
        <v>20</v>
      </c>
      <c r="F13150" s="29"/>
      <c r="G13150" s="30">
        <v>2495.4057142857141</v>
      </c>
    </row>
    <row r="13151" spans="1:7" hidden="1" x14ac:dyDescent="0.25">
      <c r="A13151" s="28">
        <v>44652</v>
      </c>
      <c r="B13151" s="27" t="s">
        <v>33</v>
      </c>
      <c r="C13151" s="27" t="s">
        <v>50</v>
      </c>
      <c r="D13151" s="27" t="s">
        <v>7</v>
      </c>
      <c r="E13151" s="27" t="s">
        <v>38</v>
      </c>
      <c r="F13151" s="29"/>
      <c r="G13151" s="30">
        <v>2495.4057142857141</v>
      </c>
    </row>
    <row r="13152" spans="1:7" hidden="1" x14ac:dyDescent="0.25">
      <c r="A13152" s="28">
        <v>44652</v>
      </c>
      <c r="B13152" s="27" t="s">
        <v>33</v>
      </c>
      <c r="C13152" s="27" t="s">
        <v>50</v>
      </c>
      <c r="D13152" s="27" t="s">
        <v>7</v>
      </c>
      <c r="E13152" s="27" t="s">
        <v>23</v>
      </c>
      <c r="F13152" s="29"/>
      <c r="G13152" s="30">
        <v>2495.4057142857141</v>
      </c>
    </row>
    <row r="13153" spans="1:7" hidden="1" x14ac:dyDescent="0.25">
      <c r="A13153" s="28">
        <v>44652</v>
      </c>
      <c r="B13153" s="27" t="s">
        <v>33</v>
      </c>
      <c r="C13153" s="27" t="s">
        <v>50</v>
      </c>
      <c r="D13153" s="27" t="s">
        <v>7</v>
      </c>
      <c r="E13153" s="27" t="s">
        <v>40</v>
      </c>
      <c r="F13153" s="29"/>
      <c r="G13153" s="30">
        <v>2495.4057142857141</v>
      </c>
    </row>
    <row r="13154" spans="1:7" hidden="1" x14ac:dyDescent="0.25">
      <c r="A13154" s="28">
        <v>44652</v>
      </c>
      <c r="B13154" s="27" t="s">
        <v>33</v>
      </c>
      <c r="C13154" s="27" t="s">
        <v>50</v>
      </c>
      <c r="D13154" s="27" t="s">
        <v>7</v>
      </c>
      <c r="E13154" s="27" t="s">
        <v>42</v>
      </c>
      <c r="F13154" s="29"/>
      <c r="G13154" s="30">
        <v>2495.4057142857141</v>
      </c>
    </row>
    <row r="13155" spans="1:7" hidden="1" x14ac:dyDescent="0.25">
      <c r="A13155" s="28">
        <v>44652</v>
      </c>
      <c r="B13155" s="27" t="s">
        <v>33</v>
      </c>
      <c r="C13155" s="27" t="s">
        <v>50</v>
      </c>
      <c r="D13155" s="27" t="s">
        <v>7</v>
      </c>
      <c r="E13155" s="27" t="s">
        <v>43</v>
      </c>
      <c r="F13155" s="29"/>
      <c r="G13155" s="30">
        <v>2495.4057142857141</v>
      </c>
    </row>
    <row r="13156" spans="1:7" hidden="1" x14ac:dyDescent="0.25">
      <c r="A13156" s="28">
        <v>44652</v>
      </c>
      <c r="B13156" s="27" t="s">
        <v>33</v>
      </c>
      <c r="C13156" s="27" t="s">
        <v>50</v>
      </c>
      <c r="D13156" s="27" t="s">
        <v>7</v>
      </c>
      <c r="E13156" s="27" t="s">
        <v>72</v>
      </c>
      <c r="F13156" s="29"/>
      <c r="G13156" s="30">
        <v>2495.4057142857141</v>
      </c>
    </row>
    <row r="13157" spans="1:7" hidden="1" x14ac:dyDescent="0.25">
      <c r="A13157" s="28">
        <v>44652</v>
      </c>
      <c r="B13157" s="27" t="s">
        <v>33</v>
      </c>
      <c r="C13157" s="27" t="s">
        <v>50</v>
      </c>
      <c r="D13157" s="27" t="s">
        <v>7</v>
      </c>
      <c r="E13157" s="27" t="s">
        <v>206</v>
      </c>
      <c r="F13157" s="29"/>
      <c r="G13157" s="30">
        <v>2495.4057142857141</v>
      </c>
    </row>
    <row r="13158" spans="1:7" hidden="1" x14ac:dyDescent="0.25">
      <c r="A13158" s="28">
        <v>44652</v>
      </c>
      <c r="B13158" s="27" t="s">
        <v>33</v>
      </c>
      <c r="C13158" s="27" t="s">
        <v>50</v>
      </c>
      <c r="D13158" s="27" t="s">
        <v>7</v>
      </c>
      <c r="E13158" s="27" t="s">
        <v>67</v>
      </c>
      <c r="F13158" s="29"/>
      <c r="G13158" s="30">
        <v>2495.4057142857141</v>
      </c>
    </row>
    <row r="13159" spans="1:7" hidden="1" x14ac:dyDescent="0.25">
      <c r="A13159" s="28">
        <v>44652</v>
      </c>
      <c r="B13159" s="27" t="s">
        <v>33</v>
      </c>
      <c r="C13159" s="27" t="s">
        <v>50</v>
      </c>
      <c r="D13159" s="27" t="s">
        <v>7</v>
      </c>
      <c r="E13159" s="27" t="s">
        <v>68</v>
      </c>
      <c r="F13159" s="29"/>
      <c r="G13159" s="30">
        <v>2495.4057142857141</v>
      </c>
    </row>
    <row r="13160" spans="1:7" hidden="1" x14ac:dyDescent="0.25">
      <c r="A13160" s="28">
        <v>44652</v>
      </c>
      <c r="B13160" s="27" t="s">
        <v>33</v>
      </c>
      <c r="C13160" s="27" t="s">
        <v>50</v>
      </c>
      <c r="D13160" s="27" t="s">
        <v>7</v>
      </c>
      <c r="E13160" s="27" t="s">
        <v>74</v>
      </c>
      <c r="F13160" s="29"/>
      <c r="G13160" s="30">
        <v>2495.4057142857141</v>
      </c>
    </row>
    <row r="13161" spans="1:7" hidden="1" x14ac:dyDescent="0.25">
      <c r="A13161" s="28">
        <v>44652</v>
      </c>
      <c r="B13161" s="27" t="s">
        <v>4</v>
      </c>
      <c r="C13161" s="27" t="s">
        <v>50</v>
      </c>
      <c r="D13161" s="27" t="s">
        <v>7</v>
      </c>
      <c r="E13161" s="27" t="s">
        <v>8</v>
      </c>
      <c r="F13161" s="29"/>
      <c r="G13161" s="30">
        <v>707.5</v>
      </c>
    </row>
    <row r="13162" spans="1:7" hidden="1" x14ac:dyDescent="0.25">
      <c r="A13162" s="28">
        <v>44652</v>
      </c>
      <c r="B13162" s="27" t="s">
        <v>4</v>
      </c>
      <c r="C13162" s="27" t="s">
        <v>50</v>
      </c>
      <c r="D13162" s="27" t="s">
        <v>7</v>
      </c>
      <c r="E13162" s="27" t="s">
        <v>9</v>
      </c>
      <c r="F13162" s="29"/>
      <c r="G13162" s="30">
        <f>74189.28/12</f>
        <v>6182.44</v>
      </c>
    </row>
    <row r="13163" spans="1:7" hidden="1" x14ac:dyDescent="0.25">
      <c r="A13163" s="28">
        <v>44652</v>
      </c>
      <c r="B13163" s="27" t="s">
        <v>4</v>
      </c>
      <c r="C13163" s="27" t="s">
        <v>50</v>
      </c>
      <c r="D13163" s="27" t="s">
        <v>7</v>
      </c>
      <c r="E13163" s="27" t="s">
        <v>22</v>
      </c>
      <c r="F13163" s="29"/>
      <c r="G13163" s="30">
        <f>74189.28/12</f>
        <v>6182.44</v>
      </c>
    </row>
    <row r="13164" spans="1:7" hidden="1" x14ac:dyDescent="0.25">
      <c r="A13164" s="28">
        <v>44652</v>
      </c>
      <c r="B13164" s="27" t="s">
        <v>4</v>
      </c>
      <c r="C13164" s="27" t="s">
        <v>50</v>
      </c>
      <c r="D13164" s="27" t="s">
        <v>7</v>
      </c>
      <c r="E13164" s="27" t="s">
        <v>39</v>
      </c>
      <c r="F13164" s="29"/>
      <c r="G13164" s="30">
        <v>2688.95</v>
      </c>
    </row>
    <row r="13165" spans="1:7" hidden="1" x14ac:dyDescent="0.25">
      <c r="A13165" s="28">
        <v>44652</v>
      </c>
      <c r="B13165" s="27" t="s">
        <v>4</v>
      </c>
      <c r="C13165" s="27" t="s">
        <v>50</v>
      </c>
      <c r="D13165" s="27" t="s">
        <v>7</v>
      </c>
      <c r="E13165" s="27" t="s">
        <v>64</v>
      </c>
      <c r="F13165" s="29"/>
      <c r="G13165" s="30">
        <f>74189.28/12</f>
        <v>6182.44</v>
      </c>
    </row>
    <row r="13166" spans="1:7" hidden="1" x14ac:dyDescent="0.25">
      <c r="A13166" s="28">
        <v>44652</v>
      </c>
      <c r="B13166" s="27" t="s">
        <v>4</v>
      </c>
      <c r="C13166" s="27" t="s">
        <v>50</v>
      </c>
      <c r="D13166" s="27" t="s">
        <v>7</v>
      </c>
      <c r="E13166" s="27" t="s">
        <v>21</v>
      </c>
      <c r="F13166" s="29"/>
      <c r="G13166" s="30">
        <v>1028.22</v>
      </c>
    </row>
    <row r="13167" spans="1:7" hidden="1" x14ac:dyDescent="0.25">
      <c r="A13167" s="28">
        <v>44652</v>
      </c>
      <c r="B13167" s="27" t="s">
        <v>4</v>
      </c>
      <c r="C13167" s="27" t="s">
        <v>50</v>
      </c>
      <c r="D13167" s="27" t="s">
        <v>7</v>
      </c>
      <c r="E13167" s="27" t="s">
        <v>41</v>
      </c>
      <c r="F13167" s="29"/>
      <c r="G13167" s="30">
        <v>5306.29</v>
      </c>
    </row>
    <row r="13168" spans="1:7" hidden="1" x14ac:dyDescent="0.25">
      <c r="A13168" s="28">
        <v>44652</v>
      </c>
      <c r="B13168" s="27" t="s">
        <v>4</v>
      </c>
      <c r="C13168" s="27" t="s">
        <v>50</v>
      </c>
      <c r="D13168" s="27" t="s">
        <v>7</v>
      </c>
      <c r="E13168" s="27" t="s">
        <v>10</v>
      </c>
      <c r="F13168" s="29"/>
      <c r="G13168" s="30">
        <v>5052.9500000000007</v>
      </c>
    </row>
    <row r="13169" spans="1:7" hidden="1" x14ac:dyDescent="0.25">
      <c r="A13169" s="28">
        <v>44652</v>
      </c>
      <c r="B13169" s="27" t="s">
        <v>4</v>
      </c>
      <c r="C13169" s="27" t="s">
        <v>50</v>
      </c>
      <c r="D13169" s="27" t="s">
        <v>7</v>
      </c>
      <c r="E13169" s="27" t="s">
        <v>11</v>
      </c>
      <c r="F13169" s="29"/>
      <c r="G13169" s="30">
        <f>74189.28/12</f>
        <v>6182.44</v>
      </c>
    </row>
    <row r="13170" spans="1:7" hidden="1" x14ac:dyDescent="0.25">
      <c r="A13170" s="28">
        <v>44652</v>
      </c>
      <c r="B13170" s="27" t="s">
        <v>4</v>
      </c>
      <c r="C13170" s="27" t="s">
        <v>50</v>
      </c>
      <c r="D13170" s="27" t="s">
        <v>7</v>
      </c>
      <c r="E13170" s="27" t="s">
        <v>12</v>
      </c>
      <c r="F13170" s="29"/>
      <c r="G13170" s="30">
        <f>74189.28/12</f>
        <v>6182.44</v>
      </c>
    </row>
    <row r="13171" spans="1:7" hidden="1" x14ac:dyDescent="0.25">
      <c r="A13171" s="28">
        <v>44652</v>
      </c>
      <c r="B13171" s="27" t="s">
        <v>4</v>
      </c>
      <c r="C13171" s="27" t="s">
        <v>50</v>
      </c>
      <c r="D13171" s="27" t="s">
        <v>7</v>
      </c>
      <c r="E13171" s="27" t="s">
        <v>13</v>
      </c>
      <c r="F13171" s="29"/>
      <c r="G13171" s="30">
        <v>7083.32</v>
      </c>
    </row>
    <row r="13172" spans="1:7" hidden="1" x14ac:dyDescent="0.25">
      <c r="A13172" s="28">
        <v>44652</v>
      </c>
      <c r="B13172" s="27" t="s">
        <v>4</v>
      </c>
      <c r="C13172" s="27" t="s">
        <v>50</v>
      </c>
      <c r="D13172" s="27" t="s">
        <v>7</v>
      </c>
      <c r="E13172" s="27" t="s">
        <v>14</v>
      </c>
      <c r="F13172" s="29"/>
      <c r="G13172" s="30">
        <v>854.41</v>
      </c>
    </row>
    <row r="13173" spans="1:7" hidden="1" x14ac:dyDescent="0.25">
      <c r="A13173" s="28">
        <v>44652</v>
      </c>
      <c r="B13173" s="27" t="s">
        <v>4</v>
      </c>
      <c r="C13173" s="27" t="s">
        <v>50</v>
      </c>
      <c r="D13173" s="27" t="s">
        <v>7</v>
      </c>
      <c r="E13173" s="27" t="s">
        <v>15</v>
      </c>
      <c r="F13173" s="29"/>
      <c r="G13173" s="30">
        <f>74189.28/12</f>
        <v>6182.44</v>
      </c>
    </row>
    <row r="13174" spans="1:7" hidden="1" x14ac:dyDescent="0.25">
      <c r="A13174" s="28">
        <v>44652</v>
      </c>
      <c r="B13174" s="27" t="s">
        <v>4</v>
      </c>
      <c r="C13174" s="27" t="s">
        <v>50</v>
      </c>
      <c r="D13174" s="27" t="s">
        <v>7</v>
      </c>
      <c r="E13174" s="27" t="s">
        <v>16</v>
      </c>
      <c r="F13174" s="29"/>
      <c r="G13174" s="30">
        <f>74189.28/12</f>
        <v>6182.44</v>
      </c>
    </row>
    <row r="13175" spans="1:7" hidden="1" x14ac:dyDescent="0.25">
      <c r="A13175" s="28">
        <v>44652</v>
      </c>
      <c r="B13175" s="27" t="s">
        <v>4</v>
      </c>
      <c r="C13175" s="27" t="s">
        <v>50</v>
      </c>
      <c r="D13175" s="27" t="s">
        <v>7</v>
      </c>
      <c r="E13175" s="27" t="s">
        <v>17</v>
      </c>
      <c r="F13175" s="29"/>
      <c r="G13175" s="30">
        <v>6102.1100000000006</v>
      </c>
    </row>
    <row r="13176" spans="1:7" hidden="1" x14ac:dyDescent="0.25">
      <c r="A13176" s="28">
        <v>44652</v>
      </c>
      <c r="B13176" s="27" t="s">
        <v>4</v>
      </c>
      <c r="C13176" s="27" t="s">
        <v>50</v>
      </c>
      <c r="D13176" s="27" t="s">
        <v>7</v>
      </c>
      <c r="E13176" s="27" t="s">
        <v>18</v>
      </c>
      <c r="F13176" s="29"/>
      <c r="G13176" s="30">
        <f>74189.28/12</f>
        <v>6182.44</v>
      </c>
    </row>
    <row r="13177" spans="1:7" hidden="1" x14ac:dyDescent="0.25">
      <c r="A13177" s="28">
        <v>44652</v>
      </c>
      <c r="B13177" s="27" t="s">
        <v>4</v>
      </c>
      <c r="C13177" s="27" t="s">
        <v>50</v>
      </c>
      <c r="D13177" s="27" t="s">
        <v>7</v>
      </c>
      <c r="E13177" s="27" t="s">
        <v>19</v>
      </c>
      <c r="F13177" s="29"/>
      <c r="G13177" s="30">
        <v>4118.32</v>
      </c>
    </row>
    <row r="13178" spans="1:7" hidden="1" x14ac:dyDescent="0.25">
      <c r="A13178" s="28">
        <v>44652</v>
      </c>
      <c r="B13178" s="27" t="s">
        <v>4</v>
      </c>
      <c r="C13178" s="27" t="s">
        <v>50</v>
      </c>
      <c r="D13178" s="27" t="s">
        <v>7</v>
      </c>
      <c r="E13178" s="27" t="s">
        <v>20</v>
      </c>
      <c r="F13178" s="29"/>
      <c r="G13178" s="30">
        <f>74189.28/12</f>
        <v>6182.44</v>
      </c>
    </row>
    <row r="13179" spans="1:7" hidden="1" x14ac:dyDescent="0.25">
      <c r="A13179" s="28">
        <v>44652</v>
      </c>
      <c r="B13179" s="27" t="s">
        <v>4</v>
      </c>
      <c r="C13179" s="27" t="s">
        <v>50</v>
      </c>
      <c r="D13179" s="27" t="s">
        <v>7</v>
      </c>
      <c r="E13179" s="27" t="s">
        <v>38</v>
      </c>
      <c r="F13179" s="29"/>
      <c r="G13179" s="30">
        <f>74189.28/12</f>
        <v>6182.44</v>
      </c>
    </row>
    <row r="13180" spans="1:7" hidden="1" x14ac:dyDescent="0.25">
      <c r="A13180" s="28">
        <v>44652</v>
      </c>
      <c r="B13180" s="27" t="s">
        <v>4</v>
      </c>
      <c r="C13180" s="27" t="s">
        <v>50</v>
      </c>
      <c r="D13180" s="27" t="s">
        <v>7</v>
      </c>
      <c r="E13180" s="27" t="s">
        <v>23</v>
      </c>
      <c r="F13180" s="29"/>
      <c r="G13180" s="30">
        <v>3161.7799999999997</v>
      </c>
    </row>
    <row r="13181" spans="1:7" hidden="1" x14ac:dyDescent="0.25">
      <c r="A13181" s="28">
        <v>44652</v>
      </c>
      <c r="B13181" s="27" t="s">
        <v>4</v>
      </c>
      <c r="C13181" s="27" t="s">
        <v>50</v>
      </c>
      <c r="D13181" s="27" t="s">
        <v>7</v>
      </c>
      <c r="E13181" s="27" t="s">
        <v>40</v>
      </c>
      <c r="F13181" s="29"/>
      <c r="G13181" s="30">
        <v>1641.21</v>
      </c>
    </row>
    <row r="13182" spans="1:7" hidden="1" x14ac:dyDescent="0.25">
      <c r="A13182" s="28">
        <v>44652</v>
      </c>
      <c r="B13182" s="27" t="s">
        <v>4</v>
      </c>
      <c r="C13182" s="27" t="s">
        <v>50</v>
      </c>
      <c r="D13182" s="27" t="s">
        <v>7</v>
      </c>
      <c r="E13182" s="27" t="s">
        <v>42</v>
      </c>
      <c r="F13182" s="29"/>
      <c r="G13182" s="30">
        <v>563.29999999999995</v>
      </c>
    </row>
    <row r="13183" spans="1:7" hidden="1" x14ac:dyDescent="0.25">
      <c r="A13183" s="28">
        <v>44652</v>
      </c>
      <c r="B13183" s="27" t="s">
        <v>4</v>
      </c>
      <c r="C13183" s="27" t="s">
        <v>50</v>
      </c>
      <c r="D13183" s="27" t="s">
        <v>7</v>
      </c>
      <c r="E13183" s="27" t="s">
        <v>43</v>
      </c>
      <c r="F13183" s="29"/>
      <c r="G13183" s="30">
        <v>170.6</v>
      </c>
    </row>
    <row r="13184" spans="1:7" hidden="1" x14ac:dyDescent="0.25">
      <c r="A13184" s="28">
        <v>44652</v>
      </c>
      <c r="B13184" s="27" t="s">
        <v>4</v>
      </c>
      <c r="C13184" s="27" t="s">
        <v>50</v>
      </c>
      <c r="D13184" s="27" t="s">
        <v>7</v>
      </c>
      <c r="E13184" s="27" t="s">
        <v>72</v>
      </c>
      <c r="F13184" s="29"/>
      <c r="G13184" s="30">
        <v>296.2</v>
      </c>
    </row>
    <row r="13185" spans="1:7" hidden="1" x14ac:dyDescent="0.25">
      <c r="A13185" s="28">
        <v>44652</v>
      </c>
      <c r="B13185" s="27" t="s">
        <v>4</v>
      </c>
      <c r="C13185" s="27" t="s">
        <v>50</v>
      </c>
      <c r="D13185" s="27" t="s">
        <v>7</v>
      </c>
      <c r="E13185" s="27" t="s">
        <v>206</v>
      </c>
      <c r="F13185" s="29"/>
      <c r="G13185" s="30">
        <f>74189.28/12</f>
        <v>6182.44</v>
      </c>
    </row>
    <row r="13186" spans="1:7" hidden="1" x14ac:dyDescent="0.25">
      <c r="A13186" s="28">
        <v>44652</v>
      </c>
      <c r="B13186" s="27" t="s">
        <v>4</v>
      </c>
      <c r="C13186" s="27" t="s">
        <v>50</v>
      </c>
      <c r="D13186" s="27" t="s">
        <v>7</v>
      </c>
      <c r="E13186" s="27" t="s">
        <v>67</v>
      </c>
      <c r="F13186" s="29"/>
      <c r="G13186" s="30">
        <f>74189.28/12</f>
        <v>6182.44</v>
      </c>
    </row>
    <row r="13187" spans="1:7" hidden="1" x14ac:dyDescent="0.25">
      <c r="A13187" s="28">
        <v>44652</v>
      </c>
      <c r="B13187" s="27" t="s">
        <v>26</v>
      </c>
      <c r="C13187" s="27" t="s">
        <v>50</v>
      </c>
      <c r="D13187" s="27" t="s">
        <v>6</v>
      </c>
      <c r="E13187" s="27" t="s">
        <v>8</v>
      </c>
      <c r="F13187" s="29"/>
      <c r="G13187" s="30">
        <v>719.18234681218985</v>
      </c>
    </row>
    <row r="13188" spans="1:7" hidden="1" x14ac:dyDescent="0.25">
      <c r="A13188" s="28">
        <v>44652</v>
      </c>
      <c r="B13188" s="27" t="s">
        <v>26</v>
      </c>
      <c r="C13188" s="27" t="s">
        <v>50</v>
      </c>
      <c r="D13188" s="27" t="s">
        <v>6</v>
      </c>
      <c r="E13188" s="27" t="s">
        <v>9</v>
      </c>
      <c r="F13188" s="29"/>
      <c r="G13188" s="30">
        <v>1595.1320615825009</v>
      </c>
    </row>
    <row r="13189" spans="1:7" hidden="1" x14ac:dyDescent="0.25">
      <c r="A13189" s="28">
        <v>44652</v>
      </c>
      <c r="B13189" s="27" t="s">
        <v>26</v>
      </c>
      <c r="C13189" s="27" t="s">
        <v>50</v>
      </c>
      <c r="D13189" s="27" t="s">
        <v>6</v>
      </c>
      <c r="E13189" s="27" t="s">
        <v>22</v>
      </c>
      <c r="F13189" s="29"/>
      <c r="G13189" s="30">
        <v>2121.8036778000037</v>
      </c>
    </row>
    <row r="13190" spans="1:7" hidden="1" x14ac:dyDescent="0.25">
      <c r="A13190" s="28">
        <v>44652</v>
      </c>
      <c r="B13190" s="27" t="s">
        <v>26</v>
      </c>
      <c r="C13190" s="27" t="s">
        <v>50</v>
      </c>
      <c r="D13190" s="27" t="s">
        <v>6</v>
      </c>
      <c r="E13190" s="27" t="s">
        <v>39</v>
      </c>
      <c r="F13190" s="29"/>
      <c r="G13190" s="30">
        <v>1858.2521149872089</v>
      </c>
    </row>
    <row r="13191" spans="1:7" hidden="1" x14ac:dyDescent="0.25">
      <c r="A13191" s="28">
        <v>44652</v>
      </c>
      <c r="B13191" s="27" t="s">
        <v>26</v>
      </c>
      <c r="C13191" s="27" t="s">
        <v>50</v>
      </c>
      <c r="D13191" s="27" t="s">
        <v>6</v>
      </c>
      <c r="E13191" s="27" t="s">
        <v>64</v>
      </c>
      <c r="F13191" s="29"/>
      <c r="G13191" s="30">
        <v>1276.3329108875935</v>
      </c>
    </row>
    <row r="13192" spans="1:7" hidden="1" x14ac:dyDescent="0.25">
      <c r="A13192" s="28">
        <v>44652</v>
      </c>
      <c r="B13192" s="27" t="s">
        <v>26</v>
      </c>
      <c r="C13192" s="27" t="s">
        <v>50</v>
      </c>
      <c r="D13192" s="27" t="s">
        <v>6</v>
      </c>
      <c r="E13192" s="27" t="s">
        <v>21</v>
      </c>
      <c r="F13192" s="29"/>
      <c r="G13192" s="30">
        <v>1372.0704648952321</v>
      </c>
    </row>
    <row r="13193" spans="1:7" hidden="1" x14ac:dyDescent="0.25">
      <c r="A13193" s="28">
        <v>44652</v>
      </c>
      <c r="B13193" s="27" t="s">
        <v>26</v>
      </c>
      <c r="C13193" s="27" t="s">
        <v>50</v>
      </c>
      <c r="D13193" s="27" t="s">
        <v>6</v>
      </c>
      <c r="E13193" s="27" t="s">
        <v>41</v>
      </c>
      <c r="F13193" s="29"/>
      <c r="G13193" s="30">
        <v>1581.4819806400055</v>
      </c>
    </row>
    <row r="13194" spans="1:7" hidden="1" x14ac:dyDescent="0.25">
      <c r="A13194" s="28">
        <v>44652</v>
      </c>
      <c r="B13194" s="27" t="s">
        <v>26</v>
      </c>
      <c r="C13194" s="27" t="s">
        <v>50</v>
      </c>
      <c r="D13194" s="27" t="s">
        <v>6</v>
      </c>
      <c r="E13194" s="27" t="s">
        <v>10</v>
      </c>
      <c r="F13194" s="29"/>
      <c r="G13194" s="30">
        <v>2188.8314725228997</v>
      </c>
    </row>
    <row r="13195" spans="1:7" hidden="1" x14ac:dyDescent="0.25">
      <c r="A13195" s="28">
        <v>44652</v>
      </c>
      <c r="B13195" s="27" t="s">
        <v>26</v>
      </c>
      <c r="C13195" s="27" t="s">
        <v>50</v>
      </c>
      <c r="D13195" s="27" t="s">
        <v>6</v>
      </c>
      <c r="E13195" s="27" t="s">
        <v>11</v>
      </c>
      <c r="F13195" s="29"/>
      <c r="G13195" s="30">
        <v>1627.7110218930932</v>
      </c>
    </row>
    <row r="13196" spans="1:7" hidden="1" x14ac:dyDescent="0.25">
      <c r="A13196" s="28">
        <v>44652</v>
      </c>
      <c r="B13196" s="27" t="s">
        <v>26</v>
      </c>
      <c r="C13196" s="27" t="s">
        <v>50</v>
      </c>
      <c r="D13196" s="27" t="s">
        <v>6</v>
      </c>
      <c r="E13196" s="27" t="s">
        <v>12</v>
      </c>
      <c r="F13196" s="29"/>
      <c r="G13196" s="30">
        <v>1714.4875638594519</v>
      </c>
    </row>
    <row r="13197" spans="1:7" hidden="1" x14ac:dyDescent="0.25">
      <c r="A13197" s="28">
        <v>44652</v>
      </c>
      <c r="B13197" s="27" t="s">
        <v>26</v>
      </c>
      <c r="C13197" s="27" t="s">
        <v>50</v>
      </c>
      <c r="D13197" s="27" t="s">
        <v>6</v>
      </c>
      <c r="E13197" s="27" t="s">
        <v>13</v>
      </c>
      <c r="F13197" s="29"/>
      <c r="G13197" s="30">
        <v>1743.4562287890469</v>
      </c>
    </row>
    <row r="13198" spans="1:7" hidden="1" x14ac:dyDescent="0.25">
      <c r="A13198" s="28">
        <v>44652</v>
      </c>
      <c r="B13198" s="27" t="s">
        <v>26</v>
      </c>
      <c r="C13198" s="27" t="s">
        <v>50</v>
      </c>
      <c r="D13198" s="27" t="s">
        <v>6</v>
      </c>
      <c r="E13198" s="27" t="s">
        <v>14</v>
      </c>
      <c r="F13198" s="29"/>
      <c r="G13198" s="30">
        <v>561.68141286032039</v>
      </c>
    </row>
    <row r="13199" spans="1:7" hidden="1" x14ac:dyDescent="0.25">
      <c r="A13199" s="28">
        <v>44652</v>
      </c>
      <c r="B13199" s="27" t="s">
        <v>26</v>
      </c>
      <c r="C13199" s="27" t="s">
        <v>50</v>
      </c>
      <c r="D13199" s="27" t="s">
        <v>6</v>
      </c>
      <c r="E13199" s="27" t="s">
        <v>15</v>
      </c>
      <c r="F13199" s="29"/>
      <c r="G13199" s="30">
        <v>1903.4886846016955</v>
      </c>
    </row>
    <row r="13200" spans="1:7" hidden="1" x14ac:dyDescent="0.25">
      <c r="A13200" s="28">
        <v>44652</v>
      </c>
      <c r="B13200" s="27" t="s">
        <v>26</v>
      </c>
      <c r="C13200" s="27" t="s">
        <v>50</v>
      </c>
      <c r="D13200" s="27" t="s">
        <v>6</v>
      </c>
      <c r="E13200" s="27" t="s">
        <v>16</v>
      </c>
      <c r="F13200" s="29"/>
      <c r="G13200" s="30">
        <v>2154.0949651718715</v>
      </c>
    </row>
    <row r="13201" spans="1:7" hidden="1" x14ac:dyDescent="0.25">
      <c r="A13201" s="28">
        <v>44652</v>
      </c>
      <c r="B13201" s="27" t="s">
        <v>26</v>
      </c>
      <c r="C13201" s="27" t="s">
        <v>50</v>
      </c>
      <c r="D13201" s="27" t="s">
        <v>6</v>
      </c>
      <c r="E13201" s="27" t="s">
        <v>17</v>
      </c>
      <c r="F13201" s="29"/>
      <c r="G13201" s="30">
        <v>3135.6350321011482</v>
      </c>
    </row>
    <row r="13202" spans="1:7" hidden="1" x14ac:dyDescent="0.25">
      <c r="A13202" s="28">
        <v>44652</v>
      </c>
      <c r="B13202" s="27" t="s">
        <v>26</v>
      </c>
      <c r="C13202" s="27" t="s">
        <v>50</v>
      </c>
      <c r="D13202" s="27" t="s">
        <v>6</v>
      </c>
      <c r="E13202" s="27" t="s">
        <v>18</v>
      </c>
      <c r="F13202" s="29"/>
      <c r="G13202" s="30">
        <v>1603.690331509566</v>
      </c>
    </row>
    <row r="13203" spans="1:7" hidden="1" x14ac:dyDescent="0.25">
      <c r="A13203" s="28">
        <v>44652</v>
      </c>
      <c r="B13203" s="27" t="s">
        <v>26</v>
      </c>
      <c r="C13203" s="27" t="s">
        <v>50</v>
      </c>
      <c r="D13203" s="27" t="s">
        <v>6</v>
      </c>
      <c r="E13203" s="27" t="s">
        <v>19</v>
      </c>
      <c r="F13203" s="29"/>
      <c r="G13203" s="30">
        <v>2421.1417541901737</v>
      </c>
    </row>
    <row r="13204" spans="1:7" hidden="1" x14ac:dyDescent="0.25">
      <c r="A13204" s="28">
        <v>44652</v>
      </c>
      <c r="B13204" s="27" t="s">
        <v>26</v>
      </c>
      <c r="C13204" s="27" t="s">
        <v>50</v>
      </c>
      <c r="D13204" s="27" t="s">
        <v>6</v>
      </c>
      <c r="E13204" s="27" t="s">
        <v>20</v>
      </c>
      <c r="F13204" s="29"/>
      <c r="G13204" s="30">
        <v>1946.4814052941281</v>
      </c>
    </row>
    <row r="13205" spans="1:7" hidden="1" x14ac:dyDescent="0.25">
      <c r="A13205" s="28">
        <v>44652</v>
      </c>
      <c r="B13205" s="27" t="s">
        <v>26</v>
      </c>
      <c r="C13205" s="27" t="s">
        <v>50</v>
      </c>
      <c r="D13205" s="27" t="s">
        <v>6</v>
      </c>
      <c r="E13205" s="27" t="s">
        <v>38</v>
      </c>
      <c r="F13205" s="29"/>
      <c r="G13205" s="30">
        <v>760.63601728244464</v>
      </c>
    </row>
    <row r="13206" spans="1:7" hidden="1" x14ac:dyDescent="0.25">
      <c r="A13206" s="28">
        <v>44652</v>
      </c>
      <c r="B13206" s="27" t="s">
        <v>26</v>
      </c>
      <c r="C13206" s="27" t="s">
        <v>50</v>
      </c>
      <c r="D13206" s="27" t="s">
        <v>6</v>
      </c>
      <c r="E13206" s="27" t="s">
        <v>23</v>
      </c>
      <c r="F13206" s="29"/>
      <c r="G13206" s="30">
        <v>2589.0564485238838</v>
      </c>
    </row>
    <row r="13207" spans="1:7" hidden="1" x14ac:dyDescent="0.25">
      <c r="A13207" s="28">
        <v>44652</v>
      </c>
      <c r="B13207" s="27" t="s">
        <v>26</v>
      </c>
      <c r="C13207" s="27" t="s">
        <v>50</v>
      </c>
      <c r="D13207" s="27" t="s">
        <v>6</v>
      </c>
      <c r="E13207" s="27" t="s">
        <v>40</v>
      </c>
      <c r="F13207" s="29"/>
      <c r="G13207" s="30">
        <v>834.25152230214019</v>
      </c>
    </row>
    <row r="13208" spans="1:7" hidden="1" x14ac:dyDescent="0.25">
      <c r="A13208" s="28">
        <v>44652</v>
      </c>
      <c r="B13208" s="27" t="s">
        <v>26</v>
      </c>
      <c r="C13208" s="27" t="s">
        <v>50</v>
      </c>
      <c r="D13208" s="27" t="s">
        <v>6</v>
      </c>
      <c r="E13208" s="27" t="s">
        <v>42</v>
      </c>
      <c r="F13208" s="29"/>
      <c r="G13208" s="30">
        <v>770.09371289428304</v>
      </c>
    </row>
    <row r="13209" spans="1:7" hidden="1" x14ac:dyDescent="0.25">
      <c r="A13209" s="28">
        <v>44652</v>
      </c>
      <c r="B13209" s="27" t="s">
        <v>26</v>
      </c>
      <c r="C13209" s="27" t="s">
        <v>50</v>
      </c>
      <c r="D13209" s="27" t="s">
        <v>6</v>
      </c>
      <c r="E13209" s="27" t="s">
        <v>43</v>
      </c>
      <c r="F13209" s="29"/>
      <c r="G13209" s="30">
        <v>715.10130483040575</v>
      </c>
    </row>
    <row r="13210" spans="1:7" hidden="1" x14ac:dyDescent="0.25">
      <c r="A13210" s="28">
        <v>44652</v>
      </c>
      <c r="B13210" s="27" t="s">
        <v>26</v>
      </c>
      <c r="C13210" s="27" t="s">
        <v>50</v>
      </c>
      <c r="D13210" s="27" t="s">
        <v>6</v>
      </c>
      <c r="E13210" s="27" t="s">
        <v>72</v>
      </c>
      <c r="F13210" s="29"/>
      <c r="G13210" s="30">
        <v>667.44121784171193</v>
      </c>
    </row>
    <row r="13211" spans="1:7" hidden="1" x14ac:dyDescent="0.25">
      <c r="A13211" s="28">
        <v>44652</v>
      </c>
      <c r="B13211" s="27" t="s">
        <v>26</v>
      </c>
      <c r="C13211" s="27" t="s">
        <v>50</v>
      </c>
      <c r="D13211" s="27" t="s">
        <v>6</v>
      </c>
      <c r="E13211" s="27" t="s">
        <v>206</v>
      </c>
      <c r="F13211" s="29"/>
      <c r="G13211" s="30">
        <v>625.73864172660501</v>
      </c>
    </row>
    <row r="13212" spans="1:7" hidden="1" x14ac:dyDescent="0.25">
      <c r="A13212" s="28">
        <v>44652</v>
      </c>
      <c r="B13212" s="27" t="s">
        <v>26</v>
      </c>
      <c r="C13212" s="27" t="s">
        <v>50</v>
      </c>
      <c r="D13212" s="27" t="s">
        <v>6</v>
      </c>
      <c r="E13212" s="27" t="s">
        <v>67</v>
      </c>
      <c r="F13212" s="29"/>
      <c r="G13212" s="30">
        <v>588.94225103680481</v>
      </c>
    </row>
    <row r="13213" spans="1:7" hidden="1" x14ac:dyDescent="0.25">
      <c r="A13213" s="28">
        <v>44652</v>
      </c>
      <c r="B13213" s="27" t="s">
        <v>26</v>
      </c>
      <c r="C13213" s="27" t="s">
        <v>50</v>
      </c>
      <c r="D13213" s="27" t="s">
        <v>6</v>
      </c>
      <c r="E13213" s="27" t="s">
        <v>68</v>
      </c>
      <c r="F13213" s="29"/>
      <c r="G13213" s="30">
        <v>556.23434820142666</v>
      </c>
    </row>
    <row r="13214" spans="1:7" hidden="1" x14ac:dyDescent="0.25">
      <c r="A13214" s="28">
        <v>44652</v>
      </c>
      <c r="B13214" s="27" t="s">
        <v>26</v>
      </c>
      <c r="C13214" s="27" t="s">
        <v>50</v>
      </c>
      <c r="D13214" s="27" t="s">
        <v>6</v>
      </c>
      <c r="E13214" s="27" t="s">
        <v>74</v>
      </c>
      <c r="F13214" s="29"/>
      <c r="G13214" s="30">
        <v>1778.7894736842106</v>
      </c>
    </row>
    <row r="13215" spans="1:7" hidden="1" x14ac:dyDescent="0.25">
      <c r="A13215" s="28">
        <v>44652</v>
      </c>
      <c r="B13215" s="27" t="s">
        <v>26</v>
      </c>
      <c r="C13215" s="27" t="s">
        <v>50</v>
      </c>
      <c r="D13215" s="27" t="s">
        <v>6</v>
      </c>
      <c r="E13215" s="27" t="s">
        <v>37</v>
      </c>
      <c r="F13215" s="29"/>
      <c r="G13215" s="30">
        <v>791.10058149340887</v>
      </c>
    </row>
    <row r="13216" spans="1:7" hidden="1" x14ac:dyDescent="0.25">
      <c r="A13216" s="28">
        <v>44652</v>
      </c>
      <c r="B13216" s="27" t="s">
        <v>3</v>
      </c>
      <c r="C13216" s="27" t="s">
        <v>50</v>
      </c>
      <c r="D13216" s="27" t="s">
        <v>7</v>
      </c>
      <c r="E13216" s="27" t="s">
        <v>8</v>
      </c>
      <c r="F13216" s="29"/>
      <c r="G13216" s="30">
        <v>675.80960000000005</v>
      </c>
    </row>
    <row r="13217" spans="1:7" hidden="1" x14ac:dyDescent="0.25">
      <c r="A13217" s="28">
        <v>44652</v>
      </c>
      <c r="B13217" s="27" t="s">
        <v>3</v>
      </c>
      <c r="C13217" s="27" t="s">
        <v>50</v>
      </c>
      <c r="D13217" s="27" t="s">
        <v>7</v>
      </c>
      <c r="E13217" s="27" t="s">
        <v>9</v>
      </c>
      <c r="F13217" s="29"/>
      <c r="G13217" s="30">
        <v>675.80960000000005</v>
      </c>
    </row>
    <row r="13218" spans="1:7" hidden="1" x14ac:dyDescent="0.25">
      <c r="A13218" s="28">
        <v>44652</v>
      </c>
      <c r="B13218" s="27" t="s">
        <v>3</v>
      </c>
      <c r="C13218" s="27" t="s">
        <v>50</v>
      </c>
      <c r="D13218" s="27" t="s">
        <v>7</v>
      </c>
      <c r="E13218" s="27" t="s">
        <v>22</v>
      </c>
      <c r="F13218" s="29"/>
      <c r="G13218" s="30">
        <v>675.80960000000005</v>
      </c>
    </row>
    <row r="13219" spans="1:7" hidden="1" x14ac:dyDescent="0.25">
      <c r="A13219" s="28">
        <v>44652</v>
      </c>
      <c r="B13219" s="27" t="s">
        <v>3</v>
      </c>
      <c r="C13219" s="27" t="s">
        <v>50</v>
      </c>
      <c r="D13219" s="27" t="s">
        <v>7</v>
      </c>
      <c r="E13219" s="27" t="s">
        <v>39</v>
      </c>
      <c r="F13219" s="29"/>
      <c r="G13219" s="30">
        <v>675.80960000000005</v>
      </c>
    </row>
    <row r="13220" spans="1:7" hidden="1" x14ac:dyDescent="0.25">
      <c r="A13220" s="28">
        <v>44652</v>
      </c>
      <c r="B13220" s="27" t="s">
        <v>3</v>
      </c>
      <c r="C13220" s="27" t="s">
        <v>50</v>
      </c>
      <c r="D13220" s="27" t="s">
        <v>7</v>
      </c>
      <c r="E13220" s="27" t="s">
        <v>64</v>
      </c>
      <c r="F13220" s="29"/>
      <c r="G13220" s="30">
        <v>675.80960000000005</v>
      </c>
    </row>
    <row r="13221" spans="1:7" hidden="1" x14ac:dyDescent="0.25">
      <c r="A13221" s="28">
        <v>44652</v>
      </c>
      <c r="B13221" s="27" t="s">
        <v>3</v>
      </c>
      <c r="C13221" s="27" t="s">
        <v>50</v>
      </c>
      <c r="D13221" s="27" t="s">
        <v>7</v>
      </c>
      <c r="E13221" s="27" t="s">
        <v>21</v>
      </c>
      <c r="F13221" s="29"/>
      <c r="G13221" s="30">
        <v>675.80960000000005</v>
      </c>
    </row>
    <row r="13222" spans="1:7" hidden="1" x14ac:dyDescent="0.25">
      <c r="A13222" s="28">
        <v>44652</v>
      </c>
      <c r="B13222" s="27" t="s">
        <v>3</v>
      </c>
      <c r="C13222" s="27" t="s">
        <v>50</v>
      </c>
      <c r="D13222" s="27" t="s">
        <v>7</v>
      </c>
      <c r="E13222" s="27" t="s">
        <v>41</v>
      </c>
      <c r="F13222" s="29"/>
      <c r="G13222" s="30">
        <v>675.80960000000005</v>
      </c>
    </row>
    <row r="13223" spans="1:7" hidden="1" x14ac:dyDescent="0.25">
      <c r="A13223" s="28">
        <v>44652</v>
      </c>
      <c r="B13223" s="27" t="s">
        <v>3</v>
      </c>
      <c r="C13223" s="27" t="s">
        <v>50</v>
      </c>
      <c r="D13223" s="27" t="s">
        <v>7</v>
      </c>
      <c r="E13223" s="27" t="s">
        <v>10</v>
      </c>
      <c r="F13223" s="29"/>
      <c r="G13223" s="30">
        <v>675.80960000000005</v>
      </c>
    </row>
    <row r="13224" spans="1:7" hidden="1" x14ac:dyDescent="0.25">
      <c r="A13224" s="28">
        <v>44652</v>
      </c>
      <c r="B13224" s="27" t="s">
        <v>3</v>
      </c>
      <c r="C13224" s="27" t="s">
        <v>50</v>
      </c>
      <c r="D13224" s="27" t="s">
        <v>7</v>
      </c>
      <c r="E13224" s="27" t="s">
        <v>11</v>
      </c>
      <c r="F13224" s="29"/>
      <c r="G13224" s="30">
        <v>675.80960000000005</v>
      </c>
    </row>
    <row r="13225" spans="1:7" hidden="1" x14ac:dyDescent="0.25">
      <c r="A13225" s="28">
        <v>44652</v>
      </c>
      <c r="B13225" s="27" t="s">
        <v>3</v>
      </c>
      <c r="C13225" s="27" t="s">
        <v>50</v>
      </c>
      <c r="D13225" s="27" t="s">
        <v>7</v>
      </c>
      <c r="E13225" s="27" t="s">
        <v>12</v>
      </c>
      <c r="F13225" s="29"/>
      <c r="G13225" s="30">
        <v>675.80960000000005</v>
      </c>
    </row>
    <row r="13226" spans="1:7" hidden="1" x14ac:dyDescent="0.25">
      <c r="A13226" s="28">
        <v>44652</v>
      </c>
      <c r="B13226" s="27" t="s">
        <v>3</v>
      </c>
      <c r="C13226" s="27" t="s">
        <v>50</v>
      </c>
      <c r="D13226" s="27" t="s">
        <v>7</v>
      </c>
      <c r="E13226" s="27" t="s">
        <v>13</v>
      </c>
      <c r="F13226" s="29"/>
      <c r="G13226" s="30">
        <v>675.80960000000005</v>
      </c>
    </row>
    <row r="13227" spans="1:7" hidden="1" x14ac:dyDescent="0.25">
      <c r="A13227" s="28">
        <v>44652</v>
      </c>
      <c r="B13227" s="27" t="s">
        <v>3</v>
      </c>
      <c r="C13227" s="27" t="s">
        <v>50</v>
      </c>
      <c r="D13227" s="27" t="s">
        <v>7</v>
      </c>
      <c r="E13227" s="27" t="s">
        <v>14</v>
      </c>
      <c r="F13227" s="29"/>
      <c r="G13227" s="30">
        <v>675.80960000000005</v>
      </c>
    </row>
    <row r="13228" spans="1:7" hidden="1" x14ac:dyDescent="0.25">
      <c r="A13228" s="28">
        <v>44652</v>
      </c>
      <c r="B13228" s="27" t="s">
        <v>3</v>
      </c>
      <c r="C13228" s="27" t="s">
        <v>50</v>
      </c>
      <c r="D13228" s="27" t="s">
        <v>7</v>
      </c>
      <c r="E13228" s="27" t="s">
        <v>15</v>
      </c>
      <c r="F13228" s="29"/>
      <c r="G13228" s="30">
        <v>675.80960000000005</v>
      </c>
    </row>
    <row r="13229" spans="1:7" hidden="1" x14ac:dyDescent="0.25">
      <c r="A13229" s="28">
        <v>44652</v>
      </c>
      <c r="B13229" s="27" t="s">
        <v>3</v>
      </c>
      <c r="C13229" s="27" t="s">
        <v>50</v>
      </c>
      <c r="D13229" s="27" t="s">
        <v>7</v>
      </c>
      <c r="E13229" s="27" t="s">
        <v>16</v>
      </c>
      <c r="F13229" s="29"/>
      <c r="G13229" s="30">
        <v>675.80960000000005</v>
      </c>
    </row>
    <row r="13230" spans="1:7" hidden="1" x14ac:dyDescent="0.25">
      <c r="A13230" s="28">
        <v>44652</v>
      </c>
      <c r="B13230" s="27" t="s">
        <v>3</v>
      </c>
      <c r="C13230" s="27" t="s">
        <v>50</v>
      </c>
      <c r="D13230" s="27" t="s">
        <v>7</v>
      </c>
      <c r="E13230" s="27" t="s">
        <v>17</v>
      </c>
      <c r="F13230" s="29"/>
      <c r="G13230" s="30">
        <v>675.80960000000005</v>
      </c>
    </row>
    <row r="13231" spans="1:7" hidden="1" x14ac:dyDescent="0.25">
      <c r="A13231" s="28">
        <v>44652</v>
      </c>
      <c r="B13231" s="27" t="s">
        <v>3</v>
      </c>
      <c r="C13231" s="27" t="s">
        <v>50</v>
      </c>
      <c r="D13231" s="27" t="s">
        <v>7</v>
      </c>
      <c r="E13231" s="27" t="s">
        <v>18</v>
      </c>
      <c r="F13231" s="29"/>
      <c r="G13231" s="30">
        <v>675.80960000000005</v>
      </c>
    </row>
    <row r="13232" spans="1:7" hidden="1" x14ac:dyDescent="0.25">
      <c r="A13232" s="28">
        <v>44652</v>
      </c>
      <c r="B13232" s="27" t="s">
        <v>3</v>
      </c>
      <c r="C13232" s="27" t="s">
        <v>50</v>
      </c>
      <c r="D13232" s="27" t="s">
        <v>7</v>
      </c>
      <c r="E13232" s="27" t="s">
        <v>19</v>
      </c>
      <c r="F13232" s="29"/>
      <c r="G13232" s="30">
        <v>675.80960000000005</v>
      </c>
    </row>
    <row r="13233" spans="1:7" hidden="1" x14ac:dyDescent="0.25">
      <c r="A13233" s="28">
        <v>44652</v>
      </c>
      <c r="B13233" s="27" t="s">
        <v>3</v>
      </c>
      <c r="C13233" s="27" t="s">
        <v>50</v>
      </c>
      <c r="D13233" s="27" t="s">
        <v>7</v>
      </c>
      <c r="E13233" s="27" t="s">
        <v>20</v>
      </c>
      <c r="F13233" s="29"/>
      <c r="G13233" s="30">
        <v>675.80960000000005</v>
      </c>
    </row>
    <row r="13234" spans="1:7" hidden="1" x14ac:dyDescent="0.25">
      <c r="A13234" s="28">
        <v>44652</v>
      </c>
      <c r="B13234" s="27" t="s">
        <v>3</v>
      </c>
      <c r="C13234" s="27" t="s">
        <v>50</v>
      </c>
      <c r="D13234" s="27" t="s">
        <v>7</v>
      </c>
      <c r="E13234" s="27" t="s">
        <v>38</v>
      </c>
      <c r="F13234" s="29"/>
      <c r="G13234" s="30">
        <v>675.80960000000005</v>
      </c>
    </row>
    <row r="13235" spans="1:7" hidden="1" x14ac:dyDescent="0.25">
      <c r="A13235" s="28">
        <v>44652</v>
      </c>
      <c r="B13235" s="27" t="s">
        <v>3</v>
      </c>
      <c r="C13235" s="27" t="s">
        <v>50</v>
      </c>
      <c r="D13235" s="27" t="s">
        <v>7</v>
      </c>
      <c r="E13235" s="27" t="s">
        <v>23</v>
      </c>
      <c r="F13235" s="29"/>
      <c r="G13235" s="30">
        <v>675.80960000000005</v>
      </c>
    </row>
    <row r="13236" spans="1:7" hidden="1" x14ac:dyDescent="0.25">
      <c r="A13236" s="28">
        <v>44652</v>
      </c>
      <c r="B13236" s="27" t="s">
        <v>3</v>
      </c>
      <c r="C13236" s="27" t="s">
        <v>50</v>
      </c>
      <c r="D13236" s="27" t="s">
        <v>7</v>
      </c>
      <c r="E13236" s="27" t="s">
        <v>40</v>
      </c>
      <c r="F13236" s="29"/>
      <c r="G13236" s="30">
        <v>675.80960000000005</v>
      </c>
    </row>
    <row r="13237" spans="1:7" hidden="1" x14ac:dyDescent="0.25">
      <c r="A13237" s="28">
        <v>44652</v>
      </c>
      <c r="B13237" s="27" t="s">
        <v>3</v>
      </c>
      <c r="C13237" s="27" t="s">
        <v>50</v>
      </c>
      <c r="D13237" s="27" t="s">
        <v>7</v>
      </c>
      <c r="E13237" s="27" t="s">
        <v>42</v>
      </c>
      <c r="F13237" s="29"/>
      <c r="G13237" s="30">
        <v>675.80960000000005</v>
      </c>
    </row>
    <row r="13238" spans="1:7" hidden="1" x14ac:dyDescent="0.25">
      <c r="A13238" s="28">
        <v>44652</v>
      </c>
      <c r="B13238" s="27" t="s">
        <v>3</v>
      </c>
      <c r="C13238" s="27" t="s">
        <v>50</v>
      </c>
      <c r="D13238" s="27" t="s">
        <v>7</v>
      </c>
      <c r="E13238" s="27" t="s">
        <v>43</v>
      </c>
      <c r="F13238" s="29"/>
      <c r="G13238" s="30">
        <v>675.80960000000005</v>
      </c>
    </row>
    <row r="13239" spans="1:7" hidden="1" x14ac:dyDescent="0.25">
      <c r="A13239" s="28">
        <v>44652</v>
      </c>
      <c r="B13239" s="27" t="s">
        <v>3</v>
      </c>
      <c r="C13239" s="27" t="s">
        <v>50</v>
      </c>
      <c r="D13239" s="27" t="s">
        <v>7</v>
      </c>
      <c r="E13239" s="27" t="s">
        <v>72</v>
      </c>
      <c r="F13239" s="29"/>
      <c r="G13239" s="30">
        <v>675.80960000000005</v>
      </c>
    </row>
    <row r="13240" spans="1:7" hidden="1" x14ac:dyDescent="0.25">
      <c r="A13240" s="28">
        <v>44652</v>
      </c>
      <c r="B13240" s="27" t="s">
        <v>3</v>
      </c>
      <c r="C13240" s="27" t="s">
        <v>50</v>
      </c>
      <c r="D13240" s="27" t="s">
        <v>7</v>
      </c>
      <c r="E13240" s="27" t="s">
        <v>206</v>
      </c>
      <c r="F13240" s="29"/>
      <c r="G13240" s="30">
        <v>675.80960000000005</v>
      </c>
    </row>
    <row r="13241" spans="1:7" hidden="1" x14ac:dyDescent="0.25">
      <c r="A13241" s="28">
        <v>44652</v>
      </c>
      <c r="B13241" s="27" t="s">
        <v>179</v>
      </c>
      <c r="C13241" s="27" t="s">
        <v>50</v>
      </c>
      <c r="D13241" s="27" t="s">
        <v>6</v>
      </c>
      <c r="E13241" s="27" t="s">
        <v>8</v>
      </c>
      <c r="F13241" s="29"/>
      <c r="G13241" s="30">
        <v>224.53</v>
      </c>
    </row>
    <row r="13242" spans="1:7" hidden="1" x14ac:dyDescent="0.25">
      <c r="A13242" s="28">
        <v>44652</v>
      </c>
      <c r="B13242" s="27" t="s">
        <v>179</v>
      </c>
      <c r="C13242" s="27" t="s">
        <v>50</v>
      </c>
      <c r="D13242" s="27" t="s">
        <v>6</v>
      </c>
      <c r="E13242" s="27" t="s">
        <v>9</v>
      </c>
      <c r="F13242" s="29"/>
      <c r="G13242" s="30">
        <v>295.58</v>
      </c>
    </row>
    <row r="13243" spans="1:7" hidden="1" x14ac:dyDescent="0.25">
      <c r="A13243" s="28">
        <v>44652</v>
      </c>
      <c r="B13243" s="27" t="s">
        <v>179</v>
      </c>
      <c r="C13243" s="27" t="s">
        <v>50</v>
      </c>
      <c r="D13243" s="27" t="s">
        <v>6</v>
      </c>
      <c r="E13243" s="27" t="s">
        <v>22</v>
      </c>
      <c r="F13243" s="29"/>
      <c r="G13243" s="30">
        <v>388.92</v>
      </c>
    </row>
    <row r="13244" spans="1:7" hidden="1" x14ac:dyDescent="0.25">
      <c r="A13244" s="28">
        <v>44652</v>
      </c>
      <c r="B13244" s="27" t="s">
        <v>179</v>
      </c>
      <c r="C13244" s="27" t="s">
        <v>50</v>
      </c>
      <c r="D13244" s="27" t="s">
        <v>6</v>
      </c>
      <c r="E13244" s="27" t="s">
        <v>39</v>
      </c>
      <c r="F13244" s="29"/>
      <c r="G13244" s="30">
        <v>296.27999999999997</v>
      </c>
    </row>
    <row r="13245" spans="1:7" hidden="1" x14ac:dyDescent="0.25">
      <c r="A13245" s="28">
        <v>44652</v>
      </c>
      <c r="B13245" s="27" t="s">
        <v>179</v>
      </c>
      <c r="C13245" s="27" t="s">
        <v>50</v>
      </c>
      <c r="D13245" s="27" t="s">
        <v>6</v>
      </c>
      <c r="E13245" s="27" t="s">
        <v>64</v>
      </c>
      <c r="F13245" s="29"/>
      <c r="G13245" s="30">
        <v>247.88</v>
      </c>
    </row>
    <row r="13246" spans="1:7" hidden="1" x14ac:dyDescent="0.25">
      <c r="A13246" s="28">
        <v>44652</v>
      </c>
      <c r="B13246" s="27" t="s">
        <v>179</v>
      </c>
      <c r="C13246" s="27" t="s">
        <v>50</v>
      </c>
      <c r="D13246" s="27" t="s">
        <v>6</v>
      </c>
      <c r="E13246" s="27" t="s">
        <v>21</v>
      </c>
      <c r="F13246" s="29"/>
      <c r="G13246" s="30">
        <v>273.62</v>
      </c>
    </row>
    <row r="13247" spans="1:7" hidden="1" x14ac:dyDescent="0.25">
      <c r="A13247" s="28">
        <v>44652</v>
      </c>
      <c r="B13247" s="27" t="s">
        <v>179</v>
      </c>
      <c r="C13247" s="27" t="s">
        <v>50</v>
      </c>
      <c r="D13247" s="27" t="s">
        <v>6</v>
      </c>
      <c r="E13247" s="27" t="s">
        <v>41</v>
      </c>
      <c r="F13247" s="29"/>
      <c r="G13247" s="30">
        <v>313.69</v>
      </c>
    </row>
    <row r="13248" spans="1:7" hidden="1" x14ac:dyDescent="0.25">
      <c r="A13248" s="28">
        <v>44652</v>
      </c>
      <c r="B13248" s="27" t="s">
        <v>179</v>
      </c>
      <c r="C13248" s="27" t="s">
        <v>50</v>
      </c>
      <c r="D13248" s="27" t="s">
        <v>6</v>
      </c>
      <c r="E13248" s="27" t="s">
        <v>10</v>
      </c>
      <c r="F13248" s="29"/>
      <c r="G13248" s="30">
        <v>354.65</v>
      </c>
    </row>
    <row r="13249" spans="1:7" hidden="1" x14ac:dyDescent="0.25">
      <c r="A13249" s="28">
        <v>44652</v>
      </c>
      <c r="B13249" s="27" t="s">
        <v>179</v>
      </c>
      <c r="C13249" s="27" t="s">
        <v>50</v>
      </c>
      <c r="D13249" s="27" t="s">
        <v>6</v>
      </c>
      <c r="E13249" s="27" t="s">
        <v>11</v>
      </c>
      <c r="F13249" s="29"/>
      <c r="G13249" s="30">
        <v>270.12</v>
      </c>
    </row>
    <row r="13250" spans="1:7" hidden="1" x14ac:dyDescent="0.25">
      <c r="A13250" s="28">
        <v>44652</v>
      </c>
      <c r="B13250" s="27" t="s">
        <v>179</v>
      </c>
      <c r="C13250" s="27" t="s">
        <v>50</v>
      </c>
      <c r="D13250" s="27" t="s">
        <v>6</v>
      </c>
      <c r="E13250" s="27" t="s">
        <v>12</v>
      </c>
      <c r="F13250" s="29"/>
      <c r="G13250" s="30">
        <v>284.35000000000002</v>
      </c>
    </row>
    <row r="13251" spans="1:7" hidden="1" x14ac:dyDescent="0.25">
      <c r="A13251" s="28">
        <v>44652</v>
      </c>
      <c r="B13251" s="27" t="s">
        <v>179</v>
      </c>
      <c r="C13251" s="27" t="s">
        <v>50</v>
      </c>
      <c r="D13251" s="27" t="s">
        <v>6</v>
      </c>
      <c r="E13251" s="27" t="s">
        <v>13</v>
      </c>
      <c r="F13251" s="29"/>
      <c r="G13251" s="30">
        <v>381.13</v>
      </c>
    </row>
    <row r="13252" spans="1:7" hidden="1" x14ac:dyDescent="0.25">
      <c r="A13252" s="28">
        <v>44652</v>
      </c>
      <c r="B13252" s="27" t="s">
        <v>179</v>
      </c>
      <c r="C13252" s="27" t="s">
        <v>50</v>
      </c>
      <c r="D13252" s="27" t="s">
        <v>6</v>
      </c>
      <c r="E13252" s="27" t="s">
        <v>14</v>
      </c>
      <c r="F13252" s="29"/>
      <c r="G13252" s="30">
        <v>324.58</v>
      </c>
    </row>
    <row r="13253" spans="1:7" hidden="1" x14ac:dyDescent="0.25">
      <c r="A13253" s="28">
        <v>44652</v>
      </c>
      <c r="B13253" s="27" t="s">
        <v>179</v>
      </c>
      <c r="C13253" s="27" t="s">
        <v>50</v>
      </c>
      <c r="D13253" s="27" t="s">
        <v>6</v>
      </c>
      <c r="E13253" s="27" t="s">
        <v>15</v>
      </c>
      <c r="F13253" s="29"/>
      <c r="G13253" s="30">
        <v>368.19</v>
      </c>
    </row>
    <row r="13254" spans="1:7" hidden="1" x14ac:dyDescent="0.25">
      <c r="A13254" s="28">
        <v>44652</v>
      </c>
      <c r="B13254" s="27" t="s">
        <v>179</v>
      </c>
      <c r="C13254" s="27" t="s">
        <v>50</v>
      </c>
      <c r="D13254" s="27" t="s">
        <v>6</v>
      </c>
      <c r="E13254" s="27" t="s">
        <v>16</v>
      </c>
      <c r="F13254" s="29"/>
      <c r="G13254" s="30">
        <v>372.56</v>
      </c>
    </row>
    <row r="13255" spans="1:7" hidden="1" x14ac:dyDescent="0.25">
      <c r="A13255" s="28">
        <v>44652</v>
      </c>
      <c r="B13255" s="27" t="s">
        <v>179</v>
      </c>
      <c r="C13255" s="27" t="s">
        <v>50</v>
      </c>
      <c r="D13255" s="27" t="s">
        <v>6</v>
      </c>
      <c r="E13255" s="27" t="s">
        <v>17</v>
      </c>
      <c r="F13255" s="29"/>
      <c r="G13255" s="30">
        <v>575.87</v>
      </c>
    </row>
    <row r="13256" spans="1:7" hidden="1" x14ac:dyDescent="0.25">
      <c r="A13256" s="28">
        <v>44652</v>
      </c>
      <c r="B13256" s="27" t="s">
        <v>179</v>
      </c>
      <c r="C13256" s="27" t="s">
        <v>50</v>
      </c>
      <c r="D13256" s="27" t="s">
        <v>6</v>
      </c>
      <c r="E13256" s="27" t="s">
        <v>18</v>
      </c>
      <c r="F13256" s="29"/>
      <c r="G13256" s="30">
        <v>740.52</v>
      </c>
    </row>
    <row r="13257" spans="1:7" hidden="1" x14ac:dyDescent="0.25">
      <c r="A13257" s="28">
        <v>44652</v>
      </c>
      <c r="B13257" s="27" t="s">
        <v>179</v>
      </c>
      <c r="C13257" s="27" t="s">
        <v>50</v>
      </c>
      <c r="D13257" s="27" t="s">
        <v>6</v>
      </c>
      <c r="E13257" s="27" t="s">
        <v>19</v>
      </c>
      <c r="F13257" s="29"/>
      <c r="G13257" s="30">
        <v>489.05</v>
      </c>
    </row>
    <row r="13258" spans="1:7" hidden="1" x14ac:dyDescent="0.25">
      <c r="A13258" s="28">
        <v>44652</v>
      </c>
      <c r="B13258" s="27" t="s">
        <v>179</v>
      </c>
      <c r="C13258" s="27" t="s">
        <v>50</v>
      </c>
      <c r="D13258" s="27" t="s">
        <v>6</v>
      </c>
      <c r="E13258" s="27" t="s">
        <v>20</v>
      </c>
      <c r="F13258" s="29"/>
      <c r="G13258" s="30">
        <v>906.58</v>
      </c>
    </row>
    <row r="13259" spans="1:7" hidden="1" x14ac:dyDescent="0.25">
      <c r="A13259" s="28">
        <v>44652</v>
      </c>
      <c r="B13259" s="27" t="s">
        <v>179</v>
      </c>
      <c r="C13259" s="27" t="s">
        <v>50</v>
      </c>
      <c r="D13259" s="27" t="s">
        <v>6</v>
      </c>
      <c r="E13259" s="27" t="s">
        <v>38</v>
      </c>
      <c r="F13259" s="29"/>
      <c r="G13259" s="30">
        <v>394.52</v>
      </c>
    </row>
    <row r="13260" spans="1:7" hidden="1" x14ac:dyDescent="0.25">
      <c r="A13260" s="28">
        <v>44652</v>
      </c>
      <c r="B13260" s="27" t="s">
        <v>179</v>
      </c>
      <c r="C13260" s="27" t="s">
        <v>50</v>
      </c>
      <c r="D13260" s="27" t="s">
        <v>6</v>
      </c>
      <c r="E13260" s="27" t="s">
        <v>23</v>
      </c>
      <c r="F13260" s="29"/>
      <c r="G13260" s="30">
        <v>533.80999999999995</v>
      </c>
    </row>
    <row r="13261" spans="1:7" hidden="1" x14ac:dyDescent="0.25">
      <c r="A13261" s="28">
        <v>44652</v>
      </c>
      <c r="B13261" s="27" t="s">
        <v>179</v>
      </c>
      <c r="C13261" s="27" t="s">
        <v>50</v>
      </c>
      <c r="D13261" s="27" t="s">
        <v>6</v>
      </c>
      <c r="E13261" s="27" t="s">
        <v>40</v>
      </c>
      <c r="F13261" s="29"/>
      <c r="G13261" s="30">
        <v>326.05</v>
      </c>
    </row>
    <row r="13262" spans="1:7" hidden="1" x14ac:dyDescent="0.25">
      <c r="A13262" s="28">
        <v>44652</v>
      </c>
      <c r="B13262" s="27" t="s">
        <v>179</v>
      </c>
      <c r="C13262" s="27" t="s">
        <v>50</v>
      </c>
      <c r="D13262" s="27" t="s">
        <v>6</v>
      </c>
      <c r="E13262" s="27" t="s">
        <v>42</v>
      </c>
      <c r="F13262" s="29"/>
      <c r="G13262" s="30">
        <v>202.95</v>
      </c>
    </row>
    <row r="13263" spans="1:7" hidden="1" x14ac:dyDescent="0.25">
      <c r="A13263" s="28">
        <v>44652</v>
      </c>
      <c r="B13263" s="27" t="s">
        <v>179</v>
      </c>
      <c r="C13263" s="27" t="s">
        <v>50</v>
      </c>
      <c r="D13263" s="27" t="s">
        <v>6</v>
      </c>
      <c r="E13263" s="27" t="s">
        <v>72</v>
      </c>
      <c r="F13263" s="29"/>
      <c r="G13263" s="30">
        <v>712.12</v>
      </c>
    </row>
    <row r="13264" spans="1:7" hidden="1" x14ac:dyDescent="0.25">
      <c r="A13264" s="28">
        <v>44652</v>
      </c>
      <c r="B13264" s="27" t="s">
        <v>179</v>
      </c>
      <c r="C13264" s="27" t="s">
        <v>50</v>
      </c>
      <c r="D13264" s="27" t="s">
        <v>6</v>
      </c>
      <c r="E13264" s="27" t="s">
        <v>206</v>
      </c>
      <c r="F13264" s="29"/>
      <c r="G13264" s="30">
        <v>575.63</v>
      </c>
    </row>
    <row r="13265" spans="1:7" hidden="1" x14ac:dyDescent="0.25">
      <c r="A13265" s="28">
        <v>44652</v>
      </c>
      <c r="B13265" s="27" t="s">
        <v>32</v>
      </c>
      <c r="C13265" s="27" t="s">
        <v>50</v>
      </c>
      <c r="D13265" s="27" t="s">
        <v>7</v>
      </c>
      <c r="E13265" s="27" t="s">
        <v>17</v>
      </c>
      <c r="F13265" s="29"/>
      <c r="G13265" s="30">
        <v>75</v>
      </c>
    </row>
    <row r="13266" spans="1:7" hidden="1" x14ac:dyDescent="0.25">
      <c r="A13266" s="28">
        <v>44652</v>
      </c>
      <c r="B13266" s="27" t="s">
        <v>5</v>
      </c>
      <c r="C13266" s="27" t="s">
        <v>51</v>
      </c>
      <c r="D13266" s="27" t="s">
        <v>51</v>
      </c>
      <c r="E13266" s="27" t="s">
        <v>8</v>
      </c>
      <c r="F13266" s="29">
        <v>4404</v>
      </c>
      <c r="G13266" s="30">
        <v>3.5219323427709144</v>
      </c>
    </row>
    <row r="13267" spans="1:7" hidden="1" x14ac:dyDescent="0.25">
      <c r="A13267" s="28">
        <v>44652</v>
      </c>
      <c r="B13267" s="27" t="s">
        <v>5</v>
      </c>
      <c r="C13267" s="27" t="s">
        <v>51</v>
      </c>
      <c r="D13267" s="27" t="s">
        <v>51</v>
      </c>
      <c r="E13267" s="27" t="s">
        <v>9</v>
      </c>
      <c r="F13267" s="29">
        <v>3015</v>
      </c>
      <c r="G13267" s="30">
        <v>3.5601483396351856</v>
      </c>
    </row>
    <row r="13268" spans="1:7" hidden="1" x14ac:dyDescent="0.25">
      <c r="A13268" s="28">
        <v>44652</v>
      </c>
      <c r="B13268" s="27" t="s">
        <v>5</v>
      </c>
      <c r="C13268" s="27" t="s">
        <v>51</v>
      </c>
      <c r="D13268" s="27" t="s">
        <v>51</v>
      </c>
      <c r="E13268" s="27" t="s">
        <v>22</v>
      </c>
      <c r="F13268" s="29">
        <v>3595</v>
      </c>
      <c r="G13268" s="30">
        <v>3.056535543230587</v>
      </c>
    </row>
    <row r="13269" spans="1:7" hidden="1" x14ac:dyDescent="0.25">
      <c r="A13269" s="28">
        <v>44652</v>
      </c>
      <c r="B13269" s="27" t="s">
        <v>5</v>
      </c>
      <c r="C13269" s="27" t="s">
        <v>51</v>
      </c>
      <c r="D13269" s="27" t="s">
        <v>51</v>
      </c>
      <c r="E13269" s="27" t="s">
        <v>39</v>
      </c>
      <c r="F13269" s="29">
        <v>2259</v>
      </c>
      <c r="G13269" s="30">
        <v>5.1555344388688766</v>
      </c>
    </row>
    <row r="13270" spans="1:7" hidden="1" x14ac:dyDescent="0.25">
      <c r="A13270" s="28">
        <v>44652</v>
      </c>
      <c r="B13270" s="27" t="s">
        <v>5</v>
      </c>
      <c r="C13270" s="27" t="s">
        <v>51</v>
      </c>
      <c r="D13270" s="27" t="s">
        <v>51</v>
      </c>
      <c r="E13270" s="27" t="s">
        <v>64</v>
      </c>
      <c r="F13270" s="29">
        <v>2129</v>
      </c>
      <c r="G13270" s="30">
        <v>5.3650084984993782</v>
      </c>
    </row>
    <row r="13271" spans="1:7" hidden="1" x14ac:dyDescent="0.25">
      <c r="A13271" s="28">
        <v>44652</v>
      </c>
      <c r="B13271" s="27" t="s">
        <v>5</v>
      </c>
      <c r="C13271" s="27" t="s">
        <v>51</v>
      </c>
      <c r="D13271" s="27" t="s">
        <v>51</v>
      </c>
      <c r="E13271" s="27" t="s">
        <v>21</v>
      </c>
      <c r="F13271" s="29">
        <v>901</v>
      </c>
      <c r="G13271" s="30">
        <v>12.722248221212892</v>
      </c>
    </row>
    <row r="13272" spans="1:7" hidden="1" x14ac:dyDescent="0.25">
      <c r="A13272" s="28">
        <v>44652</v>
      </c>
      <c r="B13272" s="27" t="s">
        <v>5</v>
      </c>
      <c r="C13272" s="27" t="s">
        <v>51</v>
      </c>
      <c r="D13272" s="27" t="s">
        <v>51</v>
      </c>
      <c r="E13272" s="27" t="s">
        <v>41</v>
      </c>
      <c r="F13272" s="29">
        <v>3307</v>
      </c>
      <c r="G13272" s="30">
        <v>3.3470296834162649</v>
      </c>
    </row>
    <row r="13273" spans="1:7" hidden="1" x14ac:dyDescent="0.25">
      <c r="A13273" s="28">
        <v>44652</v>
      </c>
      <c r="B13273" s="27" t="s">
        <v>5</v>
      </c>
      <c r="C13273" s="27" t="s">
        <v>51</v>
      </c>
      <c r="D13273" s="27" t="s">
        <v>51</v>
      </c>
      <c r="E13273" s="27" t="s">
        <v>10</v>
      </c>
      <c r="F13273" s="29">
        <v>5602</v>
      </c>
      <c r="G13273" s="30">
        <v>2.4630527766762733</v>
      </c>
    </row>
    <row r="13274" spans="1:7" hidden="1" x14ac:dyDescent="0.25">
      <c r="A13274" s="28">
        <v>44652</v>
      </c>
      <c r="B13274" s="27" t="s">
        <v>5</v>
      </c>
      <c r="C13274" s="27" t="s">
        <v>51</v>
      </c>
      <c r="D13274" s="27" t="s">
        <v>51</v>
      </c>
      <c r="E13274" s="27" t="s">
        <v>11</v>
      </c>
      <c r="F13274" s="29">
        <v>2954</v>
      </c>
      <c r="G13274" s="30">
        <v>4.118267164627853</v>
      </c>
    </row>
    <row r="13275" spans="1:7" hidden="1" x14ac:dyDescent="0.25">
      <c r="A13275" s="28">
        <v>44652</v>
      </c>
      <c r="B13275" s="27" t="s">
        <v>5</v>
      </c>
      <c r="C13275" s="27" t="s">
        <v>51</v>
      </c>
      <c r="D13275" s="27" t="s">
        <v>51</v>
      </c>
      <c r="E13275" s="27" t="s">
        <v>13</v>
      </c>
      <c r="F13275" s="29">
        <v>5241</v>
      </c>
      <c r="G13275" s="30">
        <v>2.401964589049157</v>
      </c>
    </row>
    <row r="13276" spans="1:7" hidden="1" x14ac:dyDescent="0.25">
      <c r="A13276" s="28">
        <v>44652</v>
      </c>
      <c r="B13276" s="27" t="s">
        <v>5</v>
      </c>
      <c r="C13276" s="27" t="s">
        <v>51</v>
      </c>
      <c r="D13276" s="27" t="s">
        <v>51</v>
      </c>
      <c r="E13276" s="27" t="s">
        <v>14</v>
      </c>
      <c r="F13276" s="29">
        <v>4898</v>
      </c>
      <c r="G13276" s="30">
        <v>2.1914805216982245</v>
      </c>
    </row>
    <row r="13277" spans="1:7" hidden="1" x14ac:dyDescent="0.25">
      <c r="A13277" s="28">
        <v>44652</v>
      </c>
      <c r="B13277" s="27" t="s">
        <v>5</v>
      </c>
      <c r="C13277" s="27" t="s">
        <v>51</v>
      </c>
      <c r="D13277" s="27" t="s">
        <v>51</v>
      </c>
      <c r="E13277" s="27" t="s">
        <v>15</v>
      </c>
      <c r="F13277" s="29">
        <v>2961</v>
      </c>
      <c r="G13277" s="30">
        <v>3.8602714849778046</v>
      </c>
    </row>
    <row r="13278" spans="1:7" hidden="1" x14ac:dyDescent="0.25">
      <c r="A13278" s="28">
        <v>44652</v>
      </c>
      <c r="B13278" s="27" t="s">
        <v>5</v>
      </c>
      <c r="C13278" s="27" t="s">
        <v>51</v>
      </c>
      <c r="D13278" s="27" t="s">
        <v>51</v>
      </c>
      <c r="E13278" s="27" t="s">
        <v>16</v>
      </c>
      <c r="F13278" s="29">
        <v>2067</v>
      </c>
      <c r="G13278" s="30">
        <v>5.373773656308396</v>
      </c>
    </row>
    <row r="13279" spans="1:7" hidden="1" x14ac:dyDescent="0.25">
      <c r="A13279" s="28">
        <v>44652</v>
      </c>
      <c r="B13279" s="27" t="s">
        <v>5</v>
      </c>
      <c r="C13279" s="27" t="s">
        <v>51</v>
      </c>
      <c r="D13279" s="27" t="s">
        <v>51</v>
      </c>
      <c r="E13279" s="27" t="s">
        <v>17</v>
      </c>
      <c r="F13279" s="29">
        <v>4928</v>
      </c>
      <c r="G13279" s="30">
        <v>2.895249637686431</v>
      </c>
    </row>
    <row r="13280" spans="1:7" hidden="1" x14ac:dyDescent="0.25">
      <c r="A13280" s="28">
        <v>44652</v>
      </c>
      <c r="B13280" s="27" t="s">
        <v>5</v>
      </c>
      <c r="C13280" s="27" t="s">
        <v>51</v>
      </c>
      <c r="D13280" s="27" t="s">
        <v>51</v>
      </c>
      <c r="E13280" s="27" t="s">
        <v>18</v>
      </c>
      <c r="F13280" s="29">
        <v>4451</v>
      </c>
      <c r="G13280" s="30">
        <v>2.4483364443781506</v>
      </c>
    </row>
    <row r="13281" spans="1:7" hidden="1" x14ac:dyDescent="0.25">
      <c r="A13281" s="28">
        <v>44652</v>
      </c>
      <c r="B13281" s="27" t="s">
        <v>5</v>
      </c>
      <c r="C13281" s="27" t="s">
        <v>51</v>
      </c>
      <c r="D13281" s="27" t="s">
        <v>51</v>
      </c>
      <c r="E13281" s="27" t="s">
        <v>19</v>
      </c>
      <c r="F13281" s="29">
        <v>4903</v>
      </c>
      <c r="G13281" s="30">
        <v>2.4792692099954636</v>
      </c>
    </row>
    <row r="13282" spans="1:7" hidden="1" x14ac:dyDescent="0.25">
      <c r="A13282" s="28">
        <v>44652</v>
      </c>
      <c r="B13282" s="27" t="s">
        <v>5</v>
      </c>
      <c r="C13282" s="27" t="s">
        <v>51</v>
      </c>
      <c r="D13282" s="27" t="s">
        <v>51</v>
      </c>
      <c r="E13282" s="27" t="s">
        <v>20</v>
      </c>
      <c r="F13282" s="29">
        <v>5889</v>
      </c>
      <c r="G13282" s="30">
        <v>2.1435636929379713</v>
      </c>
    </row>
    <row r="13283" spans="1:7" hidden="1" x14ac:dyDescent="0.25">
      <c r="A13283" s="28">
        <v>44652</v>
      </c>
      <c r="B13283" s="27" t="s">
        <v>5</v>
      </c>
      <c r="C13283" s="27" t="s">
        <v>51</v>
      </c>
      <c r="D13283" s="27" t="s">
        <v>51</v>
      </c>
      <c r="E13283" s="27" t="s">
        <v>38</v>
      </c>
      <c r="F13283" s="29">
        <v>1512</v>
      </c>
      <c r="G13283" s="30">
        <v>7.2721502643518701</v>
      </c>
    </row>
    <row r="13284" spans="1:7" hidden="1" x14ac:dyDescent="0.25">
      <c r="A13284" s="28">
        <v>44652</v>
      </c>
      <c r="B13284" s="27" t="s">
        <v>5</v>
      </c>
      <c r="C13284" s="27" t="s">
        <v>51</v>
      </c>
      <c r="D13284" s="27" t="s">
        <v>51</v>
      </c>
      <c r="E13284" s="27" t="s">
        <v>23</v>
      </c>
      <c r="F13284" s="29">
        <v>4048</v>
      </c>
      <c r="G13284" s="30">
        <v>4.019474217129809</v>
      </c>
    </row>
    <row r="13285" spans="1:7" hidden="1" x14ac:dyDescent="0.25">
      <c r="A13285" s="28">
        <v>44652</v>
      </c>
      <c r="B13285" s="27" t="s">
        <v>5</v>
      </c>
      <c r="C13285" s="27" t="s">
        <v>51</v>
      </c>
      <c r="D13285" s="27" t="s">
        <v>51</v>
      </c>
      <c r="E13285" s="27" t="s">
        <v>40</v>
      </c>
      <c r="F13285" s="29">
        <v>4617</v>
      </c>
      <c r="G13285" s="30">
        <v>2.1615760677322338</v>
      </c>
    </row>
    <row r="13286" spans="1:7" hidden="1" x14ac:dyDescent="0.25">
      <c r="A13286" s="28">
        <v>44652</v>
      </c>
      <c r="B13286" s="27" t="s">
        <v>5</v>
      </c>
      <c r="C13286" s="27" t="s">
        <v>51</v>
      </c>
      <c r="D13286" s="27" t="s">
        <v>51</v>
      </c>
      <c r="E13286" s="27" t="s">
        <v>42</v>
      </c>
      <c r="F13286" s="29">
        <v>1946</v>
      </c>
      <c r="G13286" s="30">
        <v>4.9436941908077427</v>
      </c>
    </row>
    <row r="13287" spans="1:7" hidden="1" x14ac:dyDescent="0.25">
      <c r="A13287" s="28">
        <v>44652</v>
      </c>
      <c r="B13287" s="27" t="s">
        <v>5</v>
      </c>
      <c r="C13287" s="27" t="s">
        <v>51</v>
      </c>
      <c r="D13287" s="27" t="s">
        <v>51</v>
      </c>
      <c r="E13287" s="27" t="s">
        <v>43</v>
      </c>
      <c r="F13287" s="29">
        <v>7121</v>
      </c>
      <c r="G13287" s="30">
        <v>1.4581865590855201</v>
      </c>
    </row>
    <row r="13288" spans="1:7" hidden="1" x14ac:dyDescent="0.25">
      <c r="A13288" s="28">
        <v>44652</v>
      </c>
      <c r="B13288" s="27" t="s">
        <v>5</v>
      </c>
      <c r="C13288" s="27" t="s">
        <v>51</v>
      </c>
      <c r="D13288" s="27" t="s">
        <v>51</v>
      </c>
      <c r="E13288" s="27" t="s">
        <v>72</v>
      </c>
      <c r="F13288" s="29">
        <v>5259</v>
      </c>
      <c r="G13288" s="30">
        <v>2.0505203271076811</v>
      </c>
    </row>
    <row r="13289" spans="1:7" hidden="1" x14ac:dyDescent="0.25">
      <c r="A13289" s="28">
        <v>44652</v>
      </c>
      <c r="B13289" s="27" t="s">
        <v>180</v>
      </c>
      <c r="C13289" s="27" t="s">
        <v>50</v>
      </c>
      <c r="D13289" s="27" t="s">
        <v>7</v>
      </c>
      <c r="E13289" s="27" t="s">
        <v>8</v>
      </c>
      <c r="F13289" s="29"/>
      <c r="G13289" s="30">
        <v>400</v>
      </c>
    </row>
    <row r="13290" spans="1:7" hidden="1" x14ac:dyDescent="0.25">
      <c r="A13290" s="28">
        <v>44652</v>
      </c>
      <c r="B13290" s="27" t="s">
        <v>180</v>
      </c>
      <c r="C13290" s="27" t="s">
        <v>50</v>
      </c>
      <c r="D13290" s="27" t="s">
        <v>7</v>
      </c>
      <c r="E13290" s="27" t="s">
        <v>10</v>
      </c>
      <c r="F13290" s="29"/>
      <c r="G13290" s="30">
        <v>553</v>
      </c>
    </row>
    <row r="13291" spans="1:7" hidden="1" x14ac:dyDescent="0.25">
      <c r="A13291" s="28">
        <v>44652</v>
      </c>
      <c r="B13291" s="27" t="s">
        <v>180</v>
      </c>
      <c r="C13291" s="27" t="s">
        <v>50</v>
      </c>
      <c r="D13291" s="27" t="s">
        <v>7</v>
      </c>
      <c r="E13291" s="27" t="s">
        <v>17</v>
      </c>
      <c r="F13291" s="29"/>
      <c r="G13291" s="30">
        <v>160</v>
      </c>
    </row>
    <row r="13292" spans="1:7" hidden="1" x14ac:dyDescent="0.25">
      <c r="A13292" s="28">
        <v>44652</v>
      </c>
      <c r="B13292" s="27" t="s">
        <v>180</v>
      </c>
      <c r="C13292" s="27" t="s">
        <v>50</v>
      </c>
      <c r="D13292" s="27" t="s">
        <v>7</v>
      </c>
      <c r="E13292" s="27" t="s">
        <v>38</v>
      </c>
      <c r="F13292" s="29"/>
      <c r="G13292" s="30">
        <v>390</v>
      </c>
    </row>
    <row r="13293" spans="1:7" hidden="1" x14ac:dyDescent="0.25">
      <c r="A13293" s="28">
        <v>44652</v>
      </c>
      <c r="B13293" s="27" t="s">
        <v>180</v>
      </c>
      <c r="C13293" s="27" t="s">
        <v>50</v>
      </c>
      <c r="D13293" s="27" t="s">
        <v>7</v>
      </c>
      <c r="E13293" s="27" t="s">
        <v>37</v>
      </c>
      <c r="F13293" s="29"/>
      <c r="G13293" s="30">
        <v>162</v>
      </c>
    </row>
    <row r="13294" spans="1:7" hidden="1" x14ac:dyDescent="0.25">
      <c r="A13294" s="28">
        <v>44652</v>
      </c>
      <c r="B13294" s="27" t="s">
        <v>181</v>
      </c>
      <c r="C13294" s="27" t="s">
        <v>50</v>
      </c>
      <c r="D13294" s="27" t="s">
        <v>6</v>
      </c>
      <c r="E13294" s="27" t="s">
        <v>22</v>
      </c>
      <c r="F13294" s="29"/>
      <c r="G13294" s="30">
        <v>345</v>
      </c>
    </row>
    <row r="13295" spans="1:7" hidden="1" x14ac:dyDescent="0.25">
      <c r="A13295" s="28">
        <v>44652</v>
      </c>
      <c r="B13295" s="27" t="s">
        <v>181</v>
      </c>
      <c r="C13295" s="27" t="s">
        <v>50</v>
      </c>
      <c r="D13295" s="27" t="s">
        <v>6</v>
      </c>
      <c r="E13295" s="27" t="s">
        <v>64</v>
      </c>
      <c r="F13295" s="29"/>
      <c r="G13295" s="30">
        <v>400</v>
      </c>
    </row>
    <row r="13296" spans="1:7" hidden="1" x14ac:dyDescent="0.25">
      <c r="A13296" s="28">
        <v>44652</v>
      </c>
      <c r="B13296" s="27" t="s">
        <v>181</v>
      </c>
      <c r="C13296" s="27" t="s">
        <v>50</v>
      </c>
      <c r="D13296" s="27" t="s">
        <v>6</v>
      </c>
      <c r="E13296" s="27" t="s">
        <v>21</v>
      </c>
      <c r="F13296" s="29"/>
      <c r="G13296" s="30">
        <v>815</v>
      </c>
    </row>
    <row r="13297" spans="1:7" hidden="1" x14ac:dyDescent="0.25">
      <c r="A13297" s="28">
        <v>44652</v>
      </c>
      <c r="B13297" s="27" t="s">
        <v>181</v>
      </c>
      <c r="C13297" s="27" t="s">
        <v>50</v>
      </c>
      <c r="D13297" s="27" t="s">
        <v>6</v>
      </c>
      <c r="E13297" s="27" t="s">
        <v>10</v>
      </c>
      <c r="F13297" s="29"/>
      <c r="G13297" s="30">
        <v>347</v>
      </c>
    </row>
    <row r="13298" spans="1:7" hidden="1" x14ac:dyDescent="0.25">
      <c r="A13298" s="28">
        <v>44652</v>
      </c>
      <c r="B13298" s="27" t="s">
        <v>181</v>
      </c>
      <c r="C13298" s="27" t="s">
        <v>50</v>
      </c>
      <c r="D13298" s="27" t="s">
        <v>6</v>
      </c>
      <c r="E13298" s="27" t="s">
        <v>11</v>
      </c>
      <c r="F13298" s="29"/>
      <c r="G13298" s="30">
        <v>510</v>
      </c>
    </row>
    <row r="13299" spans="1:7" hidden="1" x14ac:dyDescent="0.25">
      <c r="A13299" s="28">
        <v>44652</v>
      </c>
      <c r="B13299" s="27" t="s">
        <v>181</v>
      </c>
      <c r="C13299" s="27" t="s">
        <v>50</v>
      </c>
      <c r="D13299" s="27" t="s">
        <v>6</v>
      </c>
      <c r="E13299" s="27" t="s">
        <v>14</v>
      </c>
      <c r="F13299" s="29"/>
      <c r="G13299" s="30">
        <v>80</v>
      </c>
    </row>
    <row r="13300" spans="1:7" hidden="1" x14ac:dyDescent="0.25">
      <c r="A13300" s="28">
        <v>44652</v>
      </c>
      <c r="B13300" s="27" t="s">
        <v>181</v>
      </c>
      <c r="C13300" s="27" t="s">
        <v>50</v>
      </c>
      <c r="D13300" s="27" t="s">
        <v>6</v>
      </c>
      <c r="E13300" s="27" t="s">
        <v>17</v>
      </c>
      <c r="F13300" s="29"/>
      <c r="G13300" s="30">
        <v>770</v>
      </c>
    </row>
    <row r="13301" spans="1:7" hidden="1" x14ac:dyDescent="0.25">
      <c r="A13301" s="28">
        <v>44652</v>
      </c>
      <c r="B13301" s="27" t="s">
        <v>181</v>
      </c>
      <c r="C13301" s="27" t="s">
        <v>50</v>
      </c>
      <c r="D13301" s="27" t="s">
        <v>6</v>
      </c>
      <c r="E13301" s="27" t="s">
        <v>38</v>
      </c>
      <c r="F13301" s="29"/>
      <c r="G13301" s="30">
        <v>897</v>
      </c>
    </row>
    <row r="13302" spans="1:7" hidden="1" x14ac:dyDescent="0.25">
      <c r="A13302" s="28">
        <v>44652</v>
      </c>
      <c r="B13302" s="27" t="s">
        <v>181</v>
      </c>
      <c r="C13302" s="27" t="s">
        <v>50</v>
      </c>
      <c r="D13302" s="27" t="s">
        <v>6</v>
      </c>
      <c r="E13302" s="27" t="s">
        <v>23</v>
      </c>
      <c r="F13302" s="29"/>
      <c r="G13302" s="30">
        <v>3990.0299999999997</v>
      </c>
    </row>
    <row r="13303" spans="1:7" hidden="1" x14ac:dyDescent="0.25">
      <c r="A13303" s="28">
        <v>44652</v>
      </c>
      <c r="B13303" s="27" t="s">
        <v>181</v>
      </c>
      <c r="C13303" s="27" t="s">
        <v>50</v>
      </c>
      <c r="D13303" s="27" t="s">
        <v>6</v>
      </c>
      <c r="E13303" s="27" t="s">
        <v>72</v>
      </c>
      <c r="F13303" s="29"/>
      <c r="G13303" s="30">
        <v>175</v>
      </c>
    </row>
    <row r="13304" spans="1:7" hidden="1" x14ac:dyDescent="0.25">
      <c r="A13304" s="28">
        <v>44652</v>
      </c>
      <c r="B13304" s="27" t="s">
        <v>181</v>
      </c>
      <c r="C13304" s="27" t="s">
        <v>50</v>
      </c>
      <c r="D13304" s="27" t="s">
        <v>6</v>
      </c>
      <c r="E13304" s="27" t="s">
        <v>206</v>
      </c>
      <c r="F13304" s="29"/>
      <c r="G13304" s="30">
        <v>800</v>
      </c>
    </row>
    <row r="13305" spans="1:7" hidden="1" x14ac:dyDescent="0.25">
      <c r="A13305" s="28">
        <v>44652</v>
      </c>
      <c r="B13305" s="27" t="s">
        <v>181</v>
      </c>
      <c r="C13305" s="27" t="s">
        <v>50</v>
      </c>
      <c r="D13305" s="27" t="s">
        <v>6</v>
      </c>
      <c r="E13305" s="27" t="s">
        <v>37</v>
      </c>
      <c r="F13305" s="29"/>
      <c r="G13305" s="30">
        <v>5994</v>
      </c>
    </row>
    <row r="13306" spans="1:7" hidden="1" x14ac:dyDescent="0.25">
      <c r="A13306" s="28">
        <v>44652</v>
      </c>
      <c r="B13306" s="27" t="s">
        <v>25</v>
      </c>
      <c r="C13306" s="27" t="s">
        <v>50</v>
      </c>
      <c r="D13306" s="27" t="s">
        <v>7</v>
      </c>
      <c r="E13306" s="27" t="s">
        <v>12</v>
      </c>
      <c r="F13306" s="29"/>
      <c r="G13306" s="30">
        <v>260.3</v>
      </c>
    </row>
    <row r="13307" spans="1:7" hidden="1" x14ac:dyDescent="0.25">
      <c r="A13307" s="28">
        <v>44652</v>
      </c>
      <c r="B13307" s="27" t="s">
        <v>25</v>
      </c>
      <c r="C13307" s="27" t="s">
        <v>50</v>
      </c>
      <c r="D13307" s="27" t="s">
        <v>7</v>
      </c>
      <c r="E13307" s="27" t="s">
        <v>37</v>
      </c>
      <c r="F13307" s="29"/>
      <c r="G13307" s="30">
        <v>262.92</v>
      </c>
    </row>
    <row r="13308" spans="1:7" hidden="1" x14ac:dyDescent="0.25">
      <c r="A13308" s="28">
        <v>44652</v>
      </c>
      <c r="B13308" s="27" t="s">
        <v>2</v>
      </c>
      <c r="C13308" s="27" t="s">
        <v>50</v>
      </c>
      <c r="D13308" s="27" t="s">
        <v>7</v>
      </c>
      <c r="E13308" s="27" t="s">
        <v>8</v>
      </c>
      <c r="F13308" s="29"/>
      <c r="G13308" s="30">
        <v>822.85</v>
      </c>
    </row>
    <row r="13309" spans="1:7" hidden="1" x14ac:dyDescent="0.25">
      <c r="A13309" s="28">
        <v>44652</v>
      </c>
      <c r="B13309" s="27" t="s">
        <v>2</v>
      </c>
      <c r="C13309" s="27" t="s">
        <v>50</v>
      </c>
      <c r="D13309" s="27" t="s">
        <v>7</v>
      </c>
      <c r="E13309" s="27" t="s">
        <v>9</v>
      </c>
      <c r="F13309" s="29"/>
      <c r="G13309" s="30">
        <v>289.8</v>
      </c>
    </row>
    <row r="13310" spans="1:7" hidden="1" x14ac:dyDescent="0.25">
      <c r="A13310" s="28">
        <v>44652</v>
      </c>
      <c r="B13310" s="27" t="s">
        <v>2</v>
      </c>
      <c r="C13310" s="27" t="s">
        <v>50</v>
      </c>
      <c r="D13310" s="27" t="s">
        <v>7</v>
      </c>
      <c r="E13310" s="27" t="s">
        <v>22</v>
      </c>
      <c r="F13310" s="29"/>
      <c r="G13310" s="30">
        <v>661.2</v>
      </c>
    </row>
    <row r="13311" spans="1:7" hidden="1" x14ac:dyDescent="0.25">
      <c r="A13311" s="28">
        <v>44652</v>
      </c>
      <c r="B13311" s="27" t="s">
        <v>2</v>
      </c>
      <c r="C13311" s="27" t="s">
        <v>50</v>
      </c>
      <c r="D13311" s="27" t="s">
        <v>7</v>
      </c>
      <c r="E13311" s="27" t="s">
        <v>39</v>
      </c>
      <c r="F13311" s="29"/>
      <c r="G13311" s="30">
        <v>242.28</v>
      </c>
    </row>
    <row r="13312" spans="1:7" hidden="1" x14ac:dyDescent="0.25">
      <c r="A13312" s="28">
        <v>44652</v>
      </c>
      <c r="B13312" s="27" t="s">
        <v>2</v>
      </c>
      <c r="C13312" s="27" t="s">
        <v>50</v>
      </c>
      <c r="D13312" s="27" t="s">
        <v>7</v>
      </c>
      <c r="E13312" s="27" t="s">
        <v>64</v>
      </c>
      <c r="F13312" s="29"/>
      <c r="G13312" s="30">
        <v>177.3</v>
      </c>
    </row>
    <row r="13313" spans="1:7" hidden="1" x14ac:dyDescent="0.25">
      <c r="A13313" s="28">
        <v>44652</v>
      </c>
      <c r="B13313" s="27" t="s">
        <v>2</v>
      </c>
      <c r="C13313" s="27" t="s">
        <v>50</v>
      </c>
      <c r="D13313" s="27" t="s">
        <v>7</v>
      </c>
      <c r="E13313" s="27" t="s">
        <v>21</v>
      </c>
      <c r="F13313" s="29"/>
      <c r="G13313" s="30">
        <v>59.8</v>
      </c>
    </row>
    <row r="13314" spans="1:7" hidden="1" x14ac:dyDescent="0.25">
      <c r="A13314" s="28">
        <v>44652</v>
      </c>
      <c r="B13314" s="27" t="s">
        <v>2</v>
      </c>
      <c r="C13314" s="27" t="s">
        <v>50</v>
      </c>
      <c r="D13314" s="27" t="s">
        <v>7</v>
      </c>
      <c r="E13314" s="27" t="s">
        <v>41</v>
      </c>
      <c r="F13314" s="29"/>
      <c r="G13314" s="30">
        <v>323.83999999999997</v>
      </c>
    </row>
    <row r="13315" spans="1:7" hidden="1" x14ac:dyDescent="0.25">
      <c r="A13315" s="28">
        <v>44652</v>
      </c>
      <c r="B13315" s="27" t="s">
        <v>2</v>
      </c>
      <c r="C13315" s="27" t="s">
        <v>50</v>
      </c>
      <c r="D13315" s="27" t="s">
        <v>7</v>
      </c>
      <c r="E13315" s="27" t="s">
        <v>10</v>
      </c>
      <c r="F13315" s="29"/>
      <c r="G13315" s="30">
        <v>1081.6500000000001</v>
      </c>
    </row>
    <row r="13316" spans="1:7" hidden="1" x14ac:dyDescent="0.25">
      <c r="A13316" s="28">
        <v>44652</v>
      </c>
      <c r="B13316" s="27" t="s">
        <v>2</v>
      </c>
      <c r="C13316" s="27" t="s">
        <v>50</v>
      </c>
      <c r="D13316" s="27" t="s">
        <v>7</v>
      </c>
      <c r="E13316" s="27" t="s">
        <v>11</v>
      </c>
      <c r="F13316" s="29"/>
      <c r="G13316" s="30">
        <v>458.9</v>
      </c>
    </row>
    <row r="13317" spans="1:7" hidden="1" x14ac:dyDescent="0.25">
      <c r="A13317" s="28">
        <v>44652</v>
      </c>
      <c r="B13317" s="27" t="s">
        <v>2</v>
      </c>
      <c r="C13317" s="27" t="s">
        <v>50</v>
      </c>
      <c r="D13317" s="27" t="s">
        <v>7</v>
      </c>
      <c r="E13317" s="27" t="s">
        <v>12</v>
      </c>
      <c r="F13317" s="29"/>
      <c r="G13317" s="30">
        <v>95.4</v>
      </c>
    </row>
    <row r="13318" spans="1:7" hidden="1" x14ac:dyDescent="0.25">
      <c r="A13318" s="28">
        <v>44652</v>
      </c>
      <c r="B13318" s="27" t="s">
        <v>2</v>
      </c>
      <c r="C13318" s="27" t="s">
        <v>50</v>
      </c>
      <c r="D13318" s="27" t="s">
        <v>7</v>
      </c>
      <c r="E13318" s="27" t="s">
        <v>13</v>
      </c>
      <c r="F13318" s="29"/>
      <c r="G13318" s="30">
        <v>1084.45</v>
      </c>
    </row>
    <row r="13319" spans="1:7" hidden="1" x14ac:dyDescent="0.25">
      <c r="A13319" s="28">
        <v>44652</v>
      </c>
      <c r="B13319" s="27" t="s">
        <v>2</v>
      </c>
      <c r="C13319" s="27" t="s">
        <v>50</v>
      </c>
      <c r="D13319" s="27" t="s">
        <v>7</v>
      </c>
      <c r="E13319" s="27" t="s">
        <v>14</v>
      </c>
      <c r="F13319" s="29"/>
      <c r="G13319" s="30">
        <v>472.48</v>
      </c>
    </row>
    <row r="13320" spans="1:7" hidden="1" x14ac:dyDescent="0.25">
      <c r="A13320" s="28">
        <v>44652</v>
      </c>
      <c r="B13320" s="27" t="s">
        <v>2</v>
      </c>
      <c r="C13320" s="27" t="s">
        <v>50</v>
      </c>
      <c r="D13320" s="27" t="s">
        <v>7</v>
      </c>
      <c r="E13320" s="27" t="s">
        <v>15</v>
      </c>
      <c r="F13320" s="29"/>
      <c r="G13320" s="30">
        <v>320.89999999999998</v>
      </c>
    </row>
    <row r="13321" spans="1:7" hidden="1" x14ac:dyDescent="0.25">
      <c r="A13321" s="28">
        <v>44652</v>
      </c>
      <c r="B13321" s="27" t="s">
        <v>2</v>
      </c>
      <c r="C13321" s="27" t="s">
        <v>50</v>
      </c>
      <c r="D13321" s="27" t="s">
        <v>7</v>
      </c>
      <c r="E13321" s="27" t="s">
        <v>16</v>
      </c>
      <c r="F13321" s="29"/>
      <c r="G13321" s="30">
        <v>27.6</v>
      </c>
    </row>
    <row r="13322" spans="1:7" hidden="1" x14ac:dyDescent="0.25">
      <c r="A13322" s="28">
        <v>44652</v>
      </c>
      <c r="B13322" s="27" t="s">
        <v>2</v>
      </c>
      <c r="C13322" s="27" t="s">
        <v>50</v>
      </c>
      <c r="D13322" s="27" t="s">
        <v>7</v>
      </c>
      <c r="E13322" s="27" t="s">
        <v>17</v>
      </c>
      <c r="F13322" s="29"/>
      <c r="G13322" s="30">
        <v>997.95</v>
      </c>
    </row>
    <row r="13323" spans="1:7" hidden="1" x14ac:dyDescent="0.25">
      <c r="A13323" s="28">
        <v>44652</v>
      </c>
      <c r="B13323" s="27" t="s">
        <v>2</v>
      </c>
      <c r="C13323" s="27" t="s">
        <v>50</v>
      </c>
      <c r="D13323" s="27" t="s">
        <v>7</v>
      </c>
      <c r="E13323" s="27" t="s">
        <v>19</v>
      </c>
      <c r="F13323" s="29"/>
      <c r="G13323" s="30">
        <v>692.33</v>
      </c>
    </row>
    <row r="13324" spans="1:7" hidden="1" x14ac:dyDescent="0.25">
      <c r="A13324" s="28">
        <v>44652</v>
      </c>
      <c r="B13324" s="27" t="s">
        <v>2</v>
      </c>
      <c r="C13324" s="27" t="s">
        <v>50</v>
      </c>
      <c r="D13324" s="27" t="s">
        <v>7</v>
      </c>
      <c r="E13324" s="27" t="s">
        <v>20</v>
      </c>
      <c r="F13324" s="29"/>
      <c r="G13324" s="30">
        <v>641.17999999999995</v>
      </c>
    </row>
    <row r="13325" spans="1:7" hidden="1" x14ac:dyDescent="0.25">
      <c r="A13325" s="28">
        <v>44652</v>
      </c>
      <c r="B13325" s="27" t="s">
        <v>2</v>
      </c>
      <c r="C13325" s="27" t="s">
        <v>50</v>
      </c>
      <c r="D13325" s="27" t="s">
        <v>7</v>
      </c>
      <c r="E13325" s="27" t="s">
        <v>23</v>
      </c>
      <c r="F13325" s="29"/>
      <c r="G13325" s="30">
        <v>604.6</v>
      </c>
    </row>
    <row r="13326" spans="1:7" hidden="1" x14ac:dyDescent="0.25">
      <c r="A13326" s="28">
        <v>44652</v>
      </c>
      <c r="B13326" s="27" t="s">
        <v>2</v>
      </c>
      <c r="C13326" s="27" t="s">
        <v>50</v>
      </c>
      <c r="D13326" s="27" t="s">
        <v>7</v>
      </c>
      <c r="E13326" s="27" t="s">
        <v>40</v>
      </c>
      <c r="F13326" s="29"/>
      <c r="G13326" s="30">
        <v>266.36</v>
      </c>
    </row>
    <row r="13327" spans="1:7" hidden="1" x14ac:dyDescent="0.25">
      <c r="A13327" s="28">
        <v>44652</v>
      </c>
      <c r="B13327" s="27" t="s">
        <v>2</v>
      </c>
      <c r="C13327" s="27" t="s">
        <v>50</v>
      </c>
      <c r="D13327" s="27" t="s">
        <v>7</v>
      </c>
      <c r="E13327" s="27" t="s">
        <v>42</v>
      </c>
      <c r="F13327" s="29"/>
      <c r="G13327" s="30">
        <v>94.05</v>
      </c>
    </row>
    <row r="13328" spans="1:7" hidden="1" x14ac:dyDescent="0.25">
      <c r="A13328" s="28">
        <v>44652</v>
      </c>
      <c r="B13328" s="27" t="s">
        <v>2</v>
      </c>
      <c r="C13328" s="27" t="s">
        <v>50</v>
      </c>
      <c r="D13328" s="27" t="s">
        <v>7</v>
      </c>
      <c r="E13328" s="27" t="s">
        <v>43</v>
      </c>
      <c r="F13328" s="29"/>
      <c r="G13328" s="30">
        <v>581.5</v>
      </c>
    </row>
    <row r="13329" spans="1:7" hidden="1" x14ac:dyDescent="0.25">
      <c r="A13329" s="28">
        <v>44652</v>
      </c>
      <c r="B13329" s="27" t="s">
        <v>2</v>
      </c>
      <c r="C13329" s="27" t="s">
        <v>50</v>
      </c>
      <c r="D13329" s="27" t="s">
        <v>7</v>
      </c>
      <c r="E13329" s="27" t="s">
        <v>72</v>
      </c>
      <c r="F13329" s="29"/>
      <c r="G13329" s="30">
        <v>349.74</v>
      </c>
    </row>
    <row r="13330" spans="1:7" hidden="1" x14ac:dyDescent="0.25">
      <c r="A13330" s="28">
        <v>44652</v>
      </c>
      <c r="B13330" s="27" t="s">
        <v>2</v>
      </c>
      <c r="C13330" s="27" t="s">
        <v>50</v>
      </c>
      <c r="D13330" s="27" t="s">
        <v>7</v>
      </c>
      <c r="E13330" s="27" t="s">
        <v>37</v>
      </c>
      <c r="F13330" s="29"/>
      <c r="G13330" s="30">
        <v>124.69999999999999</v>
      </c>
    </row>
    <row r="13331" spans="1:7" hidden="1" x14ac:dyDescent="0.25">
      <c r="A13331" s="28">
        <v>44652</v>
      </c>
      <c r="B13331" s="27" t="s">
        <v>36</v>
      </c>
      <c r="C13331" s="27" t="s">
        <v>50</v>
      </c>
      <c r="D13331" s="27" t="s">
        <v>6</v>
      </c>
      <c r="E13331" s="27" t="s">
        <v>8</v>
      </c>
      <c r="F13331" s="29"/>
      <c r="G13331" s="30">
        <v>292.15071428571429</v>
      </c>
    </row>
    <row r="13332" spans="1:7" hidden="1" x14ac:dyDescent="0.25">
      <c r="A13332" s="28">
        <v>44652</v>
      </c>
      <c r="B13332" s="27" t="s">
        <v>36</v>
      </c>
      <c r="C13332" s="27" t="s">
        <v>50</v>
      </c>
      <c r="D13332" s="27" t="s">
        <v>6</v>
      </c>
      <c r="E13332" s="27" t="s">
        <v>9</v>
      </c>
      <c r="F13332" s="29"/>
      <c r="G13332" s="30">
        <v>292.15071428571429</v>
      </c>
    </row>
    <row r="13333" spans="1:7" hidden="1" x14ac:dyDescent="0.25">
      <c r="A13333" s="28">
        <v>44652</v>
      </c>
      <c r="B13333" s="27" t="s">
        <v>36</v>
      </c>
      <c r="C13333" s="27" t="s">
        <v>50</v>
      </c>
      <c r="D13333" s="27" t="s">
        <v>6</v>
      </c>
      <c r="E13333" s="27" t="s">
        <v>22</v>
      </c>
      <c r="F13333" s="29"/>
      <c r="G13333" s="30">
        <v>292.15071428571429</v>
      </c>
    </row>
    <row r="13334" spans="1:7" hidden="1" x14ac:dyDescent="0.25">
      <c r="A13334" s="28">
        <v>44652</v>
      </c>
      <c r="B13334" s="27" t="s">
        <v>36</v>
      </c>
      <c r="C13334" s="27" t="s">
        <v>50</v>
      </c>
      <c r="D13334" s="27" t="s">
        <v>6</v>
      </c>
      <c r="E13334" s="27" t="s">
        <v>39</v>
      </c>
      <c r="F13334" s="29"/>
      <c r="G13334" s="30">
        <v>292.15071428571429</v>
      </c>
    </row>
    <row r="13335" spans="1:7" hidden="1" x14ac:dyDescent="0.25">
      <c r="A13335" s="28">
        <v>44652</v>
      </c>
      <c r="B13335" s="27" t="s">
        <v>36</v>
      </c>
      <c r="C13335" s="27" t="s">
        <v>50</v>
      </c>
      <c r="D13335" s="27" t="s">
        <v>6</v>
      </c>
      <c r="E13335" s="27" t="s">
        <v>64</v>
      </c>
      <c r="F13335" s="29"/>
      <c r="G13335" s="30">
        <v>292.15071428571429</v>
      </c>
    </row>
    <row r="13336" spans="1:7" hidden="1" x14ac:dyDescent="0.25">
      <c r="A13336" s="28">
        <v>44652</v>
      </c>
      <c r="B13336" s="27" t="s">
        <v>36</v>
      </c>
      <c r="C13336" s="27" t="s">
        <v>50</v>
      </c>
      <c r="D13336" s="27" t="s">
        <v>6</v>
      </c>
      <c r="E13336" s="27" t="s">
        <v>21</v>
      </c>
      <c r="F13336" s="29"/>
      <c r="G13336" s="30">
        <v>292.15071428571429</v>
      </c>
    </row>
    <row r="13337" spans="1:7" hidden="1" x14ac:dyDescent="0.25">
      <c r="A13337" s="28">
        <v>44652</v>
      </c>
      <c r="B13337" s="27" t="s">
        <v>36</v>
      </c>
      <c r="C13337" s="27" t="s">
        <v>50</v>
      </c>
      <c r="D13337" s="27" t="s">
        <v>6</v>
      </c>
      <c r="E13337" s="27" t="s">
        <v>41</v>
      </c>
      <c r="F13337" s="29"/>
      <c r="G13337" s="30">
        <v>292.15071428571429</v>
      </c>
    </row>
    <row r="13338" spans="1:7" hidden="1" x14ac:dyDescent="0.25">
      <c r="A13338" s="28">
        <v>44652</v>
      </c>
      <c r="B13338" s="27" t="s">
        <v>36</v>
      </c>
      <c r="C13338" s="27" t="s">
        <v>50</v>
      </c>
      <c r="D13338" s="27" t="s">
        <v>6</v>
      </c>
      <c r="E13338" s="27" t="s">
        <v>10</v>
      </c>
      <c r="F13338" s="29"/>
      <c r="G13338" s="30">
        <v>292.15071428571429</v>
      </c>
    </row>
    <row r="13339" spans="1:7" hidden="1" x14ac:dyDescent="0.25">
      <c r="A13339" s="28">
        <v>44652</v>
      </c>
      <c r="B13339" s="27" t="s">
        <v>36</v>
      </c>
      <c r="C13339" s="27" t="s">
        <v>50</v>
      </c>
      <c r="D13339" s="27" t="s">
        <v>6</v>
      </c>
      <c r="E13339" s="27" t="s">
        <v>11</v>
      </c>
      <c r="F13339" s="29"/>
      <c r="G13339" s="30">
        <v>292.15071428571429</v>
      </c>
    </row>
    <row r="13340" spans="1:7" hidden="1" x14ac:dyDescent="0.25">
      <c r="A13340" s="28">
        <v>44652</v>
      </c>
      <c r="B13340" s="27" t="s">
        <v>36</v>
      </c>
      <c r="C13340" s="27" t="s">
        <v>50</v>
      </c>
      <c r="D13340" s="27" t="s">
        <v>6</v>
      </c>
      <c r="E13340" s="27" t="s">
        <v>12</v>
      </c>
      <c r="F13340" s="29"/>
      <c r="G13340" s="30">
        <v>292.15071428571429</v>
      </c>
    </row>
    <row r="13341" spans="1:7" hidden="1" x14ac:dyDescent="0.25">
      <c r="A13341" s="28">
        <v>44652</v>
      </c>
      <c r="B13341" s="27" t="s">
        <v>36</v>
      </c>
      <c r="C13341" s="27" t="s">
        <v>50</v>
      </c>
      <c r="D13341" s="27" t="s">
        <v>6</v>
      </c>
      <c r="E13341" s="27" t="s">
        <v>13</v>
      </c>
      <c r="F13341" s="29"/>
      <c r="G13341" s="30">
        <v>292.15071428571429</v>
      </c>
    </row>
    <row r="13342" spans="1:7" hidden="1" x14ac:dyDescent="0.25">
      <c r="A13342" s="28">
        <v>44652</v>
      </c>
      <c r="B13342" s="27" t="s">
        <v>36</v>
      </c>
      <c r="C13342" s="27" t="s">
        <v>50</v>
      </c>
      <c r="D13342" s="27" t="s">
        <v>6</v>
      </c>
      <c r="E13342" s="27" t="s">
        <v>14</v>
      </c>
      <c r="F13342" s="29"/>
      <c r="G13342" s="30">
        <v>292.15071428571429</v>
      </c>
    </row>
    <row r="13343" spans="1:7" hidden="1" x14ac:dyDescent="0.25">
      <c r="A13343" s="28">
        <v>44652</v>
      </c>
      <c r="B13343" s="27" t="s">
        <v>36</v>
      </c>
      <c r="C13343" s="27" t="s">
        <v>50</v>
      </c>
      <c r="D13343" s="27" t="s">
        <v>6</v>
      </c>
      <c r="E13343" s="27" t="s">
        <v>15</v>
      </c>
      <c r="F13343" s="29"/>
      <c r="G13343" s="30">
        <v>292.15071428571429</v>
      </c>
    </row>
    <row r="13344" spans="1:7" hidden="1" x14ac:dyDescent="0.25">
      <c r="A13344" s="28">
        <v>44652</v>
      </c>
      <c r="B13344" s="27" t="s">
        <v>36</v>
      </c>
      <c r="C13344" s="27" t="s">
        <v>50</v>
      </c>
      <c r="D13344" s="27" t="s">
        <v>6</v>
      </c>
      <c r="E13344" s="27" t="s">
        <v>16</v>
      </c>
      <c r="F13344" s="29"/>
      <c r="G13344" s="30">
        <v>292.15071428571429</v>
      </c>
    </row>
    <row r="13345" spans="1:7" hidden="1" x14ac:dyDescent="0.25">
      <c r="A13345" s="28">
        <v>44652</v>
      </c>
      <c r="B13345" s="27" t="s">
        <v>36</v>
      </c>
      <c r="C13345" s="27" t="s">
        <v>50</v>
      </c>
      <c r="D13345" s="27" t="s">
        <v>6</v>
      </c>
      <c r="E13345" s="27" t="s">
        <v>17</v>
      </c>
      <c r="F13345" s="29"/>
      <c r="G13345" s="30">
        <v>292.15071428571429</v>
      </c>
    </row>
    <row r="13346" spans="1:7" hidden="1" x14ac:dyDescent="0.25">
      <c r="A13346" s="28">
        <v>44652</v>
      </c>
      <c r="B13346" s="27" t="s">
        <v>36</v>
      </c>
      <c r="C13346" s="27" t="s">
        <v>50</v>
      </c>
      <c r="D13346" s="27" t="s">
        <v>6</v>
      </c>
      <c r="E13346" s="27" t="s">
        <v>18</v>
      </c>
      <c r="F13346" s="29"/>
      <c r="G13346" s="30">
        <v>292.15071428571429</v>
      </c>
    </row>
    <row r="13347" spans="1:7" hidden="1" x14ac:dyDescent="0.25">
      <c r="A13347" s="28">
        <v>44652</v>
      </c>
      <c r="B13347" s="27" t="s">
        <v>36</v>
      </c>
      <c r="C13347" s="27" t="s">
        <v>50</v>
      </c>
      <c r="D13347" s="27" t="s">
        <v>6</v>
      </c>
      <c r="E13347" s="27" t="s">
        <v>19</v>
      </c>
      <c r="F13347" s="29"/>
      <c r="G13347" s="30">
        <v>292.15071428571429</v>
      </c>
    </row>
    <row r="13348" spans="1:7" hidden="1" x14ac:dyDescent="0.25">
      <c r="A13348" s="28">
        <v>44652</v>
      </c>
      <c r="B13348" s="27" t="s">
        <v>36</v>
      </c>
      <c r="C13348" s="27" t="s">
        <v>50</v>
      </c>
      <c r="D13348" s="27" t="s">
        <v>6</v>
      </c>
      <c r="E13348" s="27" t="s">
        <v>20</v>
      </c>
      <c r="F13348" s="29"/>
      <c r="G13348" s="30">
        <v>292.15071428571429</v>
      </c>
    </row>
    <row r="13349" spans="1:7" hidden="1" x14ac:dyDescent="0.25">
      <c r="A13349" s="28">
        <v>44652</v>
      </c>
      <c r="B13349" s="27" t="s">
        <v>36</v>
      </c>
      <c r="C13349" s="27" t="s">
        <v>50</v>
      </c>
      <c r="D13349" s="27" t="s">
        <v>6</v>
      </c>
      <c r="E13349" s="27" t="s">
        <v>38</v>
      </c>
      <c r="F13349" s="29"/>
      <c r="G13349" s="30">
        <v>292.15071428571429</v>
      </c>
    </row>
    <row r="13350" spans="1:7" hidden="1" x14ac:dyDescent="0.25">
      <c r="A13350" s="28">
        <v>44652</v>
      </c>
      <c r="B13350" s="27" t="s">
        <v>36</v>
      </c>
      <c r="C13350" s="27" t="s">
        <v>50</v>
      </c>
      <c r="D13350" s="27" t="s">
        <v>6</v>
      </c>
      <c r="E13350" s="27" t="s">
        <v>23</v>
      </c>
      <c r="F13350" s="29"/>
      <c r="G13350" s="30">
        <v>292.15071428571429</v>
      </c>
    </row>
    <row r="13351" spans="1:7" hidden="1" x14ac:dyDescent="0.25">
      <c r="A13351" s="28">
        <v>44652</v>
      </c>
      <c r="B13351" s="27" t="s">
        <v>36</v>
      </c>
      <c r="C13351" s="27" t="s">
        <v>50</v>
      </c>
      <c r="D13351" s="27" t="s">
        <v>6</v>
      </c>
      <c r="E13351" s="27" t="s">
        <v>40</v>
      </c>
      <c r="F13351" s="29"/>
      <c r="G13351" s="30">
        <v>292.15071428571429</v>
      </c>
    </row>
    <row r="13352" spans="1:7" hidden="1" x14ac:dyDescent="0.25">
      <c r="A13352" s="28">
        <v>44652</v>
      </c>
      <c r="B13352" s="27" t="s">
        <v>36</v>
      </c>
      <c r="C13352" s="27" t="s">
        <v>50</v>
      </c>
      <c r="D13352" s="27" t="s">
        <v>6</v>
      </c>
      <c r="E13352" s="27" t="s">
        <v>42</v>
      </c>
      <c r="F13352" s="29"/>
      <c r="G13352" s="30">
        <v>292.15071428571429</v>
      </c>
    </row>
    <row r="13353" spans="1:7" hidden="1" x14ac:dyDescent="0.25">
      <c r="A13353" s="28">
        <v>44652</v>
      </c>
      <c r="B13353" s="27" t="s">
        <v>36</v>
      </c>
      <c r="C13353" s="27" t="s">
        <v>50</v>
      </c>
      <c r="D13353" s="27" t="s">
        <v>6</v>
      </c>
      <c r="E13353" s="27" t="s">
        <v>43</v>
      </c>
      <c r="F13353" s="29"/>
      <c r="G13353" s="30">
        <v>292.15071428571429</v>
      </c>
    </row>
    <row r="13354" spans="1:7" hidden="1" x14ac:dyDescent="0.25">
      <c r="A13354" s="28">
        <v>44652</v>
      </c>
      <c r="B13354" s="27" t="s">
        <v>36</v>
      </c>
      <c r="C13354" s="27" t="s">
        <v>50</v>
      </c>
      <c r="D13354" s="27" t="s">
        <v>6</v>
      </c>
      <c r="E13354" s="27" t="s">
        <v>72</v>
      </c>
      <c r="F13354" s="29"/>
      <c r="G13354" s="30">
        <v>292.15071428571429</v>
      </c>
    </row>
    <row r="13355" spans="1:7" hidden="1" x14ac:dyDescent="0.25">
      <c r="A13355" s="28">
        <v>44652</v>
      </c>
      <c r="B13355" s="27" t="s">
        <v>36</v>
      </c>
      <c r="C13355" s="27" t="s">
        <v>50</v>
      </c>
      <c r="D13355" s="27" t="s">
        <v>6</v>
      </c>
      <c r="E13355" s="27" t="s">
        <v>206</v>
      </c>
      <c r="F13355" s="29"/>
      <c r="G13355" s="30">
        <v>292.15071428571429</v>
      </c>
    </row>
    <row r="13356" spans="1:7" hidden="1" x14ac:dyDescent="0.25">
      <c r="A13356" s="28">
        <v>44652</v>
      </c>
      <c r="B13356" s="27" t="s">
        <v>36</v>
      </c>
      <c r="C13356" s="27" t="s">
        <v>50</v>
      </c>
      <c r="D13356" s="27" t="s">
        <v>6</v>
      </c>
      <c r="E13356" s="27" t="s">
        <v>67</v>
      </c>
      <c r="F13356" s="29"/>
      <c r="G13356" s="30">
        <v>292.15071428571429</v>
      </c>
    </row>
    <row r="13357" spans="1:7" hidden="1" x14ac:dyDescent="0.25">
      <c r="A13357" s="28">
        <v>44652</v>
      </c>
      <c r="B13357" s="27" t="s">
        <v>36</v>
      </c>
      <c r="C13357" s="27" t="s">
        <v>50</v>
      </c>
      <c r="D13357" s="27" t="s">
        <v>6</v>
      </c>
      <c r="E13357" s="27" t="s">
        <v>68</v>
      </c>
      <c r="F13357" s="29"/>
      <c r="G13357" s="30">
        <v>292.15071428571429</v>
      </c>
    </row>
    <row r="13358" spans="1:7" hidden="1" x14ac:dyDescent="0.25">
      <c r="A13358" s="28">
        <v>44652</v>
      </c>
      <c r="B13358" s="27" t="s">
        <v>36</v>
      </c>
      <c r="C13358" s="27" t="s">
        <v>50</v>
      </c>
      <c r="D13358" s="27" t="s">
        <v>6</v>
      </c>
      <c r="E13358" s="27" t="s">
        <v>74</v>
      </c>
      <c r="F13358" s="29"/>
      <c r="G13358" s="30">
        <v>292.15071428571429</v>
      </c>
    </row>
    <row r="13359" spans="1:7" hidden="1" x14ac:dyDescent="0.25">
      <c r="A13359" s="28">
        <v>44652</v>
      </c>
      <c r="B13359" s="27" t="s">
        <v>200</v>
      </c>
      <c r="C13359" s="27" t="s">
        <v>53</v>
      </c>
      <c r="D13359" s="27" t="s">
        <v>6</v>
      </c>
      <c r="E13359" s="27" t="s">
        <v>8</v>
      </c>
      <c r="F13359" s="29"/>
      <c r="G13359" s="30">
        <f t="shared" ref="G13359:G13382" si="233">2544.26108333333/24</f>
        <v>106.01087847222209</v>
      </c>
    </row>
    <row r="13360" spans="1:7" hidden="1" x14ac:dyDescent="0.25">
      <c r="A13360" s="28">
        <v>44652</v>
      </c>
      <c r="B13360" s="27" t="s">
        <v>200</v>
      </c>
      <c r="C13360" s="27" t="s">
        <v>53</v>
      </c>
      <c r="D13360" s="27" t="s">
        <v>6</v>
      </c>
      <c r="E13360" s="27" t="s">
        <v>9</v>
      </c>
      <c r="F13360" s="29"/>
      <c r="G13360" s="30">
        <f t="shared" si="233"/>
        <v>106.01087847222209</v>
      </c>
    </row>
    <row r="13361" spans="1:7" hidden="1" x14ac:dyDescent="0.25">
      <c r="A13361" s="28">
        <v>44652</v>
      </c>
      <c r="B13361" s="27" t="s">
        <v>200</v>
      </c>
      <c r="C13361" s="27" t="s">
        <v>53</v>
      </c>
      <c r="D13361" s="27" t="s">
        <v>6</v>
      </c>
      <c r="E13361" s="27" t="s">
        <v>22</v>
      </c>
      <c r="F13361" s="29"/>
      <c r="G13361" s="30">
        <f t="shared" si="233"/>
        <v>106.01087847222209</v>
      </c>
    </row>
    <row r="13362" spans="1:7" hidden="1" x14ac:dyDescent="0.25">
      <c r="A13362" s="28">
        <v>44652</v>
      </c>
      <c r="B13362" s="27" t="s">
        <v>200</v>
      </c>
      <c r="C13362" s="27" t="s">
        <v>53</v>
      </c>
      <c r="D13362" s="27" t="s">
        <v>6</v>
      </c>
      <c r="E13362" s="27" t="s">
        <v>39</v>
      </c>
      <c r="F13362" s="29"/>
      <c r="G13362" s="30">
        <f t="shared" si="233"/>
        <v>106.01087847222209</v>
      </c>
    </row>
    <row r="13363" spans="1:7" hidden="1" x14ac:dyDescent="0.25">
      <c r="A13363" s="28">
        <v>44652</v>
      </c>
      <c r="B13363" s="27" t="s">
        <v>200</v>
      </c>
      <c r="C13363" s="27" t="s">
        <v>53</v>
      </c>
      <c r="D13363" s="27" t="s">
        <v>6</v>
      </c>
      <c r="E13363" s="27" t="s">
        <v>64</v>
      </c>
      <c r="F13363" s="29"/>
      <c r="G13363" s="30">
        <f t="shared" si="233"/>
        <v>106.01087847222209</v>
      </c>
    </row>
    <row r="13364" spans="1:7" hidden="1" x14ac:dyDescent="0.25">
      <c r="A13364" s="28">
        <v>44652</v>
      </c>
      <c r="B13364" s="27" t="s">
        <v>200</v>
      </c>
      <c r="C13364" s="27" t="s">
        <v>53</v>
      </c>
      <c r="D13364" s="27" t="s">
        <v>6</v>
      </c>
      <c r="E13364" s="27" t="s">
        <v>21</v>
      </c>
      <c r="F13364" s="29"/>
      <c r="G13364" s="30">
        <f t="shared" si="233"/>
        <v>106.01087847222209</v>
      </c>
    </row>
    <row r="13365" spans="1:7" hidden="1" x14ac:dyDescent="0.25">
      <c r="A13365" s="28">
        <v>44652</v>
      </c>
      <c r="B13365" s="27" t="s">
        <v>200</v>
      </c>
      <c r="C13365" s="27" t="s">
        <v>53</v>
      </c>
      <c r="D13365" s="27" t="s">
        <v>6</v>
      </c>
      <c r="E13365" s="27" t="s">
        <v>41</v>
      </c>
      <c r="F13365" s="29"/>
      <c r="G13365" s="30">
        <f t="shared" si="233"/>
        <v>106.01087847222209</v>
      </c>
    </row>
    <row r="13366" spans="1:7" hidden="1" x14ac:dyDescent="0.25">
      <c r="A13366" s="28">
        <v>44652</v>
      </c>
      <c r="B13366" s="27" t="s">
        <v>200</v>
      </c>
      <c r="C13366" s="27" t="s">
        <v>53</v>
      </c>
      <c r="D13366" s="27" t="s">
        <v>6</v>
      </c>
      <c r="E13366" s="27" t="s">
        <v>10</v>
      </c>
      <c r="F13366" s="29"/>
      <c r="G13366" s="30">
        <f t="shared" si="233"/>
        <v>106.01087847222209</v>
      </c>
    </row>
    <row r="13367" spans="1:7" hidden="1" x14ac:dyDescent="0.25">
      <c r="A13367" s="28">
        <v>44652</v>
      </c>
      <c r="B13367" s="27" t="s">
        <v>200</v>
      </c>
      <c r="C13367" s="27" t="s">
        <v>53</v>
      </c>
      <c r="D13367" s="27" t="s">
        <v>6</v>
      </c>
      <c r="E13367" s="27" t="s">
        <v>11</v>
      </c>
      <c r="F13367" s="29"/>
      <c r="G13367" s="30">
        <f t="shared" si="233"/>
        <v>106.01087847222209</v>
      </c>
    </row>
    <row r="13368" spans="1:7" hidden="1" x14ac:dyDescent="0.25">
      <c r="A13368" s="28">
        <v>44652</v>
      </c>
      <c r="B13368" s="27" t="s">
        <v>200</v>
      </c>
      <c r="C13368" s="27" t="s">
        <v>53</v>
      </c>
      <c r="D13368" s="27" t="s">
        <v>6</v>
      </c>
      <c r="E13368" s="27" t="s">
        <v>12</v>
      </c>
      <c r="F13368" s="29"/>
      <c r="G13368" s="30">
        <f t="shared" si="233"/>
        <v>106.01087847222209</v>
      </c>
    </row>
    <row r="13369" spans="1:7" hidden="1" x14ac:dyDescent="0.25">
      <c r="A13369" s="28">
        <v>44652</v>
      </c>
      <c r="B13369" s="27" t="s">
        <v>200</v>
      </c>
      <c r="C13369" s="27" t="s">
        <v>53</v>
      </c>
      <c r="D13369" s="27" t="s">
        <v>6</v>
      </c>
      <c r="E13369" s="27" t="s">
        <v>13</v>
      </c>
      <c r="F13369" s="29"/>
      <c r="G13369" s="30">
        <f t="shared" si="233"/>
        <v>106.01087847222209</v>
      </c>
    </row>
    <row r="13370" spans="1:7" hidden="1" x14ac:dyDescent="0.25">
      <c r="A13370" s="28">
        <v>44652</v>
      </c>
      <c r="B13370" s="27" t="s">
        <v>200</v>
      </c>
      <c r="C13370" s="27" t="s">
        <v>53</v>
      </c>
      <c r="D13370" s="27" t="s">
        <v>6</v>
      </c>
      <c r="E13370" s="27" t="s">
        <v>14</v>
      </c>
      <c r="F13370" s="29"/>
      <c r="G13370" s="30">
        <f t="shared" si="233"/>
        <v>106.01087847222209</v>
      </c>
    </row>
    <row r="13371" spans="1:7" hidden="1" x14ac:dyDescent="0.25">
      <c r="A13371" s="28">
        <v>44652</v>
      </c>
      <c r="B13371" s="27" t="s">
        <v>200</v>
      </c>
      <c r="C13371" s="27" t="s">
        <v>53</v>
      </c>
      <c r="D13371" s="27" t="s">
        <v>6</v>
      </c>
      <c r="E13371" s="27" t="s">
        <v>15</v>
      </c>
      <c r="F13371" s="29"/>
      <c r="G13371" s="30">
        <f t="shared" si="233"/>
        <v>106.01087847222209</v>
      </c>
    </row>
    <row r="13372" spans="1:7" hidden="1" x14ac:dyDescent="0.25">
      <c r="A13372" s="28">
        <v>44652</v>
      </c>
      <c r="B13372" s="27" t="s">
        <v>200</v>
      </c>
      <c r="C13372" s="27" t="s">
        <v>53</v>
      </c>
      <c r="D13372" s="27" t="s">
        <v>6</v>
      </c>
      <c r="E13372" s="27" t="s">
        <v>16</v>
      </c>
      <c r="F13372" s="29"/>
      <c r="G13372" s="30">
        <f t="shared" si="233"/>
        <v>106.01087847222209</v>
      </c>
    </row>
    <row r="13373" spans="1:7" hidden="1" x14ac:dyDescent="0.25">
      <c r="A13373" s="28">
        <v>44652</v>
      </c>
      <c r="B13373" s="27" t="s">
        <v>200</v>
      </c>
      <c r="C13373" s="27" t="s">
        <v>53</v>
      </c>
      <c r="D13373" s="27" t="s">
        <v>6</v>
      </c>
      <c r="E13373" s="27" t="s">
        <v>17</v>
      </c>
      <c r="F13373" s="29"/>
      <c r="G13373" s="30">
        <f t="shared" si="233"/>
        <v>106.01087847222209</v>
      </c>
    </row>
    <row r="13374" spans="1:7" hidden="1" x14ac:dyDescent="0.25">
      <c r="A13374" s="28">
        <v>44652</v>
      </c>
      <c r="B13374" s="27" t="s">
        <v>200</v>
      </c>
      <c r="C13374" s="27" t="s">
        <v>53</v>
      </c>
      <c r="D13374" s="27" t="s">
        <v>6</v>
      </c>
      <c r="E13374" s="27" t="s">
        <v>18</v>
      </c>
      <c r="F13374" s="29"/>
      <c r="G13374" s="30">
        <f t="shared" si="233"/>
        <v>106.01087847222209</v>
      </c>
    </row>
    <row r="13375" spans="1:7" hidden="1" x14ac:dyDescent="0.25">
      <c r="A13375" s="28">
        <v>44652</v>
      </c>
      <c r="B13375" s="27" t="s">
        <v>200</v>
      </c>
      <c r="C13375" s="27" t="s">
        <v>53</v>
      </c>
      <c r="D13375" s="27" t="s">
        <v>6</v>
      </c>
      <c r="E13375" s="27" t="s">
        <v>19</v>
      </c>
      <c r="F13375" s="29"/>
      <c r="G13375" s="30">
        <f t="shared" si="233"/>
        <v>106.01087847222209</v>
      </c>
    </row>
    <row r="13376" spans="1:7" hidden="1" x14ac:dyDescent="0.25">
      <c r="A13376" s="28">
        <v>44652</v>
      </c>
      <c r="B13376" s="27" t="s">
        <v>200</v>
      </c>
      <c r="C13376" s="27" t="s">
        <v>53</v>
      </c>
      <c r="D13376" s="27" t="s">
        <v>6</v>
      </c>
      <c r="E13376" s="27" t="s">
        <v>20</v>
      </c>
      <c r="F13376" s="29"/>
      <c r="G13376" s="30">
        <f t="shared" si="233"/>
        <v>106.01087847222209</v>
      </c>
    </row>
    <row r="13377" spans="1:7" hidden="1" x14ac:dyDescent="0.25">
      <c r="A13377" s="28">
        <v>44652</v>
      </c>
      <c r="B13377" s="27" t="s">
        <v>200</v>
      </c>
      <c r="C13377" s="27" t="s">
        <v>53</v>
      </c>
      <c r="D13377" s="27" t="s">
        <v>6</v>
      </c>
      <c r="E13377" s="27" t="s">
        <v>38</v>
      </c>
      <c r="F13377" s="29"/>
      <c r="G13377" s="30">
        <f t="shared" si="233"/>
        <v>106.01087847222209</v>
      </c>
    </row>
    <row r="13378" spans="1:7" hidden="1" x14ac:dyDescent="0.25">
      <c r="A13378" s="28">
        <v>44652</v>
      </c>
      <c r="B13378" s="27" t="s">
        <v>200</v>
      </c>
      <c r="C13378" s="27" t="s">
        <v>53</v>
      </c>
      <c r="D13378" s="27" t="s">
        <v>6</v>
      </c>
      <c r="E13378" s="27" t="s">
        <v>23</v>
      </c>
      <c r="F13378" s="29"/>
      <c r="G13378" s="30">
        <f t="shared" si="233"/>
        <v>106.01087847222209</v>
      </c>
    </row>
    <row r="13379" spans="1:7" hidden="1" x14ac:dyDescent="0.25">
      <c r="A13379" s="28">
        <v>44652</v>
      </c>
      <c r="B13379" s="27" t="s">
        <v>200</v>
      </c>
      <c r="C13379" s="27" t="s">
        <v>53</v>
      </c>
      <c r="D13379" s="27" t="s">
        <v>6</v>
      </c>
      <c r="E13379" s="27" t="s">
        <v>40</v>
      </c>
      <c r="F13379" s="29"/>
      <c r="G13379" s="30">
        <f t="shared" si="233"/>
        <v>106.01087847222209</v>
      </c>
    </row>
    <row r="13380" spans="1:7" hidden="1" x14ac:dyDescent="0.25">
      <c r="A13380" s="28">
        <v>44652</v>
      </c>
      <c r="B13380" s="27" t="s">
        <v>200</v>
      </c>
      <c r="C13380" s="27" t="s">
        <v>53</v>
      </c>
      <c r="D13380" s="27" t="s">
        <v>6</v>
      </c>
      <c r="E13380" s="27" t="s">
        <v>42</v>
      </c>
      <c r="F13380" s="29"/>
      <c r="G13380" s="30">
        <f t="shared" si="233"/>
        <v>106.01087847222209</v>
      </c>
    </row>
    <row r="13381" spans="1:7" hidden="1" x14ac:dyDescent="0.25">
      <c r="A13381" s="28">
        <v>44652</v>
      </c>
      <c r="B13381" s="27" t="s">
        <v>200</v>
      </c>
      <c r="C13381" s="27" t="s">
        <v>53</v>
      </c>
      <c r="D13381" s="27" t="s">
        <v>6</v>
      </c>
      <c r="E13381" s="27" t="s">
        <v>72</v>
      </c>
      <c r="F13381" s="29"/>
      <c r="G13381" s="30">
        <f t="shared" si="233"/>
        <v>106.01087847222209</v>
      </c>
    </row>
    <row r="13382" spans="1:7" hidden="1" x14ac:dyDescent="0.25">
      <c r="A13382" s="28">
        <v>44652</v>
      </c>
      <c r="B13382" s="27" t="s">
        <v>200</v>
      </c>
      <c r="C13382" s="27" t="s">
        <v>53</v>
      </c>
      <c r="D13382" s="27" t="s">
        <v>6</v>
      </c>
      <c r="E13382" s="27" t="s">
        <v>12</v>
      </c>
      <c r="F13382" s="29"/>
      <c r="G13382" s="30">
        <f t="shared" si="233"/>
        <v>106.01087847222209</v>
      </c>
    </row>
    <row r="13383" spans="1:7" hidden="1" x14ac:dyDescent="0.25">
      <c r="A13383" s="28">
        <v>44652</v>
      </c>
      <c r="B13383" s="27" t="s">
        <v>200</v>
      </c>
      <c r="C13383" s="27" t="s">
        <v>54</v>
      </c>
      <c r="D13383" s="27" t="s">
        <v>7</v>
      </c>
      <c r="E13383" s="27" t="s">
        <v>8</v>
      </c>
      <c r="F13383" s="29"/>
      <c r="G13383" s="30">
        <f t="shared" ref="G13383:G13410" si="234">730.85/28</f>
        <v>26.101785714285715</v>
      </c>
    </row>
    <row r="13384" spans="1:7" hidden="1" x14ac:dyDescent="0.25">
      <c r="A13384" s="28">
        <v>44652</v>
      </c>
      <c r="B13384" s="27" t="s">
        <v>200</v>
      </c>
      <c r="C13384" s="27" t="s">
        <v>54</v>
      </c>
      <c r="D13384" s="27" t="s">
        <v>7</v>
      </c>
      <c r="E13384" s="27" t="s">
        <v>9</v>
      </c>
      <c r="F13384" s="29"/>
      <c r="G13384" s="30">
        <f t="shared" si="234"/>
        <v>26.101785714285715</v>
      </c>
    </row>
    <row r="13385" spans="1:7" hidden="1" x14ac:dyDescent="0.25">
      <c r="A13385" s="28">
        <v>44652</v>
      </c>
      <c r="B13385" s="27" t="s">
        <v>200</v>
      </c>
      <c r="C13385" s="27" t="s">
        <v>54</v>
      </c>
      <c r="D13385" s="27" t="s">
        <v>7</v>
      </c>
      <c r="E13385" s="27" t="s">
        <v>22</v>
      </c>
      <c r="F13385" s="29"/>
      <c r="G13385" s="30">
        <f t="shared" si="234"/>
        <v>26.101785714285715</v>
      </c>
    </row>
    <row r="13386" spans="1:7" hidden="1" x14ac:dyDescent="0.25">
      <c r="A13386" s="28">
        <v>44652</v>
      </c>
      <c r="B13386" s="27" t="s">
        <v>200</v>
      </c>
      <c r="C13386" s="27" t="s">
        <v>54</v>
      </c>
      <c r="D13386" s="27" t="s">
        <v>7</v>
      </c>
      <c r="E13386" s="27" t="s">
        <v>39</v>
      </c>
      <c r="F13386" s="29"/>
      <c r="G13386" s="30">
        <f t="shared" si="234"/>
        <v>26.101785714285715</v>
      </c>
    </row>
    <row r="13387" spans="1:7" hidden="1" x14ac:dyDescent="0.25">
      <c r="A13387" s="28">
        <v>44652</v>
      </c>
      <c r="B13387" s="27" t="s">
        <v>200</v>
      </c>
      <c r="C13387" s="27" t="s">
        <v>54</v>
      </c>
      <c r="D13387" s="27" t="s">
        <v>7</v>
      </c>
      <c r="E13387" s="27" t="s">
        <v>64</v>
      </c>
      <c r="F13387" s="29"/>
      <c r="G13387" s="30">
        <f t="shared" si="234"/>
        <v>26.101785714285715</v>
      </c>
    </row>
    <row r="13388" spans="1:7" hidden="1" x14ac:dyDescent="0.25">
      <c r="A13388" s="28">
        <v>44652</v>
      </c>
      <c r="B13388" s="27" t="s">
        <v>200</v>
      </c>
      <c r="C13388" s="27" t="s">
        <v>54</v>
      </c>
      <c r="D13388" s="27" t="s">
        <v>7</v>
      </c>
      <c r="E13388" s="27" t="s">
        <v>21</v>
      </c>
      <c r="F13388" s="29"/>
      <c r="G13388" s="30">
        <f t="shared" si="234"/>
        <v>26.101785714285715</v>
      </c>
    </row>
    <row r="13389" spans="1:7" hidden="1" x14ac:dyDescent="0.25">
      <c r="A13389" s="28">
        <v>44652</v>
      </c>
      <c r="B13389" s="27" t="s">
        <v>200</v>
      </c>
      <c r="C13389" s="27" t="s">
        <v>54</v>
      </c>
      <c r="D13389" s="27" t="s">
        <v>7</v>
      </c>
      <c r="E13389" s="27" t="s">
        <v>41</v>
      </c>
      <c r="F13389" s="29"/>
      <c r="G13389" s="30">
        <f t="shared" si="234"/>
        <v>26.101785714285715</v>
      </c>
    </row>
    <row r="13390" spans="1:7" hidden="1" x14ac:dyDescent="0.25">
      <c r="A13390" s="28">
        <v>44652</v>
      </c>
      <c r="B13390" s="27" t="s">
        <v>200</v>
      </c>
      <c r="C13390" s="27" t="s">
        <v>54</v>
      </c>
      <c r="D13390" s="27" t="s">
        <v>7</v>
      </c>
      <c r="E13390" s="27" t="s">
        <v>10</v>
      </c>
      <c r="F13390" s="29"/>
      <c r="G13390" s="30">
        <f t="shared" si="234"/>
        <v>26.101785714285715</v>
      </c>
    </row>
    <row r="13391" spans="1:7" hidden="1" x14ac:dyDescent="0.25">
      <c r="A13391" s="28">
        <v>44652</v>
      </c>
      <c r="B13391" s="27" t="s">
        <v>200</v>
      </c>
      <c r="C13391" s="27" t="s">
        <v>54</v>
      </c>
      <c r="D13391" s="27" t="s">
        <v>7</v>
      </c>
      <c r="E13391" s="27" t="s">
        <v>11</v>
      </c>
      <c r="F13391" s="29"/>
      <c r="G13391" s="30">
        <f t="shared" si="234"/>
        <v>26.101785714285715</v>
      </c>
    </row>
    <row r="13392" spans="1:7" hidden="1" x14ac:dyDescent="0.25">
      <c r="A13392" s="28">
        <v>44652</v>
      </c>
      <c r="B13392" s="27" t="s">
        <v>200</v>
      </c>
      <c r="C13392" s="27" t="s">
        <v>54</v>
      </c>
      <c r="D13392" s="27" t="s">
        <v>7</v>
      </c>
      <c r="E13392" s="27" t="s">
        <v>12</v>
      </c>
      <c r="F13392" s="29"/>
      <c r="G13392" s="30">
        <f t="shared" si="234"/>
        <v>26.101785714285715</v>
      </c>
    </row>
    <row r="13393" spans="1:7" hidden="1" x14ac:dyDescent="0.25">
      <c r="A13393" s="28">
        <v>44652</v>
      </c>
      <c r="B13393" s="27" t="s">
        <v>200</v>
      </c>
      <c r="C13393" s="27" t="s">
        <v>54</v>
      </c>
      <c r="D13393" s="27" t="s">
        <v>7</v>
      </c>
      <c r="E13393" s="27" t="s">
        <v>13</v>
      </c>
      <c r="F13393" s="29"/>
      <c r="G13393" s="30">
        <f t="shared" si="234"/>
        <v>26.101785714285715</v>
      </c>
    </row>
    <row r="13394" spans="1:7" hidden="1" x14ac:dyDescent="0.25">
      <c r="A13394" s="28">
        <v>44652</v>
      </c>
      <c r="B13394" s="27" t="s">
        <v>200</v>
      </c>
      <c r="C13394" s="27" t="s">
        <v>54</v>
      </c>
      <c r="D13394" s="27" t="s">
        <v>7</v>
      </c>
      <c r="E13394" s="27" t="s">
        <v>14</v>
      </c>
      <c r="F13394" s="29"/>
      <c r="G13394" s="30">
        <f t="shared" si="234"/>
        <v>26.101785714285715</v>
      </c>
    </row>
    <row r="13395" spans="1:7" hidden="1" x14ac:dyDescent="0.25">
      <c r="A13395" s="28">
        <v>44652</v>
      </c>
      <c r="B13395" s="27" t="s">
        <v>200</v>
      </c>
      <c r="C13395" s="27" t="s">
        <v>54</v>
      </c>
      <c r="D13395" s="27" t="s">
        <v>7</v>
      </c>
      <c r="E13395" s="27" t="s">
        <v>15</v>
      </c>
      <c r="F13395" s="29"/>
      <c r="G13395" s="30">
        <f t="shared" si="234"/>
        <v>26.101785714285715</v>
      </c>
    </row>
    <row r="13396" spans="1:7" hidden="1" x14ac:dyDescent="0.25">
      <c r="A13396" s="28">
        <v>44652</v>
      </c>
      <c r="B13396" s="27" t="s">
        <v>200</v>
      </c>
      <c r="C13396" s="27" t="s">
        <v>54</v>
      </c>
      <c r="D13396" s="27" t="s">
        <v>7</v>
      </c>
      <c r="E13396" s="27" t="s">
        <v>16</v>
      </c>
      <c r="F13396" s="29"/>
      <c r="G13396" s="30">
        <f t="shared" si="234"/>
        <v>26.101785714285715</v>
      </c>
    </row>
    <row r="13397" spans="1:7" hidden="1" x14ac:dyDescent="0.25">
      <c r="A13397" s="28">
        <v>44652</v>
      </c>
      <c r="B13397" s="27" t="s">
        <v>200</v>
      </c>
      <c r="C13397" s="27" t="s">
        <v>54</v>
      </c>
      <c r="D13397" s="27" t="s">
        <v>7</v>
      </c>
      <c r="E13397" s="27" t="s">
        <v>17</v>
      </c>
      <c r="F13397" s="29"/>
      <c r="G13397" s="30">
        <f t="shared" si="234"/>
        <v>26.101785714285715</v>
      </c>
    </row>
    <row r="13398" spans="1:7" hidden="1" x14ac:dyDescent="0.25">
      <c r="A13398" s="28">
        <v>44652</v>
      </c>
      <c r="B13398" s="27" t="s">
        <v>200</v>
      </c>
      <c r="C13398" s="27" t="s">
        <v>54</v>
      </c>
      <c r="D13398" s="27" t="s">
        <v>7</v>
      </c>
      <c r="E13398" s="27" t="s">
        <v>18</v>
      </c>
      <c r="F13398" s="29"/>
      <c r="G13398" s="30">
        <f t="shared" si="234"/>
        <v>26.101785714285715</v>
      </c>
    </row>
    <row r="13399" spans="1:7" hidden="1" x14ac:dyDescent="0.25">
      <c r="A13399" s="28">
        <v>44652</v>
      </c>
      <c r="B13399" s="27" t="s">
        <v>200</v>
      </c>
      <c r="C13399" s="27" t="s">
        <v>54</v>
      </c>
      <c r="D13399" s="27" t="s">
        <v>7</v>
      </c>
      <c r="E13399" s="27" t="s">
        <v>19</v>
      </c>
      <c r="F13399" s="29"/>
      <c r="G13399" s="30">
        <f t="shared" si="234"/>
        <v>26.101785714285715</v>
      </c>
    </row>
    <row r="13400" spans="1:7" hidden="1" x14ac:dyDescent="0.25">
      <c r="A13400" s="28">
        <v>44652</v>
      </c>
      <c r="B13400" s="27" t="s">
        <v>200</v>
      </c>
      <c r="C13400" s="27" t="s">
        <v>54</v>
      </c>
      <c r="D13400" s="27" t="s">
        <v>7</v>
      </c>
      <c r="E13400" s="27" t="s">
        <v>20</v>
      </c>
      <c r="F13400" s="29"/>
      <c r="G13400" s="30">
        <f t="shared" si="234"/>
        <v>26.101785714285715</v>
      </c>
    </row>
    <row r="13401" spans="1:7" hidden="1" x14ac:dyDescent="0.25">
      <c r="A13401" s="28">
        <v>44652</v>
      </c>
      <c r="B13401" s="27" t="s">
        <v>200</v>
      </c>
      <c r="C13401" s="27" t="s">
        <v>54</v>
      </c>
      <c r="D13401" s="27" t="s">
        <v>7</v>
      </c>
      <c r="E13401" s="27" t="s">
        <v>38</v>
      </c>
      <c r="F13401" s="29"/>
      <c r="G13401" s="30">
        <f t="shared" si="234"/>
        <v>26.101785714285715</v>
      </c>
    </row>
    <row r="13402" spans="1:7" hidden="1" x14ac:dyDescent="0.25">
      <c r="A13402" s="28">
        <v>44652</v>
      </c>
      <c r="B13402" s="27" t="s">
        <v>200</v>
      </c>
      <c r="C13402" s="27" t="s">
        <v>54</v>
      </c>
      <c r="D13402" s="27" t="s">
        <v>7</v>
      </c>
      <c r="E13402" s="27" t="s">
        <v>23</v>
      </c>
      <c r="F13402" s="29"/>
      <c r="G13402" s="30">
        <f t="shared" si="234"/>
        <v>26.101785714285715</v>
      </c>
    </row>
    <row r="13403" spans="1:7" hidden="1" x14ac:dyDescent="0.25">
      <c r="A13403" s="28">
        <v>44652</v>
      </c>
      <c r="B13403" s="27" t="s">
        <v>200</v>
      </c>
      <c r="C13403" s="27" t="s">
        <v>54</v>
      </c>
      <c r="D13403" s="27" t="s">
        <v>7</v>
      </c>
      <c r="E13403" s="27" t="s">
        <v>40</v>
      </c>
      <c r="F13403" s="29"/>
      <c r="G13403" s="30">
        <f t="shared" si="234"/>
        <v>26.101785714285715</v>
      </c>
    </row>
    <row r="13404" spans="1:7" hidden="1" x14ac:dyDescent="0.25">
      <c r="A13404" s="28">
        <v>44652</v>
      </c>
      <c r="B13404" s="27" t="s">
        <v>200</v>
      </c>
      <c r="C13404" s="27" t="s">
        <v>54</v>
      </c>
      <c r="D13404" s="27" t="s">
        <v>7</v>
      </c>
      <c r="E13404" s="27" t="s">
        <v>42</v>
      </c>
      <c r="F13404" s="29"/>
      <c r="G13404" s="30">
        <f t="shared" si="234"/>
        <v>26.101785714285715</v>
      </c>
    </row>
    <row r="13405" spans="1:7" hidden="1" x14ac:dyDescent="0.25">
      <c r="A13405" s="28">
        <v>44652</v>
      </c>
      <c r="B13405" s="27" t="s">
        <v>200</v>
      </c>
      <c r="C13405" s="27" t="s">
        <v>54</v>
      </c>
      <c r="D13405" s="27" t="s">
        <v>7</v>
      </c>
      <c r="E13405" s="27" t="s">
        <v>43</v>
      </c>
      <c r="F13405" s="29"/>
      <c r="G13405" s="30">
        <f t="shared" si="234"/>
        <v>26.101785714285715</v>
      </c>
    </row>
    <row r="13406" spans="1:7" hidden="1" x14ac:dyDescent="0.25">
      <c r="A13406" s="28">
        <v>44652</v>
      </c>
      <c r="B13406" s="27" t="s">
        <v>200</v>
      </c>
      <c r="C13406" s="27" t="s">
        <v>54</v>
      </c>
      <c r="D13406" s="27" t="s">
        <v>7</v>
      </c>
      <c r="E13406" s="27" t="s">
        <v>72</v>
      </c>
      <c r="F13406" s="29"/>
      <c r="G13406" s="30">
        <f t="shared" si="234"/>
        <v>26.101785714285715</v>
      </c>
    </row>
    <row r="13407" spans="1:7" hidden="1" x14ac:dyDescent="0.25">
      <c r="A13407" s="28">
        <v>44652</v>
      </c>
      <c r="B13407" s="27" t="s">
        <v>200</v>
      </c>
      <c r="C13407" s="27" t="s">
        <v>54</v>
      </c>
      <c r="D13407" s="27" t="s">
        <v>7</v>
      </c>
      <c r="E13407" s="27" t="s">
        <v>206</v>
      </c>
      <c r="F13407" s="29"/>
      <c r="G13407" s="30">
        <f t="shared" si="234"/>
        <v>26.101785714285715</v>
      </c>
    </row>
    <row r="13408" spans="1:7" hidden="1" x14ac:dyDescent="0.25">
      <c r="A13408" s="28">
        <v>44652</v>
      </c>
      <c r="B13408" s="27" t="s">
        <v>200</v>
      </c>
      <c r="C13408" s="27" t="s">
        <v>54</v>
      </c>
      <c r="D13408" s="27" t="s">
        <v>7</v>
      </c>
      <c r="E13408" s="27" t="s">
        <v>67</v>
      </c>
      <c r="F13408" s="29"/>
      <c r="G13408" s="30">
        <f t="shared" si="234"/>
        <v>26.101785714285715</v>
      </c>
    </row>
    <row r="13409" spans="1:7" hidden="1" x14ac:dyDescent="0.25">
      <c r="A13409" s="28">
        <v>44652</v>
      </c>
      <c r="B13409" s="27" t="s">
        <v>200</v>
      </c>
      <c r="C13409" s="27" t="s">
        <v>54</v>
      </c>
      <c r="D13409" s="27" t="s">
        <v>7</v>
      </c>
      <c r="E13409" s="27" t="s">
        <v>68</v>
      </c>
      <c r="F13409" s="29"/>
      <c r="G13409" s="30">
        <f t="shared" si="234"/>
        <v>26.101785714285715</v>
      </c>
    </row>
    <row r="13410" spans="1:7" hidden="1" x14ac:dyDescent="0.25">
      <c r="A13410" s="28">
        <v>44652</v>
      </c>
      <c r="B13410" s="27" t="s">
        <v>200</v>
      </c>
      <c r="C13410" s="27" t="s">
        <v>54</v>
      </c>
      <c r="D13410" s="27" t="s">
        <v>7</v>
      </c>
      <c r="E13410" s="27" t="s">
        <v>74</v>
      </c>
      <c r="F13410" s="29"/>
      <c r="G13410" s="30">
        <f t="shared" si="234"/>
        <v>26.101785714285715</v>
      </c>
    </row>
    <row r="13411" spans="1:7" hidden="1" x14ac:dyDescent="0.25">
      <c r="A13411" s="28">
        <v>44652</v>
      </c>
      <c r="B13411" s="27" t="s">
        <v>200</v>
      </c>
      <c r="C13411" s="27" t="s">
        <v>55</v>
      </c>
      <c r="D13411" s="27" t="s">
        <v>6</v>
      </c>
      <c r="E13411" s="27" t="s">
        <v>8</v>
      </c>
      <c r="F13411" s="29"/>
      <c r="G13411" s="30">
        <f t="shared" ref="G13411:G13434" si="235">40445.1125777778/24</f>
        <v>1685.2130240740751</v>
      </c>
    </row>
    <row r="13412" spans="1:7" hidden="1" x14ac:dyDescent="0.25">
      <c r="A13412" s="28">
        <v>44652</v>
      </c>
      <c r="B13412" s="27" t="s">
        <v>200</v>
      </c>
      <c r="C13412" s="27" t="s">
        <v>55</v>
      </c>
      <c r="D13412" s="27" t="s">
        <v>6</v>
      </c>
      <c r="E13412" s="27" t="s">
        <v>9</v>
      </c>
      <c r="F13412" s="29"/>
      <c r="G13412" s="30">
        <f t="shared" si="235"/>
        <v>1685.2130240740751</v>
      </c>
    </row>
    <row r="13413" spans="1:7" hidden="1" x14ac:dyDescent="0.25">
      <c r="A13413" s="28">
        <v>44652</v>
      </c>
      <c r="B13413" s="27" t="s">
        <v>200</v>
      </c>
      <c r="C13413" s="27" t="s">
        <v>55</v>
      </c>
      <c r="D13413" s="27" t="s">
        <v>6</v>
      </c>
      <c r="E13413" s="27" t="s">
        <v>22</v>
      </c>
      <c r="F13413" s="29"/>
      <c r="G13413" s="30">
        <f t="shared" si="235"/>
        <v>1685.2130240740751</v>
      </c>
    </row>
    <row r="13414" spans="1:7" hidden="1" x14ac:dyDescent="0.25">
      <c r="A13414" s="28">
        <v>44652</v>
      </c>
      <c r="B13414" s="27" t="s">
        <v>200</v>
      </c>
      <c r="C13414" s="27" t="s">
        <v>55</v>
      </c>
      <c r="D13414" s="27" t="s">
        <v>6</v>
      </c>
      <c r="E13414" s="27" t="s">
        <v>39</v>
      </c>
      <c r="F13414" s="29"/>
      <c r="G13414" s="30">
        <f t="shared" si="235"/>
        <v>1685.2130240740751</v>
      </c>
    </row>
    <row r="13415" spans="1:7" hidden="1" x14ac:dyDescent="0.25">
      <c r="A13415" s="28">
        <v>44652</v>
      </c>
      <c r="B13415" s="27" t="s">
        <v>200</v>
      </c>
      <c r="C13415" s="27" t="s">
        <v>55</v>
      </c>
      <c r="D13415" s="27" t="s">
        <v>6</v>
      </c>
      <c r="E13415" s="27" t="s">
        <v>64</v>
      </c>
      <c r="F13415" s="29"/>
      <c r="G13415" s="30">
        <f t="shared" si="235"/>
        <v>1685.2130240740751</v>
      </c>
    </row>
    <row r="13416" spans="1:7" hidden="1" x14ac:dyDescent="0.25">
      <c r="A13416" s="28">
        <v>44652</v>
      </c>
      <c r="B13416" s="27" t="s">
        <v>200</v>
      </c>
      <c r="C13416" s="27" t="s">
        <v>55</v>
      </c>
      <c r="D13416" s="27" t="s">
        <v>6</v>
      </c>
      <c r="E13416" s="27" t="s">
        <v>21</v>
      </c>
      <c r="F13416" s="29"/>
      <c r="G13416" s="30">
        <f t="shared" si="235"/>
        <v>1685.2130240740751</v>
      </c>
    </row>
    <row r="13417" spans="1:7" hidden="1" x14ac:dyDescent="0.25">
      <c r="A13417" s="28">
        <v>44652</v>
      </c>
      <c r="B13417" s="27" t="s">
        <v>200</v>
      </c>
      <c r="C13417" s="27" t="s">
        <v>55</v>
      </c>
      <c r="D13417" s="27" t="s">
        <v>6</v>
      </c>
      <c r="E13417" s="27" t="s">
        <v>41</v>
      </c>
      <c r="F13417" s="29"/>
      <c r="G13417" s="30">
        <f t="shared" si="235"/>
        <v>1685.2130240740751</v>
      </c>
    </row>
    <row r="13418" spans="1:7" hidden="1" x14ac:dyDescent="0.25">
      <c r="A13418" s="28">
        <v>44652</v>
      </c>
      <c r="B13418" s="27" t="s">
        <v>200</v>
      </c>
      <c r="C13418" s="27" t="s">
        <v>55</v>
      </c>
      <c r="D13418" s="27" t="s">
        <v>6</v>
      </c>
      <c r="E13418" s="27" t="s">
        <v>10</v>
      </c>
      <c r="F13418" s="29"/>
      <c r="G13418" s="30">
        <f t="shared" si="235"/>
        <v>1685.2130240740751</v>
      </c>
    </row>
    <row r="13419" spans="1:7" hidden="1" x14ac:dyDescent="0.25">
      <c r="A13419" s="28">
        <v>44652</v>
      </c>
      <c r="B13419" s="27" t="s">
        <v>200</v>
      </c>
      <c r="C13419" s="27" t="s">
        <v>55</v>
      </c>
      <c r="D13419" s="27" t="s">
        <v>6</v>
      </c>
      <c r="E13419" s="27" t="s">
        <v>11</v>
      </c>
      <c r="F13419" s="29"/>
      <c r="G13419" s="30">
        <f t="shared" si="235"/>
        <v>1685.2130240740751</v>
      </c>
    </row>
    <row r="13420" spans="1:7" hidden="1" x14ac:dyDescent="0.25">
      <c r="A13420" s="28">
        <v>44652</v>
      </c>
      <c r="B13420" s="27" t="s">
        <v>200</v>
      </c>
      <c r="C13420" s="27" t="s">
        <v>55</v>
      </c>
      <c r="D13420" s="27" t="s">
        <v>6</v>
      </c>
      <c r="E13420" s="27" t="s">
        <v>12</v>
      </c>
      <c r="F13420" s="29"/>
      <c r="G13420" s="30">
        <f t="shared" si="235"/>
        <v>1685.2130240740751</v>
      </c>
    </row>
    <row r="13421" spans="1:7" hidden="1" x14ac:dyDescent="0.25">
      <c r="A13421" s="28">
        <v>44652</v>
      </c>
      <c r="B13421" s="27" t="s">
        <v>200</v>
      </c>
      <c r="C13421" s="27" t="s">
        <v>55</v>
      </c>
      <c r="D13421" s="27" t="s">
        <v>6</v>
      </c>
      <c r="E13421" s="27" t="s">
        <v>13</v>
      </c>
      <c r="F13421" s="29"/>
      <c r="G13421" s="30">
        <f t="shared" si="235"/>
        <v>1685.2130240740751</v>
      </c>
    </row>
    <row r="13422" spans="1:7" hidden="1" x14ac:dyDescent="0.25">
      <c r="A13422" s="28">
        <v>44652</v>
      </c>
      <c r="B13422" s="27" t="s">
        <v>200</v>
      </c>
      <c r="C13422" s="27" t="s">
        <v>55</v>
      </c>
      <c r="D13422" s="27" t="s">
        <v>6</v>
      </c>
      <c r="E13422" s="27" t="s">
        <v>14</v>
      </c>
      <c r="F13422" s="29"/>
      <c r="G13422" s="30">
        <f t="shared" si="235"/>
        <v>1685.2130240740751</v>
      </c>
    </row>
    <row r="13423" spans="1:7" hidden="1" x14ac:dyDescent="0.25">
      <c r="A13423" s="28">
        <v>44652</v>
      </c>
      <c r="B13423" s="27" t="s">
        <v>200</v>
      </c>
      <c r="C13423" s="27" t="s">
        <v>55</v>
      </c>
      <c r="D13423" s="27" t="s">
        <v>6</v>
      </c>
      <c r="E13423" s="27" t="s">
        <v>15</v>
      </c>
      <c r="F13423" s="29"/>
      <c r="G13423" s="30">
        <f t="shared" si="235"/>
        <v>1685.2130240740751</v>
      </c>
    </row>
    <row r="13424" spans="1:7" hidden="1" x14ac:dyDescent="0.25">
      <c r="A13424" s="28">
        <v>44652</v>
      </c>
      <c r="B13424" s="27" t="s">
        <v>200</v>
      </c>
      <c r="C13424" s="27" t="s">
        <v>55</v>
      </c>
      <c r="D13424" s="27" t="s">
        <v>6</v>
      </c>
      <c r="E13424" s="27" t="s">
        <v>16</v>
      </c>
      <c r="F13424" s="29"/>
      <c r="G13424" s="30">
        <f t="shared" si="235"/>
        <v>1685.2130240740751</v>
      </c>
    </row>
    <row r="13425" spans="1:7" hidden="1" x14ac:dyDescent="0.25">
      <c r="A13425" s="28">
        <v>44652</v>
      </c>
      <c r="B13425" s="27" t="s">
        <v>200</v>
      </c>
      <c r="C13425" s="27" t="s">
        <v>55</v>
      </c>
      <c r="D13425" s="27" t="s">
        <v>6</v>
      </c>
      <c r="E13425" s="27" t="s">
        <v>17</v>
      </c>
      <c r="F13425" s="29"/>
      <c r="G13425" s="30">
        <f t="shared" si="235"/>
        <v>1685.2130240740751</v>
      </c>
    </row>
    <row r="13426" spans="1:7" hidden="1" x14ac:dyDescent="0.25">
      <c r="A13426" s="28">
        <v>44652</v>
      </c>
      <c r="B13426" s="27" t="s">
        <v>200</v>
      </c>
      <c r="C13426" s="27" t="s">
        <v>55</v>
      </c>
      <c r="D13426" s="27" t="s">
        <v>6</v>
      </c>
      <c r="E13426" s="27" t="s">
        <v>18</v>
      </c>
      <c r="F13426" s="29"/>
      <c r="G13426" s="30">
        <f t="shared" si="235"/>
        <v>1685.2130240740751</v>
      </c>
    </row>
    <row r="13427" spans="1:7" hidden="1" x14ac:dyDescent="0.25">
      <c r="A13427" s="28">
        <v>44652</v>
      </c>
      <c r="B13427" s="27" t="s">
        <v>200</v>
      </c>
      <c r="C13427" s="27" t="s">
        <v>55</v>
      </c>
      <c r="D13427" s="27" t="s">
        <v>6</v>
      </c>
      <c r="E13427" s="27" t="s">
        <v>19</v>
      </c>
      <c r="F13427" s="29"/>
      <c r="G13427" s="30">
        <f t="shared" si="235"/>
        <v>1685.2130240740751</v>
      </c>
    </row>
    <row r="13428" spans="1:7" hidden="1" x14ac:dyDescent="0.25">
      <c r="A13428" s="28">
        <v>44652</v>
      </c>
      <c r="B13428" s="27" t="s">
        <v>200</v>
      </c>
      <c r="C13428" s="27" t="s">
        <v>55</v>
      </c>
      <c r="D13428" s="27" t="s">
        <v>6</v>
      </c>
      <c r="E13428" s="27" t="s">
        <v>20</v>
      </c>
      <c r="F13428" s="29"/>
      <c r="G13428" s="30">
        <f t="shared" si="235"/>
        <v>1685.2130240740751</v>
      </c>
    </row>
    <row r="13429" spans="1:7" hidden="1" x14ac:dyDescent="0.25">
      <c r="A13429" s="28">
        <v>44652</v>
      </c>
      <c r="B13429" s="27" t="s">
        <v>200</v>
      </c>
      <c r="C13429" s="27" t="s">
        <v>55</v>
      </c>
      <c r="D13429" s="27" t="s">
        <v>6</v>
      </c>
      <c r="E13429" s="27" t="s">
        <v>38</v>
      </c>
      <c r="F13429" s="29"/>
      <c r="G13429" s="30">
        <f t="shared" si="235"/>
        <v>1685.2130240740751</v>
      </c>
    </row>
    <row r="13430" spans="1:7" hidden="1" x14ac:dyDescent="0.25">
      <c r="A13430" s="28">
        <v>44652</v>
      </c>
      <c r="B13430" s="27" t="s">
        <v>200</v>
      </c>
      <c r="C13430" s="27" t="s">
        <v>55</v>
      </c>
      <c r="D13430" s="27" t="s">
        <v>6</v>
      </c>
      <c r="E13430" s="27" t="s">
        <v>23</v>
      </c>
      <c r="F13430" s="29"/>
      <c r="G13430" s="30">
        <f t="shared" si="235"/>
        <v>1685.2130240740751</v>
      </c>
    </row>
    <row r="13431" spans="1:7" hidden="1" x14ac:dyDescent="0.25">
      <c r="A13431" s="28">
        <v>44652</v>
      </c>
      <c r="B13431" s="27" t="s">
        <v>200</v>
      </c>
      <c r="C13431" s="27" t="s">
        <v>55</v>
      </c>
      <c r="D13431" s="27" t="s">
        <v>6</v>
      </c>
      <c r="E13431" s="27" t="s">
        <v>40</v>
      </c>
      <c r="F13431" s="29"/>
      <c r="G13431" s="30">
        <f t="shared" si="235"/>
        <v>1685.2130240740751</v>
      </c>
    </row>
    <row r="13432" spans="1:7" hidden="1" x14ac:dyDescent="0.25">
      <c r="A13432" s="28">
        <v>44652</v>
      </c>
      <c r="B13432" s="27" t="s">
        <v>200</v>
      </c>
      <c r="C13432" s="27" t="s">
        <v>55</v>
      </c>
      <c r="D13432" s="27" t="s">
        <v>6</v>
      </c>
      <c r="E13432" s="27" t="s">
        <v>42</v>
      </c>
      <c r="F13432" s="29"/>
      <c r="G13432" s="30">
        <f t="shared" si="235"/>
        <v>1685.2130240740751</v>
      </c>
    </row>
    <row r="13433" spans="1:7" hidden="1" x14ac:dyDescent="0.25">
      <c r="A13433" s="28">
        <v>44652</v>
      </c>
      <c r="B13433" s="27" t="s">
        <v>200</v>
      </c>
      <c r="C13433" s="27" t="s">
        <v>55</v>
      </c>
      <c r="D13433" s="27" t="s">
        <v>6</v>
      </c>
      <c r="E13433" s="27" t="s">
        <v>72</v>
      </c>
      <c r="F13433" s="29"/>
      <c r="G13433" s="30">
        <f t="shared" si="235"/>
        <v>1685.2130240740751</v>
      </c>
    </row>
    <row r="13434" spans="1:7" hidden="1" x14ac:dyDescent="0.25">
      <c r="A13434" s="28">
        <v>44652</v>
      </c>
      <c r="B13434" s="27" t="s">
        <v>200</v>
      </c>
      <c r="C13434" s="27" t="s">
        <v>55</v>
      </c>
      <c r="D13434" s="27" t="s">
        <v>6</v>
      </c>
      <c r="E13434" s="27" t="s">
        <v>12</v>
      </c>
      <c r="F13434" s="29"/>
      <c r="G13434" s="30">
        <f t="shared" si="235"/>
        <v>1685.2130240740751</v>
      </c>
    </row>
    <row r="13435" spans="1:7" hidden="1" x14ac:dyDescent="0.25">
      <c r="A13435" s="28">
        <v>44652</v>
      </c>
      <c r="B13435" s="27" t="s">
        <v>200</v>
      </c>
      <c r="C13435" s="27" t="s">
        <v>183</v>
      </c>
      <c r="D13435" s="27" t="s">
        <v>7</v>
      </c>
      <c r="E13435" s="27" t="s">
        <v>8</v>
      </c>
      <c r="F13435" s="29"/>
      <c r="G13435" s="30">
        <f t="shared" ref="G13435:G13462" si="236">5464.01/28</f>
        <v>195.14321428571429</v>
      </c>
    </row>
    <row r="13436" spans="1:7" hidden="1" x14ac:dyDescent="0.25">
      <c r="A13436" s="28">
        <v>44652</v>
      </c>
      <c r="B13436" s="27" t="s">
        <v>200</v>
      </c>
      <c r="C13436" s="27" t="s">
        <v>183</v>
      </c>
      <c r="D13436" s="27" t="s">
        <v>7</v>
      </c>
      <c r="E13436" s="27" t="s">
        <v>9</v>
      </c>
      <c r="F13436" s="29"/>
      <c r="G13436" s="30">
        <f t="shared" si="236"/>
        <v>195.14321428571429</v>
      </c>
    </row>
    <row r="13437" spans="1:7" hidden="1" x14ac:dyDescent="0.25">
      <c r="A13437" s="28">
        <v>44652</v>
      </c>
      <c r="B13437" s="27" t="s">
        <v>200</v>
      </c>
      <c r="C13437" s="27" t="s">
        <v>183</v>
      </c>
      <c r="D13437" s="27" t="s">
        <v>7</v>
      </c>
      <c r="E13437" s="27" t="s">
        <v>22</v>
      </c>
      <c r="F13437" s="29"/>
      <c r="G13437" s="30">
        <f t="shared" si="236"/>
        <v>195.14321428571429</v>
      </c>
    </row>
    <row r="13438" spans="1:7" hidden="1" x14ac:dyDescent="0.25">
      <c r="A13438" s="28">
        <v>44652</v>
      </c>
      <c r="B13438" s="27" t="s">
        <v>200</v>
      </c>
      <c r="C13438" s="27" t="s">
        <v>183</v>
      </c>
      <c r="D13438" s="27" t="s">
        <v>7</v>
      </c>
      <c r="E13438" s="27" t="s">
        <v>39</v>
      </c>
      <c r="F13438" s="29"/>
      <c r="G13438" s="30">
        <f t="shared" si="236"/>
        <v>195.14321428571429</v>
      </c>
    </row>
    <row r="13439" spans="1:7" hidden="1" x14ac:dyDescent="0.25">
      <c r="A13439" s="28">
        <v>44652</v>
      </c>
      <c r="B13439" s="27" t="s">
        <v>200</v>
      </c>
      <c r="C13439" s="27" t="s">
        <v>183</v>
      </c>
      <c r="D13439" s="27" t="s">
        <v>7</v>
      </c>
      <c r="E13439" s="27" t="s">
        <v>64</v>
      </c>
      <c r="F13439" s="29"/>
      <c r="G13439" s="30">
        <f t="shared" si="236"/>
        <v>195.14321428571429</v>
      </c>
    </row>
    <row r="13440" spans="1:7" hidden="1" x14ac:dyDescent="0.25">
      <c r="A13440" s="28">
        <v>44652</v>
      </c>
      <c r="B13440" s="27" t="s">
        <v>200</v>
      </c>
      <c r="C13440" s="27" t="s">
        <v>183</v>
      </c>
      <c r="D13440" s="27" t="s">
        <v>7</v>
      </c>
      <c r="E13440" s="27" t="s">
        <v>21</v>
      </c>
      <c r="F13440" s="29"/>
      <c r="G13440" s="30">
        <f t="shared" si="236"/>
        <v>195.14321428571429</v>
      </c>
    </row>
    <row r="13441" spans="1:7" hidden="1" x14ac:dyDescent="0.25">
      <c r="A13441" s="28">
        <v>44652</v>
      </c>
      <c r="B13441" s="27" t="s">
        <v>200</v>
      </c>
      <c r="C13441" s="27" t="s">
        <v>183</v>
      </c>
      <c r="D13441" s="27" t="s">
        <v>7</v>
      </c>
      <c r="E13441" s="27" t="s">
        <v>41</v>
      </c>
      <c r="F13441" s="29"/>
      <c r="G13441" s="30">
        <f t="shared" si="236"/>
        <v>195.14321428571429</v>
      </c>
    </row>
    <row r="13442" spans="1:7" hidden="1" x14ac:dyDescent="0.25">
      <c r="A13442" s="28">
        <v>44652</v>
      </c>
      <c r="B13442" s="27" t="s">
        <v>200</v>
      </c>
      <c r="C13442" s="27" t="s">
        <v>183</v>
      </c>
      <c r="D13442" s="27" t="s">
        <v>7</v>
      </c>
      <c r="E13442" s="27" t="s">
        <v>10</v>
      </c>
      <c r="F13442" s="29"/>
      <c r="G13442" s="30">
        <f t="shared" si="236"/>
        <v>195.14321428571429</v>
      </c>
    </row>
    <row r="13443" spans="1:7" hidden="1" x14ac:dyDescent="0.25">
      <c r="A13443" s="28">
        <v>44652</v>
      </c>
      <c r="B13443" s="27" t="s">
        <v>200</v>
      </c>
      <c r="C13443" s="27" t="s">
        <v>183</v>
      </c>
      <c r="D13443" s="27" t="s">
        <v>7</v>
      </c>
      <c r="E13443" s="27" t="s">
        <v>11</v>
      </c>
      <c r="F13443" s="29"/>
      <c r="G13443" s="30">
        <f t="shared" si="236"/>
        <v>195.14321428571429</v>
      </c>
    </row>
    <row r="13444" spans="1:7" hidden="1" x14ac:dyDescent="0.25">
      <c r="A13444" s="28">
        <v>44652</v>
      </c>
      <c r="B13444" s="27" t="s">
        <v>200</v>
      </c>
      <c r="C13444" s="27" t="s">
        <v>183</v>
      </c>
      <c r="D13444" s="27" t="s">
        <v>7</v>
      </c>
      <c r="E13444" s="27" t="s">
        <v>12</v>
      </c>
      <c r="F13444" s="29"/>
      <c r="G13444" s="30">
        <f t="shared" si="236"/>
        <v>195.14321428571429</v>
      </c>
    </row>
    <row r="13445" spans="1:7" hidden="1" x14ac:dyDescent="0.25">
      <c r="A13445" s="28">
        <v>44652</v>
      </c>
      <c r="B13445" s="27" t="s">
        <v>200</v>
      </c>
      <c r="C13445" s="27" t="s">
        <v>183</v>
      </c>
      <c r="D13445" s="27" t="s">
        <v>7</v>
      </c>
      <c r="E13445" s="27" t="s">
        <v>13</v>
      </c>
      <c r="F13445" s="29"/>
      <c r="G13445" s="30">
        <f t="shared" si="236"/>
        <v>195.14321428571429</v>
      </c>
    </row>
    <row r="13446" spans="1:7" hidden="1" x14ac:dyDescent="0.25">
      <c r="A13446" s="28">
        <v>44652</v>
      </c>
      <c r="B13446" s="27" t="s">
        <v>200</v>
      </c>
      <c r="C13446" s="27" t="s">
        <v>183</v>
      </c>
      <c r="D13446" s="27" t="s">
        <v>7</v>
      </c>
      <c r="E13446" s="27" t="s">
        <v>14</v>
      </c>
      <c r="F13446" s="29"/>
      <c r="G13446" s="30">
        <f t="shared" si="236"/>
        <v>195.14321428571429</v>
      </c>
    </row>
    <row r="13447" spans="1:7" hidden="1" x14ac:dyDescent="0.25">
      <c r="A13447" s="28">
        <v>44652</v>
      </c>
      <c r="B13447" s="27" t="s">
        <v>200</v>
      </c>
      <c r="C13447" s="27" t="s">
        <v>183</v>
      </c>
      <c r="D13447" s="27" t="s">
        <v>7</v>
      </c>
      <c r="E13447" s="27" t="s">
        <v>15</v>
      </c>
      <c r="F13447" s="29"/>
      <c r="G13447" s="30">
        <f t="shared" si="236"/>
        <v>195.14321428571429</v>
      </c>
    </row>
    <row r="13448" spans="1:7" hidden="1" x14ac:dyDescent="0.25">
      <c r="A13448" s="28">
        <v>44652</v>
      </c>
      <c r="B13448" s="27" t="s">
        <v>200</v>
      </c>
      <c r="C13448" s="27" t="s">
        <v>183</v>
      </c>
      <c r="D13448" s="27" t="s">
        <v>7</v>
      </c>
      <c r="E13448" s="27" t="s">
        <v>16</v>
      </c>
      <c r="F13448" s="29"/>
      <c r="G13448" s="30">
        <f t="shared" si="236"/>
        <v>195.14321428571429</v>
      </c>
    </row>
    <row r="13449" spans="1:7" hidden="1" x14ac:dyDescent="0.25">
      <c r="A13449" s="28">
        <v>44652</v>
      </c>
      <c r="B13449" s="27" t="s">
        <v>200</v>
      </c>
      <c r="C13449" s="27" t="s">
        <v>183</v>
      </c>
      <c r="D13449" s="27" t="s">
        <v>7</v>
      </c>
      <c r="E13449" s="27" t="s">
        <v>17</v>
      </c>
      <c r="F13449" s="29"/>
      <c r="G13449" s="30">
        <f t="shared" si="236"/>
        <v>195.14321428571429</v>
      </c>
    </row>
    <row r="13450" spans="1:7" hidden="1" x14ac:dyDescent="0.25">
      <c r="A13450" s="28">
        <v>44652</v>
      </c>
      <c r="B13450" s="27" t="s">
        <v>200</v>
      </c>
      <c r="C13450" s="27" t="s">
        <v>183</v>
      </c>
      <c r="D13450" s="27" t="s">
        <v>7</v>
      </c>
      <c r="E13450" s="27" t="s">
        <v>18</v>
      </c>
      <c r="F13450" s="29"/>
      <c r="G13450" s="30">
        <f t="shared" si="236"/>
        <v>195.14321428571429</v>
      </c>
    </row>
    <row r="13451" spans="1:7" hidden="1" x14ac:dyDescent="0.25">
      <c r="A13451" s="28">
        <v>44652</v>
      </c>
      <c r="B13451" s="27" t="s">
        <v>200</v>
      </c>
      <c r="C13451" s="27" t="s">
        <v>183</v>
      </c>
      <c r="D13451" s="27" t="s">
        <v>7</v>
      </c>
      <c r="E13451" s="27" t="s">
        <v>19</v>
      </c>
      <c r="F13451" s="29"/>
      <c r="G13451" s="30">
        <f t="shared" si="236"/>
        <v>195.14321428571429</v>
      </c>
    </row>
    <row r="13452" spans="1:7" hidden="1" x14ac:dyDescent="0.25">
      <c r="A13452" s="28">
        <v>44652</v>
      </c>
      <c r="B13452" s="27" t="s">
        <v>200</v>
      </c>
      <c r="C13452" s="27" t="s">
        <v>183</v>
      </c>
      <c r="D13452" s="27" t="s">
        <v>7</v>
      </c>
      <c r="E13452" s="27" t="s">
        <v>20</v>
      </c>
      <c r="F13452" s="29"/>
      <c r="G13452" s="30">
        <f t="shared" si="236"/>
        <v>195.14321428571429</v>
      </c>
    </row>
    <row r="13453" spans="1:7" hidden="1" x14ac:dyDescent="0.25">
      <c r="A13453" s="28">
        <v>44652</v>
      </c>
      <c r="B13453" s="27" t="s">
        <v>200</v>
      </c>
      <c r="C13453" s="27" t="s">
        <v>183</v>
      </c>
      <c r="D13453" s="27" t="s">
        <v>7</v>
      </c>
      <c r="E13453" s="27" t="s">
        <v>38</v>
      </c>
      <c r="F13453" s="29"/>
      <c r="G13453" s="30">
        <f t="shared" si="236"/>
        <v>195.14321428571429</v>
      </c>
    </row>
    <row r="13454" spans="1:7" hidden="1" x14ac:dyDescent="0.25">
      <c r="A13454" s="28">
        <v>44652</v>
      </c>
      <c r="B13454" s="27" t="s">
        <v>200</v>
      </c>
      <c r="C13454" s="27" t="s">
        <v>183</v>
      </c>
      <c r="D13454" s="27" t="s">
        <v>7</v>
      </c>
      <c r="E13454" s="27" t="s">
        <v>23</v>
      </c>
      <c r="F13454" s="29"/>
      <c r="G13454" s="30">
        <f t="shared" si="236"/>
        <v>195.14321428571429</v>
      </c>
    </row>
    <row r="13455" spans="1:7" hidden="1" x14ac:dyDescent="0.25">
      <c r="A13455" s="28">
        <v>44652</v>
      </c>
      <c r="B13455" s="27" t="s">
        <v>200</v>
      </c>
      <c r="C13455" s="27" t="s">
        <v>183</v>
      </c>
      <c r="D13455" s="27" t="s">
        <v>7</v>
      </c>
      <c r="E13455" s="27" t="s">
        <v>40</v>
      </c>
      <c r="F13455" s="29"/>
      <c r="G13455" s="30">
        <f t="shared" si="236"/>
        <v>195.14321428571429</v>
      </c>
    </row>
    <row r="13456" spans="1:7" hidden="1" x14ac:dyDescent="0.25">
      <c r="A13456" s="28">
        <v>44652</v>
      </c>
      <c r="B13456" s="27" t="s">
        <v>200</v>
      </c>
      <c r="C13456" s="27" t="s">
        <v>183</v>
      </c>
      <c r="D13456" s="27" t="s">
        <v>7</v>
      </c>
      <c r="E13456" s="27" t="s">
        <v>42</v>
      </c>
      <c r="F13456" s="29"/>
      <c r="G13456" s="30">
        <f t="shared" si="236"/>
        <v>195.14321428571429</v>
      </c>
    </row>
    <row r="13457" spans="1:7" hidden="1" x14ac:dyDescent="0.25">
      <c r="A13457" s="28">
        <v>44652</v>
      </c>
      <c r="B13457" s="27" t="s">
        <v>200</v>
      </c>
      <c r="C13457" s="27" t="s">
        <v>183</v>
      </c>
      <c r="D13457" s="27" t="s">
        <v>7</v>
      </c>
      <c r="E13457" s="27" t="s">
        <v>43</v>
      </c>
      <c r="F13457" s="29"/>
      <c r="G13457" s="30">
        <f t="shared" si="236"/>
        <v>195.14321428571429</v>
      </c>
    </row>
    <row r="13458" spans="1:7" hidden="1" x14ac:dyDescent="0.25">
      <c r="A13458" s="28">
        <v>44652</v>
      </c>
      <c r="B13458" s="27" t="s">
        <v>200</v>
      </c>
      <c r="C13458" s="27" t="s">
        <v>183</v>
      </c>
      <c r="D13458" s="27" t="s">
        <v>7</v>
      </c>
      <c r="E13458" s="27" t="s">
        <v>72</v>
      </c>
      <c r="F13458" s="29"/>
      <c r="G13458" s="30">
        <f t="shared" si="236"/>
        <v>195.14321428571429</v>
      </c>
    </row>
    <row r="13459" spans="1:7" hidden="1" x14ac:dyDescent="0.25">
      <c r="A13459" s="28">
        <v>44652</v>
      </c>
      <c r="B13459" s="27" t="s">
        <v>200</v>
      </c>
      <c r="C13459" s="27" t="s">
        <v>183</v>
      </c>
      <c r="D13459" s="27" t="s">
        <v>7</v>
      </c>
      <c r="E13459" s="27" t="s">
        <v>206</v>
      </c>
      <c r="F13459" s="29"/>
      <c r="G13459" s="30">
        <f t="shared" si="236"/>
        <v>195.14321428571429</v>
      </c>
    </row>
    <row r="13460" spans="1:7" hidden="1" x14ac:dyDescent="0.25">
      <c r="A13460" s="28">
        <v>44652</v>
      </c>
      <c r="B13460" s="27" t="s">
        <v>200</v>
      </c>
      <c r="C13460" s="27" t="s">
        <v>183</v>
      </c>
      <c r="D13460" s="27" t="s">
        <v>7</v>
      </c>
      <c r="E13460" s="27" t="s">
        <v>67</v>
      </c>
      <c r="F13460" s="29"/>
      <c r="G13460" s="30">
        <f t="shared" si="236"/>
        <v>195.14321428571429</v>
      </c>
    </row>
    <row r="13461" spans="1:7" hidden="1" x14ac:dyDescent="0.25">
      <c r="A13461" s="28">
        <v>44652</v>
      </c>
      <c r="B13461" s="27" t="s">
        <v>200</v>
      </c>
      <c r="C13461" s="27" t="s">
        <v>183</v>
      </c>
      <c r="D13461" s="27" t="s">
        <v>7</v>
      </c>
      <c r="E13461" s="27" t="s">
        <v>68</v>
      </c>
      <c r="F13461" s="29"/>
      <c r="G13461" s="30">
        <f t="shared" si="236"/>
        <v>195.14321428571429</v>
      </c>
    </row>
    <row r="13462" spans="1:7" hidden="1" x14ac:dyDescent="0.25">
      <c r="A13462" s="28">
        <v>44652</v>
      </c>
      <c r="B13462" s="27" t="s">
        <v>200</v>
      </c>
      <c r="C13462" s="27" t="s">
        <v>183</v>
      </c>
      <c r="D13462" s="27" t="s">
        <v>7</v>
      </c>
      <c r="E13462" s="27" t="s">
        <v>74</v>
      </c>
      <c r="F13462" s="29"/>
      <c r="G13462" s="30">
        <f t="shared" si="236"/>
        <v>195.14321428571429</v>
      </c>
    </row>
    <row r="13463" spans="1:7" hidden="1" x14ac:dyDescent="0.25">
      <c r="A13463" s="28">
        <v>44652</v>
      </c>
      <c r="B13463" s="27" t="s">
        <v>200</v>
      </c>
      <c r="C13463" s="27" t="s">
        <v>56</v>
      </c>
      <c r="D13463" s="27" t="s">
        <v>6</v>
      </c>
      <c r="E13463" s="27" t="s">
        <v>8</v>
      </c>
      <c r="F13463" s="29"/>
      <c r="G13463" s="30">
        <f t="shared" ref="G13463:G13486" si="237">68396.1915555555/24</f>
        <v>2849.8413148148124</v>
      </c>
    </row>
    <row r="13464" spans="1:7" hidden="1" x14ac:dyDescent="0.25">
      <c r="A13464" s="28">
        <v>44652</v>
      </c>
      <c r="B13464" s="27" t="s">
        <v>200</v>
      </c>
      <c r="C13464" s="27" t="s">
        <v>56</v>
      </c>
      <c r="D13464" s="27" t="s">
        <v>6</v>
      </c>
      <c r="E13464" s="27" t="s">
        <v>9</v>
      </c>
      <c r="F13464" s="29"/>
      <c r="G13464" s="30">
        <f t="shared" si="237"/>
        <v>2849.8413148148124</v>
      </c>
    </row>
    <row r="13465" spans="1:7" hidden="1" x14ac:dyDescent="0.25">
      <c r="A13465" s="28">
        <v>44652</v>
      </c>
      <c r="B13465" s="27" t="s">
        <v>200</v>
      </c>
      <c r="C13465" s="27" t="s">
        <v>56</v>
      </c>
      <c r="D13465" s="27" t="s">
        <v>6</v>
      </c>
      <c r="E13465" s="27" t="s">
        <v>22</v>
      </c>
      <c r="F13465" s="29"/>
      <c r="G13465" s="30">
        <f t="shared" si="237"/>
        <v>2849.8413148148124</v>
      </c>
    </row>
    <row r="13466" spans="1:7" hidden="1" x14ac:dyDescent="0.25">
      <c r="A13466" s="28">
        <v>44652</v>
      </c>
      <c r="B13466" s="27" t="s">
        <v>200</v>
      </c>
      <c r="C13466" s="27" t="s">
        <v>56</v>
      </c>
      <c r="D13466" s="27" t="s">
        <v>6</v>
      </c>
      <c r="E13466" s="27" t="s">
        <v>39</v>
      </c>
      <c r="F13466" s="29"/>
      <c r="G13466" s="30">
        <f t="shared" si="237"/>
        <v>2849.8413148148124</v>
      </c>
    </row>
    <row r="13467" spans="1:7" hidden="1" x14ac:dyDescent="0.25">
      <c r="A13467" s="28">
        <v>44652</v>
      </c>
      <c r="B13467" s="27" t="s">
        <v>200</v>
      </c>
      <c r="C13467" s="27" t="s">
        <v>56</v>
      </c>
      <c r="D13467" s="27" t="s">
        <v>6</v>
      </c>
      <c r="E13467" s="27" t="s">
        <v>64</v>
      </c>
      <c r="F13467" s="29"/>
      <c r="G13467" s="30">
        <f t="shared" si="237"/>
        <v>2849.8413148148124</v>
      </c>
    </row>
    <row r="13468" spans="1:7" hidden="1" x14ac:dyDescent="0.25">
      <c r="A13468" s="28">
        <v>44652</v>
      </c>
      <c r="B13468" s="27" t="s">
        <v>200</v>
      </c>
      <c r="C13468" s="27" t="s">
        <v>56</v>
      </c>
      <c r="D13468" s="27" t="s">
        <v>6</v>
      </c>
      <c r="E13468" s="27" t="s">
        <v>21</v>
      </c>
      <c r="F13468" s="29"/>
      <c r="G13468" s="30">
        <f t="shared" si="237"/>
        <v>2849.8413148148124</v>
      </c>
    </row>
    <row r="13469" spans="1:7" hidden="1" x14ac:dyDescent="0.25">
      <c r="A13469" s="28">
        <v>44652</v>
      </c>
      <c r="B13469" s="27" t="s">
        <v>200</v>
      </c>
      <c r="C13469" s="27" t="s">
        <v>56</v>
      </c>
      <c r="D13469" s="27" t="s">
        <v>6</v>
      </c>
      <c r="E13469" s="27" t="s">
        <v>41</v>
      </c>
      <c r="F13469" s="29"/>
      <c r="G13469" s="30">
        <f t="shared" si="237"/>
        <v>2849.8413148148124</v>
      </c>
    </row>
    <row r="13470" spans="1:7" hidden="1" x14ac:dyDescent="0.25">
      <c r="A13470" s="28">
        <v>44652</v>
      </c>
      <c r="B13470" s="27" t="s">
        <v>200</v>
      </c>
      <c r="C13470" s="27" t="s">
        <v>56</v>
      </c>
      <c r="D13470" s="27" t="s">
        <v>6</v>
      </c>
      <c r="E13470" s="27" t="s">
        <v>10</v>
      </c>
      <c r="F13470" s="29"/>
      <c r="G13470" s="30">
        <f t="shared" si="237"/>
        <v>2849.8413148148124</v>
      </c>
    </row>
    <row r="13471" spans="1:7" hidden="1" x14ac:dyDescent="0.25">
      <c r="A13471" s="28">
        <v>44652</v>
      </c>
      <c r="B13471" s="27" t="s">
        <v>200</v>
      </c>
      <c r="C13471" s="27" t="s">
        <v>56</v>
      </c>
      <c r="D13471" s="27" t="s">
        <v>6</v>
      </c>
      <c r="E13471" s="27" t="s">
        <v>11</v>
      </c>
      <c r="F13471" s="29"/>
      <c r="G13471" s="30">
        <f t="shared" si="237"/>
        <v>2849.8413148148124</v>
      </c>
    </row>
    <row r="13472" spans="1:7" hidden="1" x14ac:dyDescent="0.25">
      <c r="A13472" s="28">
        <v>44652</v>
      </c>
      <c r="B13472" s="27" t="s">
        <v>200</v>
      </c>
      <c r="C13472" s="27" t="s">
        <v>56</v>
      </c>
      <c r="D13472" s="27" t="s">
        <v>6</v>
      </c>
      <c r="E13472" s="27" t="s">
        <v>12</v>
      </c>
      <c r="F13472" s="29"/>
      <c r="G13472" s="30">
        <f t="shared" si="237"/>
        <v>2849.8413148148124</v>
      </c>
    </row>
    <row r="13473" spans="1:7" hidden="1" x14ac:dyDescent="0.25">
      <c r="A13473" s="28">
        <v>44652</v>
      </c>
      <c r="B13473" s="27" t="s">
        <v>200</v>
      </c>
      <c r="C13473" s="27" t="s">
        <v>56</v>
      </c>
      <c r="D13473" s="27" t="s">
        <v>6</v>
      </c>
      <c r="E13473" s="27" t="s">
        <v>13</v>
      </c>
      <c r="F13473" s="29"/>
      <c r="G13473" s="30">
        <f t="shared" si="237"/>
        <v>2849.8413148148124</v>
      </c>
    </row>
    <row r="13474" spans="1:7" hidden="1" x14ac:dyDescent="0.25">
      <c r="A13474" s="28">
        <v>44652</v>
      </c>
      <c r="B13474" s="27" t="s">
        <v>200</v>
      </c>
      <c r="C13474" s="27" t="s">
        <v>56</v>
      </c>
      <c r="D13474" s="27" t="s">
        <v>6</v>
      </c>
      <c r="E13474" s="27" t="s">
        <v>14</v>
      </c>
      <c r="F13474" s="29"/>
      <c r="G13474" s="30">
        <f t="shared" si="237"/>
        <v>2849.8413148148124</v>
      </c>
    </row>
    <row r="13475" spans="1:7" hidden="1" x14ac:dyDescent="0.25">
      <c r="A13475" s="28">
        <v>44652</v>
      </c>
      <c r="B13475" s="27" t="s">
        <v>200</v>
      </c>
      <c r="C13475" s="27" t="s">
        <v>56</v>
      </c>
      <c r="D13475" s="27" t="s">
        <v>6</v>
      </c>
      <c r="E13475" s="27" t="s">
        <v>15</v>
      </c>
      <c r="F13475" s="29"/>
      <c r="G13475" s="30">
        <f t="shared" si="237"/>
        <v>2849.8413148148124</v>
      </c>
    </row>
    <row r="13476" spans="1:7" hidden="1" x14ac:dyDescent="0.25">
      <c r="A13476" s="28">
        <v>44652</v>
      </c>
      <c r="B13476" s="27" t="s">
        <v>200</v>
      </c>
      <c r="C13476" s="27" t="s">
        <v>56</v>
      </c>
      <c r="D13476" s="27" t="s">
        <v>6</v>
      </c>
      <c r="E13476" s="27" t="s">
        <v>16</v>
      </c>
      <c r="F13476" s="29"/>
      <c r="G13476" s="30">
        <f t="shared" si="237"/>
        <v>2849.8413148148124</v>
      </c>
    </row>
    <row r="13477" spans="1:7" hidden="1" x14ac:dyDescent="0.25">
      <c r="A13477" s="28">
        <v>44652</v>
      </c>
      <c r="B13477" s="27" t="s">
        <v>200</v>
      </c>
      <c r="C13477" s="27" t="s">
        <v>56</v>
      </c>
      <c r="D13477" s="27" t="s">
        <v>6</v>
      </c>
      <c r="E13477" s="27" t="s">
        <v>17</v>
      </c>
      <c r="F13477" s="29"/>
      <c r="G13477" s="30">
        <f t="shared" si="237"/>
        <v>2849.8413148148124</v>
      </c>
    </row>
    <row r="13478" spans="1:7" hidden="1" x14ac:dyDescent="0.25">
      <c r="A13478" s="28">
        <v>44652</v>
      </c>
      <c r="B13478" s="27" t="s">
        <v>200</v>
      </c>
      <c r="C13478" s="27" t="s">
        <v>56</v>
      </c>
      <c r="D13478" s="27" t="s">
        <v>6</v>
      </c>
      <c r="E13478" s="27" t="s">
        <v>18</v>
      </c>
      <c r="F13478" s="29"/>
      <c r="G13478" s="30">
        <f t="shared" si="237"/>
        <v>2849.8413148148124</v>
      </c>
    </row>
    <row r="13479" spans="1:7" hidden="1" x14ac:dyDescent="0.25">
      <c r="A13479" s="28">
        <v>44652</v>
      </c>
      <c r="B13479" s="27" t="s">
        <v>200</v>
      </c>
      <c r="C13479" s="27" t="s">
        <v>56</v>
      </c>
      <c r="D13479" s="27" t="s">
        <v>6</v>
      </c>
      <c r="E13479" s="27" t="s">
        <v>19</v>
      </c>
      <c r="F13479" s="29"/>
      <c r="G13479" s="30">
        <f t="shared" si="237"/>
        <v>2849.8413148148124</v>
      </c>
    </row>
    <row r="13480" spans="1:7" hidden="1" x14ac:dyDescent="0.25">
      <c r="A13480" s="28">
        <v>44652</v>
      </c>
      <c r="B13480" s="27" t="s">
        <v>200</v>
      </c>
      <c r="C13480" s="27" t="s">
        <v>56</v>
      </c>
      <c r="D13480" s="27" t="s">
        <v>6</v>
      </c>
      <c r="E13480" s="27" t="s">
        <v>20</v>
      </c>
      <c r="F13480" s="29"/>
      <c r="G13480" s="30">
        <f t="shared" si="237"/>
        <v>2849.8413148148124</v>
      </c>
    </row>
    <row r="13481" spans="1:7" hidden="1" x14ac:dyDescent="0.25">
      <c r="A13481" s="28">
        <v>44652</v>
      </c>
      <c r="B13481" s="27" t="s">
        <v>200</v>
      </c>
      <c r="C13481" s="27" t="s">
        <v>56</v>
      </c>
      <c r="D13481" s="27" t="s">
        <v>6</v>
      </c>
      <c r="E13481" s="27" t="s">
        <v>38</v>
      </c>
      <c r="F13481" s="29"/>
      <c r="G13481" s="30">
        <f t="shared" si="237"/>
        <v>2849.8413148148124</v>
      </c>
    </row>
    <row r="13482" spans="1:7" hidden="1" x14ac:dyDescent="0.25">
      <c r="A13482" s="28">
        <v>44652</v>
      </c>
      <c r="B13482" s="27" t="s">
        <v>200</v>
      </c>
      <c r="C13482" s="27" t="s">
        <v>56</v>
      </c>
      <c r="D13482" s="27" t="s">
        <v>6</v>
      </c>
      <c r="E13482" s="27" t="s">
        <v>23</v>
      </c>
      <c r="F13482" s="29"/>
      <c r="G13482" s="30">
        <f t="shared" si="237"/>
        <v>2849.8413148148124</v>
      </c>
    </row>
    <row r="13483" spans="1:7" hidden="1" x14ac:dyDescent="0.25">
      <c r="A13483" s="28">
        <v>44652</v>
      </c>
      <c r="B13483" s="27" t="s">
        <v>200</v>
      </c>
      <c r="C13483" s="27" t="s">
        <v>56</v>
      </c>
      <c r="D13483" s="27" t="s">
        <v>6</v>
      </c>
      <c r="E13483" s="27" t="s">
        <v>40</v>
      </c>
      <c r="F13483" s="29"/>
      <c r="G13483" s="30">
        <f t="shared" si="237"/>
        <v>2849.8413148148124</v>
      </c>
    </row>
    <row r="13484" spans="1:7" hidden="1" x14ac:dyDescent="0.25">
      <c r="A13484" s="28">
        <v>44652</v>
      </c>
      <c r="B13484" s="27" t="s">
        <v>200</v>
      </c>
      <c r="C13484" s="27" t="s">
        <v>56</v>
      </c>
      <c r="D13484" s="27" t="s">
        <v>6</v>
      </c>
      <c r="E13484" s="27" t="s">
        <v>42</v>
      </c>
      <c r="F13484" s="29"/>
      <c r="G13484" s="30">
        <f t="shared" si="237"/>
        <v>2849.8413148148124</v>
      </c>
    </row>
    <row r="13485" spans="1:7" hidden="1" x14ac:dyDescent="0.25">
      <c r="A13485" s="28">
        <v>44652</v>
      </c>
      <c r="B13485" s="27" t="s">
        <v>200</v>
      </c>
      <c r="C13485" s="27" t="s">
        <v>56</v>
      </c>
      <c r="D13485" s="27" t="s">
        <v>6</v>
      </c>
      <c r="E13485" s="27" t="s">
        <v>72</v>
      </c>
      <c r="F13485" s="29"/>
      <c r="G13485" s="30">
        <f t="shared" si="237"/>
        <v>2849.8413148148124</v>
      </c>
    </row>
    <row r="13486" spans="1:7" hidden="1" x14ac:dyDescent="0.25">
      <c r="A13486" s="28">
        <v>44652</v>
      </c>
      <c r="B13486" s="27" t="s">
        <v>200</v>
      </c>
      <c r="C13486" s="27" t="s">
        <v>56</v>
      </c>
      <c r="D13486" s="27" t="s">
        <v>6</v>
      </c>
      <c r="E13486" s="27" t="s">
        <v>12</v>
      </c>
      <c r="F13486" s="29"/>
      <c r="G13486" s="30">
        <f t="shared" si="237"/>
        <v>2849.8413148148124</v>
      </c>
    </row>
    <row r="13487" spans="1:7" hidden="1" x14ac:dyDescent="0.25">
      <c r="A13487" s="28">
        <v>44652</v>
      </c>
      <c r="B13487" s="27" t="s">
        <v>200</v>
      </c>
      <c r="C13487" s="27" t="s">
        <v>182</v>
      </c>
      <c r="D13487" s="27" t="s">
        <v>7</v>
      </c>
      <c r="E13487" s="27" t="s">
        <v>8</v>
      </c>
      <c r="F13487" s="29"/>
      <c r="G13487" s="30">
        <f t="shared" ref="G13487:G13514" si="238">6977.58/28</f>
        <v>249.19928571428571</v>
      </c>
    </row>
    <row r="13488" spans="1:7" hidden="1" x14ac:dyDescent="0.25">
      <c r="A13488" s="28">
        <v>44652</v>
      </c>
      <c r="B13488" s="27" t="s">
        <v>200</v>
      </c>
      <c r="C13488" s="27" t="s">
        <v>182</v>
      </c>
      <c r="D13488" s="27" t="s">
        <v>7</v>
      </c>
      <c r="E13488" s="27" t="s">
        <v>9</v>
      </c>
      <c r="F13488" s="29"/>
      <c r="G13488" s="30">
        <f t="shared" si="238"/>
        <v>249.19928571428571</v>
      </c>
    </row>
    <row r="13489" spans="1:7" hidden="1" x14ac:dyDescent="0.25">
      <c r="A13489" s="28">
        <v>44652</v>
      </c>
      <c r="B13489" s="27" t="s">
        <v>200</v>
      </c>
      <c r="C13489" s="27" t="s">
        <v>182</v>
      </c>
      <c r="D13489" s="27" t="s">
        <v>7</v>
      </c>
      <c r="E13489" s="27" t="s">
        <v>22</v>
      </c>
      <c r="F13489" s="29"/>
      <c r="G13489" s="30">
        <f t="shared" si="238"/>
        <v>249.19928571428571</v>
      </c>
    </row>
    <row r="13490" spans="1:7" hidden="1" x14ac:dyDescent="0.25">
      <c r="A13490" s="28">
        <v>44652</v>
      </c>
      <c r="B13490" s="27" t="s">
        <v>200</v>
      </c>
      <c r="C13490" s="27" t="s">
        <v>182</v>
      </c>
      <c r="D13490" s="27" t="s">
        <v>7</v>
      </c>
      <c r="E13490" s="27" t="s">
        <v>39</v>
      </c>
      <c r="F13490" s="29"/>
      <c r="G13490" s="30">
        <f t="shared" si="238"/>
        <v>249.19928571428571</v>
      </c>
    </row>
    <row r="13491" spans="1:7" hidden="1" x14ac:dyDescent="0.25">
      <c r="A13491" s="28">
        <v>44652</v>
      </c>
      <c r="B13491" s="27" t="s">
        <v>200</v>
      </c>
      <c r="C13491" s="27" t="s">
        <v>182</v>
      </c>
      <c r="D13491" s="27" t="s">
        <v>7</v>
      </c>
      <c r="E13491" s="27" t="s">
        <v>64</v>
      </c>
      <c r="F13491" s="29"/>
      <c r="G13491" s="30">
        <f t="shared" si="238"/>
        <v>249.19928571428571</v>
      </c>
    </row>
    <row r="13492" spans="1:7" hidden="1" x14ac:dyDescent="0.25">
      <c r="A13492" s="28">
        <v>44652</v>
      </c>
      <c r="B13492" s="27" t="s">
        <v>200</v>
      </c>
      <c r="C13492" s="27" t="s">
        <v>182</v>
      </c>
      <c r="D13492" s="27" t="s">
        <v>7</v>
      </c>
      <c r="E13492" s="27" t="s">
        <v>21</v>
      </c>
      <c r="F13492" s="29"/>
      <c r="G13492" s="30">
        <f t="shared" si="238"/>
        <v>249.19928571428571</v>
      </c>
    </row>
    <row r="13493" spans="1:7" hidden="1" x14ac:dyDescent="0.25">
      <c r="A13493" s="28">
        <v>44652</v>
      </c>
      <c r="B13493" s="27" t="s">
        <v>200</v>
      </c>
      <c r="C13493" s="27" t="s">
        <v>182</v>
      </c>
      <c r="D13493" s="27" t="s">
        <v>7</v>
      </c>
      <c r="E13493" s="27" t="s">
        <v>41</v>
      </c>
      <c r="F13493" s="29"/>
      <c r="G13493" s="30">
        <f t="shared" si="238"/>
        <v>249.19928571428571</v>
      </c>
    </row>
    <row r="13494" spans="1:7" hidden="1" x14ac:dyDescent="0.25">
      <c r="A13494" s="28">
        <v>44652</v>
      </c>
      <c r="B13494" s="27" t="s">
        <v>200</v>
      </c>
      <c r="C13494" s="27" t="s">
        <v>182</v>
      </c>
      <c r="D13494" s="27" t="s">
        <v>7</v>
      </c>
      <c r="E13494" s="27" t="s">
        <v>10</v>
      </c>
      <c r="F13494" s="29"/>
      <c r="G13494" s="30">
        <f t="shared" si="238"/>
        <v>249.19928571428571</v>
      </c>
    </row>
    <row r="13495" spans="1:7" hidden="1" x14ac:dyDescent="0.25">
      <c r="A13495" s="28">
        <v>44652</v>
      </c>
      <c r="B13495" s="27" t="s">
        <v>200</v>
      </c>
      <c r="C13495" s="27" t="s">
        <v>182</v>
      </c>
      <c r="D13495" s="27" t="s">
        <v>7</v>
      </c>
      <c r="E13495" s="27" t="s">
        <v>11</v>
      </c>
      <c r="F13495" s="29"/>
      <c r="G13495" s="30">
        <f t="shared" si="238"/>
        <v>249.19928571428571</v>
      </c>
    </row>
    <row r="13496" spans="1:7" hidden="1" x14ac:dyDescent="0.25">
      <c r="A13496" s="28">
        <v>44652</v>
      </c>
      <c r="B13496" s="27" t="s">
        <v>200</v>
      </c>
      <c r="C13496" s="27" t="s">
        <v>182</v>
      </c>
      <c r="D13496" s="27" t="s">
        <v>7</v>
      </c>
      <c r="E13496" s="27" t="s">
        <v>12</v>
      </c>
      <c r="F13496" s="29"/>
      <c r="G13496" s="30">
        <f t="shared" si="238"/>
        <v>249.19928571428571</v>
      </c>
    </row>
    <row r="13497" spans="1:7" hidden="1" x14ac:dyDescent="0.25">
      <c r="A13497" s="28">
        <v>44652</v>
      </c>
      <c r="B13497" s="27" t="s">
        <v>200</v>
      </c>
      <c r="C13497" s="27" t="s">
        <v>182</v>
      </c>
      <c r="D13497" s="27" t="s">
        <v>7</v>
      </c>
      <c r="E13497" s="27" t="s">
        <v>13</v>
      </c>
      <c r="F13497" s="29"/>
      <c r="G13497" s="30">
        <f t="shared" si="238"/>
        <v>249.19928571428571</v>
      </c>
    </row>
    <row r="13498" spans="1:7" hidden="1" x14ac:dyDescent="0.25">
      <c r="A13498" s="28">
        <v>44652</v>
      </c>
      <c r="B13498" s="27" t="s">
        <v>200</v>
      </c>
      <c r="C13498" s="27" t="s">
        <v>182</v>
      </c>
      <c r="D13498" s="27" t="s">
        <v>7</v>
      </c>
      <c r="E13498" s="27" t="s">
        <v>14</v>
      </c>
      <c r="F13498" s="29"/>
      <c r="G13498" s="30">
        <f t="shared" si="238"/>
        <v>249.19928571428571</v>
      </c>
    </row>
    <row r="13499" spans="1:7" hidden="1" x14ac:dyDescent="0.25">
      <c r="A13499" s="28">
        <v>44652</v>
      </c>
      <c r="B13499" s="27" t="s">
        <v>200</v>
      </c>
      <c r="C13499" s="27" t="s">
        <v>182</v>
      </c>
      <c r="D13499" s="27" t="s">
        <v>7</v>
      </c>
      <c r="E13499" s="27" t="s">
        <v>15</v>
      </c>
      <c r="F13499" s="29"/>
      <c r="G13499" s="30">
        <f t="shared" si="238"/>
        <v>249.19928571428571</v>
      </c>
    </row>
    <row r="13500" spans="1:7" hidden="1" x14ac:dyDescent="0.25">
      <c r="A13500" s="28">
        <v>44652</v>
      </c>
      <c r="B13500" s="27" t="s">
        <v>200</v>
      </c>
      <c r="C13500" s="27" t="s">
        <v>182</v>
      </c>
      <c r="D13500" s="27" t="s">
        <v>7</v>
      </c>
      <c r="E13500" s="27" t="s">
        <v>16</v>
      </c>
      <c r="F13500" s="29"/>
      <c r="G13500" s="30">
        <f t="shared" si="238"/>
        <v>249.19928571428571</v>
      </c>
    </row>
    <row r="13501" spans="1:7" hidden="1" x14ac:dyDescent="0.25">
      <c r="A13501" s="28">
        <v>44652</v>
      </c>
      <c r="B13501" s="27" t="s">
        <v>200</v>
      </c>
      <c r="C13501" s="27" t="s">
        <v>182</v>
      </c>
      <c r="D13501" s="27" t="s">
        <v>7</v>
      </c>
      <c r="E13501" s="27" t="s">
        <v>17</v>
      </c>
      <c r="F13501" s="29"/>
      <c r="G13501" s="30">
        <f t="shared" si="238"/>
        <v>249.19928571428571</v>
      </c>
    </row>
    <row r="13502" spans="1:7" hidden="1" x14ac:dyDescent="0.25">
      <c r="A13502" s="28">
        <v>44652</v>
      </c>
      <c r="B13502" s="27" t="s">
        <v>200</v>
      </c>
      <c r="C13502" s="27" t="s">
        <v>182</v>
      </c>
      <c r="D13502" s="27" t="s">
        <v>7</v>
      </c>
      <c r="E13502" s="27" t="s">
        <v>18</v>
      </c>
      <c r="F13502" s="29"/>
      <c r="G13502" s="30">
        <f t="shared" si="238"/>
        <v>249.19928571428571</v>
      </c>
    </row>
    <row r="13503" spans="1:7" hidden="1" x14ac:dyDescent="0.25">
      <c r="A13503" s="28">
        <v>44652</v>
      </c>
      <c r="B13503" s="27" t="s">
        <v>200</v>
      </c>
      <c r="C13503" s="27" t="s">
        <v>182</v>
      </c>
      <c r="D13503" s="27" t="s">
        <v>7</v>
      </c>
      <c r="E13503" s="27" t="s">
        <v>19</v>
      </c>
      <c r="F13503" s="29"/>
      <c r="G13503" s="30">
        <f t="shared" si="238"/>
        <v>249.19928571428571</v>
      </c>
    </row>
    <row r="13504" spans="1:7" hidden="1" x14ac:dyDescent="0.25">
      <c r="A13504" s="28">
        <v>44652</v>
      </c>
      <c r="B13504" s="27" t="s">
        <v>200</v>
      </c>
      <c r="C13504" s="27" t="s">
        <v>182</v>
      </c>
      <c r="D13504" s="27" t="s">
        <v>7</v>
      </c>
      <c r="E13504" s="27" t="s">
        <v>20</v>
      </c>
      <c r="F13504" s="29"/>
      <c r="G13504" s="30">
        <f t="shared" si="238"/>
        <v>249.19928571428571</v>
      </c>
    </row>
    <row r="13505" spans="1:7" hidden="1" x14ac:dyDescent="0.25">
      <c r="A13505" s="28">
        <v>44652</v>
      </c>
      <c r="B13505" s="27" t="s">
        <v>200</v>
      </c>
      <c r="C13505" s="27" t="s">
        <v>182</v>
      </c>
      <c r="D13505" s="27" t="s">
        <v>7</v>
      </c>
      <c r="E13505" s="27" t="s">
        <v>38</v>
      </c>
      <c r="F13505" s="29"/>
      <c r="G13505" s="30">
        <f t="shared" si="238"/>
        <v>249.19928571428571</v>
      </c>
    </row>
    <row r="13506" spans="1:7" hidden="1" x14ac:dyDescent="0.25">
      <c r="A13506" s="28">
        <v>44652</v>
      </c>
      <c r="B13506" s="27" t="s">
        <v>200</v>
      </c>
      <c r="C13506" s="27" t="s">
        <v>182</v>
      </c>
      <c r="D13506" s="27" t="s">
        <v>7</v>
      </c>
      <c r="E13506" s="27" t="s">
        <v>23</v>
      </c>
      <c r="F13506" s="29"/>
      <c r="G13506" s="30">
        <f t="shared" si="238"/>
        <v>249.19928571428571</v>
      </c>
    </row>
    <row r="13507" spans="1:7" hidden="1" x14ac:dyDescent="0.25">
      <c r="A13507" s="28">
        <v>44652</v>
      </c>
      <c r="B13507" s="27" t="s">
        <v>200</v>
      </c>
      <c r="C13507" s="27" t="s">
        <v>182</v>
      </c>
      <c r="D13507" s="27" t="s">
        <v>7</v>
      </c>
      <c r="E13507" s="27" t="s">
        <v>40</v>
      </c>
      <c r="F13507" s="29"/>
      <c r="G13507" s="30">
        <f t="shared" si="238"/>
        <v>249.19928571428571</v>
      </c>
    </row>
    <row r="13508" spans="1:7" hidden="1" x14ac:dyDescent="0.25">
      <c r="A13508" s="28">
        <v>44652</v>
      </c>
      <c r="B13508" s="27" t="s">
        <v>200</v>
      </c>
      <c r="C13508" s="27" t="s">
        <v>182</v>
      </c>
      <c r="D13508" s="27" t="s">
        <v>7</v>
      </c>
      <c r="E13508" s="27" t="s">
        <v>42</v>
      </c>
      <c r="F13508" s="29"/>
      <c r="G13508" s="30">
        <f t="shared" si="238"/>
        <v>249.19928571428571</v>
      </c>
    </row>
    <row r="13509" spans="1:7" hidden="1" x14ac:dyDescent="0.25">
      <c r="A13509" s="28">
        <v>44652</v>
      </c>
      <c r="B13509" s="27" t="s">
        <v>200</v>
      </c>
      <c r="C13509" s="27" t="s">
        <v>182</v>
      </c>
      <c r="D13509" s="27" t="s">
        <v>7</v>
      </c>
      <c r="E13509" s="27" t="s">
        <v>43</v>
      </c>
      <c r="F13509" s="29"/>
      <c r="G13509" s="30">
        <f t="shared" si="238"/>
        <v>249.19928571428571</v>
      </c>
    </row>
    <row r="13510" spans="1:7" hidden="1" x14ac:dyDescent="0.25">
      <c r="A13510" s="28">
        <v>44652</v>
      </c>
      <c r="B13510" s="27" t="s">
        <v>200</v>
      </c>
      <c r="C13510" s="27" t="s">
        <v>182</v>
      </c>
      <c r="D13510" s="27" t="s">
        <v>7</v>
      </c>
      <c r="E13510" s="27" t="s">
        <v>72</v>
      </c>
      <c r="F13510" s="29"/>
      <c r="G13510" s="30">
        <f t="shared" si="238"/>
        <v>249.19928571428571</v>
      </c>
    </row>
    <row r="13511" spans="1:7" hidden="1" x14ac:dyDescent="0.25">
      <c r="A13511" s="28">
        <v>44652</v>
      </c>
      <c r="B13511" s="27" t="s">
        <v>200</v>
      </c>
      <c r="C13511" s="27" t="s">
        <v>182</v>
      </c>
      <c r="D13511" s="27" t="s">
        <v>7</v>
      </c>
      <c r="E13511" s="27" t="s">
        <v>206</v>
      </c>
      <c r="F13511" s="29"/>
      <c r="G13511" s="30">
        <f t="shared" si="238"/>
        <v>249.19928571428571</v>
      </c>
    </row>
    <row r="13512" spans="1:7" hidden="1" x14ac:dyDescent="0.25">
      <c r="A13512" s="28">
        <v>44652</v>
      </c>
      <c r="B13512" s="27" t="s">
        <v>200</v>
      </c>
      <c r="C13512" s="27" t="s">
        <v>182</v>
      </c>
      <c r="D13512" s="27" t="s">
        <v>7</v>
      </c>
      <c r="E13512" s="27" t="s">
        <v>67</v>
      </c>
      <c r="F13512" s="29"/>
      <c r="G13512" s="30">
        <f t="shared" si="238"/>
        <v>249.19928571428571</v>
      </c>
    </row>
    <row r="13513" spans="1:7" hidden="1" x14ac:dyDescent="0.25">
      <c r="A13513" s="28">
        <v>44652</v>
      </c>
      <c r="B13513" s="27" t="s">
        <v>200</v>
      </c>
      <c r="C13513" s="27" t="s">
        <v>182</v>
      </c>
      <c r="D13513" s="27" t="s">
        <v>7</v>
      </c>
      <c r="E13513" s="27" t="s">
        <v>68</v>
      </c>
      <c r="F13513" s="29"/>
      <c r="G13513" s="30">
        <f t="shared" si="238"/>
        <v>249.19928571428571</v>
      </c>
    </row>
    <row r="13514" spans="1:7" hidden="1" x14ac:dyDescent="0.25">
      <c r="A13514" s="28">
        <v>44652</v>
      </c>
      <c r="B13514" s="27" t="s">
        <v>200</v>
      </c>
      <c r="C13514" s="27" t="s">
        <v>182</v>
      </c>
      <c r="D13514" s="27" t="s">
        <v>7</v>
      </c>
      <c r="E13514" s="27" t="s">
        <v>74</v>
      </c>
      <c r="F13514" s="29"/>
      <c r="G13514" s="30">
        <f t="shared" si="238"/>
        <v>249.19928571428571</v>
      </c>
    </row>
    <row r="13515" spans="1:7" hidden="1" x14ac:dyDescent="0.25">
      <c r="A13515" s="28">
        <v>44652</v>
      </c>
      <c r="B13515" s="27" t="s">
        <v>35</v>
      </c>
      <c r="C13515" s="27" t="s">
        <v>50</v>
      </c>
      <c r="D13515" s="27" t="s">
        <v>7</v>
      </c>
      <c r="E13515" s="27" t="s">
        <v>8</v>
      </c>
      <c r="F13515" s="29"/>
      <c r="G13515" s="30">
        <v>471.67500000000001</v>
      </c>
    </row>
    <row r="13516" spans="1:7" hidden="1" x14ac:dyDescent="0.25">
      <c r="A13516" s="28">
        <v>44652</v>
      </c>
      <c r="B13516" s="27" t="s">
        <v>35</v>
      </c>
      <c r="C13516" s="27" t="s">
        <v>50</v>
      </c>
      <c r="D13516" s="27" t="s">
        <v>7</v>
      </c>
      <c r="E13516" s="27" t="s">
        <v>9</v>
      </c>
      <c r="F13516" s="29"/>
      <c r="G13516" s="30">
        <v>471.67500000000001</v>
      </c>
    </row>
    <row r="13517" spans="1:7" hidden="1" x14ac:dyDescent="0.25">
      <c r="A13517" s="28">
        <v>44652</v>
      </c>
      <c r="B13517" s="27" t="s">
        <v>35</v>
      </c>
      <c r="C13517" s="27" t="s">
        <v>50</v>
      </c>
      <c r="D13517" s="27" t="s">
        <v>7</v>
      </c>
      <c r="E13517" s="27" t="s">
        <v>22</v>
      </c>
      <c r="F13517" s="29"/>
      <c r="G13517" s="30">
        <v>471.67500000000001</v>
      </c>
    </row>
    <row r="13518" spans="1:7" hidden="1" x14ac:dyDescent="0.25">
      <c r="A13518" s="28">
        <v>44652</v>
      </c>
      <c r="B13518" s="27" t="s">
        <v>35</v>
      </c>
      <c r="C13518" s="27" t="s">
        <v>50</v>
      </c>
      <c r="D13518" s="27" t="s">
        <v>7</v>
      </c>
      <c r="E13518" s="27" t="s">
        <v>39</v>
      </c>
      <c r="F13518" s="29"/>
      <c r="G13518" s="30">
        <v>471.67500000000001</v>
      </c>
    </row>
    <row r="13519" spans="1:7" hidden="1" x14ac:dyDescent="0.25">
      <c r="A13519" s="28">
        <v>44652</v>
      </c>
      <c r="B13519" s="27" t="s">
        <v>35</v>
      </c>
      <c r="C13519" s="27" t="s">
        <v>50</v>
      </c>
      <c r="D13519" s="27" t="s">
        <v>7</v>
      </c>
      <c r="E13519" s="27" t="s">
        <v>64</v>
      </c>
      <c r="F13519" s="29"/>
      <c r="G13519" s="30">
        <v>471.67500000000001</v>
      </c>
    </row>
    <row r="13520" spans="1:7" hidden="1" x14ac:dyDescent="0.25">
      <c r="A13520" s="28">
        <v>44652</v>
      </c>
      <c r="B13520" s="27" t="s">
        <v>35</v>
      </c>
      <c r="C13520" s="27" t="s">
        <v>50</v>
      </c>
      <c r="D13520" s="27" t="s">
        <v>7</v>
      </c>
      <c r="E13520" s="27" t="s">
        <v>21</v>
      </c>
      <c r="F13520" s="29"/>
      <c r="G13520" s="30">
        <v>471.67500000000001</v>
      </c>
    </row>
    <row r="13521" spans="1:7" hidden="1" x14ac:dyDescent="0.25">
      <c r="A13521" s="28">
        <v>44652</v>
      </c>
      <c r="B13521" s="27" t="s">
        <v>35</v>
      </c>
      <c r="C13521" s="27" t="s">
        <v>50</v>
      </c>
      <c r="D13521" s="27" t="s">
        <v>7</v>
      </c>
      <c r="E13521" s="27" t="s">
        <v>41</v>
      </c>
      <c r="F13521" s="29"/>
      <c r="G13521" s="30">
        <v>471.67500000000001</v>
      </c>
    </row>
    <row r="13522" spans="1:7" hidden="1" x14ac:dyDescent="0.25">
      <c r="A13522" s="28">
        <v>44652</v>
      </c>
      <c r="B13522" s="27" t="s">
        <v>35</v>
      </c>
      <c r="C13522" s="27" t="s">
        <v>50</v>
      </c>
      <c r="D13522" s="27" t="s">
        <v>7</v>
      </c>
      <c r="E13522" s="27" t="s">
        <v>10</v>
      </c>
      <c r="F13522" s="29"/>
      <c r="G13522" s="30">
        <v>471.67500000000001</v>
      </c>
    </row>
    <row r="13523" spans="1:7" hidden="1" x14ac:dyDescent="0.25">
      <c r="A13523" s="28">
        <v>44652</v>
      </c>
      <c r="B13523" s="27" t="s">
        <v>35</v>
      </c>
      <c r="C13523" s="27" t="s">
        <v>50</v>
      </c>
      <c r="D13523" s="27" t="s">
        <v>7</v>
      </c>
      <c r="E13523" s="27" t="s">
        <v>11</v>
      </c>
      <c r="F13523" s="29"/>
      <c r="G13523" s="30">
        <v>471.67500000000001</v>
      </c>
    </row>
    <row r="13524" spans="1:7" hidden="1" x14ac:dyDescent="0.25">
      <c r="A13524" s="28">
        <v>44652</v>
      </c>
      <c r="B13524" s="27" t="s">
        <v>35</v>
      </c>
      <c r="C13524" s="27" t="s">
        <v>50</v>
      </c>
      <c r="D13524" s="27" t="s">
        <v>7</v>
      </c>
      <c r="E13524" s="27" t="s">
        <v>12</v>
      </c>
      <c r="F13524" s="29"/>
      <c r="G13524" s="30">
        <v>471.67500000000001</v>
      </c>
    </row>
    <row r="13525" spans="1:7" hidden="1" x14ac:dyDescent="0.25">
      <c r="A13525" s="28">
        <v>44652</v>
      </c>
      <c r="B13525" s="27" t="s">
        <v>35</v>
      </c>
      <c r="C13525" s="27" t="s">
        <v>50</v>
      </c>
      <c r="D13525" s="27" t="s">
        <v>7</v>
      </c>
      <c r="E13525" s="27" t="s">
        <v>13</v>
      </c>
      <c r="F13525" s="29"/>
      <c r="G13525" s="30">
        <v>471.67500000000001</v>
      </c>
    </row>
    <row r="13526" spans="1:7" hidden="1" x14ac:dyDescent="0.25">
      <c r="A13526" s="28">
        <v>44652</v>
      </c>
      <c r="B13526" s="27" t="s">
        <v>35</v>
      </c>
      <c r="C13526" s="27" t="s">
        <v>50</v>
      </c>
      <c r="D13526" s="27" t="s">
        <v>7</v>
      </c>
      <c r="E13526" s="27" t="s">
        <v>14</v>
      </c>
      <c r="F13526" s="29"/>
      <c r="G13526" s="30">
        <v>471.67500000000001</v>
      </c>
    </row>
    <row r="13527" spans="1:7" hidden="1" x14ac:dyDescent="0.25">
      <c r="A13527" s="28">
        <v>44652</v>
      </c>
      <c r="B13527" s="27" t="s">
        <v>35</v>
      </c>
      <c r="C13527" s="27" t="s">
        <v>50</v>
      </c>
      <c r="D13527" s="27" t="s">
        <v>7</v>
      </c>
      <c r="E13527" s="27" t="s">
        <v>15</v>
      </c>
      <c r="F13527" s="29"/>
      <c r="G13527" s="30">
        <v>471.67500000000001</v>
      </c>
    </row>
    <row r="13528" spans="1:7" hidden="1" x14ac:dyDescent="0.25">
      <c r="A13528" s="28">
        <v>44652</v>
      </c>
      <c r="B13528" s="27" t="s">
        <v>35</v>
      </c>
      <c r="C13528" s="27" t="s">
        <v>50</v>
      </c>
      <c r="D13528" s="27" t="s">
        <v>7</v>
      </c>
      <c r="E13528" s="27" t="s">
        <v>16</v>
      </c>
      <c r="F13528" s="29"/>
      <c r="G13528" s="30">
        <v>471.67500000000001</v>
      </c>
    </row>
    <row r="13529" spans="1:7" hidden="1" x14ac:dyDescent="0.25">
      <c r="A13529" s="28">
        <v>44652</v>
      </c>
      <c r="B13529" s="27" t="s">
        <v>35</v>
      </c>
      <c r="C13529" s="27" t="s">
        <v>50</v>
      </c>
      <c r="D13529" s="27" t="s">
        <v>7</v>
      </c>
      <c r="E13529" s="27" t="s">
        <v>17</v>
      </c>
      <c r="F13529" s="29"/>
      <c r="G13529" s="30">
        <v>471.67500000000001</v>
      </c>
    </row>
    <row r="13530" spans="1:7" hidden="1" x14ac:dyDescent="0.25">
      <c r="A13530" s="28">
        <v>44652</v>
      </c>
      <c r="B13530" s="27" t="s">
        <v>35</v>
      </c>
      <c r="C13530" s="27" t="s">
        <v>50</v>
      </c>
      <c r="D13530" s="27" t="s">
        <v>7</v>
      </c>
      <c r="E13530" s="27" t="s">
        <v>18</v>
      </c>
      <c r="F13530" s="29"/>
      <c r="G13530" s="30">
        <v>471.67500000000001</v>
      </c>
    </row>
    <row r="13531" spans="1:7" hidden="1" x14ac:dyDescent="0.25">
      <c r="A13531" s="28">
        <v>44652</v>
      </c>
      <c r="B13531" s="27" t="s">
        <v>35</v>
      </c>
      <c r="C13531" s="27" t="s">
        <v>50</v>
      </c>
      <c r="D13531" s="27" t="s">
        <v>7</v>
      </c>
      <c r="E13531" s="27" t="s">
        <v>19</v>
      </c>
      <c r="F13531" s="29"/>
      <c r="G13531" s="30">
        <v>471.67500000000001</v>
      </c>
    </row>
    <row r="13532" spans="1:7" hidden="1" x14ac:dyDescent="0.25">
      <c r="A13532" s="28">
        <v>44652</v>
      </c>
      <c r="B13532" s="27" t="s">
        <v>35</v>
      </c>
      <c r="C13532" s="27" t="s">
        <v>50</v>
      </c>
      <c r="D13532" s="27" t="s">
        <v>7</v>
      </c>
      <c r="E13532" s="27" t="s">
        <v>20</v>
      </c>
      <c r="F13532" s="29"/>
      <c r="G13532" s="30">
        <v>471.67500000000001</v>
      </c>
    </row>
    <row r="13533" spans="1:7" hidden="1" x14ac:dyDescent="0.25">
      <c r="A13533" s="28">
        <v>44652</v>
      </c>
      <c r="B13533" s="27" t="s">
        <v>35</v>
      </c>
      <c r="C13533" s="27" t="s">
        <v>50</v>
      </c>
      <c r="D13533" s="27" t="s">
        <v>7</v>
      </c>
      <c r="E13533" s="27" t="s">
        <v>38</v>
      </c>
      <c r="F13533" s="29"/>
      <c r="G13533" s="30">
        <v>471.67500000000001</v>
      </c>
    </row>
    <row r="13534" spans="1:7" hidden="1" x14ac:dyDescent="0.25">
      <c r="A13534" s="28">
        <v>44652</v>
      </c>
      <c r="B13534" s="27" t="s">
        <v>35</v>
      </c>
      <c r="C13534" s="27" t="s">
        <v>50</v>
      </c>
      <c r="D13534" s="27" t="s">
        <v>7</v>
      </c>
      <c r="E13534" s="27" t="s">
        <v>23</v>
      </c>
      <c r="F13534" s="29"/>
      <c r="G13534" s="30">
        <v>471.67500000000001</v>
      </c>
    </row>
    <row r="13535" spans="1:7" hidden="1" x14ac:dyDescent="0.25">
      <c r="A13535" s="28">
        <v>44652</v>
      </c>
      <c r="B13535" s="27" t="s">
        <v>35</v>
      </c>
      <c r="C13535" s="27" t="s">
        <v>50</v>
      </c>
      <c r="D13535" s="27" t="s">
        <v>7</v>
      </c>
      <c r="E13535" s="27" t="s">
        <v>40</v>
      </c>
      <c r="F13535" s="29"/>
      <c r="G13535" s="30">
        <v>471.67500000000001</v>
      </c>
    </row>
    <row r="13536" spans="1:7" hidden="1" x14ac:dyDescent="0.25">
      <c r="A13536" s="28">
        <v>44652</v>
      </c>
      <c r="B13536" s="27" t="s">
        <v>35</v>
      </c>
      <c r="C13536" s="27" t="s">
        <v>50</v>
      </c>
      <c r="D13536" s="27" t="s">
        <v>7</v>
      </c>
      <c r="E13536" s="27" t="s">
        <v>42</v>
      </c>
      <c r="F13536" s="29"/>
      <c r="G13536" s="30">
        <v>471.67500000000001</v>
      </c>
    </row>
    <row r="13537" spans="1:7" hidden="1" x14ac:dyDescent="0.25">
      <c r="A13537" s="28">
        <v>44652</v>
      </c>
      <c r="B13537" s="27" t="s">
        <v>35</v>
      </c>
      <c r="C13537" s="27" t="s">
        <v>50</v>
      </c>
      <c r="D13537" s="27" t="s">
        <v>7</v>
      </c>
      <c r="E13537" s="27" t="s">
        <v>43</v>
      </c>
      <c r="F13537" s="29"/>
      <c r="G13537" s="30">
        <v>471.67500000000001</v>
      </c>
    </row>
    <row r="13538" spans="1:7" hidden="1" x14ac:dyDescent="0.25">
      <c r="A13538" s="28">
        <v>44652</v>
      </c>
      <c r="B13538" s="27" t="s">
        <v>35</v>
      </c>
      <c r="C13538" s="27" t="s">
        <v>50</v>
      </c>
      <c r="D13538" s="27" t="s">
        <v>7</v>
      </c>
      <c r="E13538" s="27" t="s">
        <v>72</v>
      </c>
      <c r="F13538" s="29"/>
      <c r="G13538" s="30">
        <v>471.67500000000001</v>
      </c>
    </row>
    <row r="13539" spans="1:7" hidden="1" x14ac:dyDescent="0.25">
      <c r="A13539" s="28">
        <v>44652</v>
      </c>
      <c r="B13539" s="27" t="s">
        <v>35</v>
      </c>
      <c r="C13539" s="27" t="s">
        <v>50</v>
      </c>
      <c r="D13539" s="27" t="s">
        <v>7</v>
      </c>
      <c r="E13539" s="27" t="s">
        <v>206</v>
      </c>
      <c r="F13539" s="29"/>
      <c r="G13539" s="30">
        <v>471.67500000000001</v>
      </c>
    </row>
    <row r="13540" spans="1:7" hidden="1" x14ac:dyDescent="0.25">
      <c r="A13540" s="28">
        <v>44652</v>
      </c>
      <c r="B13540" s="27" t="s">
        <v>35</v>
      </c>
      <c r="C13540" s="27" t="s">
        <v>50</v>
      </c>
      <c r="D13540" s="27" t="s">
        <v>7</v>
      </c>
      <c r="E13540" s="27" t="s">
        <v>67</v>
      </c>
      <c r="F13540" s="29"/>
      <c r="G13540" s="30">
        <v>471.67500000000001</v>
      </c>
    </row>
    <row r="13541" spans="1:7" hidden="1" x14ac:dyDescent="0.25">
      <c r="A13541" s="28">
        <v>44652</v>
      </c>
      <c r="B13541" s="27" t="s">
        <v>35</v>
      </c>
      <c r="C13541" s="27" t="s">
        <v>50</v>
      </c>
      <c r="D13541" s="27" t="s">
        <v>7</v>
      </c>
      <c r="E13541" s="27" t="s">
        <v>68</v>
      </c>
      <c r="F13541" s="29"/>
      <c r="G13541" s="30">
        <v>471.67500000000001</v>
      </c>
    </row>
    <row r="13542" spans="1:7" hidden="1" x14ac:dyDescent="0.25">
      <c r="A13542" s="28">
        <v>44652</v>
      </c>
      <c r="B13542" s="27" t="s">
        <v>35</v>
      </c>
      <c r="C13542" s="27" t="s">
        <v>50</v>
      </c>
      <c r="D13542" s="27" t="s">
        <v>7</v>
      </c>
      <c r="E13542" s="27" t="s">
        <v>74</v>
      </c>
      <c r="F13542" s="29"/>
      <c r="G13542" s="30">
        <v>471.67500000000001</v>
      </c>
    </row>
    <row r="13543" spans="1:7" hidden="1" x14ac:dyDescent="0.25">
      <c r="A13543" s="28">
        <v>44652</v>
      </c>
      <c r="B13543" s="27" t="s">
        <v>34</v>
      </c>
      <c r="C13543" s="27" t="s">
        <v>50</v>
      </c>
      <c r="D13543" s="27" t="s">
        <v>6</v>
      </c>
      <c r="E13543" s="27" t="s">
        <v>8</v>
      </c>
      <c r="F13543" s="29"/>
      <c r="G13543" s="30">
        <v>273.50799999999998</v>
      </c>
    </row>
    <row r="13544" spans="1:7" hidden="1" x14ac:dyDescent="0.25">
      <c r="A13544" s="28">
        <v>44652</v>
      </c>
      <c r="B13544" s="27" t="s">
        <v>34</v>
      </c>
      <c r="C13544" s="27" t="s">
        <v>50</v>
      </c>
      <c r="D13544" s="27" t="s">
        <v>6</v>
      </c>
      <c r="E13544" s="27" t="s">
        <v>9</v>
      </c>
      <c r="F13544" s="29"/>
      <c r="G13544" s="30">
        <v>273.50799999999998</v>
      </c>
    </row>
    <row r="13545" spans="1:7" hidden="1" x14ac:dyDescent="0.25">
      <c r="A13545" s="28">
        <v>44652</v>
      </c>
      <c r="B13545" s="27" t="s">
        <v>34</v>
      </c>
      <c r="C13545" s="27" t="s">
        <v>50</v>
      </c>
      <c r="D13545" s="27" t="s">
        <v>6</v>
      </c>
      <c r="E13545" s="27" t="s">
        <v>22</v>
      </c>
      <c r="F13545" s="29"/>
      <c r="G13545" s="30">
        <v>273.50799999999998</v>
      </c>
    </row>
    <row r="13546" spans="1:7" hidden="1" x14ac:dyDescent="0.25">
      <c r="A13546" s="28">
        <v>44652</v>
      </c>
      <c r="B13546" s="27" t="s">
        <v>34</v>
      </c>
      <c r="C13546" s="27" t="s">
        <v>50</v>
      </c>
      <c r="D13546" s="27" t="s">
        <v>6</v>
      </c>
      <c r="E13546" s="27" t="s">
        <v>39</v>
      </c>
      <c r="F13546" s="29"/>
      <c r="G13546" s="30">
        <v>273.50799999999998</v>
      </c>
    </row>
    <row r="13547" spans="1:7" hidden="1" x14ac:dyDescent="0.25">
      <c r="A13547" s="28">
        <v>44652</v>
      </c>
      <c r="B13547" s="27" t="s">
        <v>34</v>
      </c>
      <c r="C13547" s="27" t="s">
        <v>50</v>
      </c>
      <c r="D13547" s="27" t="s">
        <v>6</v>
      </c>
      <c r="E13547" s="27" t="s">
        <v>64</v>
      </c>
      <c r="F13547" s="29"/>
      <c r="G13547" s="30">
        <v>273.50799999999998</v>
      </c>
    </row>
    <row r="13548" spans="1:7" hidden="1" x14ac:dyDescent="0.25">
      <c r="A13548" s="28">
        <v>44652</v>
      </c>
      <c r="B13548" s="27" t="s">
        <v>34</v>
      </c>
      <c r="C13548" s="27" t="s">
        <v>50</v>
      </c>
      <c r="D13548" s="27" t="s">
        <v>6</v>
      </c>
      <c r="E13548" s="27" t="s">
        <v>21</v>
      </c>
      <c r="F13548" s="29"/>
      <c r="G13548" s="30">
        <v>273.50799999999998</v>
      </c>
    </row>
    <row r="13549" spans="1:7" hidden="1" x14ac:dyDescent="0.25">
      <c r="A13549" s="28">
        <v>44652</v>
      </c>
      <c r="B13549" s="27" t="s">
        <v>34</v>
      </c>
      <c r="C13549" s="27" t="s">
        <v>50</v>
      </c>
      <c r="D13549" s="27" t="s">
        <v>6</v>
      </c>
      <c r="E13549" s="27" t="s">
        <v>41</v>
      </c>
      <c r="F13549" s="29"/>
      <c r="G13549" s="30">
        <v>273.50799999999998</v>
      </c>
    </row>
    <row r="13550" spans="1:7" hidden="1" x14ac:dyDescent="0.25">
      <c r="A13550" s="28">
        <v>44652</v>
      </c>
      <c r="B13550" s="27" t="s">
        <v>34</v>
      </c>
      <c r="C13550" s="27" t="s">
        <v>50</v>
      </c>
      <c r="D13550" s="27" t="s">
        <v>6</v>
      </c>
      <c r="E13550" s="27" t="s">
        <v>10</v>
      </c>
      <c r="F13550" s="29"/>
      <c r="G13550" s="30">
        <v>273.50799999999998</v>
      </c>
    </row>
    <row r="13551" spans="1:7" hidden="1" x14ac:dyDescent="0.25">
      <c r="A13551" s="28">
        <v>44652</v>
      </c>
      <c r="B13551" s="27" t="s">
        <v>34</v>
      </c>
      <c r="C13551" s="27" t="s">
        <v>50</v>
      </c>
      <c r="D13551" s="27" t="s">
        <v>6</v>
      </c>
      <c r="E13551" s="27" t="s">
        <v>11</v>
      </c>
      <c r="F13551" s="29"/>
      <c r="G13551" s="30">
        <v>273.50799999999998</v>
      </c>
    </row>
    <row r="13552" spans="1:7" hidden="1" x14ac:dyDescent="0.25">
      <c r="A13552" s="28">
        <v>44652</v>
      </c>
      <c r="B13552" s="27" t="s">
        <v>34</v>
      </c>
      <c r="C13552" s="27" t="s">
        <v>50</v>
      </c>
      <c r="D13552" s="27" t="s">
        <v>6</v>
      </c>
      <c r="E13552" s="27" t="s">
        <v>12</v>
      </c>
      <c r="F13552" s="29"/>
      <c r="G13552" s="30">
        <v>273.50799999999998</v>
      </c>
    </row>
    <row r="13553" spans="1:7" hidden="1" x14ac:dyDescent="0.25">
      <c r="A13553" s="28">
        <v>44652</v>
      </c>
      <c r="B13553" s="27" t="s">
        <v>34</v>
      </c>
      <c r="C13553" s="27" t="s">
        <v>50</v>
      </c>
      <c r="D13553" s="27" t="s">
        <v>6</v>
      </c>
      <c r="E13553" s="27" t="s">
        <v>13</v>
      </c>
      <c r="F13553" s="29"/>
      <c r="G13553" s="30">
        <v>273.50799999999998</v>
      </c>
    </row>
    <row r="13554" spans="1:7" hidden="1" x14ac:dyDescent="0.25">
      <c r="A13554" s="28">
        <v>44652</v>
      </c>
      <c r="B13554" s="27" t="s">
        <v>34</v>
      </c>
      <c r="C13554" s="27" t="s">
        <v>50</v>
      </c>
      <c r="D13554" s="27" t="s">
        <v>6</v>
      </c>
      <c r="E13554" s="27" t="s">
        <v>14</v>
      </c>
      <c r="F13554" s="29"/>
      <c r="G13554" s="30">
        <v>273.50799999999998</v>
      </c>
    </row>
    <row r="13555" spans="1:7" hidden="1" x14ac:dyDescent="0.25">
      <c r="A13555" s="28">
        <v>44652</v>
      </c>
      <c r="B13555" s="27" t="s">
        <v>34</v>
      </c>
      <c r="C13555" s="27" t="s">
        <v>50</v>
      </c>
      <c r="D13555" s="27" t="s">
        <v>6</v>
      </c>
      <c r="E13555" s="27" t="s">
        <v>15</v>
      </c>
      <c r="F13555" s="29"/>
      <c r="G13555" s="30">
        <v>273.50799999999998</v>
      </c>
    </row>
    <row r="13556" spans="1:7" hidden="1" x14ac:dyDescent="0.25">
      <c r="A13556" s="28">
        <v>44652</v>
      </c>
      <c r="B13556" s="27" t="s">
        <v>34</v>
      </c>
      <c r="C13556" s="27" t="s">
        <v>50</v>
      </c>
      <c r="D13556" s="27" t="s">
        <v>6</v>
      </c>
      <c r="E13556" s="27" t="s">
        <v>16</v>
      </c>
      <c r="F13556" s="29"/>
      <c r="G13556" s="30">
        <v>273.50799999999998</v>
      </c>
    </row>
    <row r="13557" spans="1:7" hidden="1" x14ac:dyDescent="0.25">
      <c r="A13557" s="28">
        <v>44652</v>
      </c>
      <c r="B13557" s="27" t="s">
        <v>34</v>
      </c>
      <c r="C13557" s="27" t="s">
        <v>50</v>
      </c>
      <c r="D13557" s="27" t="s">
        <v>6</v>
      </c>
      <c r="E13557" s="27" t="s">
        <v>17</v>
      </c>
      <c r="F13557" s="29"/>
      <c r="G13557" s="30">
        <v>273.50799999999998</v>
      </c>
    </row>
    <row r="13558" spans="1:7" hidden="1" x14ac:dyDescent="0.25">
      <c r="A13558" s="28">
        <v>44652</v>
      </c>
      <c r="B13558" s="27" t="s">
        <v>34</v>
      </c>
      <c r="C13558" s="27" t="s">
        <v>50</v>
      </c>
      <c r="D13558" s="27" t="s">
        <v>6</v>
      </c>
      <c r="E13558" s="27" t="s">
        <v>18</v>
      </c>
      <c r="F13558" s="29"/>
      <c r="G13558" s="30">
        <v>273.50799999999998</v>
      </c>
    </row>
    <row r="13559" spans="1:7" hidden="1" x14ac:dyDescent="0.25">
      <c r="A13559" s="28">
        <v>44652</v>
      </c>
      <c r="B13559" s="27" t="s">
        <v>34</v>
      </c>
      <c r="C13559" s="27" t="s">
        <v>50</v>
      </c>
      <c r="D13559" s="27" t="s">
        <v>6</v>
      </c>
      <c r="E13559" s="27" t="s">
        <v>19</v>
      </c>
      <c r="F13559" s="29"/>
      <c r="G13559" s="30">
        <v>273.50799999999998</v>
      </c>
    </row>
    <row r="13560" spans="1:7" hidden="1" x14ac:dyDescent="0.25">
      <c r="A13560" s="28">
        <v>44652</v>
      </c>
      <c r="B13560" s="27" t="s">
        <v>34</v>
      </c>
      <c r="C13560" s="27" t="s">
        <v>50</v>
      </c>
      <c r="D13560" s="27" t="s">
        <v>6</v>
      </c>
      <c r="E13560" s="27" t="s">
        <v>20</v>
      </c>
      <c r="F13560" s="29"/>
      <c r="G13560" s="30">
        <v>273.50799999999998</v>
      </c>
    </row>
    <row r="13561" spans="1:7" hidden="1" x14ac:dyDescent="0.25">
      <c r="A13561" s="28">
        <v>44652</v>
      </c>
      <c r="B13561" s="27" t="s">
        <v>34</v>
      </c>
      <c r="C13561" s="27" t="s">
        <v>50</v>
      </c>
      <c r="D13561" s="27" t="s">
        <v>6</v>
      </c>
      <c r="E13561" s="27" t="s">
        <v>38</v>
      </c>
      <c r="F13561" s="29"/>
      <c r="G13561" s="30">
        <v>273.50799999999998</v>
      </c>
    </row>
    <row r="13562" spans="1:7" hidden="1" x14ac:dyDescent="0.25">
      <c r="A13562" s="28">
        <v>44652</v>
      </c>
      <c r="B13562" s="27" t="s">
        <v>34</v>
      </c>
      <c r="C13562" s="27" t="s">
        <v>50</v>
      </c>
      <c r="D13562" s="27" t="s">
        <v>6</v>
      </c>
      <c r="E13562" s="27" t="s">
        <v>23</v>
      </c>
      <c r="F13562" s="29"/>
      <c r="G13562" s="30">
        <v>273.50799999999998</v>
      </c>
    </row>
    <row r="13563" spans="1:7" hidden="1" x14ac:dyDescent="0.25">
      <c r="A13563" s="28">
        <v>44652</v>
      </c>
      <c r="B13563" s="27" t="s">
        <v>34</v>
      </c>
      <c r="C13563" s="27" t="s">
        <v>50</v>
      </c>
      <c r="D13563" s="27" t="s">
        <v>6</v>
      </c>
      <c r="E13563" s="27" t="s">
        <v>40</v>
      </c>
      <c r="F13563" s="29"/>
      <c r="G13563" s="30">
        <v>273.50799999999998</v>
      </c>
    </row>
    <row r="13564" spans="1:7" hidden="1" x14ac:dyDescent="0.25">
      <c r="A13564" s="28">
        <v>44652</v>
      </c>
      <c r="B13564" s="27" t="s">
        <v>34</v>
      </c>
      <c r="C13564" s="27" t="s">
        <v>50</v>
      </c>
      <c r="D13564" s="27" t="s">
        <v>6</v>
      </c>
      <c r="E13564" s="27" t="s">
        <v>42</v>
      </c>
      <c r="F13564" s="29"/>
      <c r="G13564" s="30">
        <v>273.50799999999998</v>
      </c>
    </row>
    <row r="13565" spans="1:7" hidden="1" x14ac:dyDescent="0.25">
      <c r="A13565" s="28">
        <v>44652</v>
      </c>
      <c r="B13565" s="27" t="s">
        <v>34</v>
      </c>
      <c r="C13565" s="27" t="s">
        <v>50</v>
      </c>
      <c r="D13565" s="27" t="s">
        <v>6</v>
      </c>
      <c r="E13565" s="27" t="s">
        <v>43</v>
      </c>
      <c r="F13565" s="29"/>
      <c r="G13565" s="30">
        <v>273.50799999999998</v>
      </c>
    </row>
    <row r="13566" spans="1:7" hidden="1" x14ac:dyDescent="0.25">
      <c r="A13566" s="28">
        <v>44652</v>
      </c>
      <c r="B13566" s="27" t="s">
        <v>34</v>
      </c>
      <c r="C13566" s="27" t="s">
        <v>50</v>
      </c>
      <c r="D13566" s="27" t="s">
        <v>6</v>
      </c>
      <c r="E13566" s="27" t="s">
        <v>72</v>
      </c>
      <c r="F13566" s="29"/>
      <c r="G13566" s="30">
        <v>273.50799999999998</v>
      </c>
    </row>
    <row r="13567" spans="1:7" hidden="1" x14ac:dyDescent="0.25">
      <c r="A13567" s="28">
        <v>44652</v>
      </c>
      <c r="B13567" s="27" t="s">
        <v>34</v>
      </c>
      <c r="C13567" s="27" t="s">
        <v>50</v>
      </c>
      <c r="D13567" s="27" t="s">
        <v>6</v>
      </c>
      <c r="E13567" s="27" t="s">
        <v>206</v>
      </c>
      <c r="F13567" s="29"/>
      <c r="G13567" s="30">
        <v>273.50799999999998</v>
      </c>
    </row>
    <row r="13568" spans="1:7" hidden="1" x14ac:dyDescent="0.25">
      <c r="A13568" s="28">
        <v>44682</v>
      </c>
      <c r="B13568" s="27" t="s">
        <v>33</v>
      </c>
      <c r="C13568" s="27" t="s">
        <v>50</v>
      </c>
      <c r="D13568" s="27" t="s">
        <v>7</v>
      </c>
      <c r="E13568" s="27" t="s">
        <v>8</v>
      </c>
      <c r="F13568" s="29"/>
      <c r="G13568" s="30">
        <v>3134.2546428571432</v>
      </c>
    </row>
    <row r="13569" spans="1:7" hidden="1" x14ac:dyDescent="0.25">
      <c r="A13569" s="28">
        <v>44682</v>
      </c>
      <c r="B13569" s="27" t="s">
        <v>33</v>
      </c>
      <c r="C13569" s="27" t="s">
        <v>50</v>
      </c>
      <c r="D13569" s="27" t="s">
        <v>7</v>
      </c>
      <c r="E13569" s="27" t="s">
        <v>9</v>
      </c>
      <c r="F13569" s="29"/>
      <c r="G13569" s="30">
        <v>3134.2546428571432</v>
      </c>
    </row>
    <row r="13570" spans="1:7" hidden="1" x14ac:dyDescent="0.25">
      <c r="A13570" s="28">
        <v>44682</v>
      </c>
      <c r="B13570" s="27" t="s">
        <v>33</v>
      </c>
      <c r="C13570" s="27" t="s">
        <v>50</v>
      </c>
      <c r="D13570" s="27" t="s">
        <v>7</v>
      </c>
      <c r="E13570" s="27" t="s">
        <v>22</v>
      </c>
      <c r="F13570" s="29"/>
      <c r="G13570" s="30">
        <v>3134.2546428571432</v>
      </c>
    </row>
    <row r="13571" spans="1:7" hidden="1" x14ac:dyDescent="0.25">
      <c r="A13571" s="28">
        <v>44682</v>
      </c>
      <c r="B13571" s="27" t="s">
        <v>33</v>
      </c>
      <c r="C13571" s="27" t="s">
        <v>50</v>
      </c>
      <c r="D13571" s="27" t="s">
        <v>7</v>
      </c>
      <c r="E13571" s="27" t="s">
        <v>39</v>
      </c>
      <c r="F13571" s="29"/>
      <c r="G13571" s="30">
        <v>3134.2546428571432</v>
      </c>
    </row>
    <row r="13572" spans="1:7" hidden="1" x14ac:dyDescent="0.25">
      <c r="A13572" s="28">
        <v>44682</v>
      </c>
      <c r="B13572" s="27" t="s">
        <v>33</v>
      </c>
      <c r="C13572" s="27" t="s">
        <v>50</v>
      </c>
      <c r="D13572" s="27" t="s">
        <v>7</v>
      </c>
      <c r="E13572" s="27" t="s">
        <v>64</v>
      </c>
      <c r="F13572" s="29"/>
      <c r="G13572" s="30">
        <v>3134.2546428571432</v>
      </c>
    </row>
    <row r="13573" spans="1:7" hidden="1" x14ac:dyDescent="0.25">
      <c r="A13573" s="28">
        <v>44682</v>
      </c>
      <c r="B13573" s="27" t="s">
        <v>33</v>
      </c>
      <c r="C13573" s="27" t="s">
        <v>50</v>
      </c>
      <c r="D13573" s="27" t="s">
        <v>7</v>
      </c>
      <c r="E13573" s="27" t="s">
        <v>21</v>
      </c>
      <c r="F13573" s="29"/>
      <c r="G13573" s="30">
        <v>3134.2546428571432</v>
      </c>
    </row>
    <row r="13574" spans="1:7" hidden="1" x14ac:dyDescent="0.25">
      <c r="A13574" s="28">
        <v>44682</v>
      </c>
      <c r="B13574" s="27" t="s">
        <v>33</v>
      </c>
      <c r="C13574" s="27" t="s">
        <v>50</v>
      </c>
      <c r="D13574" s="27" t="s">
        <v>7</v>
      </c>
      <c r="E13574" s="27" t="s">
        <v>41</v>
      </c>
      <c r="F13574" s="29"/>
      <c r="G13574" s="30">
        <v>3134.2546428571432</v>
      </c>
    </row>
    <row r="13575" spans="1:7" hidden="1" x14ac:dyDescent="0.25">
      <c r="A13575" s="28">
        <v>44682</v>
      </c>
      <c r="B13575" s="27" t="s">
        <v>33</v>
      </c>
      <c r="C13575" s="27" t="s">
        <v>50</v>
      </c>
      <c r="D13575" s="27" t="s">
        <v>7</v>
      </c>
      <c r="E13575" s="27" t="s">
        <v>10</v>
      </c>
      <c r="F13575" s="29"/>
      <c r="G13575" s="30">
        <v>3134.2546428571432</v>
      </c>
    </row>
    <row r="13576" spans="1:7" hidden="1" x14ac:dyDescent="0.25">
      <c r="A13576" s="28">
        <v>44682</v>
      </c>
      <c r="B13576" s="27" t="s">
        <v>33</v>
      </c>
      <c r="C13576" s="27" t="s">
        <v>50</v>
      </c>
      <c r="D13576" s="27" t="s">
        <v>7</v>
      </c>
      <c r="E13576" s="27" t="s">
        <v>11</v>
      </c>
      <c r="F13576" s="29"/>
      <c r="G13576" s="30">
        <v>3134.2546428571432</v>
      </c>
    </row>
    <row r="13577" spans="1:7" hidden="1" x14ac:dyDescent="0.25">
      <c r="A13577" s="28">
        <v>44682</v>
      </c>
      <c r="B13577" s="27" t="s">
        <v>33</v>
      </c>
      <c r="C13577" s="27" t="s">
        <v>50</v>
      </c>
      <c r="D13577" s="27" t="s">
        <v>7</v>
      </c>
      <c r="E13577" s="27" t="s">
        <v>12</v>
      </c>
      <c r="F13577" s="29"/>
      <c r="G13577" s="30">
        <v>3134.2546428571432</v>
      </c>
    </row>
    <row r="13578" spans="1:7" hidden="1" x14ac:dyDescent="0.25">
      <c r="A13578" s="28">
        <v>44682</v>
      </c>
      <c r="B13578" s="27" t="s">
        <v>33</v>
      </c>
      <c r="C13578" s="27" t="s">
        <v>50</v>
      </c>
      <c r="D13578" s="27" t="s">
        <v>7</v>
      </c>
      <c r="E13578" s="27" t="s">
        <v>13</v>
      </c>
      <c r="F13578" s="29"/>
      <c r="G13578" s="30">
        <v>3134.2546428571432</v>
      </c>
    </row>
    <row r="13579" spans="1:7" hidden="1" x14ac:dyDescent="0.25">
      <c r="A13579" s="28">
        <v>44682</v>
      </c>
      <c r="B13579" s="27" t="s">
        <v>33</v>
      </c>
      <c r="C13579" s="27" t="s">
        <v>50</v>
      </c>
      <c r="D13579" s="27" t="s">
        <v>7</v>
      </c>
      <c r="E13579" s="27" t="s">
        <v>14</v>
      </c>
      <c r="F13579" s="29"/>
      <c r="G13579" s="30">
        <v>3134.2546428571432</v>
      </c>
    </row>
    <row r="13580" spans="1:7" hidden="1" x14ac:dyDescent="0.25">
      <c r="A13580" s="28">
        <v>44682</v>
      </c>
      <c r="B13580" s="27" t="s">
        <v>33</v>
      </c>
      <c r="C13580" s="27" t="s">
        <v>50</v>
      </c>
      <c r="D13580" s="27" t="s">
        <v>7</v>
      </c>
      <c r="E13580" s="27" t="s">
        <v>15</v>
      </c>
      <c r="F13580" s="29"/>
      <c r="G13580" s="30">
        <v>3134.2546428571432</v>
      </c>
    </row>
    <row r="13581" spans="1:7" hidden="1" x14ac:dyDescent="0.25">
      <c r="A13581" s="28">
        <v>44682</v>
      </c>
      <c r="B13581" s="27" t="s">
        <v>33</v>
      </c>
      <c r="C13581" s="27" t="s">
        <v>50</v>
      </c>
      <c r="D13581" s="27" t="s">
        <v>7</v>
      </c>
      <c r="E13581" s="27" t="s">
        <v>16</v>
      </c>
      <c r="F13581" s="29"/>
      <c r="G13581" s="30">
        <v>3134.2546428571432</v>
      </c>
    </row>
    <row r="13582" spans="1:7" hidden="1" x14ac:dyDescent="0.25">
      <c r="A13582" s="28">
        <v>44682</v>
      </c>
      <c r="B13582" s="27" t="s">
        <v>33</v>
      </c>
      <c r="C13582" s="27" t="s">
        <v>50</v>
      </c>
      <c r="D13582" s="27" t="s">
        <v>7</v>
      </c>
      <c r="E13582" s="27" t="s">
        <v>17</v>
      </c>
      <c r="F13582" s="29"/>
      <c r="G13582" s="30">
        <v>3134.2546428571432</v>
      </c>
    </row>
    <row r="13583" spans="1:7" hidden="1" x14ac:dyDescent="0.25">
      <c r="A13583" s="28">
        <v>44682</v>
      </c>
      <c r="B13583" s="27" t="s">
        <v>33</v>
      </c>
      <c r="C13583" s="27" t="s">
        <v>50</v>
      </c>
      <c r="D13583" s="27" t="s">
        <v>7</v>
      </c>
      <c r="E13583" s="27" t="s">
        <v>18</v>
      </c>
      <c r="F13583" s="29"/>
      <c r="G13583" s="30">
        <v>3134.2546428571432</v>
      </c>
    </row>
    <row r="13584" spans="1:7" hidden="1" x14ac:dyDescent="0.25">
      <c r="A13584" s="28">
        <v>44682</v>
      </c>
      <c r="B13584" s="27" t="s">
        <v>33</v>
      </c>
      <c r="C13584" s="27" t="s">
        <v>50</v>
      </c>
      <c r="D13584" s="27" t="s">
        <v>7</v>
      </c>
      <c r="E13584" s="27" t="s">
        <v>19</v>
      </c>
      <c r="F13584" s="29"/>
      <c r="G13584" s="30">
        <v>3134.2546428571432</v>
      </c>
    </row>
    <row r="13585" spans="1:7" hidden="1" x14ac:dyDescent="0.25">
      <c r="A13585" s="28">
        <v>44682</v>
      </c>
      <c r="B13585" s="27" t="s">
        <v>33</v>
      </c>
      <c r="C13585" s="27" t="s">
        <v>50</v>
      </c>
      <c r="D13585" s="27" t="s">
        <v>7</v>
      </c>
      <c r="E13585" s="27" t="s">
        <v>20</v>
      </c>
      <c r="F13585" s="29"/>
      <c r="G13585" s="30">
        <v>3134.2546428571432</v>
      </c>
    </row>
    <row r="13586" spans="1:7" hidden="1" x14ac:dyDescent="0.25">
      <c r="A13586" s="28">
        <v>44682</v>
      </c>
      <c r="B13586" s="27" t="s">
        <v>33</v>
      </c>
      <c r="C13586" s="27" t="s">
        <v>50</v>
      </c>
      <c r="D13586" s="27" t="s">
        <v>7</v>
      </c>
      <c r="E13586" s="27" t="s">
        <v>38</v>
      </c>
      <c r="F13586" s="29"/>
      <c r="G13586" s="30">
        <v>3134.2546428571432</v>
      </c>
    </row>
    <row r="13587" spans="1:7" hidden="1" x14ac:dyDescent="0.25">
      <c r="A13587" s="28">
        <v>44682</v>
      </c>
      <c r="B13587" s="27" t="s">
        <v>33</v>
      </c>
      <c r="C13587" s="27" t="s">
        <v>50</v>
      </c>
      <c r="D13587" s="27" t="s">
        <v>7</v>
      </c>
      <c r="E13587" s="27" t="s">
        <v>23</v>
      </c>
      <c r="F13587" s="29"/>
      <c r="G13587" s="30">
        <v>3134.2546428571432</v>
      </c>
    </row>
    <row r="13588" spans="1:7" hidden="1" x14ac:dyDescent="0.25">
      <c r="A13588" s="28">
        <v>44682</v>
      </c>
      <c r="B13588" s="27" t="s">
        <v>33</v>
      </c>
      <c r="C13588" s="27" t="s">
        <v>50</v>
      </c>
      <c r="D13588" s="27" t="s">
        <v>7</v>
      </c>
      <c r="E13588" s="27" t="s">
        <v>40</v>
      </c>
      <c r="F13588" s="29"/>
      <c r="G13588" s="30">
        <v>3134.2546428571432</v>
      </c>
    </row>
    <row r="13589" spans="1:7" hidden="1" x14ac:dyDescent="0.25">
      <c r="A13589" s="28">
        <v>44682</v>
      </c>
      <c r="B13589" s="27" t="s">
        <v>33</v>
      </c>
      <c r="C13589" s="27" t="s">
        <v>50</v>
      </c>
      <c r="D13589" s="27" t="s">
        <v>7</v>
      </c>
      <c r="E13589" s="27" t="s">
        <v>42</v>
      </c>
      <c r="F13589" s="29"/>
      <c r="G13589" s="30">
        <v>3134.2546428571432</v>
      </c>
    </row>
    <row r="13590" spans="1:7" hidden="1" x14ac:dyDescent="0.25">
      <c r="A13590" s="28">
        <v>44682</v>
      </c>
      <c r="B13590" s="27" t="s">
        <v>33</v>
      </c>
      <c r="C13590" s="27" t="s">
        <v>50</v>
      </c>
      <c r="D13590" s="27" t="s">
        <v>7</v>
      </c>
      <c r="E13590" s="27" t="s">
        <v>43</v>
      </c>
      <c r="F13590" s="29"/>
      <c r="G13590" s="30">
        <v>3134.2546428571432</v>
      </c>
    </row>
    <row r="13591" spans="1:7" hidden="1" x14ac:dyDescent="0.25">
      <c r="A13591" s="28">
        <v>44682</v>
      </c>
      <c r="B13591" s="27" t="s">
        <v>33</v>
      </c>
      <c r="C13591" s="27" t="s">
        <v>50</v>
      </c>
      <c r="D13591" s="27" t="s">
        <v>7</v>
      </c>
      <c r="E13591" s="27" t="s">
        <v>72</v>
      </c>
      <c r="F13591" s="29"/>
      <c r="G13591" s="30">
        <v>3134.2546428571432</v>
      </c>
    </row>
    <row r="13592" spans="1:7" hidden="1" x14ac:dyDescent="0.25">
      <c r="A13592" s="28">
        <v>44682</v>
      </c>
      <c r="B13592" s="27" t="s">
        <v>33</v>
      </c>
      <c r="C13592" s="27" t="s">
        <v>50</v>
      </c>
      <c r="D13592" s="27" t="s">
        <v>7</v>
      </c>
      <c r="E13592" s="27" t="s">
        <v>206</v>
      </c>
      <c r="F13592" s="29"/>
      <c r="G13592" s="30">
        <v>3134.2546428571432</v>
      </c>
    </row>
    <row r="13593" spans="1:7" hidden="1" x14ac:dyDescent="0.25">
      <c r="A13593" s="28">
        <v>44682</v>
      </c>
      <c r="B13593" s="27" t="s">
        <v>33</v>
      </c>
      <c r="C13593" s="27" t="s">
        <v>50</v>
      </c>
      <c r="D13593" s="27" t="s">
        <v>7</v>
      </c>
      <c r="E13593" s="27" t="s">
        <v>67</v>
      </c>
      <c r="F13593" s="29"/>
      <c r="G13593" s="30">
        <v>3134.2546428571432</v>
      </c>
    </row>
    <row r="13594" spans="1:7" hidden="1" x14ac:dyDescent="0.25">
      <c r="A13594" s="28">
        <v>44682</v>
      </c>
      <c r="B13594" s="27" t="s">
        <v>33</v>
      </c>
      <c r="C13594" s="27" t="s">
        <v>50</v>
      </c>
      <c r="D13594" s="27" t="s">
        <v>7</v>
      </c>
      <c r="E13594" s="27" t="s">
        <v>68</v>
      </c>
      <c r="F13594" s="29"/>
      <c r="G13594" s="30">
        <v>3134.2546428571432</v>
      </c>
    </row>
    <row r="13595" spans="1:7" hidden="1" x14ac:dyDescent="0.25">
      <c r="A13595" s="28">
        <v>44682</v>
      </c>
      <c r="B13595" s="27" t="s">
        <v>33</v>
      </c>
      <c r="C13595" s="27" t="s">
        <v>50</v>
      </c>
      <c r="D13595" s="27" t="s">
        <v>7</v>
      </c>
      <c r="E13595" s="27" t="s">
        <v>74</v>
      </c>
      <c r="F13595" s="29"/>
      <c r="G13595" s="30">
        <v>3134.2546428571432</v>
      </c>
    </row>
    <row r="13596" spans="1:7" hidden="1" x14ac:dyDescent="0.25">
      <c r="A13596" s="28">
        <v>44682</v>
      </c>
      <c r="B13596" s="27" t="s">
        <v>4</v>
      </c>
      <c r="C13596" s="27" t="s">
        <v>50</v>
      </c>
      <c r="D13596" s="27" t="s">
        <v>7</v>
      </c>
      <c r="E13596" s="27" t="s">
        <v>8</v>
      </c>
      <c r="F13596" s="29"/>
      <c r="G13596" s="30">
        <v>5717.71</v>
      </c>
    </row>
    <row r="13597" spans="1:7" hidden="1" x14ac:dyDescent="0.25">
      <c r="A13597" s="28">
        <v>44682</v>
      </c>
      <c r="B13597" s="27" t="s">
        <v>4</v>
      </c>
      <c r="C13597" s="27" t="s">
        <v>50</v>
      </c>
      <c r="D13597" s="27" t="s">
        <v>7</v>
      </c>
      <c r="E13597" s="27" t="s">
        <v>9</v>
      </c>
      <c r="F13597" s="29"/>
      <c r="G13597" s="30">
        <f>83608.04/13</f>
        <v>6431.3876923076914</v>
      </c>
    </row>
    <row r="13598" spans="1:7" hidden="1" x14ac:dyDescent="0.25">
      <c r="A13598" s="28">
        <v>44682</v>
      </c>
      <c r="B13598" s="27" t="s">
        <v>4</v>
      </c>
      <c r="C13598" s="27" t="s">
        <v>50</v>
      </c>
      <c r="D13598" s="27" t="s">
        <v>7</v>
      </c>
      <c r="E13598" s="27" t="s">
        <v>22</v>
      </c>
      <c r="F13598" s="29"/>
      <c r="G13598" s="30">
        <f>83608.04/13</f>
        <v>6431.3876923076914</v>
      </c>
    </row>
    <row r="13599" spans="1:7" hidden="1" x14ac:dyDescent="0.25">
      <c r="A13599" s="28">
        <v>44682</v>
      </c>
      <c r="B13599" s="27" t="s">
        <v>4</v>
      </c>
      <c r="C13599" s="27" t="s">
        <v>50</v>
      </c>
      <c r="D13599" s="27" t="s">
        <v>7</v>
      </c>
      <c r="E13599" s="27" t="s">
        <v>39</v>
      </c>
      <c r="F13599" s="29"/>
      <c r="G13599" s="30">
        <v>1367.71</v>
      </c>
    </row>
    <row r="13600" spans="1:7" hidden="1" x14ac:dyDescent="0.25">
      <c r="A13600" s="28">
        <v>44682</v>
      </c>
      <c r="B13600" s="27" t="s">
        <v>4</v>
      </c>
      <c r="C13600" s="27" t="s">
        <v>50</v>
      </c>
      <c r="D13600" s="27" t="s">
        <v>7</v>
      </c>
      <c r="E13600" s="27" t="s">
        <v>64</v>
      </c>
      <c r="F13600" s="29"/>
      <c r="G13600" s="30">
        <f>83608.04/13</f>
        <v>6431.3876923076914</v>
      </c>
    </row>
    <row r="13601" spans="1:7" hidden="1" x14ac:dyDescent="0.25">
      <c r="A13601" s="28">
        <v>44682</v>
      </c>
      <c r="B13601" s="27" t="s">
        <v>4</v>
      </c>
      <c r="C13601" s="27" t="s">
        <v>50</v>
      </c>
      <c r="D13601" s="27" t="s">
        <v>7</v>
      </c>
      <c r="E13601" s="27" t="s">
        <v>21</v>
      </c>
      <c r="F13601" s="29"/>
      <c r="G13601" s="30">
        <v>3547.09</v>
      </c>
    </row>
    <row r="13602" spans="1:7" hidden="1" x14ac:dyDescent="0.25">
      <c r="A13602" s="28">
        <v>44682</v>
      </c>
      <c r="B13602" s="27" t="s">
        <v>4</v>
      </c>
      <c r="C13602" s="27" t="s">
        <v>50</v>
      </c>
      <c r="D13602" s="27" t="s">
        <v>7</v>
      </c>
      <c r="E13602" s="27" t="s">
        <v>41</v>
      </c>
      <c r="F13602" s="29"/>
      <c r="G13602" s="30">
        <v>2376.6799999999998</v>
      </c>
    </row>
    <row r="13603" spans="1:7" hidden="1" x14ac:dyDescent="0.25">
      <c r="A13603" s="28">
        <v>44682</v>
      </c>
      <c r="B13603" s="27" t="s">
        <v>4</v>
      </c>
      <c r="C13603" s="27" t="s">
        <v>50</v>
      </c>
      <c r="D13603" s="27" t="s">
        <v>7</v>
      </c>
      <c r="E13603" s="27" t="s">
        <v>10</v>
      </c>
      <c r="F13603" s="29"/>
      <c r="G13603" s="30">
        <v>10891.29</v>
      </c>
    </row>
    <row r="13604" spans="1:7" hidden="1" x14ac:dyDescent="0.25">
      <c r="A13604" s="28">
        <v>44682</v>
      </c>
      <c r="B13604" s="27" t="s">
        <v>4</v>
      </c>
      <c r="C13604" s="27" t="s">
        <v>50</v>
      </c>
      <c r="D13604" s="27" t="s">
        <v>7</v>
      </c>
      <c r="E13604" s="27" t="s">
        <v>11</v>
      </c>
      <c r="F13604" s="29"/>
      <c r="G13604" s="30">
        <v>415.34</v>
      </c>
    </row>
    <row r="13605" spans="1:7" hidden="1" x14ac:dyDescent="0.25">
      <c r="A13605" s="28">
        <v>44682</v>
      </c>
      <c r="B13605" s="27" t="s">
        <v>4</v>
      </c>
      <c r="C13605" s="27" t="s">
        <v>50</v>
      </c>
      <c r="D13605" s="27" t="s">
        <v>7</v>
      </c>
      <c r="E13605" s="27" t="s">
        <v>12</v>
      </c>
      <c r="F13605" s="29"/>
      <c r="G13605" s="30">
        <f>83608.04/13</f>
        <v>6431.3876923076914</v>
      </c>
    </row>
    <row r="13606" spans="1:7" hidden="1" x14ac:dyDescent="0.25">
      <c r="A13606" s="28">
        <v>44682</v>
      </c>
      <c r="B13606" s="27" t="s">
        <v>4</v>
      </c>
      <c r="C13606" s="27" t="s">
        <v>50</v>
      </c>
      <c r="D13606" s="27" t="s">
        <v>7</v>
      </c>
      <c r="E13606" s="27" t="s">
        <v>13</v>
      </c>
      <c r="F13606" s="29"/>
      <c r="G13606" s="30">
        <v>9252.5</v>
      </c>
    </row>
    <row r="13607" spans="1:7" hidden="1" x14ac:dyDescent="0.25">
      <c r="A13607" s="28">
        <v>44682</v>
      </c>
      <c r="B13607" s="27" t="s">
        <v>4</v>
      </c>
      <c r="C13607" s="27" t="s">
        <v>50</v>
      </c>
      <c r="D13607" s="27" t="s">
        <v>7</v>
      </c>
      <c r="E13607" s="27" t="s">
        <v>14</v>
      </c>
      <c r="F13607" s="29"/>
      <c r="G13607" s="30">
        <v>2050.9699999999998</v>
      </c>
    </row>
    <row r="13608" spans="1:7" hidden="1" x14ac:dyDescent="0.25">
      <c r="A13608" s="28">
        <v>44682</v>
      </c>
      <c r="B13608" s="27" t="s">
        <v>4</v>
      </c>
      <c r="C13608" s="27" t="s">
        <v>50</v>
      </c>
      <c r="D13608" s="27" t="s">
        <v>7</v>
      </c>
      <c r="E13608" s="27" t="s">
        <v>15</v>
      </c>
      <c r="F13608" s="29"/>
      <c r="G13608" s="30">
        <v>2196.39</v>
      </c>
    </row>
    <row r="13609" spans="1:7" hidden="1" x14ac:dyDescent="0.25">
      <c r="A13609" s="28">
        <v>44682</v>
      </c>
      <c r="B13609" s="27" t="s">
        <v>4</v>
      </c>
      <c r="C13609" s="27" t="s">
        <v>50</v>
      </c>
      <c r="D13609" s="27" t="s">
        <v>7</v>
      </c>
      <c r="E13609" s="27" t="s">
        <v>16</v>
      </c>
      <c r="F13609" s="29"/>
      <c r="G13609" s="30">
        <f>83608.04/13</f>
        <v>6431.3876923076914</v>
      </c>
    </row>
    <row r="13610" spans="1:7" hidden="1" x14ac:dyDescent="0.25">
      <c r="A13610" s="28">
        <v>44682</v>
      </c>
      <c r="B13610" s="27" t="s">
        <v>4</v>
      </c>
      <c r="C13610" s="27" t="s">
        <v>50</v>
      </c>
      <c r="D13610" s="27" t="s">
        <v>7</v>
      </c>
      <c r="E13610" s="27" t="s">
        <v>17</v>
      </c>
      <c r="F13610" s="29"/>
      <c r="G13610" s="30">
        <f>83608.04/13</f>
        <v>6431.3876923076914</v>
      </c>
    </row>
    <row r="13611" spans="1:7" hidden="1" x14ac:dyDescent="0.25">
      <c r="A13611" s="28">
        <v>44682</v>
      </c>
      <c r="B13611" s="27" t="s">
        <v>4</v>
      </c>
      <c r="C13611" s="27" t="s">
        <v>50</v>
      </c>
      <c r="D13611" s="27" t="s">
        <v>7</v>
      </c>
      <c r="E13611" s="27" t="s">
        <v>18</v>
      </c>
      <c r="F13611" s="29"/>
      <c r="G13611" s="30">
        <f>83608.04/13</f>
        <v>6431.3876923076914</v>
      </c>
    </row>
    <row r="13612" spans="1:7" hidden="1" x14ac:dyDescent="0.25">
      <c r="A13612" s="28">
        <v>44682</v>
      </c>
      <c r="B13612" s="27" t="s">
        <v>4</v>
      </c>
      <c r="C13612" s="27" t="s">
        <v>50</v>
      </c>
      <c r="D13612" s="27" t="s">
        <v>7</v>
      </c>
      <c r="E13612" s="27" t="s">
        <v>19</v>
      </c>
      <c r="F13612" s="29"/>
      <c r="G13612" s="30">
        <v>2873.77</v>
      </c>
    </row>
    <row r="13613" spans="1:7" hidden="1" x14ac:dyDescent="0.25">
      <c r="A13613" s="28">
        <v>44682</v>
      </c>
      <c r="B13613" s="27" t="s">
        <v>4</v>
      </c>
      <c r="C13613" s="27" t="s">
        <v>50</v>
      </c>
      <c r="D13613" s="27" t="s">
        <v>7</v>
      </c>
      <c r="E13613" s="27" t="s">
        <v>20</v>
      </c>
      <c r="F13613" s="29"/>
      <c r="G13613" s="30">
        <f>83608.04/13</f>
        <v>6431.3876923076914</v>
      </c>
    </row>
    <row r="13614" spans="1:7" hidden="1" x14ac:dyDescent="0.25">
      <c r="A13614" s="28">
        <v>44682</v>
      </c>
      <c r="B13614" s="27" t="s">
        <v>4</v>
      </c>
      <c r="C13614" s="27" t="s">
        <v>50</v>
      </c>
      <c r="D13614" s="27" t="s">
        <v>7</v>
      </c>
      <c r="E13614" s="27" t="s">
        <v>38</v>
      </c>
      <c r="F13614" s="29"/>
      <c r="G13614" s="30">
        <f>83608.04/13</f>
        <v>6431.3876923076914</v>
      </c>
    </row>
    <row r="13615" spans="1:7" hidden="1" x14ac:dyDescent="0.25">
      <c r="A13615" s="28">
        <v>44682</v>
      </c>
      <c r="B13615" s="27" t="s">
        <v>4</v>
      </c>
      <c r="C13615" s="27" t="s">
        <v>50</v>
      </c>
      <c r="D13615" s="27" t="s">
        <v>7</v>
      </c>
      <c r="E13615" s="27" t="s">
        <v>23</v>
      </c>
      <c r="F13615" s="29"/>
      <c r="G13615" s="30">
        <v>1223.8499999999999</v>
      </c>
    </row>
    <row r="13616" spans="1:7" hidden="1" x14ac:dyDescent="0.25">
      <c r="A13616" s="28">
        <v>44682</v>
      </c>
      <c r="B13616" s="27" t="s">
        <v>4</v>
      </c>
      <c r="C13616" s="27" t="s">
        <v>50</v>
      </c>
      <c r="D13616" s="27" t="s">
        <v>7</v>
      </c>
      <c r="E13616" s="27" t="s">
        <v>40</v>
      </c>
      <c r="F13616" s="29"/>
      <c r="G13616" s="30">
        <v>3225.42</v>
      </c>
    </row>
    <row r="13617" spans="1:7" hidden="1" x14ac:dyDescent="0.25">
      <c r="A13617" s="28">
        <v>44682</v>
      </c>
      <c r="B13617" s="27" t="s">
        <v>4</v>
      </c>
      <c r="C13617" s="27" t="s">
        <v>50</v>
      </c>
      <c r="D13617" s="27" t="s">
        <v>7</v>
      </c>
      <c r="E13617" s="27" t="s">
        <v>42</v>
      </c>
      <c r="F13617" s="29"/>
      <c r="G13617" s="30">
        <f>83608.04/13</f>
        <v>6431.3876923076914</v>
      </c>
    </row>
    <row r="13618" spans="1:7" hidden="1" x14ac:dyDescent="0.25">
      <c r="A13618" s="28">
        <v>44682</v>
      </c>
      <c r="B13618" s="27" t="s">
        <v>4</v>
      </c>
      <c r="C13618" s="27" t="s">
        <v>50</v>
      </c>
      <c r="D13618" s="27" t="s">
        <v>7</v>
      </c>
      <c r="E13618" s="27" t="s">
        <v>43</v>
      </c>
      <c r="F13618" s="29"/>
      <c r="G13618" s="30">
        <v>245.05</v>
      </c>
    </row>
    <row r="13619" spans="1:7" hidden="1" x14ac:dyDescent="0.25">
      <c r="A13619" s="28">
        <v>44682</v>
      </c>
      <c r="B13619" s="27" t="s">
        <v>4</v>
      </c>
      <c r="C13619" s="27" t="s">
        <v>50</v>
      </c>
      <c r="D13619" s="27" t="s">
        <v>7</v>
      </c>
      <c r="E13619" s="27" t="s">
        <v>72</v>
      </c>
      <c r="F13619" s="29"/>
      <c r="G13619" s="30">
        <v>309.10000000000002</v>
      </c>
    </row>
    <row r="13620" spans="1:7" hidden="1" x14ac:dyDescent="0.25">
      <c r="A13620" s="28">
        <v>44682</v>
      </c>
      <c r="B13620" s="27" t="s">
        <v>4</v>
      </c>
      <c r="C13620" s="27" t="s">
        <v>50</v>
      </c>
      <c r="D13620" s="27" t="s">
        <v>7</v>
      </c>
      <c r="E13620" s="27" t="s">
        <v>206</v>
      </c>
      <c r="F13620" s="29"/>
      <c r="G13620" s="30">
        <f>83608.04/13</f>
        <v>6431.3876923076914</v>
      </c>
    </row>
    <row r="13621" spans="1:7" hidden="1" x14ac:dyDescent="0.25">
      <c r="A13621" s="28">
        <v>44682</v>
      </c>
      <c r="B13621" s="27" t="s">
        <v>4</v>
      </c>
      <c r="C13621" s="27" t="s">
        <v>50</v>
      </c>
      <c r="D13621" s="27" t="s">
        <v>7</v>
      </c>
      <c r="E13621" s="27" t="s">
        <v>67</v>
      </c>
      <c r="F13621" s="29"/>
      <c r="G13621" s="30">
        <f>83608.04/13</f>
        <v>6431.3876923076914</v>
      </c>
    </row>
    <row r="13622" spans="1:7" hidden="1" x14ac:dyDescent="0.25">
      <c r="A13622" s="28">
        <v>44682</v>
      </c>
      <c r="B13622" s="27" t="s">
        <v>4</v>
      </c>
      <c r="C13622" s="27" t="s">
        <v>50</v>
      </c>
      <c r="D13622" s="27" t="s">
        <v>7</v>
      </c>
      <c r="E13622" s="27" t="s">
        <v>68</v>
      </c>
      <c r="F13622" s="29"/>
      <c r="G13622" s="30">
        <f>83608.04/13</f>
        <v>6431.3876923076914</v>
      </c>
    </row>
    <row r="13623" spans="1:7" hidden="1" x14ac:dyDescent="0.25">
      <c r="A13623" s="28">
        <v>44682</v>
      </c>
      <c r="B13623" s="27" t="s">
        <v>26</v>
      </c>
      <c r="C13623" s="27" t="s">
        <v>50</v>
      </c>
      <c r="D13623" s="27" t="s">
        <v>6</v>
      </c>
      <c r="E13623" s="27" t="s">
        <v>8</v>
      </c>
      <c r="F13623" s="29"/>
      <c r="G13623" s="30">
        <v>719.18234681218985</v>
      </c>
    </row>
    <row r="13624" spans="1:7" hidden="1" x14ac:dyDescent="0.25">
      <c r="A13624" s="28">
        <v>44682</v>
      </c>
      <c r="B13624" s="27" t="s">
        <v>26</v>
      </c>
      <c r="C13624" s="27" t="s">
        <v>50</v>
      </c>
      <c r="D13624" s="27" t="s">
        <v>6</v>
      </c>
      <c r="E13624" s="27" t="s">
        <v>9</v>
      </c>
      <c r="F13624" s="29"/>
      <c r="G13624" s="30">
        <v>1595.1320615825009</v>
      </c>
    </row>
    <row r="13625" spans="1:7" hidden="1" x14ac:dyDescent="0.25">
      <c r="A13625" s="28">
        <v>44682</v>
      </c>
      <c r="B13625" s="27" t="s">
        <v>26</v>
      </c>
      <c r="C13625" s="27" t="s">
        <v>50</v>
      </c>
      <c r="D13625" s="27" t="s">
        <v>6</v>
      </c>
      <c r="E13625" s="27" t="s">
        <v>22</v>
      </c>
      <c r="F13625" s="29"/>
      <c r="G13625" s="30">
        <v>2121.8036778000037</v>
      </c>
    </row>
    <row r="13626" spans="1:7" hidden="1" x14ac:dyDescent="0.25">
      <c r="A13626" s="28">
        <v>44682</v>
      </c>
      <c r="B13626" s="27" t="s">
        <v>26</v>
      </c>
      <c r="C13626" s="27" t="s">
        <v>50</v>
      </c>
      <c r="D13626" s="27" t="s">
        <v>6</v>
      </c>
      <c r="E13626" s="27" t="s">
        <v>39</v>
      </c>
      <c r="F13626" s="29"/>
      <c r="G13626" s="30">
        <v>1858.2521149872089</v>
      </c>
    </row>
    <row r="13627" spans="1:7" hidden="1" x14ac:dyDescent="0.25">
      <c r="A13627" s="28">
        <v>44682</v>
      </c>
      <c r="B13627" s="27" t="s">
        <v>26</v>
      </c>
      <c r="C13627" s="27" t="s">
        <v>50</v>
      </c>
      <c r="D13627" s="27" t="s">
        <v>6</v>
      </c>
      <c r="E13627" s="27" t="s">
        <v>64</v>
      </c>
      <c r="F13627" s="29"/>
      <c r="G13627" s="30">
        <v>1276.3329108875935</v>
      </c>
    </row>
    <row r="13628" spans="1:7" hidden="1" x14ac:dyDescent="0.25">
      <c r="A13628" s="28">
        <v>44682</v>
      </c>
      <c r="B13628" s="27" t="s">
        <v>26</v>
      </c>
      <c r="C13628" s="27" t="s">
        <v>50</v>
      </c>
      <c r="D13628" s="27" t="s">
        <v>6</v>
      </c>
      <c r="E13628" s="27" t="s">
        <v>21</v>
      </c>
      <c r="F13628" s="29"/>
      <c r="G13628" s="30">
        <v>1372.0704648952321</v>
      </c>
    </row>
    <row r="13629" spans="1:7" hidden="1" x14ac:dyDescent="0.25">
      <c r="A13629" s="28">
        <v>44682</v>
      </c>
      <c r="B13629" s="27" t="s">
        <v>26</v>
      </c>
      <c r="C13629" s="27" t="s">
        <v>50</v>
      </c>
      <c r="D13629" s="27" t="s">
        <v>6</v>
      </c>
      <c r="E13629" s="27" t="s">
        <v>41</v>
      </c>
      <c r="F13629" s="29"/>
      <c r="G13629" s="30">
        <v>1581.4819806400055</v>
      </c>
    </row>
    <row r="13630" spans="1:7" hidden="1" x14ac:dyDescent="0.25">
      <c r="A13630" s="28">
        <v>44682</v>
      </c>
      <c r="B13630" s="27" t="s">
        <v>26</v>
      </c>
      <c r="C13630" s="27" t="s">
        <v>50</v>
      </c>
      <c r="D13630" s="27" t="s">
        <v>6</v>
      </c>
      <c r="E13630" s="27" t="s">
        <v>10</v>
      </c>
      <c r="F13630" s="29"/>
      <c r="G13630" s="30">
        <v>2188.8314725228997</v>
      </c>
    </row>
    <row r="13631" spans="1:7" hidden="1" x14ac:dyDescent="0.25">
      <c r="A13631" s="28">
        <v>44682</v>
      </c>
      <c r="B13631" s="27" t="s">
        <v>26</v>
      </c>
      <c r="C13631" s="27" t="s">
        <v>50</v>
      </c>
      <c r="D13631" s="27" t="s">
        <v>6</v>
      </c>
      <c r="E13631" s="27" t="s">
        <v>11</v>
      </c>
      <c r="F13631" s="29"/>
      <c r="G13631" s="30">
        <v>1627.7110218930932</v>
      </c>
    </row>
    <row r="13632" spans="1:7" hidden="1" x14ac:dyDescent="0.25">
      <c r="A13632" s="28">
        <v>44682</v>
      </c>
      <c r="B13632" s="27" t="s">
        <v>26</v>
      </c>
      <c r="C13632" s="27" t="s">
        <v>50</v>
      </c>
      <c r="D13632" s="27" t="s">
        <v>6</v>
      </c>
      <c r="E13632" s="27" t="s">
        <v>12</v>
      </c>
      <c r="F13632" s="29"/>
      <c r="G13632" s="30">
        <v>1714.4875638594519</v>
      </c>
    </row>
    <row r="13633" spans="1:7" hidden="1" x14ac:dyDescent="0.25">
      <c r="A13633" s="28">
        <v>44682</v>
      </c>
      <c r="B13633" s="27" t="s">
        <v>26</v>
      </c>
      <c r="C13633" s="27" t="s">
        <v>50</v>
      </c>
      <c r="D13633" s="27" t="s">
        <v>6</v>
      </c>
      <c r="E13633" s="27" t="s">
        <v>13</v>
      </c>
      <c r="F13633" s="29"/>
      <c r="G13633" s="30">
        <v>1743.4562287890469</v>
      </c>
    </row>
    <row r="13634" spans="1:7" hidden="1" x14ac:dyDescent="0.25">
      <c r="A13634" s="28">
        <v>44682</v>
      </c>
      <c r="B13634" s="27" t="s">
        <v>26</v>
      </c>
      <c r="C13634" s="27" t="s">
        <v>50</v>
      </c>
      <c r="D13634" s="27" t="s">
        <v>6</v>
      </c>
      <c r="E13634" s="27" t="s">
        <v>14</v>
      </c>
      <c r="F13634" s="29"/>
      <c r="G13634" s="30">
        <v>561.68141286032039</v>
      </c>
    </row>
    <row r="13635" spans="1:7" hidden="1" x14ac:dyDescent="0.25">
      <c r="A13635" s="28">
        <v>44682</v>
      </c>
      <c r="B13635" s="27" t="s">
        <v>26</v>
      </c>
      <c r="C13635" s="27" t="s">
        <v>50</v>
      </c>
      <c r="D13635" s="27" t="s">
        <v>6</v>
      </c>
      <c r="E13635" s="27" t="s">
        <v>15</v>
      </c>
      <c r="F13635" s="29"/>
      <c r="G13635" s="30">
        <v>1903.4886846016955</v>
      </c>
    </row>
    <row r="13636" spans="1:7" hidden="1" x14ac:dyDescent="0.25">
      <c r="A13636" s="28">
        <v>44682</v>
      </c>
      <c r="B13636" s="27" t="s">
        <v>26</v>
      </c>
      <c r="C13636" s="27" t="s">
        <v>50</v>
      </c>
      <c r="D13636" s="27" t="s">
        <v>6</v>
      </c>
      <c r="E13636" s="27" t="s">
        <v>16</v>
      </c>
      <c r="F13636" s="29"/>
      <c r="G13636" s="30">
        <v>2154.0949651718715</v>
      </c>
    </row>
    <row r="13637" spans="1:7" hidden="1" x14ac:dyDescent="0.25">
      <c r="A13637" s="28">
        <v>44682</v>
      </c>
      <c r="B13637" s="27" t="s">
        <v>26</v>
      </c>
      <c r="C13637" s="27" t="s">
        <v>50</v>
      </c>
      <c r="D13637" s="27" t="s">
        <v>6</v>
      </c>
      <c r="E13637" s="27" t="s">
        <v>17</v>
      </c>
      <c r="F13637" s="29"/>
      <c r="G13637" s="30">
        <v>3135.6350321011482</v>
      </c>
    </row>
    <row r="13638" spans="1:7" hidden="1" x14ac:dyDescent="0.25">
      <c r="A13638" s="28">
        <v>44682</v>
      </c>
      <c r="B13638" s="27" t="s">
        <v>26</v>
      </c>
      <c r="C13638" s="27" t="s">
        <v>50</v>
      </c>
      <c r="D13638" s="27" t="s">
        <v>6</v>
      </c>
      <c r="E13638" s="27" t="s">
        <v>18</v>
      </c>
      <c r="F13638" s="29"/>
      <c r="G13638" s="30">
        <v>1603.690331509566</v>
      </c>
    </row>
    <row r="13639" spans="1:7" hidden="1" x14ac:dyDescent="0.25">
      <c r="A13639" s="28">
        <v>44682</v>
      </c>
      <c r="B13639" s="27" t="s">
        <v>26</v>
      </c>
      <c r="C13639" s="27" t="s">
        <v>50</v>
      </c>
      <c r="D13639" s="27" t="s">
        <v>6</v>
      </c>
      <c r="E13639" s="27" t="s">
        <v>19</v>
      </c>
      <c r="F13639" s="29"/>
      <c r="G13639" s="30">
        <v>2421.1417541901737</v>
      </c>
    </row>
    <row r="13640" spans="1:7" hidden="1" x14ac:dyDescent="0.25">
      <c r="A13640" s="28">
        <v>44682</v>
      </c>
      <c r="B13640" s="27" t="s">
        <v>26</v>
      </c>
      <c r="C13640" s="27" t="s">
        <v>50</v>
      </c>
      <c r="D13640" s="27" t="s">
        <v>6</v>
      </c>
      <c r="E13640" s="27" t="s">
        <v>20</v>
      </c>
      <c r="F13640" s="29"/>
      <c r="G13640" s="30">
        <v>1946.4814052941281</v>
      </c>
    </row>
    <row r="13641" spans="1:7" hidden="1" x14ac:dyDescent="0.25">
      <c r="A13641" s="28">
        <v>44682</v>
      </c>
      <c r="B13641" s="27" t="s">
        <v>26</v>
      </c>
      <c r="C13641" s="27" t="s">
        <v>50</v>
      </c>
      <c r="D13641" s="27" t="s">
        <v>6</v>
      </c>
      <c r="E13641" s="27" t="s">
        <v>38</v>
      </c>
      <c r="F13641" s="29"/>
      <c r="G13641" s="30">
        <v>760.63601728244464</v>
      </c>
    </row>
    <row r="13642" spans="1:7" hidden="1" x14ac:dyDescent="0.25">
      <c r="A13642" s="28">
        <v>44682</v>
      </c>
      <c r="B13642" s="27" t="s">
        <v>26</v>
      </c>
      <c r="C13642" s="27" t="s">
        <v>50</v>
      </c>
      <c r="D13642" s="27" t="s">
        <v>6</v>
      </c>
      <c r="E13642" s="27" t="s">
        <v>23</v>
      </c>
      <c r="F13642" s="29"/>
      <c r="G13642" s="30">
        <v>2589.0564485238838</v>
      </c>
    </row>
    <row r="13643" spans="1:7" hidden="1" x14ac:dyDescent="0.25">
      <c r="A13643" s="28">
        <v>44682</v>
      </c>
      <c r="B13643" s="27" t="s">
        <v>26</v>
      </c>
      <c r="C13643" s="27" t="s">
        <v>50</v>
      </c>
      <c r="D13643" s="27" t="s">
        <v>6</v>
      </c>
      <c r="E13643" s="27" t="s">
        <v>40</v>
      </c>
      <c r="F13643" s="29"/>
      <c r="G13643" s="30">
        <v>834.25152230214019</v>
      </c>
    </row>
    <row r="13644" spans="1:7" hidden="1" x14ac:dyDescent="0.25">
      <c r="A13644" s="28">
        <v>44682</v>
      </c>
      <c r="B13644" s="27" t="s">
        <v>26</v>
      </c>
      <c r="C13644" s="27" t="s">
        <v>50</v>
      </c>
      <c r="D13644" s="27" t="s">
        <v>6</v>
      </c>
      <c r="E13644" s="27" t="s">
        <v>42</v>
      </c>
      <c r="F13644" s="29"/>
      <c r="G13644" s="30">
        <v>770.09371289428304</v>
      </c>
    </row>
    <row r="13645" spans="1:7" hidden="1" x14ac:dyDescent="0.25">
      <c r="A13645" s="28">
        <v>44682</v>
      </c>
      <c r="B13645" s="27" t="s">
        <v>26</v>
      </c>
      <c r="C13645" s="27" t="s">
        <v>50</v>
      </c>
      <c r="D13645" s="27" t="s">
        <v>6</v>
      </c>
      <c r="E13645" s="27" t="s">
        <v>43</v>
      </c>
      <c r="F13645" s="29"/>
      <c r="G13645" s="30">
        <v>715.10130483040575</v>
      </c>
    </row>
    <row r="13646" spans="1:7" hidden="1" x14ac:dyDescent="0.25">
      <c r="A13646" s="28">
        <v>44682</v>
      </c>
      <c r="B13646" s="27" t="s">
        <v>26</v>
      </c>
      <c r="C13646" s="27" t="s">
        <v>50</v>
      </c>
      <c r="D13646" s="27" t="s">
        <v>6</v>
      </c>
      <c r="E13646" s="27" t="s">
        <v>72</v>
      </c>
      <c r="F13646" s="29"/>
      <c r="G13646" s="30">
        <v>667.44121784171193</v>
      </c>
    </row>
    <row r="13647" spans="1:7" hidden="1" x14ac:dyDescent="0.25">
      <c r="A13647" s="28">
        <v>44682</v>
      </c>
      <c r="B13647" s="27" t="s">
        <v>26</v>
      </c>
      <c r="C13647" s="27" t="s">
        <v>50</v>
      </c>
      <c r="D13647" s="27" t="s">
        <v>6</v>
      </c>
      <c r="E13647" s="27" t="s">
        <v>206</v>
      </c>
      <c r="F13647" s="29"/>
      <c r="G13647" s="30">
        <v>625.73864172660501</v>
      </c>
    </row>
    <row r="13648" spans="1:7" hidden="1" x14ac:dyDescent="0.25">
      <c r="A13648" s="28">
        <v>44682</v>
      </c>
      <c r="B13648" s="27" t="s">
        <v>26</v>
      </c>
      <c r="C13648" s="27" t="s">
        <v>50</v>
      </c>
      <c r="D13648" s="27" t="s">
        <v>6</v>
      </c>
      <c r="E13648" s="27" t="s">
        <v>67</v>
      </c>
      <c r="F13648" s="29"/>
      <c r="G13648" s="30">
        <v>588.94225103680481</v>
      </c>
    </row>
    <row r="13649" spans="1:7" hidden="1" x14ac:dyDescent="0.25">
      <c r="A13649" s="28">
        <v>44682</v>
      </c>
      <c r="B13649" s="27" t="s">
        <v>26</v>
      </c>
      <c r="C13649" s="27" t="s">
        <v>50</v>
      </c>
      <c r="D13649" s="27" t="s">
        <v>6</v>
      </c>
      <c r="E13649" s="27" t="s">
        <v>68</v>
      </c>
      <c r="F13649" s="29"/>
      <c r="G13649" s="30">
        <v>556.23434820142666</v>
      </c>
    </row>
    <row r="13650" spans="1:7" hidden="1" x14ac:dyDescent="0.25">
      <c r="A13650" s="28">
        <v>44682</v>
      </c>
      <c r="B13650" s="27" t="s">
        <v>26</v>
      </c>
      <c r="C13650" s="27" t="s">
        <v>50</v>
      </c>
      <c r="D13650" s="27" t="s">
        <v>6</v>
      </c>
      <c r="E13650" s="27" t="s">
        <v>74</v>
      </c>
      <c r="F13650" s="29"/>
      <c r="G13650" s="30">
        <v>1778.7894736842106</v>
      </c>
    </row>
    <row r="13651" spans="1:7" hidden="1" x14ac:dyDescent="0.25">
      <c r="A13651" s="28">
        <v>44682</v>
      </c>
      <c r="B13651" s="27" t="s">
        <v>26</v>
      </c>
      <c r="C13651" s="27" t="s">
        <v>50</v>
      </c>
      <c r="D13651" s="27" t="s">
        <v>6</v>
      </c>
      <c r="E13651" s="27" t="s">
        <v>37</v>
      </c>
      <c r="F13651" s="29"/>
      <c r="G13651" s="30">
        <v>791.10058149340887</v>
      </c>
    </row>
    <row r="13652" spans="1:7" hidden="1" x14ac:dyDescent="0.25">
      <c r="A13652" s="28">
        <v>44682</v>
      </c>
      <c r="B13652" s="27" t="s">
        <v>3</v>
      </c>
      <c r="C13652" s="27" t="s">
        <v>50</v>
      </c>
      <c r="D13652" s="27" t="s">
        <v>7</v>
      </c>
      <c r="E13652" s="27" t="s">
        <v>8</v>
      </c>
      <c r="F13652" s="29"/>
      <c r="G13652" s="30">
        <v>827.79857142857145</v>
      </c>
    </row>
    <row r="13653" spans="1:7" hidden="1" x14ac:dyDescent="0.25">
      <c r="A13653" s="28">
        <v>44682</v>
      </c>
      <c r="B13653" s="27" t="s">
        <v>3</v>
      </c>
      <c r="C13653" s="27" t="s">
        <v>50</v>
      </c>
      <c r="D13653" s="27" t="s">
        <v>7</v>
      </c>
      <c r="E13653" s="27" t="s">
        <v>9</v>
      </c>
      <c r="F13653" s="29"/>
      <c r="G13653" s="30">
        <v>827.79857142857145</v>
      </c>
    </row>
    <row r="13654" spans="1:7" hidden="1" x14ac:dyDescent="0.25">
      <c r="A13654" s="28">
        <v>44682</v>
      </c>
      <c r="B13654" s="27" t="s">
        <v>3</v>
      </c>
      <c r="C13654" s="27" t="s">
        <v>50</v>
      </c>
      <c r="D13654" s="27" t="s">
        <v>7</v>
      </c>
      <c r="E13654" s="27" t="s">
        <v>22</v>
      </c>
      <c r="F13654" s="29"/>
      <c r="G13654" s="30">
        <v>827.79857142857145</v>
      </c>
    </row>
    <row r="13655" spans="1:7" hidden="1" x14ac:dyDescent="0.25">
      <c r="A13655" s="28">
        <v>44682</v>
      </c>
      <c r="B13655" s="27" t="s">
        <v>3</v>
      </c>
      <c r="C13655" s="27" t="s">
        <v>50</v>
      </c>
      <c r="D13655" s="27" t="s">
        <v>7</v>
      </c>
      <c r="E13655" s="27" t="s">
        <v>39</v>
      </c>
      <c r="F13655" s="29"/>
      <c r="G13655" s="30">
        <v>827.79857142857145</v>
      </c>
    </row>
    <row r="13656" spans="1:7" hidden="1" x14ac:dyDescent="0.25">
      <c r="A13656" s="28">
        <v>44682</v>
      </c>
      <c r="B13656" s="27" t="s">
        <v>3</v>
      </c>
      <c r="C13656" s="27" t="s">
        <v>50</v>
      </c>
      <c r="D13656" s="27" t="s">
        <v>7</v>
      </c>
      <c r="E13656" s="27" t="s">
        <v>64</v>
      </c>
      <c r="F13656" s="29"/>
      <c r="G13656" s="30">
        <v>827.79857142857145</v>
      </c>
    </row>
    <row r="13657" spans="1:7" hidden="1" x14ac:dyDescent="0.25">
      <c r="A13657" s="28">
        <v>44682</v>
      </c>
      <c r="B13657" s="27" t="s">
        <v>3</v>
      </c>
      <c r="C13657" s="27" t="s">
        <v>50</v>
      </c>
      <c r="D13657" s="27" t="s">
        <v>7</v>
      </c>
      <c r="E13657" s="27" t="s">
        <v>21</v>
      </c>
      <c r="F13657" s="29"/>
      <c r="G13657" s="30">
        <v>827.79857142857145</v>
      </c>
    </row>
    <row r="13658" spans="1:7" hidden="1" x14ac:dyDescent="0.25">
      <c r="A13658" s="28">
        <v>44682</v>
      </c>
      <c r="B13658" s="27" t="s">
        <v>3</v>
      </c>
      <c r="C13658" s="27" t="s">
        <v>50</v>
      </c>
      <c r="D13658" s="27" t="s">
        <v>7</v>
      </c>
      <c r="E13658" s="27" t="s">
        <v>41</v>
      </c>
      <c r="F13658" s="29"/>
      <c r="G13658" s="30">
        <v>827.79857142857145</v>
      </c>
    </row>
    <row r="13659" spans="1:7" hidden="1" x14ac:dyDescent="0.25">
      <c r="A13659" s="28">
        <v>44682</v>
      </c>
      <c r="B13659" s="27" t="s">
        <v>3</v>
      </c>
      <c r="C13659" s="27" t="s">
        <v>50</v>
      </c>
      <c r="D13659" s="27" t="s">
        <v>7</v>
      </c>
      <c r="E13659" s="27" t="s">
        <v>10</v>
      </c>
      <c r="F13659" s="29"/>
      <c r="G13659" s="30">
        <v>827.79857142857145</v>
      </c>
    </row>
    <row r="13660" spans="1:7" hidden="1" x14ac:dyDescent="0.25">
      <c r="A13660" s="28">
        <v>44682</v>
      </c>
      <c r="B13660" s="27" t="s">
        <v>3</v>
      </c>
      <c r="C13660" s="27" t="s">
        <v>50</v>
      </c>
      <c r="D13660" s="27" t="s">
        <v>7</v>
      </c>
      <c r="E13660" s="27" t="s">
        <v>11</v>
      </c>
      <c r="F13660" s="29"/>
      <c r="G13660" s="30">
        <v>827.79857142857145</v>
      </c>
    </row>
    <row r="13661" spans="1:7" hidden="1" x14ac:dyDescent="0.25">
      <c r="A13661" s="28">
        <v>44682</v>
      </c>
      <c r="B13661" s="27" t="s">
        <v>3</v>
      </c>
      <c r="C13661" s="27" t="s">
        <v>50</v>
      </c>
      <c r="D13661" s="27" t="s">
        <v>7</v>
      </c>
      <c r="E13661" s="27" t="s">
        <v>12</v>
      </c>
      <c r="F13661" s="29"/>
      <c r="G13661" s="30">
        <v>827.79857142857145</v>
      </c>
    </row>
    <row r="13662" spans="1:7" hidden="1" x14ac:dyDescent="0.25">
      <c r="A13662" s="28">
        <v>44682</v>
      </c>
      <c r="B13662" s="27" t="s">
        <v>3</v>
      </c>
      <c r="C13662" s="27" t="s">
        <v>50</v>
      </c>
      <c r="D13662" s="27" t="s">
        <v>7</v>
      </c>
      <c r="E13662" s="27" t="s">
        <v>13</v>
      </c>
      <c r="F13662" s="29"/>
      <c r="G13662" s="30">
        <v>827.79857142857145</v>
      </c>
    </row>
    <row r="13663" spans="1:7" hidden="1" x14ac:dyDescent="0.25">
      <c r="A13663" s="28">
        <v>44682</v>
      </c>
      <c r="B13663" s="27" t="s">
        <v>3</v>
      </c>
      <c r="C13663" s="27" t="s">
        <v>50</v>
      </c>
      <c r="D13663" s="27" t="s">
        <v>7</v>
      </c>
      <c r="E13663" s="27" t="s">
        <v>14</v>
      </c>
      <c r="F13663" s="29"/>
      <c r="G13663" s="30">
        <v>827.79857142857145</v>
      </c>
    </row>
    <row r="13664" spans="1:7" hidden="1" x14ac:dyDescent="0.25">
      <c r="A13664" s="28">
        <v>44682</v>
      </c>
      <c r="B13664" s="27" t="s">
        <v>3</v>
      </c>
      <c r="C13664" s="27" t="s">
        <v>50</v>
      </c>
      <c r="D13664" s="27" t="s">
        <v>7</v>
      </c>
      <c r="E13664" s="27" t="s">
        <v>15</v>
      </c>
      <c r="F13664" s="29"/>
      <c r="G13664" s="30">
        <v>827.79857142857145</v>
      </c>
    </row>
    <row r="13665" spans="1:7" hidden="1" x14ac:dyDescent="0.25">
      <c r="A13665" s="28">
        <v>44682</v>
      </c>
      <c r="B13665" s="27" t="s">
        <v>3</v>
      </c>
      <c r="C13665" s="27" t="s">
        <v>50</v>
      </c>
      <c r="D13665" s="27" t="s">
        <v>7</v>
      </c>
      <c r="E13665" s="27" t="s">
        <v>16</v>
      </c>
      <c r="F13665" s="29"/>
      <c r="G13665" s="30">
        <v>827.79857142857145</v>
      </c>
    </row>
    <row r="13666" spans="1:7" hidden="1" x14ac:dyDescent="0.25">
      <c r="A13666" s="28">
        <v>44682</v>
      </c>
      <c r="B13666" s="27" t="s">
        <v>3</v>
      </c>
      <c r="C13666" s="27" t="s">
        <v>50</v>
      </c>
      <c r="D13666" s="27" t="s">
        <v>7</v>
      </c>
      <c r="E13666" s="27" t="s">
        <v>17</v>
      </c>
      <c r="F13666" s="29"/>
      <c r="G13666" s="30">
        <v>827.79857142857145</v>
      </c>
    </row>
    <row r="13667" spans="1:7" hidden="1" x14ac:dyDescent="0.25">
      <c r="A13667" s="28">
        <v>44682</v>
      </c>
      <c r="B13667" s="27" t="s">
        <v>3</v>
      </c>
      <c r="C13667" s="27" t="s">
        <v>50</v>
      </c>
      <c r="D13667" s="27" t="s">
        <v>7</v>
      </c>
      <c r="E13667" s="27" t="s">
        <v>18</v>
      </c>
      <c r="F13667" s="29"/>
      <c r="G13667" s="30">
        <v>827.79857142857145</v>
      </c>
    </row>
    <row r="13668" spans="1:7" hidden="1" x14ac:dyDescent="0.25">
      <c r="A13668" s="28">
        <v>44682</v>
      </c>
      <c r="B13668" s="27" t="s">
        <v>3</v>
      </c>
      <c r="C13668" s="27" t="s">
        <v>50</v>
      </c>
      <c r="D13668" s="27" t="s">
        <v>7</v>
      </c>
      <c r="E13668" s="27" t="s">
        <v>19</v>
      </c>
      <c r="F13668" s="29"/>
      <c r="G13668" s="30">
        <v>827.79857142857145</v>
      </c>
    </row>
    <row r="13669" spans="1:7" hidden="1" x14ac:dyDescent="0.25">
      <c r="A13669" s="28">
        <v>44682</v>
      </c>
      <c r="B13669" s="27" t="s">
        <v>3</v>
      </c>
      <c r="C13669" s="27" t="s">
        <v>50</v>
      </c>
      <c r="D13669" s="27" t="s">
        <v>7</v>
      </c>
      <c r="E13669" s="27" t="s">
        <v>20</v>
      </c>
      <c r="F13669" s="29"/>
      <c r="G13669" s="30">
        <v>827.79857142857145</v>
      </c>
    </row>
    <row r="13670" spans="1:7" hidden="1" x14ac:dyDescent="0.25">
      <c r="A13670" s="28">
        <v>44682</v>
      </c>
      <c r="B13670" s="27" t="s">
        <v>3</v>
      </c>
      <c r="C13670" s="27" t="s">
        <v>50</v>
      </c>
      <c r="D13670" s="27" t="s">
        <v>7</v>
      </c>
      <c r="E13670" s="27" t="s">
        <v>38</v>
      </c>
      <c r="F13670" s="29"/>
      <c r="G13670" s="30">
        <v>827.79857142857145</v>
      </c>
    </row>
    <row r="13671" spans="1:7" hidden="1" x14ac:dyDescent="0.25">
      <c r="A13671" s="28">
        <v>44682</v>
      </c>
      <c r="B13671" s="27" t="s">
        <v>3</v>
      </c>
      <c r="C13671" s="27" t="s">
        <v>50</v>
      </c>
      <c r="D13671" s="27" t="s">
        <v>7</v>
      </c>
      <c r="E13671" s="27" t="s">
        <v>23</v>
      </c>
      <c r="F13671" s="29"/>
      <c r="G13671" s="30">
        <v>827.79857142857145</v>
      </c>
    </row>
    <row r="13672" spans="1:7" hidden="1" x14ac:dyDescent="0.25">
      <c r="A13672" s="28">
        <v>44682</v>
      </c>
      <c r="B13672" s="27" t="s">
        <v>3</v>
      </c>
      <c r="C13672" s="27" t="s">
        <v>50</v>
      </c>
      <c r="D13672" s="27" t="s">
        <v>7</v>
      </c>
      <c r="E13672" s="27" t="s">
        <v>40</v>
      </c>
      <c r="F13672" s="29"/>
      <c r="G13672" s="30">
        <v>827.79857142857145</v>
      </c>
    </row>
    <row r="13673" spans="1:7" hidden="1" x14ac:dyDescent="0.25">
      <c r="A13673" s="28">
        <v>44682</v>
      </c>
      <c r="B13673" s="27" t="s">
        <v>3</v>
      </c>
      <c r="C13673" s="27" t="s">
        <v>50</v>
      </c>
      <c r="D13673" s="27" t="s">
        <v>7</v>
      </c>
      <c r="E13673" s="27" t="s">
        <v>42</v>
      </c>
      <c r="F13673" s="29"/>
      <c r="G13673" s="30">
        <v>827.79857142857145</v>
      </c>
    </row>
    <row r="13674" spans="1:7" hidden="1" x14ac:dyDescent="0.25">
      <c r="A13674" s="28">
        <v>44682</v>
      </c>
      <c r="B13674" s="27" t="s">
        <v>3</v>
      </c>
      <c r="C13674" s="27" t="s">
        <v>50</v>
      </c>
      <c r="D13674" s="27" t="s">
        <v>7</v>
      </c>
      <c r="E13674" s="27" t="s">
        <v>43</v>
      </c>
      <c r="F13674" s="29"/>
      <c r="G13674" s="30">
        <v>827.79857142857145</v>
      </c>
    </row>
    <row r="13675" spans="1:7" hidden="1" x14ac:dyDescent="0.25">
      <c r="A13675" s="28">
        <v>44682</v>
      </c>
      <c r="B13675" s="27" t="s">
        <v>3</v>
      </c>
      <c r="C13675" s="27" t="s">
        <v>50</v>
      </c>
      <c r="D13675" s="27" t="s">
        <v>7</v>
      </c>
      <c r="E13675" s="27" t="s">
        <v>72</v>
      </c>
      <c r="F13675" s="29"/>
      <c r="G13675" s="30">
        <v>827.79857142857145</v>
      </c>
    </row>
    <row r="13676" spans="1:7" hidden="1" x14ac:dyDescent="0.25">
      <c r="A13676" s="28">
        <v>44682</v>
      </c>
      <c r="B13676" s="27" t="s">
        <v>3</v>
      </c>
      <c r="C13676" s="27" t="s">
        <v>50</v>
      </c>
      <c r="D13676" s="27" t="s">
        <v>7</v>
      </c>
      <c r="E13676" s="27" t="s">
        <v>206</v>
      </c>
      <c r="F13676" s="29"/>
      <c r="G13676" s="30">
        <v>827.79857142857145</v>
      </c>
    </row>
    <row r="13677" spans="1:7" hidden="1" x14ac:dyDescent="0.25">
      <c r="A13677" s="28">
        <v>44682</v>
      </c>
      <c r="B13677" s="27" t="s">
        <v>3</v>
      </c>
      <c r="C13677" s="27" t="s">
        <v>50</v>
      </c>
      <c r="D13677" s="27" t="s">
        <v>7</v>
      </c>
      <c r="E13677" s="27" t="s">
        <v>67</v>
      </c>
      <c r="F13677" s="29"/>
      <c r="G13677" s="30">
        <v>827.79857142857145</v>
      </c>
    </row>
    <row r="13678" spans="1:7" hidden="1" x14ac:dyDescent="0.25">
      <c r="A13678" s="28">
        <v>44682</v>
      </c>
      <c r="B13678" s="27" t="s">
        <v>3</v>
      </c>
      <c r="C13678" s="27" t="s">
        <v>50</v>
      </c>
      <c r="D13678" s="27" t="s">
        <v>7</v>
      </c>
      <c r="E13678" s="27" t="s">
        <v>68</v>
      </c>
      <c r="F13678" s="29"/>
      <c r="G13678" s="30">
        <v>827.79857142857145</v>
      </c>
    </row>
    <row r="13679" spans="1:7" hidden="1" x14ac:dyDescent="0.25">
      <c r="A13679" s="28">
        <v>44682</v>
      </c>
      <c r="B13679" s="27" t="s">
        <v>3</v>
      </c>
      <c r="C13679" s="27" t="s">
        <v>50</v>
      </c>
      <c r="D13679" s="27" t="s">
        <v>7</v>
      </c>
      <c r="E13679" s="27" t="s">
        <v>74</v>
      </c>
      <c r="F13679" s="29"/>
      <c r="G13679" s="30">
        <v>827.79857142857145</v>
      </c>
    </row>
    <row r="13680" spans="1:7" hidden="1" x14ac:dyDescent="0.25">
      <c r="A13680" s="28">
        <v>44682</v>
      </c>
      <c r="B13680" s="27" t="s">
        <v>179</v>
      </c>
      <c r="C13680" s="27" t="s">
        <v>50</v>
      </c>
      <c r="D13680" s="27" t="s">
        <v>6</v>
      </c>
      <c r="E13680" s="27" t="s">
        <v>8</v>
      </c>
      <c r="F13680" s="29"/>
      <c r="G13680" s="30">
        <v>224.53</v>
      </c>
    </row>
    <row r="13681" spans="1:7" hidden="1" x14ac:dyDescent="0.25">
      <c r="A13681" s="28">
        <v>44682</v>
      </c>
      <c r="B13681" s="27" t="s">
        <v>179</v>
      </c>
      <c r="C13681" s="27" t="s">
        <v>50</v>
      </c>
      <c r="D13681" s="27" t="s">
        <v>6</v>
      </c>
      <c r="E13681" s="27" t="s">
        <v>9</v>
      </c>
      <c r="F13681" s="29"/>
      <c r="G13681" s="30">
        <v>295.58</v>
      </c>
    </row>
    <row r="13682" spans="1:7" hidden="1" x14ac:dyDescent="0.25">
      <c r="A13682" s="28">
        <v>44682</v>
      </c>
      <c r="B13682" s="27" t="s">
        <v>179</v>
      </c>
      <c r="C13682" s="27" t="s">
        <v>50</v>
      </c>
      <c r="D13682" s="27" t="s">
        <v>6</v>
      </c>
      <c r="E13682" s="27" t="s">
        <v>22</v>
      </c>
      <c r="F13682" s="29"/>
      <c r="G13682" s="30">
        <v>388.92</v>
      </c>
    </row>
    <row r="13683" spans="1:7" hidden="1" x14ac:dyDescent="0.25">
      <c r="A13683" s="28">
        <v>44682</v>
      </c>
      <c r="B13683" s="27" t="s">
        <v>179</v>
      </c>
      <c r="C13683" s="27" t="s">
        <v>50</v>
      </c>
      <c r="D13683" s="27" t="s">
        <v>6</v>
      </c>
      <c r="E13683" s="27" t="s">
        <v>39</v>
      </c>
      <c r="F13683" s="29"/>
      <c r="G13683" s="30">
        <v>296.27999999999997</v>
      </c>
    </row>
    <row r="13684" spans="1:7" hidden="1" x14ac:dyDescent="0.25">
      <c r="A13684" s="28">
        <v>44682</v>
      </c>
      <c r="B13684" s="27" t="s">
        <v>179</v>
      </c>
      <c r="C13684" s="27" t="s">
        <v>50</v>
      </c>
      <c r="D13684" s="27" t="s">
        <v>6</v>
      </c>
      <c r="E13684" s="27" t="s">
        <v>64</v>
      </c>
      <c r="F13684" s="29"/>
      <c r="G13684" s="30">
        <v>247.88</v>
      </c>
    </row>
    <row r="13685" spans="1:7" hidden="1" x14ac:dyDescent="0.25">
      <c r="A13685" s="28">
        <v>44682</v>
      </c>
      <c r="B13685" s="27" t="s">
        <v>179</v>
      </c>
      <c r="C13685" s="27" t="s">
        <v>50</v>
      </c>
      <c r="D13685" s="27" t="s">
        <v>6</v>
      </c>
      <c r="E13685" s="27" t="s">
        <v>21</v>
      </c>
      <c r="F13685" s="29"/>
      <c r="G13685" s="30">
        <v>273.62</v>
      </c>
    </row>
    <row r="13686" spans="1:7" hidden="1" x14ac:dyDescent="0.25">
      <c r="A13686" s="28">
        <v>44682</v>
      </c>
      <c r="B13686" s="27" t="s">
        <v>179</v>
      </c>
      <c r="C13686" s="27" t="s">
        <v>50</v>
      </c>
      <c r="D13686" s="27" t="s">
        <v>6</v>
      </c>
      <c r="E13686" s="27" t="s">
        <v>41</v>
      </c>
      <c r="F13686" s="29"/>
      <c r="G13686" s="30">
        <v>313.69</v>
      </c>
    </row>
    <row r="13687" spans="1:7" hidden="1" x14ac:dyDescent="0.25">
      <c r="A13687" s="28">
        <v>44682</v>
      </c>
      <c r="B13687" s="27" t="s">
        <v>179</v>
      </c>
      <c r="C13687" s="27" t="s">
        <v>50</v>
      </c>
      <c r="D13687" s="27" t="s">
        <v>6</v>
      </c>
      <c r="E13687" s="27" t="s">
        <v>10</v>
      </c>
      <c r="F13687" s="29"/>
      <c r="G13687" s="30">
        <v>354.65</v>
      </c>
    </row>
    <row r="13688" spans="1:7" hidden="1" x14ac:dyDescent="0.25">
      <c r="A13688" s="28">
        <v>44682</v>
      </c>
      <c r="B13688" s="27" t="s">
        <v>179</v>
      </c>
      <c r="C13688" s="27" t="s">
        <v>50</v>
      </c>
      <c r="D13688" s="27" t="s">
        <v>6</v>
      </c>
      <c r="E13688" s="27" t="s">
        <v>11</v>
      </c>
      <c r="F13688" s="29"/>
      <c r="G13688" s="30">
        <v>270.12</v>
      </c>
    </row>
    <row r="13689" spans="1:7" hidden="1" x14ac:dyDescent="0.25">
      <c r="A13689" s="28">
        <v>44682</v>
      </c>
      <c r="B13689" s="27" t="s">
        <v>179</v>
      </c>
      <c r="C13689" s="27" t="s">
        <v>50</v>
      </c>
      <c r="D13689" s="27" t="s">
        <v>6</v>
      </c>
      <c r="E13689" s="27" t="s">
        <v>12</v>
      </c>
      <c r="F13689" s="29"/>
      <c r="G13689" s="30">
        <v>284.35000000000002</v>
      </c>
    </row>
    <row r="13690" spans="1:7" hidden="1" x14ac:dyDescent="0.25">
      <c r="A13690" s="28">
        <v>44682</v>
      </c>
      <c r="B13690" s="27" t="s">
        <v>179</v>
      </c>
      <c r="C13690" s="27" t="s">
        <v>50</v>
      </c>
      <c r="D13690" s="27" t="s">
        <v>6</v>
      </c>
      <c r="E13690" s="27" t="s">
        <v>13</v>
      </c>
      <c r="F13690" s="29"/>
      <c r="G13690" s="30">
        <v>381.13</v>
      </c>
    </row>
    <row r="13691" spans="1:7" hidden="1" x14ac:dyDescent="0.25">
      <c r="A13691" s="28">
        <v>44682</v>
      </c>
      <c r="B13691" s="27" t="s">
        <v>179</v>
      </c>
      <c r="C13691" s="27" t="s">
        <v>50</v>
      </c>
      <c r="D13691" s="27" t="s">
        <v>6</v>
      </c>
      <c r="E13691" s="27" t="s">
        <v>14</v>
      </c>
      <c r="F13691" s="29"/>
      <c r="G13691" s="30">
        <v>324.58</v>
      </c>
    </row>
    <row r="13692" spans="1:7" hidden="1" x14ac:dyDescent="0.25">
      <c r="A13692" s="28">
        <v>44682</v>
      </c>
      <c r="B13692" s="27" t="s">
        <v>179</v>
      </c>
      <c r="C13692" s="27" t="s">
        <v>50</v>
      </c>
      <c r="D13692" s="27" t="s">
        <v>6</v>
      </c>
      <c r="E13692" s="27" t="s">
        <v>15</v>
      </c>
      <c r="F13692" s="29"/>
      <c r="G13692" s="30">
        <v>368.19</v>
      </c>
    </row>
    <row r="13693" spans="1:7" hidden="1" x14ac:dyDescent="0.25">
      <c r="A13693" s="28">
        <v>44682</v>
      </c>
      <c r="B13693" s="27" t="s">
        <v>179</v>
      </c>
      <c r="C13693" s="27" t="s">
        <v>50</v>
      </c>
      <c r="D13693" s="27" t="s">
        <v>6</v>
      </c>
      <c r="E13693" s="27" t="s">
        <v>16</v>
      </c>
      <c r="F13693" s="29"/>
      <c r="G13693" s="30">
        <v>372.56</v>
      </c>
    </row>
    <row r="13694" spans="1:7" hidden="1" x14ac:dyDescent="0.25">
      <c r="A13694" s="28">
        <v>44682</v>
      </c>
      <c r="B13694" s="27" t="s">
        <v>179</v>
      </c>
      <c r="C13694" s="27" t="s">
        <v>50</v>
      </c>
      <c r="D13694" s="27" t="s">
        <v>6</v>
      </c>
      <c r="E13694" s="27" t="s">
        <v>17</v>
      </c>
      <c r="F13694" s="29"/>
      <c r="G13694" s="30">
        <v>575.87</v>
      </c>
    </row>
    <row r="13695" spans="1:7" hidden="1" x14ac:dyDescent="0.25">
      <c r="A13695" s="28">
        <v>44682</v>
      </c>
      <c r="B13695" s="27" t="s">
        <v>179</v>
      </c>
      <c r="C13695" s="27" t="s">
        <v>50</v>
      </c>
      <c r="D13695" s="27" t="s">
        <v>6</v>
      </c>
      <c r="E13695" s="27" t="s">
        <v>18</v>
      </c>
      <c r="F13695" s="29"/>
      <c r="G13695" s="30">
        <v>740.52</v>
      </c>
    </row>
    <row r="13696" spans="1:7" hidden="1" x14ac:dyDescent="0.25">
      <c r="A13696" s="28">
        <v>44682</v>
      </c>
      <c r="B13696" s="27" t="s">
        <v>179</v>
      </c>
      <c r="C13696" s="27" t="s">
        <v>50</v>
      </c>
      <c r="D13696" s="27" t="s">
        <v>6</v>
      </c>
      <c r="E13696" s="27" t="s">
        <v>19</v>
      </c>
      <c r="F13696" s="29"/>
      <c r="G13696" s="30">
        <v>489.05</v>
      </c>
    </row>
    <row r="13697" spans="1:7" hidden="1" x14ac:dyDescent="0.25">
      <c r="A13697" s="28">
        <v>44682</v>
      </c>
      <c r="B13697" s="27" t="s">
        <v>179</v>
      </c>
      <c r="C13697" s="27" t="s">
        <v>50</v>
      </c>
      <c r="D13697" s="27" t="s">
        <v>6</v>
      </c>
      <c r="E13697" s="27" t="s">
        <v>20</v>
      </c>
      <c r="F13697" s="29"/>
      <c r="G13697" s="30">
        <v>906.58</v>
      </c>
    </row>
    <row r="13698" spans="1:7" hidden="1" x14ac:dyDescent="0.25">
      <c r="A13698" s="28">
        <v>44682</v>
      </c>
      <c r="B13698" s="27" t="s">
        <v>179</v>
      </c>
      <c r="C13698" s="27" t="s">
        <v>50</v>
      </c>
      <c r="D13698" s="27" t="s">
        <v>6</v>
      </c>
      <c r="E13698" s="27" t="s">
        <v>38</v>
      </c>
      <c r="F13698" s="29"/>
      <c r="G13698" s="30">
        <v>394.52</v>
      </c>
    </row>
    <row r="13699" spans="1:7" hidden="1" x14ac:dyDescent="0.25">
      <c r="A13699" s="28">
        <v>44682</v>
      </c>
      <c r="B13699" s="27" t="s">
        <v>179</v>
      </c>
      <c r="C13699" s="27" t="s">
        <v>50</v>
      </c>
      <c r="D13699" s="27" t="s">
        <v>6</v>
      </c>
      <c r="E13699" s="27" t="s">
        <v>23</v>
      </c>
      <c r="F13699" s="29"/>
      <c r="G13699" s="30">
        <v>533.80999999999995</v>
      </c>
    </row>
    <row r="13700" spans="1:7" hidden="1" x14ac:dyDescent="0.25">
      <c r="A13700" s="28">
        <v>44682</v>
      </c>
      <c r="B13700" s="27" t="s">
        <v>179</v>
      </c>
      <c r="C13700" s="27" t="s">
        <v>50</v>
      </c>
      <c r="D13700" s="27" t="s">
        <v>6</v>
      </c>
      <c r="E13700" s="27" t="s">
        <v>40</v>
      </c>
      <c r="F13700" s="29"/>
      <c r="G13700" s="30">
        <v>326.05</v>
      </c>
    </row>
    <row r="13701" spans="1:7" hidden="1" x14ac:dyDescent="0.25">
      <c r="A13701" s="28">
        <v>44682</v>
      </c>
      <c r="B13701" s="27" t="s">
        <v>179</v>
      </c>
      <c r="C13701" s="27" t="s">
        <v>50</v>
      </c>
      <c r="D13701" s="27" t="s">
        <v>6</v>
      </c>
      <c r="E13701" s="27" t="s">
        <v>42</v>
      </c>
      <c r="F13701" s="29"/>
      <c r="G13701" s="30">
        <v>202.95</v>
      </c>
    </row>
    <row r="13702" spans="1:7" hidden="1" x14ac:dyDescent="0.25">
      <c r="A13702" s="28">
        <v>44682</v>
      </c>
      <c r="B13702" s="27" t="s">
        <v>179</v>
      </c>
      <c r="C13702" s="27" t="s">
        <v>50</v>
      </c>
      <c r="D13702" s="27" t="s">
        <v>6</v>
      </c>
      <c r="E13702" s="27" t="s">
        <v>72</v>
      </c>
      <c r="F13702" s="29"/>
      <c r="G13702" s="30">
        <v>712.12</v>
      </c>
    </row>
    <row r="13703" spans="1:7" hidden="1" x14ac:dyDescent="0.25">
      <c r="A13703" s="28">
        <v>44682</v>
      </c>
      <c r="B13703" s="27" t="s">
        <v>179</v>
      </c>
      <c r="C13703" s="27" t="s">
        <v>50</v>
      </c>
      <c r="D13703" s="27" t="s">
        <v>6</v>
      </c>
      <c r="E13703" s="27" t="s">
        <v>206</v>
      </c>
      <c r="F13703" s="29"/>
      <c r="G13703" s="30">
        <v>575.63</v>
      </c>
    </row>
    <row r="13704" spans="1:7" hidden="1" x14ac:dyDescent="0.25">
      <c r="A13704" s="28">
        <v>44682</v>
      </c>
      <c r="B13704" s="27" t="s">
        <v>32</v>
      </c>
      <c r="C13704" s="27" t="s">
        <v>50</v>
      </c>
      <c r="D13704" s="27" t="s">
        <v>7</v>
      </c>
      <c r="E13704" s="27" t="s">
        <v>17</v>
      </c>
      <c r="F13704" s="29"/>
      <c r="G13704" s="30">
        <v>75</v>
      </c>
    </row>
    <row r="13705" spans="1:7" hidden="1" x14ac:dyDescent="0.25">
      <c r="A13705" s="28">
        <v>44682</v>
      </c>
      <c r="B13705" s="27" t="s">
        <v>5</v>
      </c>
      <c r="C13705" s="27" t="s">
        <v>51</v>
      </c>
      <c r="D13705" s="27" t="s">
        <v>51</v>
      </c>
      <c r="E13705" s="27" t="s">
        <v>8</v>
      </c>
      <c r="F13705" s="29">
        <v>7351</v>
      </c>
      <c r="G13705" s="30">
        <v>2.7530193021987466</v>
      </c>
    </row>
    <row r="13706" spans="1:7" hidden="1" x14ac:dyDescent="0.25">
      <c r="A13706" s="28">
        <v>44682</v>
      </c>
      <c r="B13706" s="27" t="s">
        <v>5</v>
      </c>
      <c r="C13706" s="27" t="s">
        <v>51</v>
      </c>
      <c r="D13706" s="27" t="s">
        <v>51</v>
      </c>
      <c r="E13706" s="27" t="s">
        <v>9</v>
      </c>
      <c r="F13706" s="29">
        <v>4062</v>
      </c>
      <c r="G13706" s="30">
        <v>3.159629179124487</v>
      </c>
    </row>
    <row r="13707" spans="1:7" hidden="1" x14ac:dyDescent="0.25">
      <c r="A13707" s="28">
        <v>44682</v>
      </c>
      <c r="B13707" s="27" t="s">
        <v>5</v>
      </c>
      <c r="C13707" s="27" t="s">
        <v>51</v>
      </c>
      <c r="D13707" s="27" t="s">
        <v>51</v>
      </c>
      <c r="E13707" s="27" t="s">
        <v>22</v>
      </c>
      <c r="F13707" s="29">
        <v>3857</v>
      </c>
      <c r="G13707" s="30">
        <v>3.7658686393106477</v>
      </c>
    </row>
    <row r="13708" spans="1:7" hidden="1" x14ac:dyDescent="0.25">
      <c r="A13708" s="28">
        <v>44682</v>
      </c>
      <c r="B13708" s="27" t="s">
        <v>5</v>
      </c>
      <c r="C13708" s="27" t="s">
        <v>51</v>
      </c>
      <c r="D13708" s="27" t="s">
        <v>51</v>
      </c>
      <c r="E13708" s="27" t="s">
        <v>39</v>
      </c>
      <c r="F13708" s="29">
        <v>2037</v>
      </c>
      <c r="G13708" s="30">
        <v>6.6231321588511554</v>
      </c>
    </row>
    <row r="13709" spans="1:7" hidden="1" x14ac:dyDescent="0.25">
      <c r="A13709" s="28">
        <v>44682</v>
      </c>
      <c r="B13709" s="27" t="s">
        <v>5</v>
      </c>
      <c r="C13709" s="27" t="s">
        <v>51</v>
      </c>
      <c r="D13709" s="27" t="s">
        <v>51</v>
      </c>
      <c r="E13709" s="27" t="s">
        <v>21</v>
      </c>
      <c r="F13709" s="29">
        <v>4812</v>
      </c>
      <c r="G13709" s="30">
        <v>2.6082485720940149</v>
      </c>
    </row>
    <row r="13710" spans="1:7" hidden="1" x14ac:dyDescent="0.25">
      <c r="A13710" s="28">
        <v>44682</v>
      </c>
      <c r="B13710" s="27" t="s">
        <v>5</v>
      </c>
      <c r="C13710" s="27" t="s">
        <v>51</v>
      </c>
      <c r="D13710" s="27" t="s">
        <v>51</v>
      </c>
      <c r="E13710" s="27" t="s">
        <v>41</v>
      </c>
      <c r="F13710" s="29">
        <v>3617</v>
      </c>
      <c r="G13710" s="30">
        <v>3.550797247625427</v>
      </c>
    </row>
    <row r="13711" spans="1:7" hidden="1" x14ac:dyDescent="0.25">
      <c r="A13711" s="28">
        <v>44682</v>
      </c>
      <c r="B13711" s="27" t="s">
        <v>5</v>
      </c>
      <c r="C13711" s="27" t="s">
        <v>51</v>
      </c>
      <c r="D13711" s="27" t="s">
        <v>51</v>
      </c>
      <c r="E13711" s="27" t="s">
        <v>10</v>
      </c>
      <c r="F13711" s="29">
        <v>6375</v>
      </c>
      <c r="G13711" s="30">
        <v>2.2984705200181161</v>
      </c>
    </row>
    <row r="13712" spans="1:7" hidden="1" x14ac:dyDescent="0.25">
      <c r="A13712" s="28">
        <v>44682</v>
      </c>
      <c r="B13712" s="27" t="s">
        <v>5</v>
      </c>
      <c r="C13712" s="27" t="s">
        <v>51</v>
      </c>
      <c r="D13712" s="27" t="s">
        <v>51</v>
      </c>
      <c r="E13712" s="27" t="s">
        <v>11</v>
      </c>
      <c r="F13712" s="29">
        <v>2140</v>
      </c>
      <c r="G13712" s="30">
        <v>6.2640276235914429</v>
      </c>
    </row>
    <row r="13713" spans="1:7" hidden="1" x14ac:dyDescent="0.25">
      <c r="A13713" s="28">
        <v>44682</v>
      </c>
      <c r="B13713" s="27" t="s">
        <v>5</v>
      </c>
      <c r="C13713" s="27" t="s">
        <v>51</v>
      </c>
      <c r="D13713" s="27" t="s">
        <v>51</v>
      </c>
      <c r="E13713" s="27" t="s">
        <v>12</v>
      </c>
      <c r="F13713" s="29">
        <v>910</v>
      </c>
      <c r="G13713" s="30">
        <v>15.931160062035213</v>
      </c>
    </row>
    <row r="13714" spans="1:7" hidden="1" x14ac:dyDescent="0.25">
      <c r="A13714" s="28">
        <v>44682</v>
      </c>
      <c r="B13714" s="27" t="s">
        <v>5</v>
      </c>
      <c r="C13714" s="27" t="s">
        <v>51</v>
      </c>
      <c r="D13714" s="27" t="s">
        <v>51</v>
      </c>
      <c r="E13714" s="27" t="s">
        <v>13</v>
      </c>
      <c r="F13714" s="29">
        <v>6357</v>
      </c>
      <c r="G13714" s="30">
        <v>2.3105952998869967</v>
      </c>
    </row>
    <row r="13715" spans="1:7" hidden="1" x14ac:dyDescent="0.25">
      <c r="A13715" s="28">
        <v>44682</v>
      </c>
      <c r="B13715" s="27" t="s">
        <v>5</v>
      </c>
      <c r="C13715" s="27" t="s">
        <v>51</v>
      </c>
      <c r="D13715" s="27" t="s">
        <v>51</v>
      </c>
      <c r="E13715" s="27" t="s">
        <v>14</v>
      </c>
      <c r="F13715" s="29">
        <v>7053</v>
      </c>
      <c r="G13715" s="30">
        <v>1.9237345109106638</v>
      </c>
    </row>
    <row r="13716" spans="1:7" hidden="1" x14ac:dyDescent="0.25">
      <c r="A13716" s="28">
        <v>44682</v>
      </c>
      <c r="B13716" s="27" t="s">
        <v>5</v>
      </c>
      <c r="C13716" s="27" t="s">
        <v>51</v>
      </c>
      <c r="D13716" s="27" t="s">
        <v>51</v>
      </c>
      <c r="E13716" s="27" t="s">
        <v>15</v>
      </c>
      <c r="F13716" s="29">
        <v>3738</v>
      </c>
      <c r="G13716" s="30">
        <v>3.573988857309486</v>
      </c>
    </row>
    <row r="13717" spans="1:7" hidden="1" x14ac:dyDescent="0.25">
      <c r="A13717" s="28">
        <v>44682</v>
      </c>
      <c r="B13717" s="27" t="s">
        <v>5</v>
      </c>
      <c r="C13717" s="27" t="s">
        <v>51</v>
      </c>
      <c r="D13717" s="27" t="s">
        <v>51</v>
      </c>
      <c r="E13717" s="27" t="s">
        <v>16</v>
      </c>
      <c r="F13717" s="29">
        <v>2937</v>
      </c>
      <c r="G13717" s="30">
        <v>4.3462773677878914</v>
      </c>
    </row>
    <row r="13718" spans="1:7" hidden="1" x14ac:dyDescent="0.25">
      <c r="A13718" s="28">
        <v>44682</v>
      </c>
      <c r="B13718" s="27" t="s">
        <v>5</v>
      </c>
      <c r="C13718" s="27" t="s">
        <v>51</v>
      </c>
      <c r="D13718" s="27" t="s">
        <v>51</v>
      </c>
      <c r="E13718" s="27" t="s">
        <v>17</v>
      </c>
      <c r="F13718" s="29">
        <v>3564</v>
      </c>
      <c r="G13718" s="30">
        <v>5.7335260090129943</v>
      </c>
    </row>
    <row r="13719" spans="1:7" hidden="1" x14ac:dyDescent="0.25">
      <c r="A13719" s="28">
        <v>44682</v>
      </c>
      <c r="B13719" s="27" t="s">
        <v>5</v>
      </c>
      <c r="C13719" s="27" t="s">
        <v>51</v>
      </c>
      <c r="D13719" s="27" t="s">
        <v>51</v>
      </c>
      <c r="E13719" s="27" t="s">
        <v>18</v>
      </c>
      <c r="F13719" s="29">
        <v>5525</v>
      </c>
      <c r="G13719" s="30">
        <v>2.9100980987385938</v>
      </c>
    </row>
    <row r="13720" spans="1:7" hidden="1" x14ac:dyDescent="0.25">
      <c r="A13720" s="28">
        <v>44682</v>
      </c>
      <c r="B13720" s="27" t="s">
        <v>5</v>
      </c>
      <c r="C13720" s="27" t="s">
        <v>51</v>
      </c>
      <c r="D13720" s="27" t="s">
        <v>51</v>
      </c>
      <c r="E13720" s="27" t="s">
        <v>19</v>
      </c>
      <c r="F13720" s="29">
        <v>5901</v>
      </c>
      <c r="G13720" s="30">
        <v>2.4316596201002101</v>
      </c>
    </row>
    <row r="13721" spans="1:7" hidden="1" x14ac:dyDescent="0.25">
      <c r="A13721" s="28">
        <v>44682</v>
      </c>
      <c r="B13721" s="27" t="s">
        <v>5</v>
      </c>
      <c r="C13721" s="27" t="s">
        <v>51</v>
      </c>
      <c r="D13721" s="27" t="s">
        <v>51</v>
      </c>
      <c r="E13721" s="27" t="s">
        <v>20</v>
      </c>
      <c r="F13721" s="29">
        <v>6032</v>
      </c>
      <c r="G13721" s="30">
        <v>2.6612306149395377</v>
      </c>
    </row>
    <row r="13722" spans="1:7" hidden="1" x14ac:dyDescent="0.25">
      <c r="A13722" s="28">
        <v>44682</v>
      </c>
      <c r="B13722" s="27" t="s">
        <v>5</v>
      </c>
      <c r="C13722" s="27" t="s">
        <v>51</v>
      </c>
      <c r="D13722" s="27" t="s">
        <v>51</v>
      </c>
      <c r="E13722" s="27" t="s">
        <v>23</v>
      </c>
      <c r="F13722" s="29">
        <v>4905</v>
      </c>
      <c r="G13722" s="30">
        <v>2.9390108282456775</v>
      </c>
    </row>
    <row r="13723" spans="1:7" hidden="1" x14ac:dyDescent="0.25">
      <c r="A13723" s="28">
        <v>44682</v>
      </c>
      <c r="B13723" s="27" t="s">
        <v>5</v>
      </c>
      <c r="C13723" s="27" t="s">
        <v>51</v>
      </c>
      <c r="D13723" s="27" t="s">
        <v>51</v>
      </c>
      <c r="E13723" s="27" t="s">
        <v>40</v>
      </c>
      <c r="F13723" s="29">
        <v>5865</v>
      </c>
      <c r="G13723" s="30">
        <v>2.2700261187252013</v>
      </c>
    </row>
    <row r="13724" spans="1:7" hidden="1" x14ac:dyDescent="0.25">
      <c r="A13724" s="28">
        <v>44682</v>
      </c>
      <c r="B13724" s="27" t="s">
        <v>5</v>
      </c>
      <c r="C13724" s="27" t="s">
        <v>51</v>
      </c>
      <c r="D13724" s="27" t="s">
        <v>51</v>
      </c>
      <c r="E13724" s="27" t="s">
        <v>42</v>
      </c>
      <c r="F13724" s="29">
        <v>3658</v>
      </c>
      <c r="G13724" s="30">
        <v>3.1809883479812595</v>
      </c>
    </row>
    <row r="13725" spans="1:7" hidden="1" x14ac:dyDescent="0.25">
      <c r="A13725" s="28">
        <v>44682</v>
      </c>
      <c r="B13725" s="27" t="s">
        <v>5</v>
      </c>
      <c r="C13725" s="27" t="s">
        <v>51</v>
      </c>
      <c r="D13725" s="27" t="s">
        <v>51</v>
      </c>
      <c r="E13725" s="27" t="s">
        <v>43</v>
      </c>
      <c r="F13725" s="29">
        <v>8403</v>
      </c>
      <c r="G13725" s="30">
        <v>1.5995052920208939</v>
      </c>
    </row>
    <row r="13726" spans="1:7" hidden="1" x14ac:dyDescent="0.25">
      <c r="A13726" s="28">
        <v>44682</v>
      </c>
      <c r="B13726" s="27" t="s">
        <v>5</v>
      </c>
      <c r="C13726" s="27" t="s">
        <v>51</v>
      </c>
      <c r="D13726" s="27" t="s">
        <v>51</v>
      </c>
      <c r="E13726" s="27" t="s">
        <v>72</v>
      </c>
      <c r="F13726" s="29">
        <v>8072</v>
      </c>
      <c r="G13726" s="30">
        <v>1.8275573441356388</v>
      </c>
    </row>
    <row r="13727" spans="1:7" hidden="1" x14ac:dyDescent="0.25">
      <c r="A13727" s="28">
        <v>44682</v>
      </c>
      <c r="B13727" s="27" t="s">
        <v>5</v>
      </c>
      <c r="C13727" s="27" t="s">
        <v>51</v>
      </c>
      <c r="D13727" s="27" t="s">
        <v>51</v>
      </c>
      <c r="E13727" s="27" t="s">
        <v>206</v>
      </c>
      <c r="F13727" s="29">
        <v>641</v>
      </c>
      <c r="G13727" s="30">
        <v>17.255472717975962</v>
      </c>
    </row>
    <row r="13728" spans="1:7" hidden="1" x14ac:dyDescent="0.25">
      <c r="A13728" s="28">
        <v>44682</v>
      </c>
      <c r="B13728" s="27" t="s">
        <v>5</v>
      </c>
      <c r="C13728" s="27" t="s">
        <v>51</v>
      </c>
      <c r="D13728" s="27" t="s">
        <v>51</v>
      </c>
      <c r="E13728" s="27" t="s">
        <v>68</v>
      </c>
      <c r="F13728" s="29">
        <v>679</v>
      </c>
      <c r="G13728" s="30">
        <f>10857.81/Tabela16[[#This Row],[KM RODADO]]</f>
        <v>15.990883652430043</v>
      </c>
    </row>
    <row r="13729" spans="1:7" hidden="1" x14ac:dyDescent="0.25">
      <c r="A13729" s="28">
        <v>44682</v>
      </c>
      <c r="B13729" s="27" t="s">
        <v>180</v>
      </c>
      <c r="C13729" s="27" t="s">
        <v>50</v>
      </c>
      <c r="D13729" s="27" t="s">
        <v>7</v>
      </c>
      <c r="E13729" s="27" t="s">
        <v>8</v>
      </c>
      <c r="F13729" s="29"/>
      <c r="G13729" s="30">
        <v>1110</v>
      </c>
    </row>
    <row r="13730" spans="1:7" hidden="1" x14ac:dyDescent="0.25">
      <c r="A13730" s="28">
        <v>44682</v>
      </c>
      <c r="B13730" s="27" t="s">
        <v>180</v>
      </c>
      <c r="C13730" s="27" t="s">
        <v>50</v>
      </c>
      <c r="D13730" s="27" t="s">
        <v>7</v>
      </c>
      <c r="E13730" s="27" t="s">
        <v>64</v>
      </c>
      <c r="F13730" s="29"/>
      <c r="G13730" s="30">
        <v>22950</v>
      </c>
    </row>
    <row r="13731" spans="1:7" hidden="1" x14ac:dyDescent="0.25">
      <c r="A13731" s="28">
        <v>44682</v>
      </c>
      <c r="B13731" s="27" t="s">
        <v>180</v>
      </c>
      <c r="C13731" s="27" t="s">
        <v>50</v>
      </c>
      <c r="D13731" s="27" t="s">
        <v>7</v>
      </c>
      <c r="E13731" s="27" t="s">
        <v>41</v>
      </c>
      <c r="F13731" s="29"/>
      <c r="G13731" s="30">
        <v>100</v>
      </c>
    </row>
    <row r="13732" spans="1:7" hidden="1" x14ac:dyDescent="0.25">
      <c r="A13732" s="28">
        <v>44682</v>
      </c>
      <c r="B13732" s="27" t="s">
        <v>180</v>
      </c>
      <c r="C13732" s="27" t="s">
        <v>50</v>
      </c>
      <c r="D13732" s="27" t="s">
        <v>7</v>
      </c>
      <c r="E13732" s="27" t="s">
        <v>11</v>
      </c>
      <c r="F13732" s="29"/>
      <c r="G13732" s="30">
        <v>130</v>
      </c>
    </row>
    <row r="13733" spans="1:7" hidden="1" x14ac:dyDescent="0.25">
      <c r="A13733" s="28">
        <v>44682</v>
      </c>
      <c r="B13733" s="27" t="s">
        <v>180</v>
      </c>
      <c r="C13733" s="27" t="s">
        <v>50</v>
      </c>
      <c r="D13733" s="27" t="s">
        <v>7</v>
      </c>
      <c r="E13733" s="27" t="s">
        <v>12</v>
      </c>
      <c r="F13733" s="29"/>
      <c r="G13733" s="30">
        <v>770</v>
      </c>
    </row>
    <row r="13734" spans="1:7" hidden="1" x14ac:dyDescent="0.25">
      <c r="A13734" s="28">
        <v>44682</v>
      </c>
      <c r="B13734" s="27" t="s">
        <v>180</v>
      </c>
      <c r="C13734" s="27" t="s">
        <v>50</v>
      </c>
      <c r="D13734" s="27" t="s">
        <v>7</v>
      </c>
      <c r="E13734" s="27" t="s">
        <v>13</v>
      </c>
      <c r="F13734" s="29"/>
      <c r="G13734" s="30">
        <v>10</v>
      </c>
    </row>
    <row r="13735" spans="1:7" hidden="1" x14ac:dyDescent="0.25">
      <c r="A13735" s="28">
        <v>44682</v>
      </c>
      <c r="B13735" s="27" t="s">
        <v>180</v>
      </c>
      <c r="C13735" s="27" t="s">
        <v>50</v>
      </c>
      <c r="D13735" s="27" t="s">
        <v>7</v>
      </c>
      <c r="E13735" s="27" t="s">
        <v>15</v>
      </c>
      <c r="F13735" s="29"/>
      <c r="G13735" s="30">
        <v>120</v>
      </c>
    </row>
    <row r="13736" spans="1:7" hidden="1" x14ac:dyDescent="0.25">
      <c r="A13736" s="28">
        <v>44682</v>
      </c>
      <c r="B13736" s="27" t="s">
        <v>180</v>
      </c>
      <c r="C13736" s="27" t="s">
        <v>50</v>
      </c>
      <c r="D13736" s="27" t="s">
        <v>7</v>
      </c>
      <c r="E13736" s="27" t="s">
        <v>17</v>
      </c>
      <c r="F13736" s="29"/>
      <c r="G13736" s="30">
        <v>4660</v>
      </c>
    </row>
    <row r="13737" spans="1:7" hidden="1" x14ac:dyDescent="0.25">
      <c r="A13737" s="28">
        <v>44682</v>
      </c>
      <c r="B13737" s="27" t="s">
        <v>180</v>
      </c>
      <c r="C13737" s="27" t="s">
        <v>50</v>
      </c>
      <c r="D13737" s="27" t="s">
        <v>7</v>
      </c>
      <c r="E13737" s="27" t="s">
        <v>19</v>
      </c>
      <c r="F13737" s="29"/>
      <c r="G13737" s="30">
        <v>695</v>
      </c>
    </row>
    <row r="13738" spans="1:7" hidden="1" x14ac:dyDescent="0.25">
      <c r="A13738" s="28">
        <v>44682</v>
      </c>
      <c r="B13738" s="27" t="s">
        <v>180</v>
      </c>
      <c r="C13738" s="27" t="s">
        <v>50</v>
      </c>
      <c r="D13738" s="27" t="s">
        <v>7</v>
      </c>
      <c r="E13738" s="27" t="s">
        <v>20</v>
      </c>
      <c r="F13738" s="29"/>
      <c r="G13738" s="30">
        <v>486.93</v>
      </c>
    </row>
    <row r="13739" spans="1:7" hidden="1" x14ac:dyDescent="0.25">
      <c r="A13739" s="28">
        <v>44682</v>
      </c>
      <c r="B13739" s="27" t="s">
        <v>180</v>
      </c>
      <c r="C13739" s="27" t="s">
        <v>50</v>
      </c>
      <c r="D13739" s="27" t="s">
        <v>7</v>
      </c>
      <c r="E13739" s="27" t="s">
        <v>23</v>
      </c>
      <c r="F13739" s="29"/>
      <c r="G13739" s="30">
        <v>920</v>
      </c>
    </row>
    <row r="13740" spans="1:7" hidden="1" x14ac:dyDescent="0.25">
      <c r="A13740" s="28">
        <v>44682</v>
      </c>
      <c r="B13740" s="27" t="s">
        <v>180</v>
      </c>
      <c r="C13740" s="27" t="s">
        <v>50</v>
      </c>
      <c r="D13740" s="27" t="s">
        <v>7</v>
      </c>
      <c r="E13740" s="27" t="s">
        <v>40</v>
      </c>
      <c r="F13740" s="29"/>
      <c r="G13740" s="30">
        <v>1635.38</v>
      </c>
    </row>
    <row r="13741" spans="1:7" hidden="1" x14ac:dyDescent="0.25">
      <c r="A13741" s="28">
        <v>44682</v>
      </c>
      <c r="B13741" s="27" t="s">
        <v>180</v>
      </c>
      <c r="C13741" s="27" t="s">
        <v>50</v>
      </c>
      <c r="D13741" s="27" t="s">
        <v>7</v>
      </c>
      <c r="E13741" s="27" t="s">
        <v>42</v>
      </c>
      <c r="F13741" s="29"/>
      <c r="G13741" s="30">
        <v>100</v>
      </c>
    </row>
    <row r="13742" spans="1:7" hidden="1" x14ac:dyDescent="0.25">
      <c r="A13742" s="28">
        <v>44682</v>
      </c>
      <c r="B13742" s="27" t="s">
        <v>180</v>
      </c>
      <c r="C13742" s="27" t="s">
        <v>50</v>
      </c>
      <c r="D13742" s="27" t="s">
        <v>7</v>
      </c>
      <c r="E13742" s="27" t="s">
        <v>72</v>
      </c>
      <c r="F13742" s="29"/>
      <c r="G13742" s="30">
        <v>940</v>
      </c>
    </row>
    <row r="13743" spans="1:7" hidden="1" x14ac:dyDescent="0.25">
      <c r="A13743" s="28">
        <v>44682</v>
      </c>
      <c r="B13743" s="27" t="s">
        <v>180</v>
      </c>
      <c r="C13743" s="27" t="s">
        <v>50</v>
      </c>
      <c r="D13743" s="27" t="s">
        <v>7</v>
      </c>
      <c r="E13743" s="27" t="s">
        <v>206</v>
      </c>
      <c r="F13743" s="29"/>
      <c r="G13743" s="30">
        <v>1369.8</v>
      </c>
    </row>
    <row r="13744" spans="1:7" hidden="1" x14ac:dyDescent="0.25">
      <c r="A13744" s="28">
        <v>44682</v>
      </c>
      <c r="B13744" s="27" t="s">
        <v>180</v>
      </c>
      <c r="C13744" s="27" t="s">
        <v>50</v>
      </c>
      <c r="D13744" s="27" t="s">
        <v>7</v>
      </c>
      <c r="E13744" s="27" t="s">
        <v>37</v>
      </c>
      <c r="F13744" s="29"/>
      <c r="G13744" s="30">
        <v>1210</v>
      </c>
    </row>
    <row r="13745" spans="1:7" hidden="1" x14ac:dyDescent="0.25">
      <c r="A13745" s="28">
        <v>44682</v>
      </c>
      <c r="B13745" s="27" t="s">
        <v>181</v>
      </c>
      <c r="C13745" s="27" t="s">
        <v>50</v>
      </c>
      <c r="D13745" s="27" t="s">
        <v>6</v>
      </c>
      <c r="E13745" s="27" t="s">
        <v>8</v>
      </c>
      <c r="F13745" s="29"/>
      <c r="G13745" s="30">
        <v>1742</v>
      </c>
    </row>
    <row r="13746" spans="1:7" hidden="1" x14ac:dyDescent="0.25">
      <c r="A13746" s="28">
        <v>44682</v>
      </c>
      <c r="B13746" s="27" t="s">
        <v>181</v>
      </c>
      <c r="C13746" s="27" t="s">
        <v>50</v>
      </c>
      <c r="D13746" s="27" t="s">
        <v>6</v>
      </c>
      <c r="E13746" s="27" t="s">
        <v>9</v>
      </c>
      <c r="F13746" s="29"/>
      <c r="G13746" s="30">
        <v>320</v>
      </c>
    </row>
    <row r="13747" spans="1:7" hidden="1" x14ac:dyDescent="0.25">
      <c r="A13747" s="28">
        <v>44682</v>
      </c>
      <c r="B13747" s="27" t="s">
        <v>181</v>
      </c>
      <c r="C13747" s="27" t="s">
        <v>50</v>
      </c>
      <c r="D13747" s="27" t="s">
        <v>6</v>
      </c>
      <c r="E13747" s="27" t="s">
        <v>22</v>
      </c>
      <c r="F13747" s="29"/>
      <c r="G13747" s="30">
        <v>1125</v>
      </c>
    </row>
    <row r="13748" spans="1:7" hidden="1" x14ac:dyDescent="0.25">
      <c r="A13748" s="28">
        <v>44682</v>
      </c>
      <c r="B13748" s="27" t="s">
        <v>181</v>
      </c>
      <c r="C13748" s="27" t="s">
        <v>50</v>
      </c>
      <c r="D13748" s="27" t="s">
        <v>6</v>
      </c>
      <c r="E13748" s="27" t="s">
        <v>41</v>
      </c>
      <c r="F13748" s="29"/>
      <c r="G13748" s="30">
        <v>100</v>
      </c>
    </row>
    <row r="13749" spans="1:7" hidden="1" x14ac:dyDescent="0.25">
      <c r="A13749" s="28">
        <v>44682</v>
      </c>
      <c r="B13749" s="27" t="s">
        <v>181</v>
      </c>
      <c r="C13749" s="27" t="s">
        <v>50</v>
      </c>
      <c r="D13749" s="27" t="s">
        <v>6</v>
      </c>
      <c r="E13749" s="27" t="s">
        <v>14</v>
      </c>
      <c r="F13749" s="29"/>
      <c r="G13749" s="30">
        <v>1280</v>
      </c>
    </row>
    <row r="13750" spans="1:7" hidden="1" x14ac:dyDescent="0.25">
      <c r="A13750" s="28">
        <v>44682</v>
      </c>
      <c r="B13750" s="27" t="s">
        <v>181</v>
      </c>
      <c r="C13750" s="27" t="s">
        <v>50</v>
      </c>
      <c r="D13750" s="27" t="s">
        <v>6</v>
      </c>
      <c r="E13750" s="27" t="s">
        <v>17</v>
      </c>
      <c r="F13750" s="29"/>
      <c r="G13750" s="30">
        <v>1033.6500000000001</v>
      </c>
    </row>
    <row r="13751" spans="1:7" hidden="1" x14ac:dyDescent="0.25">
      <c r="A13751" s="28">
        <v>44682</v>
      </c>
      <c r="B13751" s="27" t="s">
        <v>181</v>
      </c>
      <c r="C13751" s="27" t="s">
        <v>50</v>
      </c>
      <c r="D13751" s="27" t="s">
        <v>6</v>
      </c>
      <c r="E13751" s="27" t="s">
        <v>18</v>
      </c>
      <c r="F13751" s="29"/>
      <c r="G13751" s="30">
        <v>3561.1</v>
      </c>
    </row>
    <row r="13752" spans="1:7" hidden="1" x14ac:dyDescent="0.25">
      <c r="A13752" s="28">
        <v>44682</v>
      </c>
      <c r="B13752" s="27" t="s">
        <v>181</v>
      </c>
      <c r="C13752" s="27" t="s">
        <v>50</v>
      </c>
      <c r="D13752" s="27" t="s">
        <v>6</v>
      </c>
      <c r="E13752" s="27" t="s">
        <v>20</v>
      </c>
      <c r="F13752" s="29"/>
      <c r="G13752" s="30">
        <v>1470</v>
      </c>
    </row>
    <row r="13753" spans="1:7" hidden="1" x14ac:dyDescent="0.25">
      <c r="A13753" s="28">
        <v>44682</v>
      </c>
      <c r="B13753" s="27" t="s">
        <v>181</v>
      </c>
      <c r="C13753" s="27" t="s">
        <v>50</v>
      </c>
      <c r="D13753" s="27" t="s">
        <v>6</v>
      </c>
      <c r="E13753" s="27" t="s">
        <v>43</v>
      </c>
      <c r="F13753" s="29"/>
      <c r="G13753" s="30">
        <v>1385</v>
      </c>
    </row>
    <row r="13754" spans="1:7" hidden="1" x14ac:dyDescent="0.25">
      <c r="A13754" s="28">
        <v>44682</v>
      </c>
      <c r="B13754" s="27" t="s">
        <v>181</v>
      </c>
      <c r="C13754" s="27" t="s">
        <v>50</v>
      </c>
      <c r="D13754" s="27" t="s">
        <v>6</v>
      </c>
      <c r="E13754" s="27" t="s">
        <v>72</v>
      </c>
      <c r="F13754" s="29"/>
      <c r="G13754" s="30">
        <v>1480</v>
      </c>
    </row>
    <row r="13755" spans="1:7" hidden="1" x14ac:dyDescent="0.25">
      <c r="A13755" s="28">
        <v>44682</v>
      </c>
      <c r="B13755" s="27" t="s">
        <v>181</v>
      </c>
      <c r="C13755" s="27" t="s">
        <v>50</v>
      </c>
      <c r="D13755" s="27" t="s">
        <v>6</v>
      </c>
      <c r="E13755" s="27" t="s">
        <v>37</v>
      </c>
      <c r="F13755" s="29"/>
      <c r="G13755" s="30">
        <v>16200.3</v>
      </c>
    </row>
    <row r="13756" spans="1:7" hidden="1" x14ac:dyDescent="0.25">
      <c r="A13756" s="28">
        <v>44682</v>
      </c>
      <c r="B13756" s="27" t="s">
        <v>25</v>
      </c>
      <c r="C13756" s="27" t="s">
        <v>50</v>
      </c>
      <c r="D13756" s="27" t="s">
        <v>7</v>
      </c>
      <c r="E13756" s="27" t="s">
        <v>8</v>
      </c>
      <c r="F13756" s="29"/>
      <c r="G13756" s="30">
        <v>156.19</v>
      </c>
    </row>
    <row r="13757" spans="1:7" hidden="1" x14ac:dyDescent="0.25">
      <c r="A13757" s="28">
        <v>44682</v>
      </c>
      <c r="B13757" s="27" t="s">
        <v>25</v>
      </c>
      <c r="C13757" s="27" t="s">
        <v>50</v>
      </c>
      <c r="D13757" s="27" t="s">
        <v>7</v>
      </c>
      <c r="E13757" s="27" t="s">
        <v>12</v>
      </c>
      <c r="F13757" s="29"/>
      <c r="G13757" s="30">
        <v>400.52</v>
      </c>
    </row>
    <row r="13758" spans="1:7" hidden="1" x14ac:dyDescent="0.25">
      <c r="A13758" s="28">
        <v>44682</v>
      </c>
      <c r="B13758" s="27" t="s">
        <v>25</v>
      </c>
      <c r="C13758" s="27" t="s">
        <v>50</v>
      </c>
      <c r="D13758" s="27" t="s">
        <v>7</v>
      </c>
      <c r="E13758" s="27" t="s">
        <v>42</v>
      </c>
      <c r="F13758" s="29"/>
      <c r="G13758" s="30">
        <v>270.83000000000004</v>
      </c>
    </row>
    <row r="13759" spans="1:7" hidden="1" x14ac:dyDescent="0.25">
      <c r="A13759" s="28">
        <v>44682</v>
      </c>
      <c r="B13759" s="27" t="s">
        <v>25</v>
      </c>
      <c r="C13759" s="27" t="s">
        <v>50</v>
      </c>
      <c r="D13759" s="27" t="s">
        <v>7</v>
      </c>
      <c r="E13759" s="27" t="s">
        <v>43</v>
      </c>
      <c r="F13759" s="29"/>
      <c r="G13759" s="30">
        <v>104.13</v>
      </c>
    </row>
    <row r="13760" spans="1:7" hidden="1" x14ac:dyDescent="0.25">
      <c r="A13760" s="28">
        <v>44682</v>
      </c>
      <c r="B13760" s="27" t="s">
        <v>25</v>
      </c>
      <c r="C13760" s="27" t="s">
        <v>50</v>
      </c>
      <c r="D13760" s="27" t="s">
        <v>7</v>
      </c>
      <c r="E13760" s="27" t="s">
        <v>37</v>
      </c>
      <c r="F13760" s="29"/>
      <c r="G13760" s="30">
        <v>2111.9900000000002</v>
      </c>
    </row>
    <row r="13761" spans="1:7" hidden="1" x14ac:dyDescent="0.25">
      <c r="A13761" s="28">
        <v>44682</v>
      </c>
      <c r="B13761" s="27" t="s">
        <v>2</v>
      </c>
      <c r="C13761" s="27" t="s">
        <v>50</v>
      </c>
      <c r="D13761" s="27" t="s">
        <v>7</v>
      </c>
      <c r="E13761" s="27" t="s">
        <v>8</v>
      </c>
      <c r="F13761" s="29"/>
      <c r="G13761" s="30">
        <v>1227.4000000000005</v>
      </c>
    </row>
    <row r="13762" spans="1:7" hidden="1" x14ac:dyDescent="0.25">
      <c r="A13762" s="28">
        <v>44682</v>
      </c>
      <c r="B13762" s="27" t="s">
        <v>2</v>
      </c>
      <c r="C13762" s="27" t="s">
        <v>50</v>
      </c>
      <c r="D13762" s="27" t="s">
        <v>7</v>
      </c>
      <c r="E13762" s="27" t="s">
        <v>9</v>
      </c>
      <c r="F13762" s="29"/>
      <c r="G13762" s="30">
        <v>399.11999999999961</v>
      </c>
    </row>
    <row r="13763" spans="1:7" hidden="1" x14ac:dyDescent="0.25">
      <c r="A13763" s="28">
        <v>44682</v>
      </c>
      <c r="B13763" s="27" t="s">
        <v>2</v>
      </c>
      <c r="C13763" s="27" t="s">
        <v>50</v>
      </c>
      <c r="D13763" s="27" t="s">
        <v>7</v>
      </c>
      <c r="E13763" s="27" t="s">
        <v>22</v>
      </c>
      <c r="F13763" s="29"/>
      <c r="G13763" s="30">
        <v>764.6499999999993</v>
      </c>
    </row>
    <row r="13764" spans="1:7" hidden="1" x14ac:dyDescent="0.25">
      <c r="A13764" s="28">
        <v>44682</v>
      </c>
      <c r="B13764" s="27" t="s">
        <v>2</v>
      </c>
      <c r="C13764" s="27" t="s">
        <v>50</v>
      </c>
      <c r="D13764" s="27" t="s">
        <v>7</v>
      </c>
      <c r="E13764" s="27" t="s">
        <v>39</v>
      </c>
      <c r="F13764" s="29"/>
      <c r="G13764" s="30">
        <v>307.57</v>
      </c>
    </row>
    <row r="13765" spans="1:7" hidden="1" x14ac:dyDescent="0.25">
      <c r="A13765" s="28">
        <v>44682</v>
      </c>
      <c r="B13765" s="27" t="s">
        <v>2</v>
      </c>
      <c r="C13765" s="27" t="s">
        <v>50</v>
      </c>
      <c r="D13765" s="27" t="s">
        <v>7</v>
      </c>
      <c r="E13765" s="27" t="s">
        <v>21</v>
      </c>
      <c r="F13765" s="29"/>
      <c r="G13765" s="30">
        <v>391.7</v>
      </c>
    </row>
    <row r="13766" spans="1:7" hidden="1" x14ac:dyDescent="0.25">
      <c r="A13766" s="28">
        <v>44682</v>
      </c>
      <c r="B13766" s="27" t="s">
        <v>2</v>
      </c>
      <c r="C13766" s="27" t="s">
        <v>50</v>
      </c>
      <c r="D13766" s="27" t="s">
        <v>7</v>
      </c>
      <c r="E13766" s="27" t="s">
        <v>41</v>
      </c>
      <c r="F13766" s="29"/>
      <c r="G13766" s="30">
        <v>327.20000000000022</v>
      </c>
    </row>
    <row r="13767" spans="1:7" hidden="1" x14ac:dyDescent="0.25">
      <c r="A13767" s="28">
        <v>44682</v>
      </c>
      <c r="B13767" s="27" t="s">
        <v>2</v>
      </c>
      <c r="C13767" s="27" t="s">
        <v>50</v>
      </c>
      <c r="D13767" s="27" t="s">
        <v>7</v>
      </c>
      <c r="E13767" s="27" t="s">
        <v>10</v>
      </c>
      <c r="F13767" s="29"/>
      <c r="G13767" s="30">
        <v>1056.6999999999996</v>
      </c>
    </row>
    <row r="13768" spans="1:7" hidden="1" x14ac:dyDescent="0.25">
      <c r="A13768" s="28">
        <v>44682</v>
      </c>
      <c r="B13768" s="27" t="s">
        <v>2</v>
      </c>
      <c r="C13768" s="27" t="s">
        <v>50</v>
      </c>
      <c r="D13768" s="27" t="s">
        <v>7</v>
      </c>
      <c r="E13768" s="27" t="s">
        <v>11</v>
      </c>
      <c r="F13768" s="29"/>
      <c r="G13768" s="30">
        <v>298.88000000000017</v>
      </c>
    </row>
    <row r="13769" spans="1:7" hidden="1" x14ac:dyDescent="0.25">
      <c r="A13769" s="28">
        <v>44682</v>
      </c>
      <c r="B13769" s="27" t="s">
        <v>2</v>
      </c>
      <c r="C13769" s="27" t="s">
        <v>50</v>
      </c>
      <c r="D13769" s="27" t="s">
        <v>7</v>
      </c>
      <c r="E13769" s="27" t="s">
        <v>12</v>
      </c>
      <c r="F13769" s="29"/>
      <c r="G13769" s="30">
        <v>209.62000000000006</v>
      </c>
    </row>
    <row r="13770" spans="1:7" hidden="1" x14ac:dyDescent="0.25">
      <c r="A13770" s="28">
        <v>44682</v>
      </c>
      <c r="B13770" s="27" t="s">
        <v>2</v>
      </c>
      <c r="C13770" s="27" t="s">
        <v>50</v>
      </c>
      <c r="D13770" s="27" t="s">
        <v>7</v>
      </c>
      <c r="E13770" s="27" t="s">
        <v>13</v>
      </c>
      <c r="F13770" s="29"/>
      <c r="G13770" s="30">
        <v>1394.5299999999995</v>
      </c>
    </row>
    <row r="13771" spans="1:7" hidden="1" x14ac:dyDescent="0.25">
      <c r="A13771" s="28">
        <v>44682</v>
      </c>
      <c r="B13771" s="27" t="s">
        <v>2</v>
      </c>
      <c r="C13771" s="27" t="s">
        <v>50</v>
      </c>
      <c r="D13771" s="27" t="s">
        <v>7</v>
      </c>
      <c r="E13771" s="27" t="s">
        <v>14</v>
      </c>
      <c r="F13771" s="29"/>
      <c r="G13771" s="30">
        <v>327.03000000000054</v>
      </c>
    </row>
    <row r="13772" spans="1:7" hidden="1" x14ac:dyDescent="0.25">
      <c r="A13772" s="28">
        <v>44682</v>
      </c>
      <c r="B13772" s="27" t="s">
        <v>2</v>
      </c>
      <c r="C13772" s="27" t="s">
        <v>50</v>
      </c>
      <c r="D13772" s="27" t="s">
        <v>7</v>
      </c>
      <c r="E13772" s="27" t="s">
        <v>15</v>
      </c>
      <c r="F13772" s="29"/>
      <c r="G13772" s="30">
        <v>558.96000000000083</v>
      </c>
    </row>
    <row r="13773" spans="1:7" hidden="1" x14ac:dyDescent="0.25">
      <c r="A13773" s="28">
        <v>44682</v>
      </c>
      <c r="B13773" s="27" t="s">
        <v>2</v>
      </c>
      <c r="C13773" s="27" t="s">
        <v>50</v>
      </c>
      <c r="D13773" s="27" t="s">
        <v>7</v>
      </c>
      <c r="E13773" s="27" t="s">
        <v>16</v>
      </c>
      <c r="F13773" s="29"/>
      <c r="G13773" s="30">
        <v>113.78</v>
      </c>
    </row>
    <row r="13774" spans="1:7" hidden="1" x14ac:dyDescent="0.25">
      <c r="A13774" s="28">
        <v>44682</v>
      </c>
      <c r="B13774" s="27" t="s">
        <v>2</v>
      </c>
      <c r="C13774" s="27" t="s">
        <v>50</v>
      </c>
      <c r="D13774" s="27" t="s">
        <v>7</v>
      </c>
      <c r="E13774" s="27" t="s">
        <v>17</v>
      </c>
      <c r="F13774" s="29"/>
      <c r="G13774" s="30">
        <v>829.5499999999995</v>
      </c>
    </row>
    <row r="13775" spans="1:7" hidden="1" x14ac:dyDescent="0.25">
      <c r="A13775" s="28">
        <v>44682</v>
      </c>
      <c r="B13775" s="27" t="s">
        <v>2</v>
      </c>
      <c r="C13775" s="27" t="s">
        <v>50</v>
      </c>
      <c r="D13775" s="27" t="s">
        <v>7</v>
      </c>
      <c r="E13775" s="27" t="s">
        <v>18</v>
      </c>
      <c r="F13775" s="29"/>
      <c r="G13775" s="30">
        <v>48.400000000000006</v>
      </c>
    </row>
    <row r="13776" spans="1:7" hidden="1" x14ac:dyDescent="0.25">
      <c r="A13776" s="28">
        <v>44682</v>
      </c>
      <c r="B13776" s="27" t="s">
        <v>2</v>
      </c>
      <c r="C13776" s="27" t="s">
        <v>50</v>
      </c>
      <c r="D13776" s="27" t="s">
        <v>7</v>
      </c>
      <c r="E13776" s="27" t="s">
        <v>19</v>
      </c>
      <c r="F13776" s="29"/>
      <c r="G13776" s="30">
        <v>619.45000000000027</v>
      </c>
    </row>
    <row r="13777" spans="1:7" hidden="1" x14ac:dyDescent="0.25">
      <c r="A13777" s="28">
        <v>44682</v>
      </c>
      <c r="B13777" s="27" t="s">
        <v>2</v>
      </c>
      <c r="C13777" s="27" t="s">
        <v>50</v>
      </c>
      <c r="D13777" s="27" t="s">
        <v>7</v>
      </c>
      <c r="E13777" s="27" t="s">
        <v>20</v>
      </c>
      <c r="F13777" s="29"/>
      <c r="G13777" s="30">
        <v>542.10000000000036</v>
      </c>
    </row>
    <row r="13778" spans="1:7" hidden="1" x14ac:dyDescent="0.25">
      <c r="A13778" s="28">
        <v>44682</v>
      </c>
      <c r="B13778" s="27" t="s">
        <v>2</v>
      </c>
      <c r="C13778" s="27" t="s">
        <v>50</v>
      </c>
      <c r="D13778" s="27" t="s">
        <v>7</v>
      </c>
      <c r="E13778" s="27" t="s">
        <v>38</v>
      </c>
      <c r="F13778" s="29"/>
      <c r="G13778" s="30">
        <v>78.799999999999983</v>
      </c>
    </row>
    <row r="13779" spans="1:7" hidden="1" x14ac:dyDescent="0.25">
      <c r="A13779" s="28">
        <v>44682</v>
      </c>
      <c r="B13779" s="27" t="s">
        <v>2</v>
      </c>
      <c r="C13779" s="27" t="s">
        <v>50</v>
      </c>
      <c r="D13779" s="27" t="s">
        <v>7</v>
      </c>
      <c r="E13779" s="27" t="s">
        <v>23</v>
      </c>
      <c r="F13779" s="29"/>
      <c r="G13779" s="30">
        <v>248.39999999999981</v>
      </c>
    </row>
    <row r="13780" spans="1:7" hidden="1" x14ac:dyDescent="0.25">
      <c r="A13780" s="28">
        <v>44682</v>
      </c>
      <c r="B13780" s="27" t="s">
        <v>2</v>
      </c>
      <c r="C13780" s="27" t="s">
        <v>50</v>
      </c>
      <c r="D13780" s="27" t="s">
        <v>7</v>
      </c>
      <c r="E13780" s="27" t="s">
        <v>40</v>
      </c>
      <c r="F13780" s="29"/>
      <c r="G13780" s="30">
        <v>393.44000000000051</v>
      </c>
    </row>
    <row r="13781" spans="1:7" hidden="1" x14ac:dyDescent="0.25">
      <c r="A13781" s="28">
        <v>44682</v>
      </c>
      <c r="B13781" s="27" t="s">
        <v>2</v>
      </c>
      <c r="C13781" s="27" t="s">
        <v>50</v>
      </c>
      <c r="D13781" s="27" t="s">
        <v>7</v>
      </c>
      <c r="E13781" s="27" t="s">
        <v>42</v>
      </c>
      <c r="F13781" s="29"/>
      <c r="G13781" s="30">
        <v>167.6</v>
      </c>
    </row>
    <row r="13782" spans="1:7" hidden="1" x14ac:dyDescent="0.25">
      <c r="A13782" s="28">
        <v>44682</v>
      </c>
      <c r="B13782" s="27" t="s">
        <v>2</v>
      </c>
      <c r="C13782" s="27" t="s">
        <v>50</v>
      </c>
      <c r="D13782" s="27" t="s">
        <v>7</v>
      </c>
      <c r="E13782" s="27" t="s">
        <v>43</v>
      </c>
      <c r="F13782" s="29"/>
      <c r="G13782" s="30">
        <v>578.02000000000032</v>
      </c>
    </row>
    <row r="13783" spans="1:7" hidden="1" x14ac:dyDescent="0.25">
      <c r="A13783" s="28">
        <v>44682</v>
      </c>
      <c r="B13783" s="27" t="s">
        <v>2</v>
      </c>
      <c r="C13783" s="27" t="s">
        <v>50</v>
      </c>
      <c r="D13783" s="27" t="s">
        <v>7</v>
      </c>
      <c r="E13783" s="27" t="s">
        <v>72</v>
      </c>
      <c r="F13783" s="29"/>
      <c r="G13783" s="30">
        <v>501.85000000000065</v>
      </c>
    </row>
    <row r="13784" spans="1:7" hidden="1" x14ac:dyDescent="0.25">
      <c r="A13784" s="28">
        <v>44682</v>
      </c>
      <c r="B13784" s="27" t="s">
        <v>2</v>
      </c>
      <c r="C13784" s="27" t="s">
        <v>50</v>
      </c>
      <c r="D13784" s="27" t="s">
        <v>7</v>
      </c>
      <c r="E13784" s="27" t="s">
        <v>206</v>
      </c>
      <c r="F13784" s="29"/>
      <c r="G13784" s="30">
        <v>273.29999999999995</v>
      </c>
    </row>
    <row r="13785" spans="1:7" hidden="1" x14ac:dyDescent="0.25">
      <c r="A13785" s="28">
        <v>44682</v>
      </c>
      <c r="B13785" s="27" t="s">
        <v>2</v>
      </c>
      <c r="C13785" s="27" t="s">
        <v>50</v>
      </c>
      <c r="D13785" s="27" t="s">
        <v>7</v>
      </c>
      <c r="E13785" s="27" t="s">
        <v>68</v>
      </c>
      <c r="F13785" s="29"/>
      <c r="G13785" s="30">
        <v>450.50000000000006</v>
      </c>
    </row>
    <row r="13786" spans="1:7" hidden="1" x14ac:dyDescent="0.25">
      <c r="A13786" s="28">
        <v>44682</v>
      </c>
      <c r="B13786" s="27" t="s">
        <v>2</v>
      </c>
      <c r="C13786" s="27" t="s">
        <v>50</v>
      </c>
      <c r="D13786" s="27" t="s">
        <v>7</v>
      </c>
      <c r="E13786" s="27" t="s">
        <v>37</v>
      </c>
      <c r="F13786" s="29"/>
      <c r="G13786" s="30">
        <v>16.100000000000001</v>
      </c>
    </row>
    <row r="13787" spans="1:7" hidden="1" x14ac:dyDescent="0.25">
      <c r="A13787" s="28">
        <v>44682</v>
      </c>
      <c r="B13787" s="27" t="s">
        <v>36</v>
      </c>
      <c r="C13787" s="27" t="s">
        <v>50</v>
      </c>
      <c r="D13787" s="27" t="s">
        <v>6</v>
      </c>
      <c r="E13787" s="27" t="s">
        <v>8</v>
      </c>
      <c r="F13787" s="29"/>
      <c r="G13787" s="30">
        <v>419.99142857142857</v>
      </c>
    </row>
    <row r="13788" spans="1:7" hidden="1" x14ac:dyDescent="0.25">
      <c r="A13788" s="28">
        <v>44682</v>
      </c>
      <c r="B13788" s="27" t="s">
        <v>36</v>
      </c>
      <c r="C13788" s="27" t="s">
        <v>50</v>
      </c>
      <c r="D13788" s="27" t="s">
        <v>6</v>
      </c>
      <c r="E13788" s="27" t="s">
        <v>9</v>
      </c>
      <c r="F13788" s="29"/>
      <c r="G13788" s="30">
        <v>419.99142857142857</v>
      </c>
    </row>
    <row r="13789" spans="1:7" hidden="1" x14ac:dyDescent="0.25">
      <c r="A13789" s="28">
        <v>44682</v>
      </c>
      <c r="B13789" s="27" t="s">
        <v>36</v>
      </c>
      <c r="C13789" s="27" t="s">
        <v>50</v>
      </c>
      <c r="D13789" s="27" t="s">
        <v>6</v>
      </c>
      <c r="E13789" s="27" t="s">
        <v>22</v>
      </c>
      <c r="F13789" s="29"/>
      <c r="G13789" s="30">
        <v>419.99142857142857</v>
      </c>
    </row>
    <row r="13790" spans="1:7" hidden="1" x14ac:dyDescent="0.25">
      <c r="A13790" s="28">
        <v>44682</v>
      </c>
      <c r="B13790" s="27" t="s">
        <v>36</v>
      </c>
      <c r="C13790" s="27" t="s">
        <v>50</v>
      </c>
      <c r="D13790" s="27" t="s">
        <v>6</v>
      </c>
      <c r="E13790" s="27" t="s">
        <v>39</v>
      </c>
      <c r="F13790" s="29"/>
      <c r="G13790" s="30">
        <v>419.99142857142857</v>
      </c>
    </row>
    <row r="13791" spans="1:7" hidden="1" x14ac:dyDescent="0.25">
      <c r="A13791" s="28">
        <v>44682</v>
      </c>
      <c r="B13791" s="27" t="s">
        <v>36</v>
      </c>
      <c r="C13791" s="27" t="s">
        <v>50</v>
      </c>
      <c r="D13791" s="27" t="s">
        <v>6</v>
      </c>
      <c r="E13791" s="27" t="s">
        <v>64</v>
      </c>
      <c r="F13791" s="29"/>
      <c r="G13791" s="30">
        <v>419.99142857142857</v>
      </c>
    </row>
    <row r="13792" spans="1:7" hidden="1" x14ac:dyDescent="0.25">
      <c r="A13792" s="28">
        <v>44682</v>
      </c>
      <c r="B13792" s="27" t="s">
        <v>36</v>
      </c>
      <c r="C13792" s="27" t="s">
        <v>50</v>
      </c>
      <c r="D13792" s="27" t="s">
        <v>6</v>
      </c>
      <c r="E13792" s="27" t="s">
        <v>21</v>
      </c>
      <c r="F13792" s="29"/>
      <c r="G13792" s="30">
        <v>419.99142857142857</v>
      </c>
    </row>
    <row r="13793" spans="1:7" hidden="1" x14ac:dyDescent="0.25">
      <c r="A13793" s="28">
        <v>44682</v>
      </c>
      <c r="B13793" s="27" t="s">
        <v>36</v>
      </c>
      <c r="C13793" s="27" t="s">
        <v>50</v>
      </c>
      <c r="D13793" s="27" t="s">
        <v>6</v>
      </c>
      <c r="E13793" s="27" t="s">
        <v>41</v>
      </c>
      <c r="F13793" s="29"/>
      <c r="G13793" s="30">
        <v>419.99142857142857</v>
      </c>
    </row>
    <row r="13794" spans="1:7" hidden="1" x14ac:dyDescent="0.25">
      <c r="A13794" s="28">
        <v>44682</v>
      </c>
      <c r="B13794" s="27" t="s">
        <v>36</v>
      </c>
      <c r="C13794" s="27" t="s">
        <v>50</v>
      </c>
      <c r="D13794" s="27" t="s">
        <v>6</v>
      </c>
      <c r="E13794" s="27" t="s">
        <v>10</v>
      </c>
      <c r="F13794" s="29"/>
      <c r="G13794" s="30">
        <v>419.99142857142857</v>
      </c>
    </row>
    <row r="13795" spans="1:7" hidden="1" x14ac:dyDescent="0.25">
      <c r="A13795" s="28">
        <v>44682</v>
      </c>
      <c r="B13795" s="27" t="s">
        <v>36</v>
      </c>
      <c r="C13795" s="27" t="s">
        <v>50</v>
      </c>
      <c r="D13795" s="27" t="s">
        <v>6</v>
      </c>
      <c r="E13795" s="27" t="s">
        <v>11</v>
      </c>
      <c r="F13795" s="29"/>
      <c r="G13795" s="30">
        <v>419.99142857142857</v>
      </c>
    </row>
    <row r="13796" spans="1:7" hidden="1" x14ac:dyDescent="0.25">
      <c r="A13796" s="28">
        <v>44682</v>
      </c>
      <c r="B13796" s="27" t="s">
        <v>36</v>
      </c>
      <c r="C13796" s="27" t="s">
        <v>50</v>
      </c>
      <c r="D13796" s="27" t="s">
        <v>6</v>
      </c>
      <c r="E13796" s="27" t="s">
        <v>12</v>
      </c>
      <c r="F13796" s="29"/>
      <c r="G13796" s="30">
        <v>419.99142857142857</v>
      </c>
    </row>
    <row r="13797" spans="1:7" hidden="1" x14ac:dyDescent="0.25">
      <c r="A13797" s="28">
        <v>44682</v>
      </c>
      <c r="B13797" s="27" t="s">
        <v>36</v>
      </c>
      <c r="C13797" s="27" t="s">
        <v>50</v>
      </c>
      <c r="D13797" s="27" t="s">
        <v>6</v>
      </c>
      <c r="E13797" s="27" t="s">
        <v>13</v>
      </c>
      <c r="F13797" s="29"/>
      <c r="G13797" s="30">
        <v>419.99142857142857</v>
      </c>
    </row>
    <row r="13798" spans="1:7" hidden="1" x14ac:dyDescent="0.25">
      <c r="A13798" s="28">
        <v>44682</v>
      </c>
      <c r="B13798" s="27" t="s">
        <v>36</v>
      </c>
      <c r="C13798" s="27" t="s">
        <v>50</v>
      </c>
      <c r="D13798" s="27" t="s">
        <v>6</v>
      </c>
      <c r="E13798" s="27" t="s">
        <v>14</v>
      </c>
      <c r="F13798" s="29"/>
      <c r="G13798" s="30">
        <v>419.99142857142857</v>
      </c>
    </row>
    <row r="13799" spans="1:7" hidden="1" x14ac:dyDescent="0.25">
      <c r="A13799" s="28">
        <v>44682</v>
      </c>
      <c r="B13799" s="27" t="s">
        <v>36</v>
      </c>
      <c r="C13799" s="27" t="s">
        <v>50</v>
      </c>
      <c r="D13799" s="27" t="s">
        <v>6</v>
      </c>
      <c r="E13799" s="27" t="s">
        <v>15</v>
      </c>
      <c r="F13799" s="29"/>
      <c r="G13799" s="30">
        <v>419.99142857142857</v>
      </c>
    </row>
    <row r="13800" spans="1:7" hidden="1" x14ac:dyDescent="0.25">
      <c r="A13800" s="28">
        <v>44682</v>
      </c>
      <c r="B13800" s="27" t="s">
        <v>36</v>
      </c>
      <c r="C13800" s="27" t="s">
        <v>50</v>
      </c>
      <c r="D13800" s="27" t="s">
        <v>6</v>
      </c>
      <c r="E13800" s="27" t="s">
        <v>16</v>
      </c>
      <c r="F13800" s="29"/>
      <c r="G13800" s="30">
        <v>419.99142857142857</v>
      </c>
    </row>
    <row r="13801" spans="1:7" hidden="1" x14ac:dyDescent="0.25">
      <c r="A13801" s="28">
        <v>44682</v>
      </c>
      <c r="B13801" s="27" t="s">
        <v>36</v>
      </c>
      <c r="C13801" s="27" t="s">
        <v>50</v>
      </c>
      <c r="D13801" s="27" t="s">
        <v>6</v>
      </c>
      <c r="E13801" s="27" t="s">
        <v>17</v>
      </c>
      <c r="F13801" s="29"/>
      <c r="G13801" s="30">
        <v>419.99142857142857</v>
      </c>
    </row>
    <row r="13802" spans="1:7" hidden="1" x14ac:dyDescent="0.25">
      <c r="A13802" s="28">
        <v>44682</v>
      </c>
      <c r="B13802" s="27" t="s">
        <v>36</v>
      </c>
      <c r="C13802" s="27" t="s">
        <v>50</v>
      </c>
      <c r="D13802" s="27" t="s">
        <v>6</v>
      </c>
      <c r="E13802" s="27" t="s">
        <v>18</v>
      </c>
      <c r="F13802" s="29"/>
      <c r="G13802" s="30">
        <v>419.99142857142857</v>
      </c>
    </row>
    <row r="13803" spans="1:7" hidden="1" x14ac:dyDescent="0.25">
      <c r="A13803" s="28">
        <v>44682</v>
      </c>
      <c r="B13803" s="27" t="s">
        <v>36</v>
      </c>
      <c r="C13803" s="27" t="s">
        <v>50</v>
      </c>
      <c r="D13803" s="27" t="s">
        <v>6</v>
      </c>
      <c r="E13803" s="27" t="s">
        <v>19</v>
      </c>
      <c r="F13803" s="29"/>
      <c r="G13803" s="30">
        <v>419.99142857142857</v>
      </c>
    </row>
    <row r="13804" spans="1:7" hidden="1" x14ac:dyDescent="0.25">
      <c r="A13804" s="28">
        <v>44682</v>
      </c>
      <c r="B13804" s="27" t="s">
        <v>36</v>
      </c>
      <c r="C13804" s="27" t="s">
        <v>50</v>
      </c>
      <c r="D13804" s="27" t="s">
        <v>6</v>
      </c>
      <c r="E13804" s="27" t="s">
        <v>20</v>
      </c>
      <c r="F13804" s="29"/>
      <c r="G13804" s="30">
        <v>419.99142857142857</v>
      </c>
    </row>
    <row r="13805" spans="1:7" hidden="1" x14ac:dyDescent="0.25">
      <c r="A13805" s="28">
        <v>44682</v>
      </c>
      <c r="B13805" s="27" t="s">
        <v>36</v>
      </c>
      <c r="C13805" s="27" t="s">
        <v>50</v>
      </c>
      <c r="D13805" s="27" t="s">
        <v>6</v>
      </c>
      <c r="E13805" s="27" t="s">
        <v>38</v>
      </c>
      <c r="F13805" s="29"/>
      <c r="G13805" s="30">
        <v>419.99142857142857</v>
      </c>
    </row>
    <row r="13806" spans="1:7" hidden="1" x14ac:dyDescent="0.25">
      <c r="A13806" s="28">
        <v>44682</v>
      </c>
      <c r="B13806" s="27" t="s">
        <v>36</v>
      </c>
      <c r="C13806" s="27" t="s">
        <v>50</v>
      </c>
      <c r="D13806" s="27" t="s">
        <v>6</v>
      </c>
      <c r="E13806" s="27" t="s">
        <v>23</v>
      </c>
      <c r="F13806" s="29"/>
      <c r="G13806" s="30">
        <v>419.99142857142857</v>
      </c>
    </row>
    <row r="13807" spans="1:7" hidden="1" x14ac:dyDescent="0.25">
      <c r="A13807" s="28">
        <v>44682</v>
      </c>
      <c r="B13807" s="27" t="s">
        <v>36</v>
      </c>
      <c r="C13807" s="27" t="s">
        <v>50</v>
      </c>
      <c r="D13807" s="27" t="s">
        <v>6</v>
      </c>
      <c r="E13807" s="27" t="s">
        <v>40</v>
      </c>
      <c r="F13807" s="29"/>
      <c r="G13807" s="30">
        <v>419.99142857142857</v>
      </c>
    </row>
    <row r="13808" spans="1:7" hidden="1" x14ac:dyDescent="0.25">
      <c r="A13808" s="28">
        <v>44682</v>
      </c>
      <c r="B13808" s="27" t="s">
        <v>36</v>
      </c>
      <c r="C13808" s="27" t="s">
        <v>50</v>
      </c>
      <c r="D13808" s="27" t="s">
        <v>6</v>
      </c>
      <c r="E13808" s="27" t="s">
        <v>42</v>
      </c>
      <c r="F13808" s="29"/>
      <c r="G13808" s="30">
        <v>419.99142857142857</v>
      </c>
    </row>
    <row r="13809" spans="1:7" hidden="1" x14ac:dyDescent="0.25">
      <c r="A13809" s="28">
        <v>44682</v>
      </c>
      <c r="B13809" s="27" t="s">
        <v>36</v>
      </c>
      <c r="C13809" s="27" t="s">
        <v>50</v>
      </c>
      <c r="D13809" s="27" t="s">
        <v>6</v>
      </c>
      <c r="E13809" s="27" t="s">
        <v>43</v>
      </c>
      <c r="F13809" s="29"/>
      <c r="G13809" s="30">
        <v>419.99142857142857</v>
      </c>
    </row>
    <row r="13810" spans="1:7" hidden="1" x14ac:dyDescent="0.25">
      <c r="A13810" s="28">
        <v>44682</v>
      </c>
      <c r="B13810" s="27" t="s">
        <v>36</v>
      </c>
      <c r="C13810" s="27" t="s">
        <v>50</v>
      </c>
      <c r="D13810" s="27" t="s">
        <v>6</v>
      </c>
      <c r="E13810" s="27" t="s">
        <v>72</v>
      </c>
      <c r="F13810" s="29"/>
      <c r="G13810" s="30">
        <v>419.99142857142857</v>
      </c>
    </row>
    <row r="13811" spans="1:7" hidden="1" x14ac:dyDescent="0.25">
      <c r="A13811" s="28">
        <v>44682</v>
      </c>
      <c r="B13811" s="27" t="s">
        <v>36</v>
      </c>
      <c r="C13811" s="27" t="s">
        <v>50</v>
      </c>
      <c r="D13811" s="27" t="s">
        <v>6</v>
      </c>
      <c r="E13811" s="27" t="s">
        <v>206</v>
      </c>
      <c r="F13811" s="29"/>
      <c r="G13811" s="30">
        <v>419.99142857142857</v>
      </c>
    </row>
    <row r="13812" spans="1:7" hidden="1" x14ac:dyDescent="0.25">
      <c r="A13812" s="28">
        <v>44682</v>
      </c>
      <c r="B13812" s="27" t="s">
        <v>36</v>
      </c>
      <c r="C13812" s="27" t="s">
        <v>50</v>
      </c>
      <c r="D13812" s="27" t="s">
        <v>6</v>
      </c>
      <c r="E13812" s="27" t="s">
        <v>67</v>
      </c>
      <c r="F13812" s="29"/>
      <c r="G13812" s="30">
        <v>419.99142857142857</v>
      </c>
    </row>
    <row r="13813" spans="1:7" hidden="1" x14ac:dyDescent="0.25">
      <c r="A13813" s="28">
        <v>44682</v>
      </c>
      <c r="B13813" s="27" t="s">
        <v>36</v>
      </c>
      <c r="C13813" s="27" t="s">
        <v>50</v>
      </c>
      <c r="D13813" s="27" t="s">
        <v>6</v>
      </c>
      <c r="E13813" s="27" t="s">
        <v>68</v>
      </c>
      <c r="F13813" s="29"/>
      <c r="G13813" s="30">
        <v>419.99142857142857</v>
      </c>
    </row>
    <row r="13814" spans="1:7" hidden="1" x14ac:dyDescent="0.25">
      <c r="A13814" s="28">
        <v>44682</v>
      </c>
      <c r="B13814" s="27" t="s">
        <v>36</v>
      </c>
      <c r="C13814" s="27" t="s">
        <v>50</v>
      </c>
      <c r="D13814" s="27" t="s">
        <v>6</v>
      </c>
      <c r="E13814" s="27" t="s">
        <v>74</v>
      </c>
      <c r="F13814" s="29"/>
      <c r="G13814" s="30">
        <v>419.99142857142857</v>
      </c>
    </row>
    <row r="13815" spans="1:7" hidden="1" x14ac:dyDescent="0.25">
      <c r="A13815" s="28">
        <v>44682</v>
      </c>
      <c r="B13815" s="27" t="s">
        <v>200</v>
      </c>
      <c r="C13815" s="27" t="s">
        <v>53</v>
      </c>
      <c r="D13815" s="27" t="s">
        <v>6</v>
      </c>
      <c r="E13815" s="27" t="s">
        <v>8</v>
      </c>
      <c r="F13815" s="29"/>
      <c r="G13815" s="30">
        <f t="shared" ref="G13815:G13838" si="239">2707.49983888889/24</f>
        <v>112.81249328703707</v>
      </c>
    </row>
    <row r="13816" spans="1:7" hidden="1" x14ac:dyDescent="0.25">
      <c r="A13816" s="28">
        <v>44682</v>
      </c>
      <c r="B13816" s="27" t="s">
        <v>200</v>
      </c>
      <c r="C13816" s="27" t="s">
        <v>53</v>
      </c>
      <c r="D13816" s="27" t="s">
        <v>6</v>
      </c>
      <c r="E13816" s="27" t="s">
        <v>9</v>
      </c>
      <c r="F13816" s="29"/>
      <c r="G13816" s="30">
        <f t="shared" si="239"/>
        <v>112.81249328703707</v>
      </c>
    </row>
    <row r="13817" spans="1:7" hidden="1" x14ac:dyDescent="0.25">
      <c r="A13817" s="28">
        <v>44682</v>
      </c>
      <c r="B13817" s="27" t="s">
        <v>200</v>
      </c>
      <c r="C13817" s="27" t="s">
        <v>53</v>
      </c>
      <c r="D13817" s="27" t="s">
        <v>6</v>
      </c>
      <c r="E13817" s="27" t="s">
        <v>22</v>
      </c>
      <c r="F13817" s="29"/>
      <c r="G13817" s="30">
        <f t="shared" si="239"/>
        <v>112.81249328703707</v>
      </c>
    </row>
    <row r="13818" spans="1:7" hidden="1" x14ac:dyDescent="0.25">
      <c r="A13818" s="28">
        <v>44682</v>
      </c>
      <c r="B13818" s="27" t="s">
        <v>200</v>
      </c>
      <c r="C13818" s="27" t="s">
        <v>53</v>
      </c>
      <c r="D13818" s="27" t="s">
        <v>6</v>
      </c>
      <c r="E13818" s="27" t="s">
        <v>39</v>
      </c>
      <c r="F13818" s="29"/>
      <c r="G13818" s="30">
        <f t="shared" si="239"/>
        <v>112.81249328703707</v>
      </c>
    </row>
    <row r="13819" spans="1:7" hidden="1" x14ac:dyDescent="0.25">
      <c r="A13819" s="28">
        <v>44682</v>
      </c>
      <c r="B13819" s="27" t="s">
        <v>200</v>
      </c>
      <c r="C13819" s="27" t="s">
        <v>53</v>
      </c>
      <c r="D13819" s="27" t="s">
        <v>6</v>
      </c>
      <c r="E13819" s="27" t="s">
        <v>64</v>
      </c>
      <c r="F13819" s="29"/>
      <c r="G13819" s="30">
        <f t="shared" si="239"/>
        <v>112.81249328703707</v>
      </c>
    </row>
    <row r="13820" spans="1:7" hidden="1" x14ac:dyDescent="0.25">
      <c r="A13820" s="28">
        <v>44682</v>
      </c>
      <c r="B13820" s="27" t="s">
        <v>200</v>
      </c>
      <c r="C13820" s="27" t="s">
        <v>53</v>
      </c>
      <c r="D13820" s="27" t="s">
        <v>6</v>
      </c>
      <c r="E13820" s="27" t="s">
        <v>21</v>
      </c>
      <c r="F13820" s="29"/>
      <c r="G13820" s="30">
        <f t="shared" si="239"/>
        <v>112.81249328703707</v>
      </c>
    </row>
    <row r="13821" spans="1:7" hidden="1" x14ac:dyDescent="0.25">
      <c r="A13821" s="28">
        <v>44682</v>
      </c>
      <c r="B13821" s="27" t="s">
        <v>200</v>
      </c>
      <c r="C13821" s="27" t="s">
        <v>53</v>
      </c>
      <c r="D13821" s="27" t="s">
        <v>6</v>
      </c>
      <c r="E13821" s="27" t="s">
        <v>41</v>
      </c>
      <c r="F13821" s="29"/>
      <c r="G13821" s="30">
        <f t="shared" si="239"/>
        <v>112.81249328703707</v>
      </c>
    </row>
    <row r="13822" spans="1:7" hidden="1" x14ac:dyDescent="0.25">
      <c r="A13822" s="28">
        <v>44682</v>
      </c>
      <c r="B13822" s="27" t="s">
        <v>200</v>
      </c>
      <c r="C13822" s="27" t="s">
        <v>53</v>
      </c>
      <c r="D13822" s="27" t="s">
        <v>6</v>
      </c>
      <c r="E13822" s="27" t="s">
        <v>10</v>
      </c>
      <c r="F13822" s="29"/>
      <c r="G13822" s="30">
        <f t="shared" si="239"/>
        <v>112.81249328703707</v>
      </c>
    </row>
    <row r="13823" spans="1:7" hidden="1" x14ac:dyDescent="0.25">
      <c r="A13823" s="28">
        <v>44682</v>
      </c>
      <c r="B13823" s="27" t="s">
        <v>200</v>
      </c>
      <c r="C13823" s="27" t="s">
        <v>53</v>
      </c>
      <c r="D13823" s="27" t="s">
        <v>6</v>
      </c>
      <c r="E13823" s="27" t="s">
        <v>11</v>
      </c>
      <c r="F13823" s="29"/>
      <c r="G13823" s="30">
        <f t="shared" si="239"/>
        <v>112.81249328703707</v>
      </c>
    </row>
    <row r="13824" spans="1:7" hidden="1" x14ac:dyDescent="0.25">
      <c r="A13824" s="28">
        <v>44682</v>
      </c>
      <c r="B13824" s="27" t="s">
        <v>200</v>
      </c>
      <c r="C13824" s="27" t="s">
        <v>53</v>
      </c>
      <c r="D13824" s="27" t="s">
        <v>6</v>
      </c>
      <c r="E13824" s="27" t="s">
        <v>12</v>
      </c>
      <c r="F13824" s="29"/>
      <c r="G13824" s="30">
        <f t="shared" si="239"/>
        <v>112.81249328703707</v>
      </c>
    </row>
    <row r="13825" spans="1:7" hidden="1" x14ac:dyDescent="0.25">
      <c r="A13825" s="28">
        <v>44682</v>
      </c>
      <c r="B13825" s="27" t="s">
        <v>200</v>
      </c>
      <c r="C13825" s="27" t="s">
        <v>53</v>
      </c>
      <c r="D13825" s="27" t="s">
        <v>6</v>
      </c>
      <c r="E13825" s="27" t="s">
        <v>13</v>
      </c>
      <c r="F13825" s="29"/>
      <c r="G13825" s="30">
        <f t="shared" si="239"/>
        <v>112.81249328703707</v>
      </c>
    </row>
    <row r="13826" spans="1:7" hidden="1" x14ac:dyDescent="0.25">
      <c r="A13826" s="28">
        <v>44682</v>
      </c>
      <c r="B13826" s="27" t="s">
        <v>200</v>
      </c>
      <c r="C13826" s="27" t="s">
        <v>53</v>
      </c>
      <c r="D13826" s="27" t="s">
        <v>6</v>
      </c>
      <c r="E13826" s="27" t="s">
        <v>14</v>
      </c>
      <c r="F13826" s="29"/>
      <c r="G13826" s="30">
        <f t="shared" si="239"/>
        <v>112.81249328703707</v>
      </c>
    </row>
    <row r="13827" spans="1:7" hidden="1" x14ac:dyDescent="0.25">
      <c r="A13827" s="28">
        <v>44682</v>
      </c>
      <c r="B13827" s="27" t="s">
        <v>200</v>
      </c>
      <c r="C13827" s="27" t="s">
        <v>53</v>
      </c>
      <c r="D13827" s="27" t="s">
        <v>6</v>
      </c>
      <c r="E13827" s="27" t="s">
        <v>15</v>
      </c>
      <c r="F13827" s="29"/>
      <c r="G13827" s="30">
        <f t="shared" si="239"/>
        <v>112.81249328703707</v>
      </c>
    </row>
    <row r="13828" spans="1:7" hidden="1" x14ac:dyDescent="0.25">
      <c r="A13828" s="28">
        <v>44682</v>
      </c>
      <c r="B13828" s="27" t="s">
        <v>200</v>
      </c>
      <c r="C13828" s="27" t="s">
        <v>53</v>
      </c>
      <c r="D13828" s="27" t="s">
        <v>6</v>
      </c>
      <c r="E13828" s="27" t="s">
        <v>16</v>
      </c>
      <c r="F13828" s="29"/>
      <c r="G13828" s="30">
        <f t="shared" si="239"/>
        <v>112.81249328703707</v>
      </c>
    </row>
    <row r="13829" spans="1:7" hidden="1" x14ac:dyDescent="0.25">
      <c r="A13829" s="28">
        <v>44682</v>
      </c>
      <c r="B13829" s="27" t="s">
        <v>200</v>
      </c>
      <c r="C13829" s="27" t="s">
        <v>53</v>
      </c>
      <c r="D13829" s="27" t="s">
        <v>6</v>
      </c>
      <c r="E13829" s="27" t="s">
        <v>17</v>
      </c>
      <c r="F13829" s="29"/>
      <c r="G13829" s="30">
        <f t="shared" si="239"/>
        <v>112.81249328703707</v>
      </c>
    </row>
    <row r="13830" spans="1:7" hidden="1" x14ac:dyDescent="0.25">
      <c r="A13830" s="28">
        <v>44682</v>
      </c>
      <c r="B13830" s="27" t="s">
        <v>200</v>
      </c>
      <c r="C13830" s="27" t="s">
        <v>53</v>
      </c>
      <c r="D13830" s="27" t="s">
        <v>6</v>
      </c>
      <c r="E13830" s="27" t="s">
        <v>18</v>
      </c>
      <c r="F13830" s="29"/>
      <c r="G13830" s="30">
        <f t="shared" si="239"/>
        <v>112.81249328703707</v>
      </c>
    </row>
    <row r="13831" spans="1:7" hidden="1" x14ac:dyDescent="0.25">
      <c r="A13831" s="28">
        <v>44682</v>
      </c>
      <c r="B13831" s="27" t="s">
        <v>200</v>
      </c>
      <c r="C13831" s="27" t="s">
        <v>53</v>
      </c>
      <c r="D13831" s="27" t="s">
        <v>6</v>
      </c>
      <c r="E13831" s="27" t="s">
        <v>19</v>
      </c>
      <c r="F13831" s="29"/>
      <c r="G13831" s="30">
        <f t="shared" si="239"/>
        <v>112.81249328703707</v>
      </c>
    </row>
    <row r="13832" spans="1:7" hidden="1" x14ac:dyDescent="0.25">
      <c r="A13832" s="28">
        <v>44682</v>
      </c>
      <c r="B13832" s="27" t="s">
        <v>200</v>
      </c>
      <c r="C13832" s="27" t="s">
        <v>53</v>
      </c>
      <c r="D13832" s="27" t="s">
        <v>6</v>
      </c>
      <c r="E13832" s="27" t="s">
        <v>20</v>
      </c>
      <c r="F13832" s="29"/>
      <c r="G13832" s="30">
        <f t="shared" si="239"/>
        <v>112.81249328703707</v>
      </c>
    </row>
    <row r="13833" spans="1:7" hidden="1" x14ac:dyDescent="0.25">
      <c r="A13833" s="28">
        <v>44682</v>
      </c>
      <c r="B13833" s="27" t="s">
        <v>200</v>
      </c>
      <c r="C13833" s="27" t="s">
        <v>53</v>
      </c>
      <c r="D13833" s="27" t="s">
        <v>6</v>
      </c>
      <c r="E13833" s="27" t="s">
        <v>38</v>
      </c>
      <c r="F13833" s="29"/>
      <c r="G13833" s="30">
        <f t="shared" si="239"/>
        <v>112.81249328703707</v>
      </c>
    </row>
    <row r="13834" spans="1:7" hidden="1" x14ac:dyDescent="0.25">
      <c r="A13834" s="28">
        <v>44682</v>
      </c>
      <c r="B13834" s="27" t="s">
        <v>200</v>
      </c>
      <c r="C13834" s="27" t="s">
        <v>53</v>
      </c>
      <c r="D13834" s="27" t="s">
        <v>6</v>
      </c>
      <c r="E13834" s="27" t="s">
        <v>23</v>
      </c>
      <c r="F13834" s="29"/>
      <c r="G13834" s="30">
        <f t="shared" si="239"/>
        <v>112.81249328703707</v>
      </c>
    </row>
    <row r="13835" spans="1:7" hidden="1" x14ac:dyDescent="0.25">
      <c r="A13835" s="28">
        <v>44682</v>
      </c>
      <c r="B13835" s="27" t="s">
        <v>200</v>
      </c>
      <c r="C13835" s="27" t="s">
        <v>53</v>
      </c>
      <c r="D13835" s="27" t="s">
        <v>6</v>
      </c>
      <c r="E13835" s="27" t="s">
        <v>40</v>
      </c>
      <c r="F13835" s="29"/>
      <c r="G13835" s="30">
        <f t="shared" si="239"/>
        <v>112.81249328703707</v>
      </c>
    </row>
    <row r="13836" spans="1:7" hidden="1" x14ac:dyDescent="0.25">
      <c r="A13836" s="28">
        <v>44682</v>
      </c>
      <c r="B13836" s="27" t="s">
        <v>200</v>
      </c>
      <c r="C13836" s="27" t="s">
        <v>53</v>
      </c>
      <c r="D13836" s="27" t="s">
        <v>6</v>
      </c>
      <c r="E13836" s="27" t="s">
        <v>42</v>
      </c>
      <c r="F13836" s="29"/>
      <c r="G13836" s="30">
        <f t="shared" si="239"/>
        <v>112.81249328703707</v>
      </c>
    </row>
    <row r="13837" spans="1:7" hidden="1" x14ac:dyDescent="0.25">
      <c r="A13837" s="28">
        <v>44682</v>
      </c>
      <c r="B13837" s="27" t="s">
        <v>200</v>
      </c>
      <c r="C13837" s="27" t="s">
        <v>53</v>
      </c>
      <c r="D13837" s="27" t="s">
        <v>6</v>
      </c>
      <c r="E13837" s="27" t="s">
        <v>72</v>
      </c>
      <c r="F13837" s="29"/>
      <c r="G13837" s="30">
        <f t="shared" si="239"/>
        <v>112.81249328703707</v>
      </c>
    </row>
    <row r="13838" spans="1:7" hidden="1" x14ac:dyDescent="0.25">
      <c r="A13838" s="28">
        <v>44682</v>
      </c>
      <c r="B13838" s="27" t="s">
        <v>200</v>
      </c>
      <c r="C13838" s="27" t="s">
        <v>53</v>
      </c>
      <c r="D13838" s="27" t="s">
        <v>6</v>
      </c>
      <c r="E13838" s="27" t="s">
        <v>12</v>
      </c>
      <c r="F13838" s="29"/>
      <c r="G13838" s="30">
        <f t="shared" si="239"/>
        <v>112.81249328703707</v>
      </c>
    </row>
    <row r="13839" spans="1:7" hidden="1" x14ac:dyDescent="0.25">
      <c r="A13839" s="28">
        <v>44682</v>
      </c>
      <c r="B13839" s="27" t="s">
        <v>200</v>
      </c>
      <c r="C13839" s="27" t="s">
        <v>54</v>
      </c>
      <c r="D13839" s="27" t="s">
        <v>7</v>
      </c>
      <c r="E13839" s="27" t="s">
        <v>8</v>
      </c>
      <c r="F13839" s="29"/>
      <c r="G13839" s="30">
        <f t="shared" ref="G13839:G13866" si="240">715.73/28</f>
        <v>25.561785714285715</v>
      </c>
    </row>
    <row r="13840" spans="1:7" hidden="1" x14ac:dyDescent="0.25">
      <c r="A13840" s="28">
        <v>44682</v>
      </c>
      <c r="B13840" s="27" t="s">
        <v>200</v>
      </c>
      <c r="C13840" s="27" t="s">
        <v>54</v>
      </c>
      <c r="D13840" s="27" t="s">
        <v>7</v>
      </c>
      <c r="E13840" s="27" t="s">
        <v>9</v>
      </c>
      <c r="F13840" s="29"/>
      <c r="G13840" s="30">
        <f t="shared" si="240"/>
        <v>25.561785714285715</v>
      </c>
    </row>
    <row r="13841" spans="1:7" hidden="1" x14ac:dyDescent="0.25">
      <c r="A13841" s="28">
        <v>44682</v>
      </c>
      <c r="B13841" s="27" t="s">
        <v>200</v>
      </c>
      <c r="C13841" s="27" t="s">
        <v>54</v>
      </c>
      <c r="D13841" s="27" t="s">
        <v>7</v>
      </c>
      <c r="E13841" s="27" t="s">
        <v>22</v>
      </c>
      <c r="F13841" s="29"/>
      <c r="G13841" s="30">
        <f t="shared" si="240"/>
        <v>25.561785714285715</v>
      </c>
    </row>
    <row r="13842" spans="1:7" hidden="1" x14ac:dyDescent="0.25">
      <c r="A13842" s="28">
        <v>44682</v>
      </c>
      <c r="B13842" s="27" t="s">
        <v>200</v>
      </c>
      <c r="C13842" s="27" t="s">
        <v>54</v>
      </c>
      <c r="D13842" s="27" t="s">
        <v>7</v>
      </c>
      <c r="E13842" s="27" t="s">
        <v>39</v>
      </c>
      <c r="F13842" s="29"/>
      <c r="G13842" s="30">
        <f t="shared" si="240"/>
        <v>25.561785714285715</v>
      </c>
    </row>
    <row r="13843" spans="1:7" hidden="1" x14ac:dyDescent="0.25">
      <c r="A13843" s="28">
        <v>44682</v>
      </c>
      <c r="B13843" s="27" t="s">
        <v>200</v>
      </c>
      <c r="C13843" s="27" t="s">
        <v>54</v>
      </c>
      <c r="D13843" s="27" t="s">
        <v>7</v>
      </c>
      <c r="E13843" s="27" t="s">
        <v>64</v>
      </c>
      <c r="F13843" s="29"/>
      <c r="G13843" s="30">
        <f t="shared" si="240"/>
        <v>25.561785714285715</v>
      </c>
    </row>
    <row r="13844" spans="1:7" hidden="1" x14ac:dyDescent="0.25">
      <c r="A13844" s="28">
        <v>44682</v>
      </c>
      <c r="B13844" s="27" t="s">
        <v>200</v>
      </c>
      <c r="C13844" s="27" t="s">
        <v>54</v>
      </c>
      <c r="D13844" s="27" t="s">
        <v>7</v>
      </c>
      <c r="E13844" s="27" t="s">
        <v>21</v>
      </c>
      <c r="F13844" s="29"/>
      <c r="G13844" s="30">
        <f t="shared" si="240"/>
        <v>25.561785714285715</v>
      </c>
    </row>
    <row r="13845" spans="1:7" hidden="1" x14ac:dyDescent="0.25">
      <c r="A13845" s="28">
        <v>44682</v>
      </c>
      <c r="B13845" s="27" t="s">
        <v>200</v>
      </c>
      <c r="C13845" s="27" t="s">
        <v>54</v>
      </c>
      <c r="D13845" s="27" t="s">
        <v>7</v>
      </c>
      <c r="E13845" s="27" t="s">
        <v>41</v>
      </c>
      <c r="F13845" s="29"/>
      <c r="G13845" s="30">
        <f t="shared" si="240"/>
        <v>25.561785714285715</v>
      </c>
    </row>
    <row r="13846" spans="1:7" hidden="1" x14ac:dyDescent="0.25">
      <c r="A13846" s="28">
        <v>44682</v>
      </c>
      <c r="B13846" s="27" t="s">
        <v>200</v>
      </c>
      <c r="C13846" s="27" t="s">
        <v>54</v>
      </c>
      <c r="D13846" s="27" t="s">
        <v>7</v>
      </c>
      <c r="E13846" s="27" t="s">
        <v>10</v>
      </c>
      <c r="F13846" s="29"/>
      <c r="G13846" s="30">
        <f t="shared" si="240"/>
        <v>25.561785714285715</v>
      </c>
    </row>
    <row r="13847" spans="1:7" hidden="1" x14ac:dyDescent="0.25">
      <c r="A13847" s="28">
        <v>44682</v>
      </c>
      <c r="B13847" s="27" t="s">
        <v>200</v>
      </c>
      <c r="C13847" s="27" t="s">
        <v>54</v>
      </c>
      <c r="D13847" s="27" t="s">
        <v>7</v>
      </c>
      <c r="E13847" s="27" t="s">
        <v>11</v>
      </c>
      <c r="F13847" s="29"/>
      <c r="G13847" s="30">
        <f t="shared" si="240"/>
        <v>25.561785714285715</v>
      </c>
    </row>
    <row r="13848" spans="1:7" hidden="1" x14ac:dyDescent="0.25">
      <c r="A13848" s="28">
        <v>44682</v>
      </c>
      <c r="B13848" s="27" t="s">
        <v>200</v>
      </c>
      <c r="C13848" s="27" t="s">
        <v>54</v>
      </c>
      <c r="D13848" s="27" t="s">
        <v>7</v>
      </c>
      <c r="E13848" s="27" t="s">
        <v>12</v>
      </c>
      <c r="F13848" s="29"/>
      <c r="G13848" s="30">
        <f t="shared" si="240"/>
        <v>25.561785714285715</v>
      </c>
    </row>
    <row r="13849" spans="1:7" hidden="1" x14ac:dyDescent="0.25">
      <c r="A13849" s="28">
        <v>44682</v>
      </c>
      <c r="B13849" s="27" t="s">
        <v>200</v>
      </c>
      <c r="C13849" s="27" t="s">
        <v>54</v>
      </c>
      <c r="D13849" s="27" t="s">
        <v>7</v>
      </c>
      <c r="E13849" s="27" t="s">
        <v>13</v>
      </c>
      <c r="F13849" s="29"/>
      <c r="G13849" s="30">
        <f t="shared" si="240"/>
        <v>25.561785714285715</v>
      </c>
    </row>
    <row r="13850" spans="1:7" hidden="1" x14ac:dyDescent="0.25">
      <c r="A13850" s="28">
        <v>44682</v>
      </c>
      <c r="B13850" s="27" t="s">
        <v>200</v>
      </c>
      <c r="C13850" s="27" t="s">
        <v>54</v>
      </c>
      <c r="D13850" s="27" t="s">
        <v>7</v>
      </c>
      <c r="E13850" s="27" t="s">
        <v>14</v>
      </c>
      <c r="F13850" s="29"/>
      <c r="G13850" s="30">
        <f t="shared" si="240"/>
        <v>25.561785714285715</v>
      </c>
    </row>
    <row r="13851" spans="1:7" hidden="1" x14ac:dyDescent="0.25">
      <c r="A13851" s="28">
        <v>44682</v>
      </c>
      <c r="B13851" s="27" t="s">
        <v>200</v>
      </c>
      <c r="C13851" s="27" t="s">
        <v>54</v>
      </c>
      <c r="D13851" s="27" t="s">
        <v>7</v>
      </c>
      <c r="E13851" s="27" t="s">
        <v>15</v>
      </c>
      <c r="F13851" s="29"/>
      <c r="G13851" s="30">
        <f t="shared" si="240"/>
        <v>25.561785714285715</v>
      </c>
    </row>
    <row r="13852" spans="1:7" hidden="1" x14ac:dyDescent="0.25">
      <c r="A13852" s="28">
        <v>44682</v>
      </c>
      <c r="B13852" s="27" t="s">
        <v>200</v>
      </c>
      <c r="C13852" s="27" t="s">
        <v>54</v>
      </c>
      <c r="D13852" s="27" t="s">
        <v>7</v>
      </c>
      <c r="E13852" s="27" t="s">
        <v>16</v>
      </c>
      <c r="F13852" s="29"/>
      <c r="G13852" s="30">
        <f t="shared" si="240"/>
        <v>25.561785714285715</v>
      </c>
    </row>
    <row r="13853" spans="1:7" hidden="1" x14ac:dyDescent="0.25">
      <c r="A13853" s="28">
        <v>44682</v>
      </c>
      <c r="B13853" s="27" t="s">
        <v>200</v>
      </c>
      <c r="C13853" s="27" t="s">
        <v>54</v>
      </c>
      <c r="D13853" s="27" t="s">
        <v>7</v>
      </c>
      <c r="E13853" s="27" t="s">
        <v>17</v>
      </c>
      <c r="F13853" s="29"/>
      <c r="G13853" s="30">
        <f t="shared" si="240"/>
        <v>25.561785714285715</v>
      </c>
    </row>
    <row r="13854" spans="1:7" hidden="1" x14ac:dyDescent="0.25">
      <c r="A13854" s="28">
        <v>44682</v>
      </c>
      <c r="B13854" s="27" t="s">
        <v>200</v>
      </c>
      <c r="C13854" s="27" t="s">
        <v>54</v>
      </c>
      <c r="D13854" s="27" t="s">
        <v>7</v>
      </c>
      <c r="E13854" s="27" t="s">
        <v>18</v>
      </c>
      <c r="F13854" s="29"/>
      <c r="G13854" s="30">
        <f t="shared" si="240"/>
        <v>25.561785714285715</v>
      </c>
    </row>
    <row r="13855" spans="1:7" hidden="1" x14ac:dyDescent="0.25">
      <c r="A13855" s="28">
        <v>44682</v>
      </c>
      <c r="B13855" s="27" t="s">
        <v>200</v>
      </c>
      <c r="C13855" s="27" t="s">
        <v>54</v>
      </c>
      <c r="D13855" s="27" t="s">
        <v>7</v>
      </c>
      <c r="E13855" s="27" t="s">
        <v>19</v>
      </c>
      <c r="F13855" s="29"/>
      <c r="G13855" s="30">
        <f t="shared" si="240"/>
        <v>25.561785714285715</v>
      </c>
    </row>
    <row r="13856" spans="1:7" hidden="1" x14ac:dyDescent="0.25">
      <c r="A13856" s="28">
        <v>44682</v>
      </c>
      <c r="B13856" s="27" t="s">
        <v>200</v>
      </c>
      <c r="C13856" s="27" t="s">
        <v>54</v>
      </c>
      <c r="D13856" s="27" t="s">
        <v>7</v>
      </c>
      <c r="E13856" s="27" t="s">
        <v>20</v>
      </c>
      <c r="F13856" s="29"/>
      <c r="G13856" s="30">
        <f t="shared" si="240"/>
        <v>25.561785714285715</v>
      </c>
    </row>
    <row r="13857" spans="1:7" hidden="1" x14ac:dyDescent="0.25">
      <c r="A13857" s="28">
        <v>44682</v>
      </c>
      <c r="B13857" s="27" t="s">
        <v>200</v>
      </c>
      <c r="C13857" s="27" t="s">
        <v>54</v>
      </c>
      <c r="D13857" s="27" t="s">
        <v>7</v>
      </c>
      <c r="E13857" s="27" t="s">
        <v>38</v>
      </c>
      <c r="F13857" s="29"/>
      <c r="G13857" s="30">
        <f t="shared" si="240"/>
        <v>25.561785714285715</v>
      </c>
    </row>
    <row r="13858" spans="1:7" hidden="1" x14ac:dyDescent="0.25">
      <c r="A13858" s="28">
        <v>44682</v>
      </c>
      <c r="B13858" s="27" t="s">
        <v>200</v>
      </c>
      <c r="C13858" s="27" t="s">
        <v>54</v>
      </c>
      <c r="D13858" s="27" t="s">
        <v>7</v>
      </c>
      <c r="E13858" s="27" t="s">
        <v>23</v>
      </c>
      <c r="F13858" s="29"/>
      <c r="G13858" s="30">
        <f t="shared" si="240"/>
        <v>25.561785714285715</v>
      </c>
    </row>
    <row r="13859" spans="1:7" hidden="1" x14ac:dyDescent="0.25">
      <c r="A13859" s="28">
        <v>44682</v>
      </c>
      <c r="B13859" s="27" t="s">
        <v>200</v>
      </c>
      <c r="C13859" s="27" t="s">
        <v>54</v>
      </c>
      <c r="D13859" s="27" t="s">
        <v>7</v>
      </c>
      <c r="E13859" s="27" t="s">
        <v>40</v>
      </c>
      <c r="F13859" s="29"/>
      <c r="G13859" s="30">
        <f t="shared" si="240"/>
        <v>25.561785714285715</v>
      </c>
    </row>
    <row r="13860" spans="1:7" hidden="1" x14ac:dyDescent="0.25">
      <c r="A13860" s="28">
        <v>44682</v>
      </c>
      <c r="B13860" s="27" t="s">
        <v>200</v>
      </c>
      <c r="C13860" s="27" t="s">
        <v>54</v>
      </c>
      <c r="D13860" s="27" t="s">
        <v>7</v>
      </c>
      <c r="E13860" s="27" t="s">
        <v>42</v>
      </c>
      <c r="F13860" s="29"/>
      <c r="G13860" s="30">
        <f t="shared" si="240"/>
        <v>25.561785714285715</v>
      </c>
    </row>
    <row r="13861" spans="1:7" hidden="1" x14ac:dyDescent="0.25">
      <c r="A13861" s="28">
        <v>44682</v>
      </c>
      <c r="B13861" s="27" t="s">
        <v>200</v>
      </c>
      <c r="C13861" s="27" t="s">
        <v>54</v>
      </c>
      <c r="D13861" s="27" t="s">
        <v>7</v>
      </c>
      <c r="E13861" s="27" t="s">
        <v>43</v>
      </c>
      <c r="F13861" s="29"/>
      <c r="G13861" s="30">
        <f t="shared" si="240"/>
        <v>25.561785714285715</v>
      </c>
    </row>
    <row r="13862" spans="1:7" hidden="1" x14ac:dyDescent="0.25">
      <c r="A13862" s="28">
        <v>44682</v>
      </c>
      <c r="B13862" s="27" t="s">
        <v>200</v>
      </c>
      <c r="C13862" s="27" t="s">
        <v>54</v>
      </c>
      <c r="D13862" s="27" t="s">
        <v>7</v>
      </c>
      <c r="E13862" s="27" t="s">
        <v>72</v>
      </c>
      <c r="F13862" s="29"/>
      <c r="G13862" s="30">
        <f t="shared" si="240"/>
        <v>25.561785714285715</v>
      </c>
    </row>
    <row r="13863" spans="1:7" hidden="1" x14ac:dyDescent="0.25">
      <c r="A13863" s="28">
        <v>44682</v>
      </c>
      <c r="B13863" s="27" t="s">
        <v>200</v>
      </c>
      <c r="C13863" s="27" t="s">
        <v>54</v>
      </c>
      <c r="D13863" s="27" t="s">
        <v>7</v>
      </c>
      <c r="E13863" s="27" t="s">
        <v>206</v>
      </c>
      <c r="F13863" s="29"/>
      <c r="G13863" s="30">
        <f t="shared" si="240"/>
        <v>25.561785714285715</v>
      </c>
    </row>
    <row r="13864" spans="1:7" hidden="1" x14ac:dyDescent="0.25">
      <c r="A13864" s="28">
        <v>44682</v>
      </c>
      <c r="B13864" s="27" t="s">
        <v>200</v>
      </c>
      <c r="C13864" s="27" t="s">
        <v>54</v>
      </c>
      <c r="D13864" s="27" t="s">
        <v>7</v>
      </c>
      <c r="E13864" s="27" t="s">
        <v>67</v>
      </c>
      <c r="F13864" s="29"/>
      <c r="G13864" s="30">
        <f t="shared" si="240"/>
        <v>25.561785714285715</v>
      </c>
    </row>
    <row r="13865" spans="1:7" hidden="1" x14ac:dyDescent="0.25">
      <c r="A13865" s="28">
        <v>44682</v>
      </c>
      <c r="B13865" s="27" t="s">
        <v>200</v>
      </c>
      <c r="C13865" s="27" t="s">
        <v>54</v>
      </c>
      <c r="D13865" s="27" t="s">
        <v>7</v>
      </c>
      <c r="E13865" s="27" t="s">
        <v>68</v>
      </c>
      <c r="F13865" s="29"/>
      <c r="G13865" s="30">
        <f t="shared" si="240"/>
        <v>25.561785714285715</v>
      </c>
    </row>
    <row r="13866" spans="1:7" hidden="1" x14ac:dyDescent="0.25">
      <c r="A13866" s="28">
        <v>44682</v>
      </c>
      <c r="B13866" s="27" t="s">
        <v>200</v>
      </c>
      <c r="C13866" s="27" t="s">
        <v>54</v>
      </c>
      <c r="D13866" s="27" t="s">
        <v>7</v>
      </c>
      <c r="E13866" s="27" t="s">
        <v>74</v>
      </c>
      <c r="F13866" s="29"/>
      <c r="G13866" s="30">
        <f t="shared" si="240"/>
        <v>25.561785714285715</v>
      </c>
    </row>
    <row r="13867" spans="1:7" hidden="1" x14ac:dyDescent="0.25">
      <c r="A13867" s="28">
        <v>44682</v>
      </c>
      <c r="B13867" s="27" t="s">
        <v>200</v>
      </c>
      <c r="C13867" s="27" t="s">
        <v>55</v>
      </c>
      <c r="D13867" s="27" t="s">
        <v>6</v>
      </c>
      <c r="E13867" s="27" t="s">
        <v>8</v>
      </c>
      <c r="F13867" s="29"/>
      <c r="G13867" s="30">
        <f t="shared" ref="G13867:G13890" si="241">43585.8542222222/24</f>
        <v>1816.0772592592584</v>
      </c>
    </row>
    <row r="13868" spans="1:7" hidden="1" x14ac:dyDescent="0.25">
      <c r="A13868" s="28">
        <v>44682</v>
      </c>
      <c r="B13868" s="27" t="s">
        <v>200</v>
      </c>
      <c r="C13868" s="27" t="s">
        <v>55</v>
      </c>
      <c r="D13868" s="27" t="s">
        <v>6</v>
      </c>
      <c r="E13868" s="27" t="s">
        <v>9</v>
      </c>
      <c r="F13868" s="29"/>
      <c r="G13868" s="30">
        <f t="shared" si="241"/>
        <v>1816.0772592592584</v>
      </c>
    </row>
    <row r="13869" spans="1:7" hidden="1" x14ac:dyDescent="0.25">
      <c r="A13869" s="28">
        <v>44682</v>
      </c>
      <c r="B13869" s="27" t="s">
        <v>200</v>
      </c>
      <c r="C13869" s="27" t="s">
        <v>55</v>
      </c>
      <c r="D13869" s="27" t="s">
        <v>6</v>
      </c>
      <c r="E13869" s="27" t="s">
        <v>22</v>
      </c>
      <c r="F13869" s="29"/>
      <c r="G13869" s="30">
        <f t="shared" si="241"/>
        <v>1816.0772592592584</v>
      </c>
    </row>
    <row r="13870" spans="1:7" hidden="1" x14ac:dyDescent="0.25">
      <c r="A13870" s="28">
        <v>44682</v>
      </c>
      <c r="B13870" s="27" t="s">
        <v>200</v>
      </c>
      <c r="C13870" s="27" t="s">
        <v>55</v>
      </c>
      <c r="D13870" s="27" t="s">
        <v>6</v>
      </c>
      <c r="E13870" s="27" t="s">
        <v>39</v>
      </c>
      <c r="F13870" s="29"/>
      <c r="G13870" s="30">
        <f t="shared" si="241"/>
        <v>1816.0772592592584</v>
      </c>
    </row>
    <row r="13871" spans="1:7" hidden="1" x14ac:dyDescent="0.25">
      <c r="A13871" s="28">
        <v>44682</v>
      </c>
      <c r="B13871" s="27" t="s">
        <v>200</v>
      </c>
      <c r="C13871" s="27" t="s">
        <v>55</v>
      </c>
      <c r="D13871" s="27" t="s">
        <v>6</v>
      </c>
      <c r="E13871" s="27" t="s">
        <v>64</v>
      </c>
      <c r="F13871" s="29"/>
      <c r="G13871" s="30">
        <f t="shared" si="241"/>
        <v>1816.0772592592584</v>
      </c>
    </row>
    <row r="13872" spans="1:7" hidden="1" x14ac:dyDescent="0.25">
      <c r="A13872" s="28">
        <v>44682</v>
      </c>
      <c r="B13872" s="27" t="s">
        <v>200</v>
      </c>
      <c r="C13872" s="27" t="s">
        <v>55</v>
      </c>
      <c r="D13872" s="27" t="s">
        <v>6</v>
      </c>
      <c r="E13872" s="27" t="s">
        <v>21</v>
      </c>
      <c r="F13872" s="29"/>
      <c r="G13872" s="30">
        <f t="shared" si="241"/>
        <v>1816.0772592592584</v>
      </c>
    </row>
    <row r="13873" spans="1:7" hidden="1" x14ac:dyDescent="0.25">
      <c r="A13873" s="28">
        <v>44682</v>
      </c>
      <c r="B13873" s="27" t="s">
        <v>200</v>
      </c>
      <c r="C13873" s="27" t="s">
        <v>55</v>
      </c>
      <c r="D13873" s="27" t="s">
        <v>6</v>
      </c>
      <c r="E13873" s="27" t="s">
        <v>41</v>
      </c>
      <c r="F13873" s="29"/>
      <c r="G13873" s="30">
        <f t="shared" si="241"/>
        <v>1816.0772592592584</v>
      </c>
    </row>
    <row r="13874" spans="1:7" hidden="1" x14ac:dyDescent="0.25">
      <c r="A13874" s="28">
        <v>44682</v>
      </c>
      <c r="B13874" s="27" t="s">
        <v>200</v>
      </c>
      <c r="C13874" s="27" t="s">
        <v>55</v>
      </c>
      <c r="D13874" s="27" t="s">
        <v>6</v>
      </c>
      <c r="E13874" s="27" t="s">
        <v>10</v>
      </c>
      <c r="F13874" s="29"/>
      <c r="G13874" s="30">
        <f t="shared" si="241"/>
        <v>1816.0772592592584</v>
      </c>
    </row>
    <row r="13875" spans="1:7" hidden="1" x14ac:dyDescent="0.25">
      <c r="A13875" s="28">
        <v>44682</v>
      </c>
      <c r="B13875" s="27" t="s">
        <v>200</v>
      </c>
      <c r="C13875" s="27" t="s">
        <v>55</v>
      </c>
      <c r="D13875" s="27" t="s">
        <v>6</v>
      </c>
      <c r="E13875" s="27" t="s">
        <v>11</v>
      </c>
      <c r="F13875" s="29"/>
      <c r="G13875" s="30">
        <f t="shared" si="241"/>
        <v>1816.0772592592584</v>
      </c>
    </row>
    <row r="13876" spans="1:7" hidden="1" x14ac:dyDescent="0.25">
      <c r="A13876" s="28">
        <v>44682</v>
      </c>
      <c r="B13876" s="27" t="s">
        <v>200</v>
      </c>
      <c r="C13876" s="27" t="s">
        <v>55</v>
      </c>
      <c r="D13876" s="27" t="s">
        <v>6</v>
      </c>
      <c r="E13876" s="27" t="s">
        <v>12</v>
      </c>
      <c r="F13876" s="29"/>
      <c r="G13876" s="30">
        <f t="shared" si="241"/>
        <v>1816.0772592592584</v>
      </c>
    </row>
    <row r="13877" spans="1:7" hidden="1" x14ac:dyDescent="0.25">
      <c r="A13877" s="28">
        <v>44682</v>
      </c>
      <c r="B13877" s="27" t="s">
        <v>200</v>
      </c>
      <c r="C13877" s="27" t="s">
        <v>55</v>
      </c>
      <c r="D13877" s="27" t="s">
        <v>6</v>
      </c>
      <c r="E13877" s="27" t="s">
        <v>13</v>
      </c>
      <c r="F13877" s="29"/>
      <c r="G13877" s="30">
        <f t="shared" si="241"/>
        <v>1816.0772592592584</v>
      </c>
    </row>
    <row r="13878" spans="1:7" hidden="1" x14ac:dyDescent="0.25">
      <c r="A13878" s="28">
        <v>44682</v>
      </c>
      <c r="B13878" s="27" t="s">
        <v>200</v>
      </c>
      <c r="C13878" s="27" t="s">
        <v>55</v>
      </c>
      <c r="D13878" s="27" t="s">
        <v>6</v>
      </c>
      <c r="E13878" s="27" t="s">
        <v>14</v>
      </c>
      <c r="F13878" s="29"/>
      <c r="G13878" s="30">
        <f t="shared" si="241"/>
        <v>1816.0772592592584</v>
      </c>
    </row>
    <row r="13879" spans="1:7" hidden="1" x14ac:dyDescent="0.25">
      <c r="A13879" s="28">
        <v>44682</v>
      </c>
      <c r="B13879" s="27" t="s">
        <v>200</v>
      </c>
      <c r="C13879" s="27" t="s">
        <v>55</v>
      </c>
      <c r="D13879" s="27" t="s">
        <v>6</v>
      </c>
      <c r="E13879" s="27" t="s">
        <v>15</v>
      </c>
      <c r="F13879" s="29"/>
      <c r="G13879" s="30">
        <f t="shared" si="241"/>
        <v>1816.0772592592584</v>
      </c>
    </row>
    <row r="13880" spans="1:7" hidden="1" x14ac:dyDescent="0.25">
      <c r="A13880" s="28">
        <v>44682</v>
      </c>
      <c r="B13880" s="27" t="s">
        <v>200</v>
      </c>
      <c r="C13880" s="27" t="s">
        <v>55</v>
      </c>
      <c r="D13880" s="27" t="s">
        <v>6</v>
      </c>
      <c r="E13880" s="27" t="s">
        <v>16</v>
      </c>
      <c r="F13880" s="29"/>
      <c r="G13880" s="30">
        <f t="shared" si="241"/>
        <v>1816.0772592592584</v>
      </c>
    </row>
    <row r="13881" spans="1:7" hidden="1" x14ac:dyDescent="0.25">
      <c r="A13881" s="28">
        <v>44682</v>
      </c>
      <c r="B13881" s="27" t="s">
        <v>200</v>
      </c>
      <c r="C13881" s="27" t="s">
        <v>55</v>
      </c>
      <c r="D13881" s="27" t="s">
        <v>6</v>
      </c>
      <c r="E13881" s="27" t="s">
        <v>17</v>
      </c>
      <c r="F13881" s="29"/>
      <c r="G13881" s="30">
        <f t="shared" si="241"/>
        <v>1816.0772592592584</v>
      </c>
    </row>
    <row r="13882" spans="1:7" hidden="1" x14ac:dyDescent="0.25">
      <c r="A13882" s="28">
        <v>44682</v>
      </c>
      <c r="B13882" s="27" t="s">
        <v>200</v>
      </c>
      <c r="C13882" s="27" t="s">
        <v>55</v>
      </c>
      <c r="D13882" s="27" t="s">
        <v>6</v>
      </c>
      <c r="E13882" s="27" t="s">
        <v>18</v>
      </c>
      <c r="F13882" s="29"/>
      <c r="G13882" s="30">
        <f t="shared" si="241"/>
        <v>1816.0772592592584</v>
      </c>
    </row>
    <row r="13883" spans="1:7" hidden="1" x14ac:dyDescent="0.25">
      <c r="A13883" s="28">
        <v>44682</v>
      </c>
      <c r="B13883" s="27" t="s">
        <v>200</v>
      </c>
      <c r="C13883" s="27" t="s">
        <v>55</v>
      </c>
      <c r="D13883" s="27" t="s">
        <v>6</v>
      </c>
      <c r="E13883" s="27" t="s">
        <v>19</v>
      </c>
      <c r="F13883" s="29"/>
      <c r="G13883" s="30">
        <f t="shared" si="241"/>
        <v>1816.0772592592584</v>
      </c>
    </row>
    <row r="13884" spans="1:7" hidden="1" x14ac:dyDescent="0.25">
      <c r="A13884" s="28">
        <v>44682</v>
      </c>
      <c r="B13884" s="27" t="s">
        <v>200</v>
      </c>
      <c r="C13884" s="27" t="s">
        <v>55</v>
      </c>
      <c r="D13884" s="27" t="s">
        <v>6</v>
      </c>
      <c r="E13884" s="27" t="s">
        <v>20</v>
      </c>
      <c r="F13884" s="29"/>
      <c r="G13884" s="30">
        <f t="shared" si="241"/>
        <v>1816.0772592592584</v>
      </c>
    </row>
    <row r="13885" spans="1:7" hidden="1" x14ac:dyDescent="0.25">
      <c r="A13885" s="28">
        <v>44682</v>
      </c>
      <c r="B13885" s="27" t="s">
        <v>200</v>
      </c>
      <c r="C13885" s="27" t="s">
        <v>55</v>
      </c>
      <c r="D13885" s="27" t="s">
        <v>6</v>
      </c>
      <c r="E13885" s="27" t="s">
        <v>38</v>
      </c>
      <c r="F13885" s="29"/>
      <c r="G13885" s="30">
        <f t="shared" si="241"/>
        <v>1816.0772592592584</v>
      </c>
    </row>
    <row r="13886" spans="1:7" hidden="1" x14ac:dyDescent="0.25">
      <c r="A13886" s="28">
        <v>44682</v>
      </c>
      <c r="B13886" s="27" t="s">
        <v>200</v>
      </c>
      <c r="C13886" s="27" t="s">
        <v>55</v>
      </c>
      <c r="D13886" s="27" t="s">
        <v>6</v>
      </c>
      <c r="E13886" s="27" t="s">
        <v>23</v>
      </c>
      <c r="F13886" s="29"/>
      <c r="G13886" s="30">
        <f t="shared" si="241"/>
        <v>1816.0772592592584</v>
      </c>
    </row>
    <row r="13887" spans="1:7" hidden="1" x14ac:dyDescent="0.25">
      <c r="A13887" s="28">
        <v>44682</v>
      </c>
      <c r="B13887" s="27" t="s">
        <v>200</v>
      </c>
      <c r="C13887" s="27" t="s">
        <v>55</v>
      </c>
      <c r="D13887" s="27" t="s">
        <v>6</v>
      </c>
      <c r="E13887" s="27" t="s">
        <v>40</v>
      </c>
      <c r="F13887" s="29"/>
      <c r="G13887" s="30">
        <f t="shared" si="241"/>
        <v>1816.0772592592584</v>
      </c>
    </row>
    <row r="13888" spans="1:7" hidden="1" x14ac:dyDescent="0.25">
      <c r="A13888" s="28">
        <v>44682</v>
      </c>
      <c r="B13888" s="27" t="s">
        <v>200</v>
      </c>
      <c r="C13888" s="27" t="s">
        <v>55</v>
      </c>
      <c r="D13888" s="27" t="s">
        <v>6</v>
      </c>
      <c r="E13888" s="27" t="s">
        <v>42</v>
      </c>
      <c r="F13888" s="29"/>
      <c r="G13888" s="30">
        <f t="shared" si="241"/>
        <v>1816.0772592592584</v>
      </c>
    </row>
    <row r="13889" spans="1:7" hidden="1" x14ac:dyDescent="0.25">
      <c r="A13889" s="28">
        <v>44682</v>
      </c>
      <c r="B13889" s="27" t="s">
        <v>200</v>
      </c>
      <c r="C13889" s="27" t="s">
        <v>55</v>
      </c>
      <c r="D13889" s="27" t="s">
        <v>6</v>
      </c>
      <c r="E13889" s="27" t="s">
        <v>72</v>
      </c>
      <c r="F13889" s="29"/>
      <c r="G13889" s="30">
        <f t="shared" si="241"/>
        <v>1816.0772592592584</v>
      </c>
    </row>
    <row r="13890" spans="1:7" hidden="1" x14ac:dyDescent="0.25">
      <c r="A13890" s="28">
        <v>44682</v>
      </c>
      <c r="B13890" s="27" t="s">
        <v>200</v>
      </c>
      <c r="C13890" s="27" t="s">
        <v>55</v>
      </c>
      <c r="D13890" s="27" t="s">
        <v>6</v>
      </c>
      <c r="E13890" s="27" t="s">
        <v>12</v>
      </c>
      <c r="F13890" s="29"/>
      <c r="G13890" s="30">
        <f t="shared" si="241"/>
        <v>1816.0772592592584</v>
      </c>
    </row>
    <row r="13891" spans="1:7" hidden="1" x14ac:dyDescent="0.25">
      <c r="A13891" s="28">
        <v>44682</v>
      </c>
      <c r="B13891" s="27" t="s">
        <v>200</v>
      </c>
      <c r="C13891" s="27" t="s">
        <v>183</v>
      </c>
      <c r="D13891" s="27" t="s">
        <v>7</v>
      </c>
      <c r="E13891" s="27" t="s">
        <v>8</v>
      </c>
      <c r="F13891" s="29"/>
      <c r="G13891" s="30">
        <f t="shared" ref="G13891:G13918" si="242">5761.69/28</f>
        <v>205.77464285714285</v>
      </c>
    </row>
    <row r="13892" spans="1:7" hidden="1" x14ac:dyDescent="0.25">
      <c r="A13892" s="28">
        <v>44682</v>
      </c>
      <c r="B13892" s="27" t="s">
        <v>200</v>
      </c>
      <c r="C13892" s="27" t="s">
        <v>183</v>
      </c>
      <c r="D13892" s="27" t="s">
        <v>7</v>
      </c>
      <c r="E13892" s="27" t="s">
        <v>9</v>
      </c>
      <c r="F13892" s="29"/>
      <c r="G13892" s="30">
        <f t="shared" si="242"/>
        <v>205.77464285714285</v>
      </c>
    </row>
    <row r="13893" spans="1:7" hidden="1" x14ac:dyDescent="0.25">
      <c r="A13893" s="28">
        <v>44682</v>
      </c>
      <c r="B13893" s="27" t="s">
        <v>200</v>
      </c>
      <c r="C13893" s="27" t="s">
        <v>183</v>
      </c>
      <c r="D13893" s="27" t="s">
        <v>7</v>
      </c>
      <c r="E13893" s="27" t="s">
        <v>22</v>
      </c>
      <c r="F13893" s="29"/>
      <c r="G13893" s="30">
        <f t="shared" si="242"/>
        <v>205.77464285714285</v>
      </c>
    </row>
    <row r="13894" spans="1:7" hidden="1" x14ac:dyDescent="0.25">
      <c r="A13894" s="28">
        <v>44682</v>
      </c>
      <c r="B13894" s="27" t="s">
        <v>200</v>
      </c>
      <c r="C13894" s="27" t="s">
        <v>183</v>
      </c>
      <c r="D13894" s="27" t="s">
        <v>7</v>
      </c>
      <c r="E13894" s="27" t="s">
        <v>39</v>
      </c>
      <c r="F13894" s="29"/>
      <c r="G13894" s="30">
        <f t="shared" si="242"/>
        <v>205.77464285714285</v>
      </c>
    </row>
    <row r="13895" spans="1:7" hidden="1" x14ac:dyDescent="0.25">
      <c r="A13895" s="28">
        <v>44682</v>
      </c>
      <c r="B13895" s="27" t="s">
        <v>200</v>
      </c>
      <c r="C13895" s="27" t="s">
        <v>183</v>
      </c>
      <c r="D13895" s="27" t="s">
        <v>7</v>
      </c>
      <c r="E13895" s="27" t="s">
        <v>64</v>
      </c>
      <c r="F13895" s="29"/>
      <c r="G13895" s="30">
        <f t="shared" si="242"/>
        <v>205.77464285714285</v>
      </c>
    </row>
    <row r="13896" spans="1:7" hidden="1" x14ac:dyDescent="0.25">
      <c r="A13896" s="28">
        <v>44682</v>
      </c>
      <c r="B13896" s="27" t="s">
        <v>200</v>
      </c>
      <c r="C13896" s="27" t="s">
        <v>183</v>
      </c>
      <c r="D13896" s="27" t="s">
        <v>7</v>
      </c>
      <c r="E13896" s="27" t="s">
        <v>21</v>
      </c>
      <c r="F13896" s="29"/>
      <c r="G13896" s="30">
        <f t="shared" si="242"/>
        <v>205.77464285714285</v>
      </c>
    </row>
    <row r="13897" spans="1:7" hidden="1" x14ac:dyDescent="0.25">
      <c r="A13897" s="28">
        <v>44682</v>
      </c>
      <c r="B13897" s="27" t="s">
        <v>200</v>
      </c>
      <c r="C13897" s="27" t="s">
        <v>183</v>
      </c>
      <c r="D13897" s="27" t="s">
        <v>7</v>
      </c>
      <c r="E13897" s="27" t="s">
        <v>41</v>
      </c>
      <c r="F13897" s="29"/>
      <c r="G13897" s="30">
        <f t="shared" si="242"/>
        <v>205.77464285714285</v>
      </c>
    </row>
    <row r="13898" spans="1:7" hidden="1" x14ac:dyDescent="0.25">
      <c r="A13898" s="28">
        <v>44682</v>
      </c>
      <c r="B13898" s="27" t="s">
        <v>200</v>
      </c>
      <c r="C13898" s="27" t="s">
        <v>183</v>
      </c>
      <c r="D13898" s="27" t="s">
        <v>7</v>
      </c>
      <c r="E13898" s="27" t="s">
        <v>10</v>
      </c>
      <c r="F13898" s="29"/>
      <c r="G13898" s="30">
        <f t="shared" si="242"/>
        <v>205.77464285714285</v>
      </c>
    </row>
    <row r="13899" spans="1:7" hidden="1" x14ac:dyDescent="0.25">
      <c r="A13899" s="28">
        <v>44682</v>
      </c>
      <c r="B13899" s="27" t="s">
        <v>200</v>
      </c>
      <c r="C13899" s="27" t="s">
        <v>183</v>
      </c>
      <c r="D13899" s="27" t="s">
        <v>7</v>
      </c>
      <c r="E13899" s="27" t="s">
        <v>11</v>
      </c>
      <c r="F13899" s="29"/>
      <c r="G13899" s="30">
        <f t="shared" si="242"/>
        <v>205.77464285714285</v>
      </c>
    </row>
    <row r="13900" spans="1:7" hidden="1" x14ac:dyDescent="0.25">
      <c r="A13900" s="28">
        <v>44682</v>
      </c>
      <c r="B13900" s="27" t="s">
        <v>200</v>
      </c>
      <c r="C13900" s="27" t="s">
        <v>183</v>
      </c>
      <c r="D13900" s="27" t="s">
        <v>7</v>
      </c>
      <c r="E13900" s="27" t="s">
        <v>12</v>
      </c>
      <c r="F13900" s="29"/>
      <c r="G13900" s="30">
        <f t="shared" si="242"/>
        <v>205.77464285714285</v>
      </c>
    </row>
    <row r="13901" spans="1:7" hidden="1" x14ac:dyDescent="0.25">
      <c r="A13901" s="28">
        <v>44682</v>
      </c>
      <c r="B13901" s="27" t="s">
        <v>200</v>
      </c>
      <c r="C13901" s="27" t="s">
        <v>183</v>
      </c>
      <c r="D13901" s="27" t="s">
        <v>7</v>
      </c>
      <c r="E13901" s="27" t="s">
        <v>13</v>
      </c>
      <c r="F13901" s="29"/>
      <c r="G13901" s="30">
        <f t="shared" si="242"/>
        <v>205.77464285714285</v>
      </c>
    </row>
    <row r="13902" spans="1:7" hidden="1" x14ac:dyDescent="0.25">
      <c r="A13902" s="28">
        <v>44682</v>
      </c>
      <c r="B13902" s="27" t="s">
        <v>200</v>
      </c>
      <c r="C13902" s="27" t="s">
        <v>183</v>
      </c>
      <c r="D13902" s="27" t="s">
        <v>7</v>
      </c>
      <c r="E13902" s="27" t="s">
        <v>14</v>
      </c>
      <c r="F13902" s="29"/>
      <c r="G13902" s="30">
        <f t="shared" si="242"/>
        <v>205.77464285714285</v>
      </c>
    </row>
    <row r="13903" spans="1:7" hidden="1" x14ac:dyDescent="0.25">
      <c r="A13903" s="28">
        <v>44682</v>
      </c>
      <c r="B13903" s="27" t="s">
        <v>200</v>
      </c>
      <c r="C13903" s="27" t="s">
        <v>183</v>
      </c>
      <c r="D13903" s="27" t="s">
        <v>7</v>
      </c>
      <c r="E13903" s="27" t="s">
        <v>15</v>
      </c>
      <c r="F13903" s="29"/>
      <c r="G13903" s="30">
        <f t="shared" si="242"/>
        <v>205.77464285714285</v>
      </c>
    </row>
    <row r="13904" spans="1:7" hidden="1" x14ac:dyDescent="0.25">
      <c r="A13904" s="28">
        <v>44682</v>
      </c>
      <c r="B13904" s="27" t="s">
        <v>200</v>
      </c>
      <c r="C13904" s="27" t="s">
        <v>183</v>
      </c>
      <c r="D13904" s="27" t="s">
        <v>7</v>
      </c>
      <c r="E13904" s="27" t="s">
        <v>16</v>
      </c>
      <c r="F13904" s="29"/>
      <c r="G13904" s="30">
        <f t="shared" si="242"/>
        <v>205.77464285714285</v>
      </c>
    </row>
    <row r="13905" spans="1:7" hidden="1" x14ac:dyDescent="0.25">
      <c r="A13905" s="28">
        <v>44682</v>
      </c>
      <c r="B13905" s="27" t="s">
        <v>200</v>
      </c>
      <c r="C13905" s="27" t="s">
        <v>183</v>
      </c>
      <c r="D13905" s="27" t="s">
        <v>7</v>
      </c>
      <c r="E13905" s="27" t="s">
        <v>17</v>
      </c>
      <c r="F13905" s="29"/>
      <c r="G13905" s="30">
        <f t="shared" si="242"/>
        <v>205.77464285714285</v>
      </c>
    </row>
    <row r="13906" spans="1:7" hidden="1" x14ac:dyDescent="0.25">
      <c r="A13906" s="28">
        <v>44682</v>
      </c>
      <c r="B13906" s="27" t="s">
        <v>200</v>
      </c>
      <c r="C13906" s="27" t="s">
        <v>183</v>
      </c>
      <c r="D13906" s="27" t="s">
        <v>7</v>
      </c>
      <c r="E13906" s="27" t="s">
        <v>18</v>
      </c>
      <c r="F13906" s="29"/>
      <c r="G13906" s="30">
        <f t="shared" si="242"/>
        <v>205.77464285714285</v>
      </c>
    </row>
    <row r="13907" spans="1:7" hidden="1" x14ac:dyDescent="0.25">
      <c r="A13907" s="28">
        <v>44682</v>
      </c>
      <c r="B13907" s="27" t="s">
        <v>200</v>
      </c>
      <c r="C13907" s="27" t="s">
        <v>183</v>
      </c>
      <c r="D13907" s="27" t="s">
        <v>7</v>
      </c>
      <c r="E13907" s="27" t="s">
        <v>19</v>
      </c>
      <c r="F13907" s="29"/>
      <c r="G13907" s="30">
        <f t="shared" si="242"/>
        <v>205.77464285714285</v>
      </c>
    </row>
    <row r="13908" spans="1:7" hidden="1" x14ac:dyDescent="0.25">
      <c r="A13908" s="28">
        <v>44682</v>
      </c>
      <c r="B13908" s="27" t="s">
        <v>200</v>
      </c>
      <c r="C13908" s="27" t="s">
        <v>183</v>
      </c>
      <c r="D13908" s="27" t="s">
        <v>7</v>
      </c>
      <c r="E13908" s="27" t="s">
        <v>20</v>
      </c>
      <c r="F13908" s="29"/>
      <c r="G13908" s="30">
        <f t="shared" si="242"/>
        <v>205.77464285714285</v>
      </c>
    </row>
    <row r="13909" spans="1:7" hidden="1" x14ac:dyDescent="0.25">
      <c r="A13909" s="28">
        <v>44682</v>
      </c>
      <c r="B13909" s="27" t="s">
        <v>200</v>
      </c>
      <c r="C13909" s="27" t="s">
        <v>183</v>
      </c>
      <c r="D13909" s="27" t="s">
        <v>7</v>
      </c>
      <c r="E13909" s="27" t="s">
        <v>38</v>
      </c>
      <c r="F13909" s="29"/>
      <c r="G13909" s="30">
        <f t="shared" si="242"/>
        <v>205.77464285714285</v>
      </c>
    </row>
    <row r="13910" spans="1:7" hidden="1" x14ac:dyDescent="0.25">
      <c r="A13910" s="28">
        <v>44682</v>
      </c>
      <c r="B13910" s="27" t="s">
        <v>200</v>
      </c>
      <c r="C13910" s="27" t="s">
        <v>183</v>
      </c>
      <c r="D13910" s="27" t="s">
        <v>7</v>
      </c>
      <c r="E13910" s="27" t="s">
        <v>23</v>
      </c>
      <c r="F13910" s="29"/>
      <c r="G13910" s="30">
        <f t="shared" si="242"/>
        <v>205.77464285714285</v>
      </c>
    </row>
    <row r="13911" spans="1:7" hidden="1" x14ac:dyDescent="0.25">
      <c r="A13911" s="28">
        <v>44682</v>
      </c>
      <c r="B13911" s="27" t="s">
        <v>200</v>
      </c>
      <c r="C13911" s="27" t="s">
        <v>183</v>
      </c>
      <c r="D13911" s="27" t="s">
        <v>7</v>
      </c>
      <c r="E13911" s="27" t="s">
        <v>40</v>
      </c>
      <c r="F13911" s="29"/>
      <c r="G13911" s="30">
        <f t="shared" si="242"/>
        <v>205.77464285714285</v>
      </c>
    </row>
    <row r="13912" spans="1:7" hidden="1" x14ac:dyDescent="0.25">
      <c r="A13912" s="28">
        <v>44682</v>
      </c>
      <c r="B13912" s="27" t="s">
        <v>200</v>
      </c>
      <c r="C13912" s="27" t="s">
        <v>183</v>
      </c>
      <c r="D13912" s="27" t="s">
        <v>7</v>
      </c>
      <c r="E13912" s="27" t="s">
        <v>42</v>
      </c>
      <c r="F13912" s="29"/>
      <c r="G13912" s="30">
        <f t="shared" si="242"/>
        <v>205.77464285714285</v>
      </c>
    </row>
    <row r="13913" spans="1:7" hidden="1" x14ac:dyDescent="0.25">
      <c r="A13913" s="28">
        <v>44682</v>
      </c>
      <c r="B13913" s="27" t="s">
        <v>200</v>
      </c>
      <c r="C13913" s="27" t="s">
        <v>183</v>
      </c>
      <c r="D13913" s="27" t="s">
        <v>7</v>
      </c>
      <c r="E13913" s="27" t="s">
        <v>43</v>
      </c>
      <c r="F13913" s="29"/>
      <c r="G13913" s="30">
        <f t="shared" si="242"/>
        <v>205.77464285714285</v>
      </c>
    </row>
    <row r="13914" spans="1:7" hidden="1" x14ac:dyDescent="0.25">
      <c r="A13914" s="28">
        <v>44682</v>
      </c>
      <c r="B13914" s="27" t="s">
        <v>200</v>
      </c>
      <c r="C13914" s="27" t="s">
        <v>183</v>
      </c>
      <c r="D13914" s="27" t="s">
        <v>7</v>
      </c>
      <c r="E13914" s="27" t="s">
        <v>72</v>
      </c>
      <c r="F13914" s="29"/>
      <c r="G13914" s="30">
        <f t="shared" si="242"/>
        <v>205.77464285714285</v>
      </c>
    </row>
    <row r="13915" spans="1:7" hidden="1" x14ac:dyDescent="0.25">
      <c r="A13915" s="28">
        <v>44682</v>
      </c>
      <c r="B13915" s="27" t="s">
        <v>200</v>
      </c>
      <c r="C13915" s="27" t="s">
        <v>183</v>
      </c>
      <c r="D13915" s="27" t="s">
        <v>7</v>
      </c>
      <c r="E13915" s="27" t="s">
        <v>206</v>
      </c>
      <c r="F13915" s="29"/>
      <c r="G13915" s="30">
        <f t="shared" si="242"/>
        <v>205.77464285714285</v>
      </c>
    </row>
    <row r="13916" spans="1:7" hidden="1" x14ac:dyDescent="0.25">
      <c r="A13916" s="28">
        <v>44682</v>
      </c>
      <c r="B13916" s="27" t="s">
        <v>200</v>
      </c>
      <c r="C13916" s="27" t="s">
        <v>183</v>
      </c>
      <c r="D13916" s="27" t="s">
        <v>7</v>
      </c>
      <c r="E13916" s="27" t="s">
        <v>67</v>
      </c>
      <c r="F13916" s="29"/>
      <c r="G13916" s="30">
        <f t="shared" si="242"/>
        <v>205.77464285714285</v>
      </c>
    </row>
    <row r="13917" spans="1:7" hidden="1" x14ac:dyDescent="0.25">
      <c r="A13917" s="28">
        <v>44682</v>
      </c>
      <c r="B13917" s="27" t="s">
        <v>200</v>
      </c>
      <c r="C13917" s="27" t="s">
        <v>183</v>
      </c>
      <c r="D13917" s="27" t="s">
        <v>7</v>
      </c>
      <c r="E13917" s="27" t="s">
        <v>68</v>
      </c>
      <c r="F13917" s="29"/>
      <c r="G13917" s="30">
        <f t="shared" si="242"/>
        <v>205.77464285714285</v>
      </c>
    </row>
    <row r="13918" spans="1:7" hidden="1" x14ac:dyDescent="0.25">
      <c r="A13918" s="28">
        <v>44682</v>
      </c>
      <c r="B13918" s="27" t="s">
        <v>200</v>
      </c>
      <c r="C13918" s="27" t="s">
        <v>183</v>
      </c>
      <c r="D13918" s="27" t="s">
        <v>7</v>
      </c>
      <c r="E13918" s="27" t="s">
        <v>74</v>
      </c>
      <c r="F13918" s="29"/>
      <c r="G13918" s="30">
        <f t="shared" si="242"/>
        <v>205.77464285714285</v>
      </c>
    </row>
    <row r="13919" spans="1:7" hidden="1" x14ac:dyDescent="0.25">
      <c r="A13919" s="28">
        <v>44682</v>
      </c>
      <c r="B13919" s="27" t="s">
        <v>200</v>
      </c>
      <c r="C13919" s="27" t="s">
        <v>56</v>
      </c>
      <c r="D13919" s="27" t="s">
        <v>6</v>
      </c>
      <c r="E13919" s="27" t="s">
        <v>8</v>
      </c>
      <c r="F13919" s="29"/>
      <c r="G13919" s="30">
        <f t="shared" ref="G13919:G13942" si="243">72328.1696888889/24</f>
        <v>3013.6737370370374</v>
      </c>
    </row>
    <row r="13920" spans="1:7" hidden="1" x14ac:dyDescent="0.25">
      <c r="A13920" s="28">
        <v>44682</v>
      </c>
      <c r="B13920" s="27" t="s">
        <v>200</v>
      </c>
      <c r="C13920" s="27" t="s">
        <v>56</v>
      </c>
      <c r="D13920" s="27" t="s">
        <v>6</v>
      </c>
      <c r="E13920" s="27" t="s">
        <v>9</v>
      </c>
      <c r="F13920" s="29"/>
      <c r="G13920" s="30">
        <f t="shared" si="243"/>
        <v>3013.6737370370374</v>
      </c>
    </row>
    <row r="13921" spans="1:7" hidden="1" x14ac:dyDescent="0.25">
      <c r="A13921" s="28">
        <v>44682</v>
      </c>
      <c r="B13921" s="27" t="s">
        <v>200</v>
      </c>
      <c r="C13921" s="27" t="s">
        <v>56</v>
      </c>
      <c r="D13921" s="27" t="s">
        <v>6</v>
      </c>
      <c r="E13921" s="27" t="s">
        <v>22</v>
      </c>
      <c r="F13921" s="29"/>
      <c r="G13921" s="30">
        <f t="shared" si="243"/>
        <v>3013.6737370370374</v>
      </c>
    </row>
    <row r="13922" spans="1:7" hidden="1" x14ac:dyDescent="0.25">
      <c r="A13922" s="28">
        <v>44682</v>
      </c>
      <c r="B13922" s="27" t="s">
        <v>200</v>
      </c>
      <c r="C13922" s="27" t="s">
        <v>56</v>
      </c>
      <c r="D13922" s="27" t="s">
        <v>6</v>
      </c>
      <c r="E13922" s="27" t="s">
        <v>39</v>
      </c>
      <c r="F13922" s="29"/>
      <c r="G13922" s="30">
        <f t="shared" si="243"/>
        <v>3013.6737370370374</v>
      </c>
    </row>
    <row r="13923" spans="1:7" hidden="1" x14ac:dyDescent="0.25">
      <c r="A13923" s="28">
        <v>44682</v>
      </c>
      <c r="B13923" s="27" t="s">
        <v>200</v>
      </c>
      <c r="C13923" s="27" t="s">
        <v>56</v>
      </c>
      <c r="D13923" s="27" t="s">
        <v>6</v>
      </c>
      <c r="E13923" s="27" t="s">
        <v>64</v>
      </c>
      <c r="F13923" s="29"/>
      <c r="G13923" s="30">
        <f t="shared" si="243"/>
        <v>3013.6737370370374</v>
      </c>
    </row>
    <row r="13924" spans="1:7" hidden="1" x14ac:dyDescent="0.25">
      <c r="A13924" s="28">
        <v>44682</v>
      </c>
      <c r="B13924" s="27" t="s">
        <v>200</v>
      </c>
      <c r="C13924" s="27" t="s">
        <v>56</v>
      </c>
      <c r="D13924" s="27" t="s">
        <v>6</v>
      </c>
      <c r="E13924" s="27" t="s">
        <v>21</v>
      </c>
      <c r="F13924" s="29"/>
      <c r="G13924" s="30">
        <f t="shared" si="243"/>
        <v>3013.6737370370374</v>
      </c>
    </row>
    <row r="13925" spans="1:7" hidden="1" x14ac:dyDescent="0.25">
      <c r="A13925" s="28">
        <v>44682</v>
      </c>
      <c r="B13925" s="27" t="s">
        <v>200</v>
      </c>
      <c r="C13925" s="27" t="s">
        <v>56</v>
      </c>
      <c r="D13925" s="27" t="s">
        <v>6</v>
      </c>
      <c r="E13925" s="27" t="s">
        <v>41</v>
      </c>
      <c r="F13925" s="29"/>
      <c r="G13925" s="30">
        <f t="shared" si="243"/>
        <v>3013.6737370370374</v>
      </c>
    </row>
    <row r="13926" spans="1:7" hidden="1" x14ac:dyDescent="0.25">
      <c r="A13926" s="28">
        <v>44682</v>
      </c>
      <c r="B13926" s="27" t="s">
        <v>200</v>
      </c>
      <c r="C13926" s="27" t="s">
        <v>56</v>
      </c>
      <c r="D13926" s="27" t="s">
        <v>6</v>
      </c>
      <c r="E13926" s="27" t="s">
        <v>10</v>
      </c>
      <c r="F13926" s="29"/>
      <c r="G13926" s="30">
        <f t="shared" si="243"/>
        <v>3013.6737370370374</v>
      </c>
    </row>
    <row r="13927" spans="1:7" hidden="1" x14ac:dyDescent="0.25">
      <c r="A13927" s="28">
        <v>44682</v>
      </c>
      <c r="B13927" s="27" t="s">
        <v>200</v>
      </c>
      <c r="C13927" s="27" t="s">
        <v>56</v>
      </c>
      <c r="D13927" s="27" t="s">
        <v>6</v>
      </c>
      <c r="E13927" s="27" t="s">
        <v>11</v>
      </c>
      <c r="F13927" s="29"/>
      <c r="G13927" s="30">
        <f t="shared" si="243"/>
        <v>3013.6737370370374</v>
      </c>
    </row>
    <row r="13928" spans="1:7" hidden="1" x14ac:dyDescent="0.25">
      <c r="A13928" s="28">
        <v>44682</v>
      </c>
      <c r="B13928" s="27" t="s">
        <v>200</v>
      </c>
      <c r="C13928" s="27" t="s">
        <v>56</v>
      </c>
      <c r="D13928" s="27" t="s">
        <v>6</v>
      </c>
      <c r="E13928" s="27" t="s">
        <v>12</v>
      </c>
      <c r="F13928" s="29"/>
      <c r="G13928" s="30">
        <f t="shared" si="243"/>
        <v>3013.6737370370374</v>
      </c>
    </row>
    <row r="13929" spans="1:7" hidden="1" x14ac:dyDescent="0.25">
      <c r="A13929" s="28">
        <v>44682</v>
      </c>
      <c r="B13929" s="27" t="s">
        <v>200</v>
      </c>
      <c r="C13929" s="27" t="s">
        <v>56</v>
      </c>
      <c r="D13929" s="27" t="s">
        <v>6</v>
      </c>
      <c r="E13929" s="27" t="s">
        <v>13</v>
      </c>
      <c r="F13929" s="29"/>
      <c r="G13929" s="30">
        <f t="shared" si="243"/>
        <v>3013.6737370370374</v>
      </c>
    </row>
    <row r="13930" spans="1:7" hidden="1" x14ac:dyDescent="0.25">
      <c r="A13930" s="28">
        <v>44682</v>
      </c>
      <c r="B13930" s="27" t="s">
        <v>200</v>
      </c>
      <c r="C13930" s="27" t="s">
        <v>56</v>
      </c>
      <c r="D13930" s="27" t="s">
        <v>6</v>
      </c>
      <c r="E13930" s="27" t="s">
        <v>14</v>
      </c>
      <c r="F13930" s="29"/>
      <c r="G13930" s="30">
        <f t="shared" si="243"/>
        <v>3013.6737370370374</v>
      </c>
    </row>
    <row r="13931" spans="1:7" hidden="1" x14ac:dyDescent="0.25">
      <c r="A13931" s="28">
        <v>44682</v>
      </c>
      <c r="B13931" s="27" t="s">
        <v>200</v>
      </c>
      <c r="C13931" s="27" t="s">
        <v>56</v>
      </c>
      <c r="D13931" s="27" t="s">
        <v>6</v>
      </c>
      <c r="E13931" s="27" t="s">
        <v>15</v>
      </c>
      <c r="F13931" s="29"/>
      <c r="G13931" s="30">
        <f t="shared" si="243"/>
        <v>3013.6737370370374</v>
      </c>
    </row>
    <row r="13932" spans="1:7" hidden="1" x14ac:dyDescent="0.25">
      <c r="A13932" s="28">
        <v>44682</v>
      </c>
      <c r="B13932" s="27" t="s">
        <v>200</v>
      </c>
      <c r="C13932" s="27" t="s">
        <v>56</v>
      </c>
      <c r="D13932" s="27" t="s">
        <v>6</v>
      </c>
      <c r="E13932" s="27" t="s">
        <v>16</v>
      </c>
      <c r="F13932" s="29"/>
      <c r="G13932" s="30">
        <f t="shared" si="243"/>
        <v>3013.6737370370374</v>
      </c>
    </row>
    <row r="13933" spans="1:7" hidden="1" x14ac:dyDescent="0.25">
      <c r="A13933" s="28">
        <v>44682</v>
      </c>
      <c r="B13933" s="27" t="s">
        <v>200</v>
      </c>
      <c r="C13933" s="27" t="s">
        <v>56</v>
      </c>
      <c r="D13933" s="27" t="s">
        <v>6</v>
      </c>
      <c r="E13933" s="27" t="s">
        <v>17</v>
      </c>
      <c r="F13933" s="29"/>
      <c r="G13933" s="30">
        <f t="shared" si="243"/>
        <v>3013.6737370370374</v>
      </c>
    </row>
    <row r="13934" spans="1:7" hidden="1" x14ac:dyDescent="0.25">
      <c r="A13934" s="28">
        <v>44682</v>
      </c>
      <c r="B13934" s="27" t="s">
        <v>200</v>
      </c>
      <c r="C13934" s="27" t="s">
        <v>56</v>
      </c>
      <c r="D13934" s="27" t="s">
        <v>6</v>
      </c>
      <c r="E13934" s="27" t="s">
        <v>18</v>
      </c>
      <c r="F13934" s="29"/>
      <c r="G13934" s="30">
        <f t="shared" si="243"/>
        <v>3013.6737370370374</v>
      </c>
    </row>
    <row r="13935" spans="1:7" hidden="1" x14ac:dyDescent="0.25">
      <c r="A13935" s="28">
        <v>44682</v>
      </c>
      <c r="B13935" s="27" t="s">
        <v>200</v>
      </c>
      <c r="C13935" s="27" t="s">
        <v>56</v>
      </c>
      <c r="D13935" s="27" t="s">
        <v>6</v>
      </c>
      <c r="E13935" s="27" t="s">
        <v>19</v>
      </c>
      <c r="F13935" s="29"/>
      <c r="G13935" s="30">
        <f t="shared" si="243"/>
        <v>3013.6737370370374</v>
      </c>
    </row>
    <row r="13936" spans="1:7" hidden="1" x14ac:dyDescent="0.25">
      <c r="A13936" s="28">
        <v>44682</v>
      </c>
      <c r="B13936" s="27" t="s">
        <v>200</v>
      </c>
      <c r="C13936" s="27" t="s">
        <v>56</v>
      </c>
      <c r="D13936" s="27" t="s">
        <v>6</v>
      </c>
      <c r="E13936" s="27" t="s">
        <v>20</v>
      </c>
      <c r="F13936" s="29"/>
      <c r="G13936" s="30">
        <f t="shared" si="243"/>
        <v>3013.6737370370374</v>
      </c>
    </row>
    <row r="13937" spans="1:7" hidden="1" x14ac:dyDescent="0.25">
      <c r="A13937" s="28">
        <v>44682</v>
      </c>
      <c r="B13937" s="27" t="s">
        <v>200</v>
      </c>
      <c r="C13937" s="27" t="s">
        <v>56</v>
      </c>
      <c r="D13937" s="27" t="s">
        <v>6</v>
      </c>
      <c r="E13937" s="27" t="s">
        <v>38</v>
      </c>
      <c r="F13937" s="29"/>
      <c r="G13937" s="30">
        <f t="shared" si="243"/>
        <v>3013.6737370370374</v>
      </c>
    </row>
    <row r="13938" spans="1:7" hidden="1" x14ac:dyDescent="0.25">
      <c r="A13938" s="28">
        <v>44682</v>
      </c>
      <c r="B13938" s="27" t="s">
        <v>200</v>
      </c>
      <c r="C13938" s="27" t="s">
        <v>56</v>
      </c>
      <c r="D13938" s="27" t="s">
        <v>6</v>
      </c>
      <c r="E13938" s="27" t="s">
        <v>23</v>
      </c>
      <c r="F13938" s="29"/>
      <c r="G13938" s="30">
        <f t="shared" si="243"/>
        <v>3013.6737370370374</v>
      </c>
    </row>
    <row r="13939" spans="1:7" hidden="1" x14ac:dyDescent="0.25">
      <c r="A13939" s="28">
        <v>44682</v>
      </c>
      <c r="B13939" s="27" t="s">
        <v>200</v>
      </c>
      <c r="C13939" s="27" t="s">
        <v>56</v>
      </c>
      <c r="D13939" s="27" t="s">
        <v>6</v>
      </c>
      <c r="E13939" s="27" t="s">
        <v>40</v>
      </c>
      <c r="F13939" s="29"/>
      <c r="G13939" s="30">
        <f t="shared" si="243"/>
        <v>3013.6737370370374</v>
      </c>
    </row>
    <row r="13940" spans="1:7" hidden="1" x14ac:dyDescent="0.25">
      <c r="A13940" s="28">
        <v>44682</v>
      </c>
      <c r="B13940" s="27" t="s">
        <v>200</v>
      </c>
      <c r="C13940" s="27" t="s">
        <v>56</v>
      </c>
      <c r="D13940" s="27" t="s">
        <v>6</v>
      </c>
      <c r="E13940" s="27" t="s">
        <v>42</v>
      </c>
      <c r="F13940" s="29"/>
      <c r="G13940" s="30">
        <f t="shared" si="243"/>
        <v>3013.6737370370374</v>
      </c>
    </row>
    <row r="13941" spans="1:7" hidden="1" x14ac:dyDescent="0.25">
      <c r="A13941" s="28">
        <v>44682</v>
      </c>
      <c r="B13941" s="27" t="s">
        <v>200</v>
      </c>
      <c r="C13941" s="27" t="s">
        <v>56</v>
      </c>
      <c r="D13941" s="27" t="s">
        <v>6</v>
      </c>
      <c r="E13941" s="27" t="s">
        <v>72</v>
      </c>
      <c r="F13941" s="29"/>
      <c r="G13941" s="30">
        <f t="shared" si="243"/>
        <v>3013.6737370370374</v>
      </c>
    </row>
    <row r="13942" spans="1:7" hidden="1" x14ac:dyDescent="0.25">
      <c r="A13942" s="28">
        <v>44682</v>
      </c>
      <c r="B13942" s="27" t="s">
        <v>200</v>
      </c>
      <c r="C13942" s="27" t="s">
        <v>56</v>
      </c>
      <c r="D13942" s="27" t="s">
        <v>6</v>
      </c>
      <c r="E13942" s="27" t="s">
        <v>12</v>
      </c>
      <c r="F13942" s="29"/>
      <c r="G13942" s="30">
        <f t="shared" si="243"/>
        <v>3013.6737370370374</v>
      </c>
    </row>
    <row r="13943" spans="1:7" hidden="1" x14ac:dyDescent="0.25">
      <c r="A13943" s="28">
        <v>44682</v>
      </c>
      <c r="B13943" s="27" t="s">
        <v>200</v>
      </c>
      <c r="C13943" s="27" t="s">
        <v>182</v>
      </c>
      <c r="D13943" s="27" t="s">
        <v>7</v>
      </c>
      <c r="E13943" s="27" t="s">
        <v>8</v>
      </c>
      <c r="F13943" s="29"/>
      <c r="G13943" s="30">
        <f t="shared" ref="G13943:G13970" si="244">8107.2/28</f>
        <v>289.54285714285714</v>
      </c>
    </row>
    <row r="13944" spans="1:7" hidden="1" x14ac:dyDescent="0.25">
      <c r="A13944" s="28">
        <v>44682</v>
      </c>
      <c r="B13944" s="27" t="s">
        <v>200</v>
      </c>
      <c r="C13944" s="27" t="s">
        <v>182</v>
      </c>
      <c r="D13944" s="27" t="s">
        <v>7</v>
      </c>
      <c r="E13944" s="27" t="s">
        <v>9</v>
      </c>
      <c r="F13944" s="29"/>
      <c r="G13944" s="30">
        <f t="shared" si="244"/>
        <v>289.54285714285714</v>
      </c>
    </row>
    <row r="13945" spans="1:7" hidden="1" x14ac:dyDescent="0.25">
      <c r="A13945" s="28">
        <v>44682</v>
      </c>
      <c r="B13945" s="27" t="s">
        <v>200</v>
      </c>
      <c r="C13945" s="27" t="s">
        <v>182</v>
      </c>
      <c r="D13945" s="27" t="s">
        <v>7</v>
      </c>
      <c r="E13945" s="27" t="s">
        <v>22</v>
      </c>
      <c r="F13945" s="29"/>
      <c r="G13945" s="30">
        <f t="shared" si="244"/>
        <v>289.54285714285714</v>
      </c>
    </row>
    <row r="13946" spans="1:7" hidden="1" x14ac:dyDescent="0.25">
      <c r="A13946" s="28">
        <v>44682</v>
      </c>
      <c r="B13946" s="27" t="s">
        <v>200</v>
      </c>
      <c r="C13946" s="27" t="s">
        <v>182</v>
      </c>
      <c r="D13946" s="27" t="s">
        <v>7</v>
      </c>
      <c r="E13946" s="27" t="s">
        <v>39</v>
      </c>
      <c r="F13946" s="29"/>
      <c r="G13946" s="30">
        <f t="shared" si="244"/>
        <v>289.54285714285714</v>
      </c>
    </row>
    <row r="13947" spans="1:7" hidden="1" x14ac:dyDescent="0.25">
      <c r="A13947" s="28">
        <v>44682</v>
      </c>
      <c r="B13947" s="27" t="s">
        <v>200</v>
      </c>
      <c r="C13947" s="27" t="s">
        <v>182</v>
      </c>
      <c r="D13947" s="27" t="s">
        <v>7</v>
      </c>
      <c r="E13947" s="27" t="s">
        <v>64</v>
      </c>
      <c r="F13947" s="29"/>
      <c r="G13947" s="30">
        <f t="shared" si="244"/>
        <v>289.54285714285714</v>
      </c>
    </row>
    <row r="13948" spans="1:7" hidden="1" x14ac:dyDescent="0.25">
      <c r="A13948" s="28">
        <v>44682</v>
      </c>
      <c r="B13948" s="27" t="s">
        <v>200</v>
      </c>
      <c r="C13948" s="27" t="s">
        <v>182</v>
      </c>
      <c r="D13948" s="27" t="s">
        <v>7</v>
      </c>
      <c r="E13948" s="27" t="s">
        <v>21</v>
      </c>
      <c r="F13948" s="29"/>
      <c r="G13948" s="30">
        <f t="shared" si="244"/>
        <v>289.54285714285714</v>
      </c>
    </row>
    <row r="13949" spans="1:7" hidden="1" x14ac:dyDescent="0.25">
      <c r="A13949" s="28">
        <v>44682</v>
      </c>
      <c r="B13949" s="27" t="s">
        <v>200</v>
      </c>
      <c r="C13949" s="27" t="s">
        <v>182</v>
      </c>
      <c r="D13949" s="27" t="s">
        <v>7</v>
      </c>
      <c r="E13949" s="27" t="s">
        <v>41</v>
      </c>
      <c r="F13949" s="29"/>
      <c r="G13949" s="30">
        <f t="shared" si="244"/>
        <v>289.54285714285714</v>
      </c>
    </row>
    <row r="13950" spans="1:7" hidden="1" x14ac:dyDescent="0.25">
      <c r="A13950" s="28">
        <v>44682</v>
      </c>
      <c r="B13950" s="27" t="s">
        <v>200</v>
      </c>
      <c r="C13950" s="27" t="s">
        <v>182</v>
      </c>
      <c r="D13950" s="27" t="s">
        <v>7</v>
      </c>
      <c r="E13950" s="27" t="s">
        <v>10</v>
      </c>
      <c r="F13950" s="29"/>
      <c r="G13950" s="30">
        <f t="shared" si="244"/>
        <v>289.54285714285714</v>
      </c>
    </row>
    <row r="13951" spans="1:7" hidden="1" x14ac:dyDescent="0.25">
      <c r="A13951" s="28">
        <v>44682</v>
      </c>
      <c r="B13951" s="27" t="s">
        <v>200</v>
      </c>
      <c r="C13951" s="27" t="s">
        <v>182</v>
      </c>
      <c r="D13951" s="27" t="s">
        <v>7</v>
      </c>
      <c r="E13951" s="27" t="s">
        <v>11</v>
      </c>
      <c r="F13951" s="29"/>
      <c r="G13951" s="30">
        <f t="shared" si="244"/>
        <v>289.54285714285714</v>
      </c>
    </row>
    <row r="13952" spans="1:7" hidden="1" x14ac:dyDescent="0.25">
      <c r="A13952" s="28">
        <v>44682</v>
      </c>
      <c r="B13952" s="27" t="s">
        <v>200</v>
      </c>
      <c r="C13952" s="27" t="s">
        <v>182</v>
      </c>
      <c r="D13952" s="27" t="s">
        <v>7</v>
      </c>
      <c r="E13952" s="27" t="s">
        <v>12</v>
      </c>
      <c r="F13952" s="29"/>
      <c r="G13952" s="30">
        <f t="shared" si="244"/>
        <v>289.54285714285714</v>
      </c>
    </row>
    <row r="13953" spans="1:7" hidden="1" x14ac:dyDescent="0.25">
      <c r="A13953" s="28">
        <v>44682</v>
      </c>
      <c r="B13953" s="27" t="s">
        <v>200</v>
      </c>
      <c r="C13953" s="27" t="s">
        <v>182</v>
      </c>
      <c r="D13953" s="27" t="s">
        <v>7</v>
      </c>
      <c r="E13953" s="27" t="s">
        <v>13</v>
      </c>
      <c r="F13953" s="29"/>
      <c r="G13953" s="30">
        <f t="shared" si="244"/>
        <v>289.54285714285714</v>
      </c>
    </row>
    <row r="13954" spans="1:7" hidden="1" x14ac:dyDescent="0.25">
      <c r="A13954" s="28">
        <v>44682</v>
      </c>
      <c r="B13954" s="27" t="s">
        <v>200</v>
      </c>
      <c r="C13954" s="27" t="s">
        <v>182</v>
      </c>
      <c r="D13954" s="27" t="s">
        <v>7</v>
      </c>
      <c r="E13954" s="27" t="s">
        <v>14</v>
      </c>
      <c r="F13954" s="29"/>
      <c r="G13954" s="30">
        <f t="shared" si="244"/>
        <v>289.54285714285714</v>
      </c>
    </row>
    <row r="13955" spans="1:7" hidden="1" x14ac:dyDescent="0.25">
      <c r="A13955" s="28">
        <v>44682</v>
      </c>
      <c r="B13955" s="27" t="s">
        <v>200</v>
      </c>
      <c r="C13955" s="27" t="s">
        <v>182</v>
      </c>
      <c r="D13955" s="27" t="s">
        <v>7</v>
      </c>
      <c r="E13955" s="27" t="s">
        <v>15</v>
      </c>
      <c r="F13955" s="29"/>
      <c r="G13955" s="30">
        <f t="shared" si="244"/>
        <v>289.54285714285714</v>
      </c>
    </row>
    <row r="13956" spans="1:7" hidden="1" x14ac:dyDescent="0.25">
      <c r="A13956" s="28">
        <v>44682</v>
      </c>
      <c r="B13956" s="27" t="s">
        <v>200</v>
      </c>
      <c r="C13956" s="27" t="s">
        <v>182</v>
      </c>
      <c r="D13956" s="27" t="s">
        <v>7</v>
      </c>
      <c r="E13956" s="27" t="s">
        <v>16</v>
      </c>
      <c r="F13956" s="29"/>
      <c r="G13956" s="30">
        <f t="shared" si="244"/>
        <v>289.54285714285714</v>
      </c>
    </row>
    <row r="13957" spans="1:7" hidden="1" x14ac:dyDescent="0.25">
      <c r="A13957" s="28">
        <v>44682</v>
      </c>
      <c r="B13957" s="27" t="s">
        <v>200</v>
      </c>
      <c r="C13957" s="27" t="s">
        <v>182</v>
      </c>
      <c r="D13957" s="27" t="s">
        <v>7</v>
      </c>
      <c r="E13957" s="27" t="s">
        <v>17</v>
      </c>
      <c r="F13957" s="29"/>
      <c r="G13957" s="30">
        <f t="shared" si="244"/>
        <v>289.54285714285714</v>
      </c>
    </row>
    <row r="13958" spans="1:7" hidden="1" x14ac:dyDescent="0.25">
      <c r="A13958" s="28">
        <v>44682</v>
      </c>
      <c r="B13958" s="27" t="s">
        <v>200</v>
      </c>
      <c r="C13958" s="27" t="s">
        <v>182</v>
      </c>
      <c r="D13958" s="27" t="s">
        <v>7</v>
      </c>
      <c r="E13958" s="27" t="s">
        <v>18</v>
      </c>
      <c r="F13958" s="29"/>
      <c r="G13958" s="30">
        <f t="shared" si="244"/>
        <v>289.54285714285714</v>
      </c>
    </row>
    <row r="13959" spans="1:7" hidden="1" x14ac:dyDescent="0.25">
      <c r="A13959" s="28">
        <v>44682</v>
      </c>
      <c r="B13959" s="27" t="s">
        <v>200</v>
      </c>
      <c r="C13959" s="27" t="s">
        <v>182</v>
      </c>
      <c r="D13959" s="27" t="s">
        <v>7</v>
      </c>
      <c r="E13959" s="27" t="s">
        <v>19</v>
      </c>
      <c r="F13959" s="29"/>
      <c r="G13959" s="30">
        <f t="shared" si="244"/>
        <v>289.54285714285714</v>
      </c>
    </row>
    <row r="13960" spans="1:7" hidden="1" x14ac:dyDescent="0.25">
      <c r="A13960" s="28">
        <v>44682</v>
      </c>
      <c r="B13960" s="27" t="s">
        <v>200</v>
      </c>
      <c r="C13960" s="27" t="s">
        <v>182</v>
      </c>
      <c r="D13960" s="27" t="s">
        <v>7</v>
      </c>
      <c r="E13960" s="27" t="s">
        <v>20</v>
      </c>
      <c r="F13960" s="29"/>
      <c r="G13960" s="30">
        <f t="shared" si="244"/>
        <v>289.54285714285714</v>
      </c>
    </row>
    <row r="13961" spans="1:7" hidden="1" x14ac:dyDescent="0.25">
      <c r="A13961" s="28">
        <v>44682</v>
      </c>
      <c r="B13961" s="27" t="s">
        <v>200</v>
      </c>
      <c r="C13961" s="27" t="s">
        <v>182</v>
      </c>
      <c r="D13961" s="27" t="s">
        <v>7</v>
      </c>
      <c r="E13961" s="27" t="s">
        <v>38</v>
      </c>
      <c r="F13961" s="29"/>
      <c r="G13961" s="30">
        <f t="shared" si="244"/>
        <v>289.54285714285714</v>
      </c>
    </row>
    <row r="13962" spans="1:7" hidden="1" x14ac:dyDescent="0.25">
      <c r="A13962" s="28">
        <v>44682</v>
      </c>
      <c r="B13962" s="27" t="s">
        <v>200</v>
      </c>
      <c r="C13962" s="27" t="s">
        <v>182</v>
      </c>
      <c r="D13962" s="27" t="s">
        <v>7</v>
      </c>
      <c r="E13962" s="27" t="s">
        <v>23</v>
      </c>
      <c r="F13962" s="29"/>
      <c r="G13962" s="30">
        <f t="shared" si="244"/>
        <v>289.54285714285714</v>
      </c>
    </row>
    <row r="13963" spans="1:7" hidden="1" x14ac:dyDescent="0.25">
      <c r="A13963" s="28">
        <v>44682</v>
      </c>
      <c r="B13963" s="27" t="s">
        <v>200</v>
      </c>
      <c r="C13963" s="27" t="s">
        <v>182</v>
      </c>
      <c r="D13963" s="27" t="s">
        <v>7</v>
      </c>
      <c r="E13963" s="27" t="s">
        <v>40</v>
      </c>
      <c r="F13963" s="29"/>
      <c r="G13963" s="30">
        <f t="shared" si="244"/>
        <v>289.54285714285714</v>
      </c>
    </row>
    <row r="13964" spans="1:7" hidden="1" x14ac:dyDescent="0.25">
      <c r="A13964" s="28">
        <v>44682</v>
      </c>
      <c r="B13964" s="27" t="s">
        <v>200</v>
      </c>
      <c r="C13964" s="27" t="s">
        <v>182</v>
      </c>
      <c r="D13964" s="27" t="s">
        <v>7</v>
      </c>
      <c r="E13964" s="27" t="s">
        <v>42</v>
      </c>
      <c r="F13964" s="29"/>
      <c r="G13964" s="30">
        <f t="shared" si="244"/>
        <v>289.54285714285714</v>
      </c>
    </row>
    <row r="13965" spans="1:7" hidden="1" x14ac:dyDescent="0.25">
      <c r="A13965" s="28">
        <v>44682</v>
      </c>
      <c r="B13965" s="27" t="s">
        <v>200</v>
      </c>
      <c r="C13965" s="27" t="s">
        <v>182</v>
      </c>
      <c r="D13965" s="27" t="s">
        <v>7</v>
      </c>
      <c r="E13965" s="27" t="s">
        <v>43</v>
      </c>
      <c r="F13965" s="29"/>
      <c r="G13965" s="30">
        <f t="shared" si="244"/>
        <v>289.54285714285714</v>
      </c>
    </row>
    <row r="13966" spans="1:7" hidden="1" x14ac:dyDescent="0.25">
      <c r="A13966" s="28">
        <v>44682</v>
      </c>
      <c r="B13966" s="27" t="s">
        <v>200</v>
      </c>
      <c r="C13966" s="27" t="s">
        <v>182</v>
      </c>
      <c r="D13966" s="27" t="s">
        <v>7</v>
      </c>
      <c r="E13966" s="27" t="s">
        <v>72</v>
      </c>
      <c r="F13966" s="29"/>
      <c r="G13966" s="30">
        <f t="shared" si="244"/>
        <v>289.54285714285714</v>
      </c>
    </row>
    <row r="13967" spans="1:7" hidden="1" x14ac:dyDescent="0.25">
      <c r="A13967" s="28">
        <v>44682</v>
      </c>
      <c r="B13967" s="27" t="s">
        <v>200</v>
      </c>
      <c r="C13967" s="27" t="s">
        <v>182</v>
      </c>
      <c r="D13967" s="27" t="s">
        <v>7</v>
      </c>
      <c r="E13967" s="27" t="s">
        <v>206</v>
      </c>
      <c r="F13967" s="29"/>
      <c r="G13967" s="30">
        <f t="shared" si="244"/>
        <v>289.54285714285714</v>
      </c>
    </row>
    <row r="13968" spans="1:7" hidden="1" x14ac:dyDescent="0.25">
      <c r="A13968" s="28">
        <v>44682</v>
      </c>
      <c r="B13968" s="27" t="s">
        <v>200</v>
      </c>
      <c r="C13968" s="27" t="s">
        <v>182</v>
      </c>
      <c r="D13968" s="27" t="s">
        <v>7</v>
      </c>
      <c r="E13968" s="27" t="s">
        <v>67</v>
      </c>
      <c r="F13968" s="29"/>
      <c r="G13968" s="30">
        <f t="shared" si="244"/>
        <v>289.54285714285714</v>
      </c>
    </row>
    <row r="13969" spans="1:7" hidden="1" x14ac:dyDescent="0.25">
      <c r="A13969" s="28">
        <v>44682</v>
      </c>
      <c r="B13969" s="27" t="s">
        <v>200</v>
      </c>
      <c r="C13969" s="27" t="s">
        <v>182</v>
      </c>
      <c r="D13969" s="27" t="s">
        <v>7</v>
      </c>
      <c r="E13969" s="27" t="s">
        <v>68</v>
      </c>
      <c r="F13969" s="29"/>
      <c r="G13969" s="30">
        <f t="shared" si="244"/>
        <v>289.54285714285714</v>
      </c>
    </row>
    <row r="13970" spans="1:7" hidden="1" x14ac:dyDescent="0.25">
      <c r="A13970" s="28">
        <v>44682</v>
      </c>
      <c r="B13970" s="27" t="s">
        <v>200</v>
      </c>
      <c r="C13970" s="27" t="s">
        <v>182</v>
      </c>
      <c r="D13970" s="27" t="s">
        <v>7</v>
      </c>
      <c r="E13970" s="27" t="s">
        <v>74</v>
      </c>
      <c r="F13970" s="29"/>
      <c r="G13970" s="30">
        <f t="shared" si="244"/>
        <v>289.54285714285714</v>
      </c>
    </row>
    <row r="13971" spans="1:7" hidden="1" x14ac:dyDescent="0.25">
      <c r="A13971" s="28">
        <v>44682</v>
      </c>
      <c r="B13971" s="27" t="s">
        <v>35</v>
      </c>
      <c r="C13971" s="27" t="s">
        <v>50</v>
      </c>
      <c r="D13971" s="27" t="s">
        <v>7</v>
      </c>
      <c r="E13971" s="27" t="s">
        <v>8</v>
      </c>
      <c r="F13971" s="29"/>
      <c r="G13971" s="30">
        <v>680.10642857142852</v>
      </c>
    </row>
    <row r="13972" spans="1:7" hidden="1" x14ac:dyDescent="0.25">
      <c r="A13972" s="28">
        <v>44682</v>
      </c>
      <c r="B13972" s="27" t="s">
        <v>35</v>
      </c>
      <c r="C13972" s="27" t="s">
        <v>50</v>
      </c>
      <c r="D13972" s="27" t="s">
        <v>7</v>
      </c>
      <c r="E13972" s="27" t="s">
        <v>9</v>
      </c>
      <c r="F13972" s="29"/>
      <c r="G13972" s="30">
        <v>680.10642857142852</v>
      </c>
    </row>
    <row r="13973" spans="1:7" hidden="1" x14ac:dyDescent="0.25">
      <c r="A13973" s="28">
        <v>44682</v>
      </c>
      <c r="B13973" s="27" t="s">
        <v>35</v>
      </c>
      <c r="C13973" s="27" t="s">
        <v>50</v>
      </c>
      <c r="D13973" s="27" t="s">
        <v>7</v>
      </c>
      <c r="E13973" s="27" t="s">
        <v>22</v>
      </c>
      <c r="F13973" s="29"/>
      <c r="G13973" s="30">
        <v>680.10642857142852</v>
      </c>
    </row>
    <row r="13974" spans="1:7" hidden="1" x14ac:dyDescent="0.25">
      <c r="A13974" s="28">
        <v>44682</v>
      </c>
      <c r="B13974" s="27" t="s">
        <v>35</v>
      </c>
      <c r="C13974" s="27" t="s">
        <v>50</v>
      </c>
      <c r="D13974" s="27" t="s">
        <v>7</v>
      </c>
      <c r="E13974" s="27" t="s">
        <v>39</v>
      </c>
      <c r="F13974" s="29"/>
      <c r="G13974" s="30">
        <v>680.10642857142852</v>
      </c>
    </row>
    <row r="13975" spans="1:7" hidden="1" x14ac:dyDescent="0.25">
      <c r="A13975" s="28">
        <v>44682</v>
      </c>
      <c r="B13975" s="27" t="s">
        <v>35</v>
      </c>
      <c r="C13975" s="27" t="s">
        <v>50</v>
      </c>
      <c r="D13975" s="27" t="s">
        <v>7</v>
      </c>
      <c r="E13975" s="27" t="s">
        <v>64</v>
      </c>
      <c r="F13975" s="29"/>
      <c r="G13975" s="30">
        <v>680.10642857142852</v>
      </c>
    </row>
    <row r="13976" spans="1:7" hidden="1" x14ac:dyDescent="0.25">
      <c r="A13976" s="28">
        <v>44682</v>
      </c>
      <c r="B13976" s="27" t="s">
        <v>35</v>
      </c>
      <c r="C13976" s="27" t="s">
        <v>50</v>
      </c>
      <c r="D13976" s="27" t="s">
        <v>7</v>
      </c>
      <c r="E13976" s="27" t="s">
        <v>21</v>
      </c>
      <c r="F13976" s="29"/>
      <c r="G13976" s="30">
        <v>680.10642857142852</v>
      </c>
    </row>
    <row r="13977" spans="1:7" hidden="1" x14ac:dyDescent="0.25">
      <c r="A13977" s="28">
        <v>44682</v>
      </c>
      <c r="B13977" s="27" t="s">
        <v>35</v>
      </c>
      <c r="C13977" s="27" t="s">
        <v>50</v>
      </c>
      <c r="D13977" s="27" t="s">
        <v>7</v>
      </c>
      <c r="E13977" s="27" t="s">
        <v>41</v>
      </c>
      <c r="F13977" s="29"/>
      <c r="G13977" s="30">
        <v>680.10642857142852</v>
      </c>
    </row>
    <row r="13978" spans="1:7" hidden="1" x14ac:dyDescent="0.25">
      <c r="A13978" s="28">
        <v>44682</v>
      </c>
      <c r="B13978" s="27" t="s">
        <v>35</v>
      </c>
      <c r="C13978" s="27" t="s">
        <v>50</v>
      </c>
      <c r="D13978" s="27" t="s">
        <v>7</v>
      </c>
      <c r="E13978" s="27" t="s">
        <v>10</v>
      </c>
      <c r="F13978" s="29"/>
      <c r="G13978" s="30">
        <v>680.10642857142852</v>
      </c>
    </row>
    <row r="13979" spans="1:7" hidden="1" x14ac:dyDescent="0.25">
      <c r="A13979" s="28">
        <v>44682</v>
      </c>
      <c r="B13979" s="27" t="s">
        <v>35</v>
      </c>
      <c r="C13979" s="27" t="s">
        <v>50</v>
      </c>
      <c r="D13979" s="27" t="s">
        <v>7</v>
      </c>
      <c r="E13979" s="27" t="s">
        <v>11</v>
      </c>
      <c r="F13979" s="29"/>
      <c r="G13979" s="30">
        <v>680.10642857142852</v>
      </c>
    </row>
    <row r="13980" spans="1:7" hidden="1" x14ac:dyDescent="0.25">
      <c r="A13980" s="28">
        <v>44682</v>
      </c>
      <c r="B13980" s="27" t="s">
        <v>35</v>
      </c>
      <c r="C13980" s="27" t="s">
        <v>50</v>
      </c>
      <c r="D13980" s="27" t="s">
        <v>7</v>
      </c>
      <c r="E13980" s="27" t="s">
        <v>12</v>
      </c>
      <c r="F13980" s="29"/>
      <c r="G13980" s="30">
        <v>680.10642857142852</v>
      </c>
    </row>
    <row r="13981" spans="1:7" hidden="1" x14ac:dyDescent="0.25">
      <c r="A13981" s="28">
        <v>44682</v>
      </c>
      <c r="B13981" s="27" t="s">
        <v>35</v>
      </c>
      <c r="C13981" s="27" t="s">
        <v>50</v>
      </c>
      <c r="D13981" s="27" t="s">
        <v>7</v>
      </c>
      <c r="E13981" s="27" t="s">
        <v>13</v>
      </c>
      <c r="F13981" s="29"/>
      <c r="G13981" s="30">
        <v>680.10642857142852</v>
      </c>
    </row>
    <row r="13982" spans="1:7" hidden="1" x14ac:dyDescent="0.25">
      <c r="A13982" s="28">
        <v>44682</v>
      </c>
      <c r="B13982" s="27" t="s">
        <v>35</v>
      </c>
      <c r="C13982" s="27" t="s">
        <v>50</v>
      </c>
      <c r="D13982" s="27" t="s">
        <v>7</v>
      </c>
      <c r="E13982" s="27" t="s">
        <v>14</v>
      </c>
      <c r="F13982" s="29"/>
      <c r="G13982" s="30">
        <v>680.10642857142852</v>
      </c>
    </row>
    <row r="13983" spans="1:7" hidden="1" x14ac:dyDescent="0.25">
      <c r="A13983" s="28">
        <v>44682</v>
      </c>
      <c r="B13983" s="27" t="s">
        <v>35</v>
      </c>
      <c r="C13983" s="27" t="s">
        <v>50</v>
      </c>
      <c r="D13983" s="27" t="s">
        <v>7</v>
      </c>
      <c r="E13983" s="27" t="s">
        <v>15</v>
      </c>
      <c r="F13983" s="29"/>
      <c r="G13983" s="30">
        <v>680.10642857142852</v>
      </c>
    </row>
    <row r="13984" spans="1:7" hidden="1" x14ac:dyDescent="0.25">
      <c r="A13984" s="28">
        <v>44682</v>
      </c>
      <c r="B13984" s="27" t="s">
        <v>35</v>
      </c>
      <c r="C13984" s="27" t="s">
        <v>50</v>
      </c>
      <c r="D13984" s="27" t="s">
        <v>7</v>
      </c>
      <c r="E13984" s="27" t="s">
        <v>16</v>
      </c>
      <c r="F13984" s="29"/>
      <c r="G13984" s="30">
        <v>680.10642857142852</v>
      </c>
    </row>
    <row r="13985" spans="1:7" hidden="1" x14ac:dyDescent="0.25">
      <c r="A13985" s="28">
        <v>44682</v>
      </c>
      <c r="B13985" s="27" t="s">
        <v>35</v>
      </c>
      <c r="C13985" s="27" t="s">
        <v>50</v>
      </c>
      <c r="D13985" s="27" t="s">
        <v>7</v>
      </c>
      <c r="E13985" s="27" t="s">
        <v>17</v>
      </c>
      <c r="F13985" s="29"/>
      <c r="G13985" s="30">
        <v>680.10642857142852</v>
      </c>
    </row>
    <row r="13986" spans="1:7" hidden="1" x14ac:dyDescent="0.25">
      <c r="A13986" s="28">
        <v>44682</v>
      </c>
      <c r="B13986" s="27" t="s">
        <v>35</v>
      </c>
      <c r="C13986" s="27" t="s">
        <v>50</v>
      </c>
      <c r="D13986" s="27" t="s">
        <v>7</v>
      </c>
      <c r="E13986" s="27" t="s">
        <v>18</v>
      </c>
      <c r="F13986" s="29"/>
      <c r="G13986" s="30">
        <v>680.10642857142852</v>
      </c>
    </row>
    <row r="13987" spans="1:7" hidden="1" x14ac:dyDescent="0.25">
      <c r="A13987" s="28">
        <v>44682</v>
      </c>
      <c r="B13987" s="27" t="s">
        <v>35</v>
      </c>
      <c r="C13987" s="27" t="s">
        <v>50</v>
      </c>
      <c r="D13987" s="27" t="s">
        <v>7</v>
      </c>
      <c r="E13987" s="27" t="s">
        <v>19</v>
      </c>
      <c r="F13987" s="29"/>
      <c r="G13987" s="30">
        <v>680.10642857142852</v>
      </c>
    </row>
    <row r="13988" spans="1:7" hidden="1" x14ac:dyDescent="0.25">
      <c r="A13988" s="28">
        <v>44682</v>
      </c>
      <c r="B13988" s="27" t="s">
        <v>35</v>
      </c>
      <c r="C13988" s="27" t="s">
        <v>50</v>
      </c>
      <c r="D13988" s="27" t="s">
        <v>7</v>
      </c>
      <c r="E13988" s="27" t="s">
        <v>20</v>
      </c>
      <c r="F13988" s="29"/>
      <c r="G13988" s="30">
        <v>680.10642857142852</v>
      </c>
    </row>
    <row r="13989" spans="1:7" hidden="1" x14ac:dyDescent="0.25">
      <c r="A13989" s="28">
        <v>44682</v>
      </c>
      <c r="B13989" s="27" t="s">
        <v>35</v>
      </c>
      <c r="C13989" s="27" t="s">
        <v>50</v>
      </c>
      <c r="D13989" s="27" t="s">
        <v>7</v>
      </c>
      <c r="E13989" s="27" t="s">
        <v>38</v>
      </c>
      <c r="F13989" s="29"/>
      <c r="G13989" s="30">
        <v>680.10642857142852</v>
      </c>
    </row>
    <row r="13990" spans="1:7" hidden="1" x14ac:dyDescent="0.25">
      <c r="A13990" s="28">
        <v>44682</v>
      </c>
      <c r="B13990" s="27" t="s">
        <v>35</v>
      </c>
      <c r="C13990" s="27" t="s">
        <v>50</v>
      </c>
      <c r="D13990" s="27" t="s">
        <v>7</v>
      </c>
      <c r="E13990" s="27" t="s">
        <v>23</v>
      </c>
      <c r="F13990" s="29"/>
      <c r="G13990" s="30">
        <v>680.10642857142852</v>
      </c>
    </row>
    <row r="13991" spans="1:7" hidden="1" x14ac:dyDescent="0.25">
      <c r="A13991" s="28">
        <v>44682</v>
      </c>
      <c r="B13991" s="27" t="s">
        <v>35</v>
      </c>
      <c r="C13991" s="27" t="s">
        <v>50</v>
      </c>
      <c r="D13991" s="27" t="s">
        <v>7</v>
      </c>
      <c r="E13991" s="27" t="s">
        <v>40</v>
      </c>
      <c r="F13991" s="29"/>
      <c r="G13991" s="30">
        <v>680.10642857142852</v>
      </c>
    </row>
    <row r="13992" spans="1:7" hidden="1" x14ac:dyDescent="0.25">
      <c r="A13992" s="28">
        <v>44682</v>
      </c>
      <c r="B13992" s="27" t="s">
        <v>35</v>
      </c>
      <c r="C13992" s="27" t="s">
        <v>50</v>
      </c>
      <c r="D13992" s="27" t="s">
        <v>7</v>
      </c>
      <c r="E13992" s="27" t="s">
        <v>42</v>
      </c>
      <c r="F13992" s="29"/>
      <c r="G13992" s="30">
        <v>680.10642857142852</v>
      </c>
    </row>
    <row r="13993" spans="1:7" hidden="1" x14ac:dyDescent="0.25">
      <c r="A13993" s="28">
        <v>44682</v>
      </c>
      <c r="B13993" s="27" t="s">
        <v>35</v>
      </c>
      <c r="C13993" s="27" t="s">
        <v>50</v>
      </c>
      <c r="D13993" s="27" t="s">
        <v>7</v>
      </c>
      <c r="E13993" s="27" t="s">
        <v>43</v>
      </c>
      <c r="F13993" s="29"/>
      <c r="G13993" s="30">
        <v>680.10642857142852</v>
      </c>
    </row>
    <row r="13994" spans="1:7" hidden="1" x14ac:dyDescent="0.25">
      <c r="A13994" s="28">
        <v>44682</v>
      </c>
      <c r="B13994" s="27" t="s">
        <v>35</v>
      </c>
      <c r="C13994" s="27" t="s">
        <v>50</v>
      </c>
      <c r="D13994" s="27" t="s">
        <v>7</v>
      </c>
      <c r="E13994" s="27" t="s">
        <v>72</v>
      </c>
      <c r="F13994" s="29"/>
      <c r="G13994" s="30">
        <v>680.10642857142852</v>
      </c>
    </row>
    <row r="13995" spans="1:7" hidden="1" x14ac:dyDescent="0.25">
      <c r="A13995" s="28">
        <v>44682</v>
      </c>
      <c r="B13995" s="27" t="s">
        <v>35</v>
      </c>
      <c r="C13995" s="27" t="s">
        <v>50</v>
      </c>
      <c r="D13995" s="27" t="s">
        <v>7</v>
      </c>
      <c r="E13995" s="27" t="s">
        <v>206</v>
      </c>
      <c r="F13995" s="29"/>
      <c r="G13995" s="30">
        <v>680.10642857142852</v>
      </c>
    </row>
    <row r="13996" spans="1:7" hidden="1" x14ac:dyDescent="0.25">
      <c r="A13996" s="28">
        <v>44682</v>
      </c>
      <c r="B13996" s="27" t="s">
        <v>35</v>
      </c>
      <c r="C13996" s="27" t="s">
        <v>50</v>
      </c>
      <c r="D13996" s="27" t="s">
        <v>7</v>
      </c>
      <c r="E13996" s="27" t="s">
        <v>67</v>
      </c>
      <c r="F13996" s="29"/>
      <c r="G13996" s="30">
        <v>680.10642857142852</v>
      </c>
    </row>
    <row r="13997" spans="1:7" hidden="1" x14ac:dyDescent="0.25">
      <c r="A13997" s="28">
        <v>44682</v>
      </c>
      <c r="B13997" s="27" t="s">
        <v>35</v>
      </c>
      <c r="C13997" s="27" t="s">
        <v>50</v>
      </c>
      <c r="D13997" s="27" t="s">
        <v>7</v>
      </c>
      <c r="E13997" s="27" t="s">
        <v>68</v>
      </c>
      <c r="F13997" s="29"/>
      <c r="G13997" s="30">
        <v>680.10642857142852</v>
      </c>
    </row>
    <row r="13998" spans="1:7" hidden="1" x14ac:dyDescent="0.25">
      <c r="A13998" s="28">
        <v>44682</v>
      </c>
      <c r="B13998" s="27" t="s">
        <v>35</v>
      </c>
      <c r="C13998" s="27" t="s">
        <v>50</v>
      </c>
      <c r="D13998" s="27" t="s">
        <v>7</v>
      </c>
      <c r="E13998" s="27" t="s">
        <v>74</v>
      </c>
      <c r="F13998" s="29"/>
      <c r="G13998" s="30">
        <v>680.10642857142852</v>
      </c>
    </row>
    <row r="13999" spans="1:7" hidden="1" x14ac:dyDescent="0.25">
      <c r="A13999" s="28">
        <v>44682</v>
      </c>
      <c r="B13999" s="27" t="s">
        <v>34</v>
      </c>
      <c r="C13999" s="27" t="s">
        <v>50</v>
      </c>
      <c r="D13999" s="27" t="s">
        <v>6</v>
      </c>
      <c r="E13999" s="27" t="s">
        <v>8</v>
      </c>
      <c r="F13999" s="29"/>
      <c r="G13999" s="30">
        <v>273.50799999999998</v>
      </c>
    </row>
    <row r="14000" spans="1:7" hidden="1" x14ac:dyDescent="0.25">
      <c r="A14000" s="28">
        <v>44682</v>
      </c>
      <c r="B14000" s="27" t="s">
        <v>34</v>
      </c>
      <c r="C14000" s="27" t="s">
        <v>50</v>
      </c>
      <c r="D14000" s="27" t="s">
        <v>6</v>
      </c>
      <c r="E14000" s="27" t="s">
        <v>9</v>
      </c>
      <c r="F14000" s="29"/>
      <c r="G14000" s="30">
        <v>273.50799999999998</v>
      </c>
    </row>
    <row r="14001" spans="1:7" hidden="1" x14ac:dyDescent="0.25">
      <c r="A14001" s="28">
        <v>44682</v>
      </c>
      <c r="B14001" s="27" t="s">
        <v>34</v>
      </c>
      <c r="C14001" s="27" t="s">
        <v>50</v>
      </c>
      <c r="D14001" s="27" t="s">
        <v>6</v>
      </c>
      <c r="E14001" s="27" t="s">
        <v>22</v>
      </c>
      <c r="F14001" s="29"/>
      <c r="G14001" s="30">
        <v>273.50799999999998</v>
      </c>
    </row>
    <row r="14002" spans="1:7" hidden="1" x14ac:dyDescent="0.25">
      <c r="A14002" s="28">
        <v>44682</v>
      </c>
      <c r="B14002" s="27" t="s">
        <v>34</v>
      </c>
      <c r="C14002" s="27" t="s">
        <v>50</v>
      </c>
      <c r="D14002" s="27" t="s">
        <v>6</v>
      </c>
      <c r="E14002" s="27" t="s">
        <v>39</v>
      </c>
      <c r="F14002" s="29"/>
      <c r="G14002" s="30">
        <v>273.50799999999998</v>
      </c>
    </row>
    <row r="14003" spans="1:7" hidden="1" x14ac:dyDescent="0.25">
      <c r="A14003" s="28">
        <v>44682</v>
      </c>
      <c r="B14003" s="27" t="s">
        <v>34</v>
      </c>
      <c r="C14003" s="27" t="s">
        <v>50</v>
      </c>
      <c r="D14003" s="27" t="s">
        <v>6</v>
      </c>
      <c r="E14003" s="27" t="s">
        <v>64</v>
      </c>
      <c r="F14003" s="29"/>
      <c r="G14003" s="30">
        <v>273.50799999999998</v>
      </c>
    </row>
    <row r="14004" spans="1:7" hidden="1" x14ac:dyDescent="0.25">
      <c r="A14004" s="28">
        <v>44682</v>
      </c>
      <c r="B14004" s="27" t="s">
        <v>34</v>
      </c>
      <c r="C14004" s="27" t="s">
        <v>50</v>
      </c>
      <c r="D14004" s="27" t="s">
        <v>6</v>
      </c>
      <c r="E14004" s="27" t="s">
        <v>21</v>
      </c>
      <c r="F14004" s="29"/>
      <c r="G14004" s="30">
        <v>273.50799999999998</v>
      </c>
    </row>
    <row r="14005" spans="1:7" hidden="1" x14ac:dyDescent="0.25">
      <c r="A14005" s="28">
        <v>44682</v>
      </c>
      <c r="B14005" s="27" t="s">
        <v>34</v>
      </c>
      <c r="C14005" s="27" t="s">
        <v>50</v>
      </c>
      <c r="D14005" s="27" t="s">
        <v>6</v>
      </c>
      <c r="E14005" s="27" t="s">
        <v>41</v>
      </c>
      <c r="F14005" s="29"/>
      <c r="G14005" s="30">
        <v>273.50799999999998</v>
      </c>
    </row>
    <row r="14006" spans="1:7" hidden="1" x14ac:dyDescent="0.25">
      <c r="A14006" s="28">
        <v>44682</v>
      </c>
      <c r="B14006" s="27" t="s">
        <v>34</v>
      </c>
      <c r="C14006" s="27" t="s">
        <v>50</v>
      </c>
      <c r="D14006" s="27" t="s">
        <v>6</v>
      </c>
      <c r="E14006" s="27" t="s">
        <v>10</v>
      </c>
      <c r="F14006" s="29"/>
      <c r="G14006" s="30">
        <v>273.50799999999998</v>
      </c>
    </row>
    <row r="14007" spans="1:7" hidden="1" x14ac:dyDescent="0.25">
      <c r="A14007" s="28">
        <v>44682</v>
      </c>
      <c r="B14007" s="27" t="s">
        <v>34</v>
      </c>
      <c r="C14007" s="27" t="s">
        <v>50</v>
      </c>
      <c r="D14007" s="27" t="s">
        <v>6</v>
      </c>
      <c r="E14007" s="27" t="s">
        <v>11</v>
      </c>
      <c r="F14007" s="29"/>
      <c r="G14007" s="30">
        <v>273.50799999999998</v>
      </c>
    </row>
    <row r="14008" spans="1:7" hidden="1" x14ac:dyDescent="0.25">
      <c r="A14008" s="28">
        <v>44682</v>
      </c>
      <c r="B14008" s="27" t="s">
        <v>34</v>
      </c>
      <c r="C14008" s="27" t="s">
        <v>50</v>
      </c>
      <c r="D14008" s="27" t="s">
        <v>6</v>
      </c>
      <c r="E14008" s="27" t="s">
        <v>12</v>
      </c>
      <c r="F14008" s="29"/>
      <c r="G14008" s="30">
        <v>273.50799999999998</v>
      </c>
    </row>
    <row r="14009" spans="1:7" hidden="1" x14ac:dyDescent="0.25">
      <c r="A14009" s="28">
        <v>44682</v>
      </c>
      <c r="B14009" s="27" t="s">
        <v>34</v>
      </c>
      <c r="C14009" s="27" t="s">
        <v>50</v>
      </c>
      <c r="D14009" s="27" t="s">
        <v>6</v>
      </c>
      <c r="E14009" s="27" t="s">
        <v>13</v>
      </c>
      <c r="F14009" s="29"/>
      <c r="G14009" s="30">
        <v>273.50799999999998</v>
      </c>
    </row>
    <row r="14010" spans="1:7" hidden="1" x14ac:dyDescent="0.25">
      <c r="A14010" s="28">
        <v>44682</v>
      </c>
      <c r="B14010" s="27" t="s">
        <v>34</v>
      </c>
      <c r="C14010" s="27" t="s">
        <v>50</v>
      </c>
      <c r="D14010" s="27" t="s">
        <v>6</v>
      </c>
      <c r="E14010" s="27" t="s">
        <v>14</v>
      </c>
      <c r="F14010" s="29"/>
      <c r="G14010" s="30">
        <v>273.50799999999998</v>
      </c>
    </row>
    <row r="14011" spans="1:7" hidden="1" x14ac:dyDescent="0.25">
      <c r="A14011" s="28">
        <v>44682</v>
      </c>
      <c r="B14011" s="27" t="s">
        <v>34</v>
      </c>
      <c r="C14011" s="27" t="s">
        <v>50</v>
      </c>
      <c r="D14011" s="27" t="s">
        <v>6</v>
      </c>
      <c r="E14011" s="27" t="s">
        <v>15</v>
      </c>
      <c r="F14011" s="29"/>
      <c r="G14011" s="30">
        <v>273.50799999999998</v>
      </c>
    </row>
    <row r="14012" spans="1:7" hidden="1" x14ac:dyDescent="0.25">
      <c r="A14012" s="28">
        <v>44682</v>
      </c>
      <c r="B14012" s="27" t="s">
        <v>34</v>
      </c>
      <c r="C14012" s="27" t="s">
        <v>50</v>
      </c>
      <c r="D14012" s="27" t="s">
        <v>6</v>
      </c>
      <c r="E14012" s="27" t="s">
        <v>16</v>
      </c>
      <c r="F14012" s="29"/>
      <c r="G14012" s="30">
        <v>273.50799999999998</v>
      </c>
    </row>
    <row r="14013" spans="1:7" hidden="1" x14ac:dyDescent="0.25">
      <c r="A14013" s="28">
        <v>44682</v>
      </c>
      <c r="B14013" s="27" t="s">
        <v>34</v>
      </c>
      <c r="C14013" s="27" t="s">
        <v>50</v>
      </c>
      <c r="D14013" s="27" t="s">
        <v>6</v>
      </c>
      <c r="E14013" s="27" t="s">
        <v>17</v>
      </c>
      <c r="F14013" s="29"/>
      <c r="G14013" s="30">
        <v>273.50799999999998</v>
      </c>
    </row>
    <row r="14014" spans="1:7" hidden="1" x14ac:dyDescent="0.25">
      <c r="A14014" s="28">
        <v>44682</v>
      </c>
      <c r="B14014" s="27" t="s">
        <v>34</v>
      </c>
      <c r="C14014" s="27" t="s">
        <v>50</v>
      </c>
      <c r="D14014" s="27" t="s">
        <v>6</v>
      </c>
      <c r="E14014" s="27" t="s">
        <v>18</v>
      </c>
      <c r="F14014" s="29"/>
      <c r="G14014" s="30">
        <v>273.50799999999998</v>
      </c>
    </row>
    <row r="14015" spans="1:7" hidden="1" x14ac:dyDescent="0.25">
      <c r="A14015" s="28">
        <v>44682</v>
      </c>
      <c r="B14015" s="27" t="s">
        <v>34</v>
      </c>
      <c r="C14015" s="27" t="s">
        <v>50</v>
      </c>
      <c r="D14015" s="27" t="s">
        <v>6</v>
      </c>
      <c r="E14015" s="27" t="s">
        <v>19</v>
      </c>
      <c r="F14015" s="29"/>
      <c r="G14015" s="30">
        <v>273.50799999999998</v>
      </c>
    </row>
    <row r="14016" spans="1:7" hidden="1" x14ac:dyDescent="0.25">
      <c r="A14016" s="28">
        <v>44682</v>
      </c>
      <c r="B14016" s="27" t="s">
        <v>34</v>
      </c>
      <c r="C14016" s="27" t="s">
        <v>50</v>
      </c>
      <c r="D14016" s="27" t="s">
        <v>6</v>
      </c>
      <c r="E14016" s="27" t="s">
        <v>20</v>
      </c>
      <c r="F14016" s="29"/>
      <c r="G14016" s="30">
        <v>273.50799999999998</v>
      </c>
    </row>
    <row r="14017" spans="1:7" hidden="1" x14ac:dyDescent="0.25">
      <c r="A14017" s="28">
        <v>44682</v>
      </c>
      <c r="B14017" s="27" t="s">
        <v>34</v>
      </c>
      <c r="C14017" s="27" t="s">
        <v>50</v>
      </c>
      <c r="D14017" s="27" t="s">
        <v>6</v>
      </c>
      <c r="E14017" s="27" t="s">
        <v>38</v>
      </c>
      <c r="F14017" s="29"/>
      <c r="G14017" s="30">
        <v>273.50799999999998</v>
      </c>
    </row>
    <row r="14018" spans="1:7" hidden="1" x14ac:dyDescent="0.25">
      <c r="A14018" s="28">
        <v>44682</v>
      </c>
      <c r="B14018" s="27" t="s">
        <v>34</v>
      </c>
      <c r="C14018" s="27" t="s">
        <v>50</v>
      </c>
      <c r="D14018" s="27" t="s">
        <v>6</v>
      </c>
      <c r="E14018" s="27" t="s">
        <v>23</v>
      </c>
      <c r="F14018" s="29"/>
      <c r="G14018" s="30">
        <v>273.50799999999998</v>
      </c>
    </row>
    <row r="14019" spans="1:7" hidden="1" x14ac:dyDescent="0.25">
      <c r="A14019" s="28">
        <v>44682</v>
      </c>
      <c r="B14019" s="27" t="s">
        <v>34</v>
      </c>
      <c r="C14019" s="27" t="s">
        <v>50</v>
      </c>
      <c r="D14019" s="27" t="s">
        <v>6</v>
      </c>
      <c r="E14019" s="27" t="s">
        <v>40</v>
      </c>
      <c r="F14019" s="29"/>
      <c r="G14019" s="30">
        <v>273.50799999999998</v>
      </c>
    </row>
    <row r="14020" spans="1:7" hidden="1" x14ac:dyDescent="0.25">
      <c r="A14020" s="28">
        <v>44682</v>
      </c>
      <c r="B14020" s="27" t="s">
        <v>34</v>
      </c>
      <c r="C14020" s="27" t="s">
        <v>50</v>
      </c>
      <c r="D14020" s="27" t="s">
        <v>6</v>
      </c>
      <c r="E14020" s="27" t="s">
        <v>42</v>
      </c>
      <c r="F14020" s="29"/>
      <c r="G14020" s="30">
        <v>273.50799999999998</v>
      </c>
    </row>
    <row r="14021" spans="1:7" hidden="1" x14ac:dyDescent="0.25">
      <c r="A14021" s="28">
        <v>44682</v>
      </c>
      <c r="B14021" s="27" t="s">
        <v>34</v>
      </c>
      <c r="C14021" s="27" t="s">
        <v>50</v>
      </c>
      <c r="D14021" s="27" t="s">
        <v>6</v>
      </c>
      <c r="E14021" s="27" t="s">
        <v>43</v>
      </c>
      <c r="F14021" s="29"/>
      <c r="G14021" s="30">
        <v>273.50799999999998</v>
      </c>
    </row>
    <row r="14022" spans="1:7" hidden="1" x14ac:dyDescent="0.25">
      <c r="A14022" s="28">
        <v>44682</v>
      </c>
      <c r="B14022" s="27" t="s">
        <v>34</v>
      </c>
      <c r="C14022" s="27" t="s">
        <v>50</v>
      </c>
      <c r="D14022" s="27" t="s">
        <v>6</v>
      </c>
      <c r="E14022" s="27" t="s">
        <v>72</v>
      </c>
      <c r="F14022" s="29"/>
      <c r="G14022" s="30">
        <v>273.50799999999998</v>
      </c>
    </row>
    <row r="14023" spans="1:7" hidden="1" x14ac:dyDescent="0.25">
      <c r="A14023" s="28">
        <v>44682</v>
      </c>
      <c r="B14023" s="27" t="s">
        <v>34</v>
      </c>
      <c r="C14023" s="27" t="s">
        <v>50</v>
      </c>
      <c r="D14023" s="27" t="s">
        <v>6</v>
      </c>
      <c r="E14023" s="27" t="s">
        <v>206</v>
      </c>
      <c r="F14023" s="29"/>
      <c r="G14023" s="30">
        <v>273.50799999999998</v>
      </c>
    </row>
    <row r="14024" spans="1:7" hidden="1" x14ac:dyDescent="0.25">
      <c r="A14024" s="28">
        <v>44713</v>
      </c>
      <c r="B14024" s="27" t="s">
        <v>33</v>
      </c>
      <c r="C14024" s="27" t="s">
        <v>50</v>
      </c>
      <c r="D14024" s="27" t="s">
        <v>7</v>
      </c>
      <c r="E14024" s="27" t="s">
        <v>8</v>
      </c>
      <c r="F14024" s="29"/>
      <c r="G14024" s="30">
        <v>3099.6857142857143</v>
      </c>
    </row>
    <row r="14025" spans="1:7" hidden="1" x14ac:dyDescent="0.25">
      <c r="A14025" s="28">
        <v>44713</v>
      </c>
      <c r="B14025" s="27" t="s">
        <v>33</v>
      </c>
      <c r="C14025" s="27" t="s">
        <v>50</v>
      </c>
      <c r="D14025" s="27" t="s">
        <v>7</v>
      </c>
      <c r="E14025" s="27" t="s">
        <v>9</v>
      </c>
      <c r="F14025" s="29"/>
      <c r="G14025" s="30">
        <v>3099.6857142857143</v>
      </c>
    </row>
    <row r="14026" spans="1:7" hidden="1" x14ac:dyDescent="0.25">
      <c r="A14026" s="28">
        <v>44713</v>
      </c>
      <c r="B14026" s="27" t="s">
        <v>33</v>
      </c>
      <c r="C14026" s="27" t="s">
        <v>50</v>
      </c>
      <c r="D14026" s="27" t="s">
        <v>7</v>
      </c>
      <c r="E14026" s="27" t="s">
        <v>22</v>
      </c>
      <c r="F14026" s="29"/>
      <c r="G14026" s="30">
        <v>3099.6857142857143</v>
      </c>
    </row>
    <row r="14027" spans="1:7" hidden="1" x14ac:dyDescent="0.25">
      <c r="A14027" s="28">
        <v>44713</v>
      </c>
      <c r="B14027" s="27" t="s">
        <v>33</v>
      </c>
      <c r="C14027" s="27" t="s">
        <v>50</v>
      </c>
      <c r="D14027" s="27" t="s">
        <v>7</v>
      </c>
      <c r="E14027" s="27" t="s">
        <v>39</v>
      </c>
      <c r="F14027" s="29"/>
      <c r="G14027" s="30">
        <v>3099.6857142857143</v>
      </c>
    </row>
    <row r="14028" spans="1:7" hidden="1" x14ac:dyDescent="0.25">
      <c r="A14028" s="28">
        <v>44713</v>
      </c>
      <c r="B14028" s="27" t="s">
        <v>33</v>
      </c>
      <c r="C14028" s="27" t="s">
        <v>50</v>
      </c>
      <c r="D14028" s="27" t="s">
        <v>7</v>
      </c>
      <c r="E14028" s="27" t="s">
        <v>64</v>
      </c>
      <c r="F14028" s="29"/>
      <c r="G14028" s="30">
        <v>3099.6857142857143</v>
      </c>
    </row>
    <row r="14029" spans="1:7" hidden="1" x14ac:dyDescent="0.25">
      <c r="A14029" s="28">
        <v>44713</v>
      </c>
      <c r="B14029" s="27" t="s">
        <v>33</v>
      </c>
      <c r="C14029" s="27" t="s">
        <v>50</v>
      </c>
      <c r="D14029" s="27" t="s">
        <v>7</v>
      </c>
      <c r="E14029" s="27" t="s">
        <v>21</v>
      </c>
      <c r="F14029" s="29"/>
      <c r="G14029" s="30">
        <v>3099.6857142857143</v>
      </c>
    </row>
    <row r="14030" spans="1:7" hidden="1" x14ac:dyDescent="0.25">
      <c r="A14030" s="28">
        <v>44713</v>
      </c>
      <c r="B14030" s="27" t="s">
        <v>33</v>
      </c>
      <c r="C14030" s="27" t="s">
        <v>50</v>
      </c>
      <c r="D14030" s="27" t="s">
        <v>7</v>
      </c>
      <c r="E14030" s="27" t="s">
        <v>41</v>
      </c>
      <c r="F14030" s="29"/>
      <c r="G14030" s="30">
        <v>3099.6857142857143</v>
      </c>
    </row>
    <row r="14031" spans="1:7" hidden="1" x14ac:dyDescent="0.25">
      <c r="A14031" s="28">
        <v>44713</v>
      </c>
      <c r="B14031" s="27" t="s">
        <v>33</v>
      </c>
      <c r="C14031" s="27" t="s">
        <v>50</v>
      </c>
      <c r="D14031" s="27" t="s">
        <v>7</v>
      </c>
      <c r="E14031" s="27" t="s">
        <v>10</v>
      </c>
      <c r="F14031" s="29"/>
      <c r="G14031" s="30">
        <v>3099.6857142857143</v>
      </c>
    </row>
    <row r="14032" spans="1:7" hidden="1" x14ac:dyDescent="0.25">
      <c r="A14032" s="28">
        <v>44713</v>
      </c>
      <c r="B14032" s="27" t="s">
        <v>33</v>
      </c>
      <c r="C14032" s="27" t="s">
        <v>50</v>
      </c>
      <c r="D14032" s="27" t="s">
        <v>7</v>
      </c>
      <c r="E14032" s="27" t="s">
        <v>11</v>
      </c>
      <c r="F14032" s="29"/>
      <c r="G14032" s="30">
        <v>3099.6857142857143</v>
      </c>
    </row>
    <row r="14033" spans="1:7" hidden="1" x14ac:dyDescent="0.25">
      <c r="A14033" s="28">
        <v>44713</v>
      </c>
      <c r="B14033" s="27" t="s">
        <v>33</v>
      </c>
      <c r="C14033" s="27" t="s">
        <v>50</v>
      </c>
      <c r="D14033" s="27" t="s">
        <v>7</v>
      </c>
      <c r="E14033" s="27" t="s">
        <v>12</v>
      </c>
      <c r="F14033" s="29"/>
      <c r="G14033" s="30">
        <v>3099.6857142857143</v>
      </c>
    </row>
    <row r="14034" spans="1:7" hidden="1" x14ac:dyDescent="0.25">
      <c r="A14034" s="28">
        <v>44713</v>
      </c>
      <c r="B14034" s="27" t="s">
        <v>33</v>
      </c>
      <c r="C14034" s="27" t="s">
        <v>50</v>
      </c>
      <c r="D14034" s="27" t="s">
        <v>7</v>
      </c>
      <c r="E14034" s="27" t="s">
        <v>13</v>
      </c>
      <c r="F14034" s="29"/>
      <c r="G14034" s="30">
        <v>3099.6857142857143</v>
      </c>
    </row>
    <row r="14035" spans="1:7" hidden="1" x14ac:dyDescent="0.25">
      <c r="A14035" s="28">
        <v>44713</v>
      </c>
      <c r="B14035" s="27" t="s">
        <v>33</v>
      </c>
      <c r="C14035" s="27" t="s">
        <v>50</v>
      </c>
      <c r="D14035" s="27" t="s">
        <v>7</v>
      </c>
      <c r="E14035" s="27" t="s">
        <v>14</v>
      </c>
      <c r="F14035" s="29"/>
      <c r="G14035" s="30">
        <v>3099.6857142857143</v>
      </c>
    </row>
    <row r="14036" spans="1:7" hidden="1" x14ac:dyDescent="0.25">
      <c r="A14036" s="28">
        <v>44713</v>
      </c>
      <c r="B14036" s="27" t="s">
        <v>33</v>
      </c>
      <c r="C14036" s="27" t="s">
        <v>50</v>
      </c>
      <c r="D14036" s="27" t="s">
        <v>7</v>
      </c>
      <c r="E14036" s="27" t="s">
        <v>15</v>
      </c>
      <c r="F14036" s="29"/>
      <c r="G14036" s="30">
        <v>3099.6857142857143</v>
      </c>
    </row>
    <row r="14037" spans="1:7" hidden="1" x14ac:dyDescent="0.25">
      <c r="A14037" s="28">
        <v>44713</v>
      </c>
      <c r="B14037" s="27" t="s">
        <v>33</v>
      </c>
      <c r="C14037" s="27" t="s">
        <v>50</v>
      </c>
      <c r="D14037" s="27" t="s">
        <v>7</v>
      </c>
      <c r="E14037" s="27" t="s">
        <v>16</v>
      </c>
      <c r="F14037" s="29"/>
      <c r="G14037" s="30">
        <v>3099.6857142857143</v>
      </c>
    </row>
    <row r="14038" spans="1:7" hidden="1" x14ac:dyDescent="0.25">
      <c r="A14038" s="28">
        <v>44713</v>
      </c>
      <c r="B14038" s="27" t="s">
        <v>33</v>
      </c>
      <c r="C14038" s="27" t="s">
        <v>50</v>
      </c>
      <c r="D14038" s="27" t="s">
        <v>7</v>
      </c>
      <c r="E14038" s="27" t="s">
        <v>17</v>
      </c>
      <c r="F14038" s="29"/>
      <c r="G14038" s="30">
        <v>3099.6857142857143</v>
      </c>
    </row>
    <row r="14039" spans="1:7" hidden="1" x14ac:dyDescent="0.25">
      <c r="A14039" s="28">
        <v>44713</v>
      </c>
      <c r="B14039" s="27" t="s">
        <v>33</v>
      </c>
      <c r="C14039" s="27" t="s">
        <v>50</v>
      </c>
      <c r="D14039" s="27" t="s">
        <v>7</v>
      </c>
      <c r="E14039" s="27" t="s">
        <v>18</v>
      </c>
      <c r="F14039" s="29"/>
      <c r="G14039" s="30">
        <v>3099.6857142857143</v>
      </c>
    </row>
    <row r="14040" spans="1:7" hidden="1" x14ac:dyDescent="0.25">
      <c r="A14040" s="28">
        <v>44713</v>
      </c>
      <c r="B14040" s="27" t="s">
        <v>33</v>
      </c>
      <c r="C14040" s="27" t="s">
        <v>50</v>
      </c>
      <c r="D14040" s="27" t="s">
        <v>7</v>
      </c>
      <c r="E14040" s="27" t="s">
        <v>19</v>
      </c>
      <c r="F14040" s="29"/>
      <c r="G14040" s="30">
        <v>3099.6857142857143</v>
      </c>
    </row>
    <row r="14041" spans="1:7" hidden="1" x14ac:dyDescent="0.25">
      <c r="A14041" s="28">
        <v>44713</v>
      </c>
      <c r="B14041" s="27" t="s">
        <v>33</v>
      </c>
      <c r="C14041" s="27" t="s">
        <v>50</v>
      </c>
      <c r="D14041" s="27" t="s">
        <v>7</v>
      </c>
      <c r="E14041" s="27" t="s">
        <v>20</v>
      </c>
      <c r="F14041" s="29"/>
      <c r="G14041" s="30">
        <v>3099.6857142857143</v>
      </c>
    </row>
    <row r="14042" spans="1:7" hidden="1" x14ac:dyDescent="0.25">
      <c r="A14042" s="28">
        <v>44713</v>
      </c>
      <c r="B14042" s="27" t="s">
        <v>33</v>
      </c>
      <c r="C14042" s="27" t="s">
        <v>50</v>
      </c>
      <c r="D14042" s="27" t="s">
        <v>7</v>
      </c>
      <c r="E14042" s="27" t="s">
        <v>38</v>
      </c>
      <c r="F14042" s="29"/>
      <c r="G14042" s="30">
        <v>3099.6857142857143</v>
      </c>
    </row>
    <row r="14043" spans="1:7" hidden="1" x14ac:dyDescent="0.25">
      <c r="A14043" s="28">
        <v>44713</v>
      </c>
      <c r="B14043" s="27" t="s">
        <v>33</v>
      </c>
      <c r="C14043" s="27" t="s">
        <v>50</v>
      </c>
      <c r="D14043" s="27" t="s">
        <v>7</v>
      </c>
      <c r="E14043" s="27" t="s">
        <v>23</v>
      </c>
      <c r="F14043" s="29"/>
      <c r="G14043" s="30">
        <v>3099.6857142857143</v>
      </c>
    </row>
    <row r="14044" spans="1:7" hidden="1" x14ac:dyDescent="0.25">
      <c r="A14044" s="28">
        <v>44713</v>
      </c>
      <c r="B14044" s="27" t="s">
        <v>33</v>
      </c>
      <c r="C14044" s="27" t="s">
        <v>50</v>
      </c>
      <c r="D14044" s="27" t="s">
        <v>7</v>
      </c>
      <c r="E14044" s="27" t="s">
        <v>40</v>
      </c>
      <c r="F14044" s="29"/>
      <c r="G14044" s="30">
        <v>3099.6857142857143</v>
      </c>
    </row>
    <row r="14045" spans="1:7" hidden="1" x14ac:dyDescent="0.25">
      <c r="A14045" s="28">
        <v>44713</v>
      </c>
      <c r="B14045" s="27" t="s">
        <v>33</v>
      </c>
      <c r="C14045" s="27" t="s">
        <v>50</v>
      </c>
      <c r="D14045" s="27" t="s">
        <v>7</v>
      </c>
      <c r="E14045" s="27" t="s">
        <v>42</v>
      </c>
      <c r="F14045" s="29"/>
      <c r="G14045" s="30">
        <v>3099.6857142857143</v>
      </c>
    </row>
    <row r="14046" spans="1:7" hidden="1" x14ac:dyDescent="0.25">
      <c r="A14046" s="28">
        <v>44713</v>
      </c>
      <c r="B14046" s="27" t="s">
        <v>33</v>
      </c>
      <c r="C14046" s="27" t="s">
        <v>50</v>
      </c>
      <c r="D14046" s="27" t="s">
        <v>7</v>
      </c>
      <c r="E14046" s="27" t="s">
        <v>43</v>
      </c>
      <c r="F14046" s="29"/>
      <c r="G14046" s="30">
        <v>3099.6857142857143</v>
      </c>
    </row>
    <row r="14047" spans="1:7" hidden="1" x14ac:dyDescent="0.25">
      <c r="A14047" s="28">
        <v>44713</v>
      </c>
      <c r="B14047" s="27" t="s">
        <v>33</v>
      </c>
      <c r="C14047" s="27" t="s">
        <v>50</v>
      </c>
      <c r="D14047" s="27" t="s">
        <v>7</v>
      </c>
      <c r="E14047" s="27" t="s">
        <v>72</v>
      </c>
      <c r="F14047" s="29"/>
      <c r="G14047" s="30">
        <v>3099.6857142857143</v>
      </c>
    </row>
    <row r="14048" spans="1:7" hidden="1" x14ac:dyDescent="0.25">
      <c r="A14048" s="28">
        <v>44713</v>
      </c>
      <c r="B14048" s="27" t="s">
        <v>33</v>
      </c>
      <c r="C14048" s="27" t="s">
        <v>50</v>
      </c>
      <c r="D14048" s="27" t="s">
        <v>7</v>
      </c>
      <c r="E14048" s="27" t="s">
        <v>206</v>
      </c>
      <c r="F14048" s="29"/>
      <c r="G14048" s="30">
        <v>3099.6857142857143</v>
      </c>
    </row>
    <row r="14049" spans="1:7" hidden="1" x14ac:dyDescent="0.25">
      <c r="A14049" s="28">
        <v>44713</v>
      </c>
      <c r="B14049" s="27" t="s">
        <v>33</v>
      </c>
      <c r="C14049" s="27" t="s">
        <v>50</v>
      </c>
      <c r="D14049" s="27" t="s">
        <v>7</v>
      </c>
      <c r="E14049" s="27" t="s">
        <v>67</v>
      </c>
      <c r="F14049" s="29"/>
      <c r="G14049" s="30">
        <v>3099.6857142857143</v>
      </c>
    </row>
    <row r="14050" spans="1:7" hidden="1" x14ac:dyDescent="0.25">
      <c r="A14050" s="28">
        <v>44713</v>
      </c>
      <c r="B14050" s="27" t="s">
        <v>33</v>
      </c>
      <c r="C14050" s="27" t="s">
        <v>50</v>
      </c>
      <c r="D14050" s="27" t="s">
        <v>7</v>
      </c>
      <c r="E14050" s="27" t="s">
        <v>68</v>
      </c>
      <c r="F14050" s="29"/>
      <c r="G14050" s="30">
        <v>3099.6857142857143</v>
      </c>
    </row>
    <row r="14051" spans="1:7" hidden="1" x14ac:dyDescent="0.25">
      <c r="A14051" s="28">
        <v>44713</v>
      </c>
      <c r="B14051" s="27" t="s">
        <v>33</v>
      </c>
      <c r="C14051" s="27" t="s">
        <v>50</v>
      </c>
      <c r="D14051" s="27" t="s">
        <v>7</v>
      </c>
      <c r="E14051" s="27" t="s">
        <v>74</v>
      </c>
      <c r="F14051" s="29"/>
      <c r="G14051" s="30">
        <v>3099.6857142857143</v>
      </c>
    </row>
    <row r="14052" spans="1:7" hidden="1" x14ac:dyDescent="0.25">
      <c r="A14052" s="28">
        <v>44713</v>
      </c>
      <c r="B14052" s="27" t="s">
        <v>4</v>
      </c>
      <c r="C14052" s="27" t="s">
        <v>50</v>
      </c>
      <c r="D14052" s="27" t="s">
        <v>7</v>
      </c>
      <c r="E14052" s="27" t="s">
        <v>8</v>
      </c>
      <c r="F14052" s="29"/>
      <c r="G14052" s="30">
        <v>2389.4899999999998</v>
      </c>
    </row>
    <row r="14053" spans="1:7" hidden="1" x14ac:dyDescent="0.25">
      <c r="A14053" s="28">
        <v>44713</v>
      </c>
      <c r="B14053" s="27" t="s">
        <v>4</v>
      </c>
      <c r="C14053" s="27" t="s">
        <v>50</v>
      </c>
      <c r="D14053" s="27" t="s">
        <v>7</v>
      </c>
      <c r="E14053" s="27" t="s">
        <v>9</v>
      </c>
      <c r="F14053" s="29"/>
      <c r="G14053" s="30">
        <f>115293.33/13</f>
        <v>8868.7176923076931</v>
      </c>
    </row>
    <row r="14054" spans="1:7" hidden="1" x14ac:dyDescent="0.25">
      <c r="A14054" s="28">
        <v>44713</v>
      </c>
      <c r="B14054" s="27" t="s">
        <v>4</v>
      </c>
      <c r="C14054" s="27" t="s">
        <v>50</v>
      </c>
      <c r="D14054" s="27" t="s">
        <v>7</v>
      </c>
      <c r="E14054" s="27" t="s">
        <v>22</v>
      </c>
      <c r="F14054" s="29"/>
      <c r="G14054" s="30">
        <f>115293.33/13</f>
        <v>8868.7176923076931</v>
      </c>
    </row>
    <row r="14055" spans="1:7" hidden="1" x14ac:dyDescent="0.25">
      <c r="A14055" s="28">
        <v>44713</v>
      </c>
      <c r="B14055" s="27" t="s">
        <v>4</v>
      </c>
      <c r="C14055" s="27" t="s">
        <v>50</v>
      </c>
      <c r="D14055" s="27" t="s">
        <v>7</v>
      </c>
      <c r="E14055" s="27" t="s">
        <v>39</v>
      </c>
      <c r="F14055" s="29"/>
      <c r="G14055" s="30">
        <v>835.95</v>
      </c>
    </row>
    <row r="14056" spans="1:7" hidden="1" x14ac:dyDescent="0.25">
      <c r="A14056" s="28">
        <v>44713</v>
      </c>
      <c r="B14056" s="27" t="s">
        <v>4</v>
      </c>
      <c r="C14056" s="27" t="s">
        <v>50</v>
      </c>
      <c r="D14056" s="27" t="s">
        <v>7</v>
      </c>
      <c r="E14056" s="27" t="s">
        <v>64</v>
      </c>
      <c r="F14056" s="29"/>
      <c r="G14056" s="30">
        <f>115293.33/13</f>
        <v>8868.7176923076931</v>
      </c>
    </row>
    <row r="14057" spans="1:7" hidden="1" x14ac:dyDescent="0.25">
      <c r="A14057" s="28">
        <v>44713</v>
      </c>
      <c r="B14057" s="27" t="s">
        <v>4</v>
      </c>
      <c r="C14057" s="27" t="s">
        <v>50</v>
      </c>
      <c r="D14057" s="27" t="s">
        <v>7</v>
      </c>
      <c r="E14057" s="27" t="s">
        <v>21</v>
      </c>
      <c r="F14057" s="29"/>
      <c r="G14057" s="30">
        <v>1616.35</v>
      </c>
    </row>
    <row r="14058" spans="1:7" hidden="1" x14ac:dyDescent="0.25">
      <c r="A14058" s="28">
        <v>44713</v>
      </c>
      <c r="B14058" s="27" t="s">
        <v>4</v>
      </c>
      <c r="C14058" s="27" t="s">
        <v>50</v>
      </c>
      <c r="D14058" s="27" t="s">
        <v>7</v>
      </c>
      <c r="E14058" s="27" t="s">
        <v>41</v>
      </c>
      <c r="F14058" s="29"/>
      <c r="G14058" s="30">
        <v>2926.78</v>
      </c>
    </row>
    <row r="14059" spans="1:7" hidden="1" x14ac:dyDescent="0.25">
      <c r="A14059" s="28">
        <v>44713</v>
      </c>
      <c r="B14059" s="27" t="s">
        <v>4</v>
      </c>
      <c r="C14059" s="27" t="s">
        <v>50</v>
      </c>
      <c r="D14059" s="27" t="s">
        <v>7</v>
      </c>
      <c r="E14059" s="27" t="s">
        <v>10</v>
      </c>
      <c r="F14059" s="29"/>
      <c r="G14059" s="30">
        <v>1575.97</v>
      </c>
    </row>
    <row r="14060" spans="1:7" hidden="1" x14ac:dyDescent="0.25">
      <c r="A14060" s="28">
        <v>44713</v>
      </c>
      <c r="B14060" s="27" t="s">
        <v>4</v>
      </c>
      <c r="C14060" s="27" t="s">
        <v>50</v>
      </c>
      <c r="D14060" s="27" t="s">
        <v>7</v>
      </c>
      <c r="E14060" s="27" t="s">
        <v>11</v>
      </c>
      <c r="F14060" s="29"/>
      <c r="G14060" s="30">
        <f>115293.33/13</f>
        <v>8868.7176923076931</v>
      </c>
    </row>
    <row r="14061" spans="1:7" hidden="1" x14ac:dyDescent="0.25">
      <c r="A14061" s="28">
        <v>44713</v>
      </c>
      <c r="B14061" s="27" t="s">
        <v>4</v>
      </c>
      <c r="C14061" s="27" t="s">
        <v>50</v>
      </c>
      <c r="D14061" s="27" t="s">
        <v>7</v>
      </c>
      <c r="E14061" s="27" t="s">
        <v>12</v>
      </c>
      <c r="F14061" s="29"/>
      <c r="G14061" s="30">
        <v>671.57</v>
      </c>
    </row>
    <row r="14062" spans="1:7" hidden="1" x14ac:dyDescent="0.25">
      <c r="A14062" s="28">
        <v>44713</v>
      </c>
      <c r="B14062" s="27" t="s">
        <v>4</v>
      </c>
      <c r="C14062" s="27" t="s">
        <v>50</v>
      </c>
      <c r="D14062" s="27" t="s">
        <v>7</v>
      </c>
      <c r="E14062" s="27" t="s">
        <v>13</v>
      </c>
      <c r="F14062" s="29"/>
      <c r="G14062" s="30">
        <v>10044.11</v>
      </c>
    </row>
    <row r="14063" spans="1:7" hidden="1" x14ac:dyDescent="0.25">
      <c r="A14063" s="28">
        <v>44713</v>
      </c>
      <c r="B14063" s="27" t="s">
        <v>4</v>
      </c>
      <c r="C14063" s="27" t="s">
        <v>50</v>
      </c>
      <c r="D14063" s="27" t="s">
        <v>7</v>
      </c>
      <c r="E14063" s="27" t="s">
        <v>14</v>
      </c>
      <c r="F14063" s="29"/>
      <c r="G14063" s="30">
        <v>1118.93</v>
      </c>
    </row>
    <row r="14064" spans="1:7" hidden="1" x14ac:dyDescent="0.25">
      <c r="A14064" s="28">
        <v>44713</v>
      </c>
      <c r="B14064" s="27" t="s">
        <v>4</v>
      </c>
      <c r="C14064" s="27" t="s">
        <v>50</v>
      </c>
      <c r="D14064" s="27" t="s">
        <v>7</v>
      </c>
      <c r="E14064" s="27" t="s">
        <v>15</v>
      </c>
      <c r="F14064" s="29"/>
      <c r="G14064" s="30">
        <v>1497.59</v>
      </c>
    </row>
    <row r="14065" spans="1:7" hidden="1" x14ac:dyDescent="0.25">
      <c r="A14065" s="28">
        <v>44713</v>
      </c>
      <c r="B14065" s="27" t="s">
        <v>4</v>
      </c>
      <c r="C14065" s="27" t="s">
        <v>50</v>
      </c>
      <c r="D14065" s="27" t="s">
        <v>7</v>
      </c>
      <c r="E14065" s="27" t="s">
        <v>16</v>
      </c>
      <c r="F14065" s="29"/>
      <c r="G14065" s="30">
        <f>115293.33/13</f>
        <v>8868.7176923076931</v>
      </c>
    </row>
    <row r="14066" spans="1:7" hidden="1" x14ac:dyDescent="0.25">
      <c r="A14066" s="28">
        <v>44713</v>
      </c>
      <c r="B14066" s="27" t="s">
        <v>4</v>
      </c>
      <c r="C14066" s="27" t="s">
        <v>50</v>
      </c>
      <c r="D14066" s="27" t="s">
        <v>7</v>
      </c>
      <c r="E14066" s="27" t="s">
        <v>17</v>
      </c>
      <c r="F14066" s="29"/>
      <c r="G14066" s="30">
        <v>3244.14</v>
      </c>
    </row>
    <row r="14067" spans="1:7" hidden="1" x14ac:dyDescent="0.25">
      <c r="A14067" s="28">
        <v>44713</v>
      </c>
      <c r="B14067" s="27" t="s">
        <v>4</v>
      </c>
      <c r="C14067" s="27" t="s">
        <v>50</v>
      </c>
      <c r="D14067" s="27" t="s">
        <v>7</v>
      </c>
      <c r="E14067" s="27" t="s">
        <v>18</v>
      </c>
      <c r="F14067" s="29"/>
      <c r="G14067" s="30">
        <f>115293.33/13</f>
        <v>8868.7176923076931</v>
      </c>
    </row>
    <row r="14068" spans="1:7" hidden="1" x14ac:dyDescent="0.25">
      <c r="A14068" s="28">
        <v>44713</v>
      </c>
      <c r="B14068" s="27" t="s">
        <v>4</v>
      </c>
      <c r="C14068" s="27" t="s">
        <v>50</v>
      </c>
      <c r="D14068" s="27" t="s">
        <v>7</v>
      </c>
      <c r="E14068" s="27" t="s">
        <v>19</v>
      </c>
      <c r="F14068" s="29"/>
      <c r="G14068" s="30">
        <v>2745.81</v>
      </c>
    </row>
    <row r="14069" spans="1:7" hidden="1" x14ac:dyDescent="0.25">
      <c r="A14069" s="28">
        <v>44713</v>
      </c>
      <c r="B14069" s="27" t="s">
        <v>4</v>
      </c>
      <c r="C14069" s="27" t="s">
        <v>50</v>
      </c>
      <c r="D14069" s="27" t="s">
        <v>7</v>
      </c>
      <c r="E14069" s="27" t="s">
        <v>20</v>
      </c>
      <c r="F14069" s="29"/>
      <c r="G14069" s="30">
        <v>498.48</v>
      </c>
    </row>
    <row r="14070" spans="1:7" hidden="1" x14ac:dyDescent="0.25">
      <c r="A14070" s="28">
        <v>44713</v>
      </c>
      <c r="B14070" s="27" t="s">
        <v>4</v>
      </c>
      <c r="C14070" s="27" t="s">
        <v>50</v>
      </c>
      <c r="D14070" s="27" t="s">
        <v>7</v>
      </c>
      <c r="E14070" s="27" t="s">
        <v>38</v>
      </c>
      <c r="F14070" s="29"/>
      <c r="G14070" s="30">
        <f>115293.33/13</f>
        <v>8868.7176923076931</v>
      </c>
    </row>
    <row r="14071" spans="1:7" hidden="1" x14ac:dyDescent="0.25">
      <c r="A14071" s="28">
        <v>44713</v>
      </c>
      <c r="B14071" s="27" t="s">
        <v>4</v>
      </c>
      <c r="C14071" s="27" t="s">
        <v>50</v>
      </c>
      <c r="D14071" s="27" t="s">
        <v>7</v>
      </c>
      <c r="E14071" s="27" t="s">
        <v>23</v>
      </c>
      <c r="F14071" s="29"/>
      <c r="G14071" s="30">
        <v>1000.5799999999999</v>
      </c>
    </row>
    <row r="14072" spans="1:7" hidden="1" x14ac:dyDescent="0.25">
      <c r="A14072" s="28">
        <v>44713</v>
      </c>
      <c r="B14072" s="27" t="s">
        <v>4</v>
      </c>
      <c r="C14072" s="27" t="s">
        <v>50</v>
      </c>
      <c r="D14072" s="27" t="s">
        <v>7</v>
      </c>
      <c r="E14072" s="27" t="s">
        <v>40</v>
      </c>
      <c r="F14072" s="29"/>
      <c r="G14072" s="30">
        <v>3688.34</v>
      </c>
    </row>
    <row r="14073" spans="1:7" hidden="1" x14ac:dyDescent="0.25">
      <c r="A14073" s="28">
        <v>44713</v>
      </c>
      <c r="B14073" s="27" t="s">
        <v>4</v>
      </c>
      <c r="C14073" s="27" t="s">
        <v>50</v>
      </c>
      <c r="D14073" s="27" t="s">
        <v>7</v>
      </c>
      <c r="E14073" s="27" t="s">
        <v>42</v>
      </c>
      <c r="F14073" s="29"/>
      <c r="G14073" s="30">
        <f>115293.33/13</f>
        <v>8868.7176923076931</v>
      </c>
    </row>
    <row r="14074" spans="1:7" hidden="1" x14ac:dyDescent="0.25">
      <c r="A14074" s="28">
        <v>44713</v>
      </c>
      <c r="B14074" s="27" t="s">
        <v>4</v>
      </c>
      <c r="C14074" s="27" t="s">
        <v>50</v>
      </c>
      <c r="D14074" s="27" t="s">
        <v>7</v>
      </c>
      <c r="E14074" s="27" t="s">
        <v>43</v>
      </c>
      <c r="F14074" s="29"/>
      <c r="G14074" s="30">
        <v>224.02</v>
      </c>
    </row>
    <row r="14075" spans="1:7" hidden="1" x14ac:dyDescent="0.25">
      <c r="A14075" s="28">
        <v>44713</v>
      </c>
      <c r="B14075" s="27" t="s">
        <v>4</v>
      </c>
      <c r="C14075" s="27" t="s">
        <v>50</v>
      </c>
      <c r="D14075" s="27" t="s">
        <v>7</v>
      </c>
      <c r="E14075" s="27" t="s">
        <v>72</v>
      </c>
      <c r="F14075" s="29"/>
      <c r="G14075" s="30">
        <f>115293.33/13</f>
        <v>8868.7176923076931</v>
      </c>
    </row>
    <row r="14076" spans="1:7" hidden="1" x14ac:dyDescent="0.25">
      <c r="A14076" s="28">
        <v>44713</v>
      </c>
      <c r="B14076" s="27" t="s">
        <v>4</v>
      </c>
      <c r="C14076" s="27" t="s">
        <v>50</v>
      </c>
      <c r="D14076" s="27" t="s">
        <v>7</v>
      </c>
      <c r="E14076" s="27" t="s">
        <v>206</v>
      </c>
      <c r="F14076" s="29"/>
      <c r="G14076" s="30">
        <f>115293.33/13</f>
        <v>8868.7176923076931</v>
      </c>
    </row>
    <row r="14077" spans="1:7" hidden="1" x14ac:dyDescent="0.25">
      <c r="A14077" s="28">
        <v>44713</v>
      </c>
      <c r="B14077" s="27" t="s">
        <v>4</v>
      </c>
      <c r="C14077" s="27" t="s">
        <v>50</v>
      </c>
      <c r="D14077" s="27" t="s">
        <v>7</v>
      </c>
      <c r="E14077" s="27" t="s">
        <v>67</v>
      </c>
      <c r="F14077" s="29"/>
      <c r="G14077" s="30">
        <f>115293.33/13</f>
        <v>8868.7176923076931</v>
      </c>
    </row>
    <row r="14078" spans="1:7" hidden="1" x14ac:dyDescent="0.25">
      <c r="A14078" s="28">
        <v>44713</v>
      </c>
      <c r="B14078" s="27" t="s">
        <v>4</v>
      </c>
      <c r="C14078" s="27" t="s">
        <v>50</v>
      </c>
      <c r="D14078" s="27" t="s">
        <v>7</v>
      </c>
      <c r="E14078" s="27" t="s">
        <v>68</v>
      </c>
      <c r="F14078" s="29"/>
      <c r="G14078" s="30">
        <f>115293.33/13</f>
        <v>8868.7176923076931</v>
      </c>
    </row>
    <row r="14079" spans="1:7" hidden="1" x14ac:dyDescent="0.25">
      <c r="A14079" s="28">
        <v>44713</v>
      </c>
      <c r="B14079" s="27" t="s">
        <v>4</v>
      </c>
      <c r="C14079" s="27" t="s">
        <v>50</v>
      </c>
      <c r="D14079" s="27" t="s">
        <v>7</v>
      </c>
      <c r="E14079" s="27" t="s">
        <v>74</v>
      </c>
      <c r="F14079" s="29"/>
      <c r="G14079" s="30">
        <f>115293.33/13</f>
        <v>8868.7176923076931</v>
      </c>
    </row>
    <row r="14080" spans="1:7" hidden="1" x14ac:dyDescent="0.25">
      <c r="A14080" s="28">
        <v>44713</v>
      </c>
      <c r="B14080" s="27" t="s">
        <v>26</v>
      </c>
      <c r="C14080" s="27" t="s">
        <v>50</v>
      </c>
      <c r="D14080" s="27" t="s">
        <v>6</v>
      </c>
      <c r="E14080" s="27" t="s">
        <v>8</v>
      </c>
      <c r="F14080" s="29"/>
      <c r="G14080" s="30">
        <v>719.18234681218985</v>
      </c>
    </row>
    <row r="14081" spans="1:7" hidden="1" x14ac:dyDescent="0.25">
      <c r="A14081" s="28">
        <v>44713</v>
      </c>
      <c r="B14081" s="27" t="s">
        <v>26</v>
      </c>
      <c r="C14081" s="27" t="s">
        <v>50</v>
      </c>
      <c r="D14081" s="27" t="s">
        <v>6</v>
      </c>
      <c r="E14081" s="27" t="s">
        <v>9</v>
      </c>
      <c r="F14081" s="29"/>
      <c r="G14081" s="30">
        <v>1595.1320615825009</v>
      </c>
    </row>
    <row r="14082" spans="1:7" hidden="1" x14ac:dyDescent="0.25">
      <c r="A14082" s="28">
        <v>44713</v>
      </c>
      <c r="B14082" s="27" t="s">
        <v>26</v>
      </c>
      <c r="C14082" s="27" t="s">
        <v>50</v>
      </c>
      <c r="D14082" s="27" t="s">
        <v>6</v>
      </c>
      <c r="E14082" s="27" t="s">
        <v>22</v>
      </c>
      <c r="F14082" s="29"/>
      <c r="G14082" s="30">
        <v>2121.8036778000037</v>
      </c>
    </row>
    <row r="14083" spans="1:7" hidden="1" x14ac:dyDescent="0.25">
      <c r="A14083" s="28">
        <v>44713</v>
      </c>
      <c r="B14083" s="27" t="s">
        <v>26</v>
      </c>
      <c r="C14083" s="27" t="s">
        <v>50</v>
      </c>
      <c r="D14083" s="27" t="s">
        <v>6</v>
      </c>
      <c r="E14083" s="27" t="s">
        <v>39</v>
      </c>
      <c r="F14083" s="29"/>
      <c r="G14083" s="30">
        <v>1858.2521149872089</v>
      </c>
    </row>
    <row r="14084" spans="1:7" hidden="1" x14ac:dyDescent="0.25">
      <c r="A14084" s="28">
        <v>44713</v>
      </c>
      <c r="B14084" s="27" t="s">
        <v>26</v>
      </c>
      <c r="C14084" s="27" t="s">
        <v>50</v>
      </c>
      <c r="D14084" s="27" t="s">
        <v>6</v>
      </c>
      <c r="E14084" s="27" t="s">
        <v>64</v>
      </c>
      <c r="F14084" s="29"/>
      <c r="G14084" s="30">
        <v>1276.3329108875935</v>
      </c>
    </row>
    <row r="14085" spans="1:7" hidden="1" x14ac:dyDescent="0.25">
      <c r="A14085" s="28">
        <v>44713</v>
      </c>
      <c r="B14085" s="27" t="s">
        <v>26</v>
      </c>
      <c r="C14085" s="27" t="s">
        <v>50</v>
      </c>
      <c r="D14085" s="27" t="s">
        <v>6</v>
      </c>
      <c r="E14085" s="27" t="s">
        <v>21</v>
      </c>
      <c r="F14085" s="29"/>
      <c r="G14085" s="30">
        <v>1372.0704648952321</v>
      </c>
    </row>
    <row r="14086" spans="1:7" hidden="1" x14ac:dyDescent="0.25">
      <c r="A14086" s="28">
        <v>44713</v>
      </c>
      <c r="B14086" s="27" t="s">
        <v>26</v>
      </c>
      <c r="C14086" s="27" t="s">
        <v>50</v>
      </c>
      <c r="D14086" s="27" t="s">
        <v>6</v>
      </c>
      <c r="E14086" s="27" t="s">
        <v>41</v>
      </c>
      <c r="F14086" s="29"/>
      <c r="G14086" s="30">
        <v>1581.4819806400055</v>
      </c>
    </row>
    <row r="14087" spans="1:7" hidden="1" x14ac:dyDescent="0.25">
      <c r="A14087" s="28">
        <v>44713</v>
      </c>
      <c r="B14087" s="27" t="s">
        <v>26</v>
      </c>
      <c r="C14087" s="27" t="s">
        <v>50</v>
      </c>
      <c r="D14087" s="27" t="s">
        <v>6</v>
      </c>
      <c r="E14087" s="27" t="s">
        <v>10</v>
      </c>
      <c r="F14087" s="29"/>
      <c r="G14087" s="30">
        <v>2188.8314725228997</v>
      </c>
    </row>
    <row r="14088" spans="1:7" hidden="1" x14ac:dyDescent="0.25">
      <c r="A14088" s="28">
        <v>44713</v>
      </c>
      <c r="B14088" s="27" t="s">
        <v>26</v>
      </c>
      <c r="C14088" s="27" t="s">
        <v>50</v>
      </c>
      <c r="D14088" s="27" t="s">
        <v>6</v>
      </c>
      <c r="E14088" s="27" t="s">
        <v>11</v>
      </c>
      <c r="F14088" s="29"/>
      <c r="G14088" s="30">
        <v>1627.7110218930932</v>
      </c>
    </row>
    <row r="14089" spans="1:7" hidden="1" x14ac:dyDescent="0.25">
      <c r="A14089" s="28">
        <v>44713</v>
      </c>
      <c r="B14089" s="27" t="s">
        <v>26</v>
      </c>
      <c r="C14089" s="27" t="s">
        <v>50</v>
      </c>
      <c r="D14089" s="27" t="s">
        <v>6</v>
      </c>
      <c r="E14089" s="27" t="s">
        <v>12</v>
      </c>
      <c r="F14089" s="29"/>
      <c r="G14089" s="30">
        <v>1714.4875638594519</v>
      </c>
    </row>
    <row r="14090" spans="1:7" hidden="1" x14ac:dyDescent="0.25">
      <c r="A14090" s="28">
        <v>44713</v>
      </c>
      <c r="B14090" s="27" t="s">
        <v>26</v>
      </c>
      <c r="C14090" s="27" t="s">
        <v>50</v>
      </c>
      <c r="D14090" s="27" t="s">
        <v>6</v>
      </c>
      <c r="E14090" s="27" t="s">
        <v>13</v>
      </c>
      <c r="F14090" s="29"/>
      <c r="G14090" s="30">
        <v>1743.4562287890469</v>
      </c>
    </row>
    <row r="14091" spans="1:7" hidden="1" x14ac:dyDescent="0.25">
      <c r="A14091" s="28">
        <v>44713</v>
      </c>
      <c r="B14091" s="27" t="s">
        <v>26</v>
      </c>
      <c r="C14091" s="27" t="s">
        <v>50</v>
      </c>
      <c r="D14091" s="27" t="s">
        <v>6</v>
      </c>
      <c r="E14091" s="27" t="s">
        <v>14</v>
      </c>
      <c r="F14091" s="29"/>
      <c r="G14091" s="30">
        <v>561.68141286032039</v>
      </c>
    </row>
    <row r="14092" spans="1:7" hidden="1" x14ac:dyDescent="0.25">
      <c r="A14092" s="28">
        <v>44713</v>
      </c>
      <c r="B14092" s="27" t="s">
        <v>26</v>
      </c>
      <c r="C14092" s="27" t="s">
        <v>50</v>
      </c>
      <c r="D14092" s="27" t="s">
        <v>6</v>
      </c>
      <c r="E14092" s="27" t="s">
        <v>15</v>
      </c>
      <c r="F14092" s="29"/>
      <c r="G14092" s="30">
        <v>1903.4886846016955</v>
      </c>
    </row>
    <row r="14093" spans="1:7" hidden="1" x14ac:dyDescent="0.25">
      <c r="A14093" s="28">
        <v>44713</v>
      </c>
      <c r="B14093" s="27" t="s">
        <v>26</v>
      </c>
      <c r="C14093" s="27" t="s">
        <v>50</v>
      </c>
      <c r="D14093" s="27" t="s">
        <v>6</v>
      </c>
      <c r="E14093" s="27" t="s">
        <v>16</v>
      </c>
      <c r="F14093" s="29"/>
      <c r="G14093" s="30">
        <v>2154.0949651718715</v>
      </c>
    </row>
    <row r="14094" spans="1:7" hidden="1" x14ac:dyDescent="0.25">
      <c r="A14094" s="28">
        <v>44713</v>
      </c>
      <c r="B14094" s="27" t="s">
        <v>26</v>
      </c>
      <c r="C14094" s="27" t="s">
        <v>50</v>
      </c>
      <c r="D14094" s="27" t="s">
        <v>6</v>
      </c>
      <c r="E14094" s="27" t="s">
        <v>17</v>
      </c>
      <c r="F14094" s="29"/>
      <c r="G14094" s="30">
        <v>3135.6350321011482</v>
      </c>
    </row>
    <row r="14095" spans="1:7" hidden="1" x14ac:dyDescent="0.25">
      <c r="A14095" s="28">
        <v>44713</v>
      </c>
      <c r="B14095" s="27" t="s">
        <v>26</v>
      </c>
      <c r="C14095" s="27" t="s">
        <v>50</v>
      </c>
      <c r="D14095" s="27" t="s">
        <v>6</v>
      </c>
      <c r="E14095" s="27" t="s">
        <v>18</v>
      </c>
      <c r="F14095" s="29"/>
      <c r="G14095" s="30">
        <v>1603.690331509566</v>
      </c>
    </row>
    <row r="14096" spans="1:7" hidden="1" x14ac:dyDescent="0.25">
      <c r="A14096" s="28">
        <v>44713</v>
      </c>
      <c r="B14096" s="27" t="s">
        <v>26</v>
      </c>
      <c r="C14096" s="27" t="s">
        <v>50</v>
      </c>
      <c r="D14096" s="27" t="s">
        <v>6</v>
      </c>
      <c r="E14096" s="27" t="s">
        <v>19</v>
      </c>
      <c r="F14096" s="29"/>
      <c r="G14096" s="30">
        <v>2421.1417541901737</v>
      </c>
    </row>
    <row r="14097" spans="1:7" hidden="1" x14ac:dyDescent="0.25">
      <c r="A14097" s="28">
        <v>44713</v>
      </c>
      <c r="B14097" s="27" t="s">
        <v>26</v>
      </c>
      <c r="C14097" s="27" t="s">
        <v>50</v>
      </c>
      <c r="D14097" s="27" t="s">
        <v>6</v>
      </c>
      <c r="E14097" s="27" t="s">
        <v>20</v>
      </c>
      <c r="F14097" s="29"/>
      <c r="G14097" s="30">
        <v>1946.4814052941281</v>
      </c>
    </row>
    <row r="14098" spans="1:7" hidden="1" x14ac:dyDescent="0.25">
      <c r="A14098" s="28">
        <v>44713</v>
      </c>
      <c r="B14098" s="27" t="s">
        <v>26</v>
      </c>
      <c r="C14098" s="27" t="s">
        <v>50</v>
      </c>
      <c r="D14098" s="27" t="s">
        <v>6</v>
      </c>
      <c r="E14098" s="27" t="s">
        <v>38</v>
      </c>
      <c r="F14098" s="29"/>
      <c r="G14098" s="30">
        <v>760.63601728244464</v>
      </c>
    </row>
    <row r="14099" spans="1:7" hidden="1" x14ac:dyDescent="0.25">
      <c r="A14099" s="28">
        <v>44713</v>
      </c>
      <c r="B14099" s="27" t="s">
        <v>26</v>
      </c>
      <c r="C14099" s="27" t="s">
        <v>50</v>
      </c>
      <c r="D14099" s="27" t="s">
        <v>6</v>
      </c>
      <c r="E14099" s="27" t="s">
        <v>23</v>
      </c>
      <c r="F14099" s="29"/>
      <c r="G14099" s="30">
        <v>2589.0564485238838</v>
      </c>
    </row>
    <row r="14100" spans="1:7" hidden="1" x14ac:dyDescent="0.25">
      <c r="A14100" s="28">
        <v>44713</v>
      </c>
      <c r="B14100" s="27" t="s">
        <v>26</v>
      </c>
      <c r="C14100" s="27" t="s">
        <v>50</v>
      </c>
      <c r="D14100" s="27" t="s">
        <v>6</v>
      </c>
      <c r="E14100" s="27" t="s">
        <v>40</v>
      </c>
      <c r="F14100" s="29"/>
      <c r="G14100" s="30">
        <v>834.25152230214019</v>
      </c>
    </row>
    <row r="14101" spans="1:7" hidden="1" x14ac:dyDescent="0.25">
      <c r="A14101" s="28">
        <v>44713</v>
      </c>
      <c r="B14101" s="27" t="s">
        <v>26</v>
      </c>
      <c r="C14101" s="27" t="s">
        <v>50</v>
      </c>
      <c r="D14101" s="27" t="s">
        <v>6</v>
      </c>
      <c r="E14101" s="27" t="s">
        <v>42</v>
      </c>
      <c r="F14101" s="29"/>
      <c r="G14101" s="30">
        <v>770.09371289428304</v>
      </c>
    </row>
    <row r="14102" spans="1:7" hidden="1" x14ac:dyDescent="0.25">
      <c r="A14102" s="28">
        <v>44713</v>
      </c>
      <c r="B14102" s="27" t="s">
        <v>26</v>
      </c>
      <c r="C14102" s="27" t="s">
        <v>50</v>
      </c>
      <c r="D14102" s="27" t="s">
        <v>6</v>
      </c>
      <c r="E14102" s="27" t="s">
        <v>43</v>
      </c>
      <c r="F14102" s="29"/>
      <c r="G14102" s="30">
        <v>715.10130483040575</v>
      </c>
    </row>
    <row r="14103" spans="1:7" hidden="1" x14ac:dyDescent="0.25">
      <c r="A14103" s="28">
        <v>44713</v>
      </c>
      <c r="B14103" s="27" t="s">
        <v>26</v>
      </c>
      <c r="C14103" s="27" t="s">
        <v>50</v>
      </c>
      <c r="D14103" s="27" t="s">
        <v>6</v>
      </c>
      <c r="E14103" s="27" t="s">
        <v>72</v>
      </c>
      <c r="F14103" s="29"/>
      <c r="G14103" s="30">
        <v>667.44121784171193</v>
      </c>
    </row>
    <row r="14104" spans="1:7" hidden="1" x14ac:dyDescent="0.25">
      <c r="A14104" s="28">
        <v>44713</v>
      </c>
      <c r="B14104" s="27" t="s">
        <v>26</v>
      </c>
      <c r="C14104" s="27" t="s">
        <v>50</v>
      </c>
      <c r="D14104" s="27" t="s">
        <v>6</v>
      </c>
      <c r="E14104" s="27" t="s">
        <v>206</v>
      </c>
      <c r="F14104" s="29"/>
      <c r="G14104" s="30">
        <v>625.73864172660501</v>
      </c>
    </row>
    <row r="14105" spans="1:7" hidden="1" x14ac:dyDescent="0.25">
      <c r="A14105" s="28">
        <v>44713</v>
      </c>
      <c r="B14105" s="27" t="s">
        <v>26</v>
      </c>
      <c r="C14105" s="27" t="s">
        <v>50</v>
      </c>
      <c r="D14105" s="27" t="s">
        <v>6</v>
      </c>
      <c r="E14105" s="27" t="s">
        <v>67</v>
      </c>
      <c r="F14105" s="29"/>
      <c r="G14105" s="30">
        <v>588.94225103680481</v>
      </c>
    </row>
    <row r="14106" spans="1:7" hidden="1" x14ac:dyDescent="0.25">
      <c r="A14106" s="28">
        <v>44713</v>
      </c>
      <c r="B14106" s="27" t="s">
        <v>26</v>
      </c>
      <c r="C14106" s="27" t="s">
        <v>50</v>
      </c>
      <c r="D14106" s="27" t="s">
        <v>6</v>
      </c>
      <c r="E14106" s="27" t="s">
        <v>68</v>
      </c>
      <c r="F14106" s="29"/>
      <c r="G14106" s="30">
        <v>556.23434820142666</v>
      </c>
    </row>
    <row r="14107" spans="1:7" hidden="1" x14ac:dyDescent="0.25">
      <c r="A14107" s="28">
        <v>44713</v>
      </c>
      <c r="B14107" s="27" t="s">
        <v>26</v>
      </c>
      <c r="C14107" s="27" t="s">
        <v>50</v>
      </c>
      <c r="D14107" s="27" t="s">
        <v>6</v>
      </c>
      <c r="E14107" s="27" t="s">
        <v>74</v>
      </c>
      <c r="F14107" s="29"/>
      <c r="G14107" s="30">
        <v>1778.7894736842106</v>
      </c>
    </row>
    <row r="14108" spans="1:7" hidden="1" x14ac:dyDescent="0.25">
      <c r="A14108" s="28">
        <v>44713</v>
      </c>
      <c r="B14108" s="27" t="s">
        <v>26</v>
      </c>
      <c r="C14108" s="27" t="s">
        <v>50</v>
      </c>
      <c r="D14108" s="27" t="s">
        <v>6</v>
      </c>
      <c r="E14108" s="27" t="s">
        <v>37</v>
      </c>
      <c r="F14108" s="29"/>
      <c r="G14108" s="30">
        <v>791.10058149340887</v>
      </c>
    </row>
    <row r="14109" spans="1:7" hidden="1" x14ac:dyDescent="0.25">
      <c r="A14109" s="28">
        <v>44713</v>
      </c>
      <c r="B14109" s="27" t="s">
        <v>3</v>
      </c>
      <c r="C14109" s="27" t="s">
        <v>50</v>
      </c>
      <c r="D14109" s="27" t="s">
        <v>7</v>
      </c>
      <c r="E14109" s="27" t="s">
        <v>8</v>
      </c>
      <c r="F14109" s="29"/>
      <c r="G14109" s="30">
        <v>893.54321428571427</v>
      </c>
    </row>
    <row r="14110" spans="1:7" hidden="1" x14ac:dyDescent="0.25">
      <c r="A14110" s="28">
        <v>44713</v>
      </c>
      <c r="B14110" s="27" t="s">
        <v>3</v>
      </c>
      <c r="C14110" s="27" t="s">
        <v>50</v>
      </c>
      <c r="D14110" s="27" t="s">
        <v>7</v>
      </c>
      <c r="E14110" s="27" t="s">
        <v>9</v>
      </c>
      <c r="F14110" s="29"/>
      <c r="G14110" s="30">
        <v>893.54321428571427</v>
      </c>
    </row>
    <row r="14111" spans="1:7" hidden="1" x14ac:dyDescent="0.25">
      <c r="A14111" s="28">
        <v>44713</v>
      </c>
      <c r="B14111" s="27" t="s">
        <v>3</v>
      </c>
      <c r="C14111" s="27" t="s">
        <v>50</v>
      </c>
      <c r="D14111" s="27" t="s">
        <v>7</v>
      </c>
      <c r="E14111" s="27" t="s">
        <v>22</v>
      </c>
      <c r="F14111" s="29"/>
      <c r="G14111" s="30">
        <v>893.54321428571427</v>
      </c>
    </row>
    <row r="14112" spans="1:7" hidden="1" x14ac:dyDescent="0.25">
      <c r="A14112" s="28">
        <v>44713</v>
      </c>
      <c r="B14112" s="27" t="s">
        <v>3</v>
      </c>
      <c r="C14112" s="27" t="s">
        <v>50</v>
      </c>
      <c r="D14112" s="27" t="s">
        <v>7</v>
      </c>
      <c r="E14112" s="27" t="s">
        <v>39</v>
      </c>
      <c r="F14112" s="29"/>
      <c r="G14112" s="30">
        <v>893.54321428571427</v>
      </c>
    </row>
    <row r="14113" spans="1:7" hidden="1" x14ac:dyDescent="0.25">
      <c r="A14113" s="28">
        <v>44713</v>
      </c>
      <c r="B14113" s="27" t="s">
        <v>3</v>
      </c>
      <c r="C14113" s="27" t="s">
        <v>50</v>
      </c>
      <c r="D14113" s="27" t="s">
        <v>7</v>
      </c>
      <c r="E14113" s="27" t="s">
        <v>64</v>
      </c>
      <c r="F14113" s="29"/>
      <c r="G14113" s="30">
        <v>893.54321428571427</v>
      </c>
    </row>
    <row r="14114" spans="1:7" hidden="1" x14ac:dyDescent="0.25">
      <c r="A14114" s="28">
        <v>44713</v>
      </c>
      <c r="B14114" s="27" t="s">
        <v>3</v>
      </c>
      <c r="C14114" s="27" t="s">
        <v>50</v>
      </c>
      <c r="D14114" s="27" t="s">
        <v>7</v>
      </c>
      <c r="E14114" s="27" t="s">
        <v>21</v>
      </c>
      <c r="F14114" s="29"/>
      <c r="G14114" s="30">
        <v>893.54321428571427</v>
      </c>
    </row>
    <row r="14115" spans="1:7" hidden="1" x14ac:dyDescent="0.25">
      <c r="A14115" s="28">
        <v>44713</v>
      </c>
      <c r="B14115" s="27" t="s">
        <v>3</v>
      </c>
      <c r="C14115" s="27" t="s">
        <v>50</v>
      </c>
      <c r="D14115" s="27" t="s">
        <v>7</v>
      </c>
      <c r="E14115" s="27" t="s">
        <v>41</v>
      </c>
      <c r="F14115" s="29"/>
      <c r="G14115" s="30">
        <v>893.54321428571427</v>
      </c>
    </row>
    <row r="14116" spans="1:7" hidden="1" x14ac:dyDescent="0.25">
      <c r="A14116" s="28">
        <v>44713</v>
      </c>
      <c r="B14116" s="27" t="s">
        <v>3</v>
      </c>
      <c r="C14116" s="27" t="s">
        <v>50</v>
      </c>
      <c r="D14116" s="27" t="s">
        <v>7</v>
      </c>
      <c r="E14116" s="27" t="s">
        <v>10</v>
      </c>
      <c r="F14116" s="29"/>
      <c r="G14116" s="30">
        <v>893.54321428571427</v>
      </c>
    </row>
    <row r="14117" spans="1:7" hidden="1" x14ac:dyDescent="0.25">
      <c r="A14117" s="28">
        <v>44713</v>
      </c>
      <c r="B14117" s="27" t="s">
        <v>3</v>
      </c>
      <c r="C14117" s="27" t="s">
        <v>50</v>
      </c>
      <c r="D14117" s="27" t="s">
        <v>7</v>
      </c>
      <c r="E14117" s="27" t="s">
        <v>11</v>
      </c>
      <c r="F14117" s="29"/>
      <c r="G14117" s="30">
        <v>893.54321428571427</v>
      </c>
    </row>
    <row r="14118" spans="1:7" hidden="1" x14ac:dyDescent="0.25">
      <c r="A14118" s="28">
        <v>44713</v>
      </c>
      <c r="B14118" s="27" t="s">
        <v>3</v>
      </c>
      <c r="C14118" s="27" t="s">
        <v>50</v>
      </c>
      <c r="D14118" s="27" t="s">
        <v>7</v>
      </c>
      <c r="E14118" s="27" t="s">
        <v>12</v>
      </c>
      <c r="F14118" s="29"/>
      <c r="G14118" s="30">
        <v>893.54321428571427</v>
      </c>
    </row>
    <row r="14119" spans="1:7" hidden="1" x14ac:dyDescent="0.25">
      <c r="A14119" s="28">
        <v>44713</v>
      </c>
      <c r="B14119" s="27" t="s">
        <v>3</v>
      </c>
      <c r="C14119" s="27" t="s">
        <v>50</v>
      </c>
      <c r="D14119" s="27" t="s">
        <v>7</v>
      </c>
      <c r="E14119" s="27" t="s">
        <v>13</v>
      </c>
      <c r="F14119" s="29"/>
      <c r="G14119" s="30">
        <v>893.54321428571427</v>
      </c>
    </row>
    <row r="14120" spans="1:7" hidden="1" x14ac:dyDescent="0.25">
      <c r="A14120" s="28">
        <v>44713</v>
      </c>
      <c r="B14120" s="27" t="s">
        <v>3</v>
      </c>
      <c r="C14120" s="27" t="s">
        <v>50</v>
      </c>
      <c r="D14120" s="27" t="s">
        <v>7</v>
      </c>
      <c r="E14120" s="27" t="s">
        <v>14</v>
      </c>
      <c r="F14120" s="29"/>
      <c r="G14120" s="30">
        <v>893.54321428571427</v>
      </c>
    </row>
    <row r="14121" spans="1:7" hidden="1" x14ac:dyDescent="0.25">
      <c r="A14121" s="28">
        <v>44713</v>
      </c>
      <c r="B14121" s="27" t="s">
        <v>3</v>
      </c>
      <c r="C14121" s="27" t="s">
        <v>50</v>
      </c>
      <c r="D14121" s="27" t="s">
        <v>7</v>
      </c>
      <c r="E14121" s="27" t="s">
        <v>15</v>
      </c>
      <c r="F14121" s="29"/>
      <c r="G14121" s="30">
        <v>893.54321428571427</v>
      </c>
    </row>
    <row r="14122" spans="1:7" hidden="1" x14ac:dyDescent="0.25">
      <c r="A14122" s="28">
        <v>44713</v>
      </c>
      <c r="B14122" s="27" t="s">
        <v>3</v>
      </c>
      <c r="C14122" s="27" t="s">
        <v>50</v>
      </c>
      <c r="D14122" s="27" t="s">
        <v>7</v>
      </c>
      <c r="E14122" s="27" t="s">
        <v>16</v>
      </c>
      <c r="F14122" s="29"/>
      <c r="G14122" s="30">
        <v>893.54321428571427</v>
      </c>
    </row>
    <row r="14123" spans="1:7" hidden="1" x14ac:dyDescent="0.25">
      <c r="A14123" s="28">
        <v>44713</v>
      </c>
      <c r="B14123" s="27" t="s">
        <v>3</v>
      </c>
      <c r="C14123" s="27" t="s">
        <v>50</v>
      </c>
      <c r="D14123" s="27" t="s">
        <v>7</v>
      </c>
      <c r="E14123" s="27" t="s">
        <v>17</v>
      </c>
      <c r="F14123" s="29"/>
      <c r="G14123" s="30">
        <v>893.54321428571427</v>
      </c>
    </row>
    <row r="14124" spans="1:7" hidden="1" x14ac:dyDescent="0.25">
      <c r="A14124" s="28">
        <v>44713</v>
      </c>
      <c r="B14124" s="27" t="s">
        <v>3</v>
      </c>
      <c r="C14124" s="27" t="s">
        <v>50</v>
      </c>
      <c r="D14124" s="27" t="s">
        <v>7</v>
      </c>
      <c r="E14124" s="27" t="s">
        <v>18</v>
      </c>
      <c r="F14124" s="29"/>
      <c r="G14124" s="30">
        <v>893.54321428571427</v>
      </c>
    </row>
    <row r="14125" spans="1:7" hidden="1" x14ac:dyDescent="0.25">
      <c r="A14125" s="28">
        <v>44713</v>
      </c>
      <c r="B14125" s="27" t="s">
        <v>3</v>
      </c>
      <c r="C14125" s="27" t="s">
        <v>50</v>
      </c>
      <c r="D14125" s="27" t="s">
        <v>7</v>
      </c>
      <c r="E14125" s="27" t="s">
        <v>19</v>
      </c>
      <c r="F14125" s="29"/>
      <c r="G14125" s="30">
        <v>893.54321428571427</v>
      </c>
    </row>
    <row r="14126" spans="1:7" hidden="1" x14ac:dyDescent="0.25">
      <c r="A14126" s="28">
        <v>44713</v>
      </c>
      <c r="B14126" s="27" t="s">
        <v>3</v>
      </c>
      <c r="C14126" s="27" t="s">
        <v>50</v>
      </c>
      <c r="D14126" s="27" t="s">
        <v>7</v>
      </c>
      <c r="E14126" s="27" t="s">
        <v>20</v>
      </c>
      <c r="F14126" s="29"/>
      <c r="G14126" s="30">
        <v>893.54321428571427</v>
      </c>
    </row>
    <row r="14127" spans="1:7" hidden="1" x14ac:dyDescent="0.25">
      <c r="A14127" s="28">
        <v>44713</v>
      </c>
      <c r="B14127" s="27" t="s">
        <v>3</v>
      </c>
      <c r="C14127" s="27" t="s">
        <v>50</v>
      </c>
      <c r="D14127" s="27" t="s">
        <v>7</v>
      </c>
      <c r="E14127" s="27" t="s">
        <v>38</v>
      </c>
      <c r="F14127" s="29"/>
      <c r="G14127" s="30">
        <v>893.54321428571427</v>
      </c>
    </row>
    <row r="14128" spans="1:7" hidden="1" x14ac:dyDescent="0.25">
      <c r="A14128" s="28">
        <v>44713</v>
      </c>
      <c r="B14128" s="27" t="s">
        <v>3</v>
      </c>
      <c r="C14128" s="27" t="s">
        <v>50</v>
      </c>
      <c r="D14128" s="27" t="s">
        <v>7</v>
      </c>
      <c r="E14128" s="27" t="s">
        <v>23</v>
      </c>
      <c r="F14128" s="29"/>
      <c r="G14128" s="30">
        <v>893.54321428571427</v>
      </c>
    </row>
    <row r="14129" spans="1:7" hidden="1" x14ac:dyDescent="0.25">
      <c r="A14129" s="28">
        <v>44713</v>
      </c>
      <c r="B14129" s="27" t="s">
        <v>3</v>
      </c>
      <c r="C14129" s="27" t="s">
        <v>50</v>
      </c>
      <c r="D14129" s="27" t="s">
        <v>7</v>
      </c>
      <c r="E14129" s="27" t="s">
        <v>40</v>
      </c>
      <c r="F14129" s="29"/>
      <c r="G14129" s="30">
        <v>893.54321428571427</v>
      </c>
    </row>
    <row r="14130" spans="1:7" hidden="1" x14ac:dyDescent="0.25">
      <c r="A14130" s="28">
        <v>44713</v>
      </c>
      <c r="B14130" s="27" t="s">
        <v>3</v>
      </c>
      <c r="C14130" s="27" t="s">
        <v>50</v>
      </c>
      <c r="D14130" s="27" t="s">
        <v>7</v>
      </c>
      <c r="E14130" s="27" t="s">
        <v>42</v>
      </c>
      <c r="F14130" s="29"/>
      <c r="G14130" s="30">
        <v>893.54321428571427</v>
      </c>
    </row>
    <row r="14131" spans="1:7" hidden="1" x14ac:dyDescent="0.25">
      <c r="A14131" s="28">
        <v>44713</v>
      </c>
      <c r="B14131" s="27" t="s">
        <v>3</v>
      </c>
      <c r="C14131" s="27" t="s">
        <v>50</v>
      </c>
      <c r="D14131" s="27" t="s">
        <v>7</v>
      </c>
      <c r="E14131" s="27" t="s">
        <v>43</v>
      </c>
      <c r="F14131" s="29"/>
      <c r="G14131" s="30">
        <v>893.54321428571427</v>
      </c>
    </row>
    <row r="14132" spans="1:7" hidden="1" x14ac:dyDescent="0.25">
      <c r="A14132" s="28">
        <v>44713</v>
      </c>
      <c r="B14132" s="27" t="s">
        <v>3</v>
      </c>
      <c r="C14132" s="27" t="s">
        <v>50</v>
      </c>
      <c r="D14132" s="27" t="s">
        <v>7</v>
      </c>
      <c r="E14132" s="27" t="s">
        <v>72</v>
      </c>
      <c r="F14132" s="29"/>
      <c r="G14132" s="30">
        <v>893.54321428571427</v>
      </c>
    </row>
    <row r="14133" spans="1:7" hidden="1" x14ac:dyDescent="0.25">
      <c r="A14133" s="28">
        <v>44713</v>
      </c>
      <c r="B14133" s="27" t="s">
        <v>3</v>
      </c>
      <c r="C14133" s="27" t="s">
        <v>50</v>
      </c>
      <c r="D14133" s="27" t="s">
        <v>7</v>
      </c>
      <c r="E14133" s="27" t="s">
        <v>206</v>
      </c>
      <c r="F14133" s="29"/>
      <c r="G14133" s="30">
        <v>893.54321428571427</v>
      </c>
    </row>
    <row r="14134" spans="1:7" hidden="1" x14ac:dyDescent="0.25">
      <c r="A14134" s="28">
        <v>44713</v>
      </c>
      <c r="B14134" s="27" t="s">
        <v>3</v>
      </c>
      <c r="C14134" s="27" t="s">
        <v>50</v>
      </c>
      <c r="D14134" s="27" t="s">
        <v>7</v>
      </c>
      <c r="E14134" s="27" t="s">
        <v>67</v>
      </c>
      <c r="F14134" s="29"/>
      <c r="G14134" s="30">
        <v>893.54321428571427</v>
      </c>
    </row>
    <row r="14135" spans="1:7" hidden="1" x14ac:dyDescent="0.25">
      <c r="A14135" s="28">
        <v>44713</v>
      </c>
      <c r="B14135" s="27" t="s">
        <v>3</v>
      </c>
      <c r="C14135" s="27" t="s">
        <v>50</v>
      </c>
      <c r="D14135" s="27" t="s">
        <v>7</v>
      </c>
      <c r="E14135" s="27" t="s">
        <v>68</v>
      </c>
      <c r="F14135" s="29"/>
      <c r="G14135" s="30">
        <v>893.54321428571427</v>
      </c>
    </row>
    <row r="14136" spans="1:7" hidden="1" x14ac:dyDescent="0.25">
      <c r="A14136" s="28">
        <v>44713</v>
      </c>
      <c r="B14136" s="27" t="s">
        <v>3</v>
      </c>
      <c r="C14136" s="27" t="s">
        <v>50</v>
      </c>
      <c r="D14136" s="27" t="s">
        <v>7</v>
      </c>
      <c r="E14136" s="27" t="s">
        <v>74</v>
      </c>
      <c r="F14136" s="29"/>
      <c r="G14136" s="30">
        <v>893.54321428571427</v>
      </c>
    </row>
    <row r="14137" spans="1:7" hidden="1" x14ac:dyDescent="0.25">
      <c r="A14137" s="28">
        <v>44713</v>
      </c>
      <c r="B14137" s="27" t="s">
        <v>32</v>
      </c>
      <c r="C14137" s="27" t="s">
        <v>50</v>
      </c>
      <c r="D14137" s="27" t="s">
        <v>7</v>
      </c>
      <c r="E14137" s="27" t="s">
        <v>17</v>
      </c>
      <c r="F14137" s="29"/>
      <c r="G14137" s="30">
        <v>75</v>
      </c>
    </row>
    <row r="14138" spans="1:7" hidden="1" x14ac:dyDescent="0.25">
      <c r="A14138" s="28">
        <v>44713</v>
      </c>
      <c r="B14138" s="27" t="s">
        <v>5</v>
      </c>
      <c r="C14138" s="27" t="s">
        <v>51</v>
      </c>
      <c r="D14138" s="27" t="s">
        <v>51</v>
      </c>
      <c r="E14138" s="27" t="s">
        <v>8</v>
      </c>
      <c r="F14138" s="29">
        <v>3005</v>
      </c>
      <c r="G14138" s="30">
        <v>5.4608625269348332</v>
      </c>
    </row>
    <row r="14139" spans="1:7" hidden="1" x14ac:dyDescent="0.25">
      <c r="A14139" s="28">
        <v>44713</v>
      </c>
      <c r="B14139" s="27" t="s">
        <v>5</v>
      </c>
      <c r="C14139" s="27" t="s">
        <v>51</v>
      </c>
      <c r="D14139" s="27" t="s">
        <v>51</v>
      </c>
      <c r="E14139" s="27" t="s">
        <v>9</v>
      </c>
      <c r="F14139" s="29">
        <v>3475</v>
      </c>
      <c r="G14139" s="30">
        <v>3.6424604493762591</v>
      </c>
    </row>
    <row r="14140" spans="1:7" hidden="1" x14ac:dyDescent="0.25">
      <c r="A14140" s="28">
        <v>44713</v>
      </c>
      <c r="B14140" s="27" t="s">
        <v>5</v>
      </c>
      <c r="C14140" s="27" t="s">
        <v>51</v>
      </c>
      <c r="D14140" s="27" t="s">
        <v>51</v>
      </c>
      <c r="E14140" s="27" t="s">
        <v>22</v>
      </c>
      <c r="F14140" s="29">
        <v>2895</v>
      </c>
      <c r="G14140" s="30">
        <v>4.5884012703972381</v>
      </c>
    </row>
    <row r="14141" spans="1:7" hidden="1" x14ac:dyDescent="0.25">
      <c r="A14141" s="28">
        <v>44713</v>
      </c>
      <c r="B14141" s="27" t="s">
        <v>5</v>
      </c>
      <c r="C14141" s="27" t="s">
        <v>51</v>
      </c>
      <c r="D14141" s="27" t="s">
        <v>51</v>
      </c>
      <c r="E14141" s="27" t="s">
        <v>64</v>
      </c>
      <c r="F14141" s="29">
        <v>1772</v>
      </c>
      <c r="G14141" s="30">
        <v>19.768655181893998</v>
      </c>
    </row>
    <row r="14142" spans="1:7" hidden="1" x14ac:dyDescent="0.25">
      <c r="A14142" s="28">
        <v>44713</v>
      </c>
      <c r="B14142" s="27" t="s">
        <v>5</v>
      </c>
      <c r="C14142" s="27" t="s">
        <v>51</v>
      </c>
      <c r="D14142" s="27" t="s">
        <v>51</v>
      </c>
      <c r="E14142" s="27" t="s">
        <v>21</v>
      </c>
      <c r="F14142" s="29">
        <v>3437</v>
      </c>
      <c r="G14142" s="30">
        <v>3.8238430214999224</v>
      </c>
    </row>
    <row r="14143" spans="1:7" hidden="1" x14ac:dyDescent="0.25">
      <c r="A14143" s="28">
        <v>44713</v>
      </c>
      <c r="B14143" s="27" t="s">
        <v>5</v>
      </c>
      <c r="C14143" s="27" t="s">
        <v>51</v>
      </c>
      <c r="D14143" s="27" t="s">
        <v>51</v>
      </c>
      <c r="E14143" s="27" t="s">
        <v>41</v>
      </c>
      <c r="F14143" s="29">
        <v>4091</v>
      </c>
      <c r="G14143" s="30">
        <v>3.0335370277780509</v>
      </c>
    </row>
    <row r="14144" spans="1:7" hidden="1" x14ac:dyDescent="0.25">
      <c r="A14144" s="28">
        <v>44713</v>
      </c>
      <c r="B14144" s="27" t="s">
        <v>5</v>
      </c>
      <c r="C14144" s="27" t="s">
        <v>51</v>
      </c>
      <c r="D14144" s="27" t="s">
        <v>51</v>
      </c>
      <c r="E14144" s="27" t="s">
        <v>10</v>
      </c>
      <c r="F14144" s="29">
        <v>2185</v>
      </c>
      <c r="G14144" s="30">
        <v>7.627448761533854</v>
      </c>
    </row>
    <row r="14145" spans="1:7" hidden="1" x14ac:dyDescent="0.25">
      <c r="A14145" s="28">
        <v>44713</v>
      </c>
      <c r="B14145" s="27" t="s">
        <v>5</v>
      </c>
      <c r="C14145" s="27" t="s">
        <v>51</v>
      </c>
      <c r="D14145" s="27" t="s">
        <v>51</v>
      </c>
      <c r="E14145" s="27" t="s">
        <v>12</v>
      </c>
      <c r="F14145" s="29">
        <v>1038</v>
      </c>
      <c r="G14145" s="30">
        <v>12.438710631298674</v>
      </c>
    </row>
    <row r="14146" spans="1:7" hidden="1" x14ac:dyDescent="0.25">
      <c r="A14146" s="28">
        <v>44713</v>
      </c>
      <c r="B14146" s="27" t="s">
        <v>5</v>
      </c>
      <c r="C14146" s="27" t="s">
        <v>51</v>
      </c>
      <c r="D14146" s="27" t="s">
        <v>51</v>
      </c>
      <c r="E14146" s="27" t="s">
        <v>13</v>
      </c>
      <c r="F14146" s="29">
        <v>6572</v>
      </c>
      <c r="G14146" s="30">
        <v>2.1739044887732226</v>
      </c>
    </row>
    <row r="14147" spans="1:7" hidden="1" x14ac:dyDescent="0.25">
      <c r="A14147" s="28">
        <v>44713</v>
      </c>
      <c r="B14147" s="27" t="s">
        <v>5</v>
      </c>
      <c r="C14147" s="27" t="s">
        <v>51</v>
      </c>
      <c r="D14147" s="27" t="s">
        <v>51</v>
      </c>
      <c r="E14147" s="27" t="s">
        <v>14</v>
      </c>
      <c r="F14147" s="29">
        <v>4526</v>
      </c>
      <c r="G14147" s="30">
        <v>2.6465036421318811</v>
      </c>
    </row>
    <row r="14148" spans="1:7" hidden="1" x14ac:dyDescent="0.25">
      <c r="A14148" s="28">
        <v>44713</v>
      </c>
      <c r="B14148" s="27" t="s">
        <v>5</v>
      </c>
      <c r="C14148" s="27" t="s">
        <v>51</v>
      </c>
      <c r="D14148" s="27" t="s">
        <v>51</v>
      </c>
      <c r="E14148" s="27" t="s">
        <v>15</v>
      </c>
      <c r="F14148" s="29">
        <v>3346</v>
      </c>
      <c r="G14148" s="30">
        <v>3.8127635040650616</v>
      </c>
    </row>
    <row r="14149" spans="1:7" hidden="1" x14ac:dyDescent="0.25">
      <c r="A14149" s="28">
        <v>44713</v>
      </c>
      <c r="B14149" s="27" t="s">
        <v>5</v>
      </c>
      <c r="C14149" s="27" t="s">
        <v>51</v>
      </c>
      <c r="D14149" s="27" t="s">
        <v>51</v>
      </c>
      <c r="E14149" s="27" t="s">
        <v>16</v>
      </c>
      <c r="F14149" s="29">
        <v>2259</v>
      </c>
      <c r="G14149" s="30">
        <v>5.6193505821920624</v>
      </c>
    </row>
    <row r="14150" spans="1:7" hidden="1" x14ac:dyDescent="0.25">
      <c r="A14150" s="28">
        <v>44713</v>
      </c>
      <c r="B14150" s="27" t="s">
        <v>5</v>
      </c>
      <c r="C14150" s="27" t="s">
        <v>51</v>
      </c>
      <c r="D14150" s="27" t="s">
        <v>51</v>
      </c>
      <c r="E14150" s="27" t="s">
        <v>17</v>
      </c>
      <c r="F14150" s="29">
        <v>4495</v>
      </c>
      <c r="G14150" s="30">
        <v>3.2654445010236142</v>
      </c>
    </row>
    <row r="14151" spans="1:7" hidden="1" x14ac:dyDescent="0.25">
      <c r="A14151" s="28">
        <v>44713</v>
      </c>
      <c r="B14151" s="27" t="s">
        <v>5</v>
      </c>
      <c r="C14151" s="27" t="s">
        <v>51</v>
      </c>
      <c r="D14151" s="27" t="s">
        <v>51</v>
      </c>
      <c r="E14151" s="27" t="s">
        <v>18</v>
      </c>
      <c r="F14151" s="29">
        <v>5081</v>
      </c>
      <c r="G14151" s="30">
        <v>2.3992734366285311</v>
      </c>
    </row>
    <row r="14152" spans="1:7" hidden="1" x14ac:dyDescent="0.25">
      <c r="A14152" s="28">
        <v>44713</v>
      </c>
      <c r="B14152" s="27" t="s">
        <v>5</v>
      </c>
      <c r="C14152" s="27" t="s">
        <v>51</v>
      </c>
      <c r="D14152" s="27" t="s">
        <v>51</v>
      </c>
      <c r="E14152" s="27" t="s">
        <v>19</v>
      </c>
      <c r="F14152" s="29">
        <v>4545</v>
      </c>
      <c r="G14152" s="30">
        <v>3.0204289888207203</v>
      </c>
    </row>
    <row r="14153" spans="1:7" hidden="1" x14ac:dyDescent="0.25">
      <c r="A14153" s="28">
        <v>44713</v>
      </c>
      <c r="B14153" s="27" t="s">
        <v>5</v>
      </c>
      <c r="C14153" s="27" t="s">
        <v>51</v>
      </c>
      <c r="D14153" s="27" t="s">
        <v>51</v>
      </c>
      <c r="E14153" s="27" t="s">
        <v>20</v>
      </c>
      <c r="F14153" s="29">
        <v>5817</v>
      </c>
      <c r="G14153" s="30">
        <v>2.261870277685083</v>
      </c>
    </row>
    <row r="14154" spans="1:7" hidden="1" x14ac:dyDescent="0.25">
      <c r="A14154" s="28">
        <v>44713</v>
      </c>
      <c r="B14154" s="27" t="s">
        <v>5</v>
      </c>
      <c r="C14154" s="27" t="s">
        <v>51</v>
      </c>
      <c r="D14154" s="27" t="s">
        <v>51</v>
      </c>
      <c r="E14154" s="27" t="s">
        <v>23</v>
      </c>
      <c r="F14154" s="29">
        <v>4673</v>
      </c>
      <c r="G14154" s="30">
        <v>2.8928898884065664</v>
      </c>
    </row>
    <row r="14155" spans="1:7" hidden="1" x14ac:dyDescent="0.25">
      <c r="A14155" s="28">
        <v>44713</v>
      </c>
      <c r="B14155" s="27" t="s">
        <v>5</v>
      </c>
      <c r="C14155" s="27" t="s">
        <v>51</v>
      </c>
      <c r="D14155" s="27" t="s">
        <v>51</v>
      </c>
      <c r="E14155" s="27" t="s">
        <v>40</v>
      </c>
      <c r="F14155" s="29">
        <v>7259</v>
      </c>
      <c r="G14155" s="30">
        <v>1.7169278857008046</v>
      </c>
    </row>
    <row r="14156" spans="1:7" hidden="1" x14ac:dyDescent="0.25">
      <c r="A14156" s="28">
        <v>44713</v>
      </c>
      <c r="B14156" s="27" t="s">
        <v>5</v>
      </c>
      <c r="C14156" s="27" t="s">
        <v>51</v>
      </c>
      <c r="D14156" s="27" t="s">
        <v>51</v>
      </c>
      <c r="E14156" s="27" t="s">
        <v>42</v>
      </c>
      <c r="F14156" s="29">
        <v>1576</v>
      </c>
      <c r="G14156" s="30">
        <v>7.3341825589430734</v>
      </c>
    </row>
    <row r="14157" spans="1:7" hidden="1" x14ac:dyDescent="0.25">
      <c r="A14157" s="28">
        <v>44713</v>
      </c>
      <c r="B14157" s="27" t="s">
        <v>5</v>
      </c>
      <c r="C14157" s="27" t="s">
        <v>51</v>
      </c>
      <c r="D14157" s="27" t="s">
        <v>51</v>
      </c>
      <c r="E14157" s="27" t="s">
        <v>43</v>
      </c>
      <c r="F14157" s="29">
        <v>7622</v>
      </c>
      <c r="G14157" s="30">
        <v>1.5634661906101295</v>
      </c>
    </row>
    <row r="14158" spans="1:7" hidden="1" x14ac:dyDescent="0.25">
      <c r="A14158" s="28">
        <v>44713</v>
      </c>
      <c r="B14158" s="27" t="s">
        <v>5</v>
      </c>
      <c r="C14158" s="27" t="s">
        <v>51</v>
      </c>
      <c r="D14158" s="27" t="s">
        <v>51</v>
      </c>
      <c r="E14158" s="27" t="s">
        <v>72</v>
      </c>
      <c r="F14158" s="29">
        <v>6586</v>
      </c>
      <c r="G14158" s="30">
        <v>1.7543667199881128</v>
      </c>
    </row>
    <row r="14159" spans="1:7" hidden="1" x14ac:dyDescent="0.25">
      <c r="A14159" s="28">
        <v>44713</v>
      </c>
      <c r="B14159" s="27" t="s">
        <v>5</v>
      </c>
      <c r="C14159" s="27" t="s">
        <v>51</v>
      </c>
      <c r="D14159" s="27" t="s">
        <v>51</v>
      </c>
      <c r="E14159" s="27" t="s">
        <v>206</v>
      </c>
      <c r="F14159" s="29">
        <v>2614</v>
      </c>
      <c r="G14159" s="30">
        <v>4.6615318853104162</v>
      </c>
    </row>
    <row r="14160" spans="1:7" hidden="1" x14ac:dyDescent="0.25">
      <c r="A14160" s="28">
        <v>44713</v>
      </c>
      <c r="B14160" s="27" t="s">
        <v>5</v>
      </c>
      <c r="C14160" s="27" t="s">
        <v>51</v>
      </c>
      <c r="D14160" s="27" t="s">
        <v>51</v>
      </c>
      <c r="E14160" s="27" t="s">
        <v>68</v>
      </c>
      <c r="F14160" s="29">
        <v>2913</v>
      </c>
      <c r="G14160" s="30">
        <f>12185.24/Tabela16[[#This Row],[KM RODADO]]</f>
        <v>4.1830552694816339</v>
      </c>
    </row>
    <row r="14161" spans="1:7" hidden="1" x14ac:dyDescent="0.25">
      <c r="A14161" s="28">
        <v>44713</v>
      </c>
      <c r="B14161" s="27" t="s">
        <v>180</v>
      </c>
      <c r="C14161" s="27" t="s">
        <v>50</v>
      </c>
      <c r="D14161" s="27" t="s">
        <v>7</v>
      </c>
      <c r="E14161" s="27" t="s">
        <v>64</v>
      </c>
      <c r="F14161" s="29"/>
      <c r="G14161" s="30">
        <v>22362.43</v>
      </c>
    </row>
    <row r="14162" spans="1:7" hidden="1" x14ac:dyDescent="0.25">
      <c r="A14162" s="28">
        <v>44713</v>
      </c>
      <c r="B14162" s="27" t="s">
        <v>180</v>
      </c>
      <c r="C14162" s="27" t="s">
        <v>50</v>
      </c>
      <c r="D14162" s="27" t="s">
        <v>7</v>
      </c>
      <c r="E14162" s="27" t="s">
        <v>21</v>
      </c>
      <c r="F14162" s="29"/>
      <c r="G14162" s="30">
        <v>700</v>
      </c>
    </row>
    <row r="14163" spans="1:7" hidden="1" x14ac:dyDescent="0.25">
      <c r="A14163" s="28">
        <v>44713</v>
      </c>
      <c r="B14163" s="27" t="s">
        <v>180</v>
      </c>
      <c r="C14163" s="27" t="s">
        <v>50</v>
      </c>
      <c r="D14163" s="27" t="s">
        <v>7</v>
      </c>
      <c r="E14163" s="27" t="s">
        <v>13</v>
      </c>
      <c r="F14163" s="29"/>
      <c r="G14163" s="30">
        <v>112</v>
      </c>
    </row>
    <row r="14164" spans="1:7" hidden="1" x14ac:dyDescent="0.25">
      <c r="A14164" s="28">
        <v>44713</v>
      </c>
      <c r="B14164" s="27" t="s">
        <v>180</v>
      </c>
      <c r="C14164" s="27" t="s">
        <v>50</v>
      </c>
      <c r="D14164" s="27" t="s">
        <v>7</v>
      </c>
      <c r="E14164" s="27" t="s">
        <v>42</v>
      </c>
      <c r="F14164" s="29"/>
      <c r="G14164" s="30">
        <v>90</v>
      </c>
    </row>
    <row r="14165" spans="1:7" hidden="1" x14ac:dyDescent="0.25">
      <c r="A14165" s="28">
        <v>44713</v>
      </c>
      <c r="B14165" s="27" t="s">
        <v>180</v>
      </c>
      <c r="C14165" s="27" t="s">
        <v>50</v>
      </c>
      <c r="D14165" s="27" t="s">
        <v>7</v>
      </c>
      <c r="E14165" s="27" t="s">
        <v>206</v>
      </c>
      <c r="F14165" s="29"/>
      <c r="G14165" s="30">
        <v>860</v>
      </c>
    </row>
    <row r="14166" spans="1:7" hidden="1" x14ac:dyDescent="0.25">
      <c r="A14166" s="28">
        <v>44713</v>
      </c>
      <c r="B14166" s="27" t="s">
        <v>180</v>
      </c>
      <c r="C14166" s="27" t="s">
        <v>50</v>
      </c>
      <c r="D14166" s="27" t="s">
        <v>7</v>
      </c>
      <c r="E14166" s="27" t="s">
        <v>67</v>
      </c>
      <c r="F14166" s="29"/>
      <c r="G14166" s="30">
        <v>10</v>
      </c>
    </row>
    <row r="14167" spans="1:7" hidden="1" x14ac:dyDescent="0.25">
      <c r="A14167" s="28">
        <v>44713</v>
      </c>
      <c r="B14167" s="27" t="s">
        <v>180</v>
      </c>
      <c r="C14167" s="27" t="s">
        <v>50</v>
      </c>
      <c r="D14167" s="27" t="s">
        <v>7</v>
      </c>
      <c r="E14167" s="27" t="s">
        <v>37</v>
      </c>
      <c r="F14167" s="29"/>
      <c r="G14167" s="30">
        <v>7032.57</v>
      </c>
    </row>
    <row r="14168" spans="1:7" hidden="1" x14ac:dyDescent="0.25">
      <c r="A14168" s="28">
        <v>44713</v>
      </c>
      <c r="B14168" s="27" t="s">
        <v>181</v>
      </c>
      <c r="C14168" s="27" t="s">
        <v>50</v>
      </c>
      <c r="D14168" s="27" t="s">
        <v>6</v>
      </c>
      <c r="E14168" s="27" t="s">
        <v>64</v>
      </c>
      <c r="F14168" s="29"/>
      <c r="G14168" s="30">
        <v>80</v>
      </c>
    </row>
    <row r="14169" spans="1:7" hidden="1" x14ac:dyDescent="0.25">
      <c r="A14169" s="28">
        <v>44713</v>
      </c>
      <c r="B14169" s="27" t="s">
        <v>181</v>
      </c>
      <c r="C14169" s="27" t="s">
        <v>50</v>
      </c>
      <c r="D14169" s="27" t="s">
        <v>6</v>
      </c>
      <c r="E14169" s="27" t="s">
        <v>10</v>
      </c>
      <c r="F14169" s="29"/>
      <c r="G14169" s="30">
        <v>3100.25</v>
      </c>
    </row>
    <row r="14170" spans="1:7" hidden="1" x14ac:dyDescent="0.25">
      <c r="A14170" s="28">
        <v>44713</v>
      </c>
      <c r="B14170" s="27" t="s">
        <v>181</v>
      </c>
      <c r="C14170" s="27" t="s">
        <v>50</v>
      </c>
      <c r="D14170" s="27" t="s">
        <v>6</v>
      </c>
      <c r="E14170" s="27" t="s">
        <v>18</v>
      </c>
      <c r="F14170" s="29"/>
      <c r="G14170" s="30">
        <v>47</v>
      </c>
    </row>
    <row r="14171" spans="1:7" hidden="1" x14ac:dyDescent="0.25">
      <c r="A14171" s="28">
        <v>44713</v>
      </c>
      <c r="B14171" s="27" t="s">
        <v>181</v>
      </c>
      <c r="C14171" s="27" t="s">
        <v>50</v>
      </c>
      <c r="D14171" s="27" t="s">
        <v>6</v>
      </c>
      <c r="E14171" s="27" t="s">
        <v>20</v>
      </c>
      <c r="F14171" s="29"/>
      <c r="G14171" s="30">
        <v>100</v>
      </c>
    </row>
    <row r="14172" spans="1:7" hidden="1" x14ac:dyDescent="0.25">
      <c r="A14172" s="28">
        <v>44713</v>
      </c>
      <c r="B14172" s="27" t="s">
        <v>181</v>
      </c>
      <c r="C14172" s="27" t="s">
        <v>50</v>
      </c>
      <c r="D14172" s="27" t="s">
        <v>6</v>
      </c>
      <c r="E14172" s="27" t="s">
        <v>23</v>
      </c>
      <c r="F14172" s="29"/>
      <c r="G14172" s="30">
        <v>141</v>
      </c>
    </row>
    <row r="14173" spans="1:7" hidden="1" x14ac:dyDescent="0.25">
      <c r="A14173" s="28">
        <v>44713</v>
      </c>
      <c r="B14173" s="27" t="s">
        <v>181</v>
      </c>
      <c r="C14173" s="27" t="s">
        <v>50</v>
      </c>
      <c r="D14173" s="27" t="s">
        <v>6</v>
      </c>
      <c r="E14173" s="27" t="s">
        <v>40</v>
      </c>
      <c r="F14173" s="29"/>
      <c r="G14173" s="30">
        <v>577.17000000000007</v>
      </c>
    </row>
    <row r="14174" spans="1:7" hidden="1" x14ac:dyDescent="0.25">
      <c r="A14174" s="28">
        <v>44713</v>
      </c>
      <c r="B14174" s="27" t="s">
        <v>181</v>
      </c>
      <c r="C14174" s="27" t="s">
        <v>50</v>
      </c>
      <c r="D14174" s="27" t="s">
        <v>6</v>
      </c>
      <c r="E14174" s="27" t="s">
        <v>43</v>
      </c>
      <c r="F14174" s="29"/>
      <c r="G14174" s="30">
        <v>230</v>
      </c>
    </row>
    <row r="14175" spans="1:7" hidden="1" x14ac:dyDescent="0.25">
      <c r="A14175" s="28">
        <v>44713</v>
      </c>
      <c r="B14175" s="27" t="s">
        <v>181</v>
      </c>
      <c r="C14175" s="27" t="s">
        <v>50</v>
      </c>
      <c r="D14175" s="27" t="s">
        <v>6</v>
      </c>
      <c r="E14175" s="27" t="s">
        <v>206</v>
      </c>
      <c r="F14175" s="29"/>
      <c r="G14175" s="30">
        <v>122</v>
      </c>
    </row>
    <row r="14176" spans="1:7" hidden="1" x14ac:dyDescent="0.25">
      <c r="A14176" s="28">
        <v>44713</v>
      </c>
      <c r="B14176" s="27" t="s">
        <v>181</v>
      </c>
      <c r="C14176" s="27" t="s">
        <v>50</v>
      </c>
      <c r="D14176" s="27" t="s">
        <v>6</v>
      </c>
      <c r="E14176" s="27" t="s">
        <v>67</v>
      </c>
      <c r="F14176" s="29"/>
      <c r="G14176" s="30">
        <v>341.44</v>
      </c>
    </row>
    <row r="14177" spans="1:7" hidden="1" x14ac:dyDescent="0.25">
      <c r="A14177" s="28">
        <v>44713</v>
      </c>
      <c r="B14177" s="27" t="s">
        <v>181</v>
      </c>
      <c r="C14177" s="27" t="s">
        <v>50</v>
      </c>
      <c r="D14177" s="27" t="s">
        <v>6</v>
      </c>
      <c r="E14177" s="27" t="s">
        <v>37</v>
      </c>
      <c r="F14177" s="29"/>
      <c r="G14177" s="30">
        <v>17991.5</v>
      </c>
    </row>
    <row r="14178" spans="1:7" hidden="1" x14ac:dyDescent="0.25">
      <c r="A14178" s="28">
        <v>44713</v>
      </c>
      <c r="B14178" s="27" t="s">
        <v>25</v>
      </c>
      <c r="C14178" s="27" t="s">
        <v>50</v>
      </c>
      <c r="D14178" s="27" t="s">
        <v>7</v>
      </c>
      <c r="E14178" s="27" t="s">
        <v>37</v>
      </c>
      <c r="F14178" s="29"/>
      <c r="G14178" s="30">
        <v>885.05</v>
      </c>
    </row>
    <row r="14179" spans="1:7" hidden="1" x14ac:dyDescent="0.25">
      <c r="A14179" s="28">
        <v>44713</v>
      </c>
      <c r="B14179" s="27" t="s">
        <v>2</v>
      </c>
      <c r="C14179" s="27" t="s">
        <v>50</v>
      </c>
      <c r="D14179" s="27" t="s">
        <v>7</v>
      </c>
      <c r="E14179" s="27" t="s">
        <v>8</v>
      </c>
      <c r="F14179" s="29"/>
      <c r="G14179" s="30">
        <v>472.79999999999944</v>
      </c>
    </row>
    <row r="14180" spans="1:7" hidden="1" x14ac:dyDescent="0.25">
      <c r="A14180" s="28">
        <v>44713</v>
      </c>
      <c r="B14180" s="27" t="s">
        <v>2</v>
      </c>
      <c r="C14180" s="27" t="s">
        <v>50</v>
      </c>
      <c r="D14180" s="27" t="s">
        <v>7</v>
      </c>
      <c r="E14180" s="27" t="s">
        <v>9</v>
      </c>
      <c r="F14180" s="29"/>
      <c r="G14180" s="30">
        <v>522.3999999999993</v>
      </c>
    </row>
    <row r="14181" spans="1:7" hidden="1" x14ac:dyDescent="0.25">
      <c r="A14181" s="28">
        <v>44713</v>
      </c>
      <c r="B14181" s="27" t="s">
        <v>2</v>
      </c>
      <c r="C14181" s="27" t="s">
        <v>50</v>
      </c>
      <c r="D14181" s="27" t="s">
        <v>7</v>
      </c>
      <c r="E14181" s="27" t="s">
        <v>22</v>
      </c>
      <c r="F14181" s="29"/>
      <c r="G14181" s="30">
        <v>621.59999999999957</v>
      </c>
    </row>
    <row r="14182" spans="1:7" hidden="1" x14ac:dyDescent="0.25">
      <c r="A14182" s="28">
        <v>44713</v>
      </c>
      <c r="B14182" s="27" t="s">
        <v>2</v>
      </c>
      <c r="C14182" s="27" t="s">
        <v>50</v>
      </c>
      <c r="D14182" s="27" t="s">
        <v>7</v>
      </c>
      <c r="E14182" s="27" t="s">
        <v>39</v>
      </c>
      <c r="F14182" s="29"/>
      <c r="G14182" s="30">
        <v>188.92000000000002</v>
      </c>
    </row>
    <row r="14183" spans="1:7" hidden="1" x14ac:dyDescent="0.25">
      <c r="A14183" s="28">
        <v>44713</v>
      </c>
      <c r="B14183" s="27" t="s">
        <v>2</v>
      </c>
      <c r="C14183" s="27" t="s">
        <v>50</v>
      </c>
      <c r="D14183" s="27" t="s">
        <v>7</v>
      </c>
      <c r="E14183" s="27" t="s">
        <v>64</v>
      </c>
      <c r="F14183" s="29"/>
      <c r="G14183" s="30">
        <v>200.10000000000011</v>
      </c>
    </row>
    <row r="14184" spans="1:7" hidden="1" x14ac:dyDescent="0.25">
      <c r="A14184" s="28">
        <v>44713</v>
      </c>
      <c r="B14184" s="27" t="s">
        <v>2</v>
      </c>
      <c r="C14184" s="27" t="s">
        <v>50</v>
      </c>
      <c r="D14184" s="27" t="s">
        <v>7</v>
      </c>
      <c r="E14184" s="27" t="s">
        <v>21</v>
      </c>
      <c r="F14184" s="29"/>
      <c r="G14184" s="30">
        <v>530.46000000000038</v>
      </c>
    </row>
    <row r="14185" spans="1:7" hidden="1" x14ac:dyDescent="0.25">
      <c r="A14185" s="28">
        <v>44713</v>
      </c>
      <c r="B14185" s="27" t="s">
        <v>2</v>
      </c>
      <c r="C14185" s="27" t="s">
        <v>50</v>
      </c>
      <c r="D14185" s="27" t="s">
        <v>7</v>
      </c>
      <c r="E14185" s="27" t="s">
        <v>41</v>
      </c>
      <c r="F14185" s="29"/>
      <c r="G14185" s="30">
        <v>288.69999999999987</v>
      </c>
    </row>
    <row r="14186" spans="1:7" hidden="1" x14ac:dyDescent="0.25">
      <c r="A14186" s="28">
        <v>44713</v>
      </c>
      <c r="B14186" s="27" t="s">
        <v>2</v>
      </c>
      <c r="C14186" s="27" t="s">
        <v>50</v>
      </c>
      <c r="D14186" s="27" t="s">
        <v>7</v>
      </c>
      <c r="E14186" s="27" t="s">
        <v>10</v>
      </c>
      <c r="F14186" s="29"/>
      <c r="G14186" s="30">
        <v>265.7000000000001</v>
      </c>
    </row>
    <row r="14187" spans="1:7" hidden="1" x14ac:dyDescent="0.25">
      <c r="A14187" s="28">
        <v>44713</v>
      </c>
      <c r="B14187" s="27" t="s">
        <v>2</v>
      </c>
      <c r="C14187" s="27" t="s">
        <v>50</v>
      </c>
      <c r="D14187" s="27" t="s">
        <v>7</v>
      </c>
      <c r="E14187" s="27" t="s">
        <v>11</v>
      </c>
      <c r="F14187" s="29"/>
      <c r="G14187" s="30">
        <v>209.12000000000003</v>
      </c>
    </row>
    <row r="14188" spans="1:7" hidden="1" x14ac:dyDescent="0.25">
      <c r="A14188" s="28">
        <v>44713</v>
      </c>
      <c r="B14188" s="27" t="s">
        <v>2</v>
      </c>
      <c r="C14188" s="27" t="s">
        <v>50</v>
      </c>
      <c r="D14188" s="27" t="s">
        <v>7</v>
      </c>
      <c r="E14188" s="27" t="s">
        <v>12</v>
      </c>
      <c r="F14188" s="29"/>
      <c r="G14188" s="30">
        <v>85.699999999999974</v>
      </c>
    </row>
    <row r="14189" spans="1:7" hidden="1" x14ac:dyDescent="0.25">
      <c r="A14189" s="28">
        <v>44713</v>
      </c>
      <c r="B14189" s="27" t="s">
        <v>2</v>
      </c>
      <c r="C14189" s="27" t="s">
        <v>50</v>
      </c>
      <c r="D14189" s="27" t="s">
        <v>7</v>
      </c>
      <c r="E14189" s="27" t="s">
        <v>13</v>
      </c>
      <c r="F14189" s="29"/>
      <c r="G14189" s="30">
        <v>1320.2499999999998</v>
      </c>
    </row>
    <row r="14190" spans="1:7" hidden="1" x14ac:dyDescent="0.25">
      <c r="A14190" s="28">
        <v>44713</v>
      </c>
      <c r="B14190" s="27" t="s">
        <v>2</v>
      </c>
      <c r="C14190" s="27" t="s">
        <v>50</v>
      </c>
      <c r="D14190" s="27" t="s">
        <v>7</v>
      </c>
      <c r="E14190" s="27" t="s">
        <v>14</v>
      </c>
      <c r="F14190" s="29"/>
      <c r="G14190" s="30">
        <v>305.20000000000033</v>
      </c>
    </row>
    <row r="14191" spans="1:7" hidden="1" x14ac:dyDescent="0.25">
      <c r="A14191" s="28">
        <v>44713</v>
      </c>
      <c r="B14191" s="27" t="s">
        <v>2</v>
      </c>
      <c r="C14191" s="27" t="s">
        <v>50</v>
      </c>
      <c r="D14191" s="27" t="s">
        <v>7</v>
      </c>
      <c r="E14191" s="27" t="s">
        <v>15</v>
      </c>
      <c r="F14191" s="29"/>
      <c r="G14191" s="30">
        <v>314.00000000000017</v>
      </c>
    </row>
    <row r="14192" spans="1:7" hidden="1" x14ac:dyDescent="0.25">
      <c r="A14192" s="28">
        <v>44713</v>
      </c>
      <c r="B14192" s="27" t="s">
        <v>2</v>
      </c>
      <c r="C14192" s="27" t="s">
        <v>50</v>
      </c>
      <c r="D14192" s="27" t="s">
        <v>7</v>
      </c>
      <c r="E14192" s="27" t="s">
        <v>17</v>
      </c>
      <c r="F14192" s="29"/>
      <c r="G14192" s="30">
        <v>927.5199999999993</v>
      </c>
    </row>
    <row r="14193" spans="1:7" hidden="1" x14ac:dyDescent="0.25">
      <c r="A14193" s="28">
        <v>44713</v>
      </c>
      <c r="B14193" s="27" t="s">
        <v>2</v>
      </c>
      <c r="C14193" s="27" t="s">
        <v>50</v>
      </c>
      <c r="D14193" s="27" t="s">
        <v>7</v>
      </c>
      <c r="E14193" s="27" t="s">
        <v>19</v>
      </c>
      <c r="F14193" s="29"/>
      <c r="G14193" s="30">
        <v>766.6900000000004</v>
      </c>
    </row>
    <row r="14194" spans="1:7" hidden="1" x14ac:dyDescent="0.25">
      <c r="A14194" s="28">
        <v>44713</v>
      </c>
      <c r="B14194" s="27" t="s">
        <v>2</v>
      </c>
      <c r="C14194" s="27" t="s">
        <v>50</v>
      </c>
      <c r="D14194" s="27" t="s">
        <v>7</v>
      </c>
      <c r="E14194" s="27" t="s">
        <v>20</v>
      </c>
      <c r="F14194" s="29"/>
      <c r="G14194" s="30">
        <v>570.80000000000018</v>
      </c>
    </row>
    <row r="14195" spans="1:7" hidden="1" x14ac:dyDescent="0.25">
      <c r="A14195" s="28">
        <v>44713</v>
      </c>
      <c r="B14195" s="27" t="s">
        <v>2</v>
      </c>
      <c r="C14195" s="27" t="s">
        <v>50</v>
      </c>
      <c r="D14195" s="27" t="s">
        <v>7</v>
      </c>
      <c r="E14195" s="27" t="s">
        <v>38</v>
      </c>
      <c r="F14195" s="29"/>
      <c r="G14195" s="30">
        <v>29.800000000000004</v>
      </c>
    </row>
    <row r="14196" spans="1:7" hidden="1" x14ac:dyDescent="0.25">
      <c r="A14196" s="28">
        <v>44713</v>
      </c>
      <c r="B14196" s="27" t="s">
        <v>2</v>
      </c>
      <c r="C14196" s="27" t="s">
        <v>50</v>
      </c>
      <c r="D14196" s="27" t="s">
        <v>7</v>
      </c>
      <c r="E14196" s="27" t="s">
        <v>23</v>
      </c>
      <c r="F14196" s="29"/>
      <c r="G14196" s="30">
        <v>248.39999999999978</v>
      </c>
    </row>
    <row r="14197" spans="1:7" hidden="1" x14ac:dyDescent="0.25">
      <c r="A14197" s="28">
        <v>44713</v>
      </c>
      <c r="B14197" s="27" t="s">
        <v>2</v>
      </c>
      <c r="C14197" s="27" t="s">
        <v>50</v>
      </c>
      <c r="D14197" s="27" t="s">
        <v>7</v>
      </c>
      <c r="E14197" s="27" t="s">
        <v>40</v>
      </c>
      <c r="F14197" s="29"/>
      <c r="G14197" s="30">
        <v>511.74000000000086</v>
      </c>
    </row>
    <row r="14198" spans="1:7" hidden="1" x14ac:dyDescent="0.25">
      <c r="A14198" s="28">
        <v>44713</v>
      </c>
      <c r="B14198" s="27" t="s">
        <v>2</v>
      </c>
      <c r="C14198" s="27" t="s">
        <v>50</v>
      </c>
      <c r="D14198" s="27" t="s">
        <v>7</v>
      </c>
      <c r="E14198" s="27" t="s">
        <v>42</v>
      </c>
      <c r="F14198" s="29"/>
      <c r="G14198" s="30">
        <v>158.55999999999997</v>
      </c>
    </row>
    <row r="14199" spans="1:7" hidden="1" x14ac:dyDescent="0.25">
      <c r="A14199" s="28">
        <v>44713</v>
      </c>
      <c r="B14199" s="27" t="s">
        <v>2</v>
      </c>
      <c r="C14199" s="27" t="s">
        <v>50</v>
      </c>
      <c r="D14199" s="27" t="s">
        <v>7</v>
      </c>
      <c r="E14199" s="27" t="s">
        <v>43</v>
      </c>
      <c r="F14199" s="29"/>
      <c r="G14199" s="30">
        <v>431.62000000000069</v>
      </c>
    </row>
    <row r="14200" spans="1:7" hidden="1" x14ac:dyDescent="0.25">
      <c r="A14200" s="28">
        <v>44713</v>
      </c>
      <c r="B14200" s="27" t="s">
        <v>2</v>
      </c>
      <c r="C14200" s="27" t="s">
        <v>50</v>
      </c>
      <c r="D14200" s="27" t="s">
        <v>7</v>
      </c>
      <c r="E14200" s="27" t="s">
        <v>72</v>
      </c>
      <c r="F14200" s="29"/>
      <c r="G14200" s="30">
        <v>346.80000000000047</v>
      </c>
    </row>
    <row r="14201" spans="1:7" hidden="1" x14ac:dyDescent="0.25">
      <c r="A14201" s="28">
        <v>44713</v>
      </c>
      <c r="B14201" s="27" t="s">
        <v>2</v>
      </c>
      <c r="C14201" s="27" t="s">
        <v>50</v>
      </c>
      <c r="D14201" s="27" t="s">
        <v>7</v>
      </c>
      <c r="E14201" s="27" t="s">
        <v>206</v>
      </c>
      <c r="F14201" s="29"/>
      <c r="G14201" s="30">
        <v>1029.0999999999997</v>
      </c>
    </row>
    <row r="14202" spans="1:7" hidden="1" x14ac:dyDescent="0.25">
      <c r="A14202" s="28">
        <v>44713</v>
      </c>
      <c r="B14202" s="27" t="s">
        <v>2</v>
      </c>
      <c r="C14202" s="27" t="s">
        <v>50</v>
      </c>
      <c r="D14202" s="27" t="s">
        <v>7</v>
      </c>
      <c r="E14202" s="27" t="s">
        <v>67</v>
      </c>
      <c r="F14202" s="29"/>
      <c r="G14202" s="30">
        <v>16.100000000000001</v>
      </c>
    </row>
    <row r="14203" spans="1:7" hidden="1" x14ac:dyDescent="0.25">
      <c r="A14203" s="28">
        <v>44713</v>
      </c>
      <c r="B14203" s="27" t="s">
        <v>2</v>
      </c>
      <c r="C14203" s="27" t="s">
        <v>50</v>
      </c>
      <c r="D14203" s="27" t="s">
        <v>7</v>
      </c>
      <c r="E14203" s="27" t="s">
        <v>68</v>
      </c>
      <c r="F14203" s="29"/>
      <c r="G14203" s="30">
        <v>1362.5</v>
      </c>
    </row>
    <row r="14204" spans="1:7" hidden="1" x14ac:dyDescent="0.25">
      <c r="A14204" s="28">
        <v>44713</v>
      </c>
      <c r="B14204" s="27" t="s">
        <v>2</v>
      </c>
      <c r="C14204" s="27" t="s">
        <v>50</v>
      </c>
      <c r="D14204" s="27" t="s">
        <v>7</v>
      </c>
      <c r="E14204" s="27" t="s">
        <v>37</v>
      </c>
      <c r="F14204" s="29"/>
      <c r="G14204" s="30">
        <v>112.7</v>
      </c>
    </row>
    <row r="14205" spans="1:7" hidden="1" x14ac:dyDescent="0.25">
      <c r="A14205" s="28">
        <v>44713</v>
      </c>
      <c r="B14205" s="27" t="s">
        <v>36</v>
      </c>
      <c r="C14205" s="27" t="s">
        <v>50</v>
      </c>
      <c r="D14205" s="27" t="s">
        <v>6</v>
      </c>
      <c r="E14205" s="27" t="s">
        <v>8</v>
      </c>
      <c r="F14205" s="29"/>
      <c r="G14205" s="30">
        <v>367.41071428571428</v>
      </c>
    </row>
    <row r="14206" spans="1:7" hidden="1" x14ac:dyDescent="0.25">
      <c r="A14206" s="28">
        <v>44713</v>
      </c>
      <c r="B14206" s="27" t="s">
        <v>36</v>
      </c>
      <c r="C14206" s="27" t="s">
        <v>50</v>
      </c>
      <c r="D14206" s="27" t="s">
        <v>6</v>
      </c>
      <c r="E14206" s="27" t="s">
        <v>9</v>
      </c>
      <c r="F14206" s="29"/>
      <c r="G14206" s="30">
        <v>367.41071428571428</v>
      </c>
    </row>
    <row r="14207" spans="1:7" hidden="1" x14ac:dyDescent="0.25">
      <c r="A14207" s="28">
        <v>44713</v>
      </c>
      <c r="B14207" s="27" t="s">
        <v>36</v>
      </c>
      <c r="C14207" s="27" t="s">
        <v>50</v>
      </c>
      <c r="D14207" s="27" t="s">
        <v>6</v>
      </c>
      <c r="E14207" s="27" t="s">
        <v>22</v>
      </c>
      <c r="F14207" s="29"/>
      <c r="G14207" s="30">
        <v>367.41071428571428</v>
      </c>
    </row>
    <row r="14208" spans="1:7" hidden="1" x14ac:dyDescent="0.25">
      <c r="A14208" s="28">
        <v>44713</v>
      </c>
      <c r="B14208" s="27" t="s">
        <v>36</v>
      </c>
      <c r="C14208" s="27" t="s">
        <v>50</v>
      </c>
      <c r="D14208" s="27" t="s">
        <v>6</v>
      </c>
      <c r="E14208" s="27" t="s">
        <v>39</v>
      </c>
      <c r="F14208" s="29"/>
      <c r="G14208" s="30">
        <v>367.41071428571428</v>
      </c>
    </row>
    <row r="14209" spans="1:7" hidden="1" x14ac:dyDescent="0.25">
      <c r="A14209" s="28">
        <v>44713</v>
      </c>
      <c r="B14209" s="27" t="s">
        <v>36</v>
      </c>
      <c r="C14209" s="27" t="s">
        <v>50</v>
      </c>
      <c r="D14209" s="27" t="s">
        <v>6</v>
      </c>
      <c r="E14209" s="27" t="s">
        <v>64</v>
      </c>
      <c r="F14209" s="29"/>
      <c r="G14209" s="30">
        <v>367.41071428571428</v>
      </c>
    </row>
    <row r="14210" spans="1:7" hidden="1" x14ac:dyDescent="0.25">
      <c r="A14210" s="28">
        <v>44713</v>
      </c>
      <c r="B14210" s="27" t="s">
        <v>36</v>
      </c>
      <c r="C14210" s="27" t="s">
        <v>50</v>
      </c>
      <c r="D14210" s="27" t="s">
        <v>6</v>
      </c>
      <c r="E14210" s="27" t="s">
        <v>21</v>
      </c>
      <c r="F14210" s="29"/>
      <c r="G14210" s="30">
        <v>367.41071428571428</v>
      </c>
    </row>
    <row r="14211" spans="1:7" hidden="1" x14ac:dyDescent="0.25">
      <c r="A14211" s="28">
        <v>44713</v>
      </c>
      <c r="B14211" s="27" t="s">
        <v>36</v>
      </c>
      <c r="C14211" s="27" t="s">
        <v>50</v>
      </c>
      <c r="D14211" s="27" t="s">
        <v>6</v>
      </c>
      <c r="E14211" s="27" t="s">
        <v>41</v>
      </c>
      <c r="F14211" s="29"/>
      <c r="G14211" s="30">
        <v>367.41071428571428</v>
      </c>
    </row>
    <row r="14212" spans="1:7" hidden="1" x14ac:dyDescent="0.25">
      <c r="A14212" s="28">
        <v>44713</v>
      </c>
      <c r="B14212" s="27" t="s">
        <v>36</v>
      </c>
      <c r="C14212" s="27" t="s">
        <v>50</v>
      </c>
      <c r="D14212" s="27" t="s">
        <v>6</v>
      </c>
      <c r="E14212" s="27" t="s">
        <v>10</v>
      </c>
      <c r="F14212" s="29"/>
      <c r="G14212" s="30">
        <v>367.41071428571428</v>
      </c>
    </row>
    <row r="14213" spans="1:7" hidden="1" x14ac:dyDescent="0.25">
      <c r="A14213" s="28">
        <v>44713</v>
      </c>
      <c r="B14213" s="27" t="s">
        <v>36</v>
      </c>
      <c r="C14213" s="27" t="s">
        <v>50</v>
      </c>
      <c r="D14213" s="27" t="s">
        <v>6</v>
      </c>
      <c r="E14213" s="27" t="s">
        <v>11</v>
      </c>
      <c r="F14213" s="29"/>
      <c r="G14213" s="30">
        <v>367.41071428571428</v>
      </c>
    </row>
    <row r="14214" spans="1:7" hidden="1" x14ac:dyDescent="0.25">
      <c r="A14214" s="28">
        <v>44713</v>
      </c>
      <c r="B14214" s="27" t="s">
        <v>36</v>
      </c>
      <c r="C14214" s="27" t="s">
        <v>50</v>
      </c>
      <c r="D14214" s="27" t="s">
        <v>6</v>
      </c>
      <c r="E14214" s="27" t="s">
        <v>12</v>
      </c>
      <c r="F14214" s="29"/>
      <c r="G14214" s="30">
        <v>367.41071428571428</v>
      </c>
    </row>
    <row r="14215" spans="1:7" hidden="1" x14ac:dyDescent="0.25">
      <c r="A14215" s="28">
        <v>44713</v>
      </c>
      <c r="B14215" s="27" t="s">
        <v>36</v>
      </c>
      <c r="C14215" s="27" t="s">
        <v>50</v>
      </c>
      <c r="D14215" s="27" t="s">
        <v>6</v>
      </c>
      <c r="E14215" s="27" t="s">
        <v>13</v>
      </c>
      <c r="F14215" s="29"/>
      <c r="G14215" s="30">
        <v>367.41071428571428</v>
      </c>
    </row>
    <row r="14216" spans="1:7" hidden="1" x14ac:dyDescent="0.25">
      <c r="A14216" s="28">
        <v>44713</v>
      </c>
      <c r="B14216" s="27" t="s">
        <v>36</v>
      </c>
      <c r="C14216" s="27" t="s">
        <v>50</v>
      </c>
      <c r="D14216" s="27" t="s">
        <v>6</v>
      </c>
      <c r="E14216" s="27" t="s">
        <v>14</v>
      </c>
      <c r="F14216" s="29"/>
      <c r="G14216" s="30">
        <v>367.41071428571428</v>
      </c>
    </row>
    <row r="14217" spans="1:7" hidden="1" x14ac:dyDescent="0.25">
      <c r="A14217" s="28">
        <v>44713</v>
      </c>
      <c r="B14217" s="27" t="s">
        <v>36</v>
      </c>
      <c r="C14217" s="27" t="s">
        <v>50</v>
      </c>
      <c r="D14217" s="27" t="s">
        <v>6</v>
      </c>
      <c r="E14217" s="27" t="s">
        <v>15</v>
      </c>
      <c r="F14217" s="29"/>
      <c r="G14217" s="30">
        <v>367.41071428571428</v>
      </c>
    </row>
    <row r="14218" spans="1:7" hidden="1" x14ac:dyDescent="0.25">
      <c r="A14218" s="28">
        <v>44713</v>
      </c>
      <c r="B14218" s="27" t="s">
        <v>36</v>
      </c>
      <c r="C14218" s="27" t="s">
        <v>50</v>
      </c>
      <c r="D14218" s="27" t="s">
        <v>6</v>
      </c>
      <c r="E14218" s="27" t="s">
        <v>16</v>
      </c>
      <c r="F14218" s="29"/>
      <c r="G14218" s="30">
        <v>367.41071428571428</v>
      </c>
    </row>
    <row r="14219" spans="1:7" hidden="1" x14ac:dyDescent="0.25">
      <c r="A14219" s="28">
        <v>44713</v>
      </c>
      <c r="B14219" s="27" t="s">
        <v>36</v>
      </c>
      <c r="C14219" s="27" t="s">
        <v>50</v>
      </c>
      <c r="D14219" s="27" t="s">
        <v>6</v>
      </c>
      <c r="E14219" s="27" t="s">
        <v>17</v>
      </c>
      <c r="F14219" s="29"/>
      <c r="G14219" s="30">
        <v>367.41071428571428</v>
      </c>
    </row>
    <row r="14220" spans="1:7" hidden="1" x14ac:dyDescent="0.25">
      <c r="A14220" s="28">
        <v>44713</v>
      </c>
      <c r="B14220" s="27" t="s">
        <v>36</v>
      </c>
      <c r="C14220" s="27" t="s">
        <v>50</v>
      </c>
      <c r="D14220" s="27" t="s">
        <v>6</v>
      </c>
      <c r="E14220" s="27" t="s">
        <v>18</v>
      </c>
      <c r="F14220" s="29"/>
      <c r="G14220" s="30">
        <v>367.41071428571428</v>
      </c>
    </row>
    <row r="14221" spans="1:7" hidden="1" x14ac:dyDescent="0.25">
      <c r="A14221" s="28">
        <v>44713</v>
      </c>
      <c r="B14221" s="27" t="s">
        <v>36</v>
      </c>
      <c r="C14221" s="27" t="s">
        <v>50</v>
      </c>
      <c r="D14221" s="27" t="s">
        <v>6</v>
      </c>
      <c r="E14221" s="27" t="s">
        <v>19</v>
      </c>
      <c r="F14221" s="29"/>
      <c r="G14221" s="30">
        <v>367.41071428571428</v>
      </c>
    </row>
    <row r="14222" spans="1:7" hidden="1" x14ac:dyDescent="0.25">
      <c r="A14222" s="28">
        <v>44713</v>
      </c>
      <c r="B14222" s="27" t="s">
        <v>36</v>
      </c>
      <c r="C14222" s="27" t="s">
        <v>50</v>
      </c>
      <c r="D14222" s="27" t="s">
        <v>6</v>
      </c>
      <c r="E14222" s="27" t="s">
        <v>20</v>
      </c>
      <c r="F14222" s="29"/>
      <c r="G14222" s="30">
        <v>367.41071428571428</v>
      </c>
    </row>
    <row r="14223" spans="1:7" hidden="1" x14ac:dyDescent="0.25">
      <c r="A14223" s="28">
        <v>44713</v>
      </c>
      <c r="B14223" s="27" t="s">
        <v>36</v>
      </c>
      <c r="C14223" s="27" t="s">
        <v>50</v>
      </c>
      <c r="D14223" s="27" t="s">
        <v>6</v>
      </c>
      <c r="E14223" s="27" t="s">
        <v>38</v>
      </c>
      <c r="F14223" s="29"/>
      <c r="G14223" s="30">
        <v>367.41071428571428</v>
      </c>
    </row>
    <row r="14224" spans="1:7" hidden="1" x14ac:dyDescent="0.25">
      <c r="A14224" s="28">
        <v>44713</v>
      </c>
      <c r="B14224" s="27" t="s">
        <v>36</v>
      </c>
      <c r="C14224" s="27" t="s">
        <v>50</v>
      </c>
      <c r="D14224" s="27" t="s">
        <v>6</v>
      </c>
      <c r="E14224" s="27" t="s">
        <v>23</v>
      </c>
      <c r="F14224" s="29"/>
      <c r="G14224" s="30">
        <v>367.41071428571428</v>
      </c>
    </row>
    <row r="14225" spans="1:7" hidden="1" x14ac:dyDescent="0.25">
      <c r="A14225" s="28">
        <v>44713</v>
      </c>
      <c r="B14225" s="27" t="s">
        <v>36</v>
      </c>
      <c r="C14225" s="27" t="s">
        <v>50</v>
      </c>
      <c r="D14225" s="27" t="s">
        <v>6</v>
      </c>
      <c r="E14225" s="27" t="s">
        <v>40</v>
      </c>
      <c r="F14225" s="29"/>
      <c r="G14225" s="30">
        <v>367.41071428571428</v>
      </c>
    </row>
    <row r="14226" spans="1:7" hidden="1" x14ac:dyDescent="0.25">
      <c r="A14226" s="28">
        <v>44713</v>
      </c>
      <c r="B14226" s="27" t="s">
        <v>36</v>
      </c>
      <c r="C14226" s="27" t="s">
        <v>50</v>
      </c>
      <c r="D14226" s="27" t="s">
        <v>6</v>
      </c>
      <c r="E14226" s="27" t="s">
        <v>42</v>
      </c>
      <c r="F14226" s="29"/>
      <c r="G14226" s="30">
        <v>367.41071428571428</v>
      </c>
    </row>
    <row r="14227" spans="1:7" hidden="1" x14ac:dyDescent="0.25">
      <c r="A14227" s="28">
        <v>44713</v>
      </c>
      <c r="B14227" s="27" t="s">
        <v>36</v>
      </c>
      <c r="C14227" s="27" t="s">
        <v>50</v>
      </c>
      <c r="D14227" s="27" t="s">
        <v>6</v>
      </c>
      <c r="E14227" s="27" t="s">
        <v>43</v>
      </c>
      <c r="F14227" s="29"/>
      <c r="G14227" s="30">
        <v>367.41071428571428</v>
      </c>
    </row>
    <row r="14228" spans="1:7" hidden="1" x14ac:dyDescent="0.25">
      <c r="A14228" s="28">
        <v>44713</v>
      </c>
      <c r="B14228" s="27" t="s">
        <v>36</v>
      </c>
      <c r="C14228" s="27" t="s">
        <v>50</v>
      </c>
      <c r="D14228" s="27" t="s">
        <v>6</v>
      </c>
      <c r="E14228" s="27" t="s">
        <v>72</v>
      </c>
      <c r="F14228" s="29"/>
      <c r="G14228" s="30">
        <v>367.41071428571428</v>
      </c>
    </row>
    <row r="14229" spans="1:7" hidden="1" x14ac:dyDescent="0.25">
      <c r="A14229" s="28">
        <v>44713</v>
      </c>
      <c r="B14229" s="27" t="s">
        <v>36</v>
      </c>
      <c r="C14229" s="27" t="s">
        <v>50</v>
      </c>
      <c r="D14229" s="27" t="s">
        <v>6</v>
      </c>
      <c r="E14229" s="27" t="s">
        <v>206</v>
      </c>
      <c r="F14229" s="29"/>
      <c r="G14229" s="30">
        <v>367.41071428571428</v>
      </c>
    </row>
    <row r="14230" spans="1:7" hidden="1" x14ac:dyDescent="0.25">
      <c r="A14230" s="28">
        <v>44713</v>
      </c>
      <c r="B14230" s="27" t="s">
        <v>36</v>
      </c>
      <c r="C14230" s="27" t="s">
        <v>50</v>
      </c>
      <c r="D14230" s="27" t="s">
        <v>6</v>
      </c>
      <c r="E14230" s="27" t="s">
        <v>67</v>
      </c>
      <c r="F14230" s="29"/>
      <c r="G14230" s="30">
        <v>367.41071428571428</v>
      </c>
    </row>
    <row r="14231" spans="1:7" hidden="1" x14ac:dyDescent="0.25">
      <c r="A14231" s="28">
        <v>44713</v>
      </c>
      <c r="B14231" s="27" t="s">
        <v>36</v>
      </c>
      <c r="C14231" s="27" t="s">
        <v>50</v>
      </c>
      <c r="D14231" s="27" t="s">
        <v>6</v>
      </c>
      <c r="E14231" s="27" t="s">
        <v>68</v>
      </c>
      <c r="F14231" s="29"/>
      <c r="G14231" s="30">
        <v>367.41071428571428</v>
      </c>
    </row>
    <row r="14232" spans="1:7" hidden="1" x14ac:dyDescent="0.25">
      <c r="A14232" s="28">
        <v>44713</v>
      </c>
      <c r="B14232" s="27" t="s">
        <v>36</v>
      </c>
      <c r="C14232" s="27" t="s">
        <v>50</v>
      </c>
      <c r="D14232" s="27" t="s">
        <v>6</v>
      </c>
      <c r="E14232" s="27" t="s">
        <v>74</v>
      </c>
      <c r="F14232" s="29"/>
      <c r="G14232" s="30">
        <v>367.41071428571428</v>
      </c>
    </row>
    <row r="14233" spans="1:7" hidden="1" x14ac:dyDescent="0.25">
      <c r="A14233" s="28">
        <v>44713</v>
      </c>
      <c r="B14233" s="27" t="s">
        <v>200</v>
      </c>
      <c r="C14233" s="27" t="s">
        <v>53</v>
      </c>
      <c r="D14233" s="27" t="s">
        <v>6</v>
      </c>
      <c r="E14233" s="27" t="s">
        <v>8</v>
      </c>
      <c r="F14233" s="29"/>
      <c r="G14233" s="30">
        <f t="shared" ref="G14233:G14256" si="245">2666.68019444445/24</f>
        <v>111.11167476851875</v>
      </c>
    </row>
    <row r="14234" spans="1:7" hidden="1" x14ac:dyDescent="0.25">
      <c r="A14234" s="28">
        <v>44713</v>
      </c>
      <c r="B14234" s="27" t="s">
        <v>200</v>
      </c>
      <c r="C14234" s="27" t="s">
        <v>53</v>
      </c>
      <c r="D14234" s="27" t="s">
        <v>6</v>
      </c>
      <c r="E14234" s="27" t="s">
        <v>9</v>
      </c>
      <c r="F14234" s="29"/>
      <c r="G14234" s="30">
        <f t="shared" si="245"/>
        <v>111.11167476851875</v>
      </c>
    </row>
    <row r="14235" spans="1:7" hidden="1" x14ac:dyDescent="0.25">
      <c r="A14235" s="28">
        <v>44713</v>
      </c>
      <c r="B14235" s="27" t="s">
        <v>200</v>
      </c>
      <c r="C14235" s="27" t="s">
        <v>53</v>
      </c>
      <c r="D14235" s="27" t="s">
        <v>6</v>
      </c>
      <c r="E14235" s="27" t="s">
        <v>22</v>
      </c>
      <c r="F14235" s="29"/>
      <c r="G14235" s="30">
        <f t="shared" si="245"/>
        <v>111.11167476851875</v>
      </c>
    </row>
    <row r="14236" spans="1:7" hidden="1" x14ac:dyDescent="0.25">
      <c r="A14236" s="28">
        <v>44713</v>
      </c>
      <c r="B14236" s="27" t="s">
        <v>200</v>
      </c>
      <c r="C14236" s="27" t="s">
        <v>53</v>
      </c>
      <c r="D14236" s="27" t="s">
        <v>6</v>
      </c>
      <c r="E14236" s="27" t="s">
        <v>39</v>
      </c>
      <c r="F14236" s="29"/>
      <c r="G14236" s="30">
        <f t="shared" si="245"/>
        <v>111.11167476851875</v>
      </c>
    </row>
    <row r="14237" spans="1:7" hidden="1" x14ac:dyDescent="0.25">
      <c r="A14237" s="28">
        <v>44713</v>
      </c>
      <c r="B14237" s="27" t="s">
        <v>200</v>
      </c>
      <c r="C14237" s="27" t="s">
        <v>53</v>
      </c>
      <c r="D14237" s="27" t="s">
        <v>6</v>
      </c>
      <c r="E14237" s="27" t="s">
        <v>64</v>
      </c>
      <c r="F14237" s="29"/>
      <c r="G14237" s="30">
        <f t="shared" si="245"/>
        <v>111.11167476851875</v>
      </c>
    </row>
    <row r="14238" spans="1:7" hidden="1" x14ac:dyDescent="0.25">
      <c r="A14238" s="28">
        <v>44713</v>
      </c>
      <c r="B14238" s="27" t="s">
        <v>200</v>
      </c>
      <c r="C14238" s="27" t="s">
        <v>53</v>
      </c>
      <c r="D14238" s="27" t="s">
        <v>6</v>
      </c>
      <c r="E14238" s="27" t="s">
        <v>21</v>
      </c>
      <c r="F14238" s="29"/>
      <c r="G14238" s="30">
        <f t="shared" si="245"/>
        <v>111.11167476851875</v>
      </c>
    </row>
    <row r="14239" spans="1:7" hidden="1" x14ac:dyDescent="0.25">
      <c r="A14239" s="28">
        <v>44713</v>
      </c>
      <c r="B14239" s="27" t="s">
        <v>200</v>
      </c>
      <c r="C14239" s="27" t="s">
        <v>53</v>
      </c>
      <c r="D14239" s="27" t="s">
        <v>6</v>
      </c>
      <c r="E14239" s="27" t="s">
        <v>41</v>
      </c>
      <c r="F14239" s="29"/>
      <c r="G14239" s="30">
        <f t="shared" si="245"/>
        <v>111.11167476851875</v>
      </c>
    </row>
    <row r="14240" spans="1:7" hidden="1" x14ac:dyDescent="0.25">
      <c r="A14240" s="28">
        <v>44713</v>
      </c>
      <c r="B14240" s="27" t="s">
        <v>200</v>
      </c>
      <c r="C14240" s="27" t="s">
        <v>53</v>
      </c>
      <c r="D14240" s="27" t="s">
        <v>6</v>
      </c>
      <c r="E14240" s="27" t="s">
        <v>10</v>
      </c>
      <c r="F14240" s="29"/>
      <c r="G14240" s="30">
        <f t="shared" si="245"/>
        <v>111.11167476851875</v>
      </c>
    </row>
    <row r="14241" spans="1:7" hidden="1" x14ac:dyDescent="0.25">
      <c r="A14241" s="28">
        <v>44713</v>
      </c>
      <c r="B14241" s="27" t="s">
        <v>200</v>
      </c>
      <c r="C14241" s="27" t="s">
        <v>53</v>
      </c>
      <c r="D14241" s="27" t="s">
        <v>6</v>
      </c>
      <c r="E14241" s="27" t="s">
        <v>11</v>
      </c>
      <c r="F14241" s="29"/>
      <c r="G14241" s="30">
        <f t="shared" si="245"/>
        <v>111.11167476851875</v>
      </c>
    </row>
    <row r="14242" spans="1:7" hidden="1" x14ac:dyDescent="0.25">
      <c r="A14242" s="28">
        <v>44713</v>
      </c>
      <c r="B14242" s="27" t="s">
        <v>200</v>
      </c>
      <c r="C14242" s="27" t="s">
        <v>53</v>
      </c>
      <c r="D14242" s="27" t="s">
        <v>6</v>
      </c>
      <c r="E14242" s="27" t="s">
        <v>12</v>
      </c>
      <c r="F14242" s="29"/>
      <c r="G14242" s="30">
        <f t="shared" si="245"/>
        <v>111.11167476851875</v>
      </c>
    </row>
    <row r="14243" spans="1:7" hidden="1" x14ac:dyDescent="0.25">
      <c r="A14243" s="28">
        <v>44713</v>
      </c>
      <c r="B14243" s="27" t="s">
        <v>200</v>
      </c>
      <c r="C14243" s="27" t="s">
        <v>53</v>
      </c>
      <c r="D14243" s="27" t="s">
        <v>6</v>
      </c>
      <c r="E14243" s="27" t="s">
        <v>13</v>
      </c>
      <c r="F14243" s="29"/>
      <c r="G14243" s="30">
        <f t="shared" si="245"/>
        <v>111.11167476851875</v>
      </c>
    </row>
    <row r="14244" spans="1:7" hidden="1" x14ac:dyDescent="0.25">
      <c r="A14244" s="28">
        <v>44713</v>
      </c>
      <c r="B14244" s="27" t="s">
        <v>200</v>
      </c>
      <c r="C14244" s="27" t="s">
        <v>53</v>
      </c>
      <c r="D14244" s="27" t="s">
        <v>6</v>
      </c>
      <c r="E14244" s="27" t="s">
        <v>14</v>
      </c>
      <c r="F14244" s="29"/>
      <c r="G14244" s="30">
        <f t="shared" si="245"/>
        <v>111.11167476851875</v>
      </c>
    </row>
    <row r="14245" spans="1:7" hidden="1" x14ac:dyDescent="0.25">
      <c r="A14245" s="28">
        <v>44713</v>
      </c>
      <c r="B14245" s="27" t="s">
        <v>200</v>
      </c>
      <c r="C14245" s="27" t="s">
        <v>53</v>
      </c>
      <c r="D14245" s="27" t="s">
        <v>6</v>
      </c>
      <c r="E14245" s="27" t="s">
        <v>15</v>
      </c>
      <c r="F14245" s="29"/>
      <c r="G14245" s="30">
        <f t="shared" si="245"/>
        <v>111.11167476851875</v>
      </c>
    </row>
    <row r="14246" spans="1:7" hidden="1" x14ac:dyDescent="0.25">
      <c r="A14246" s="28">
        <v>44713</v>
      </c>
      <c r="B14246" s="27" t="s">
        <v>200</v>
      </c>
      <c r="C14246" s="27" t="s">
        <v>53</v>
      </c>
      <c r="D14246" s="27" t="s">
        <v>6</v>
      </c>
      <c r="E14246" s="27" t="s">
        <v>16</v>
      </c>
      <c r="F14246" s="29"/>
      <c r="G14246" s="30">
        <f t="shared" si="245"/>
        <v>111.11167476851875</v>
      </c>
    </row>
    <row r="14247" spans="1:7" hidden="1" x14ac:dyDescent="0.25">
      <c r="A14247" s="28">
        <v>44713</v>
      </c>
      <c r="B14247" s="27" t="s">
        <v>200</v>
      </c>
      <c r="C14247" s="27" t="s">
        <v>53</v>
      </c>
      <c r="D14247" s="27" t="s">
        <v>6</v>
      </c>
      <c r="E14247" s="27" t="s">
        <v>17</v>
      </c>
      <c r="F14247" s="29"/>
      <c r="G14247" s="30">
        <f t="shared" si="245"/>
        <v>111.11167476851875</v>
      </c>
    </row>
    <row r="14248" spans="1:7" hidden="1" x14ac:dyDescent="0.25">
      <c r="A14248" s="28">
        <v>44713</v>
      </c>
      <c r="B14248" s="27" t="s">
        <v>200</v>
      </c>
      <c r="C14248" s="27" t="s">
        <v>53</v>
      </c>
      <c r="D14248" s="27" t="s">
        <v>6</v>
      </c>
      <c r="E14248" s="27" t="s">
        <v>18</v>
      </c>
      <c r="F14248" s="29"/>
      <c r="G14248" s="30">
        <f t="shared" si="245"/>
        <v>111.11167476851875</v>
      </c>
    </row>
    <row r="14249" spans="1:7" hidden="1" x14ac:dyDescent="0.25">
      <c r="A14249" s="28">
        <v>44713</v>
      </c>
      <c r="B14249" s="27" t="s">
        <v>200</v>
      </c>
      <c r="C14249" s="27" t="s">
        <v>53</v>
      </c>
      <c r="D14249" s="27" t="s">
        <v>6</v>
      </c>
      <c r="E14249" s="27" t="s">
        <v>19</v>
      </c>
      <c r="F14249" s="29"/>
      <c r="G14249" s="30">
        <f t="shared" si="245"/>
        <v>111.11167476851875</v>
      </c>
    </row>
    <row r="14250" spans="1:7" hidden="1" x14ac:dyDescent="0.25">
      <c r="A14250" s="28">
        <v>44713</v>
      </c>
      <c r="B14250" s="27" t="s">
        <v>200</v>
      </c>
      <c r="C14250" s="27" t="s">
        <v>53</v>
      </c>
      <c r="D14250" s="27" t="s">
        <v>6</v>
      </c>
      <c r="E14250" s="27" t="s">
        <v>20</v>
      </c>
      <c r="F14250" s="29"/>
      <c r="G14250" s="30">
        <f t="shared" si="245"/>
        <v>111.11167476851875</v>
      </c>
    </row>
    <row r="14251" spans="1:7" hidden="1" x14ac:dyDescent="0.25">
      <c r="A14251" s="28">
        <v>44713</v>
      </c>
      <c r="B14251" s="27" t="s">
        <v>200</v>
      </c>
      <c r="C14251" s="27" t="s">
        <v>53</v>
      </c>
      <c r="D14251" s="27" t="s">
        <v>6</v>
      </c>
      <c r="E14251" s="27" t="s">
        <v>38</v>
      </c>
      <c r="F14251" s="29"/>
      <c r="G14251" s="30">
        <f t="shared" si="245"/>
        <v>111.11167476851875</v>
      </c>
    </row>
    <row r="14252" spans="1:7" hidden="1" x14ac:dyDescent="0.25">
      <c r="A14252" s="28">
        <v>44713</v>
      </c>
      <c r="B14252" s="27" t="s">
        <v>200</v>
      </c>
      <c r="C14252" s="27" t="s">
        <v>53</v>
      </c>
      <c r="D14252" s="27" t="s">
        <v>6</v>
      </c>
      <c r="E14252" s="27" t="s">
        <v>23</v>
      </c>
      <c r="F14252" s="29"/>
      <c r="G14252" s="30">
        <f t="shared" si="245"/>
        <v>111.11167476851875</v>
      </c>
    </row>
    <row r="14253" spans="1:7" hidden="1" x14ac:dyDescent="0.25">
      <c r="A14253" s="28">
        <v>44713</v>
      </c>
      <c r="B14253" s="27" t="s">
        <v>200</v>
      </c>
      <c r="C14253" s="27" t="s">
        <v>53</v>
      </c>
      <c r="D14253" s="27" t="s">
        <v>6</v>
      </c>
      <c r="E14253" s="27" t="s">
        <v>40</v>
      </c>
      <c r="F14253" s="29"/>
      <c r="G14253" s="30">
        <f t="shared" si="245"/>
        <v>111.11167476851875</v>
      </c>
    </row>
    <row r="14254" spans="1:7" hidden="1" x14ac:dyDescent="0.25">
      <c r="A14254" s="28">
        <v>44713</v>
      </c>
      <c r="B14254" s="27" t="s">
        <v>200</v>
      </c>
      <c r="C14254" s="27" t="s">
        <v>53</v>
      </c>
      <c r="D14254" s="27" t="s">
        <v>6</v>
      </c>
      <c r="E14254" s="27" t="s">
        <v>42</v>
      </c>
      <c r="F14254" s="29"/>
      <c r="G14254" s="30">
        <f t="shared" si="245"/>
        <v>111.11167476851875</v>
      </c>
    </row>
    <row r="14255" spans="1:7" hidden="1" x14ac:dyDescent="0.25">
      <c r="A14255" s="28">
        <v>44713</v>
      </c>
      <c r="B14255" s="27" t="s">
        <v>200</v>
      </c>
      <c r="C14255" s="27" t="s">
        <v>53</v>
      </c>
      <c r="D14255" s="27" t="s">
        <v>6</v>
      </c>
      <c r="E14255" s="27" t="s">
        <v>72</v>
      </c>
      <c r="F14255" s="29"/>
      <c r="G14255" s="30">
        <f t="shared" si="245"/>
        <v>111.11167476851875</v>
      </c>
    </row>
    <row r="14256" spans="1:7" hidden="1" x14ac:dyDescent="0.25">
      <c r="A14256" s="28">
        <v>44713</v>
      </c>
      <c r="B14256" s="27" t="s">
        <v>200</v>
      </c>
      <c r="C14256" s="27" t="s">
        <v>53</v>
      </c>
      <c r="D14256" s="27" t="s">
        <v>6</v>
      </c>
      <c r="E14256" s="27" t="s">
        <v>12</v>
      </c>
      <c r="F14256" s="29"/>
      <c r="G14256" s="30">
        <f t="shared" si="245"/>
        <v>111.11167476851875</v>
      </c>
    </row>
    <row r="14257" spans="1:7" hidden="1" x14ac:dyDescent="0.25">
      <c r="A14257" s="28">
        <v>44713</v>
      </c>
      <c r="B14257" s="27" t="s">
        <v>200</v>
      </c>
      <c r="C14257" s="27" t="s">
        <v>54</v>
      </c>
      <c r="D14257" s="27" t="s">
        <v>7</v>
      </c>
      <c r="E14257" s="27" t="s">
        <v>8</v>
      </c>
      <c r="F14257" s="29"/>
      <c r="G14257" s="30">
        <f t="shared" ref="G14257:G14284" si="246">638.55/28</f>
        <v>22.80535714285714</v>
      </c>
    </row>
    <row r="14258" spans="1:7" hidden="1" x14ac:dyDescent="0.25">
      <c r="A14258" s="28">
        <v>44713</v>
      </c>
      <c r="B14258" s="27" t="s">
        <v>200</v>
      </c>
      <c r="C14258" s="27" t="s">
        <v>54</v>
      </c>
      <c r="D14258" s="27" t="s">
        <v>7</v>
      </c>
      <c r="E14258" s="27" t="s">
        <v>9</v>
      </c>
      <c r="F14258" s="29"/>
      <c r="G14258" s="30">
        <f t="shared" si="246"/>
        <v>22.80535714285714</v>
      </c>
    </row>
    <row r="14259" spans="1:7" hidden="1" x14ac:dyDescent="0.25">
      <c r="A14259" s="28">
        <v>44713</v>
      </c>
      <c r="B14259" s="27" t="s">
        <v>200</v>
      </c>
      <c r="C14259" s="27" t="s">
        <v>54</v>
      </c>
      <c r="D14259" s="27" t="s">
        <v>7</v>
      </c>
      <c r="E14259" s="27" t="s">
        <v>22</v>
      </c>
      <c r="F14259" s="29"/>
      <c r="G14259" s="30">
        <f t="shared" si="246"/>
        <v>22.80535714285714</v>
      </c>
    </row>
    <row r="14260" spans="1:7" hidden="1" x14ac:dyDescent="0.25">
      <c r="A14260" s="28">
        <v>44713</v>
      </c>
      <c r="B14260" s="27" t="s">
        <v>200</v>
      </c>
      <c r="C14260" s="27" t="s">
        <v>54</v>
      </c>
      <c r="D14260" s="27" t="s">
        <v>7</v>
      </c>
      <c r="E14260" s="27" t="s">
        <v>39</v>
      </c>
      <c r="F14260" s="29"/>
      <c r="G14260" s="30">
        <f t="shared" si="246"/>
        <v>22.80535714285714</v>
      </c>
    </row>
    <row r="14261" spans="1:7" hidden="1" x14ac:dyDescent="0.25">
      <c r="A14261" s="28">
        <v>44713</v>
      </c>
      <c r="B14261" s="27" t="s">
        <v>200</v>
      </c>
      <c r="C14261" s="27" t="s">
        <v>54</v>
      </c>
      <c r="D14261" s="27" t="s">
        <v>7</v>
      </c>
      <c r="E14261" s="27" t="s">
        <v>64</v>
      </c>
      <c r="F14261" s="29"/>
      <c r="G14261" s="30">
        <f t="shared" si="246"/>
        <v>22.80535714285714</v>
      </c>
    </row>
    <row r="14262" spans="1:7" hidden="1" x14ac:dyDescent="0.25">
      <c r="A14262" s="28">
        <v>44713</v>
      </c>
      <c r="B14262" s="27" t="s">
        <v>200</v>
      </c>
      <c r="C14262" s="27" t="s">
        <v>54</v>
      </c>
      <c r="D14262" s="27" t="s">
        <v>7</v>
      </c>
      <c r="E14262" s="27" t="s">
        <v>21</v>
      </c>
      <c r="F14262" s="29"/>
      <c r="G14262" s="30">
        <f t="shared" si="246"/>
        <v>22.80535714285714</v>
      </c>
    </row>
    <row r="14263" spans="1:7" hidden="1" x14ac:dyDescent="0.25">
      <c r="A14263" s="28">
        <v>44713</v>
      </c>
      <c r="B14263" s="27" t="s">
        <v>200</v>
      </c>
      <c r="C14263" s="27" t="s">
        <v>54</v>
      </c>
      <c r="D14263" s="27" t="s">
        <v>7</v>
      </c>
      <c r="E14263" s="27" t="s">
        <v>41</v>
      </c>
      <c r="F14263" s="29"/>
      <c r="G14263" s="30">
        <f t="shared" si="246"/>
        <v>22.80535714285714</v>
      </c>
    </row>
    <row r="14264" spans="1:7" hidden="1" x14ac:dyDescent="0.25">
      <c r="A14264" s="28">
        <v>44713</v>
      </c>
      <c r="B14264" s="27" t="s">
        <v>200</v>
      </c>
      <c r="C14264" s="27" t="s">
        <v>54</v>
      </c>
      <c r="D14264" s="27" t="s">
        <v>7</v>
      </c>
      <c r="E14264" s="27" t="s">
        <v>10</v>
      </c>
      <c r="F14264" s="29"/>
      <c r="G14264" s="30">
        <f t="shared" si="246"/>
        <v>22.80535714285714</v>
      </c>
    </row>
    <row r="14265" spans="1:7" hidden="1" x14ac:dyDescent="0.25">
      <c r="A14265" s="28">
        <v>44713</v>
      </c>
      <c r="B14265" s="27" t="s">
        <v>200</v>
      </c>
      <c r="C14265" s="27" t="s">
        <v>54</v>
      </c>
      <c r="D14265" s="27" t="s">
        <v>7</v>
      </c>
      <c r="E14265" s="27" t="s">
        <v>11</v>
      </c>
      <c r="F14265" s="29"/>
      <c r="G14265" s="30">
        <f t="shared" si="246"/>
        <v>22.80535714285714</v>
      </c>
    </row>
    <row r="14266" spans="1:7" hidden="1" x14ac:dyDescent="0.25">
      <c r="A14266" s="28">
        <v>44713</v>
      </c>
      <c r="B14266" s="27" t="s">
        <v>200</v>
      </c>
      <c r="C14266" s="27" t="s">
        <v>54</v>
      </c>
      <c r="D14266" s="27" t="s">
        <v>7</v>
      </c>
      <c r="E14266" s="27" t="s">
        <v>12</v>
      </c>
      <c r="F14266" s="29"/>
      <c r="G14266" s="30">
        <f t="shared" si="246"/>
        <v>22.80535714285714</v>
      </c>
    </row>
    <row r="14267" spans="1:7" hidden="1" x14ac:dyDescent="0.25">
      <c r="A14267" s="28">
        <v>44713</v>
      </c>
      <c r="B14267" s="27" t="s">
        <v>200</v>
      </c>
      <c r="C14267" s="27" t="s">
        <v>54</v>
      </c>
      <c r="D14267" s="27" t="s">
        <v>7</v>
      </c>
      <c r="E14267" s="27" t="s">
        <v>13</v>
      </c>
      <c r="F14267" s="29"/>
      <c r="G14267" s="30">
        <f t="shared" si="246"/>
        <v>22.80535714285714</v>
      </c>
    </row>
    <row r="14268" spans="1:7" hidden="1" x14ac:dyDescent="0.25">
      <c r="A14268" s="28">
        <v>44713</v>
      </c>
      <c r="B14268" s="27" t="s">
        <v>200</v>
      </c>
      <c r="C14268" s="27" t="s">
        <v>54</v>
      </c>
      <c r="D14268" s="27" t="s">
        <v>7</v>
      </c>
      <c r="E14268" s="27" t="s">
        <v>14</v>
      </c>
      <c r="F14268" s="29"/>
      <c r="G14268" s="30">
        <f t="shared" si="246"/>
        <v>22.80535714285714</v>
      </c>
    </row>
    <row r="14269" spans="1:7" hidden="1" x14ac:dyDescent="0.25">
      <c r="A14269" s="28">
        <v>44713</v>
      </c>
      <c r="B14269" s="27" t="s">
        <v>200</v>
      </c>
      <c r="C14269" s="27" t="s">
        <v>54</v>
      </c>
      <c r="D14269" s="27" t="s">
        <v>7</v>
      </c>
      <c r="E14269" s="27" t="s">
        <v>15</v>
      </c>
      <c r="F14269" s="29"/>
      <c r="G14269" s="30">
        <f t="shared" si="246"/>
        <v>22.80535714285714</v>
      </c>
    </row>
    <row r="14270" spans="1:7" hidden="1" x14ac:dyDescent="0.25">
      <c r="A14270" s="28">
        <v>44713</v>
      </c>
      <c r="B14270" s="27" t="s">
        <v>200</v>
      </c>
      <c r="C14270" s="27" t="s">
        <v>54</v>
      </c>
      <c r="D14270" s="27" t="s">
        <v>7</v>
      </c>
      <c r="E14270" s="27" t="s">
        <v>16</v>
      </c>
      <c r="F14270" s="29"/>
      <c r="G14270" s="30">
        <f t="shared" si="246"/>
        <v>22.80535714285714</v>
      </c>
    </row>
    <row r="14271" spans="1:7" hidden="1" x14ac:dyDescent="0.25">
      <c r="A14271" s="28">
        <v>44713</v>
      </c>
      <c r="B14271" s="27" t="s">
        <v>200</v>
      </c>
      <c r="C14271" s="27" t="s">
        <v>54</v>
      </c>
      <c r="D14271" s="27" t="s">
        <v>7</v>
      </c>
      <c r="E14271" s="27" t="s">
        <v>17</v>
      </c>
      <c r="F14271" s="29"/>
      <c r="G14271" s="30">
        <f t="shared" si="246"/>
        <v>22.80535714285714</v>
      </c>
    </row>
    <row r="14272" spans="1:7" hidden="1" x14ac:dyDescent="0.25">
      <c r="A14272" s="28">
        <v>44713</v>
      </c>
      <c r="B14272" s="27" t="s">
        <v>200</v>
      </c>
      <c r="C14272" s="27" t="s">
        <v>54</v>
      </c>
      <c r="D14272" s="27" t="s">
        <v>7</v>
      </c>
      <c r="E14272" s="27" t="s">
        <v>18</v>
      </c>
      <c r="F14272" s="29"/>
      <c r="G14272" s="30">
        <f t="shared" si="246"/>
        <v>22.80535714285714</v>
      </c>
    </row>
    <row r="14273" spans="1:7" hidden="1" x14ac:dyDescent="0.25">
      <c r="A14273" s="28">
        <v>44713</v>
      </c>
      <c r="B14273" s="27" t="s">
        <v>200</v>
      </c>
      <c r="C14273" s="27" t="s">
        <v>54</v>
      </c>
      <c r="D14273" s="27" t="s">
        <v>7</v>
      </c>
      <c r="E14273" s="27" t="s">
        <v>19</v>
      </c>
      <c r="F14273" s="29"/>
      <c r="G14273" s="30">
        <f t="shared" si="246"/>
        <v>22.80535714285714</v>
      </c>
    </row>
    <row r="14274" spans="1:7" hidden="1" x14ac:dyDescent="0.25">
      <c r="A14274" s="28">
        <v>44713</v>
      </c>
      <c r="B14274" s="27" t="s">
        <v>200</v>
      </c>
      <c r="C14274" s="27" t="s">
        <v>54</v>
      </c>
      <c r="D14274" s="27" t="s">
        <v>7</v>
      </c>
      <c r="E14274" s="27" t="s">
        <v>20</v>
      </c>
      <c r="F14274" s="29"/>
      <c r="G14274" s="30">
        <f t="shared" si="246"/>
        <v>22.80535714285714</v>
      </c>
    </row>
    <row r="14275" spans="1:7" hidden="1" x14ac:dyDescent="0.25">
      <c r="A14275" s="28">
        <v>44713</v>
      </c>
      <c r="B14275" s="27" t="s">
        <v>200</v>
      </c>
      <c r="C14275" s="27" t="s">
        <v>54</v>
      </c>
      <c r="D14275" s="27" t="s">
        <v>7</v>
      </c>
      <c r="E14275" s="27" t="s">
        <v>38</v>
      </c>
      <c r="F14275" s="29"/>
      <c r="G14275" s="30">
        <f t="shared" si="246"/>
        <v>22.80535714285714</v>
      </c>
    </row>
    <row r="14276" spans="1:7" hidden="1" x14ac:dyDescent="0.25">
      <c r="A14276" s="28">
        <v>44713</v>
      </c>
      <c r="B14276" s="27" t="s">
        <v>200</v>
      </c>
      <c r="C14276" s="27" t="s">
        <v>54</v>
      </c>
      <c r="D14276" s="27" t="s">
        <v>7</v>
      </c>
      <c r="E14276" s="27" t="s">
        <v>23</v>
      </c>
      <c r="F14276" s="29"/>
      <c r="G14276" s="30">
        <f t="shared" si="246"/>
        <v>22.80535714285714</v>
      </c>
    </row>
    <row r="14277" spans="1:7" hidden="1" x14ac:dyDescent="0.25">
      <c r="A14277" s="28">
        <v>44713</v>
      </c>
      <c r="B14277" s="27" t="s">
        <v>200</v>
      </c>
      <c r="C14277" s="27" t="s">
        <v>54</v>
      </c>
      <c r="D14277" s="27" t="s">
        <v>7</v>
      </c>
      <c r="E14277" s="27" t="s">
        <v>40</v>
      </c>
      <c r="F14277" s="29"/>
      <c r="G14277" s="30">
        <f t="shared" si="246"/>
        <v>22.80535714285714</v>
      </c>
    </row>
    <row r="14278" spans="1:7" hidden="1" x14ac:dyDescent="0.25">
      <c r="A14278" s="28">
        <v>44713</v>
      </c>
      <c r="B14278" s="27" t="s">
        <v>200</v>
      </c>
      <c r="C14278" s="27" t="s">
        <v>54</v>
      </c>
      <c r="D14278" s="27" t="s">
        <v>7</v>
      </c>
      <c r="E14278" s="27" t="s">
        <v>42</v>
      </c>
      <c r="F14278" s="29"/>
      <c r="G14278" s="30">
        <f t="shared" si="246"/>
        <v>22.80535714285714</v>
      </c>
    </row>
    <row r="14279" spans="1:7" hidden="1" x14ac:dyDescent="0.25">
      <c r="A14279" s="28">
        <v>44713</v>
      </c>
      <c r="B14279" s="27" t="s">
        <v>200</v>
      </c>
      <c r="C14279" s="27" t="s">
        <v>54</v>
      </c>
      <c r="D14279" s="27" t="s">
        <v>7</v>
      </c>
      <c r="E14279" s="27" t="s">
        <v>43</v>
      </c>
      <c r="F14279" s="29"/>
      <c r="G14279" s="30">
        <f t="shared" si="246"/>
        <v>22.80535714285714</v>
      </c>
    </row>
    <row r="14280" spans="1:7" hidden="1" x14ac:dyDescent="0.25">
      <c r="A14280" s="28">
        <v>44713</v>
      </c>
      <c r="B14280" s="27" t="s">
        <v>200</v>
      </c>
      <c r="C14280" s="27" t="s">
        <v>54</v>
      </c>
      <c r="D14280" s="27" t="s">
        <v>7</v>
      </c>
      <c r="E14280" s="27" t="s">
        <v>72</v>
      </c>
      <c r="F14280" s="29"/>
      <c r="G14280" s="30">
        <f t="shared" si="246"/>
        <v>22.80535714285714</v>
      </c>
    </row>
    <row r="14281" spans="1:7" hidden="1" x14ac:dyDescent="0.25">
      <c r="A14281" s="28">
        <v>44713</v>
      </c>
      <c r="B14281" s="27" t="s">
        <v>200</v>
      </c>
      <c r="C14281" s="27" t="s">
        <v>54</v>
      </c>
      <c r="D14281" s="27" t="s">
        <v>7</v>
      </c>
      <c r="E14281" s="27" t="s">
        <v>206</v>
      </c>
      <c r="F14281" s="29"/>
      <c r="G14281" s="30">
        <f t="shared" si="246"/>
        <v>22.80535714285714</v>
      </c>
    </row>
    <row r="14282" spans="1:7" hidden="1" x14ac:dyDescent="0.25">
      <c r="A14282" s="28">
        <v>44713</v>
      </c>
      <c r="B14282" s="27" t="s">
        <v>200</v>
      </c>
      <c r="C14282" s="27" t="s">
        <v>54</v>
      </c>
      <c r="D14282" s="27" t="s">
        <v>7</v>
      </c>
      <c r="E14282" s="27" t="s">
        <v>67</v>
      </c>
      <c r="F14282" s="29"/>
      <c r="G14282" s="30">
        <f t="shared" si="246"/>
        <v>22.80535714285714</v>
      </c>
    </row>
    <row r="14283" spans="1:7" hidden="1" x14ac:dyDescent="0.25">
      <c r="A14283" s="28">
        <v>44713</v>
      </c>
      <c r="B14283" s="27" t="s">
        <v>200</v>
      </c>
      <c r="C14283" s="27" t="s">
        <v>54</v>
      </c>
      <c r="D14283" s="27" t="s">
        <v>7</v>
      </c>
      <c r="E14283" s="27" t="s">
        <v>68</v>
      </c>
      <c r="F14283" s="29"/>
      <c r="G14283" s="30">
        <f t="shared" si="246"/>
        <v>22.80535714285714</v>
      </c>
    </row>
    <row r="14284" spans="1:7" hidden="1" x14ac:dyDescent="0.25">
      <c r="A14284" s="28">
        <v>44713</v>
      </c>
      <c r="B14284" s="27" t="s">
        <v>200</v>
      </c>
      <c r="C14284" s="27" t="s">
        <v>54</v>
      </c>
      <c r="D14284" s="27" t="s">
        <v>7</v>
      </c>
      <c r="E14284" s="27" t="s">
        <v>74</v>
      </c>
      <c r="F14284" s="29"/>
      <c r="G14284" s="30">
        <f t="shared" si="246"/>
        <v>22.80535714285714</v>
      </c>
    </row>
    <row r="14285" spans="1:7" hidden="1" x14ac:dyDescent="0.25">
      <c r="A14285" s="28">
        <v>44713</v>
      </c>
      <c r="B14285" s="27" t="s">
        <v>200</v>
      </c>
      <c r="C14285" s="27" t="s">
        <v>55</v>
      </c>
      <c r="D14285" s="27" t="s">
        <v>6</v>
      </c>
      <c r="E14285" s="27" t="s">
        <v>8</v>
      </c>
      <c r="F14285" s="29"/>
      <c r="G14285" s="30">
        <f t="shared" ref="G14285:G14308" si="247">41590.1607555556/24</f>
        <v>1732.9233648148165</v>
      </c>
    </row>
    <row r="14286" spans="1:7" hidden="1" x14ac:dyDescent="0.25">
      <c r="A14286" s="28">
        <v>44713</v>
      </c>
      <c r="B14286" s="27" t="s">
        <v>200</v>
      </c>
      <c r="C14286" s="27" t="s">
        <v>55</v>
      </c>
      <c r="D14286" s="27" t="s">
        <v>6</v>
      </c>
      <c r="E14286" s="27" t="s">
        <v>9</v>
      </c>
      <c r="F14286" s="29"/>
      <c r="G14286" s="30">
        <f t="shared" si="247"/>
        <v>1732.9233648148165</v>
      </c>
    </row>
    <row r="14287" spans="1:7" hidden="1" x14ac:dyDescent="0.25">
      <c r="A14287" s="28">
        <v>44713</v>
      </c>
      <c r="B14287" s="27" t="s">
        <v>200</v>
      </c>
      <c r="C14287" s="27" t="s">
        <v>55</v>
      </c>
      <c r="D14287" s="27" t="s">
        <v>6</v>
      </c>
      <c r="E14287" s="27" t="s">
        <v>22</v>
      </c>
      <c r="F14287" s="29"/>
      <c r="G14287" s="30">
        <f t="shared" si="247"/>
        <v>1732.9233648148165</v>
      </c>
    </row>
    <row r="14288" spans="1:7" hidden="1" x14ac:dyDescent="0.25">
      <c r="A14288" s="28">
        <v>44713</v>
      </c>
      <c r="B14288" s="27" t="s">
        <v>200</v>
      </c>
      <c r="C14288" s="27" t="s">
        <v>55</v>
      </c>
      <c r="D14288" s="27" t="s">
        <v>6</v>
      </c>
      <c r="E14288" s="27" t="s">
        <v>39</v>
      </c>
      <c r="F14288" s="29"/>
      <c r="G14288" s="30">
        <f t="shared" si="247"/>
        <v>1732.9233648148165</v>
      </c>
    </row>
    <row r="14289" spans="1:7" hidden="1" x14ac:dyDescent="0.25">
      <c r="A14289" s="28">
        <v>44713</v>
      </c>
      <c r="B14289" s="27" t="s">
        <v>200</v>
      </c>
      <c r="C14289" s="27" t="s">
        <v>55</v>
      </c>
      <c r="D14289" s="27" t="s">
        <v>6</v>
      </c>
      <c r="E14289" s="27" t="s">
        <v>64</v>
      </c>
      <c r="F14289" s="29"/>
      <c r="G14289" s="30">
        <f t="shared" si="247"/>
        <v>1732.9233648148165</v>
      </c>
    </row>
    <row r="14290" spans="1:7" hidden="1" x14ac:dyDescent="0.25">
      <c r="A14290" s="28">
        <v>44713</v>
      </c>
      <c r="B14290" s="27" t="s">
        <v>200</v>
      </c>
      <c r="C14290" s="27" t="s">
        <v>55</v>
      </c>
      <c r="D14290" s="27" t="s">
        <v>6</v>
      </c>
      <c r="E14290" s="27" t="s">
        <v>21</v>
      </c>
      <c r="F14290" s="29"/>
      <c r="G14290" s="30">
        <f t="shared" si="247"/>
        <v>1732.9233648148165</v>
      </c>
    </row>
    <row r="14291" spans="1:7" hidden="1" x14ac:dyDescent="0.25">
      <c r="A14291" s="28">
        <v>44713</v>
      </c>
      <c r="B14291" s="27" t="s">
        <v>200</v>
      </c>
      <c r="C14291" s="27" t="s">
        <v>55</v>
      </c>
      <c r="D14291" s="27" t="s">
        <v>6</v>
      </c>
      <c r="E14291" s="27" t="s">
        <v>41</v>
      </c>
      <c r="F14291" s="29"/>
      <c r="G14291" s="30">
        <f t="shared" si="247"/>
        <v>1732.9233648148165</v>
      </c>
    </row>
    <row r="14292" spans="1:7" hidden="1" x14ac:dyDescent="0.25">
      <c r="A14292" s="28">
        <v>44713</v>
      </c>
      <c r="B14292" s="27" t="s">
        <v>200</v>
      </c>
      <c r="C14292" s="27" t="s">
        <v>55</v>
      </c>
      <c r="D14292" s="27" t="s">
        <v>6</v>
      </c>
      <c r="E14292" s="27" t="s">
        <v>10</v>
      </c>
      <c r="F14292" s="29"/>
      <c r="G14292" s="30">
        <f t="shared" si="247"/>
        <v>1732.9233648148165</v>
      </c>
    </row>
    <row r="14293" spans="1:7" hidden="1" x14ac:dyDescent="0.25">
      <c r="A14293" s="28">
        <v>44713</v>
      </c>
      <c r="B14293" s="27" t="s">
        <v>200</v>
      </c>
      <c r="C14293" s="27" t="s">
        <v>55</v>
      </c>
      <c r="D14293" s="27" t="s">
        <v>6</v>
      </c>
      <c r="E14293" s="27" t="s">
        <v>11</v>
      </c>
      <c r="F14293" s="29"/>
      <c r="G14293" s="30">
        <f t="shared" si="247"/>
        <v>1732.9233648148165</v>
      </c>
    </row>
    <row r="14294" spans="1:7" hidden="1" x14ac:dyDescent="0.25">
      <c r="A14294" s="28">
        <v>44713</v>
      </c>
      <c r="B14294" s="27" t="s">
        <v>200</v>
      </c>
      <c r="C14294" s="27" t="s">
        <v>55</v>
      </c>
      <c r="D14294" s="27" t="s">
        <v>6</v>
      </c>
      <c r="E14294" s="27" t="s">
        <v>12</v>
      </c>
      <c r="F14294" s="29"/>
      <c r="G14294" s="30">
        <f t="shared" si="247"/>
        <v>1732.9233648148165</v>
      </c>
    </row>
    <row r="14295" spans="1:7" hidden="1" x14ac:dyDescent="0.25">
      <c r="A14295" s="28">
        <v>44713</v>
      </c>
      <c r="B14295" s="27" t="s">
        <v>200</v>
      </c>
      <c r="C14295" s="27" t="s">
        <v>55</v>
      </c>
      <c r="D14295" s="27" t="s">
        <v>6</v>
      </c>
      <c r="E14295" s="27" t="s">
        <v>13</v>
      </c>
      <c r="F14295" s="29"/>
      <c r="G14295" s="30">
        <f t="shared" si="247"/>
        <v>1732.9233648148165</v>
      </c>
    </row>
    <row r="14296" spans="1:7" hidden="1" x14ac:dyDescent="0.25">
      <c r="A14296" s="28">
        <v>44713</v>
      </c>
      <c r="B14296" s="27" t="s">
        <v>200</v>
      </c>
      <c r="C14296" s="27" t="s">
        <v>55</v>
      </c>
      <c r="D14296" s="27" t="s">
        <v>6</v>
      </c>
      <c r="E14296" s="27" t="s">
        <v>14</v>
      </c>
      <c r="F14296" s="29"/>
      <c r="G14296" s="30">
        <f t="shared" si="247"/>
        <v>1732.9233648148165</v>
      </c>
    </row>
    <row r="14297" spans="1:7" hidden="1" x14ac:dyDescent="0.25">
      <c r="A14297" s="28">
        <v>44713</v>
      </c>
      <c r="B14297" s="27" t="s">
        <v>200</v>
      </c>
      <c r="C14297" s="27" t="s">
        <v>55</v>
      </c>
      <c r="D14297" s="27" t="s">
        <v>6</v>
      </c>
      <c r="E14297" s="27" t="s">
        <v>15</v>
      </c>
      <c r="F14297" s="29"/>
      <c r="G14297" s="30">
        <f t="shared" si="247"/>
        <v>1732.9233648148165</v>
      </c>
    </row>
    <row r="14298" spans="1:7" hidden="1" x14ac:dyDescent="0.25">
      <c r="A14298" s="28">
        <v>44713</v>
      </c>
      <c r="B14298" s="27" t="s">
        <v>200</v>
      </c>
      <c r="C14298" s="27" t="s">
        <v>55</v>
      </c>
      <c r="D14298" s="27" t="s">
        <v>6</v>
      </c>
      <c r="E14298" s="27" t="s">
        <v>16</v>
      </c>
      <c r="F14298" s="29"/>
      <c r="G14298" s="30">
        <f t="shared" si="247"/>
        <v>1732.9233648148165</v>
      </c>
    </row>
    <row r="14299" spans="1:7" hidden="1" x14ac:dyDescent="0.25">
      <c r="A14299" s="28">
        <v>44713</v>
      </c>
      <c r="B14299" s="27" t="s">
        <v>200</v>
      </c>
      <c r="C14299" s="27" t="s">
        <v>55</v>
      </c>
      <c r="D14299" s="27" t="s">
        <v>6</v>
      </c>
      <c r="E14299" s="27" t="s">
        <v>17</v>
      </c>
      <c r="F14299" s="29"/>
      <c r="G14299" s="30">
        <f t="shared" si="247"/>
        <v>1732.9233648148165</v>
      </c>
    </row>
    <row r="14300" spans="1:7" hidden="1" x14ac:dyDescent="0.25">
      <c r="A14300" s="28">
        <v>44713</v>
      </c>
      <c r="B14300" s="27" t="s">
        <v>200</v>
      </c>
      <c r="C14300" s="27" t="s">
        <v>55</v>
      </c>
      <c r="D14300" s="27" t="s">
        <v>6</v>
      </c>
      <c r="E14300" s="27" t="s">
        <v>18</v>
      </c>
      <c r="F14300" s="29"/>
      <c r="G14300" s="30">
        <f t="shared" si="247"/>
        <v>1732.9233648148165</v>
      </c>
    </row>
    <row r="14301" spans="1:7" hidden="1" x14ac:dyDescent="0.25">
      <c r="A14301" s="28">
        <v>44713</v>
      </c>
      <c r="B14301" s="27" t="s">
        <v>200</v>
      </c>
      <c r="C14301" s="27" t="s">
        <v>55</v>
      </c>
      <c r="D14301" s="27" t="s">
        <v>6</v>
      </c>
      <c r="E14301" s="27" t="s">
        <v>19</v>
      </c>
      <c r="F14301" s="29"/>
      <c r="G14301" s="30">
        <f t="shared" si="247"/>
        <v>1732.9233648148165</v>
      </c>
    </row>
    <row r="14302" spans="1:7" hidden="1" x14ac:dyDescent="0.25">
      <c r="A14302" s="28">
        <v>44713</v>
      </c>
      <c r="B14302" s="27" t="s">
        <v>200</v>
      </c>
      <c r="C14302" s="27" t="s">
        <v>55</v>
      </c>
      <c r="D14302" s="27" t="s">
        <v>6</v>
      </c>
      <c r="E14302" s="27" t="s">
        <v>20</v>
      </c>
      <c r="F14302" s="29"/>
      <c r="G14302" s="30">
        <f t="shared" si="247"/>
        <v>1732.9233648148165</v>
      </c>
    </row>
    <row r="14303" spans="1:7" hidden="1" x14ac:dyDescent="0.25">
      <c r="A14303" s="28">
        <v>44713</v>
      </c>
      <c r="B14303" s="27" t="s">
        <v>200</v>
      </c>
      <c r="C14303" s="27" t="s">
        <v>55</v>
      </c>
      <c r="D14303" s="27" t="s">
        <v>6</v>
      </c>
      <c r="E14303" s="27" t="s">
        <v>38</v>
      </c>
      <c r="F14303" s="29"/>
      <c r="G14303" s="30">
        <f t="shared" si="247"/>
        <v>1732.9233648148165</v>
      </c>
    </row>
    <row r="14304" spans="1:7" hidden="1" x14ac:dyDescent="0.25">
      <c r="A14304" s="28">
        <v>44713</v>
      </c>
      <c r="B14304" s="27" t="s">
        <v>200</v>
      </c>
      <c r="C14304" s="27" t="s">
        <v>55</v>
      </c>
      <c r="D14304" s="27" t="s">
        <v>6</v>
      </c>
      <c r="E14304" s="27" t="s">
        <v>23</v>
      </c>
      <c r="F14304" s="29"/>
      <c r="G14304" s="30">
        <f t="shared" si="247"/>
        <v>1732.9233648148165</v>
      </c>
    </row>
    <row r="14305" spans="1:7" hidden="1" x14ac:dyDescent="0.25">
      <c r="A14305" s="28">
        <v>44713</v>
      </c>
      <c r="B14305" s="27" t="s">
        <v>200</v>
      </c>
      <c r="C14305" s="27" t="s">
        <v>55</v>
      </c>
      <c r="D14305" s="27" t="s">
        <v>6</v>
      </c>
      <c r="E14305" s="27" t="s">
        <v>40</v>
      </c>
      <c r="F14305" s="29"/>
      <c r="G14305" s="30">
        <f t="shared" si="247"/>
        <v>1732.9233648148165</v>
      </c>
    </row>
    <row r="14306" spans="1:7" hidden="1" x14ac:dyDescent="0.25">
      <c r="A14306" s="28">
        <v>44713</v>
      </c>
      <c r="B14306" s="27" t="s">
        <v>200</v>
      </c>
      <c r="C14306" s="27" t="s">
        <v>55</v>
      </c>
      <c r="D14306" s="27" t="s">
        <v>6</v>
      </c>
      <c r="E14306" s="27" t="s">
        <v>42</v>
      </c>
      <c r="F14306" s="29"/>
      <c r="G14306" s="30">
        <f t="shared" si="247"/>
        <v>1732.9233648148165</v>
      </c>
    </row>
    <row r="14307" spans="1:7" hidden="1" x14ac:dyDescent="0.25">
      <c r="A14307" s="28">
        <v>44713</v>
      </c>
      <c r="B14307" s="27" t="s">
        <v>200</v>
      </c>
      <c r="C14307" s="27" t="s">
        <v>55</v>
      </c>
      <c r="D14307" s="27" t="s">
        <v>6</v>
      </c>
      <c r="E14307" s="27" t="s">
        <v>72</v>
      </c>
      <c r="F14307" s="29"/>
      <c r="G14307" s="30">
        <f t="shared" si="247"/>
        <v>1732.9233648148165</v>
      </c>
    </row>
    <row r="14308" spans="1:7" hidden="1" x14ac:dyDescent="0.25">
      <c r="A14308" s="28">
        <v>44713</v>
      </c>
      <c r="B14308" s="27" t="s">
        <v>200</v>
      </c>
      <c r="C14308" s="27" t="s">
        <v>55</v>
      </c>
      <c r="D14308" s="27" t="s">
        <v>6</v>
      </c>
      <c r="E14308" s="27" t="s">
        <v>12</v>
      </c>
      <c r="F14308" s="29"/>
      <c r="G14308" s="30">
        <f t="shared" si="247"/>
        <v>1732.9233648148165</v>
      </c>
    </row>
    <row r="14309" spans="1:7" hidden="1" x14ac:dyDescent="0.25">
      <c r="A14309" s="28">
        <v>44713</v>
      </c>
      <c r="B14309" s="27" t="s">
        <v>200</v>
      </c>
      <c r="C14309" s="27" t="s">
        <v>183</v>
      </c>
      <c r="D14309" s="27" t="s">
        <v>7</v>
      </c>
      <c r="E14309" s="27" t="s">
        <v>8</v>
      </c>
      <c r="F14309" s="29"/>
      <c r="G14309" s="30">
        <f t="shared" ref="G14309:G14336" si="248">5855.53/28</f>
        <v>209.12607142857141</v>
      </c>
    </row>
    <row r="14310" spans="1:7" hidden="1" x14ac:dyDescent="0.25">
      <c r="A14310" s="28">
        <v>44713</v>
      </c>
      <c r="B14310" s="27" t="s">
        <v>200</v>
      </c>
      <c r="C14310" s="27" t="s">
        <v>183</v>
      </c>
      <c r="D14310" s="27" t="s">
        <v>7</v>
      </c>
      <c r="E14310" s="27" t="s">
        <v>9</v>
      </c>
      <c r="F14310" s="29"/>
      <c r="G14310" s="30">
        <f t="shared" si="248"/>
        <v>209.12607142857141</v>
      </c>
    </row>
    <row r="14311" spans="1:7" hidden="1" x14ac:dyDescent="0.25">
      <c r="A14311" s="28">
        <v>44713</v>
      </c>
      <c r="B14311" s="27" t="s">
        <v>200</v>
      </c>
      <c r="C14311" s="27" t="s">
        <v>183</v>
      </c>
      <c r="D14311" s="27" t="s">
        <v>7</v>
      </c>
      <c r="E14311" s="27" t="s">
        <v>22</v>
      </c>
      <c r="F14311" s="29"/>
      <c r="G14311" s="30">
        <f t="shared" si="248"/>
        <v>209.12607142857141</v>
      </c>
    </row>
    <row r="14312" spans="1:7" hidden="1" x14ac:dyDescent="0.25">
      <c r="A14312" s="28">
        <v>44713</v>
      </c>
      <c r="B14312" s="27" t="s">
        <v>200</v>
      </c>
      <c r="C14312" s="27" t="s">
        <v>183</v>
      </c>
      <c r="D14312" s="27" t="s">
        <v>7</v>
      </c>
      <c r="E14312" s="27" t="s">
        <v>39</v>
      </c>
      <c r="F14312" s="29"/>
      <c r="G14312" s="30">
        <f t="shared" si="248"/>
        <v>209.12607142857141</v>
      </c>
    </row>
    <row r="14313" spans="1:7" hidden="1" x14ac:dyDescent="0.25">
      <c r="A14313" s="28">
        <v>44713</v>
      </c>
      <c r="B14313" s="27" t="s">
        <v>200</v>
      </c>
      <c r="C14313" s="27" t="s">
        <v>183</v>
      </c>
      <c r="D14313" s="27" t="s">
        <v>7</v>
      </c>
      <c r="E14313" s="27" t="s">
        <v>64</v>
      </c>
      <c r="F14313" s="29"/>
      <c r="G14313" s="30">
        <f t="shared" si="248"/>
        <v>209.12607142857141</v>
      </c>
    </row>
    <row r="14314" spans="1:7" hidden="1" x14ac:dyDescent="0.25">
      <c r="A14314" s="28">
        <v>44713</v>
      </c>
      <c r="B14314" s="27" t="s">
        <v>200</v>
      </c>
      <c r="C14314" s="27" t="s">
        <v>183</v>
      </c>
      <c r="D14314" s="27" t="s">
        <v>7</v>
      </c>
      <c r="E14314" s="27" t="s">
        <v>21</v>
      </c>
      <c r="F14314" s="29"/>
      <c r="G14314" s="30">
        <f t="shared" si="248"/>
        <v>209.12607142857141</v>
      </c>
    </row>
    <row r="14315" spans="1:7" hidden="1" x14ac:dyDescent="0.25">
      <c r="A14315" s="28">
        <v>44713</v>
      </c>
      <c r="B14315" s="27" t="s">
        <v>200</v>
      </c>
      <c r="C14315" s="27" t="s">
        <v>183</v>
      </c>
      <c r="D14315" s="27" t="s">
        <v>7</v>
      </c>
      <c r="E14315" s="27" t="s">
        <v>41</v>
      </c>
      <c r="F14315" s="29"/>
      <c r="G14315" s="30">
        <f t="shared" si="248"/>
        <v>209.12607142857141</v>
      </c>
    </row>
    <row r="14316" spans="1:7" hidden="1" x14ac:dyDescent="0.25">
      <c r="A14316" s="28">
        <v>44713</v>
      </c>
      <c r="B14316" s="27" t="s">
        <v>200</v>
      </c>
      <c r="C14316" s="27" t="s">
        <v>183</v>
      </c>
      <c r="D14316" s="27" t="s">
        <v>7</v>
      </c>
      <c r="E14316" s="27" t="s">
        <v>10</v>
      </c>
      <c r="F14316" s="29"/>
      <c r="G14316" s="30">
        <f t="shared" si="248"/>
        <v>209.12607142857141</v>
      </c>
    </row>
    <row r="14317" spans="1:7" hidden="1" x14ac:dyDescent="0.25">
      <c r="A14317" s="28">
        <v>44713</v>
      </c>
      <c r="B14317" s="27" t="s">
        <v>200</v>
      </c>
      <c r="C14317" s="27" t="s">
        <v>183</v>
      </c>
      <c r="D14317" s="27" t="s">
        <v>7</v>
      </c>
      <c r="E14317" s="27" t="s">
        <v>11</v>
      </c>
      <c r="F14317" s="29"/>
      <c r="G14317" s="30">
        <f t="shared" si="248"/>
        <v>209.12607142857141</v>
      </c>
    </row>
    <row r="14318" spans="1:7" hidden="1" x14ac:dyDescent="0.25">
      <c r="A14318" s="28">
        <v>44713</v>
      </c>
      <c r="B14318" s="27" t="s">
        <v>200</v>
      </c>
      <c r="C14318" s="27" t="s">
        <v>183</v>
      </c>
      <c r="D14318" s="27" t="s">
        <v>7</v>
      </c>
      <c r="E14318" s="27" t="s">
        <v>12</v>
      </c>
      <c r="F14318" s="29"/>
      <c r="G14318" s="30">
        <f t="shared" si="248"/>
        <v>209.12607142857141</v>
      </c>
    </row>
    <row r="14319" spans="1:7" hidden="1" x14ac:dyDescent="0.25">
      <c r="A14319" s="28">
        <v>44713</v>
      </c>
      <c r="B14319" s="27" t="s">
        <v>200</v>
      </c>
      <c r="C14319" s="27" t="s">
        <v>183</v>
      </c>
      <c r="D14319" s="27" t="s">
        <v>7</v>
      </c>
      <c r="E14319" s="27" t="s">
        <v>13</v>
      </c>
      <c r="F14319" s="29"/>
      <c r="G14319" s="30">
        <f t="shared" si="248"/>
        <v>209.12607142857141</v>
      </c>
    </row>
    <row r="14320" spans="1:7" hidden="1" x14ac:dyDescent="0.25">
      <c r="A14320" s="28">
        <v>44713</v>
      </c>
      <c r="B14320" s="27" t="s">
        <v>200</v>
      </c>
      <c r="C14320" s="27" t="s">
        <v>183</v>
      </c>
      <c r="D14320" s="27" t="s">
        <v>7</v>
      </c>
      <c r="E14320" s="27" t="s">
        <v>14</v>
      </c>
      <c r="F14320" s="29"/>
      <c r="G14320" s="30">
        <f t="shared" si="248"/>
        <v>209.12607142857141</v>
      </c>
    </row>
    <row r="14321" spans="1:7" hidden="1" x14ac:dyDescent="0.25">
      <c r="A14321" s="28">
        <v>44713</v>
      </c>
      <c r="B14321" s="27" t="s">
        <v>200</v>
      </c>
      <c r="C14321" s="27" t="s">
        <v>183</v>
      </c>
      <c r="D14321" s="27" t="s">
        <v>7</v>
      </c>
      <c r="E14321" s="27" t="s">
        <v>15</v>
      </c>
      <c r="F14321" s="29"/>
      <c r="G14321" s="30">
        <f t="shared" si="248"/>
        <v>209.12607142857141</v>
      </c>
    </row>
    <row r="14322" spans="1:7" hidden="1" x14ac:dyDescent="0.25">
      <c r="A14322" s="28">
        <v>44713</v>
      </c>
      <c r="B14322" s="27" t="s">
        <v>200</v>
      </c>
      <c r="C14322" s="27" t="s">
        <v>183</v>
      </c>
      <c r="D14322" s="27" t="s">
        <v>7</v>
      </c>
      <c r="E14322" s="27" t="s">
        <v>16</v>
      </c>
      <c r="F14322" s="29"/>
      <c r="G14322" s="30">
        <f t="shared" si="248"/>
        <v>209.12607142857141</v>
      </c>
    </row>
    <row r="14323" spans="1:7" hidden="1" x14ac:dyDescent="0.25">
      <c r="A14323" s="28">
        <v>44713</v>
      </c>
      <c r="B14323" s="27" t="s">
        <v>200</v>
      </c>
      <c r="C14323" s="27" t="s">
        <v>183</v>
      </c>
      <c r="D14323" s="27" t="s">
        <v>7</v>
      </c>
      <c r="E14323" s="27" t="s">
        <v>17</v>
      </c>
      <c r="F14323" s="29"/>
      <c r="G14323" s="30">
        <f t="shared" si="248"/>
        <v>209.12607142857141</v>
      </c>
    </row>
    <row r="14324" spans="1:7" hidden="1" x14ac:dyDescent="0.25">
      <c r="A14324" s="28">
        <v>44713</v>
      </c>
      <c r="B14324" s="27" t="s">
        <v>200</v>
      </c>
      <c r="C14324" s="27" t="s">
        <v>183</v>
      </c>
      <c r="D14324" s="27" t="s">
        <v>7</v>
      </c>
      <c r="E14324" s="27" t="s">
        <v>18</v>
      </c>
      <c r="F14324" s="29"/>
      <c r="G14324" s="30">
        <f t="shared" si="248"/>
        <v>209.12607142857141</v>
      </c>
    </row>
    <row r="14325" spans="1:7" hidden="1" x14ac:dyDescent="0.25">
      <c r="A14325" s="28">
        <v>44713</v>
      </c>
      <c r="B14325" s="27" t="s">
        <v>200</v>
      </c>
      <c r="C14325" s="27" t="s">
        <v>183</v>
      </c>
      <c r="D14325" s="27" t="s">
        <v>7</v>
      </c>
      <c r="E14325" s="27" t="s">
        <v>19</v>
      </c>
      <c r="F14325" s="29"/>
      <c r="G14325" s="30">
        <f t="shared" si="248"/>
        <v>209.12607142857141</v>
      </c>
    </row>
    <row r="14326" spans="1:7" hidden="1" x14ac:dyDescent="0.25">
      <c r="A14326" s="28">
        <v>44713</v>
      </c>
      <c r="B14326" s="27" t="s">
        <v>200</v>
      </c>
      <c r="C14326" s="27" t="s">
        <v>183</v>
      </c>
      <c r="D14326" s="27" t="s">
        <v>7</v>
      </c>
      <c r="E14326" s="27" t="s">
        <v>20</v>
      </c>
      <c r="F14326" s="29"/>
      <c r="G14326" s="30">
        <f t="shared" si="248"/>
        <v>209.12607142857141</v>
      </c>
    </row>
    <row r="14327" spans="1:7" hidden="1" x14ac:dyDescent="0.25">
      <c r="A14327" s="28">
        <v>44713</v>
      </c>
      <c r="B14327" s="27" t="s">
        <v>200</v>
      </c>
      <c r="C14327" s="27" t="s">
        <v>183</v>
      </c>
      <c r="D14327" s="27" t="s">
        <v>7</v>
      </c>
      <c r="E14327" s="27" t="s">
        <v>38</v>
      </c>
      <c r="F14327" s="29"/>
      <c r="G14327" s="30">
        <f t="shared" si="248"/>
        <v>209.12607142857141</v>
      </c>
    </row>
    <row r="14328" spans="1:7" hidden="1" x14ac:dyDescent="0.25">
      <c r="A14328" s="28">
        <v>44713</v>
      </c>
      <c r="B14328" s="27" t="s">
        <v>200</v>
      </c>
      <c r="C14328" s="27" t="s">
        <v>183</v>
      </c>
      <c r="D14328" s="27" t="s">
        <v>7</v>
      </c>
      <c r="E14328" s="27" t="s">
        <v>23</v>
      </c>
      <c r="F14328" s="29"/>
      <c r="G14328" s="30">
        <f t="shared" si="248"/>
        <v>209.12607142857141</v>
      </c>
    </row>
    <row r="14329" spans="1:7" hidden="1" x14ac:dyDescent="0.25">
      <c r="A14329" s="28">
        <v>44713</v>
      </c>
      <c r="B14329" s="27" t="s">
        <v>200</v>
      </c>
      <c r="C14329" s="27" t="s">
        <v>183</v>
      </c>
      <c r="D14329" s="27" t="s">
        <v>7</v>
      </c>
      <c r="E14329" s="27" t="s">
        <v>40</v>
      </c>
      <c r="F14329" s="29"/>
      <c r="G14329" s="30">
        <f t="shared" si="248"/>
        <v>209.12607142857141</v>
      </c>
    </row>
    <row r="14330" spans="1:7" hidden="1" x14ac:dyDescent="0.25">
      <c r="A14330" s="28">
        <v>44713</v>
      </c>
      <c r="B14330" s="27" t="s">
        <v>200</v>
      </c>
      <c r="C14330" s="27" t="s">
        <v>183</v>
      </c>
      <c r="D14330" s="27" t="s">
        <v>7</v>
      </c>
      <c r="E14330" s="27" t="s">
        <v>42</v>
      </c>
      <c r="F14330" s="29"/>
      <c r="G14330" s="30">
        <f t="shared" si="248"/>
        <v>209.12607142857141</v>
      </c>
    </row>
    <row r="14331" spans="1:7" hidden="1" x14ac:dyDescent="0.25">
      <c r="A14331" s="28">
        <v>44713</v>
      </c>
      <c r="B14331" s="27" t="s">
        <v>200</v>
      </c>
      <c r="C14331" s="27" t="s">
        <v>183</v>
      </c>
      <c r="D14331" s="27" t="s">
        <v>7</v>
      </c>
      <c r="E14331" s="27" t="s">
        <v>43</v>
      </c>
      <c r="F14331" s="29"/>
      <c r="G14331" s="30">
        <f t="shared" si="248"/>
        <v>209.12607142857141</v>
      </c>
    </row>
    <row r="14332" spans="1:7" hidden="1" x14ac:dyDescent="0.25">
      <c r="A14332" s="28">
        <v>44713</v>
      </c>
      <c r="B14332" s="27" t="s">
        <v>200</v>
      </c>
      <c r="C14332" s="27" t="s">
        <v>183</v>
      </c>
      <c r="D14332" s="27" t="s">
        <v>7</v>
      </c>
      <c r="E14332" s="27" t="s">
        <v>72</v>
      </c>
      <c r="F14332" s="29"/>
      <c r="G14332" s="30">
        <f t="shared" si="248"/>
        <v>209.12607142857141</v>
      </c>
    </row>
    <row r="14333" spans="1:7" hidden="1" x14ac:dyDescent="0.25">
      <c r="A14333" s="28">
        <v>44713</v>
      </c>
      <c r="B14333" s="27" t="s">
        <v>200</v>
      </c>
      <c r="C14333" s="27" t="s">
        <v>183</v>
      </c>
      <c r="D14333" s="27" t="s">
        <v>7</v>
      </c>
      <c r="E14333" s="27" t="s">
        <v>206</v>
      </c>
      <c r="F14333" s="29"/>
      <c r="G14333" s="30">
        <f t="shared" si="248"/>
        <v>209.12607142857141</v>
      </c>
    </row>
    <row r="14334" spans="1:7" hidden="1" x14ac:dyDescent="0.25">
      <c r="A14334" s="28">
        <v>44713</v>
      </c>
      <c r="B14334" s="27" t="s">
        <v>200</v>
      </c>
      <c r="C14334" s="27" t="s">
        <v>183</v>
      </c>
      <c r="D14334" s="27" t="s">
        <v>7</v>
      </c>
      <c r="E14334" s="27" t="s">
        <v>67</v>
      </c>
      <c r="F14334" s="29"/>
      <c r="G14334" s="30">
        <f t="shared" si="248"/>
        <v>209.12607142857141</v>
      </c>
    </row>
    <row r="14335" spans="1:7" hidden="1" x14ac:dyDescent="0.25">
      <c r="A14335" s="28">
        <v>44713</v>
      </c>
      <c r="B14335" s="27" t="s">
        <v>200</v>
      </c>
      <c r="C14335" s="27" t="s">
        <v>183</v>
      </c>
      <c r="D14335" s="27" t="s">
        <v>7</v>
      </c>
      <c r="E14335" s="27" t="s">
        <v>68</v>
      </c>
      <c r="F14335" s="29"/>
      <c r="G14335" s="30">
        <f t="shared" si="248"/>
        <v>209.12607142857141</v>
      </c>
    </row>
    <row r="14336" spans="1:7" hidden="1" x14ac:dyDescent="0.25">
      <c r="A14336" s="28">
        <v>44713</v>
      </c>
      <c r="B14336" s="27" t="s">
        <v>200</v>
      </c>
      <c r="C14336" s="27" t="s">
        <v>183</v>
      </c>
      <c r="D14336" s="27" t="s">
        <v>7</v>
      </c>
      <c r="E14336" s="27" t="s">
        <v>74</v>
      </c>
      <c r="F14336" s="29"/>
      <c r="G14336" s="30">
        <f t="shared" si="248"/>
        <v>209.12607142857141</v>
      </c>
    </row>
    <row r="14337" spans="1:7" hidden="1" x14ac:dyDescent="0.25">
      <c r="A14337" s="28">
        <v>44713</v>
      </c>
      <c r="B14337" s="27" t="s">
        <v>200</v>
      </c>
      <c r="C14337" s="27" t="s">
        <v>56</v>
      </c>
      <c r="D14337" s="27" t="s">
        <v>6</v>
      </c>
      <c r="E14337" s="27" t="s">
        <v>8</v>
      </c>
      <c r="F14337" s="29"/>
      <c r="G14337" s="30">
        <f t="shared" ref="G14337:G14360" si="249">72326.8523555555/24</f>
        <v>3013.6188481481458</v>
      </c>
    </row>
    <row r="14338" spans="1:7" hidden="1" x14ac:dyDescent="0.25">
      <c r="A14338" s="28">
        <v>44713</v>
      </c>
      <c r="B14338" s="27" t="s">
        <v>200</v>
      </c>
      <c r="C14338" s="27" t="s">
        <v>56</v>
      </c>
      <c r="D14338" s="27" t="s">
        <v>6</v>
      </c>
      <c r="E14338" s="27" t="s">
        <v>9</v>
      </c>
      <c r="F14338" s="29"/>
      <c r="G14338" s="30">
        <f t="shared" si="249"/>
        <v>3013.6188481481458</v>
      </c>
    </row>
    <row r="14339" spans="1:7" hidden="1" x14ac:dyDescent="0.25">
      <c r="A14339" s="28">
        <v>44713</v>
      </c>
      <c r="B14339" s="27" t="s">
        <v>200</v>
      </c>
      <c r="C14339" s="27" t="s">
        <v>56</v>
      </c>
      <c r="D14339" s="27" t="s">
        <v>6</v>
      </c>
      <c r="E14339" s="27" t="s">
        <v>22</v>
      </c>
      <c r="F14339" s="29"/>
      <c r="G14339" s="30">
        <f t="shared" si="249"/>
        <v>3013.6188481481458</v>
      </c>
    </row>
    <row r="14340" spans="1:7" hidden="1" x14ac:dyDescent="0.25">
      <c r="A14340" s="28">
        <v>44713</v>
      </c>
      <c r="B14340" s="27" t="s">
        <v>200</v>
      </c>
      <c r="C14340" s="27" t="s">
        <v>56</v>
      </c>
      <c r="D14340" s="27" t="s">
        <v>6</v>
      </c>
      <c r="E14340" s="27" t="s">
        <v>39</v>
      </c>
      <c r="F14340" s="29"/>
      <c r="G14340" s="30">
        <f t="shared" si="249"/>
        <v>3013.6188481481458</v>
      </c>
    </row>
    <row r="14341" spans="1:7" hidden="1" x14ac:dyDescent="0.25">
      <c r="A14341" s="28">
        <v>44713</v>
      </c>
      <c r="B14341" s="27" t="s">
        <v>200</v>
      </c>
      <c r="C14341" s="27" t="s">
        <v>56</v>
      </c>
      <c r="D14341" s="27" t="s">
        <v>6</v>
      </c>
      <c r="E14341" s="27" t="s">
        <v>64</v>
      </c>
      <c r="F14341" s="29"/>
      <c r="G14341" s="30">
        <f t="shared" si="249"/>
        <v>3013.6188481481458</v>
      </c>
    </row>
    <row r="14342" spans="1:7" hidden="1" x14ac:dyDescent="0.25">
      <c r="A14342" s="28">
        <v>44713</v>
      </c>
      <c r="B14342" s="27" t="s">
        <v>200</v>
      </c>
      <c r="C14342" s="27" t="s">
        <v>56</v>
      </c>
      <c r="D14342" s="27" t="s">
        <v>6</v>
      </c>
      <c r="E14342" s="27" t="s">
        <v>21</v>
      </c>
      <c r="F14342" s="29"/>
      <c r="G14342" s="30">
        <f t="shared" si="249"/>
        <v>3013.6188481481458</v>
      </c>
    </row>
    <row r="14343" spans="1:7" hidden="1" x14ac:dyDescent="0.25">
      <c r="A14343" s="28">
        <v>44713</v>
      </c>
      <c r="B14343" s="27" t="s">
        <v>200</v>
      </c>
      <c r="C14343" s="27" t="s">
        <v>56</v>
      </c>
      <c r="D14343" s="27" t="s">
        <v>6</v>
      </c>
      <c r="E14343" s="27" t="s">
        <v>41</v>
      </c>
      <c r="F14343" s="29"/>
      <c r="G14343" s="30">
        <f t="shared" si="249"/>
        <v>3013.6188481481458</v>
      </c>
    </row>
    <row r="14344" spans="1:7" hidden="1" x14ac:dyDescent="0.25">
      <c r="A14344" s="28">
        <v>44713</v>
      </c>
      <c r="B14344" s="27" t="s">
        <v>200</v>
      </c>
      <c r="C14344" s="27" t="s">
        <v>56</v>
      </c>
      <c r="D14344" s="27" t="s">
        <v>6</v>
      </c>
      <c r="E14344" s="27" t="s">
        <v>10</v>
      </c>
      <c r="F14344" s="29"/>
      <c r="G14344" s="30">
        <f t="shared" si="249"/>
        <v>3013.6188481481458</v>
      </c>
    </row>
    <row r="14345" spans="1:7" hidden="1" x14ac:dyDescent="0.25">
      <c r="A14345" s="28">
        <v>44713</v>
      </c>
      <c r="B14345" s="27" t="s">
        <v>200</v>
      </c>
      <c r="C14345" s="27" t="s">
        <v>56</v>
      </c>
      <c r="D14345" s="27" t="s">
        <v>6</v>
      </c>
      <c r="E14345" s="27" t="s">
        <v>11</v>
      </c>
      <c r="F14345" s="29"/>
      <c r="G14345" s="30">
        <f t="shared" si="249"/>
        <v>3013.6188481481458</v>
      </c>
    </row>
    <row r="14346" spans="1:7" hidden="1" x14ac:dyDescent="0.25">
      <c r="A14346" s="28">
        <v>44713</v>
      </c>
      <c r="B14346" s="27" t="s">
        <v>200</v>
      </c>
      <c r="C14346" s="27" t="s">
        <v>56</v>
      </c>
      <c r="D14346" s="27" t="s">
        <v>6</v>
      </c>
      <c r="E14346" s="27" t="s">
        <v>12</v>
      </c>
      <c r="F14346" s="29"/>
      <c r="G14346" s="30">
        <f t="shared" si="249"/>
        <v>3013.6188481481458</v>
      </c>
    </row>
    <row r="14347" spans="1:7" hidden="1" x14ac:dyDescent="0.25">
      <c r="A14347" s="28">
        <v>44713</v>
      </c>
      <c r="B14347" s="27" t="s">
        <v>200</v>
      </c>
      <c r="C14347" s="27" t="s">
        <v>56</v>
      </c>
      <c r="D14347" s="27" t="s">
        <v>6</v>
      </c>
      <c r="E14347" s="27" t="s">
        <v>13</v>
      </c>
      <c r="F14347" s="29"/>
      <c r="G14347" s="30">
        <f t="shared" si="249"/>
        <v>3013.6188481481458</v>
      </c>
    </row>
    <row r="14348" spans="1:7" hidden="1" x14ac:dyDescent="0.25">
      <c r="A14348" s="28">
        <v>44713</v>
      </c>
      <c r="B14348" s="27" t="s">
        <v>200</v>
      </c>
      <c r="C14348" s="27" t="s">
        <v>56</v>
      </c>
      <c r="D14348" s="27" t="s">
        <v>6</v>
      </c>
      <c r="E14348" s="27" t="s">
        <v>14</v>
      </c>
      <c r="F14348" s="29"/>
      <c r="G14348" s="30">
        <f t="shared" si="249"/>
        <v>3013.6188481481458</v>
      </c>
    </row>
    <row r="14349" spans="1:7" hidden="1" x14ac:dyDescent="0.25">
      <c r="A14349" s="28">
        <v>44713</v>
      </c>
      <c r="B14349" s="27" t="s">
        <v>200</v>
      </c>
      <c r="C14349" s="27" t="s">
        <v>56</v>
      </c>
      <c r="D14349" s="27" t="s">
        <v>6</v>
      </c>
      <c r="E14349" s="27" t="s">
        <v>15</v>
      </c>
      <c r="F14349" s="29"/>
      <c r="G14349" s="30">
        <f t="shared" si="249"/>
        <v>3013.6188481481458</v>
      </c>
    </row>
    <row r="14350" spans="1:7" hidden="1" x14ac:dyDescent="0.25">
      <c r="A14350" s="28">
        <v>44713</v>
      </c>
      <c r="B14350" s="27" t="s">
        <v>200</v>
      </c>
      <c r="C14350" s="27" t="s">
        <v>56</v>
      </c>
      <c r="D14350" s="27" t="s">
        <v>6</v>
      </c>
      <c r="E14350" s="27" t="s">
        <v>16</v>
      </c>
      <c r="F14350" s="29"/>
      <c r="G14350" s="30">
        <f t="shared" si="249"/>
        <v>3013.6188481481458</v>
      </c>
    </row>
    <row r="14351" spans="1:7" hidden="1" x14ac:dyDescent="0.25">
      <c r="A14351" s="28">
        <v>44713</v>
      </c>
      <c r="B14351" s="27" t="s">
        <v>200</v>
      </c>
      <c r="C14351" s="27" t="s">
        <v>56</v>
      </c>
      <c r="D14351" s="27" t="s">
        <v>6</v>
      </c>
      <c r="E14351" s="27" t="s">
        <v>17</v>
      </c>
      <c r="F14351" s="29"/>
      <c r="G14351" s="30">
        <f t="shared" si="249"/>
        <v>3013.6188481481458</v>
      </c>
    </row>
    <row r="14352" spans="1:7" hidden="1" x14ac:dyDescent="0.25">
      <c r="A14352" s="28">
        <v>44713</v>
      </c>
      <c r="B14352" s="27" t="s">
        <v>200</v>
      </c>
      <c r="C14352" s="27" t="s">
        <v>56</v>
      </c>
      <c r="D14352" s="27" t="s">
        <v>6</v>
      </c>
      <c r="E14352" s="27" t="s">
        <v>18</v>
      </c>
      <c r="F14352" s="29"/>
      <c r="G14352" s="30">
        <f t="shared" si="249"/>
        <v>3013.6188481481458</v>
      </c>
    </row>
    <row r="14353" spans="1:7" hidden="1" x14ac:dyDescent="0.25">
      <c r="A14353" s="28">
        <v>44713</v>
      </c>
      <c r="B14353" s="27" t="s">
        <v>200</v>
      </c>
      <c r="C14353" s="27" t="s">
        <v>56</v>
      </c>
      <c r="D14353" s="27" t="s">
        <v>6</v>
      </c>
      <c r="E14353" s="27" t="s">
        <v>19</v>
      </c>
      <c r="F14353" s="29"/>
      <c r="G14353" s="30">
        <f t="shared" si="249"/>
        <v>3013.6188481481458</v>
      </c>
    </row>
    <row r="14354" spans="1:7" hidden="1" x14ac:dyDescent="0.25">
      <c r="A14354" s="28">
        <v>44713</v>
      </c>
      <c r="B14354" s="27" t="s">
        <v>200</v>
      </c>
      <c r="C14354" s="27" t="s">
        <v>56</v>
      </c>
      <c r="D14354" s="27" t="s">
        <v>6</v>
      </c>
      <c r="E14354" s="27" t="s">
        <v>20</v>
      </c>
      <c r="F14354" s="29"/>
      <c r="G14354" s="30">
        <f t="shared" si="249"/>
        <v>3013.6188481481458</v>
      </c>
    </row>
    <row r="14355" spans="1:7" hidden="1" x14ac:dyDescent="0.25">
      <c r="A14355" s="28">
        <v>44713</v>
      </c>
      <c r="B14355" s="27" t="s">
        <v>200</v>
      </c>
      <c r="C14355" s="27" t="s">
        <v>56</v>
      </c>
      <c r="D14355" s="27" t="s">
        <v>6</v>
      </c>
      <c r="E14355" s="27" t="s">
        <v>38</v>
      </c>
      <c r="F14355" s="29"/>
      <c r="G14355" s="30">
        <f t="shared" si="249"/>
        <v>3013.6188481481458</v>
      </c>
    </row>
    <row r="14356" spans="1:7" hidden="1" x14ac:dyDescent="0.25">
      <c r="A14356" s="28">
        <v>44713</v>
      </c>
      <c r="B14356" s="27" t="s">
        <v>200</v>
      </c>
      <c r="C14356" s="27" t="s">
        <v>56</v>
      </c>
      <c r="D14356" s="27" t="s">
        <v>6</v>
      </c>
      <c r="E14356" s="27" t="s">
        <v>23</v>
      </c>
      <c r="F14356" s="29"/>
      <c r="G14356" s="30">
        <f t="shared" si="249"/>
        <v>3013.6188481481458</v>
      </c>
    </row>
    <row r="14357" spans="1:7" hidden="1" x14ac:dyDescent="0.25">
      <c r="A14357" s="28">
        <v>44713</v>
      </c>
      <c r="B14357" s="27" t="s">
        <v>200</v>
      </c>
      <c r="C14357" s="27" t="s">
        <v>56</v>
      </c>
      <c r="D14357" s="27" t="s">
        <v>6</v>
      </c>
      <c r="E14357" s="27" t="s">
        <v>40</v>
      </c>
      <c r="F14357" s="29"/>
      <c r="G14357" s="30">
        <f t="shared" si="249"/>
        <v>3013.6188481481458</v>
      </c>
    </row>
    <row r="14358" spans="1:7" hidden="1" x14ac:dyDescent="0.25">
      <c r="A14358" s="28">
        <v>44713</v>
      </c>
      <c r="B14358" s="27" t="s">
        <v>200</v>
      </c>
      <c r="C14358" s="27" t="s">
        <v>56</v>
      </c>
      <c r="D14358" s="27" t="s">
        <v>6</v>
      </c>
      <c r="E14358" s="27" t="s">
        <v>42</v>
      </c>
      <c r="F14358" s="29"/>
      <c r="G14358" s="30">
        <f t="shared" si="249"/>
        <v>3013.6188481481458</v>
      </c>
    </row>
    <row r="14359" spans="1:7" hidden="1" x14ac:dyDescent="0.25">
      <c r="A14359" s="28">
        <v>44713</v>
      </c>
      <c r="B14359" s="27" t="s">
        <v>200</v>
      </c>
      <c r="C14359" s="27" t="s">
        <v>56</v>
      </c>
      <c r="D14359" s="27" t="s">
        <v>6</v>
      </c>
      <c r="E14359" s="27" t="s">
        <v>72</v>
      </c>
      <c r="F14359" s="29"/>
      <c r="G14359" s="30">
        <f t="shared" si="249"/>
        <v>3013.6188481481458</v>
      </c>
    </row>
    <row r="14360" spans="1:7" hidden="1" x14ac:dyDescent="0.25">
      <c r="A14360" s="28">
        <v>44713</v>
      </c>
      <c r="B14360" s="27" t="s">
        <v>200</v>
      </c>
      <c r="C14360" s="27" t="s">
        <v>56</v>
      </c>
      <c r="D14360" s="27" t="s">
        <v>6</v>
      </c>
      <c r="E14360" s="27" t="s">
        <v>12</v>
      </c>
      <c r="F14360" s="29"/>
      <c r="G14360" s="30">
        <f t="shared" si="249"/>
        <v>3013.6188481481458</v>
      </c>
    </row>
    <row r="14361" spans="1:7" hidden="1" x14ac:dyDescent="0.25">
      <c r="A14361" s="28">
        <v>44713</v>
      </c>
      <c r="B14361" s="27" t="s">
        <v>200</v>
      </c>
      <c r="C14361" s="27" t="s">
        <v>182</v>
      </c>
      <c r="D14361" s="27" t="s">
        <v>7</v>
      </c>
      <c r="E14361" s="27" t="s">
        <v>8</v>
      </c>
      <c r="F14361" s="29"/>
      <c r="G14361" s="30">
        <f t="shared" ref="G14361:G14388" si="250">7903.19/28</f>
        <v>282.25678571428568</v>
      </c>
    </row>
    <row r="14362" spans="1:7" hidden="1" x14ac:dyDescent="0.25">
      <c r="A14362" s="28">
        <v>44713</v>
      </c>
      <c r="B14362" s="27" t="s">
        <v>200</v>
      </c>
      <c r="C14362" s="27" t="s">
        <v>182</v>
      </c>
      <c r="D14362" s="27" t="s">
        <v>7</v>
      </c>
      <c r="E14362" s="27" t="s">
        <v>9</v>
      </c>
      <c r="F14362" s="29"/>
      <c r="G14362" s="30">
        <f t="shared" si="250"/>
        <v>282.25678571428568</v>
      </c>
    </row>
    <row r="14363" spans="1:7" hidden="1" x14ac:dyDescent="0.25">
      <c r="A14363" s="28">
        <v>44713</v>
      </c>
      <c r="B14363" s="27" t="s">
        <v>200</v>
      </c>
      <c r="C14363" s="27" t="s">
        <v>182</v>
      </c>
      <c r="D14363" s="27" t="s">
        <v>7</v>
      </c>
      <c r="E14363" s="27" t="s">
        <v>22</v>
      </c>
      <c r="F14363" s="29"/>
      <c r="G14363" s="30">
        <f t="shared" si="250"/>
        <v>282.25678571428568</v>
      </c>
    </row>
    <row r="14364" spans="1:7" hidden="1" x14ac:dyDescent="0.25">
      <c r="A14364" s="28">
        <v>44713</v>
      </c>
      <c r="B14364" s="27" t="s">
        <v>200</v>
      </c>
      <c r="C14364" s="27" t="s">
        <v>182</v>
      </c>
      <c r="D14364" s="27" t="s">
        <v>7</v>
      </c>
      <c r="E14364" s="27" t="s">
        <v>39</v>
      </c>
      <c r="F14364" s="29"/>
      <c r="G14364" s="30">
        <f t="shared" si="250"/>
        <v>282.25678571428568</v>
      </c>
    </row>
    <row r="14365" spans="1:7" hidden="1" x14ac:dyDescent="0.25">
      <c r="A14365" s="28">
        <v>44713</v>
      </c>
      <c r="B14365" s="27" t="s">
        <v>200</v>
      </c>
      <c r="C14365" s="27" t="s">
        <v>182</v>
      </c>
      <c r="D14365" s="27" t="s">
        <v>7</v>
      </c>
      <c r="E14365" s="27" t="s">
        <v>64</v>
      </c>
      <c r="F14365" s="29"/>
      <c r="G14365" s="30">
        <f t="shared" si="250"/>
        <v>282.25678571428568</v>
      </c>
    </row>
    <row r="14366" spans="1:7" hidden="1" x14ac:dyDescent="0.25">
      <c r="A14366" s="28">
        <v>44713</v>
      </c>
      <c r="B14366" s="27" t="s">
        <v>200</v>
      </c>
      <c r="C14366" s="27" t="s">
        <v>182</v>
      </c>
      <c r="D14366" s="27" t="s">
        <v>7</v>
      </c>
      <c r="E14366" s="27" t="s">
        <v>21</v>
      </c>
      <c r="F14366" s="29"/>
      <c r="G14366" s="30">
        <f t="shared" si="250"/>
        <v>282.25678571428568</v>
      </c>
    </row>
    <row r="14367" spans="1:7" hidden="1" x14ac:dyDescent="0.25">
      <c r="A14367" s="28">
        <v>44713</v>
      </c>
      <c r="B14367" s="27" t="s">
        <v>200</v>
      </c>
      <c r="C14367" s="27" t="s">
        <v>182</v>
      </c>
      <c r="D14367" s="27" t="s">
        <v>7</v>
      </c>
      <c r="E14367" s="27" t="s">
        <v>41</v>
      </c>
      <c r="F14367" s="29"/>
      <c r="G14367" s="30">
        <f t="shared" si="250"/>
        <v>282.25678571428568</v>
      </c>
    </row>
    <row r="14368" spans="1:7" hidden="1" x14ac:dyDescent="0.25">
      <c r="A14368" s="28">
        <v>44713</v>
      </c>
      <c r="B14368" s="27" t="s">
        <v>200</v>
      </c>
      <c r="C14368" s="27" t="s">
        <v>182</v>
      </c>
      <c r="D14368" s="27" t="s">
        <v>7</v>
      </c>
      <c r="E14368" s="27" t="s">
        <v>10</v>
      </c>
      <c r="F14368" s="29"/>
      <c r="G14368" s="30">
        <f t="shared" si="250"/>
        <v>282.25678571428568</v>
      </c>
    </row>
    <row r="14369" spans="1:7" hidden="1" x14ac:dyDescent="0.25">
      <c r="A14369" s="28">
        <v>44713</v>
      </c>
      <c r="B14369" s="27" t="s">
        <v>200</v>
      </c>
      <c r="C14369" s="27" t="s">
        <v>182</v>
      </c>
      <c r="D14369" s="27" t="s">
        <v>7</v>
      </c>
      <c r="E14369" s="27" t="s">
        <v>11</v>
      </c>
      <c r="F14369" s="29"/>
      <c r="G14369" s="30">
        <f t="shared" si="250"/>
        <v>282.25678571428568</v>
      </c>
    </row>
    <row r="14370" spans="1:7" hidden="1" x14ac:dyDescent="0.25">
      <c r="A14370" s="28">
        <v>44713</v>
      </c>
      <c r="B14370" s="27" t="s">
        <v>200</v>
      </c>
      <c r="C14370" s="27" t="s">
        <v>182</v>
      </c>
      <c r="D14370" s="27" t="s">
        <v>7</v>
      </c>
      <c r="E14370" s="27" t="s">
        <v>12</v>
      </c>
      <c r="F14370" s="29"/>
      <c r="G14370" s="30">
        <f t="shared" si="250"/>
        <v>282.25678571428568</v>
      </c>
    </row>
    <row r="14371" spans="1:7" hidden="1" x14ac:dyDescent="0.25">
      <c r="A14371" s="28">
        <v>44713</v>
      </c>
      <c r="B14371" s="27" t="s">
        <v>200</v>
      </c>
      <c r="C14371" s="27" t="s">
        <v>182</v>
      </c>
      <c r="D14371" s="27" t="s">
        <v>7</v>
      </c>
      <c r="E14371" s="27" t="s">
        <v>13</v>
      </c>
      <c r="F14371" s="29"/>
      <c r="G14371" s="30">
        <f t="shared" si="250"/>
        <v>282.25678571428568</v>
      </c>
    </row>
    <row r="14372" spans="1:7" hidden="1" x14ac:dyDescent="0.25">
      <c r="A14372" s="28">
        <v>44713</v>
      </c>
      <c r="B14372" s="27" t="s">
        <v>200</v>
      </c>
      <c r="C14372" s="27" t="s">
        <v>182</v>
      </c>
      <c r="D14372" s="27" t="s">
        <v>7</v>
      </c>
      <c r="E14372" s="27" t="s">
        <v>14</v>
      </c>
      <c r="F14372" s="29"/>
      <c r="G14372" s="30">
        <f t="shared" si="250"/>
        <v>282.25678571428568</v>
      </c>
    </row>
    <row r="14373" spans="1:7" hidden="1" x14ac:dyDescent="0.25">
      <c r="A14373" s="28">
        <v>44713</v>
      </c>
      <c r="B14373" s="27" t="s">
        <v>200</v>
      </c>
      <c r="C14373" s="27" t="s">
        <v>182</v>
      </c>
      <c r="D14373" s="27" t="s">
        <v>7</v>
      </c>
      <c r="E14373" s="27" t="s">
        <v>15</v>
      </c>
      <c r="F14373" s="29"/>
      <c r="G14373" s="30">
        <f t="shared" si="250"/>
        <v>282.25678571428568</v>
      </c>
    </row>
    <row r="14374" spans="1:7" hidden="1" x14ac:dyDescent="0.25">
      <c r="A14374" s="28">
        <v>44713</v>
      </c>
      <c r="B14374" s="27" t="s">
        <v>200</v>
      </c>
      <c r="C14374" s="27" t="s">
        <v>182</v>
      </c>
      <c r="D14374" s="27" t="s">
        <v>7</v>
      </c>
      <c r="E14374" s="27" t="s">
        <v>16</v>
      </c>
      <c r="F14374" s="29"/>
      <c r="G14374" s="30">
        <f t="shared" si="250"/>
        <v>282.25678571428568</v>
      </c>
    </row>
    <row r="14375" spans="1:7" hidden="1" x14ac:dyDescent="0.25">
      <c r="A14375" s="28">
        <v>44713</v>
      </c>
      <c r="B14375" s="27" t="s">
        <v>200</v>
      </c>
      <c r="C14375" s="27" t="s">
        <v>182</v>
      </c>
      <c r="D14375" s="27" t="s">
        <v>7</v>
      </c>
      <c r="E14375" s="27" t="s">
        <v>17</v>
      </c>
      <c r="F14375" s="29"/>
      <c r="G14375" s="30">
        <f t="shared" si="250"/>
        <v>282.25678571428568</v>
      </c>
    </row>
    <row r="14376" spans="1:7" hidden="1" x14ac:dyDescent="0.25">
      <c r="A14376" s="28">
        <v>44713</v>
      </c>
      <c r="B14376" s="27" t="s">
        <v>200</v>
      </c>
      <c r="C14376" s="27" t="s">
        <v>182</v>
      </c>
      <c r="D14376" s="27" t="s">
        <v>7</v>
      </c>
      <c r="E14376" s="27" t="s">
        <v>18</v>
      </c>
      <c r="F14376" s="29"/>
      <c r="G14376" s="30">
        <f t="shared" si="250"/>
        <v>282.25678571428568</v>
      </c>
    </row>
    <row r="14377" spans="1:7" hidden="1" x14ac:dyDescent="0.25">
      <c r="A14377" s="28">
        <v>44713</v>
      </c>
      <c r="B14377" s="27" t="s">
        <v>200</v>
      </c>
      <c r="C14377" s="27" t="s">
        <v>182</v>
      </c>
      <c r="D14377" s="27" t="s">
        <v>7</v>
      </c>
      <c r="E14377" s="27" t="s">
        <v>19</v>
      </c>
      <c r="F14377" s="29"/>
      <c r="G14377" s="30">
        <f t="shared" si="250"/>
        <v>282.25678571428568</v>
      </c>
    </row>
    <row r="14378" spans="1:7" hidden="1" x14ac:dyDescent="0.25">
      <c r="A14378" s="28">
        <v>44713</v>
      </c>
      <c r="B14378" s="27" t="s">
        <v>200</v>
      </c>
      <c r="C14378" s="27" t="s">
        <v>182</v>
      </c>
      <c r="D14378" s="27" t="s">
        <v>7</v>
      </c>
      <c r="E14378" s="27" t="s">
        <v>20</v>
      </c>
      <c r="F14378" s="29"/>
      <c r="G14378" s="30">
        <f t="shared" si="250"/>
        <v>282.25678571428568</v>
      </c>
    </row>
    <row r="14379" spans="1:7" hidden="1" x14ac:dyDescent="0.25">
      <c r="A14379" s="28">
        <v>44713</v>
      </c>
      <c r="B14379" s="27" t="s">
        <v>200</v>
      </c>
      <c r="C14379" s="27" t="s">
        <v>182</v>
      </c>
      <c r="D14379" s="27" t="s">
        <v>7</v>
      </c>
      <c r="E14379" s="27" t="s">
        <v>38</v>
      </c>
      <c r="F14379" s="29"/>
      <c r="G14379" s="30">
        <f t="shared" si="250"/>
        <v>282.25678571428568</v>
      </c>
    </row>
    <row r="14380" spans="1:7" hidden="1" x14ac:dyDescent="0.25">
      <c r="A14380" s="28">
        <v>44713</v>
      </c>
      <c r="B14380" s="27" t="s">
        <v>200</v>
      </c>
      <c r="C14380" s="27" t="s">
        <v>182</v>
      </c>
      <c r="D14380" s="27" t="s">
        <v>7</v>
      </c>
      <c r="E14380" s="27" t="s">
        <v>23</v>
      </c>
      <c r="F14380" s="29"/>
      <c r="G14380" s="30">
        <f t="shared" si="250"/>
        <v>282.25678571428568</v>
      </c>
    </row>
    <row r="14381" spans="1:7" hidden="1" x14ac:dyDescent="0.25">
      <c r="A14381" s="28">
        <v>44713</v>
      </c>
      <c r="B14381" s="27" t="s">
        <v>200</v>
      </c>
      <c r="C14381" s="27" t="s">
        <v>182</v>
      </c>
      <c r="D14381" s="27" t="s">
        <v>7</v>
      </c>
      <c r="E14381" s="27" t="s">
        <v>40</v>
      </c>
      <c r="F14381" s="29"/>
      <c r="G14381" s="30">
        <f t="shared" si="250"/>
        <v>282.25678571428568</v>
      </c>
    </row>
    <row r="14382" spans="1:7" hidden="1" x14ac:dyDescent="0.25">
      <c r="A14382" s="28">
        <v>44713</v>
      </c>
      <c r="B14382" s="27" t="s">
        <v>200</v>
      </c>
      <c r="C14382" s="27" t="s">
        <v>182</v>
      </c>
      <c r="D14382" s="27" t="s">
        <v>7</v>
      </c>
      <c r="E14382" s="27" t="s">
        <v>42</v>
      </c>
      <c r="F14382" s="29"/>
      <c r="G14382" s="30">
        <f t="shared" si="250"/>
        <v>282.25678571428568</v>
      </c>
    </row>
    <row r="14383" spans="1:7" hidden="1" x14ac:dyDescent="0.25">
      <c r="A14383" s="28">
        <v>44713</v>
      </c>
      <c r="B14383" s="27" t="s">
        <v>200</v>
      </c>
      <c r="C14383" s="27" t="s">
        <v>182</v>
      </c>
      <c r="D14383" s="27" t="s">
        <v>7</v>
      </c>
      <c r="E14383" s="27" t="s">
        <v>43</v>
      </c>
      <c r="F14383" s="29"/>
      <c r="G14383" s="30">
        <f t="shared" si="250"/>
        <v>282.25678571428568</v>
      </c>
    </row>
    <row r="14384" spans="1:7" hidden="1" x14ac:dyDescent="0.25">
      <c r="A14384" s="28">
        <v>44713</v>
      </c>
      <c r="B14384" s="27" t="s">
        <v>200</v>
      </c>
      <c r="C14384" s="27" t="s">
        <v>182</v>
      </c>
      <c r="D14384" s="27" t="s">
        <v>7</v>
      </c>
      <c r="E14384" s="27" t="s">
        <v>72</v>
      </c>
      <c r="F14384" s="29"/>
      <c r="G14384" s="30">
        <f t="shared" si="250"/>
        <v>282.25678571428568</v>
      </c>
    </row>
    <row r="14385" spans="1:7" hidden="1" x14ac:dyDescent="0.25">
      <c r="A14385" s="28">
        <v>44713</v>
      </c>
      <c r="B14385" s="27" t="s">
        <v>200</v>
      </c>
      <c r="C14385" s="27" t="s">
        <v>182</v>
      </c>
      <c r="D14385" s="27" t="s">
        <v>7</v>
      </c>
      <c r="E14385" s="27" t="s">
        <v>206</v>
      </c>
      <c r="F14385" s="29"/>
      <c r="G14385" s="30">
        <f t="shared" si="250"/>
        <v>282.25678571428568</v>
      </c>
    </row>
    <row r="14386" spans="1:7" hidden="1" x14ac:dyDescent="0.25">
      <c r="A14386" s="28">
        <v>44713</v>
      </c>
      <c r="B14386" s="27" t="s">
        <v>200</v>
      </c>
      <c r="C14386" s="27" t="s">
        <v>182</v>
      </c>
      <c r="D14386" s="27" t="s">
        <v>7</v>
      </c>
      <c r="E14386" s="27" t="s">
        <v>67</v>
      </c>
      <c r="F14386" s="29"/>
      <c r="G14386" s="30">
        <f t="shared" si="250"/>
        <v>282.25678571428568</v>
      </c>
    </row>
    <row r="14387" spans="1:7" hidden="1" x14ac:dyDescent="0.25">
      <c r="A14387" s="28">
        <v>44713</v>
      </c>
      <c r="B14387" s="27" t="s">
        <v>200</v>
      </c>
      <c r="C14387" s="27" t="s">
        <v>182</v>
      </c>
      <c r="D14387" s="27" t="s">
        <v>7</v>
      </c>
      <c r="E14387" s="27" t="s">
        <v>68</v>
      </c>
      <c r="F14387" s="29"/>
      <c r="G14387" s="30">
        <f t="shared" si="250"/>
        <v>282.25678571428568</v>
      </c>
    </row>
    <row r="14388" spans="1:7" hidden="1" x14ac:dyDescent="0.25">
      <c r="A14388" s="28">
        <v>44713</v>
      </c>
      <c r="B14388" s="27" t="s">
        <v>200</v>
      </c>
      <c r="C14388" s="27" t="s">
        <v>182</v>
      </c>
      <c r="D14388" s="27" t="s">
        <v>7</v>
      </c>
      <c r="E14388" s="27" t="s">
        <v>74</v>
      </c>
      <c r="F14388" s="29"/>
      <c r="G14388" s="30">
        <f t="shared" si="250"/>
        <v>282.25678571428568</v>
      </c>
    </row>
    <row r="14389" spans="1:7" hidden="1" x14ac:dyDescent="0.25">
      <c r="A14389" s="28">
        <v>44713</v>
      </c>
      <c r="B14389" s="27" t="s">
        <v>35</v>
      </c>
      <c r="C14389" s="27" t="s">
        <v>50</v>
      </c>
      <c r="D14389" s="27" t="s">
        <v>7</v>
      </c>
      <c r="E14389" s="27" t="s">
        <v>8</v>
      </c>
      <c r="F14389" s="29"/>
      <c r="G14389" s="30">
        <v>571.17607142857139</v>
      </c>
    </row>
    <row r="14390" spans="1:7" hidden="1" x14ac:dyDescent="0.25">
      <c r="A14390" s="28">
        <v>44713</v>
      </c>
      <c r="B14390" s="27" t="s">
        <v>35</v>
      </c>
      <c r="C14390" s="27" t="s">
        <v>50</v>
      </c>
      <c r="D14390" s="27" t="s">
        <v>7</v>
      </c>
      <c r="E14390" s="27" t="s">
        <v>9</v>
      </c>
      <c r="F14390" s="29"/>
      <c r="G14390" s="30">
        <v>571.17607142857139</v>
      </c>
    </row>
    <row r="14391" spans="1:7" hidden="1" x14ac:dyDescent="0.25">
      <c r="A14391" s="28">
        <v>44713</v>
      </c>
      <c r="B14391" s="27" t="s">
        <v>35</v>
      </c>
      <c r="C14391" s="27" t="s">
        <v>50</v>
      </c>
      <c r="D14391" s="27" t="s">
        <v>7</v>
      </c>
      <c r="E14391" s="27" t="s">
        <v>22</v>
      </c>
      <c r="F14391" s="29"/>
      <c r="G14391" s="30">
        <v>571.17607142857139</v>
      </c>
    </row>
    <row r="14392" spans="1:7" hidden="1" x14ac:dyDescent="0.25">
      <c r="A14392" s="28">
        <v>44713</v>
      </c>
      <c r="B14392" s="27" t="s">
        <v>35</v>
      </c>
      <c r="C14392" s="27" t="s">
        <v>50</v>
      </c>
      <c r="D14392" s="27" t="s">
        <v>7</v>
      </c>
      <c r="E14392" s="27" t="s">
        <v>39</v>
      </c>
      <c r="F14392" s="29"/>
      <c r="G14392" s="30">
        <v>571.17607142857139</v>
      </c>
    </row>
    <row r="14393" spans="1:7" hidden="1" x14ac:dyDescent="0.25">
      <c r="A14393" s="28">
        <v>44713</v>
      </c>
      <c r="B14393" s="27" t="s">
        <v>35</v>
      </c>
      <c r="C14393" s="27" t="s">
        <v>50</v>
      </c>
      <c r="D14393" s="27" t="s">
        <v>7</v>
      </c>
      <c r="E14393" s="27" t="s">
        <v>64</v>
      </c>
      <c r="F14393" s="29"/>
      <c r="G14393" s="30">
        <v>571.17607142857139</v>
      </c>
    </row>
    <row r="14394" spans="1:7" hidden="1" x14ac:dyDescent="0.25">
      <c r="A14394" s="28">
        <v>44713</v>
      </c>
      <c r="B14394" s="27" t="s">
        <v>35</v>
      </c>
      <c r="C14394" s="27" t="s">
        <v>50</v>
      </c>
      <c r="D14394" s="27" t="s">
        <v>7</v>
      </c>
      <c r="E14394" s="27" t="s">
        <v>21</v>
      </c>
      <c r="F14394" s="29"/>
      <c r="G14394" s="30">
        <v>571.17607142857139</v>
      </c>
    </row>
    <row r="14395" spans="1:7" hidden="1" x14ac:dyDescent="0.25">
      <c r="A14395" s="28">
        <v>44713</v>
      </c>
      <c r="B14395" s="27" t="s">
        <v>35</v>
      </c>
      <c r="C14395" s="27" t="s">
        <v>50</v>
      </c>
      <c r="D14395" s="27" t="s">
        <v>7</v>
      </c>
      <c r="E14395" s="27" t="s">
        <v>41</v>
      </c>
      <c r="F14395" s="29"/>
      <c r="G14395" s="30">
        <v>571.17607142857139</v>
      </c>
    </row>
    <row r="14396" spans="1:7" hidden="1" x14ac:dyDescent="0.25">
      <c r="A14396" s="28">
        <v>44713</v>
      </c>
      <c r="B14396" s="27" t="s">
        <v>35</v>
      </c>
      <c r="C14396" s="27" t="s">
        <v>50</v>
      </c>
      <c r="D14396" s="27" t="s">
        <v>7</v>
      </c>
      <c r="E14396" s="27" t="s">
        <v>10</v>
      </c>
      <c r="F14396" s="29"/>
      <c r="G14396" s="30">
        <v>571.17607142857139</v>
      </c>
    </row>
    <row r="14397" spans="1:7" hidden="1" x14ac:dyDescent="0.25">
      <c r="A14397" s="28">
        <v>44713</v>
      </c>
      <c r="B14397" s="27" t="s">
        <v>35</v>
      </c>
      <c r="C14397" s="27" t="s">
        <v>50</v>
      </c>
      <c r="D14397" s="27" t="s">
        <v>7</v>
      </c>
      <c r="E14397" s="27" t="s">
        <v>11</v>
      </c>
      <c r="F14397" s="29"/>
      <c r="G14397" s="30">
        <v>571.17607142857139</v>
      </c>
    </row>
    <row r="14398" spans="1:7" hidden="1" x14ac:dyDescent="0.25">
      <c r="A14398" s="28">
        <v>44713</v>
      </c>
      <c r="B14398" s="27" t="s">
        <v>35</v>
      </c>
      <c r="C14398" s="27" t="s">
        <v>50</v>
      </c>
      <c r="D14398" s="27" t="s">
        <v>7</v>
      </c>
      <c r="E14398" s="27" t="s">
        <v>12</v>
      </c>
      <c r="F14398" s="29"/>
      <c r="G14398" s="30">
        <v>571.17607142857139</v>
      </c>
    </row>
    <row r="14399" spans="1:7" hidden="1" x14ac:dyDescent="0.25">
      <c r="A14399" s="28">
        <v>44713</v>
      </c>
      <c r="B14399" s="27" t="s">
        <v>35</v>
      </c>
      <c r="C14399" s="27" t="s">
        <v>50</v>
      </c>
      <c r="D14399" s="27" t="s">
        <v>7</v>
      </c>
      <c r="E14399" s="27" t="s">
        <v>13</v>
      </c>
      <c r="F14399" s="29"/>
      <c r="G14399" s="30">
        <v>571.17607142857139</v>
      </c>
    </row>
    <row r="14400" spans="1:7" hidden="1" x14ac:dyDescent="0.25">
      <c r="A14400" s="28">
        <v>44713</v>
      </c>
      <c r="B14400" s="27" t="s">
        <v>35</v>
      </c>
      <c r="C14400" s="27" t="s">
        <v>50</v>
      </c>
      <c r="D14400" s="27" t="s">
        <v>7</v>
      </c>
      <c r="E14400" s="27" t="s">
        <v>14</v>
      </c>
      <c r="F14400" s="29"/>
      <c r="G14400" s="30">
        <v>571.17607142857139</v>
      </c>
    </row>
    <row r="14401" spans="1:7" hidden="1" x14ac:dyDescent="0.25">
      <c r="A14401" s="28">
        <v>44713</v>
      </c>
      <c r="B14401" s="27" t="s">
        <v>35</v>
      </c>
      <c r="C14401" s="27" t="s">
        <v>50</v>
      </c>
      <c r="D14401" s="27" t="s">
        <v>7</v>
      </c>
      <c r="E14401" s="27" t="s">
        <v>15</v>
      </c>
      <c r="F14401" s="29"/>
      <c r="G14401" s="30">
        <v>571.17607142857139</v>
      </c>
    </row>
    <row r="14402" spans="1:7" hidden="1" x14ac:dyDescent="0.25">
      <c r="A14402" s="28">
        <v>44713</v>
      </c>
      <c r="B14402" s="27" t="s">
        <v>35</v>
      </c>
      <c r="C14402" s="27" t="s">
        <v>50</v>
      </c>
      <c r="D14402" s="27" t="s">
        <v>7</v>
      </c>
      <c r="E14402" s="27" t="s">
        <v>16</v>
      </c>
      <c r="F14402" s="29"/>
      <c r="G14402" s="30">
        <v>571.17607142857139</v>
      </c>
    </row>
    <row r="14403" spans="1:7" hidden="1" x14ac:dyDescent="0.25">
      <c r="A14403" s="28">
        <v>44713</v>
      </c>
      <c r="B14403" s="27" t="s">
        <v>35</v>
      </c>
      <c r="C14403" s="27" t="s">
        <v>50</v>
      </c>
      <c r="D14403" s="27" t="s">
        <v>7</v>
      </c>
      <c r="E14403" s="27" t="s">
        <v>17</v>
      </c>
      <c r="F14403" s="29"/>
      <c r="G14403" s="30">
        <v>571.17607142857139</v>
      </c>
    </row>
    <row r="14404" spans="1:7" hidden="1" x14ac:dyDescent="0.25">
      <c r="A14404" s="28">
        <v>44713</v>
      </c>
      <c r="B14404" s="27" t="s">
        <v>35</v>
      </c>
      <c r="C14404" s="27" t="s">
        <v>50</v>
      </c>
      <c r="D14404" s="27" t="s">
        <v>7</v>
      </c>
      <c r="E14404" s="27" t="s">
        <v>18</v>
      </c>
      <c r="F14404" s="29"/>
      <c r="G14404" s="30">
        <v>571.17607142857139</v>
      </c>
    </row>
    <row r="14405" spans="1:7" hidden="1" x14ac:dyDescent="0.25">
      <c r="A14405" s="28">
        <v>44713</v>
      </c>
      <c r="B14405" s="27" t="s">
        <v>35</v>
      </c>
      <c r="C14405" s="27" t="s">
        <v>50</v>
      </c>
      <c r="D14405" s="27" t="s">
        <v>7</v>
      </c>
      <c r="E14405" s="27" t="s">
        <v>19</v>
      </c>
      <c r="F14405" s="29"/>
      <c r="G14405" s="30">
        <v>571.17607142857139</v>
      </c>
    </row>
    <row r="14406" spans="1:7" hidden="1" x14ac:dyDescent="0.25">
      <c r="A14406" s="28">
        <v>44713</v>
      </c>
      <c r="B14406" s="27" t="s">
        <v>35</v>
      </c>
      <c r="C14406" s="27" t="s">
        <v>50</v>
      </c>
      <c r="D14406" s="27" t="s">
        <v>7</v>
      </c>
      <c r="E14406" s="27" t="s">
        <v>20</v>
      </c>
      <c r="F14406" s="29"/>
      <c r="G14406" s="30">
        <v>571.17607142857139</v>
      </c>
    </row>
    <row r="14407" spans="1:7" hidden="1" x14ac:dyDescent="0.25">
      <c r="A14407" s="28">
        <v>44713</v>
      </c>
      <c r="B14407" s="27" t="s">
        <v>35</v>
      </c>
      <c r="C14407" s="27" t="s">
        <v>50</v>
      </c>
      <c r="D14407" s="27" t="s">
        <v>7</v>
      </c>
      <c r="E14407" s="27" t="s">
        <v>38</v>
      </c>
      <c r="F14407" s="29"/>
      <c r="G14407" s="30">
        <v>571.17607142857139</v>
      </c>
    </row>
    <row r="14408" spans="1:7" hidden="1" x14ac:dyDescent="0.25">
      <c r="A14408" s="28">
        <v>44713</v>
      </c>
      <c r="B14408" s="27" t="s">
        <v>35</v>
      </c>
      <c r="C14408" s="27" t="s">
        <v>50</v>
      </c>
      <c r="D14408" s="27" t="s">
        <v>7</v>
      </c>
      <c r="E14408" s="27" t="s">
        <v>23</v>
      </c>
      <c r="F14408" s="29"/>
      <c r="G14408" s="30">
        <v>571.17607142857139</v>
      </c>
    </row>
    <row r="14409" spans="1:7" hidden="1" x14ac:dyDescent="0.25">
      <c r="A14409" s="28">
        <v>44713</v>
      </c>
      <c r="B14409" s="27" t="s">
        <v>35</v>
      </c>
      <c r="C14409" s="27" t="s">
        <v>50</v>
      </c>
      <c r="D14409" s="27" t="s">
        <v>7</v>
      </c>
      <c r="E14409" s="27" t="s">
        <v>40</v>
      </c>
      <c r="F14409" s="29"/>
      <c r="G14409" s="30">
        <v>571.17607142857139</v>
      </c>
    </row>
    <row r="14410" spans="1:7" hidden="1" x14ac:dyDescent="0.25">
      <c r="A14410" s="28">
        <v>44713</v>
      </c>
      <c r="B14410" s="27" t="s">
        <v>35</v>
      </c>
      <c r="C14410" s="27" t="s">
        <v>50</v>
      </c>
      <c r="D14410" s="27" t="s">
        <v>7</v>
      </c>
      <c r="E14410" s="27" t="s">
        <v>42</v>
      </c>
      <c r="F14410" s="29"/>
      <c r="G14410" s="30">
        <v>571.17607142857139</v>
      </c>
    </row>
    <row r="14411" spans="1:7" hidden="1" x14ac:dyDescent="0.25">
      <c r="A14411" s="28">
        <v>44713</v>
      </c>
      <c r="B14411" s="27" t="s">
        <v>35</v>
      </c>
      <c r="C14411" s="27" t="s">
        <v>50</v>
      </c>
      <c r="D14411" s="27" t="s">
        <v>7</v>
      </c>
      <c r="E14411" s="27" t="s">
        <v>43</v>
      </c>
      <c r="F14411" s="29"/>
      <c r="G14411" s="30">
        <v>571.17607142857139</v>
      </c>
    </row>
    <row r="14412" spans="1:7" hidden="1" x14ac:dyDescent="0.25">
      <c r="A14412" s="28">
        <v>44713</v>
      </c>
      <c r="B14412" s="27" t="s">
        <v>35</v>
      </c>
      <c r="C14412" s="27" t="s">
        <v>50</v>
      </c>
      <c r="D14412" s="27" t="s">
        <v>7</v>
      </c>
      <c r="E14412" s="27" t="s">
        <v>72</v>
      </c>
      <c r="F14412" s="29"/>
      <c r="G14412" s="30">
        <v>571.17607142857139</v>
      </c>
    </row>
    <row r="14413" spans="1:7" hidden="1" x14ac:dyDescent="0.25">
      <c r="A14413" s="28">
        <v>44713</v>
      </c>
      <c r="B14413" s="27" t="s">
        <v>35</v>
      </c>
      <c r="C14413" s="27" t="s">
        <v>50</v>
      </c>
      <c r="D14413" s="27" t="s">
        <v>7</v>
      </c>
      <c r="E14413" s="27" t="s">
        <v>206</v>
      </c>
      <c r="F14413" s="29"/>
      <c r="G14413" s="30">
        <v>571.17607142857139</v>
      </c>
    </row>
    <row r="14414" spans="1:7" hidden="1" x14ac:dyDescent="0.25">
      <c r="A14414" s="28">
        <v>44713</v>
      </c>
      <c r="B14414" s="27" t="s">
        <v>35</v>
      </c>
      <c r="C14414" s="27" t="s">
        <v>50</v>
      </c>
      <c r="D14414" s="27" t="s">
        <v>7</v>
      </c>
      <c r="E14414" s="27" t="s">
        <v>67</v>
      </c>
      <c r="F14414" s="29"/>
      <c r="G14414" s="30">
        <v>571.17607142857139</v>
      </c>
    </row>
    <row r="14415" spans="1:7" hidden="1" x14ac:dyDescent="0.25">
      <c r="A14415" s="28">
        <v>44713</v>
      </c>
      <c r="B14415" s="27" t="s">
        <v>35</v>
      </c>
      <c r="C14415" s="27" t="s">
        <v>50</v>
      </c>
      <c r="D14415" s="27" t="s">
        <v>7</v>
      </c>
      <c r="E14415" s="27" t="s">
        <v>68</v>
      </c>
      <c r="F14415" s="29"/>
      <c r="G14415" s="30">
        <v>571.17607142857139</v>
      </c>
    </row>
    <row r="14416" spans="1:7" hidden="1" x14ac:dyDescent="0.25">
      <c r="A14416" s="28">
        <v>44713</v>
      </c>
      <c r="B14416" s="27" t="s">
        <v>35</v>
      </c>
      <c r="C14416" s="27" t="s">
        <v>50</v>
      </c>
      <c r="D14416" s="27" t="s">
        <v>7</v>
      </c>
      <c r="E14416" s="27" t="s">
        <v>74</v>
      </c>
      <c r="F14416" s="29"/>
      <c r="G14416" s="30">
        <v>571.17607142857139</v>
      </c>
    </row>
    <row r="14417" spans="1:7" hidden="1" x14ac:dyDescent="0.25">
      <c r="A14417" s="28">
        <v>44713</v>
      </c>
      <c r="B14417" s="27" t="s">
        <v>34</v>
      </c>
      <c r="C14417" s="27" t="s">
        <v>50</v>
      </c>
      <c r="D14417" s="27" t="s">
        <v>6</v>
      </c>
      <c r="E14417" s="27" t="s">
        <v>8</v>
      </c>
      <c r="F14417" s="29"/>
      <c r="G14417" s="30">
        <v>273.50799999999998</v>
      </c>
    </row>
    <row r="14418" spans="1:7" hidden="1" x14ac:dyDescent="0.25">
      <c r="A14418" s="28">
        <v>44713</v>
      </c>
      <c r="B14418" s="27" t="s">
        <v>34</v>
      </c>
      <c r="C14418" s="27" t="s">
        <v>50</v>
      </c>
      <c r="D14418" s="27" t="s">
        <v>6</v>
      </c>
      <c r="E14418" s="27" t="s">
        <v>9</v>
      </c>
      <c r="F14418" s="29"/>
      <c r="G14418" s="30">
        <v>273.50799999999998</v>
      </c>
    </row>
    <row r="14419" spans="1:7" hidden="1" x14ac:dyDescent="0.25">
      <c r="A14419" s="28">
        <v>44713</v>
      </c>
      <c r="B14419" s="27" t="s">
        <v>34</v>
      </c>
      <c r="C14419" s="27" t="s">
        <v>50</v>
      </c>
      <c r="D14419" s="27" t="s">
        <v>6</v>
      </c>
      <c r="E14419" s="27" t="s">
        <v>22</v>
      </c>
      <c r="F14419" s="29"/>
      <c r="G14419" s="30">
        <v>273.50799999999998</v>
      </c>
    </row>
    <row r="14420" spans="1:7" hidden="1" x14ac:dyDescent="0.25">
      <c r="A14420" s="28">
        <v>44713</v>
      </c>
      <c r="B14420" s="27" t="s">
        <v>34</v>
      </c>
      <c r="C14420" s="27" t="s">
        <v>50</v>
      </c>
      <c r="D14420" s="27" t="s">
        <v>6</v>
      </c>
      <c r="E14420" s="27" t="s">
        <v>39</v>
      </c>
      <c r="F14420" s="29"/>
      <c r="G14420" s="30">
        <v>273.50799999999998</v>
      </c>
    </row>
    <row r="14421" spans="1:7" hidden="1" x14ac:dyDescent="0.25">
      <c r="A14421" s="28">
        <v>44713</v>
      </c>
      <c r="B14421" s="27" t="s">
        <v>34</v>
      </c>
      <c r="C14421" s="27" t="s">
        <v>50</v>
      </c>
      <c r="D14421" s="27" t="s">
        <v>6</v>
      </c>
      <c r="E14421" s="27" t="s">
        <v>64</v>
      </c>
      <c r="F14421" s="29"/>
      <c r="G14421" s="30">
        <v>273.50799999999998</v>
      </c>
    </row>
    <row r="14422" spans="1:7" hidden="1" x14ac:dyDescent="0.25">
      <c r="A14422" s="28">
        <v>44713</v>
      </c>
      <c r="B14422" s="27" t="s">
        <v>34</v>
      </c>
      <c r="C14422" s="27" t="s">
        <v>50</v>
      </c>
      <c r="D14422" s="27" t="s">
        <v>6</v>
      </c>
      <c r="E14422" s="27" t="s">
        <v>21</v>
      </c>
      <c r="F14422" s="29"/>
      <c r="G14422" s="30">
        <v>273.50799999999998</v>
      </c>
    </row>
    <row r="14423" spans="1:7" hidden="1" x14ac:dyDescent="0.25">
      <c r="A14423" s="28">
        <v>44713</v>
      </c>
      <c r="B14423" s="27" t="s">
        <v>34</v>
      </c>
      <c r="C14423" s="27" t="s">
        <v>50</v>
      </c>
      <c r="D14423" s="27" t="s">
        <v>6</v>
      </c>
      <c r="E14423" s="27" t="s">
        <v>41</v>
      </c>
      <c r="F14423" s="29"/>
      <c r="G14423" s="30">
        <v>273.50799999999998</v>
      </c>
    </row>
    <row r="14424" spans="1:7" hidden="1" x14ac:dyDescent="0.25">
      <c r="A14424" s="28">
        <v>44713</v>
      </c>
      <c r="B14424" s="27" t="s">
        <v>34</v>
      </c>
      <c r="C14424" s="27" t="s">
        <v>50</v>
      </c>
      <c r="D14424" s="27" t="s">
        <v>6</v>
      </c>
      <c r="E14424" s="27" t="s">
        <v>10</v>
      </c>
      <c r="F14424" s="29"/>
      <c r="G14424" s="30">
        <v>273.50799999999998</v>
      </c>
    </row>
    <row r="14425" spans="1:7" hidden="1" x14ac:dyDescent="0.25">
      <c r="A14425" s="28">
        <v>44713</v>
      </c>
      <c r="B14425" s="27" t="s">
        <v>34</v>
      </c>
      <c r="C14425" s="27" t="s">
        <v>50</v>
      </c>
      <c r="D14425" s="27" t="s">
        <v>6</v>
      </c>
      <c r="E14425" s="27" t="s">
        <v>11</v>
      </c>
      <c r="F14425" s="29"/>
      <c r="G14425" s="30">
        <v>273.50799999999998</v>
      </c>
    </row>
    <row r="14426" spans="1:7" hidden="1" x14ac:dyDescent="0.25">
      <c r="A14426" s="28">
        <v>44713</v>
      </c>
      <c r="B14426" s="27" t="s">
        <v>34</v>
      </c>
      <c r="C14426" s="27" t="s">
        <v>50</v>
      </c>
      <c r="D14426" s="27" t="s">
        <v>6</v>
      </c>
      <c r="E14426" s="27" t="s">
        <v>12</v>
      </c>
      <c r="F14426" s="29"/>
      <c r="G14426" s="30">
        <v>273.50799999999998</v>
      </c>
    </row>
    <row r="14427" spans="1:7" hidden="1" x14ac:dyDescent="0.25">
      <c r="A14427" s="28">
        <v>44713</v>
      </c>
      <c r="B14427" s="27" t="s">
        <v>34</v>
      </c>
      <c r="C14427" s="27" t="s">
        <v>50</v>
      </c>
      <c r="D14427" s="27" t="s">
        <v>6</v>
      </c>
      <c r="E14427" s="27" t="s">
        <v>13</v>
      </c>
      <c r="F14427" s="29"/>
      <c r="G14427" s="30">
        <v>273.50799999999998</v>
      </c>
    </row>
    <row r="14428" spans="1:7" hidden="1" x14ac:dyDescent="0.25">
      <c r="A14428" s="28">
        <v>44713</v>
      </c>
      <c r="B14428" s="27" t="s">
        <v>34</v>
      </c>
      <c r="C14428" s="27" t="s">
        <v>50</v>
      </c>
      <c r="D14428" s="27" t="s">
        <v>6</v>
      </c>
      <c r="E14428" s="27" t="s">
        <v>14</v>
      </c>
      <c r="F14428" s="29"/>
      <c r="G14428" s="30">
        <v>273.50799999999998</v>
      </c>
    </row>
    <row r="14429" spans="1:7" hidden="1" x14ac:dyDescent="0.25">
      <c r="A14429" s="28">
        <v>44713</v>
      </c>
      <c r="B14429" s="27" t="s">
        <v>34</v>
      </c>
      <c r="C14429" s="27" t="s">
        <v>50</v>
      </c>
      <c r="D14429" s="27" t="s">
        <v>6</v>
      </c>
      <c r="E14429" s="27" t="s">
        <v>15</v>
      </c>
      <c r="F14429" s="29"/>
      <c r="G14429" s="30">
        <v>273.50799999999998</v>
      </c>
    </row>
    <row r="14430" spans="1:7" hidden="1" x14ac:dyDescent="0.25">
      <c r="A14430" s="28">
        <v>44713</v>
      </c>
      <c r="B14430" s="27" t="s">
        <v>34</v>
      </c>
      <c r="C14430" s="27" t="s">
        <v>50</v>
      </c>
      <c r="D14430" s="27" t="s">
        <v>6</v>
      </c>
      <c r="E14430" s="27" t="s">
        <v>16</v>
      </c>
      <c r="F14430" s="29"/>
      <c r="G14430" s="30">
        <v>273.50799999999998</v>
      </c>
    </row>
    <row r="14431" spans="1:7" hidden="1" x14ac:dyDescent="0.25">
      <c r="A14431" s="28">
        <v>44713</v>
      </c>
      <c r="B14431" s="27" t="s">
        <v>34</v>
      </c>
      <c r="C14431" s="27" t="s">
        <v>50</v>
      </c>
      <c r="D14431" s="27" t="s">
        <v>6</v>
      </c>
      <c r="E14431" s="27" t="s">
        <v>17</v>
      </c>
      <c r="F14431" s="29"/>
      <c r="G14431" s="30">
        <v>273.50799999999998</v>
      </c>
    </row>
    <row r="14432" spans="1:7" hidden="1" x14ac:dyDescent="0.25">
      <c r="A14432" s="28">
        <v>44713</v>
      </c>
      <c r="B14432" s="27" t="s">
        <v>34</v>
      </c>
      <c r="C14432" s="27" t="s">
        <v>50</v>
      </c>
      <c r="D14432" s="27" t="s">
        <v>6</v>
      </c>
      <c r="E14432" s="27" t="s">
        <v>18</v>
      </c>
      <c r="F14432" s="29"/>
      <c r="G14432" s="30">
        <v>273.50799999999998</v>
      </c>
    </row>
    <row r="14433" spans="1:7" hidden="1" x14ac:dyDescent="0.25">
      <c r="A14433" s="28">
        <v>44713</v>
      </c>
      <c r="B14433" s="27" t="s">
        <v>34</v>
      </c>
      <c r="C14433" s="27" t="s">
        <v>50</v>
      </c>
      <c r="D14433" s="27" t="s">
        <v>6</v>
      </c>
      <c r="E14433" s="27" t="s">
        <v>19</v>
      </c>
      <c r="F14433" s="29"/>
      <c r="G14433" s="30">
        <v>273.50799999999998</v>
      </c>
    </row>
    <row r="14434" spans="1:7" hidden="1" x14ac:dyDescent="0.25">
      <c r="A14434" s="28">
        <v>44713</v>
      </c>
      <c r="B14434" s="27" t="s">
        <v>34</v>
      </c>
      <c r="C14434" s="27" t="s">
        <v>50</v>
      </c>
      <c r="D14434" s="27" t="s">
        <v>6</v>
      </c>
      <c r="E14434" s="27" t="s">
        <v>20</v>
      </c>
      <c r="F14434" s="29"/>
      <c r="G14434" s="30">
        <v>273.50799999999998</v>
      </c>
    </row>
    <row r="14435" spans="1:7" hidden="1" x14ac:dyDescent="0.25">
      <c r="A14435" s="28">
        <v>44713</v>
      </c>
      <c r="B14435" s="27" t="s">
        <v>34</v>
      </c>
      <c r="C14435" s="27" t="s">
        <v>50</v>
      </c>
      <c r="D14435" s="27" t="s">
        <v>6</v>
      </c>
      <c r="E14435" s="27" t="s">
        <v>38</v>
      </c>
      <c r="F14435" s="29"/>
      <c r="G14435" s="30">
        <v>273.50799999999998</v>
      </c>
    </row>
    <row r="14436" spans="1:7" hidden="1" x14ac:dyDescent="0.25">
      <c r="A14436" s="28">
        <v>44713</v>
      </c>
      <c r="B14436" s="27" t="s">
        <v>34</v>
      </c>
      <c r="C14436" s="27" t="s">
        <v>50</v>
      </c>
      <c r="D14436" s="27" t="s">
        <v>6</v>
      </c>
      <c r="E14436" s="27" t="s">
        <v>23</v>
      </c>
      <c r="F14436" s="29"/>
      <c r="G14436" s="30">
        <v>273.50799999999998</v>
      </c>
    </row>
    <row r="14437" spans="1:7" hidden="1" x14ac:dyDescent="0.25">
      <c r="A14437" s="28">
        <v>44713</v>
      </c>
      <c r="B14437" s="27" t="s">
        <v>34</v>
      </c>
      <c r="C14437" s="27" t="s">
        <v>50</v>
      </c>
      <c r="D14437" s="27" t="s">
        <v>6</v>
      </c>
      <c r="E14437" s="27" t="s">
        <v>40</v>
      </c>
      <c r="F14437" s="29"/>
      <c r="G14437" s="30">
        <v>273.50799999999998</v>
      </c>
    </row>
    <row r="14438" spans="1:7" hidden="1" x14ac:dyDescent="0.25">
      <c r="A14438" s="28">
        <v>44713</v>
      </c>
      <c r="B14438" s="27" t="s">
        <v>34</v>
      </c>
      <c r="C14438" s="27" t="s">
        <v>50</v>
      </c>
      <c r="D14438" s="27" t="s">
        <v>6</v>
      </c>
      <c r="E14438" s="27" t="s">
        <v>42</v>
      </c>
      <c r="F14438" s="29"/>
      <c r="G14438" s="30">
        <v>273.50799999999998</v>
      </c>
    </row>
    <row r="14439" spans="1:7" hidden="1" x14ac:dyDescent="0.25">
      <c r="A14439" s="28">
        <v>44713</v>
      </c>
      <c r="B14439" s="27" t="s">
        <v>34</v>
      </c>
      <c r="C14439" s="27" t="s">
        <v>50</v>
      </c>
      <c r="D14439" s="27" t="s">
        <v>6</v>
      </c>
      <c r="E14439" s="27" t="s">
        <v>43</v>
      </c>
      <c r="F14439" s="29"/>
      <c r="G14439" s="30">
        <v>273.50799999999998</v>
      </c>
    </row>
    <row r="14440" spans="1:7" hidden="1" x14ac:dyDescent="0.25">
      <c r="A14440" s="28">
        <v>44713</v>
      </c>
      <c r="B14440" s="27" t="s">
        <v>34</v>
      </c>
      <c r="C14440" s="27" t="s">
        <v>50</v>
      </c>
      <c r="D14440" s="27" t="s">
        <v>6</v>
      </c>
      <c r="E14440" s="27" t="s">
        <v>72</v>
      </c>
      <c r="F14440" s="29"/>
      <c r="G14440" s="30">
        <v>273.50799999999998</v>
      </c>
    </row>
    <row r="14441" spans="1:7" hidden="1" x14ac:dyDescent="0.25">
      <c r="A14441" s="28">
        <v>44713</v>
      </c>
      <c r="B14441" s="27" t="s">
        <v>34</v>
      </c>
      <c r="C14441" s="27" t="s">
        <v>50</v>
      </c>
      <c r="D14441" s="27" t="s">
        <v>6</v>
      </c>
      <c r="E14441" s="27" t="s">
        <v>206</v>
      </c>
      <c r="F14441" s="29"/>
      <c r="G14441" s="30">
        <v>273.50799999999998</v>
      </c>
    </row>
    <row r="14442" spans="1:7" hidden="1" x14ac:dyDescent="0.25">
      <c r="A14442" s="28">
        <v>44743</v>
      </c>
      <c r="B14442" s="27" t="s">
        <v>33</v>
      </c>
      <c r="C14442" s="27" t="s">
        <v>50</v>
      </c>
      <c r="D14442" s="27" t="s">
        <v>7</v>
      </c>
      <c r="E14442" s="27" t="s">
        <v>8</v>
      </c>
      <c r="F14442" s="29"/>
      <c r="G14442" s="30">
        <v>3995.9271428571433</v>
      </c>
    </row>
    <row r="14443" spans="1:7" hidden="1" x14ac:dyDescent="0.25">
      <c r="A14443" s="28">
        <v>44743</v>
      </c>
      <c r="B14443" s="27" t="s">
        <v>33</v>
      </c>
      <c r="C14443" s="27" t="s">
        <v>50</v>
      </c>
      <c r="D14443" s="27" t="s">
        <v>7</v>
      </c>
      <c r="E14443" s="27" t="s">
        <v>9</v>
      </c>
      <c r="F14443" s="29"/>
      <c r="G14443" s="30">
        <v>3995.9271428571433</v>
      </c>
    </row>
    <row r="14444" spans="1:7" hidden="1" x14ac:dyDescent="0.25">
      <c r="A14444" s="28">
        <v>44743</v>
      </c>
      <c r="B14444" s="27" t="s">
        <v>33</v>
      </c>
      <c r="C14444" s="27" t="s">
        <v>50</v>
      </c>
      <c r="D14444" s="27" t="s">
        <v>7</v>
      </c>
      <c r="E14444" s="27" t="s">
        <v>22</v>
      </c>
      <c r="F14444" s="29"/>
      <c r="G14444" s="30">
        <v>3995.9271428571433</v>
      </c>
    </row>
    <row r="14445" spans="1:7" hidden="1" x14ac:dyDescent="0.25">
      <c r="A14445" s="28">
        <v>44743</v>
      </c>
      <c r="B14445" s="27" t="s">
        <v>33</v>
      </c>
      <c r="C14445" s="27" t="s">
        <v>50</v>
      </c>
      <c r="D14445" s="27" t="s">
        <v>7</v>
      </c>
      <c r="E14445" s="27" t="s">
        <v>39</v>
      </c>
      <c r="F14445" s="29"/>
      <c r="G14445" s="30">
        <v>3995.9271428571433</v>
      </c>
    </row>
    <row r="14446" spans="1:7" hidden="1" x14ac:dyDescent="0.25">
      <c r="A14446" s="28">
        <v>44743</v>
      </c>
      <c r="B14446" s="27" t="s">
        <v>33</v>
      </c>
      <c r="C14446" s="27" t="s">
        <v>50</v>
      </c>
      <c r="D14446" s="27" t="s">
        <v>7</v>
      </c>
      <c r="E14446" s="27" t="s">
        <v>64</v>
      </c>
      <c r="F14446" s="29"/>
      <c r="G14446" s="30">
        <v>3995.9271428571433</v>
      </c>
    </row>
    <row r="14447" spans="1:7" hidden="1" x14ac:dyDescent="0.25">
      <c r="A14447" s="28">
        <v>44743</v>
      </c>
      <c r="B14447" s="27" t="s">
        <v>33</v>
      </c>
      <c r="C14447" s="27" t="s">
        <v>50</v>
      </c>
      <c r="D14447" s="27" t="s">
        <v>7</v>
      </c>
      <c r="E14447" s="27" t="s">
        <v>21</v>
      </c>
      <c r="F14447" s="29"/>
      <c r="G14447" s="30">
        <v>3995.9271428571433</v>
      </c>
    </row>
    <row r="14448" spans="1:7" hidden="1" x14ac:dyDescent="0.25">
      <c r="A14448" s="28">
        <v>44743</v>
      </c>
      <c r="B14448" s="27" t="s">
        <v>33</v>
      </c>
      <c r="C14448" s="27" t="s">
        <v>50</v>
      </c>
      <c r="D14448" s="27" t="s">
        <v>7</v>
      </c>
      <c r="E14448" s="27" t="s">
        <v>41</v>
      </c>
      <c r="F14448" s="29"/>
      <c r="G14448" s="30">
        <v>3995.9271428571433</v>
      </c>
    </row>
    <row r="14449" spans="1:7" hidden="1" x14ac:dyDescent="0.25">
      <c r="A14449" s="28">
        <v>44743</v>
      </c>
      <c r="B14449" s="27" t="s">
        <v>33</v>
      </c>
      <c r="C14449" s="27" t="s">
        <v>50</v>
      </c>
      <c r="D14449" s="27" t="s">
        <v>7</v>
      </c>
      <c r="E14449" s="27" t="s">
        <v>10</v>
      </c>
      <c r="F14449" s="29"/>
      <c r="G14449" s="30">
        <v>3995.9271428571433</v>
      </c>
    </row>
    <row r="14450" spans="1:7" hidden="1" x14ac:dyDescent="0.25">
      <c r="A14450" s="28">
        <v>44743</v>
      </c>
      <c r="B14450" s="27" t="s">
        <v>33</v>
      </c>
      <c r="C14450" s="27" t="s">
        <v>50</v>
      </c>
      <c r="D14450" s="27" t="s">
        <v>7</v>
      </c>
      <c r="E14450" s="27" t="s">
        <v>11</v>
      </c>
      <c r="F14450" s="29"/>
      <c r="G14450" s="30">
        <v>3995.9271428571433</v>
      </c>
    </row>
    <row r="14451" spans="1:7" hidden="1" x14ac:dyDescent="0.25">
      <c r="A14451" s="28">
        <v>44743</v>
      </c>
      <c r="B14451" s="27" t="s">
        <v>33</v>
      </c>
      <c r="C14451" s="27" t="s">
        <v>50</v>
      </c>
      <c r="D14451" s="27" t="s">
        <v>7</v>
      </c>
      <c r="E14451" s="27" t="s">
        <v>12</v>
      </c>
      <c r="F14451" s="29"/>
      <c r="G14451" s="30">
        <v>3995.9271428571433</v>
      </c>
    </row>
    <row r="14452" spans="1:7" hidden="1" x14ac:dyDescent="0.25">
      <c r="A14452" s="28">
        <v>44743</v>
      </c>
      <c r="B14452" s="27" t="s">
        <v>33</v>
      </c>
      <c r="C14452" s="27" t="s">
        <v>50</v>
      </c>
      <c r="D14452" s="27" t="s">
        <v>7</v>
      </c>
      <c r="E14452" s="27" t="s">
        <v>13</v>
      </c>
      <c r="F14452" s="29"/>
      <c r="G14452" s="30">
        <v>3995.9271428571433</v>
      </c>
    </row>
    <row r="14453" spans="1:7" hidden="1" x14ac:dyDescent="0.25">
      <c r="A14453" s="28">
        <v>44743</v>
      </c>
      <c r="B14453" s="27" t="s">
        <v>33</v>
      </c>
      <c r="C14453" s="27" t="s">
        <v>50</v>
      </c>
      <c r="D14453" s="27" t="s">
        <v>7</v>
      </c>
      <c r="E14453" s="27" t="s">
        <v>14</v>
      </c>
      <c r="F14453" s="29"/>
      <c r="G14453" s="30">
        <v>3995.9271428571433</v>
      </c>
    </row>
    <row r="14454" spans="1:7" hidden="1" x14ac:dyDescent="0.25">
      <c r="A14454" s="28">
        <v>44743</v>
      </c>
      <c r="B14454" s="27" t="s">
        <v>33</v>
      </c>
      <c r="C14454" s="27" t="s">
        <v>50</v>
      </c>
      <c r="D14454" s="27" t="s">
        <v>7</v>
      </c>
      <c r="E14454" s="27" t="s">
        <v>15</v>
      </c>
      <c r="F14454" s="29"/>
      <c r="G14454" s="30">
        <v>3995.9271428571433</v>
      </c>
    </row>
    <row r="14455" spans="1:7" hidden="1" x14ac:dyDescent="0.25">
      <c r="A14455" s="28">
        <v>44743</v>
      </c>
      <c r="B14455" s="27" t="s">
        <v>33</v>
      </c>
      <c r="C14455" s="27" t="s">
        <v>50</v>
      </c>
      <c r="D14455" s="27" t="s">
        <v>7</v>
      </c>
      <c r="E14455" s="27" t="s">
        <v>16</v>
      </c>
      <c r="F14455" s="29"/>
      <c r="G14455" s="30">
        <v>3995.9271428571433</v>
      </c>
    </row>
    <row r="14456" spans="1:7" hidden="1" x14ac:dyDescent="0.25">
      <c r="A14456" s="28">
        <v>44743</v>
      </c>
      <c r="B14456" s="27" t="s">
        <v>33</v>
      </c>
      <c r="C14456" s="27" t="s">
        <v>50</v>
      </c>
      <c r="D14456" s="27" t="s">
        <v>7</v>
      </c>
      <c r="E14456" s="27" t="s">
        <v>17</v>
      </c>
      <c r="F14456" s="29"/>
      <c r="G14456" s="30">
        <v>3995.9271428571433</v>
      </c>
    </row>
    <row r="14457" spans="1:7" hidden="1" x14ac:dyDescent="0.25">
      <c r="A14457" s="28">
        <v>44743</v>
      </c>
      <c r="B14457" s="27" t="s">
        <v>33</v>
      </c>
      <c r="C14457" s="27" t="s">
        <v>50</v>
      </c>
      <c r="D14457" s="27" t="s">
        <v>7</v>
      </c>
      <c r="E14457" s="27" t="s">
        <v>18</v>
      </c>
      <c r="F14457" s="29"/>
      <c r="G14457" s="30">
        <v>3995.9271428571433</v>
      </c>
    </row>
    <row r="14458" spans="1:7" hidden="1" x14ac:dyDescent="0.25">
      <c r="A14458" s="28">
        <v>44743</v>
      </c>
      <c r="B14458" s="27" t="s">
        <v>33</v>
      </c>
      <c r="C14458" s="27" t="s">
        <v>50</v>
      </c>
      <c r="D14458" s="27" t="s">
        <v>7</v>
      </c>
      <c r="E14458" s="27" t="s">
        <v>19</v>
      </c>
      <c r="F14458" s="29"/>
      <c r="G14458" s="30">
        <v>3995.9271428571433</v>
      </c>
    </row>
    <row r="14459" spans="1:7" hidden="1" x14ac:dyDescent="0.25">
      <c r="A14459" s="28">
        <v>44743</v>
      </c>
      <c r="B14459" s="27" t="s">
        <v>33</v>
      </c>
      <c r="C14459" s="27" t="s">
        <v>50</v>
      </c>
      <c r="D14459" s="27" t="s">
        <v>7</v>
      </c>
      <c r="E14459" s="27" t="s">
        <v>20</v>
      </c>
      <c r="F14459" s="29"/>
      <c r="G14459" s="30">
        <v>3995.9271428571433</v>
      </c>
    </row>
    <row r="14460" spans="1:7" hidden="1" x14ac:dyDescent="0.25">
      <c r="A14460" s="28">
        <v>44743</v>
      </c>
      <c r="B14460" s="27" t="s">
        <v>33</v>
      </c>
      <c r="C14460" s="27" t="s">
        <v>50</v>
      </c>
      <c r="D14460" s="27" t="s">
        <v>7</v>
      </c>
      <c r="E14460" s="27" t="s">
        <v>38</v>
      </c>
      <c r="F14460" s="29"/>
      <c r="G14460" s="30">
        <v>3995.9271428571433</v>
      </c>
    </row>
    <row r="14461" spans="1:7" hidden="1" x14ac:dyDescent="0.25">
      <c r="A14461" s="28">
        <v>44743</v>
      </c>
      <c r="B14461" s="27" t="s">
        <v>33</v>
      </c>
      <c r="C14461" s="27" t="s">
        <v>50</v>
      </c>
      <c r="D14461" s="27" t="s">
        <v>7</v>
      </c>
      <c r="E14461" s="27" t="s">
        <v>23</v>
      </c>
      <c r="F14461" s="29"/>
      <c r="G14461" s="30">
        <v>3995.9271428571433</v>
      </c>
    </row>
    <row r="14462" spans="1:7" hidden="1" x14ac:dyDescent="0.25">
      <c r="A14462" s="28">
        <v>44743</v>
      </c>
      <c r="B14462" s="27" t="s">
        <v>33</v>
      </c>
      <c r="C14462" s="27" t="s">
        <v>50</v>
      </c>
      <c r="D14462" s="27" t="s">
        <v>7</v>
      </c>
      <c r="E14462" s="27" t="s">
        <v>40</v>
      </c>
      <c r="F14462" s="29"/>
      <c r="G14462" s="30">
        <v>3995.9271428571433</v>
      </c>
    </row>
    <row r="14463" spans="1:7" hidden="1" x14ac:dyDescent="0.25">
      <c r="A14463" s="28">
        <v>44743</v>
      </c>
      <c r="B14463" s="27" t="s">
        <v>33</v>
      </c>
      <c r="C14463" s="27" t="s">
        <v>50</v>
      </c>
      <c r="D14463" s="27" t="s">
        <v>7</v>
      </c>
      <c r="E14463" s="27" t="s">
        <v>42</v>
      </c>
      <c r="F14463" s="29"/>
      <c r="G14463" s="30">
        <v>3995.9271428571433</v>
      </c>
    </row>
    <row r="14464" spans="1:7" hidden="1" x14ac:dyDescent="0.25">
      <c r="A14464" s="28">
        <v>44743</v>
      </c>
      <c r="B14464" s="27" t="s">
        <v>33</v>
      </c>
      <c r="C14464" s="27" t="s">
        <v>50</v>
      </c>
      <c r="D14464" s="27" t="s">
        <v>7</v>
      </c>
      <c r="E14464" s="27" t="s">
        <v>43</v>
      </c>
      <c r="F14464" s="29"/>
      <c r="G14464" s="30">
        <v>3995.9271428571433</v>
      </c>
    </row>
    <row r="14465" spans="1:7" hidden="1" x14ac:dyDescent="0.25">
      <c r="A14465" s="28">
        <v>44743</v>
      </c>
      <c r="B14465" s="27" t="s">
        <v>33</v>
      </c>
      <c r="C14465" s="27" t="s">
        <v>50</v>
      </c>
      <c r="D14465" s="27" t="s">
        <v>7</v>
      </c>
      <c r="E14465" s="27" t="s">
        <v>72</v>
      </c>
      <c r="F14465" s="29"/>
      <c r="G14465" s="30">
        <v>3995.9271428571433</v>
      </c>
    </row>
    <row r="14466" spans="1:7" hidden="1" x14ac:dyDescent="0.25">
      <c r="A14466" s="28">
        <v>44743</v>
      </c>
      <c r="B14466" s="27" t="s">
        <v>33</v>
      </c>
      <c r="C14466" s="27" t="s">
        <v>50</v>
      </c>
      <c r="D14466" s="27" t="s">
        <v>7</v>
      </c>
      <c r="E14466" s="27" t="s">
        <v>206</v>
      </c>
      <c r="F14466" s="29"/>
      <c r="G14466" s="30">
        <v>3995.9271428571433</v>
      </c>
    </row>
    <row r="14467" spans="1:7" hidden="1" x14ac:dyDescent="0.25">
      <c r="A14467" s="28">
        <v>44743</v>
      </c>
      <c r="B14467" s="27" t="s">
        <v>33</v>
      </c>
      <c r="C14467" s="27" t="s">
        <v>50</v>
      </c>
      <c r="D14467" s="27" t="s">
        <v>7</v>
      </c>
      <c r="E14467" s="27" t="s">
        <v>67</v>
      </c>
      <c r="F14467" s="29"/>
      <c r="G14467" s="30">
        <v>3995.9271428571433</v>
      </c>
    </row>
    <row r="14468" spans="1:7" hidden="1" x14ac:dyDescent="0.25">
      <c r="A14468" s="28">
        <v>44743</v>
      </c>
      <c r="B14468" s="27" t="s">
        <v>33</v>
      </c>
      <c r="C14468" s="27" t="s">
        <v>50</v>
      </c>
      <c r="D14468" s="27" t="s">
        <v>7</v>
      </c>
      <c r="E14468" s="27" t="s">
        <v>68</v>
      </c>
      <c r="F14468" s="29"/>
      <c r="G14468" s="30">
        <v>3995.9271428571433</v>
      </c>
    </row>
    <row r="14469" spans="1:7" hidden="1" x14ac:dyDescent="0.25">
      <c r="A14469" s="28">
        <v>44743</v>
      </c>
      <c r="B14469" s="27" t="s">
        <v>33</v>
      </c>
      <c r="C14469" s="27" t="s">
        <v>50</v>
      </c>
      <c r="D14469" s="27" t="s">
        <v>7</v>
      </c>
      <c r="E14469" s="27" t="s">
        <v>74</v>
      </c>
      <c r="F14469" s="29"/>
      <c r="G14469" s="30">
        <v>3995.9271428571433</v>
      </c>
    </row>
    <row r="14470" spans="1:7" hidden="1" x14ac:dyDescent="0.25">
      <c r="A14470" s="28">
        <v>44743</v>
      </c>
      <c r="B14470" s="27" t="s">
        <v>4</v>
      </c>
      <c r="C14470" s="27" t="s">
        <v>50</v>
      </c>
      <c r="D14470" s="27" t="s">
        <v>7</v>
      </c>
      <c r="E14470" s="27" t="s">
        <v>8</v>
      </c>
      <c r="F14470" s="29"/>
      <c r="G14470" s="30">
        <v>858.8</v>
      </c>
    </row>
    <row r="14471" spans="1:7" hidden="1" x14ac:dyDescent="0.25">
      <c r="A14471" s="28">
        <v>44743</v>
      </c>
      <c r="B14471" s="27" t="s">
        <v>4</v>
      </c>
      <c r="C14471" s="27" t="s">
        <v>50</v>
      </c>
      <c r="D14471" s="27" t="s">
        <v>7</v>
      </c>
      <c r="E14471" s="27" t="s">
        <v>9</v>
      </c>
      <c r="F14471" s="29"/>
      <c r="G14471" s="30">
        <f>126390.61/16</f>
        <v>7899.413125</v>
      </c>
    </row>
    <row r="14472" spans="1:7" hidden="1" x14ac:dyDescent="0.25">
      <c r="A14472" s="28">
        <v>44743</v>
      </c>
      <c r="B14472" s="27" t="s">
        <v>4</v>
      </c>
      <c r="C14472" s="27" t="s">
        <v>50</v>
      </c>
      <c r="D14472" s="27" t="s">
        <v>7</v>
      </c>
      <c r="E14472" s="27" t="s">
        <v>22</v>
      </c>
      <c r="F14472" s="29"/>
      <c r="G14472" s="30">
        <v>2499.38</v>
      </c>
    </row>
    <row r="14473" spans="1:7" hidden="1" x14ac:dyDescent="0.25">
      <c r="A14473" s="28">
        <v>44743</v>
      </c>
      <c r="B14473" s="27" t="s">
        <v>4</v>
      </c>
      <c r="C14473" s="27" t="s">
        <v>50</v>
      </c>
      <c r="D14473" s="27" t="s">
        <v>7</v>
      </c>
      <c r="E14473" s="27" t="s">
        <v>39</v>
      </c>
      <c r="F14473" s="29"/>
      <c r="G14473" s="30">
        <v>2410.86</v>
      </c>
    </row>
    <row r="14474" spans="1:7" hidden="1" x14ac:dyDescent="0.25">
      <c r="A14474" s="28">
        <v>44743</v>
      </c>
      <c r="B14474" s="27" t="s">
        <v>4</v>
      </c>
      <c r="C14474" s="27" t="s">
        <v>50</v>
      </c>
      <c r="D14474" s="27" t="s">
        <v>7</v>
      </c>
      <c r="E14474" s="27" t="s">
        <v>64</v>
      </c>
      <c r="F14474" s="29"/>
      <c r="G14474" s="30">
        <f>126390.61/16</f>
        <v>7899.413125</v>
      </c>
    </row>
    <row r="14475" spans="1:7" hidden="1" x14ac:dyDescent="0.25">
      <c r="A14475" s="28">
        <v>44743</v>
      </c>
      <c r="B14475" s="27" t="s">
        <v>4</v>
      </c>
      <c r="C14475" s="27" t="s">
        <v>50</v>
      </c>
      <c r="D14475" s="27" t="s">
        <v>7</v>
      </c>
      <c r="E14475" s="27" t="s">
        <v>21</v>
      </c>
      <c r="F14475" s="29"/>
      <c r="G14475" s="30">
        <v>9344.4</v>
      </c>
    </row>
    <row r="14476" spans="1:7" hidden="1" x14ac:dyDescent="0.25">
      <c r="A14476" s="28">
        <v>44743</v>
      </c>
      <c r="B14476" s="27" t="s">
        <v>4</v>
      </c>
      <c r="C14476" s="27" t="s">
        <v>50</v>
      </c>
      <c r="D14476" s="27" t="s">
        <v>7</v>
      </c>
      <c r="E14476" s="27" t="s">
        <v>41</v>
      </c>
      <c r="F14476" s="29"/>
      <c r="G14476" s="30">
        <v>5414.69</v>
      </c>
    </row>
    <row r="14477" spans="1:7" hidden="1" x14ac:dyDescent="0.25">
      <c r="A14477" s="28">
        <v>44743</v>
      </c>
      <c r="B14477" s="27" t="s">
        <v>4</v>
      </c>
      <c r="C14477" s="27" t="s">
        <v>50</v>
      </c>
      <c r="D14477" s="27" t="s">
        <v>7</v>
      </c>
      <c r="E14477" s="27" t="s">
        <v>10</v>
      </c>
      <c r="F14477" s="29"/>
      <c r="G14477" s="30">
        <v>5084.09</v>
      </c>
    </row>
    <row r="14478" spans="1:7" hidden="1" x14ac:dyDescent="0.25">
      <c r="A14478" s="28">
        <v>44743</v>
      </c>
      <c r="B14478" s="27" t="s">
        <v>4</v>
      </c>
      <c r="C14478" s="27" t="s">
        <v>50</v>
      </c>
      <c r="D14478" s="27" t="s">
        <v>7</v>
      </c>
      <c r="E14478" s="27" t="s">
        <v>11</v>
      </c>
      <c r="F14478" s="29"/>
      <c r="G14478" s="30">
        <f>126390.61/16</f>
        <v>7899.413125</v>
      </c>
    </row>
    <row r="14479" spans="1:7" hidden="1" x14ac:dyDescent="0.25">
      <c r="A14479" s="28">
        <v>44743</v>
      </c>
      <c r="B14479" s="27" t="s">
        <v>4</v>
      </c>
      <c r="C14479" s="27" t="s">
        <v>50</v>
      </c>
      <c r="D14479" s="27" t="s">
        <v>7</v>
      </c>
      <c r="E14479" s="27" t="s">
        <v>12</v>
      </c>
      <c r="F14479" s="29"/>
      <c r="G14479" s="30">
        <f>126390.61/16</f>
        <v>7899.413125</v>
      </c>
    </row>
    <row r="14480" spans="1:7" hidden="1" x14ac:dyDescent="0.25">
      <c r="A14480" s="28">
        <v>44743</v>
      </c>
      <c r="B14480" s="27" t="s">
        <v>4</v>
      </c>
      <c r="C14480" s="27" t="s">
        <v>50</v>
      </c>
      <c r="D14480" s="27" t="s">
        <v>7</v>
      </c>
      <c r="E14480" s="27" t="s">
        <v>13</v>
      </c>
      <c r="F14480" s="29"/>
      <c r="G14480" s="30">
        <v>9879.67</v>
      </c>
    </row>
    <row r="14481" spans="1:7" hidden="1" x14ac:dyDescent="0.25">
      <c r="A14481" s="28">
        <v>44743</v>
      </c>
      <c r="B14481" s="27" t="s">
        <v>4</v>
      </c>
      <c r="C14481" s="27" t="s">
        <v>50</v>
      </c>
      <c r="D14481" s="27" t="s">
        <v>7</v>
      </c>
      <c r="E14481" s="27" t="s">
        <v>14</v>
      </c>
      <c r="F14481" s="29"/>
      <c r="G14481" s="30">
        <v>475.03</v>
      </c>
    </row>
    <row r="14482" spans="1:7" hidden="1" x14ac:dyDescent="0.25">
      <c r="A14482" s="28">
        <v>44743</v>
      </c>
      <c r="B14482" s="27" t="s">
        <v>4</v>
      </c>
      <c r="C14482" s="27" t="s">
        <v>50</v>
      </c>
      <c r="D14482" s="27" t="s">
        <v>7</v>
      </c>
      <c r="E14482" s="27" t="s">
        <v>15</v>
      </c>
      <c r="F14482" s="29"/>
      <c r="G14482" s="30">
        <f>126390.61/16</f>
        <v>7899.413125</v>
      </c>
    </row>
    <row r="14483" spans="1:7" hidden="1" x14ac:dyDescent="0.25">
      <c r="A14483" s="28">
        <v>44743</v>
      </c>
      <c r="B14483" s="27" t="s">
        <v>4</v>
      </c>
      <c r="C14483" s="27" t="s">
        <v>50</v>
      </c>
      <c r="D14483" s="27" t="s">
        <v>7</v>
      </c>
      <c r="E14483" s="27" t="s">
        <v>16</v>
      </c>
      <c r="F14483" s="29"/>
      <c r="G14483" s="30">
        <f>126390.61/16</f>
        <v>7899.413125</v>
      </c>
    </row>
    <row r="14484" spans="1:7" hidden="1" x14ac:dyDescent="0.25">
      <c r="A14484" s="28">
        <v>44743</v>
      </c>
      <c r="B14484" s="27" t="s">
        <v>4</v>
      </c>
      <c r="C14484" s="27" t="s">
        <v>50</v>
      </c>
      <c r="D14484" s="27" t="s">
        <v>7</v>
      </c>
      <c r="E14484" s="27" t="s">
        <v>17</v>
      </c>
      <c r="F14484" s="29"/>
      <c r="G14484" s="30">
        <v>5390.03</v>
      </c>
    </row>
    <row r="14485" spans="1:7" hidden="1" x14ac:dyDescent="0.25">
      <c r="A14485" s="28">
        <v>44743</v>
      </c>
      <c r="B14485" s="27" t="s">
        <v>4</v>
      </c>
      <c r="C14485" s="27" t="s">
        <v>50</v>
      </c>
      <c r="D14485" s="27" t="s">
        <v>7</v>
      </c>
      <c r="E14485" s="27" t="s">
        <v>18</v>
      </c>
      <c r="F14485" s="29"/>
      <c r="G14485" s="30">
        <f>126390.61/16</f>
        <v>7899.413125</v>
      </c>
    </row>
    <row r="14486" spans="1:7" hidden="1" x14ac:dyDescent="0.25">
      <c r="A14486" s="28">
        <v>44743</v>
      </c>
      <c r="B14486" s="27" t="s">
        <v>4</v>
      </c>
      <c r="C14486" s="27" t="s">
        <v>50</v>
      </c>
      <c r="D14486" s="27" t="s">
        <v>7</v>
      </c>
      <c r="E14486" s="27" t="s">
        <v>19</v>
      </c>
      <c r="F14486" s="29"/>
      <c r="G14486" s="30">
        <f>126390.61/16</f>
        <v>7899.413125</v>
      </c>
    </row>
    <row r="14487" spans="1:7" hidden="1" x14ac:dyDescent="0.25">
      <c r="A14487" s="28">
        <v>44743</v>
      </c>
      <c r="B14487" s="27" t="s">
        <v>4</v>
      </c>
      <c r="C14487" s="27" t="s">
        <v>50</v>
      </c>
      <c r="D14487" s="27" t="s">
        <v>7</v>
      </c>
      <c r="E14487" s="27" t="s">
        <v>20</v>
      </c>
      <c r="F14487" s="29"/>
      <c r="G14487" s="30">
        <v>271.49</v>
      </c>
    </row>
    <row r="14488" spans="1:7" hidden="1" x14ac:dyDescent="0.25">
      <c r="A14488" s="28">
        <v>44743</v>
      </c>
      <c r="B14488" s="27" t="s">
        <v>4</v>
      </c>
      <c r="C14488" s="27" t="s">
        <v>50</v>
      </c>
      <c r="D14488" s="27" t="s">
        <v>7</v>
      </c>
      <c r="E14488" s="27" t="s">
        <v>38</v>
      </c>
      <c r="F14488" s="29"/>
      <c r="G14488" s="30">
        <f>126390.61/16</f>
        <v>7899.413125</v>
      </c>
    </row>
    <row r="14489" spans="1:7" hidden="1" x14ac:dyDescent="0.25">
      <c r="A14489" s="28">
        <v>44743</v>
      </c>
      <c r="B14489" s="27" t="s">
        <v>4</v>
      </c>
      <c r="C14489" s="27" t="s">
        <v>50</v>
      </c>
      <c r="D14489" s="27" t="s">
        <v>7</v>
      </c>
      <c r="E14489" s="27" t="s">
        <v>23</v>
      </c>
      <c r="F14489" s="29"/>
      <c r="G14489" s="30">
        <v>8305.18</v>
      </c>
    </row>
    <row r="14490" spans="1:7" hidden="1" x14ac:dyDescent="0.25">
      <c r="A14490" s="28">
        <v>44743</v>
      </c>
      <c r="B14490" s="27" t="s">
        <v>4</v>
      </c>
      <c r="C14490" s="27" t="s">
        <v>50</v>
      </c>
      <c r="D14490" s="27" t="s">
        <v>7</v>
      </c>
      <c r="E14490" s="27" t="s">
        <v>40</v>
      </c>
      <c r="F14490" s="29"/>
      <c r="G14490" s="30">
        <v>1914.27</v>
      </c>
    </row>
    <row r="14491" spans="1:7" hidden="1" x14ac:dyDescent="0.25">
      <c r="A14491" s="28">
        <v>44743</v>
      </c>
      <c r="B14491" s="27" t="s">
        <v>4</v>
      </c>
      <c r="C14491" s="27" t="s">
        <v>50</v>
      </c>
      <c r="D14491" s="27" t="s">
        <v>7</v>
      </c>
      <c r="E14491" s="27" t="s">
        <v>42</v>
      </c>
      <c r="F14491" s="29"/>
      <c r="G14491" s="30">
        <f t="shared" ref="G14491:G14497" si="251">126390.61/16</f>
        <v>7899.413125</v>
      </c>
    </row>
    <row r="14492" spans="1:7" hidden="1" x14ac:dyDescent="0.25">
      <c r="A14492" s="28">
        <v>44743</v>
      </c>
      <c r="B14492" s="27" t="s">
        <v>4</v>
      </c>
      <c r="C14492" s="27" t="s">
        <v>50</v>
      </c>
      <c r="D14492" s="27" t="s">
        <v>7</v>
      </c>
      <c r="E14492" s="27" t="s">
        <v>43</v>
      </c>
      <c r="F14492" s="29"/>
      <c r="G14492" s="30">
        <f t="shared" si="251"/>
        <v>7899.413125</v>
      </c>
    </row>
    <row r="14493" spans="1:7" hidden="1" x14ac:dyDescent="0.25">
      <c r="A14493" s="28">
        <v>44743</v>
      </c>
      <c r="B14493" s="27" t="s">
        <v>4</v>
      </c>
      <c r="C14493" s="27" t="s">
        <v>50</v>
      </c>
      <c r="D14493" s="27" t="s">
        <v>7</v>
      </c>
      <c r="E14493" s="27" t="s">
        <v>72</v>
      </c>
      <c r="F14493" s="29"/>
      <c r="G14493" s="30">
        <f t="shared" si="251"/>
        <v>7899.413125</v>
      </c>
    </row>
    <row r="14494" spans="1:7" hidden="1" x14ac:dyDescent="0.25">
      <c r="A14494" s="28">
        <v>44743</v>
      </c>
      <c r="B14494" s="27" t="s">
        <v>4</v>
      </c>
      <c r="C14494" s="27" t="s">
        <v>50</v>
      </c>
      <c r="D14494" s="27" t="s">
        <v>7</v>
      </c>
      <c r="E14494" s="27" t="s">
        <v>206</v>
      </c>
      <c r="F14494" s="29"/>
      <c r="G14494" s="30">
        <f t="shared" si="251"/>
        <v>7899.413125</v>
      </c>
    </row>
    <row r="14495" spans="1:7" hidden="1" x14ac:dyDescent="0.25">
      <c r="A14495" s="28">
        <v>44743</v>
      </c>
      <c r="B14495" s="27" t="s">
        <v>4</v>
      </c>
      <c r="C14495" s="27" t="s">
        <v>50</v>
      </c>
      <c r="D14495" s="27" t="s">
        <v>7</v>
      </c>
      <c r="E14495" s="27" t="s">
        <v>67</v>
      </c>
      <c r="F14495" s="29"/>
      <c r="G14495" s="30">
        <f t="shared" si="251"/>
        <v>7899.413125</v>
      </c>
    </row>
    <row r="14496" spans="1:7" hidden="1" x14ac:dyDescent="0.25">
      <c r="A14496" s="28">
        <v>44743</v>
      </c>
      <c r="B14496" s="27" t="s">
        <v>4</v>
      </c>
      <c r="C14496" s="27" t="s">
        <v>50</v>
      </c>
      <c r="D14496" s="27" t="s">
        <v>7</v>
      </c>
      <c r="E14496" s="27" t="s">
        <v>68</v>
      </c>
      <c r="F14496" s="29"/>
      <c r="G14496" s="30">
        <f t="shared" si="251"/>
        <v>7899.413125</v>
      </c>
    </row>
    <row r="14497" spans="1:7" hidden="1" x14ac:dyDescent="0.25">
      <c r="A14497" s="28">
        <v>44743</v>
      </c>
      <c r="B14497" s="27" t="s">
        <v>4</v>
      </c>
      <c r="C14497" s="27" t="s">
        <v>50</v>
      </c>
      <c r="D14497" s="27" t="s">
        <v>7</v>
      </c>
      <c r="E14497" s="27" t="s">
        <v>74</v>
      </c>
      <c r="F14497" s="29"/>
      <c r="G14497" s="30">
        <f t="shared" si="251"/>
        <v>7899.413125</v>
      </c>
    </row>
    <row r="14498" spans="1:7" hidden="1" x14ac:dyDescent="0.25">
      <c r="A14498" s="28">
        <v>44743</v>
      </c>
      <c r="B14498" s="27" t="s">
        <v>26</v>
      </c>
      <c r="C14498" s="27" t="s">
        <v>50</v>
      </c>
      <c r="D14498" s="27" t="s">
        <v>6</v>
      </c>
      <c r="E14498" s="27" t="s">
        <v>8</v>
      </c>
      <c r="F14498" s="29"/>
      <c r="G14498" s="30">
        <v>719.18234681218985</v>
      </c>
    </row>
    <row r="14499" spans="1:7" hidden="1" x14ac:dyDescent="0.25">
      <c r="A14499" s="28">
        <v>44743</v>
      </c>
      <c r="B14499" s="27" t="s">
        <v>26</v>
      </c>
      <c r="C14499" s="27" t="s">
        <v>50</v>
      </c>
      <c r="D14499" s="27" t="s">
        <v>6</v>
      </c>
      <c r="E14499" s="27" t="s">
        <v>9</v>
      </c>
      <c r="F14499" s="29"/>
      <c r="G14499" s="30">
        <v>1595.1320615825009</v>
      </c>
    </row>
    <row r="14500" spans="1:7" hidden="1" x14ac:dyDescent="0.25">
      <c r="A14500" s="28">
        <v>44743</v>
      </c>
      <c r="B14500" s="27" t="s">
        <v>26</v>
      </c>
      <c r="C14500" s="27" t="s">
        <v>50</v>
      </c>
      <c r="D14500" s="27" t="s">
        <v>6</v>
      </c>
      <c r="E14500" s="27" t="s">
        <v>22</v>
      </c>
      <c r="F14500" s="29"/>
      <c r="G14500" s="30">
        <v>2121.8036778000037</v>
      </c>
    </row>
    <row r="14501" spans="1:7" hidden="1" x14ac:dyDescent="0.25">
      <c r="A14501" s="28">
        <v>44743</v>
      </c>
      <c r="B14501" s="27" t="s">
        <v>26</v>
      </c>
      <c r="C14501" s="27" t="s">
        <v>50</v>
      </c>
      <c r="D14501" s="27" t="s">
        <v>6</v>
      </c>
      <c r="E14501" s="27" t="s">
        <v>39</v>
      </c>
      <c r="F14501" s="29"/>
      <c r="G14501" s="30">
        <v>1858.2521149872089</v>
      </c>
    </row>
    <row r="14502" spans="1:7" hidden="1" x14ac:dyDescent="0.25">
      <c r="A14502" s="28">
        <v>44743</v>
      </c>
      <c r="B14502" s="27" t="s">
        <v>26</v>
      </c>
      <c r="C14502" s="27" t="s">
        <v>50</v>
      </c>
      <c r="D14502" s="27" t="s">
        <v>6</v>
      </c>
      <c r="E14502" s="27" t="s">
        <v>64</v>
      </c>
      <c r="F14502" s="29"/>
      <c r="G14502" s="30">
        <v>1276.3329108875935</v>
      </c>
    </row>
    <row r="14503" spans="1:7" hidden="1" x14ac:dyDescent="0.25">
      <c r="A14503" s="28">
        <v>44743</v>
      </c>
      <c r="B14503" s="27" t="s">
        <v>26</v>
      </c>
      <c r="C14503" s="27" t="s">
        <v>50</v>
      </c>
      <c r="D14503" s="27" t="s">
        <v>6</v>
      </c>
      <c r="E14503" s="27" t="s">
        <v>21</v>
      </c>
      <c r="F14503" s="29"/>
      <c r="G14503" s="30">
        <v>1372.0704648952321</v>
      </c>
    </row>
    <row r="14504" spans="1:7" hidden="1" x14ac:dyDescent="0.25">
      <c r="A14504" s="28">
        <v>44743</v>
      </c>
      <c r="B14504" s="27" t="s">
        <v>26</v>
      </c>
      <c r="C14504" s="27" t="s">
        <v>50</v>
      </c>
      <c r="D14504" s="27" t="s">
        <v>6</v>
      </c>
      <c r="E14504" s="27" t="s">
        <v>41</v>
      </c>
      <c r="F14504" s="29"/>
      <c r="G14504" s="30">
        <v>1581.4819806400055</v>
      </c>
    </row>
    <row r="14505" spans="1:7" hidden="1" x14ac:dyDescent="0.25">
      <c r="A14505" s="28">
        <v>44743</v>
      </c>
      <c r="B14505" s="27" t="s">
        <v>26</v>
      </c>
      <c r="C14505" s="27" t="s">
        <v>50</v>
      </c>
      <c r="D14505" s="27" t="s">
        <v>6</v>
      </c>
      <c r="E14505" s="27" t="s">
        <v>10</v>
      </c>
      <c r="F14505" s="29"/>
      <c r="G14505" s="30">
        <v>2188.8314725228997</v>
      </c>
    </row>
    <row r="14506" spans="1:7" hidden="1" x14ac:dyDescent="0.25">
      <c r="A14506" s="28">
        <v>44743</v>
      </c>
      <c r="B14506" s="27" t="s">
        <v>26</v>
      </c>
      <c r="C14506" s="27" t="s">
        <v>50</v>
      </c>
      <c r="D14506" s="27" t="s">
        <v>6</v>
      </c>
      <c r="E14506" s="27" t="s">
        <v>11</v>
      </c>
      <c r="F14506" s="29"/>
      <c r="G14506" s="30">
        <v>1627.7110218930932</v>
      </c>
    </row>
    <row r="14507" spans="1:7" hidden="1" x14ac:dyDescent="0.25">
      <c r="A14507" s="28">
        <v>44743</v>
      </c>
      <c r="B14507" s="27" t="s">
        <v>26</v>
      </c>
      <c r="C14507" s="27" t="s">
        <v>50</v>
      </c>
      <c r="D14507" s="27" t="s">
        <v>6</v>
      </c>
      <c r="E14507" s="27" t="s">
        <v>12</v>
      </c>
      <c r="F14507" s="29"/>
      <c r="G14507" s="30">
        <v>1714.4875638594519</v>
      </c>
    </row>
    <row r="14508" spans="1:7" hidden="1" x14ac:dyDescent="0.25">
      <c r="A14508" s="28">
        <v>44743</v>
      </c>
      <c r="B14508" s="27" t="s">
        <v>26</v>
      </c>
      <c r="C14508" s="27" t="s">
        <v>50</v>
      </c>
      <c r="D14508" s="27" t="s">
        <v>6</v>
      </c>
      <c r="E14508" s="27" t="s">
        <v>13</v>
      </c>
      <c r="F14508" s="29"/>
      <c r="G14508" s="30">
        <v>1743.4562287890469</v>
      </c>
    </row>
    <row r="14509" spans="1:7" hidden="1" x14ac:dyDescent="0.25">
      <c r="A14509" s="28">
        <v>44743</v>
      </c>
      <c r="B14509" s="27" t="s">
        <v>26</v>
      </c>
      <c r="C14509" s="27" t="s">
        <v>50</v>
      </c>
      <c r="D14509" s="27" t="s">
        <v>6</v>
      </c>
      <c r="E14509" s="27" t="s">
        <v>14</v>
      </c>
      <c r="F14509" s="29"/>
      <c r="G14509" s="30">
        <v>561.68141286032039</v>
      </c>
    </row>
    <row r="14510" spans="1:7" hidden="1" x14ac:dyDescent="0.25">
      <c r="A14510" s="28">
        <v>44743</v>
      </c>
      <c r="B14510" s="27" t="s">
        <v>26</v>
      </c>
      <c r="C14510" s="27" t="s">
        <v>50</v>
      </c>
      <c r="D14510" s="27" t="s">
        <v>6</v>
      </c>
      <c r="E14510" s="27" t="s">
        <v>15</v>
      </c>
      <c r="F14510" s="29"/>
      <c r="G14510" s="30">
        <v>1903.4886846016955</v>
      </c>
    </row>
    <row r="14511" spans="1:7" hidden="1" x14ac:dyDescent="0.25">
      <c r="A14511" s="28">
        <v>44743</v>
      </c>
      <c r="B14511" s="27" t="s">
        <v>26</v>
      </c>
      <c r="C14511" s="27" t="s">
        <v>50</v>
      </c>
      <c r="D14511" s="27" t="s">
        <v>6</v>
      </c>
      <c r="E14511" s="27" t="s">
        <v>16</v>
      </c>
      <c r="F14511" s="29"/>
      <c r="G14511" s="30">
        <v>2154.0949651718715</v>
      </c>
    </row>
    <row r="14512" spans="1:7" hidden="1" x14ac:dyDescent="0.25">
      <c r="A14512" s="28">
        <v>44743</v>
      </c>
      <c r="B14512" s="27" t="s">
        <v>26</v>
      </c>
      <c r="C14512" s="27" t="s">
        <v>50</v>
      </c>
      <c r="D14512" s="27" t="s">
        <v>6</v>
      </c>
      <c r="E14512" s="27" t="s">
        <v>17</v>
      </c>
      <c r="F14512" s="29"/>
      <c r="G14512" s="30">
        <v>3135.6350321011482</v>
      </c>
    </row>
    <row r="14513" spans="1:7" hidden="1" x14ac:dyDescent="0.25">
      <c r="A14513" s="28">
        <v>44743</v>
      </c>
      <c r="B14513" s="27" t="s">
        <v>26</v>
      </c>
      <c r="C14513" s="27" t="s">
        <v>50</v>
      </c>
      <c r="D14513" s="27" t="s">
        <v>6</v>
      </c>
      <c r="E14513" s="27" t="s">
        <v>18</v>
      </c>
      <c r="F14513" s="29"/>
      <c r="G14513" s="30">
        <v>1603.690331509566</v>
      </c>
    </row>
    <row r="14514" spans="1:7" hidden="1" x14ac:dyDescent="0.25">
      <c r="A14514" s="28">
        <v>44743</v>
      </c>
      <c r="B14514" s="27" t="s">
        <v>26</v>
      </c>
      <c r="C14514" s="27" t="s">
        <v>50</v>
      </c>
      <c r="D14514" s="27" t="s">
        <v>6</v>
      </c>
      <c r="E14514" s="27" t="s">
        <v>19</v>
      </c>
      <c r="F14514" s="29"/>
      <c r="G14514" s="30">
        <v>2421.1417541901737</v>
      </c>
    </row>
    <row r="14515" spans="1:7" hidden="1" x14ac:dyDescent="0.25">
      <c r="A14515" s="28">
        <v>44743</v>
      </c>
      <c r="B14515" s="27" t="s">
        <v>26</v>
      </c>
      <c r="C14515" s="27" t="s">
        <v>50</v>
      </c>
      <c r="D14515" s="27" t="s">
        <v>6</v>
      </c>
      <c r="E14515" s="27" t="s">
        <v>20</v>
      </c>
      <c r="F14515" s="29"/>
      <c r="G14515" s="30">
        <v>1946.4814052941281</v>
      </c>
    </row>
    <row r="14516" spans="1:7" hidden="1" x14ac:dyDescent="0.25">
      <c r="A14516" s="28">
        <v>44743</v>
      </c>
      <c r="B14516" s="27" t="s">
        <v>26</v>
      </c>
      <c r="C14516" s="27" t="s">
        <v>50</v>
      </c>
      <c r="D14516" s="27" t="s">
        <v>6</v>
      </c>
      <c r="E14516" s="27" t="s">
        <v>38</v>
      </c>
      <c r="F14516" s="29"/>
      <c r="G14516" s="30">
        <v>760.63601728244464</v>
      </c>
    </row>
    <row r="14517" spans="1:7" hidden="1" x14ac:dyDescent="0.25">
      <c r="A14517" s="28">
        <v>44743</v>
      </c>
      <c r="B14517" s="27" t="s">
        <v>26</v>
      </c>
      <c r="C14517" s="27" t="s">
        <v>50</v>
      </c>
      <c r="D14517" s="27" t="s">
        <v>6</v>
      </c>
      <c r="E14517" s="27" t="s">
        <v>23</v>
      </c>
      <c r="F14517" s="29"/>
      <c r="G14517" s="30">
        <v>2589.0564485238838</v>
      </c>
    </row>
    <row r="14518" spans="1:7" hidden="1" x14ac:dyDescent="0.25">
      <c r="A14518" s="28">
        <v>44743</v>
      </c>
      <c r="B14518" s="27" t="s">
        <v>26</v>
      </c>
      <c r="C14518" s="27" t="s">
        <v>50</v>
      </c>
      <c r="D14518" s="27" t="s">
        <v>6</v>
      </c>
      <c r="E14518" s="27" t="s">
        <v>40</v>
      </c>
      <c r="F14518" s="29"/>
      <c r="G14518" s="30">
        <v>834.25152230214019</v>
      </c>
    </row>
    <row r="14519" spans="1:7" hidden="1" x14ac:dyDescent="0.25">
      <c r="A14519" s="28">
        <v>44743</v>
      </c>
      <c r="B14519" s="27" t="s">
        <v>26</v>
      </c>
      <c r="C14519" s="27" t="s">
        <v>50</v>
      </c>
      <c r="D14519" s="27" t="s">
        <v>6</v>
      </c>
      <c r="E14519" s="27" t="s">
        <v>42</v>
      </c>
      <c r="F14519" s="29"/>
      <c r="G14519" s="30">
        <v>770.09371289428304</v>
      </c>
    </row>
    <row r="14520" spans="1:7" hidden="1" x14ac:dyDescent="0.25">
      <c r="A14520" s="28">
        <v>44743</v>
      </c>
      <c r="B14520" s="27" t="s">
        <v>26</v>
      </c>
      <c r="C14520" s="27" t="s">
        <v>50</v>
      </c>
      <c r="D14520" s="27" t="s">
        <v>6</v>
      </c>
      <c r="E14520" s="27" t="s">
        <v>43</v>
      </c>
      <c r="F14520" s="29"/>
      <c r="G14520" s="30">
        <v>715.10130483040575</v>
      </c>
    </row>
    <row r="14521" spans="1:7" hidden="1" x14ac:dyDescent="0.25">
      <c r="A14521" s="28">
        <v>44743</v>
      </c>
      <c r="B14521" s="27" t="s">
        <v>26</v>
      </c>
      <c r="C14521" s="27" t="s">
        <v>50</v>
      </c>
      <c r="D14521" s="27" t="s">
        <v>6</v>
      </c>
      <c r="E14521" s="27" t="s">
        <v>72</v>
      </c>
      <c r="F14521" s="29"/>
      <c r="G14521" s="30">
        <v>667.44121784171193</v>
      </c>
    </row>
    <row r="14522" spans="1:7" hidden="1" x14ac:dyDescent="0.25">
      <c r="A14522" s="28">
        <v>44743</v>
      </c>
      <c r="B14522" s="27" t="s">
        <v>26</v>
      </c>
      <c r="C14522" s="27" t="s">
        <v>50</v>
      </c>
      <c r="D14522" s="27" t="s">
        <v>6</v>
      </c>
      <c r="E14522" s="27" t="s">
        <v>206</v>
      </c>
      <c r="F14522" s="29"/>
      <c r="G14522" s="30">
        <v>625.73864172660501</v>
      </c>
    </row>
    <row r="14523" spans="1:7" hidden="1" x14ac:dyDescent="0.25">
      <c r="A14523" s="28">
        <v>44743</v>
      </c>
      <c r="B14523" s="27" t="s">
        <v>26</v>
      </c>
      <c r="C14523" s="27" t="s">
        <v>50</v>
      </c>
      <c r="D14523" s="27" t="s">
        <v>6</v>
      </c>
      <c r="E14523" s="27" t="s">
        <v>67</v>
      </c>
      <c r="F14523" s="29"/>
      <c r="G14523" s="30">
        <v>588.94225103680481</v>
      </c>
    </row>
    <row r="14524" spans="1:7" hidden="1" x14ac:dyDescent="0.25">
      <c r="A14524" s="28">
        <v>44743</v>
      </c>
      <c r="B14524" s="27" t="s">
        <v>26</v>
      </c>
      <c r="C14524" s="27" t="s">
        <v>50</v>
      </c>
      <c r="D14524" s="27" t="s">
        <v>6</v>
      </c>
      <c r="E14524" s="27" t="s">
        <v>68</v>
      </c>
      <c r="F14524" s="29"/>
      <c r="G14524" s="30">
        <v>556.23434820142666</v>
      </c>
    </row>
    <row r="14525" spans="1:7" hidden="1" x14ac:dyDescent="0.25">
      <c r="A14525" s="28">
        <v>44743</v>
      </c>
      <c r="B14525" s="27" t="s">
        <v>26</v>
      </c>
      <c r="C14525" s="27" t="s">
        <v>50</v>
      </c>
      <c r="D14525" s="27" t="s">
        <v>6</v>
      </c>
      <c r="E14525" s="27" t="s">
        <v>74</v>
      </c>
      <c r="F14525" s="29"/>
      <c r="G14525" s="30">
        <v>1778.7894736842106</v>
      </c>
    </row>
    <row r="14526" spans="1:7" hidden="1" x14ac:dyDescent="0.25">
      <c r="A14526" s="28">
        <v>44743</v>
      </c>
      <c r="B14526" s="27" t="s">
        <v>26</v>
      </c>
      <c r="C14526" s="27" t="s">
        <v>50</v>
      </c>
      <c r="D14526" s="27" t="s">
        <v>6</v>
      </c>
      <c r="E14526" s="27" t="s">
        <v>37</v>
      </c>
      <c r="F14526" s="29"/>
      <c r="G14526" s="30">
        <v>791.10058149340887</v>
      </c>
    </row>
    <row r="14527" spans="1:7" hidden="1" x14ac:dyDescent="0.25">
      <c r="A14527" s="28">
        <v>44743</v>
      </c>
      <c r="B14527" s="27" t="s">
        <v>3</v>
      </c>
      <c r="C14527" s="27" t="s">
        <v>50</v>
      </c>
      <c r="D14527" s="27" t="s">
        <v>7</v>
      </c>
      <c r="E14527" s="27" t="s">
        <v>8</v>
      </c>
      <c r="F14527" s="29"/>
      <c r="G14527" s="30">
        <v>924.63928571428573</v>
      </c>
    </row>
    <row r="14528" spans="1:7" hidden="1" x14ac:dyDescent="0.25">
      <c r="A14528" s="28">
        <v>44743</v>
      </c>
      <c r="B14528" s="27" t="s">
        <v>3</v>
      </c>
      <c r="C14528" s="27" t="s">
        <v>50</v>
      </c>
      <c r="D14528" s="27" t="s">
        <v>7</v>
      </c>
      <c r="E14528" s="27" t="s">
        <v>9</v>
      </c>
      <c r="F14528" s="29"/>
      <c r="G14528" s="30">
        <v>924.63928571428573</v>
      </c>
    </row>
    <row r="14529" spans="1:7" hidden="1" x14ac:dyDescent="0.25">
      <c r="A14529" s="28">
        <v>44743</v>
      </c>
      <c r="B14529" s="27" t="s">
        <v>3</v>
      </c>
      <c r="C14529" s="27" t="s">
        <v>50</v>
      </c>
      <c r="D14529" s="27" t="s">
        <v>7</v>
      </c>
      <c r="E14529" s="27" t="s">
        <v>22</v>
      </c>
      <c r="F14529" s="29"/>
      <c r="G14529" s="30">
        <v>924.63928571428573</v>
      </c>
    </row>
    <row r="14530" spans="1:7" hidden="1" x14ac:dyDescent="0.25">
      <c r="A14530" s="28">
        <v>44743</v>
      </c>
      <c r="B14530" s="27" t="s">
        <v>3</v>
      </c>
      <c r="C14530" s="27" t="s">
        <v>50</v>
      </c>
      <c r="D14530" s="27" t="s">
        <v>7</v>
      </c>
      <c r="E14530" s="27" t="s">
        <v>39</v>
      </c>
      <c r="F14530" s="29"/>
      <c r="G14530" s="30">
        <v>924.63928571428573</v>
      </c>
    </row>
    <row r="14531" spans="1:7" hidden="1" x14ac:dyDescent="0.25">
      <c r="A14531" s="28">
        <v>44743</v>
      </c>
      <c r="B14531" s="27" t="s">
        <v>3</v>
      </c>
      <c r="C14531" s="27" t="s">
        <v>50</v>
      </c>
      <c r="D14531" s="27" t="s">
        <v>7</v>
      </c>
      <c r="E14531" s="27" t="s">
        <v>64</v>
      </c>
      <c r="F14531" s="29"/>
      <c r="G14531" s="30">
        <v>924.63928571428573</v>
      </c>
    </row>
    <row r="14532" spans="1:7" hidden="1" x14ac:dyDescent="0.25">
      <c r="A14532" s="28">
        <v>44743</v>
      </c>
      <c r="B14532" s="27" t="s">
        <v>3</v>
      </c>
      <c r="C14532" s="27" t="s">
        <v>50</v>
      </c>
      <c r="D14532" s="27" t="s">
        <v>7</v>
      </c>
      <c r="E14532" s="27" t="s">
        <v>21</v>
      </c>
      <c r="F14532" s="29"/>
      <c r="G14532" s="30">
        <v>924.63928571428573</v>
      </c>
    </row>
    <row r="14533" spans="1:7" hidden="1" x14ac:dyDescent="0.25">
      <c r="A14533" s="28">
        <v>44743</v>
      </c>
      <c r="B14533" s="27" t="s">
        <v>3</v>
      </c>
      <c r="C14533" s="27" t="s">
        <v>50</v>
      </c>
      <c r="D14533" s="27" t="s">
        <v>7</v>
      </c>
      <c r="E14533" s="27" t="s">
        <v>41</v>
      </c>
      <c r="F14533" s="29"/>
      <c r="G14533" s="30">
        <v>924.63928571428573</v>
      </c>
    </row>
    <row r="14534" spans="1:7" hidden="1" x14ac:dyDescent="0.25">
      <c r="A14534" s="28">
        <v>44743</v>
      </c>
      <c r="B14534" s="27" t="s">
        <v>3</v>
      </c>
      <c r="C14534" s="27" t="s">
        <v>50</v>
      </c>
      <c r="D14534" s="27" t="s">
        <v>7</v>
      </c>
      <c r="E14534" s="27" t="s">
        <v>10</v>
      </c>
      <c r="F14534" s="29"/>
      <c r="G14534" s="30">
        <v>924.63928571428573</v>
      </c>
    </row>
    <row r="14535" spans="1:7" hidden="1" x14ac:dyDescent="0.25">
      <c r="A14535" s="28">
        <v>44743</v>
      </c>
      <c r="B14535" s="27" t="s">
        <v>3</v>
      </c>
      <c r="C14535" s="27" t="s">
        <v>50</v>
      </c>
      <c r="D14535" s="27" t="s">
        <v>7</v>
      </c>
      <c r="E14535" s="27" t="s">
        <v>11</v>
      </c>
      <c r="F14535" s="29"/>
      <c r="G14535" s="30">
        <v>924.63928571428573</v>
      </c>
    </row>
    <row r="14536" spans="1:7" hidden="1" x14ac:dyDescent="0.25">
      <c r="A14536" s="28">
        <v>44743</v>
      </c>
      <c r="B14536" s="27" t="s">
        <v>3</v>
      </c>
      <c r="C14536" s="27" t="s">
        <v>50</v>
      </c>
      <c r="D14536" s="27" t="s">
        <v>7</v>
      </c>
      <c r="E14536" s="27" t="s">
        <v>12</v>
      </c>
      <c r="F14536" s="29"/>
      <c r="G14536" s="30">
        <v>924.63928571428573</v>
      </c>
    </row>
    <row r="14537" spans="1:7" hidden="1" x14ac:dyDescent="0.25">
      <c r="A14537" s="28">
        <v>44743</v>
      </c>
      <c r="B14537" s="27" t="s">
        <v>3</v>
      </c>
      <c r="C14537" s="27" t="s">
        <v>50</v>
      </c>
      <c r="D14537" s="27" t="s">
        <v>7</v>
      </c>
      <c r="E14537" s="27" t="s">
        <v>13</v>
      </c>
      <c r="F14537" s="29"/>
      <c r="G14537" s="30">
        <v>924.63928571428573</v>
      </c>
    </row>
    <row r="14538" spans="1:7" hidden="1" x14ac:dyDescent="0.25">
      <c r="A14538" s="28">
        <v>44743</v>
      </c>
      <c r="B14538" s="27" t="s">
        <v>3</v>
      </c>
      <c r="C14538" s="27" t="s">
        <v>50</v>
      </c>
      <c r="D14538" s="27" t="s">
        <v>7</v>
      </c>
      <c r="E14538" s="27" t="s">
        <v>14</v>
      </c>
      <c r="F14538" s="29"/>
      <c r="G14538" s="30">
        <v>924.63928571428573</v>
      </c>
    </row>
    <row r="14539" spans="1:7" hidden="1" x14ac:dyDescent="0.25">
      <c r="A14539" s="28">
        <v>44743</v>
      </c>
      <c r="B14539" s="27" t="s">
        <v>3</v>
      </c>
      <c r="C14539" s="27" t="s">
        <v>50</v>
      </c>
      <c r="D14539" s="27" t="s">
        <v>7</v>
      </c>
      <c r="E14539" s="27" t="s">
        <v>15</v>
      </c>
      <c r="F14539" s="29"/>
      <c r="G14539" s="30">
        <v>924.63928571428573</v>
      </c>
    </row>
    <row r="14540" spans="1:7" hidden="1" x14ac:dyDescent="0.25">
      <c r="A14540" s="28">
        <v>44743</v>
      </c>
      <c r="B14540" s="27" t="s">
        <v>3</v>
      </c>
      <c r="C14540" s="27" t="s">
        <v>50</v>
      </c>
      <c r="D14540" s="27" t="s">
        <v>7</v>
      </c>
      <c r="E14540" s="27" t="s">
        <v>16</v>
      </c>
      <c r="F14540" s="29"/>
      <c r="G14540" s="30">
        <v>924.63928571428573</v>
      </c>
    </row>
    <row r="14541" spans="1:7" hidden="1" x14ac:dyDescent="0.25">
      <c r="A14541" s="28">
        <v>44743</v>
      </c>
      <c r="B14541" s="27" t="s">
        <v>3</v>
      </c>
      <c r="C14541" s="27" t="s">
        <v>50</v>
      </c>
      <c r="D14541" s="27" t="s">
        <v>7</v>
      </c>
      <c r="E14541" s="27" t="s">
        <v>17</v>
      </c>
      <c r="F14541" s="29"/>
      <c r="G14541" s="30">
        <v>924.63928571428573</v>
      </c>
    </row>
    <row r="14542" spans="1:7" hidden="1" x14ac:dyDescent="0.25">
      <c r="A14542" s="28">
        <v>44743</v>
      </c>
      <c r="B14542" s="27" t="s">
        <v>3</v>
      </c>
      <c r="C14542" s="27" t="s">
        <v>50</v>
      </c>
      <c r="D14542" s="27" t="s">
        <v>7</v>
      </c>
      <c r="E14542" s="27" t="s">
        <v>18</v>
      </c>
      <c r="F14542" s="29"/>
      <c r="G14542" s="30">
        <v>924.63928571428573</v>
      </c>
    </row>
    <row r="14543" spans="1:7" hidden="1" x14ac:dyDescent="0.25">
      <c r="A14543" s="28">
        <v>44743</v>
      </c>
      <c r="B14543" s="27" t="s">
        <v>3</v>
      </c>
      <c r="C14543" s="27" t="s">
        <v>50</v>
      </c>
      <c r="D14543" s="27" t="s">
        <v>7</v>
      </c>
      <c r="E14543" s="27" t="s">
        <v>19</v>
      </c>
      <c r="F14543" s="29"/>
      <c r="G14543" s="30">
        <v>924.63928571428573</v>
      </c>
    </row>
    <row r="14544" spans="1:7" hidden="1" x14ac:dyDescent="0.25">
      <c r="A14544" s="28">
        <v>44743</v>
      </c>
      <c r="B14544" s="27" t="s">
        <v>3</v>
      </c>
      <c r="C14544" s="27" t="s">
        <v>50</v>
      </c>
      <c r="D14544" s="27" t="s">
        <v>7</v>
      </c>
      <c r="E14544" s="27" t="s">
        <v>20</v>
      </c>
      <c r="F14544" s="29"/>
      <c r="G14544" s="30">
        <v>924.63928571428573</v>
      </c>
    </row>
    <row r="14545" spans="1:7" hidden="1" x14ac:dyDescent="0.25">
      <c r="A14545" s="28">
        <v>44743</v>
      </c>
      <c r="B14545" s="27" t="s">
        <v>3</v>
      </c>
      <c r="C14545" s="27" t="s">
        <v>50</v>
      </c>
      <c r="D14545" s="27" t="s">
        <v>7</v>
      </c>
      <c r="E14545" s="27" t="s">
        <v>38</v>
      </c>
      <c r="F14545" s="29"/>
      <c r="G14545" s="30">
        <v>924.63928571428573</v>
      </c>
    </row>
    <row r="14546" spans="1:7" hidden="1" x14ac:dyDescent="0.25">
      <c r="A14546" s="28">
        <v>44743</v>
      </c>
      <c r="B14546" s="27" t="s">
        <v>3</v>
      </c>
      <c r="C14546" s="27" t="s">
        <v>50</v>
      </c>
      <c r="D14546" s="27" t="s">
        <v>7</v>
      </c>
      <c r="E14546" s="27" t="s">
        <v>23</v>
      </c>
      <c r="F14546" s="29"/>
      <c r="G14546" s="30">
        <v>924.63928571428573</v>
      </c>
    </row>
    <row r="14547" spans="1:7" hidden="1" x14ac:dyDescent="0.25">
      <c r="A14547" s="28">
        <v>44743</v>
      </c>
      <c r="B14547" s="27" t="s">
        <v>3</v>
      </c>
      <c r="C14547" s="27" t="s">
        <v>50</v>
      </c>
      <c r="D14547" s="27" t="s">
        <v>7</v>
      </c>
      <c r="E14547" s="27" t="s">
        <v>40</v>
      </c>
      <c r="F14547" s="29"/>
      <c r="G14547" s="30">
        <v>924.63928571428573</v>
      </c>
    </row>
    <row r="14548" spans="1:7" hidden="1" x14ac:dyDescent="0.25">
      <c r="A14548" s="28">
        <v>44743</v>
      </c>
      <c r="B14548" s="27" t="s">
        <v>3</v>
      </c>
      <c r="C14548" s="27" t="s">
        <v>50</v>
      </c>
      <c r="D14548" s="27" t="s">
        <v>7</v>
      </c>
      <c r="E14548" s="27" t="s">
        <v>42</v>
      </c>
      <c r="F14548" s="29"/>
      <c r="G14548" s="30">
        <v>924.63928571428573</v>
      </c>
    </row>
    <row r="14549" spans="1:7" hidden="1" x14ac:dyDescent="0.25">
      <c r="A14549" s="28">
        <v>44743</v>
      </c>
      <c r="B14549" s="27" t="s">
        <v>3</v>
      </c>
      <c r="C14549" s="27" t="s">
        <v>50</v>
      </c>
      <c r="D14549" s="27" t="s">
        <v>7</v>
      </c>
      <c r="E14549" s="27" t="s">
        <v>43</v>
      </c>
      <c r="F14549" s="29"/>
      <c r="G14549" s="30">
        <v>924.63928571428573</v>
      </c>
    </row>
    <row r="14550" spans="1:7" hidden="1" x14ac:dyDescent="0.25">
      <c r="A14550" s="28">
        <v>44743</v>
      </c>
      <c r="B14550" s="27" t="s">
        <v>3</v>
      </c>
      <c r="C14550" s="27" t="s">
        <v>50</v>
      </c>
      <c r="D14550" s="27" t="s">
        <v>7</v>
      </c>
      <c r="E14550" s="27" t="s">
        <v>72</v>
      </c>
      <c r="F14550" s="29"/>
      <c r="G14550" s="30">
        <v>924.63928571428573</v>
      </c>
    </row>
    <row r="14551" spans="1:7" hidden="1" x14ac:dyDescent="0.25">
      <c r="A14551" s="28">
        <v>44743</v>
      </c>
      <c r="B14551" s="27" t="s">
        <v>3</v>
      </c>
      <c r="C14551" s="27" t="s">
        <v>50</v>
      </c>
      <c r="D14551" s="27" t="s">
        <v>7</v>
      </c>
      <c r="E14551" s="27" t="s">
        <v>206</v>
      </c>
      <c r="F14551" s="29"/>
      <c r="G14551" s="30">
        <v>924.63928571428573</v>
      </c>
    </row>
    <row r="14552" spans="1:7" hidden="1" x14ac:dyDescent="0.25">
      <c r="A14552" s="28">
        <v>44743</v>
      </c>
      <c r="B14552" s="27" t="s">
        <v>3</v>
      </c>
      <c r="C14552" s="27" t="s">
        <v>50</v>
      </c>
      <c r="D14552" s="27" t="s">
        <v>7</v>
      </c>
      <c r="E14552" s="27" t="s">
        <v>67</v>
      </c>
      <c r="F14552" s="29"/>
      <c r="G14552" s="30">
        <v>924.63928571428573</v>
      </c>
    </row>
    <row r="14553" spans="1:7" hidden="1" x14ac:dyDescent="0.25">
      <c r="A14553" s="28">
        <v>44743</v>
      </c>
      <c r="B14553" s="27" t="s">
        <v>3</v>
      </c>
      <c r="C14553" s="27" t="s">
        <v>50</v>
      </c>
      <c r="D14553" s="27" t="s">
        <v>7</v>
      </c>
      <c r="E14553" s="27" t="s">
        <v>68</v>
      </c>
      <c r="F14553" s="29"/>
      <c r="G14553" s="30">
        <v>924.63928571428573</v>
      </c>
    </row>
    <row r="14554" spans="1:7" hidden="1" x14ac:dyDescent="0.25">
      <c r="A14554" s="28">
        <v>44743</v>
      </c>
      <c r="B14554" s="27" t="s">
        <v>3</v>
      </c>
      <c r="C14554" s="27" t="s">
        <v>50</v>
      </c>
      <c r="D14554" s="27" t="s">
        <v>7</v>
      </c>
      <c r="E14554" s="27" t="s">
        <v>74</v>
      </c>
      <c r="F14554" s="29"/>
      <c r="G14554" s="30">
        <v>924.63928571428573</v>
      </c>
    </row>
    <row r="14555" spans="1:7" hidden="1" x14ac:dyDescent="0.25">
      <c r="A14555" s="28">
        <v>44743</v>
      </c>
      <c r="B14555" s="27" t="s">
        <v>32</v>
      </c>
      <c r="C14555" s="27" t="s">
        <v>50</v>
      </c>
      <c r="D14555" s="27" t="s">
        <v>7</v>
      </c>
      <c r="E14555" s="27" t="s">
        <v>17</v>
      </c>
      <c r="F14555" s="29"/>
      <c r="G14555" s="30">
        <v>75</v>
      </c>
    </row>
    <row r="14556" spans="1:7" hidden="1" x14ac:dyDescent="0.25">
      <c r="A14556" s="28">
        <v>44743</v>
      </c>
      <c r="B14556" s="27" t="s">
        <v>5</v>
      </c>
      <c r="C14556" s="27" t="s">
        <v>51</v>
      </c>
      <c r="D14556" s="27" t="s">
        <v>51</v>
      </c>
      <c r="E14556" s="27" t="s">
        <v>8</v>
      </c>
      <c r="F14556" s="29">
        <v>3686</v>
      </c>
      <c r="G14556" s="30">
        <v>5.3758476136611639</v>
      </c>
    </row>
    <row r="14557" spans="1:7" hidden="1" x14ac:dyDescent="0.25">
      <c r="A14557" s="28">
        <v>44743</v>
      </c>
      <c r="B14557" s="27" t="s">
        <v>5</v>
      </c>
      <c r="C14557" s="27" t="s">
        <v>51</v>
      </c>
      <c r="D14557" s="27" t="s">
        <v>51</v>
      </c>
      <c r="E14557" s="27" t="s">
        <v>9</v>
      </c>
      <c r="F14557" s="29">
        <v>4056</v>
      </c>
      <c r="G14557" s="30">
        <v>3.6973268149858236</v>
      </c>
    </row>
    <row r="14558" spans="1:7" hidden="1" x14ac:dyDescent="0.25">
      <c r="A14558" s="28">
        <v>44743</v>
      </c>
      <c r="B14558" s="27" t="s">
        <v>5</v>
      </c>
      <c r="C14558" s="27" t="s">
        <v>51</v>
      </c>
      <c r="D14558" s="27" t="s">
        <v>51</v>
      </c>
      <c r="E14558" s="27" t="s">
        <v>22</v>
      </c>
      <c r="F14558" s="29">
        <v>4543</v>
      </c>
      <c r="G14558" s="30">
        <v>3.9136824076161139</v>
      </c>
    </row>
    <row r="14559" spans="1:7" hidden="1" x14ac:dyDescent="0.25">
      <c r="A14559" s="28">
        <v>44743</v>
      </c>
      <c r="B14559" s="27" t="s">
        <v>5</v>
      </c>
      <c r="C14559" s="27" t="s">
        <v>51</v>
      </c>
      <c r="D14559" s="27" t="s">
        <v>51</v>
      </c>
      <c r="E14559" s="27" t="s">
        <v>64</v>
      </c>
      <c r="F14559" s="29">
        <v>5061</v>
      </c>
      <c r="G14559" s="30">
        <v>3.4495882060635439</v>
      </c>
    </row>
    <row r="14560" spans="1:7" hidden="1" x14ac:dyDescent="0.25">
      <c r="A14560" s="28">
        <v>44743</v>
      </c>
      <c r="B14560" s="27" t="s">
        <v>5</v>
      </c>
      <c r="C14560" s="27" t="s">
        <v>51</v>
      </c>
      <c r="D14560" s="27" t="s">
        <v>51</v>
      </c>
      <c r="E14560" s="27" t="s">
        <v>21</v>
      </c>
      <c r="F14560" s="29">
        <v>4900</v>
      </c>
      <c r="G14560" s="30">
        <v>3.0206848907949455</v>
      </c>
    </row>
    <row r="14561" spans="1:7" hidden="1" x14ac:dyDescent="0.25">
      <c r="A14561" s="28">
        <v>44743</v>
      </c>
      <c r="B14561" s="27" t="s">
        <v>5</v>
      </c>
      <c r="C14561" s="27" t="s">
        <v>51</v>
      </c>
      <c r="D14561" s="27" t="s">
        <v>51</v>
      </c>
      <c r="E14561" s="27" t="s">
        <v>41</v>
      </c>
      <c r="F14561" s="29">
        <v>5418</v>
      </c>
      <c r="G14561" s="30">
        <v>2.7612416907788861</v>
      </c>
    </row>
    <row r="14562" spans="1:7" hidden="1" x14ac:dyDescent="0.25">
      <c r="A14562" s="28">
        <v>44743</v>
      </c>
      <c r="B14562" s="27" t="s">
        <v>5</v>
      </c>
      <c r="C14562" s="27" t="s">
        <v>51</v>
      </c>
      <c r="D14562" s="27" t="s">
        <v>51</v>
      </c>
      <c r="E14562" s="27" t="s">
        <v>10</v>
      </c>
      <c r="F14562" s="29">
        <v>5205</v>
      </c>
      <c r="G14562" s="30">
        <v>3.1559778045192894</v>
      </c>
    </row>
    <row r="14563" spans="1:7" hidden="1" x14ac:dyDescent="0.25">
      <c r="A14563" s="28">
        <v>44743</v>
      </c>
      <c r="B14563" s="27" t="s">
        <v>5</v>
      </c>
      <c r="C14563" s="27" t="s">
        <v>51</v>
      </c>
      <c r="D14563" s="27" t="s">
        <v>51</v>
      </c>
      <c r="E14563" s="27" t="s">
        <v>11</v>
      </c>
      <c r="F14563" s="29">
        <v>1246</v>
      </c>
      <c r="G14563" s="30">
        <v>12.203727144376478</v>
      </c>
    </row>
    <row r="14564" spans="1:7" hidden="1" x14ac:dyDescent="0.25">
      <c r="A14564" s="28">
        <v>44743</v>
      </c>
      <c r="B14564" s="27" t="s">
        <v>5</v>
      </c>
      <c r="C14564" s="27" t="s">
        <v>51</v>
      </c>
      <c r="D14564" s="27" t="s">
        <v>51</v>
      </c>
      <c r="E14564" s="27" t="s">
        <v>13</v>
      </c>
      <c r="F14564" s="29">
        <v>5701</v>
      </c>
      <c r="G14564" s="30">
        <v>4.130955837359946</v>
      </c>
    </row>
    <row r="14565" spans="1:7" hidden="1" x14ac:dyDescent="0.25">
      <c r="A14565" s="28">
        <v>44743</v>
      </c>
      <c r="B14565" s="27" t="s">
        <v>5</v>
      </c>
      <c r="C14565" s="27" t="s">
        <v>51</v>
      </c>
      <c r="D14565" s="27" t="s">
        <v>51</v>
      </c>
      <c r="E14565" s="27" t="s">
        <v>14</v>
      </c>
      <c r="F14565" s="29">
        <v>5447</v>
      </c>
      <c r="G14565" s="30">
        <v>2.6349154420525647</v>
      </c>
    </row>
    <row r="14566" spans="1:7" hidden="1" x14ac:dyDescent="0.25">
      <c r="A14566" s="28">
        <v>44743</v>
      </c>
      <c r="B14566" s="27" t="s">
        <v>5</v>
      </c>
      <c r="C14566" s="27" t="s">
        <v>51</v>
      </c>
      <c r="D14566" s="27" t="s">
        <v>51</v>
      </c>
      <c r="E14566" s="27" t="s">
        <v>15</v>
      </c>
      <c r="F14566" s="29">
        <v>3034</v>
      </c>
      <c r="G14566" s="30">
        <v>4.8671437655246192</v>
      </c>
    </row>
    <row r="14567" spans="1:7" hidden="1" x14ac:dyDescent="0.25">
      <c r="A14567" s="28">
        <v>44743</v>
      </c>
      <c r="B14567" s="27" t="s">
        <v>5</v>
      </c>
      <c r="C14567" s="27" t="s">
        <v>51</v>
      </c>
      <c r="D14567" s="27" t="s">
        <v>51</v>
      </c>
      <c r="E14567" s="27" t="s">
        <v>16</v>
      </c>
      <c r="F14567" s="29">
        <v>1199</v>
      </c>
      <c r="G14567" s="30">
        <v>12.455563357107483</v>
      </c>
    </row>
    <row r="14568" spans="1:7" hidden="1" x14ac:dyDescent="0.25">
      <c r="A14568" s="28">
        <v>44743</v>
      </c>
      <c r="B14568" s="27" t="s">
        <v>5</v>
      </c>
      <c r="C14568" s="27" t="s">
        <v>51</v>
      </c>
      <c r="D14568" s="27" t="s">
        <v>51</v>
      </c>
      <c r="E14568" s="27" t="s">
        <v>17</v>
      </c>
      <c r="F14568" s="29">
        <v>6694</v>
      </c>
      <c r="G14568" s="30">
        <v>2.560832167926673</v>
      </c>
    </row>
    <row r="14569" spans="1:7" hidden="1" x14ac:dyDescent="0.25">
      <c r="A14569" s="28">
        <v>44743</v>
      </c>
      <c r="B14569" s="27" t="s">
        <v>5</v>
      </c>
      <c r="C14569" s="27" t="s">
        <v>51</v>
      </c>
      <c r="D14569" s="27" t="s">
        <v>51</v>
      </c>
      <c r="E14569" s="27" t="s">
        <v>18</v>
      </c>
      <c r="F14569" s="29">
        <v>2005</v>
      </c>
      <c r="G14569" s="30">
        <v>8.5486862002541475</v>
      </c>
    </row>
    <row r="14570" spans="1:7" hidden="1" x14ac:dyDescent="0.25">
      <c r="A14570" s="28">
        <v>44743</v>
      </c>
      <c r="B14570" s="27" t="s">
        <v>5</v>
      </c>
      <c r="C14570" s="27" t="s">
        <v>51</v>
      </c>
      <c r="D14570" s="27" t="s">
        <v>51</v>
      </c>
      <c r="E14570" s="27" t="s">
        <v>19</v>
      </c>
      <c r="F14570" s="29">
        <v>5044</v>
      </c>
      <c r="G14570" s="30">
        <v>3.2854217395301695</v>
      </c>
    </row>
    <row r="14571" spans="1:7" hidden="1" x14ac:dyDescent="0.25">
      <c r="A14571" s="28">
        <v>44743</v>
      </c>
      <c r="B14571" s="27" t="s">
        <v>5</v>
      </c>
      <c r="C14571" s="27" t="s">
        <v>51</v>
      </c>
      <c r="D14571" s="27" t="s">
        <v>51</v>
      </c>
      <c r="E14571" s="27" t="s">
        <v>20</v>
      </c>
      <c r="F14571" s="29">
        <v>3275</v>
      </c>
      <c r="G14571" s="30">
        <v>4.4587502000898098</v>
      </c>
    </row>
    <row r="14572" spans="1:7" hidden="1" x14ac:dyDescent="0.25">
      <c r="A14572" s="28">
        <v>44743</v>
      </c>
      <c r="B14572" s="27" t="s">
        <v>5</v>
      </c>
      <c r="C14572" s="27" t="s">
        <v>51</v>
      </c>
      <c r="D14572" s="27" t="s">
        <v>51</v>
      </c>
      <c r="E14572" s="27" t="s">
        <v>23</v>
      </c>
      <c r="F14572" s="29">
        <v>6817</v>
      </c>
      <c r="G14572" s="30">
        <v>2.4236059774862677</v>
      </c>
    </row>
    <row r="14573" spans="1:7" hidden="1" x14ac:dyDescent="0.25">
      <c r="A14573" s="28">
        <v>44743</v>
      </c>
      <c r="B14573" s="27" t="s">
        <v>5</v>
      </c>
      <c r="C14573" s="27" t="s">
        <v>51</v>
      </c>
      <c r="D14573" s="27" t="s">
        <v>51</v>
      </c>
      <c r="E14573" s="27" t="s">
        <v>40</v>
      </c>
      <c r="F14573" s="29">
        <v>5560</v>
      </c>
      <c r="G14573" s="30">
        <v>2.5026217666011044</v>
      </c>
    </row>
    <row r="14574" spans="1:7" hidden="1" x14ac:dyDescent="0.25">
      <c r="A14574" s="28">
        <v>44743</v>
      </c>
      <c r="B14574" s="27" t="s">
        <v>5</v>
      </c>
      <c r="C14574" s="27" t="s">
        <v>51</v>
      </c>
      <c r="D14574" s="27" t="s">
        <v>51</v>
      </c>
      <c r="E14574" s="27" t="s">
        <v>43</v>
      </c>
      <c r="F14574" s="29">
        <v>5056</v>
      </c>
      <c r="G14574" s="30">
        <v>2.6993981022212035</v>
      </c>
    </row>
    <row r="14575" spans="1:7" hidden="1" x14ac:dyDescent="0.25">
      <c r="A14575" s="28">
        <v>44743</v>
      </c>
      <c r="B14575" s="27" t="s">
        <v>5</v>
      </c>
      <c r="C14575" s="27" t="s">
        <v>51</v>
      </c>
      <c r="D14575" s="27" t="s">
        <v>51</v>
      </c>
      <c r="E14575" s="27" t="s">
        <v>72</v>
      </c>
      <c r="F14575" s="29">
        <v>6899</v>
      </c>
      <c r="G14575" s="30">
        <v>1.9846741147763025</v>
      </c>
    </row>
    <row r="14576" spans="1:7" hidden="1" x14ac:dyDescent="0.25">
      <c r="A14576" s="28">
        <v>44743</v>
      </c>
      <c r="B14576" s="27" t="s">
        <v>5</v>
      </c>
      <c r="C14576" s="27" t="s">
        <v>51</v>
      </c>
      <c r="D14576" s="27" t="s">
        <v>51</v>
      </c>
      <c r="E14576" s="27" t="s">
        <v>206</v>
      </c>
      <c r="F14576" s="29">
        <v>4210</v>
      </c>
      <c r="G14576" s="30">
        <v>3.8942569710692228</v>
      </c>
    </row>
    <row r="14577" spans="1:7" hidden="1" x14ac:dyDescent="0.25">
      <c r="A14577" s="28">
        <v>44743</v>
      </c>
      <c r="B14577" s="27" t="s">
        <v>5</v>
      </c>
      <c r="C14577" s="27" t="s">
        <v>51</v>
      </c>
      <c r="D14577" s="27" t="s">
        <v>51</v>
      </c>
      <c r="E14577" s="27" t="s">
        <v>67</v>
      </c>
      <c r="F14577" s="29">
        <v>5468</v>
      </c>
      <c r="G14577" s="30">
        <v>2.8138102548800679</v>
      </c>
    </row>
    <row r="14578" spans="1:7" hidden="1" x14ac:dyDescent="0.25">
      <c r="A14578" s="28">
        <v>44743</v>
      </c>
      <c r="B14578" s="27" t="s">
        <v>5</v>
      </c>
      <c r="C14578" s="27" t="s">
        <v>51</v>
      </c>
      <c r="D14578" s="27" t="s">
        <v>51</v>
      </c>
      <c r="E14578" s="27" t="s">
        <v>68</v>
      </c>
      <c r="F14578" s="29">
        <v>3921</v>
      </c>
      <c r="G14578" s="30">
        <f>16394.82/Tabela16[[#This Row],[KM RODADO]]</f>
        <v>4.1812853863810249</v>
      </c>
    </row>
    <row r="14579" spans="1:7" hidden="1" x14ac:dyDescent="0.25">
      <c r="A14579" s="28">
        <v>44743</v>
      </c>
      <c r="B14579" s="27" t="s">
        <v>5</v>
      </c>
      <c r="C14579" s="27" t="s">
        <v>51</v>
      </c>
      <c r="D14579" s="27" t="s">
        <v>51</v>
      </c>
      <c r="E14579" s="27" t="s">
        <v>74</v>
      </c>
      <c r="F14579" s="29">
        <v>5574</v>
      </c>
      <c r="G14579" s="30">
        <f>14718.31/Tabela16[[#This Row],[KM RODADO]]</f>
        <v>2.640529242913527</v>
      </c>
    </row>
    <row r="14580" spans="1:7" hidden="1" x14ac:dyDescent="0.25">
      <c r="A14580" s="28">
        <v>44743</v>
      </c>
      <c r="B14580" s="27" t="s">
        <v>180</v>
      </c>
      <c r="C14580" s="27" t="s">
        <v>50</v>
      </c>
      <c r="D14580" s="27" t="s">
        <v>7</v>
      </c>
      <c r="E14580" s="27" t="s">
        <v>9</v>
      </c>
      <c r="F14580" s="29"/>
      <c r="G14580" s="30">
        <v>230</v>
      </c>
    </row>
    <row r="14581" spans="1:7" hidden="1" x14ac:dyDescent="0.25">
      <c r="A14581" s="28">
        <v>44743</v>
      </c>
      <c r="B14581" s="27" t="s">
        <v>180</v>
      </c>
      <c r="C14581" s="27" t="s">
        <v>50</v>
      </c>
      <c r="D14581" s="27" t="s">
        <v>7</v>
      </c>
      <c r="E14581" s="27" t="s">
        <v>22</v>
      </c>
      <c r="F14581" s="29"/>
      <c r="G14581" s="30">
        <v>2250</v>
      </c>
    </row>
    <row r="14582" spans="1:7" hidden="1" x14ac:dyDescent="0.25">
      <c r="A14582" s="28">
        <v>44743</v>
      </c>
      <c r="B14582" s="27" t="s">
        <v>180</v>
      </c>
      <c r="C14582" s="27" t="s">
        <v>50</v>
      </c>
      <c r="D14582" s="27" t="s">
        <v>7</v>
      </c>
      <c r="E14582" s="27" t="s">
        <v>39</v>
      </c>
      <c r="F14582" s="29"/>
      <c r="G14582" s="30">
        <v>612</v>
      </c>
    </row>
    <row r="14583" spans="1:7" hidden="1" x14ac:dyDescent="0.25">
      <c r="A14583" s="28">
        <v>44743</v>
      </c>
      <c r="B14583" s="27" t="s">
        <v>180</v>
      </c>
      <c r="C14583" s="27" t="s">
        <v>50</v>
      </c>
      <c r="D14583" s="27" t="s">
        <v>7</v>
      </c>
      <c r="E14583" s="27" t="s">
        <v>64</v>
      </c>
      <c r="F14583" s="29"/>
      <c r="G14583" s="30">
        <v>1720</v>
      </c>
    </row>
    <row r="14584" spans="1:7" hidden="1" x14ac:dyDescent="0.25">
      <c r="A14584" s="28">
        <v>44743</v>
      </c>
      <c r="B14584" s="27" t="s">
        <v>180</v>
      </c>
      <c r="C14584" s="27" t="s">
        <v>50</v>
      </c>
      <c r="D14584" s="27" t="s">
        <v>7</v>
      </c>
      <c r="E14584" s="27" t="s">
        <v>41</v>
      </c>
      <c r="F14584" s="29"/>
      <c r="G14584" s="30">
        <v>260</v>
      </c>
    </row>
    <row r="14585" spans="1:7" hidden="1" x14ac:dyDescent="0.25">
      <c r="A14585" s="28">
        <v>44743</v>
      </c>
      <c r="B14585" s="27" t="s">
        <v>180</v>
      </c>
      <c r="C14585" s="27" t="s">
        <v>50</v>
      </c>
      <c r="D14585" s="27" t="s">
        <v>7</v>
      </c>
      <c r="E14585" s="27" t="s">
        <v>11</v>
      </c>
      <c r="F14585" s="29"/>
      <c r="G14585" s="30">
        <v>220</v>
      </c>
    </row>
    <row r="14586" spans="1:7" hidden="1" x14ac:dyDescent="0.25">
      <c r="A14586" s="28">
        <v>44743</v>
      </c>
      <c r="B14586" s="27" t="s">
        <v>180</v>
      </c>
      <c r="C14586" s="27" t="s">
        <v>50</v>
      </c>
      <c r="D14586" s="27" t="s">
        <v>7</v>
      </c>
      <c r="E14586" s="27" t="s">
        <v>13</v>
      </c>
      <c r="F14586" s="29"/>
      <c r="G14586" s="30">
        <v>6688.35</v>
      </c>
    </row>
    <row r="14587" spans="1:7" hidden="1" x14ac:dyDescent="0.25">
      <c r="A14587" s="28">
        <v>44743</v>
      </c>
      <c r="B14587" s="27" t="s">
        <v>180</v>
      </c>
      <c r="C14587" s="27" t="s">
        <v>50</v>
      </c>
      <c r="D14587" s="27" t="s">
        <v>7</v>
      </c>
      <c r="E14587" s="27" t="s">
        <v>16</v>
      </c>
      <c r="F14587" s="29"/>
      <c r="G14587" s="30">
        <v>150</v>
      </c>
    </row>
    <row r="14588" spans="1:7" hidden="1" x14ac:dyDescent="0.25">
      <c r="A14588" s="28">
        <v>44743</v>
      </c>
      <c r="B14588" s="27" t="s">
        <v>180</v>
      </c>
      <c r="C14588" s="27" t="s">
        <v>50</v>
      </c>
      <c r="D14588" s="27" t="s">
        <v>7</v>
      </c>
      <c r="E14588" s="27" t="s">
        <v>18</v>
      </c>
      <c r="F14588" s="29"/>
      <c r="G14588" s="30">
        <v>2835</v>
      </c>
    </row>
    <row r="14589" spans="1:7" hidden="1" x14ac:dyDescent="0.25">
      <c r="A14589" s="28">
        <v>44743</v>
      </c>
      <c r="B14589" s="27" t="s">
        <v>180</v>
      </c>
      <c r="C14589" s="27" t="s">
        <v>50</v>
      </c>
      <c r="D14589" s="27" t="s">
        <v>7</v>
      </c>
      <c r="E14589" s="27" t="s">
        <v>19</v>
      </c>
      <c r="F14589" s="29"/>
      <c r="G14589" s="30">
        <v>714</v>
      </c>
    </row>
    <row r="14590" spans="1:7" hidden="1" x14ac:dyDescent="0.25">
      <c r="A14590" s="28">
        <v>44743</v>
      </c>
      <c r="B14590" s="27" t="s">
        <v>180</v>
      </c>
      <c r="C14590" s="27" t="s">
        <v>50</v>
      </c>
      <c r="D14590" s="27" t="s">
        <v>7</v>
      </c>
      <c r="E14590" s="27" t="s">
        <v>68</v>
      </c>
      <c r="F14590" s="29"/>
      <c r="G14590" s="30">
        <v>887.87</v>
      </c>
    </row>
    <row r="14591" spans="1:7" hidden="1" x14ac:dyDescent="0.25">
      <c r="A14591" s="28">
        <v>44743</v>
      </c>
      <c r="B14591" s="27" t="s">
        <v>180</v>
      </c>
      <c r="C14591" s="27" t="s">
        <v>50</v>
      </c>
      <c r="D14591" s="27" t="s">
        <v>7</v>
      </c>
      <c r="E14591" s="27" t="s">
        <v>37</v>
      </c>
      <c r="F14591" s="29"/>
      <c r="G14591" s="30">
        <v>5365</v>
      </c>
    </row>
    <row r="14592" spans="1:7" hidden="1" x14ac:dyDescent="0.25">
      <c r="A14592" s="28">
        <v>44743</v>
      </c>
      <c r="B14592" s="27" t="s">
        <v>181</v>
      </c>
      <c r="C14592" s="27" t="s">
        <v>50</v>
      </c>
      <c r="D14592" s="27" t="s">
        <v>6</v>
      </c>
      <c r="E14592" s="27" t="s">
        <v>64</v>
      </c>
      <c r="F14592" s="29"/>
      <c r="G14592" s="30">
        <v>560</v>
      </c>
    </row>
    <row r="14593" spans="1:7" hidden="1" x14ac:dyDescent="0.25">
      <c r="A14593" s="28">
        <v>44743</v>
      </c>
      <c r="B14593" s="27" t="s">
        <v>181</v>
      </c>
      <c r="C14593" s="27" t="s">
        <v>50</v>
      </c>
      <c r="D14593" s="27" t="s">
        <v>6</v>
      </c>
      <c r="E14593" s="27" t="s">
        <v>12</v>
      </c>
      <c r="F14593" s="29"/>
      <c r="G14593" s="30">
        <v>1115</v>
      </c>
    </row>
    <row r="14594" spans="1:7" hidden="1" x14ac:dyDescent="0.25">
      <c r="A14594" s="28">
        <v>44743</v>
      </c>
      <c r="B14594" s="27" t="s">
        <v>181</v>
      </c>
      <c r="C14594" s="27" t="s">
        <v>50</v>
      </c>
      <c r="D14594" s="27" t="s">
        <v>6</v>
      </c>
      <c r="E14594" s="27" t="s">
        <v>13</v>
      </c>
      <c r="F14594" s="29"/>
      <c r="G14594" s="30">
        <v>620</v>
      </c>
    </row>
    <row r="14595" spans="1:7" hidden="1" x14ac:dyDescent="0.25">
      <c r="A14595" s="28">
        <v>44743</v>
      </c>
      <c r="B14595" s="27" t="s">
        <v>181</v>
      </c>
      <c r="C14595" s="27" t="s">
        <v>50</v>
      </c>
      <c r="D14595" s="27" t="s">
        <v>6</v>
      </c>
      <c r="E14595" s="27" t="s">
        <v>18</v>
      </c>
      <c r="F14595" s="29"/>
      <c r="G14595" s="30">
        <v>71.3</v>
      </c>
    </row>
    <row r="14596" spans="1:7" hidden="1" x14ac:dyDescent="0.25">
      <c r="A14596" s="28">
        <v>44743</v>
      </c>
      <c r="B14596" s="27" t="s">
        <v>181</v>
      </c>
      <c r="C14596" s="27" t="s">
        <v>50</v>
      </c>
      <c r="D14596" s="27" t="s">
        <v>6</v>
      </c>
      <c r="E14596" s="27" t="s">
        <v>206</v>
      </c>
      <c r="F14596" s="29"/>
      <c r="G14596" s="30">
        <v>280</v>
      </c>
    </row>
    <row r="14597" spans="1:7" hidden="1" x14ac:dyDescent="0.25">
      <c r="A14597" s="28">
        <v>44743</v>
      </c>
      <c r="B14597" s="27" t="s">
        <v>181</v>
      </c>
      <c r="C14597" s="27" t="s">
        <v>50</v>
      </c>
      <c r="D14597" s="27" t="s">
        <v>6</v>
      </c>
      <c r="E14597" s="27" t="s">
        <v>67</v>
      </c>
      <c r="F14597" s="29"/>
      <c r="G14597" s="30">
        <v>1856.7</v>
      </c>
    </row>
    <row r="14598" spans="1:7" hidden="1" x14ac:dyDescent="0.25">
      <c r="A14598" s="28">
        <v>44743</v>
      </c>
      <c r="B14598" s="27" t="s">
        <v>181</v>
      </c>
      <c r="C14598" s="27" t="s">
        <v>50</v>
      </c>
      <c r="D14598" s="27" t="s">
        <v>6</v>
      </c>
      <c r="E14598" s="27" t="s">
        <v>68</v>
      </c>
      <c r="F14598" s="29"/>
      <c r="G14598" s="30">
        <v>768</v>
      </c>
    </row>
    <row r="14599" spans="1:7" hidden="1" x14ac:dyDescent="0.25">
      <c r="A14599" s="28">
        <v>44743</v>
      </c>
      <c r="B14599" s="27" t="s">
        <v>181</v>
      </c>
      <c r="C14599" s="27" t="s">
        <v>50</v>
      </c>
      <c r="D14599" s="27" t="s">
        <v>6</v>
      </c>
      <c r="E14599" s="27" t="s">
        <v>37</v>
      </c>
      <c r="F14599" s="29"/>
      <c r="G14599" s="30">
        <v>3801.3500000000004</v>
      </c>
    </row>
    <row r="14600" spans="1:7" hidden="1" x14ac:dyDescent="0.25">
      <c r="A14600" s="28">
        <v>44743</v>
      </c>
      <c r="B14600" s="27" t="s">
        <v>25</v>
      </c>
      <c r="C14600" s="27" t="s">
        <v>50</v>
      </c>
      <c r="D14600" s="27" t="s">
        <v>7</v>
      </c>
      <c r="E14600" s="27" t="s">
        <v>37</v>
      </c>
      <c r="F14600" s="29"/>
      <c r="G14600" s="30">
        <v>1282.6200000000001</v>
      </c>
    </row>
    <row r="14601" spans="1:7" hidden="1" x14ac:dyDescent="0.25">
      <c r="A14601" s="28">
        <v>44743</v>
      </c>
      <c r="B14601" s="27" t="s">
        <v>2</v>
      </c>
      <c r="C14601" s="27" t="s">
        <v>50</v>
      </c>
      <c r="D14601" s="27" t="s">
        <v>7</v>
      </c>
      <c r="E14601" s="27" t="s">
        <v>8</v>
      </c>
      <c r="F14601" s="29"/>
      <c r="G14601" s="30">
        <v>1068.0600000000006</v>
      </c>
    </row>
    <row r="14602" spans="1:7" hidden="1" x14ac:dyDescent="0.25">
      <c r="A14602" s="28">
        <v>44743</v>
      </c>
      <c r="B14602" s="27" t="s">
        <v>2</v>
      </c>
      <c r="C14602" s="27" t="s">
        <v>50</v>
      </c>
      <c r="D14602" s="27" t="s">
        <v>7</v>
      </c>
      <c r="E14602" s="27" t="s">
        <v>9</v>
      </c>
      <c r="F14602" s="29"/>
      <c r="G14602" s="30">
        <v>541.10000000000036</v>
      </c>
    </row>
    <row r="14603" spans="1:7" hidden="1" x14ac:dyDescent="0.25">
      <c r="A14603" s="28">
        <v>44743</v>
      </c>
      <c r="B14603" s="27" t="s">
        <v>2</v>
      </c>
      <c r="C14603" s="27" t="s">
        <v>50</v>
      </c>
      <c r="D14603" s="27" t="s">
        <v>7</v>
      </c>
      <c r="E14603" s="27" t="s">
        <v>22</v>
      </c>
      <c r="F14603" s="29"/>
      <c r="G14603" s="30">
        <v>777.93000000000063</v>
      </c>
    </row>
    <row r="14604" spans="1:7" hidden="1" x14ac:dyDescent="0.25">
      <c r="A14604" s="28">
        <v>44743</v>
      </c>
      <c r="B14604" s="27" t="s">
        <v>2</v>
      </c>
      <c r="C14604" s="27" t="s">
        <v>50</v>
      </c>
      <c r="D14604" s="27" t="s">
        <v>7</v>
      </c>
      <c r="E14604" s="27" t="s">
        <v>39</v>
      </c>
      <c r="F14604" s="29"/>
      <c r="G14604" s="30">
        <v>112.19999999999997</v>
      </c>
    </row>
    <row r="14605" spans="1:7" hidden="1" x14ac:dyDescent="0.25">
      <c r="A14605" s="28">
        <v>44743</v>
      </c>
      <c r="B14605" s="27" t="s">
        <v>2</v>
      </c>
      <c r="C14605" s="27" t="s">
        <v>50</v>
      </c>
      <c r="D14605" s="27" t="s">
        <v>7</v>
      </c>
      <c r="E14605" s="27" t="s">
        <v>64</v>
      </c>
      <c r="F14605" s="29"/>
      <c r="G14605" s="30">
        <v>604.30000000000064</v>
      </c>
    </row>
    <row r="14606" spans="1:7" hidden="1" x14ac:dyDescent="0.25">
      <c r="A14606" s="28">
        <v>44743</v>
      </c>
      <c r="B14606" s="27" t="s">
        <v>2</v>
      </c>
      <c r="C14606" s="27" t="s">
        <v>50</v>
      </c>
      <c r="D14606" s="27" t="s">
        <v>7</v>
      </c>
      <c r="E14606" s="27" t="s">
        <v>21</v>
      </c>
      <c r="F14606" s="29"/>
      <c r="G14606" s="30">
        <v>799.15999999999974</v>
      </c>
    </row>
    <row r="14607" spans="1:7" hidden="1" x14ac:dyDescent="0.25">
      <c r="A14607" s="28">
        <v>44743</v>
      </c>
      <c r="B14607" s="27" t="s">
        <v>2</v>
      </c>
      <c r="C14607" s="27" t="s">
        <v>50</v>
      </c>
      <c r="D14607" s="27" t="s">
        <v>7</v>
      </c>
      <c r="E14607" s="27" t="s">
        <v>41</v>
      </c>
      <c r="F14607" s="29"/>
      <c r="G14607" s="30">
        <v>488.79999999999905</v>
      </c>
    </row>
    <row r="14608" spans="1:7" hidden="1" x14ac:dyDescent="0.25">
      <c r="A14608" s="28">
        <v>44743</v>
      </c>
      <c r="B14608" s="27" t="s">
        <v>2</v>
      </c>
      <c r="C14608" s="27" t="s">
        <v>50</v>
      </c>
      <c r="D14608" s="27" t="s">
        <v>7</v>
      </c>
      <c r="E14608" s="27" t="s">
        <v>10</v>
      </c>
      <c r="F14608" s="29"/>
      <c r="G14608" s="30">
        <v>940.30000000000109</v>
      </c>
    </row>
    <row r="14609" spans="1:7" hidden="1" x14ac:dyDescent="0.25">
      <c r="A14609" s="28">
        <v>44743</v>
      </c>
      <c r="B14609" s="27" t="s">
        <v>2</v>
      </c>
      <c r="C14609" s="27" t="s">
        <v>50</v>
      </c>
      <c r="D14609" s="27" t="s">
        <v>7</v>
      </c>
      <c r="E14609" s="27" t="s">
        <v>11</v>
      </c>
      <c r="F14609" s="29"/>
      <c r="G14609" s="30">
        <v>60.4</v>
      </c>
    </row>
    <row r="14610" spans="1:7" hidden="1" x14ac:dyDescent="0.25">
      <c r="A14610" s="28">
        <v>44743</v>
      </c>
      <c r="B14610" s="27" t="s">
        <v>2</v>
      </c>
      <c r="C14610" s="27" t="s">
        <v>50</v>
      </c>
      <c r="D14610" s="27" t="s">
        <v>7</v>
      </c>
      <c r="E14610" s="27" t="s">
        <v>12</v>
      </c>
      <c r="F14610" s="29"/>
      <c r="G14610" s="30">
        <v>166.3</v>
      </c>
    </row>
    <row r="14611" spans="1:7" hidden="1" x14ac:dyDescent="0.25">
      <c r="A14611" s="28">
        <v>44743</v>
      </c>
      <c r="B14611" s="27" t="s">
        <v>2</v>
      </c>
      <c r="C14611" s="27" t="s">
        <v>50</v>
      </c>
      <c r="D14611" s="27" t="s">
        <v>7</v>
      </c>
      <c r="E14611" s="27" t="s">
        <v>13</v>
      </c>
      <c r="F14611" s="29"/>
      <c r="G14611" s="30">
        <v>1201.0399999999997</v>
      </c>
    </row>
    <row r="14612" spans="1:7" hidden="1" x14ac:dyDescent="0.25">
      <c r="A14612" s="28">
        <v>44743</v>
      </c>
      <c r="B14612" s="27" t="s">
        <v>2</v>
      </c>
      <c r="C14612" s="27" t="s">
        <v>50</v>
      </c>
      <c r="D14612" s="27" t="s">
        <v>7</v>
      </c>
      <c r="E14612" s="27" t="s">
        <v>14</v>
      </c>
      <c r="F14612" s="29"/>
      <c r="G14612" s="30">
        <v>492.96999999999991</v>
      </c>
    </row>
    <row r="14613" spans="1:7" hidden="1" x14ac:dyDescent="0.25">
      <c r="A14613" s="28">
        <v>44743</v>
      </c>
      <c r="B14613" s="27" t="s">
        <v>2</v>
      </c>
      <c r="C14613" s="27" t="s">
        <v>50</v>
      </c>
      <c r="D14613" s="27" t="s">
        <v>7</v>
      </c>
      <c r="E14613" s="27" t="s">
        <v>15</v>
      </c>
      <c r="F14613" s="29"/>
      <c r="G14613" s="30">
        <v>233.3</v>
      </c>
    </row>
    <row r="14614" spans="1:7" hidden="1" x14ac:dyDescent="0.25">
      <c r="A14614" s="28">
        <v>44743</v>
      </c>
      <c r="B14614" s="27" t="s">
        <v>2</v>
      </c>
      <c r="C14614" s="27" t="s">
        <v>50</v>
      </c>
      <c r="D14614" s="27" t="s">
        <v>7</v>
      </c>
      <c r="E14614" s="27" t="s">
        <v>17</v>
      </c>
      <c r="F14614" s="29"/>
      <c r="G14614" s="30">
        <v>1301.4499999999996</v>
      </c>
    </row>
    <row r="14615" spans="1:7" hidden="1" x14ac:dyDescent="0.25">
      <c r="A14615" s="28">
        <v>44743</v>
      </c>
      <c r="B14615" s="27" t="s">
        <v>2</v>
      </c>
      <c r="C14615" s="27" t="s">
        <v>50</v>
      </c>
      <c r="D14615" s="27" t="s">
        <v>7</v>
      </c>
      <c r="E14615" s="27" t="s">
        <v>19</v>
      </c>
      <c r="F14615" s="29"/>
      <c r="G14615" s="30">
        <v>806.39999999999964</v>
      </c>
    </row>
    <row r="14616" spans="1:7" hidden="1" x14ac:dyDescent="0.25">
      <c r="A14616" s="28">
        <v>44743</v>
      </c>
      <c r="B14616" s="27" t="s">
        <v>2</v>
      </c>
      <c r="C14616" s="27" t="s">
        <v>50</v>
      </c>
      <c r="D14616" s="27" t="s">
        <v>7</v>
      </c>
      <c r="E14616" s="27" t="s">
        <v>20</v>
      </c>
      <c r="F14616" s="29"/>
      <c r="G14616" s="30">
        <v>25.8</v>
      </c>
    </row>
    <row r="14617" spans="1:7" hidden="1" x14ac:dyDescent="0.25">
      <c r="A14617" s="28">
        <v>44743</v>
      </c>
      <c r="B14617" s="27" t="s">
        <v>2</v>
      </c>
      <c r="C14617" s="27" t="s">
        <v>50</v>
      </c>
      <c r="D14617" s="27" t="s">
        <v>7</v>
      </c>
      <c r="E14617" s="27" t="s">
        <v>23</v>
      </c>
      <c r="F14617" s="29"/>
      <c r="G14617" s="30">
        <v>1302.54</v>
      </c>
    </row>
    <row r="14618" spans="1:7" hidden="1" x14ac:dyDescent="0.25">
      <c r="A14618" s="28">
        <v>44743</v>
      </c>
      <c r="B14618" s="27" t="s">
        <v>2</v>
      </c>
      <c r="C14618" s="27" t="s">
        <v>50</v>
      </c>
      <c r="D14618" s="27" t="s">
        <v>7</v>
      </c>
      <c r="E14618" s="27" t="s">
        <v>40</v>
      </c>
      <c r="F14618" s="29"/>
      <c r="G14618" s="30">
        <v>450.19999999999976</v>
      </c>
    </row>
    <row r="14619" spans="1:7" hidden="1" x14ac:dyDescent="0.25">
      <c r="A14619" s="28">
        <v>44743</v>
      </c>
      <c r="B14619" s="27" t="s">
        <v>2</v>
      </c>
      <c r="C14619" s="27" t="s">
        <v>50</v>
      </c>
      <c r="D14619" s="27" t="s">
        <v>7</v>
      </c>
      <c r="E14619" s="27" t="s">
        <v>42</v>
      </c>
      <c r="F14619" s="29"/>
      <c r="G14619" s="30">
        <v>216.1</v>
      </c>
    </row>
    <row r="14620" spans="1:7" hidden="1" x14ac:dyDescent="0.25">
      <c r="A14620" s="28">
        <v>44743</v>
      </c>
      <c r="B14620" s="27" t="s">
        <v>2</v>
      </c>
      <c r="C14620" s="27" t="s">
        <v>50</v>
      </c>
      <c r="D14620" s="27" t="s">
        <v>7</v>
      </c>
      <c r="E14620" s="27" t="s">
        <v>43</v>
      </c>
      <c r="F14620" s="29"/>
      <c r="G14620" s="30">
        <v>302.92999999999995</v>
      </c>
    </row>
    <row r="14621" spans="1:7" hidden="1" x14ac:dyDescent="0.25">
      <c r="A14621" s="28">
        <v>44743</v>
      </c>
      <c r="B14621" s="27" t="s">
        <v>2</v>
      </c>
      <c r="C14621" s="27" t="s">
        <v>50</v>
      </c>
      <c r="D14621" s="27" t="s">
        <v>7</v>
      </c>
      <c r="E14621" s="27" t="s">
        <v>72</v>
      </c>
      <c r="F14621" s="29"/>
      <c r="G14621" s="30">
        <v>394.69999999999965</v>
      </c>
    </row>
    <row r="14622" spans="1:7" hidden="1" x14ac:dyDescent="0.25">
      <c r="A14622" s="28">
        <v>44743</v>
      </c>
      <c r="B14622" s="27" t="s">
        <v>2</v>
      </c>
      <c r="C14622" s="27" t="s">
        <v>50</v>
      </c>
      <c r="D14622" s="27" t="s">
        <v>7</v>
      </c>
      <c r="E14622" s="27" t="s">
        <v>206</v>
      </c>
      <c r="F14622" s="29"/>
      <c r="G14622" s="30">
        <v>1530.6999999999996</v>
      </c>
    </row>
    <row r="14623" spans="1:7" hidden="1" x14ac:dyDescent="0.25">
      <c r="A14623" s="28">
        <v>44743</v>
      </c>
      <c r="B14623" s="27" t="s">
        <v>2</v>
      </c>
      <c r="C14623" s="27" t="s">
        <v>50</v>
      </c>
      <c r="D14623" s="27" t="s">
        <v>7</v>
      </c>
      <c r="E14623" s="27" t="s">
        <v>67</v>
      </c>
      <c r="F14623" s="29"/>
      <c r="G14623" s="30">
        <v>810.70000000000039</v>
      </c>
    </row>
    <row r="14624" spans="1:7" hidden="1" x14ac:dyDescent="0.25">
      <c r="A14624" s="28">
        <v>44743</v>
      </c>
      <c r="B14624" s="27" t="s">
        <v>2</v>
      </c>
      <c r="C14624" s="27" t="s">
        <v>50</v>
      </c>
      <c r="D14624" s="27" t="s">
        <v>7</v>
      </c>
      <c r="E14624" s="27" t="s">
        <v>68</v>
      </c>
      <c r="F14624" s="29"/>
      <c r="G14624" s="30">
        <v>1826.1000000000001</v>
      </c>
    </row>
    <row r="14625" spans="1:7" hidden="1" x14ac:dyDescent="0.25">
      <c r="A14625" s="28">
        <v>44743</v>
      </c>
      <c r="B14625" s="27" t="s">
        <v>2</v>
      </c>
      <c r="C14625" s="27" t="s">
        <v>50</v>
      </c>
      <c r="D14625" s="27" t="s">
        <v>7</v>
      </c>
      <c r="E14625" s="27" t="s">
        <v>74</v>
      </c>
      <c r="F14625" s="29"/>
      <c r="G14625" s="30">
        <v>582.9</v>
      </c>
    </row>
    <row r="14626" spans="1:7" hidden="1" x14ac:dyDescent="0.25">
      <c r="A14626" s="28">
        <v>44743</v>
      </c>
      <c r="B14626" s="27" t="s">
        <v>2</v>
      </c>
      <c r="C14626" s="27" t="s">
        <v>50</v>
      </c>
      <c r="D14626" s="27" t="s">
        <v>7</v>
      </c>
      <c r="E14626" s="27" t="s">
        <v>37</v>
      </c>
      <c r="F14626" s="29"/>
      <c r="G14626" s="30">
        <v>26.999999999999996</v>
      </c>
    </row>
    <row r="14627" spans="1:7" hidden="1" x14ac:dyDescent="0.25">
      <c r="A14627" s="28">
        <v>44743</v>
      </c>
      <c r="B14627" s="27" t="s">
        <v>36</v>
      </c>
      <c r="C14627" s="27" t="s">
        <v>50</v>
      </c>
      <c r="D14627" s="27" t="s">
        <v>6</v>
      </c>
      <c r="E14627" s="27" t="s">
        <v>8</v>
      </c>
      <c r="F14627" s="29"/>
      <c r="G14627" s="30">
        <v>402.77571428571429</v>
      </c>
    </row>
    <row r="14628" spans="1:7" hidden="1" x14ac:dyDescent="0.25">
      <c r="A14628" s="28">
        <v>44743</v>
      </c>
      <c r="B14628" s="27" t="s">
        <v>36</v>
      </c>
      <c r="C14628" s="27" t="s">
        <v>50</v>
      </c>
      <c r="D14628" s="27" t="s">
        <v>6</v>
      </c>
      <c r="E14628" s="27" t="s">
        <v>9</v>
      </c>
      <c r="F14628" s="29"/>
      <c r="G14628" s="30">
        <v>402.77571428571429</v>
      </c>
    </row>
    <row r="14629" spans="1:7" hidden="1" x14ac:dyDescent="0.25">
      <c r="A14629" s="28">
        <v>44743</v>
      </c>
      <c r="B14629" s="27" t="s">
        <v>36</v>
      </c>
      <c r="C14629" s="27" t="s">
        <v>50</v>
      </c>
      <c r="D14629" s="27" t="s">
        <v>6</v>
      </c>
      <c r="E14629" s="27" t="s">
        <v>22</v>
      </c>
      <c r="F14629" s="29"/>
      <c r="G14629" s="30">
        <v>402.77571428571429</v>
      </c>
    </row>
    <row r="14630" spans="1:7" hidden="1" x14ac:dyDescent="0.25">
      <c r="A14630" s="28">
        <v>44743</v>
      </c>
      <c r="B14630" s="27" t="s">
        <v>36</v>
      </c>
      <c r="C14630" s="27" t="s">
        <v>50</v>
      </c>
      <c r="D14630" s="27" t="s">
        <v>6</v>
      </c>
      <c r="E14630" s="27" t="s">
        <v>39</v>
      </c>
      <c r="F14630" s="29"/>
      <c r="G14630" s="30">
        <v>402.77571428571429</v>
      </c>
    </row>
    <row r="14631" spans="1:7" hidden="1" x14ac:dyDescent="0.25">
      <c r="A14631" s="28">
        <v>44743</v>
      </c>
      <c r="B14631" s="27" t="s">
        <v>36</v>
      </c>
      <c r="C14631" s="27" t="s">
        <v>50</v>
      </c>
      <c r="D14631" s="27" t="s">
        <v>6</v>
      </c>
      <c r="E14631" s="27" t="s">
        <v>64</v>
      </c>
      <c r="F14631" s="29"/>
      <c r="G14631" s="30">
        <v>402.77571428571429</v>
      </c>
    </row>
    <row r="14632" spans="1:7" hidden="1" x14ac:dyDescent="0.25">
      <c r="A14632" s="28">
        <v>44743</v>
      </c>
      <c r="B14632" s="27" t="s">
        <v>36</v>
      </c>
      <c r="C14632" s="27" t="s">
        <v>50</v>
      </c>
      <c r="D14632" s="27" t="s">
        <v>6</v>
      </c>
      <c r="E14632" s="27" t="s">
        <v>21</v>
      </c>
      <c r="F14632" s="29"/>
      <c r="G14632" s="30">
        <v>402.77571428571429</v>
      </c>
    </row>
    <row r="14633" spans="1:7" hidden="1" x14ac:dyDescent="0.25">
      <c r="A14633" s="28">
        <v>44743</v>
      </c>
      <c r="B14633" s="27" t="s">
        <v>36</v>
      </c>
      <c r="C14633" s="27" t="s">
        <v>50</v>
      </c>
      <c r="D14633" s="27" t="s">
        <v>6</v>
      </c>
      <c r="E14633" s="27" t="s">
        <v>41</v>
      </c>
      <c r="F14633" s="29"/>
      <c r="G14633" s="30">
        <v>402.77571428571429</v>
      </c>
    </row>
    <row r="14634" spans="1:7" hidden="1" x14ac:dyDescent="0.25">
      <c r="A14634" s="28">
        <v>44743</v>
      </c>
      <c r="B14634" s="27" t="s">
        <v>36</v>
      </c>
      <c r="C14634" s="27" t="s">
        <v>50</v>
      </c>
      <c r="D14634" s="27" t="s">
        <v>6</v>
      </c>
      <c r="E14634" s="27" t="s">
        <v>10</v>
      </c>
      <c r="F14634" s="29"/>
      <c r="G14634" s="30">
        <v>402.77571428571429</v>
      </c>
    </row>
    <row r="14635" spans="1:7" hidden="1" x14ac:dyDescent="0.25">
      <c r="A14635" s="28">
        <v>44743</v>
      </c>
      <c r="B14635" s="27" t="s">
        <v>36</v>
      </c>
      <c r="C14635" s="27" t="s">
        <v>50</v>
      </c>
      <c r="D14635" s="27" t="s">
        <v>6</v>
      </c>
      <c r="E14635" s="27" t="s">
        <v>11</v>
      </c>
      <c r="F14635" s="29"/>
      <c r="G14635" s="30">
        <v>402.77571428571429</v>
      </c>
    </row>
    <row r="14636" spans="1:7" hidden="1" x14ac:dyDescent="0.25">
      <c r="A14636" s="28">
        <v>44743</v>
      </c>
      <c r="B14636" s="27" t="s">
        <v>36</v>
      </c>
      <c r="C14636" s="27" t="s">
        <v>50</v>
      </c>
      <c r="D14636" s="27" t="s">
        <v>6</v>
      </c>
      <c r="E14636" s="27" t="s">
        <v>12</v>
      </c>
      <c r="F14636" s="29"/>
      <c r="G14636" s="30">
        <v>402.77571428571429</v>
      </c>
    </row>
    <row r="14637" spans="1:7" hidden="1" x14ac:dyDescent="0.25">
      <c r="A14637" s="28">
        <v>44743</v>
      </c>
      <c r="B14637" s="27" t="s">
        <v>36</v>
      </c>
      <c r="C14637" s="27" t="s">
        <v>50</v>
      </c>
      <c r="D14637" s="27" t="s">
        <v>6</v>
      </c>
      <c r="E14637" s="27" t="s">
        <v>13</v>
      </c>
      <c r="F14637" s="29"/>
      <c r="G14637" s="30">
        <v>402.77571428571429</v>
      </c>
    </row>
    <row r="14638" spans="1:7" hidden="1" x14ac:dyDescent="0.25">
      <c r="A14638" s="28">
        <v>44743</v>
      </c>
      <c r="B14638" s="27" t="s">
        <v>36</v>
      </c>
      <c r="C14638" s="27" t="s">
        <v>50</v>
      </c>
      <c r="D14638" s="27" t="s">
        <v>6</v>
      </c>
      <c r="E14638" s="27" t="s">
        <v>14</v>
      </c>
      <c r="F14638" s="29"/>
      <c r="G14638" s="30">
        <v>402.77571428571429</v>
      </c>
    </row>
    <row r="14639" spans="1:7" hidden="1" x14ac:dyDescent="0.25">
      <c r="A14639" s="28">
        <v>44743</v>
      </c>
      <c r="B14639" s="27" t="s">
        <v>36</v>
      </c>
      <c r="C14639" s="27" t="s">
        <v>50</v>
      </c>
      <c r="D14639" s="27" t="s">
        <v>6</v>
      </c>
      <c r="E14639" s="27" t="s">
        <v>15</v>
      </c>
      <c r="F14639" s="29"/>
      <c r="G14639" s="30">
        <v>402.77571428571429</v>
      </c>
    </row>
    <row r="14640" spans="1:7" hidden="1" x14ac:dyDescent="0.25">
      <c r="A14640" s="28">
        <v>44743</v>
      </c>
      <c r="B14640" s="27" t="s">
        <v>36</v>
      </c>
      <c r="C14640" s="27" t="s">
        <v>50</v>
      </c>
      <c r="D14640" s="27" t="s">
        <v>6</v>
      </c>
      <c r="E14640" s="27" t="s">
        <v>16</v>
      </c>
      <c r="F14640" s="29"/>
      <c r="G14640" s="30">
        <v>402.77571428571429</v>
      </c>
    </row>
    <row r="14641" spans="1:7" hidden="1" x14ac:dyDescent="0.25">
      <c r="A14641" s="28">
        <v>44743</v>
      </c>
      <c r="B14641" s="27" t="s">
        <v>36</v>
      </c>
      <c r="C14641" s="27" t="s">
        <v>50</v>
      </c>
      <c r="D14641" s="27" t="s">
        <v>6</v>
      </c>
      <c r="E14641" s="27" t="s">
        <v>17</v>
      </c>
      <c r="F14641" s="29"/>
      <c r="G14641" s="30">
        <v>402.77571428571429</v>
      </c>
    </row>
    <row r="14642" spans="1:7" hidden="1" x14ac:dyDescent="0.25">
      <c r="A14642" s="28">
        <v>44743</v>
      </c>
      <c r="B14642" s="27" t="s">
        <v>36</v>
      </c>
      <c r="C14642" s="27" t="s">
        <v>50</v>
      </c>
      <c r="D14642" s="27" t="s">
        <v>6</v>
      </c>
      <c r="E14642" s="27" t="s">
        <v>18</v>
      </c>
      <c r="F14642" s="29"/>
      <c r="G14642" s="30">
        <v>402.77571428571429</v>
      </c>
    </row>
    <row r="14643" spans="1:7" hidden="1" x14ac:dyDescent="0.25">
      <c r="A14643" s="28">
        <v>44743</v>
      </c>
      <c r="B14643" s="27" t="s">
        <v>36</v>
      </c>
      <c r="C14643" s="27" t="s">
        <v>50</v>
      </c>
      <c r="D14643" s="27" t="s">
        <v>6</v>
      </c>
      <c r="E14643" s="27" t="s">
        <v>19</v>
      </c>
      <c r="F14643" s="29"/>
      <c r="G14643" s="30">
        <v>402.77571428571429</v>
      </c>
    </row>
    <row r="14644" spans="1:7" hidden="1" x14ac:dyDescent="0.25">
      <c r="A14644" s="28">
        <v>44743</v>
      </c>
      <c r="B14644" s="27" t="s">
        <v>36</v>
      </c>
      <c r="C14644" s="27" t="s">
        <v>50</v>
      </c>
      <c r="D14644" s="27" t="s">
        <v>6</v>
      </c>
      <c r="E14644" s="27" t="s">
        <v>20</v>
      </c>
      <c r="F14644" s="29"/>
      <c r="G14644" s="30">
        <v>402.77571428571429</v>
      </c>
    </row>
    <row r="14645" spans="1:7" hidden="1" x14ac:dyDescent="0.25">
      <c r="A14645" s="28">
        <v>44743</v>
      </c>
      <c r="B14645" s="27" t="s">
        <v>36</v>
      </c>
      <c r="C14645" s="27" t="s">
        <v>50</v>
      </c>
      <c r="D14645" s="27" t="s">
        <v>6</v>
      </c>
      <c r="E14645" s="27" t="s">
        <v>38</v>
      </c>
      <c r="F14645" s="29"/>
      <c r="G14645" s="30">
        <v>402.77571428571429</v>
      </c>
    </row>
    <row r="14646" spans="1:7" hidden="1" x14ac:dyDescent="0.25">
      <c r="A14646" s="28">
        <v>44743</v>
      </c>
      <c r="B14646" s="27" t="s">
        <v>36</v>
      </c>
      <c r="C14646" s="27" t="s">
        <v>50</v>
      </c>
      <c r="D14646" s="27" t="s">
        <v>6</v>
      </c>
      <c r="E14646" s="27" t="s">
        <v>23</v>
      </c>
      <c r="F14646" s="29"/>
      <c r="G14646" s="30">
        <v>402.77571428571429</v>
      </c>
    </row>
    <row r="14647" spans="1:7" hidden="1" x14ac:dyDescent="0.25">
      <c r="A14647" s="28">
        <v>44743</v>
      </c>
      <c r="B14647" s="27" t="s">
        <v>36</v>
      </c>
      <c r="C14647" s="27" t="s">
        <v>50</v>
      </c>
      <c r="D14647" s="27" t="s">
        <v>6</v>
      </c>
      <c r="E14647" s="27" t="s">
        <v>40</v>
      </c>
      <c r="F14647" s="29"/>
      <c r="G14647" s="30">
        <v>402.77571428571429</v>
      </c>
    </row>
    <row r="14648" spans="1:7" hidden="1" x14ac:dyDescent="0.25">
      <c r="A14648" s="28">
        <v>44743</v>
      </c>
      <c r="B14648" s="27" t="s">
        <v>36</v>
      </c>
      <c r="C14648" s="27" t="s">
        <v>50</v>
      </c>
      <c r="D14648" s="27" t="s">
        <v>6</v>
      </c>
      <c r="E14648" s="27" t="s">
        <v>42</v>
      </c>
      <c r="F14648" s="29"/>
      <c r="G14648" s="30">
        <v>402.77571428571429</v>
      </c>
    </row>
    <row r="14649" spans="1:7" hidden="1" x14ac:dyDescent="0.25">
      <c r="A14649" s="28">
        <v>44743</v>
      </c>
      <c r="B14649" s="27" t="s">
        <v>36</v>
      </c>
      <c r="C14649" s="27" t="s">
        <v>50</v>
      </c>
      <c r="D14649" s="27" t="s">
        <v>6</v>
      </c>
      <c r="E14649" s="27" t="s">
        <v>43</v>
      </c>
      <c r="F14649" s="29"/>
      <c r="G14649" s="30">
        <v>402.77571428571429</v>
      </c>
    </row>
    <row r="14650" spans="1:7" hidden="1" x14ac:dyDescent="0.25">
      <c r="A14650" s="28">
        <v>44743</v>
      </c>
      <c r="B14650" s="27" t="s">
        <v>36</v>
      </c>
      <c r="C14650" s="27" t="s">
        <v>50</v>
      </c>
      <c r="D14650" s="27" t="s">
        <v>6</v>
      </c>
      <c r="E14650" s="27" t="s">
        <v>72</v>
      </c>
      <c r="F14650" s="29"/>
      <c r="G14650" s="30">
        <v>402.77571428571429</v>
      </c>
    </row>
    <row r="14651" spans="1:7" hidden="1" x14ac:dyDescent="0.25">
      <c r="A14651" s="28">
        <v>44743</v>
      </c>
      <c r="B14651" s="27" t="s">
        <v>36</v>
      </c>
      <c r="C14651" s="27" t="s">
        <v>50</v>
      </c>
      <c r="D14651" s="27" t="s">
        <v>6</v>
      </c>
      <c r="E14651" s="27" t="s">
        <v>206</v>
      </c>
      <c r="F14651" s="29"/>
      <c r="G14651" s="30">
        <v>402.77571428571429</v>
      </c>
    </row>
    <row r="14652" spans="1:7" hidden="1" x14ac:dyDescent="0.25">
      <c r="A14652" s="28">
        <v>44743</v>
      </c>
      <c r="B14652" s="27" t="s">
        <v>36</v>
      </c>
      <c r="C14652" s="27" t="s">
        <v>50</v>
      </c>
      <c r="D14652" s="27" t="s">
        <v>6</v>
      </c>
      <c r="E14652" s="27" t="s">
        <v>67</v>
      </c>
      <c r="F14652" s="29"/>
      <c r="G14652" s="30">
        <v>402.77571428571429</v>
      </c>
    </row>
    <row r="14653" spans="1:7" hidden="1" x14ac:dyDescent="0.25">
      <c r="A14653" s="28">
        <v>44743</v>
      </c>
      <c r="B14653" s="27" t="s">
        <v>36</v>
      </c>
      <c r="C14653" s="27" t="s">
        <v>50</v>
      </c>
      <c r="D14653" s="27" t="s">
        <v>6</v>
      </c>
      <c r="E14653" s="27" t="s">
        <v>68</v>
      </c>
      <c r="F14653" s="29"/>
      <c r="G14653" s="30">
        <v>402.77571428571429</v>
      </c>
    </row>
    <row r="14654" spans="1:7" hidden="1" x14ac:dyDescent="0.25">
      <c r="A14654" s="28">
        <v>44743</v>
      </c>
      <c r="B14654" s="27" t="s">
        <v>36</v>
      </c>
      <c r="C14654" s="27" t="s">
        <v>50</v>
      </c>
      <c r="D14654" s="27" t="s">
        <v>6</v>
      </c>
      <c r="E14654" s="27" t="s">
        <v>74</v>
      </c>
      <c r="F14654" s="29"/>
      <c r="G14654" s="30">
        <v>402.77571428571429</v>
      </c>
    </row>
    <row r="14655" spans="1:7" hidden="1" x14ac:dyDescent="0.25">
      <c r="A14655" s="28">
        <v>44743</v>
      </c>
      <c r="B14655" s="27" t="s">
        <v>200</v>
      </c>
      <c r="C14655" s="27" t="s">
        <v>53</v>
      </c>
      <c r="D14655" s="27" t="s">
        <v>6</v>
      </c>
      <c r="E14655" s="27" t="s">
        <v>8</v>
      </c>
      <c r="F14655" s="29"/>
      <c r="G14655" s="30">
        <f t="shared" ref="G14655:G14678" si="252">5166.03591111111/24</f>
        <v>215.25149629629627</v>
      </c>
    </row>
    <row r="14656" spans="1:7" hidden="1" x14ac:dyDescent="0.25">
      <c r="A14656" s="28">
        <v>44743</v>
      </c>
      <c r="B14656" s="27" t="s">
        <v>200</v>
      </c>
      <c r="C14656" s="27" t="s">
        <v>53</v>
      </c>
      <c r="D14656" s="27" t="s">
        <v>6</v>
      </c>
      <c r="E14656" s="27" t="s">
        <v>9</v>
      </c>
      <c r="F14656" s="29"/>
      <c r="G14656" s="30">
        <f t="shared" si="252"/>
        <v>215.25149629629627</v>
      </c>
    </row>
    <row r="14657" spans="1:7" hidden="1" x14ac:dyDescent="0.25">
      <c r="A14657" s="28">
        <v>44743</v>
      </c>
      <c r="B14657" s="27" t="s">
        <v>200</v>
      </c>
      <c r="C14657" s="27" t="s">
        <v>53</v>
      </c>
      <c r="D14657" s="27" t="s">
        <v>6</v>
      </c>
      <c r="E14657" s="27" t="s">
        <v>22</v>
      </c>
      <c r="F14657" s="29"/>
      <c r="G14657" s="30">
        <f t="shared" si="252"/>
        <v>215.25149629629627</v>
      </c>
    </row>
    <row r="14658" spans="1:7" hidden="1" x14ac:dyDescent="0.25">
      <c r="A14658" s="28">
        <v>44743</v>
      </c>
      <c r="B14658" s="27" t="s">
        <v>200</v>
      </c>
      <c r="C14658" s="27" t="s">
        <v>53</v>
      </c>
      <c r="D14658" s="27" t="s">
        <v>6</v>
      </c>
      <c r="E14658" s="27" t="s">
        <v>39</v>
      </c>
      <c r="F14658" s="29"/>
      <c r="G14658" s="30">
        <f t="shared" si="252"/>
        <v>215.25149629629627</v>
      </c>
    </row>
    <row r="14659" spans="1:7" hidden="1" x14ac:dyDescent="0.25">
      <c r="A14659" s="28">
        <v>44743</v>
      </c>
      <c r="B14659" s="27" t="s">
        <v>200</v>
      </c>
      <c r="C14659" s="27" t="s">
        <v>53</v>
      </c>
      <c r="D14659" s="27" t="s">
        <v>6</v>
      </c>
      <c r="E14659" s="27" t="s">
        <v>64</v>
      </c>
      <c r="F14659" s="29"/>
      <c r="G14659" s="30">
        <f t="shared" si="252"/>
        <v>215.25149629629627</v>
      </c>
    </row>
    <row r="14660" spans="1:7" hidden="1" x14ac:dyDescent="0.25">
      <c r="A14660" s="28">
        <v>44743</v>
      </c>
      <c r="B14660" s="27" t="s">
        <v>200</v>
      </c>
      <c r="C14660" s="27" t="s">
        <v>53</v>
      </c>
      <c r="D14660" s="27" t="s">
        <v>6</v>
      </c>
      <c r="E14660" s="27" t="s">
        <v>21</v>
      </c>
      <c r="F14660" s="29"/>
      <c r="G14660" s="30">
        <f t="shared" si="252"/>
        <v>215.25149629629627</v>
      </c>
    </row>
    <row r="14661" spans="1:7" hidden="1" x14ac:dyDescent="0.25">
      <c r="A14661" s="28">
        <v>44743</v>
      </c>
      <c r="B14661" s="27" t="s">
        <v>200</v>
      </c>
      <c r="C14661" s="27" t="s">
        <v>53</v>
      </c>
      <c r="D14661" s="27" t="s">
        <v>6</v>
      </c>
      <c r="E14661" s="27" t="s">
        <v>41</v>
      </c>
      <c r="F14661" s="29"/>
      <c r="G14661" s="30">
        <f t="shared" si="252"/>
        <v>215.25149629629627</v>
      </c>
    </row>
    <row r="14662" spans="1:7" hidden="1" x14ac:dyDescent="0.25">
      <c r="A14662" s="28">
        <v>44743</v>
      </c>
      <c r="B14662" s="27" t="s">
        <v>200</v>
      </c>
      <c r="C14662" s="27" t="s">
        <v>53</v>
      </c>
      <c r="D14662" s="27" t="s">
        <v>6</v>
      </c>
      <c r="E14662" s="27" t="s">
        <v>10</v>
      </c>
      <c r="F14662" s="29"/>
      <c r="G14662" s="30">
        <f t="shared" si="252"/>
        <v>215.25149629629627</v>
      </c>
    </row>
    <row r="14663" spans="1:7" hidden="1" x14ac:dyDescent="0.25">
      <c r="A14663" s="28">
        <v>44743</v>
      </c>
      <c r="B14663" s="27" t="s">
        <v>200</v>
      </c>
      <c r="C14663" s="27" t="s">
        <v>53</v>
      </c>
      <c r="D14663" s="27" t="s">
        <v>6</v>
      </c>
      <c r="E14663" s="27" t="s">
        <v>11</v>
      </c>
      <c r="F14663" s="29"/>
      <c r="G14663" s="30">
        <f t="shared" si="252"/>
        <v>215.25149629629627</v>
      </c>
    </row>
    <row r="14664" spans="1:7" hidden="1" x14ac:dyDescent="0.25">
      <c r="A14664" s="28">
        <v>44743</v>
      </c>
      <c r="B14664" s="27" t="s">
        <v>200</v>
      </c>
      <c r="C14664" s="27" t="s">
        <v>53</v>
      </c>
      <c r="D14664" s="27" t="s">
        <v>6</v>
      </c>
      <c r="E14664" s="27" t="s">
        <v>12</v>
      </c>
      <c r="F14664" s="29"/>
      <c r="G14664" s="30">
        <f t="shared" si="252"/>
        <v>215.25149629629627</v>
      </c>
    </row>
    <row r="14665" spans="1:7" hidden="1" x14ac:dyDescent="0.25">
      <c r="A14665" s="28">
        <v>44743</v>
      </c>
      <c r="B14665" s="27" t="s">
        <v>200</v>
      </c>
      <c r="C14665" s="27" t="s">
        <v>53</v>
      </c>
      <c r="D14665" s="27" t="s">
        <v>6</v>
      </c>
      <c r="E14665" s="27" t="s">
        <v>13</v>
      </c>
      <c r="F14665" s="29"/>
      <c r="G14665" s="30">
        <f t="shared" si="252"/>
        <v>215.25149629629627</v>
      </c>
    </row>
    <row r="14666" spans="1:7" hidden="1" x14ac:dyDescent="0.25">
      <c r="A14666" s="28">
        <v>44743</v>
      </c>
      <c r="B14666" s="27" t="s">
        <v>200</v>
      </c>
      <c r="C14666" s="27" t="s">
        <v>53</v>
      </c>
      <c r="D14666" s="27" t="s">
        <v>6</v>
      </c>
      <c r="E14666" s="27" t="s">
        <v>14</v>
      </c>
      <c r="F14666" s="29"/>
      <c r="G14666" s="30">
        <f t="shared" si="252"/>
        <v>215.25149629629627</v>
      </c>
    </row>
    <row r="14667" spans="1:7" hidden="1" x14ac:dyDescent="0.25">
      <c r="A14667" s="28">
        <v>44743</v>
      </c>
      <c r="B14667" s="27" t="s">
        <v>200</v>
      </c>
      <c r="C14667" s="27" t="s">
        <v>53</v>
      </c>
      <c r="D14667" s="27" t="s">
        <v>6</v>
      </c>
      <c r="E14667" s="27" t="s">
        <v>15</v>
      </c>
      <c r="F14667" s="29"/>
      <c r="G14667" s="30">
        <f t="shared" si="252"/>
        <v>215.25149629629627</v>
      </c>
    </row>
    <row r="14668" spans="1:7" hidden="1" x14ac:dyDescent="0.25">
      <c r="A14668" s="28">
        <v>44743</v>
      </c>
      <c r="B14668" s="27" t="s">
        <v>200</v>
      </c>
      <c r="C14668" s="27" t="s">
        <v>53</v>
      </c>
      <c r="D14668" s="27" t="s">
        <v>6</v>
      </c>
      <c r="E14668" s="27" t="s">
        <v>16</v>
      </c>
      <c r="F14668" s="29"/>
      <c r="G14668" s="30">
        <f t="shared" si="252"/>
        <v>215.25149629629627</v>
      </c>
    </row>
    <row r="14669" spans="1:7" hidden="1" x14ac:dyDescent="0.25">
      <c r="A14669" s="28">
        <v>44743</v>
      </c>
      <c r="B14669" s="27" t="s">
        <v>200</v>
      </c>
      <c r="C14669" s="27" t="s">
        <v>53</v>
      </c>
      <c r="D14669" s="27" t="s">
        <v>6</v>
      </c>
      <c r="E14669" s="27" t="s">
        <v>17</v>
      </c>
      <c r="F14669" s="29"/>
      <c r="G14669" s="30">
        <f t="shared" si="252"/>
        <v>215.25149629629627</v>
      </c>
    </row>
    <row r="14670" spans="1:7" hidden="1" x14ac:dyDescent="0.25">
      <c r="A14670" s="28">
        <v>44743</v>
      </c>
      <c r="B14670" s="27" t="s">
        <v>200</v>
      </c>
      <c r="C14670" s="27" t="s">
        <v>53</v>
      </c>
      <c r="D14670" s="27" t="s">
        <v>6</v>
      </c>
      <c r="E14670" s="27" t="s">
        <v>18</v>
      </c>
      <c r="F14670" s="29"/>
      <c r="G14670" s="30">
        <f t="shared" si="252"/>
        <v>215.25149629629627</v>
      </c>
    </row>
    <row r="14671" spans="1:7" hidden="1" x14ac:dyDescent="0.25">
      <c r="A14671" s="28">
        <v>44743</v>
      </c>
      <c r="B14671" s="27" t="s">
        <v>200</v>
      </c>
      <c r="C14671" s="27" t="s">
        <v>53</v>
      </c>
      <c r="D14671" s="27" t="s">
        <v>6</v>
      </c>
      <c r="E14671" s="27" t="s">
        <v>19</v>
      </c>
      <c r="F14671" s="29"/>
      <c r="G14671" s="30">
        <f t="shared" si="252"/>
        <v>215.25149629629627</v>
      </c>
    </row>
    <row r="14672" spans="1:7" hidden="1" x14ac:dyDescent="0.25">
      <c r="A14672" s="28">
        <v>44743</v>
      </c>
      <c r="B14672" s="27" t="s">
        <v>200</v>
      </c>
      <c r="C14672" s="27" t="s">
        <v>53</v>
      </c>
      <c r="D14672" s="27" t="s">
        <v>6</v>
      </c>
      <c r="E14672" s="27" t="s">
        <v>20</v>
      </c>
      <c r="F14672" s="29"/>
      <c r="G14672" s="30">
        <f t="shared" si="252"/>
        <v>215.25149629629627</v>
      </c>
    </row>
    <row r="14673" spans="1:7" hidden="1" x14ac:dyDescent="0.25">
      <c r="A14673" s="28">
        <v>44743</v>
      </c>
      <c r="B14673" s="27" t="s">
        <v>200</v>
      </c>
      <c r="C14673" s="27" t="s">
        <v>53</v>
      </c>
      <c r="D14673" s="27" t="s">
        <v>6</v>
      </c>
      <c r="E14673" s="27" t="s">
        <v>38</v>
      </c>
      <c r="F14673" s="29"/>
      <c r="G14673" s="30">
        <f t="shared" si="252"/>
        <v>215.25149629629627</v>
      </c>
    </row>
    <row r="14674" spans="1:7" hidden="1" x14ac:dyDescent="0.25">
      <c r="A14674" s="28">
        <v>44743</v>
      </c>
      <c r="B14674" s="27" t="s">
        <v>200</v>
      </c>
      <c r="C14674" s="27" t="s">
        <v>53</v>
      </c>
      <c r="D14674" s="27" t="s">
        <v>6</v>
      </c>
      <c r="E14674" s="27" t="s">
        <v>23</v>
      </c>
      <c r="F14674" s="29"/>
      <c r="G14674" s="30">
        <f t="shared" si="252"/>
        <v>215.25149629629627</v>
      </c>
    </row>
    <row r="14675" spans="1:7" hidden="1" x14ac:dyDescent="0.25">
      <c r="A14675" s="28">
        <v>44743</v>
      </c>
      <c r="B14675" s="27" t="s">
        <v>200</v>
      </c>
      <c r="C14675" s="27" t="s">
        <v>53</v>
      </c>
      <c r="D14675" s="27" t="s">
        <v>6</v>
      </c>
      <c r="E14675" s="27" t="s">
        <v>40</v>
      </c>
      <c r="F14675" s="29"/>
      <c r="G14675" s="30">
        <f t="shared" si="252"/>
        <v>215.25149629629627</v>
      </c>
    </row>
    <row r="14676" spans="1:7" hidden="1" x14ac:dyDescent="0.25">
      <c r="A14676" s="28">
        <v>44743</v>
      </c>
      <c r="B14676" s="27" t="s">
        <v>200</v>
      </c>
      <c r="C14676" s="27" t="s">
        <v>53</v>
      </c>
      <c r="D14676" s="27" t="s">
        <v>6</v>
      </c>
      <c r="E14676" s="27" t="s">
        <v>42</v>
      </c>
      <c r="F14676" s="29"/>
      <c r="G14676" s="30">
        <f t="shared" si="252"/>
        <v>215.25149629629627</v>
      </c>
    </row>
    <row r="14677" spans="1:7" hidden="1" x14ac:dyDescent="0.25">
      <c r="A14677" s="28">
        <v>44743</v>
      </c>
      <c r="B14677" s="27" t="s">
        <v>200</v>
      </c>
      <c r="C14677" s="27" t="s">
        <v>53</v>
      </c>
      <c r="D14677" s="27" t="s">
        <v>6</v>
      </c>
      <c r="E14677" s="27" t="s">
        <v>72</v>
      </c>
      <c r="F14677" s="29"/>
      <c r="G14677" s="30">
        <f t="shared" si="252"/>
        <v>215.25149629629627</v>
      </c>
    </row>
    <row r="14678" spans="1:7" hidden="1" x14ac:dyDescent="0.25">
      <c r="A14678" s="28">
        <v>44743</v>
      </c>
      <c r="B14678" s="27" t="s">
        <v>200</v>
      </c>
      <c r="C14678" s="27" t="s">
        <v>53</v>
      </c>
      <c r="D14678" s="27" t="s">
        <v>6</v>
      </c>
      <c r="E14678" s="27" t="s">
        <v>12</v>
      </c>
      <c r="F14678" s="29"/>
      <c r="G14678" s="30">
        <f t="shared" si="252"/>
        <v>215.25149629629627</v>
      </c>
    </row>
    <row r="14679" spans="1:7" hidden="1" x14ac:dyDescent="0.25">
      <c r="A14679" s="28">
        <v>44743</v>
      </c>
      <c r="B14679" s="27" t="s">
        <v>200</v>
      </c>
      <c r="C14679" s="27" t="s">
        <v>54</v>
      </c>
      <c r="D14679" s="27" t="s">
        <v>7</v>
      </c>
      <c r="E14679" s="27" t="s">
        <v>8</v>
      </c>
      <c r="F14679" s="29"/>
      <c r="G14679" s="30">
        <f t="shared" ref="G14679:G14706" si="253">1265.07/28</f>
        <v>45.181071428571428</v>
      </c>
    </row>
    <row r="14680" spans="1:7" hidden="1" x14ac:dyDescent="0.25">
      <c r="A14680" s="28">
        <v>44743</v>
      </c>
      <c r="B14680" s="27" t="s">
        <v>200</v>
      </c>
      <c r="C14680" s="27" t="s">
        <v>54</v>
      </c>
      <c r="D14680" s="27" t="s">
        <v>7</v>
      </c>
      <c r="E14680" s="27" t="s">
        <v>9</v>
      </c>
      <c r="F14680" s="29"/>
      <c r="G14680" s="30">
        <f t="shared" si="253"/>
        <v>45.181071428571428</v>
      </c>
    </row>
    <row r="14681" spans="1:7" hidden="1" x14ac:dyDescent="0.25">
      <c r="A14681" s="28">
        <v>44743</v>
      </c>
      <c r="B14681" s="27" t="s">
        <v>200</v>
      </c>
      <c r="C14681" s="27" t="s">
        <v>54</v>
      </c>
      <c r="D14681" s="27" t="s">
        <v>7</v>
      </c>
      <c r="E14681" s="27" t="s">
        <v>22</v>
      </c>
      <c r="F14681" s="29"/>
      <c r="G14681" s="30">
        <f t="shared" si="253"/>
        <v>45.181071428571428</v>
      </c>
    </row>
    <row r="14682" spans="1:7" hidden="1" x14ac:dyDescent="0.25">
      <c r="A14682" s="28">
        <v>44743</v>
      </c>
      <c r="B14682" s="27" t="s">
        <v>200</v>
      </c>
      <c r="C14682" s="27" t="s">
        <v>54</v>
      </c>
      <c r="D14682" s="27" t="s">
        <v>7</v>
      </c>
      <c r="E14682" s="27" t="s">
        <v>39</v>
      </c>
      <c r="F14682" s="29"/>
      <c r="G14682" s="30">
        <f t="shared" si="253"/>
        <v>45.181071428571428</v>
      </c>
    </row>
    <row r="14683" spans="1:7" hidden="1" x14ac:dyDescent="0.25">
      <c r="A14683" s="28">
        <v>44743</v>
      </c>
      <c r="B14683" s="27" t="s">
        <v>200</v>
      </c>
      <c r="C14683" s="27" t="s">
        <v>54</v>
      </c>
      <c r="D14683" s="27" t="s">
        <v>7</v>
      </c>
      <c r="E14683" s="27" t="s">
        <v>64</v>
      </c>
      <c r="F14683" s="29"/>
      <c r="G14683" s="30">
        <f t="shared" si="253"/>
        <v>45.181071428571428</v>
      </c>
    </row>
    <row r="14684" spans="1:7" hidden="1" x14ac:dyDescent="0.25">
      <c r="A14684" s="28">
        <v>44743</v>
      </c>
      <c r="B14684" s="27" t="s">
        <v>200</v>
      </c>
      <c r="C14684" s="27" t="s">
        <v>54</v>
      </c>
      <c r="D14684" s="27" t="s">
        <v>7</v>
      </c>
      <c r="E14684" s="27" t="s">
        <v>21</v>
      </c>
      <c r="F14684" s="29"/>
      <c r="G14684" s="30">
        <f t="shared" si="253"/>
        <v>45.181071428571428</v>
      </c>
    </row>
    <row r="14685" spans="1:7" hidden="1" x14ac:dyDescent="0.25">
      <c r="A14685" s="28">
        <v>44743</v>
      </c>
      <c r="B14685" s="27" t="s">
        <v>200</v>
      </c>
      <c r="C14685" s="27" t="s">
        <v>54</v>
      </c>
      <c r="D14685" s="27" t="s">
        <v>7</v>
      </c>
      <c r="E14685" s="27" t="s">
        <v>41</v>
      </c>
      <c r="F14685" s="29"/>
      <c r="G14685" s="30">
        <f t="shared" si="253"/>
        <v>45.181071428571428</v>
      </c>
    </row>
    <row r="14686" spans="1:7" hidden="1" x14ac:dyDescent="0.25">
      <c r="A14686" s="28">
        <v>44743</v>
      </c>
      <c r="B14686" s="27" t="s">
        <v>200</v>
      </c>
      <c r="C14686" s="27" t="s">
        <v>54</v>
      </c>
      <c r="D14686" s="27" t="s">
        <v>7</v>
      </c>
      <c r="E14686" s="27" t="s">
        <v>10</v>
      </c>
      <c r="F14686" s="29"/>
      <c r="G14686" s="30">
        <f t="shared" si="253"/>
        <v>45.181071428571428</v>
      </c>
    </row>
    <row r="14687" spans="1:7" hidden="1" x14ac:dyDescent="0.25">
      <c r="A14687" s="28">
        <v>44743</v>
      </c>
      <c r="B14687" s="27" t="s">
        <v>200</v>
      </c>
      <c r="C14687" s="27" t="s">
        <v>54</v>
      </c>
      <c r="D14687" s="27" t="s">
        <v>7</v>
      </c>
      <c r="E14687" s="27" t="s">
        <v>11</v>
      </c>
      <c r="F14687" s="29"/>
      <c r="G14687" s="30">
        <f t="shared" si="253"/>
        <v>45.181071428571428</v>
      </c>
    </row>
    <row r="14688" spans="1:7" hidden="1" x14ac:dyDescent="0.25">
      <c r="A14688" s="28">
        <v>44743</v>
      </c>
      <c r="B14688" s="27" t="s">
        <v>200</v>
      </c>
      <c r="C14688" s="27" t="s">
        <v>54</v>
      </c>
      <c r="D14688" s="27" t="s">
        <v>7</v>
      </c>
      <c r="E14688" s="27" t="s">
        <v>12</v>
      </c>
      <c r="F14688" s="29"/>
      <c r="G14688" s="30">
        <f t="shared" si="253"/>
        <v>45.181071428571428</v>
      </c>
    </row>
    <row r="14689" spans="1:7" hidden="1" x14ac:dyDescent="0.25">
      <c r="A14689" s="28">
        <v>44743</v>
      </c>
      <c r="B14689" s="27" t="s">
        <v>200</v>
      </c>
      <c r="C14689" s="27" t="s">
        <v>54</v>
      </c>
      <c r="D14689" s="27" t="s">
        <v>7</v>
      </c>
      <c r="E14689" s="27" t="s">
        <v>13</v>
      </c>
      <c r="F14689" s="29"/>
      <c r="G14689" s="30">
        <f t="shared" si="253"/>
        <v>45.181071428571428</v>
      </c>
    </row>
    <row r="14690" spans="1:7" hidden="1" x14ac:dyDescent="0.25">
      <c r="A14690" s="28">
        <v>44743</v>
      </c>
      <c r="B14690" s="27" t="s">
        <v>200</v>
      </c>
      <c r="C14690" s="27" t="s">
        <v>54</v>
      </c>
      <c r="D14690" s="27" t="s">
        <v>7</v>
      </c>
      <c r="E14690" s="27" t="s">
        <v>14</v>
      </c>
      <c r="F14690" s="29"/>
      <c r="G14690" s="30">
        <f t="shared" si="253"/>
        <v>45.181071428571428</v>
      </c>
    </row>
    <row r="14691" spans="1:7" hidden="1" x14ac:dyDescent="0.25">
      <c r="A14691" s="28">
        <v>44743</v>
      </c>
      <c r="B14691" s="27" t="s">
        <v>200</v>
      </c>
      <c r="C14691" s="27" t="s">
        <v>54</v>
      </c>
      <c r="D14691" s="27" t="s">
        <v>7</v>
      </c>
      <c r="E14691" s="27" t="s">
        <v>15</v>
      </c>
      <c r="F14691" s="29"/>
      <c r="G14691" s="30">
        <f t="shared" si="253"/>
        <v>45.181071428571428</v>
      </c>
    </row>
    <row r="14692" spans="1:7" hidden="1" x14ac:dyDescent="0.25">
      <c r="A14692" s="28">
        <v>44743</v>
      </c>
      <c r="B14692" s="27" t="s">
        <v>200</v>
      </c>
      <c r="C14692" s="27" t="s">
        <v>54</v>
      </c>
      <c r="D14692" s="27" t="s">
        <v>7</v>
      </c>
      <c r="E14692" s="27" t="s">
        <v>16</v>
      </c>
      <c r="F14692" s="29"/>
      <c r="G14692" s="30">
        <f t="shared" si="253"/>
        <v>45.181071428571428</v>
      </c>
    </row>
    <row r="14693" spans="1:7" hidden="1" x14ac:dyDescent="0.25">
      <c r="A14693" s="28">
        <v>44743</v>
      </c>
      <c r="B14693" s="27" t="s">
        <v>200</v>
      </c>
      <c r="C14693" s="27" t="s">
        <v>54</v>
      </c>
      <c r="D14693" s="27" t="s">
        <v>7</v>
      </c>
      <c r="E14693" s="27" t="s">
        <v>17</v>
      </c>
      <c r="F14693" s="29"/>
      <c r="G14693" s="30">
        <f t="shared" si="253"/>
        <v>45.181071428571428</v>
      </c>
    </row>
    <row r="14694" spans="1:7" hidden="1" x14ac:dyDescent="0.25">
      <c r="A14694" s="28">
        <v>44743</v>
      </c>
      <c r="B14694" s="27" t="s">
        <v>200</v>
      </c>
      <c r="C14694" s="27" t="s">
        <v>54</v>
      </c>
      <c r="D14694" s="27" t="s">
        <v>7</v>
      </c>
      <c r="E14694" s="27" t="s">
        <v>18</v>
      </c>
      <c r="F14694" s="29"/>
      <c r="G14694" s="30">
        <f t="shared" si="253"/>
        <v>45.181071428571428</v>
      </c>
    </row>
    <row r="14695" spans="1:7" hidden="1" x14ac:dyDescent="0.25">
      <c r="A14695" s="28">
        <v>44743</v>
      </c>
      <c r="B14695" s="27" t="s">
        <v>200</v>
      </c>
      <c r="C14695" s="27" t="s">
        <v>54</v>
      </c>
      <c r="D14695" s="27" t="s">
        <v>7</v>
      </c>
      <c r="E14695" s="27" t="s">
        <v>19</v>
      </c>
      <c r="F14695" s="29"/>
      <c r="G14695" s="30">
        <f t="shared" si="253"/>
        <v>45.181071428571428</v>
      </c>
    </row>
    <row r="14696" spans="1:7" hidden="1" x14ac:dyDescent="0.25">
      <c r="A14696" s="28">
        <v>44743</v>
      </c>
      <c r="B14696" s="27" t="s">
        <v>200</v>
      </c>
      <c r="C14696" s="27" t="s">
        <v>54</v>
      </c>
      <c r="D14696" s="27" t="s">
        <v>7</v>
      </c>
      <c r="E14696" s="27" t="s">
        <v>20</v>
      </c>
      <c r="F14696" s="29"/>
      <c r="G14696" s="30">
        <f t="shared" si="253"/>
        <v>45.181071428571428</v>
      </c>
    </row>
    <row r="14697" spans="1:7" hidden="1" x14ac:dyDescent="0.25">
      <c r="A14697" s="28">
        <v>44743</v>
      </c>
      <c r="B14697" s="27" t="s">
        <v>200</v>
      </c>
      <c r="C14697" s="27" t="s">
        <v>54</v>
      </c>
      <c r="D14697" s="27" t="s">
        <v>7</v>
      </c>
      <c r="E14697" s="27" t="s">
        <v>38</v>
      </c>
      <c r="F14697" s="29"/>
      <c r="G14697" s="30">
        <f t="shared" si="253"/>
        <v>45.181071428571428</v>
      </c>
    </row>
    <row r="14698" spans="1:7" hidden="1" x14ac:dyDescent="0.25">
      <c r="A14698" s="28">
        <v>44743</v>
      </c>
      <c r="B14698" s="27" t="s">
        <v>200</v>
      </c>
      <c r="C14698" s="27" t="s">
        <v>54</v>
      </c>
      <c r="D14698" s="27" t="s">
        <v>7</v>
      </c>
      <c r="E14698" s="27" t="s">
        <v>23</v>
      </c>
      <c r="F14698" s="29"/>
      <c r="G14698" s="30">
        <f t="shared" si="253"/>
        <v>45.181071428571428</v>
      </c>
    </row>
    <row r="14699" spans="1:7" hidden="1" x14ac:dyDescent="0.25">
      <c r="A14699" s="28">
        <v>44743</v>
      </c>
      <c r="B14699" s="27" t="s">
        <v>200</v>
      </c>
      <c r="C14699" s="27" t="s">
        <v>54</v>
      </c>
      <c r="D14699" s="27" t="s">
        <v>7</v>
      </c>
      <c r="E14699" s="27" t="s">
        <v>40</v>
      </c>
      <c r="F14699" s="29"/>
      <c r="G14699" s="30">
        <f t="shared" si="253"/>
        <v>45.181071428571428</v>
      </c>
    </row>
    <row r="14700" spans="1:7" hidden="1" x14ac:dyDescent="0.25">
      <c r="A14700" s="28">
        <v>44743</v>
      </c>
      <c r="B14700" s="27" t="s">
        <v>200</v>
      </c>
      <c r="C14700" s="27" t="s">
        <v>54</v>
      </c>
      <c r="D14700" s="27" t="s">
        <v>7</v>
      </c>
      <c r="E14700" s="27" t="s">
        <v>42</v>
      </c>
      <c r="F14700" s="29"/>
      <c r="G14700" s="30">
        <f t="shared" si="253"/>
        <v>45.181071428571428</v>
      </c>
    </row>
    <row r="14701" spans="1:7" hidden="1" x14ac:dyDescent="0.25">
      <c r="A14701" s="28">
        <v>44743</v>
      </c>
      <c r="B14701" s="27" t="s">
        <v>200</v>
      </c>
      <c r="C14701" s="27" t="s">
        <v>54</v>
      </c>
      <c r="D14701" s="27" t="s">
        <v>7</v>
      </c>
      <c r="E14701" s="27" t="s">
        <v>43</v>
      </c>
      <c r="F14701" s="29"/>
      <c r="G14701" s="30">
        <f t="shared" si="253"/>
        <v>45.181071428571428</v>
      </c>
    </row>
    <row r="14702" spans="1:7" hidden="1" x14ac:dyDescent="0.25">
      <c r="A14702" s="28">
        <v>44743</v>
      </c>
      <c r="B14702" s="27" t="s">
        <v>200</v>
      </c>
      <c r="C14702" s="27" t="s">
        <v>54</v>
      </c>
      <c r="D14702" s="27" t="s">
        <v>7</v>
      </c>
      <c r="E14702" s="27" t="s">
        <v>72</v>
      </c>
      <c r="F14702" s="29"/>
      <c r="G14702" s="30">
        <f t="shared" si="253"/>
        <v>45.181071428571428</v>
      </c>
    </row>
    <row r="14703" spans="1:7" hidden="1" x14ac:dyDescent="0.25">
      <c r="A14703" s="28">
        <v>44743</v>
      </c>
      <c r="B14703" s="27" t="s">
        <v>200</v>
      </c>
      <c r="C14703" s="27" t="s">
        <v>54</v>
      </c>
      <c r="D14703" s="27" t="s">
        <v>7</v>
      </c>
      <c r="E14703" s="27" t="s">
        <v>206</v>
      </c>
      <c r="F14703" s="29"/>
      <c r="G14703" s="30">
        <f t="shared" si="253"/>
        <v>45.181071428571428</v>
      </c>
    </row>
    <row r="14704" spans="1:7" hidden="1" x14ac:dyDescent="0.25">
      <c r="A14704" s="28">
        <v>44743</v>
      </c>
      <c r="B14704" s="27" t="s">
        <v>200</v>
      </c>
      <c r="C14704" s="27" t="s">
        <v>54</v>
      </c>
      <c r="D14704" s="27" t="s">
        <v>7</v>
      </c>
      <c r="E14704" s="27" t="s">
        <v>67</v>
      </c>
      <c r="F14704" s="29"/>
      <c r="G14704" s="30">
        <f t="shared" si="253"/>
        <v>45.181071428571428</v>
      </c>
    </row>
    <row r="14705" spans="1:7" hidden="1" x14ac:dyDescent="0.25">
      <c r="A14705" s="28">
        <v>44743</v>
      </c>
      <c r="B14705" s="27" t="s">
        <v>200</v>
      </c>
      <c r="C14705" s="27" t="s">
        <v>54</v>
      </c>
      <c r="D14705" s="27" t="s">
        <v>7</v>
      </c>
      <c r="E14705" s="27" t="s">
        <v>68</v>
      </c>
      <c r="F14705" s="29"/>
      <c r="G14705" s="30">
        <f t="shared" si="253"/>
        <v>45.181071428571428</v>
      </c>
    </row>
    <row r="14706" spans="1:7" hidden="1" x14ac:dyDescent="0.25">
      <c r="A14706" s="28">
        <v>44743</v>
      </c>
      <c r="B14706" s="27" t="s">
        <v>200</v>
      </c>
      <c r="C14706" s="27" t="s">
        <v>54</v>
      </c>
      <c r="D14706" s="27" t="s">
        <v>7</v>
      </c>
      <c r="E14706" s="27" t="s">
        <v>74</v>
      </c>
      <c r="F14706" s="29"/>
      <c r="G14706" s="30">
        <f t="shared" si="253"/>
        <v>45.181071428571428</v>
      </c>
    </row>
    <row r="14707" spans="1:7" hidden="1" x14ac:dyDescent="0.25">
      <c r="A14707" s="28">
        <v>44743</v>
      </c>
      <c r="B14707" s="27" t="s">
        <v>200</v>
      </c>
      <c r="C14707" s="27" t="s">
        <v>55</v>
      </c>
      <c r="D14707" s="27" t="s">
        <v>6</v>
      </c>
      <c r="E14707" s="27" t="s">
        <v>8</v>
      </c>
      <c r="F14707" s="29"/>
      <c r="G14707" s="30">
        <f t="shared" ref="G14707:G14730" si="254">55346.2816/24</f>
        <v>2306.0950666666668</v>
      </c>
    </row>
    <row r="14708" spans="1:7" hidden="1" x14ac:dyDescent="0.25">
      <c r="A14708" s="28">
        <v>44743</v>
      </c>
      <c r="B14708" s="27" t="s">
        <v>200</v>
      </c>
      <c r="C14708" s="27" t="s">
        <v>55</v>
      </c>
      <c r="D14708" s="27" t="s">
        <v>6</v>
      </c>
      <c r="E14708" s="27" t="s">
        <v>9</v>
      </c>
      <c r="F14708" s="29"/>
      <c r="G14708" s="30">
        <f t="shared" si="254"/>
        <v>2306.0950666666668</v>
      </c>
    </row>
    <row r="14709" spans="1:7" hidden="1" x14ac:dyDescent="0.25">
      <c r="A14709" s="28">
        <v>44743</v>
      </c>
      <c r="B14709" s="27" t="s">
        <v>200</v>
      </c>
      <c r="C14709" s="27" t="s">
        <v>55</v>
      </c>
      <c r="D14709" s="27" t="s">
        <v>6</v>
      </c>
      <c r="E14709" s="27" t="s">
        <v>22</v>
      </c>
      <c r="F14709" s="29"/>
      <c r="G14709" s="30">
        <f t="shared" si="254"/>
        <v>2306.0950666666668</v>
      </c>
    </row>
    <row r="14710" spans="1:7" hidden="1" x14ac:dyDescent="0.25">
      <c r="A14710" s="28">
        <v>44743</v>
      </c>
      <c r="B14710" s="27" t="s">
        <v>200</v>
      </c>
      <c r="C14710" s="27" t="s">
        <v>55</v>
      </c>
      <c r="D14710" s="27" t="s">
        <v>6</v>
      </c>
      <c r="E14710" s="27" t="s">
        <v>39</v>
      </c>
      <c r="F14710" s="29"/>
      <c r="G14710" s="30">
        <f t="shared" si="254"/>
        <v>2306.0950666666668</v>
      </c>
    </row>
    <row r="14711" spans="1:7" hidden="1" x14ac:dyDescent="0.25">
      <c r="A14711" s="28">
        <v>44743</v>
      </c>
      <c r="B14711" s="27" t="s">
        <v>200</v>
      </c>
      <c r="C14711" s="27" t="s">
        <v>55</v>
      </c>
      <c r="D14711" s="27" t="s">
        <v>6</v>
      </c>
      <c r="E14711" s="27" t="s">
        <v>64</v>
      </c>
      <c r="F14711" s="29"/>
      <c r="G14711" s="30">
        <f t="shared" si="254"/>
        <v>2306.0950666666668</v>
      </c>
    </row>
    <row r="14712" spans="1:7" hidden="1" x14ac:dyDescent="0.25">
      <c r="A14712" s="28">
        <v>44743</v>
      </c>
      <c r="B14712" s="27" t="s">
        <v>200</v>
      </c>
      <c r="C14712" s="27" t="s">
        <v>55</v>
      </c>
      <c r="D14712" s="27" t="s">
        <v>6</v>
      </c>
      <c r="E14712" s="27" t="s">
        <v>21</v>
      </c>
      <c r="F14712" s="29"/>
      <c r="G14712" s="30">
        <f t="shared" si="254"/>
        <v>2306.0950666666668</v>
      </c>
    </row>
    <row r="14713" spans="1:7" hidden="1" x14ac:dyDescent="0.25">
      <c r="A14713" s="28">
        <v>44743</v>
      </c>
      <c r="B14713" s="27" t="s">
        <v>200</v>
      </c>
      <c r="C14713" s="27" t="s">
        <v>55</v>
      </c>
      <c r="D14713" s="27" t="s">
        <v>6</v>
      </c>
      <c r="E14713" s="27" t="s">
        <v>41</v>
      </c>
      <c r="F14713" s="29"/>
      <c r="G14713" s="30">
        <f t="shared" si="254"/>
        <v>2306.0950666666668</v>
      </c>
    </row>
    <row r="14714" spans="1:7" hidden="1" x14ac:dyDescent="0.25">
      <c r="A14714" s="28">
        <v>44743</v>
      </c>
      <c r="B14714" s="27" t="s">
        <v>200</v>
      </c>
      <c r="C14714" s="27" t="s">
        <v>55</v>
      </c>
      <c r="D14714" s="27" t="s">
        <v>6</v>
      </c>
      <c r="E14714" s="27" t="s">
        <v>10</v>
      </c>
      <c r="F14714" s="29"/>
      <c r="G14714" s="30">
        <f t="shared" si="254"/>
        <v>2306.0950666666668</v>
      </c>
    </row>
    <row r="14715" spans="1:7" hidden="1" x14ac:dyDescent="0.25">
      <c r="A14715" s="28">
        <v>44743</v>
      </c>
      <c r="B14715" s="27" t="s">
        <v>200</v>
      </c>
      <c r="C14715" s="27" t="s">
        <v>55</v>
      </c>
      <c r="D14715" s="27" t="s">
        <v>6</v>
      </c>
      <c r="E14715" s="27" t="s">
        <v>11</v>
      </c>
      <c r="F14715" s="29"/>
      <c r="G14715" s="30">
        <f t="shared" si="254"/>
        <v>2306.0950666666668</v>
      </c>
    </row>
    <row r="14716" spans="1:7" hidden="1" x14ac:dyDescent="0.25">
      <c r="A14716" s="28">
        <v>44743</v>
      </c>
      <c r="B14716" s="27" t="s">
        <v>200</v>
      </c>
      <c r="C14716" s="27" t="s">
        <v>55</v>
      </c>
      <c r="D14716" s="27" t="s">
        <v>6</v>
      </c>
      <c r="E14716" s="27" t="s">
        <v>12</v>
      </c>
      <c r="F14716" s="29"/>
      <c r="G14716" s="30">
        <f t="shared" si="254"/>
        <v>2306.0950666666668</v>
      </c>
    </row>
    <row r="14717" spans="1:7" hidden="1" x14ac:dyDescent="0.25">
      <c r="A14717" s="28">
        <v>44743</v>
      </c>
      <c r="B14717" s="27" t="s">
        <v>200</v>
      </c>
      <c r="C14717" s="27" t="s">
        <v>55</v>
      </c>
      <c r="D14717" s="27" t="s">
        <v>6</v>
      </c>
      <c r="E14717" s="27" t="s">
        <v>13</v>
      </c>
      <c r="F14717" s="29"/>
      <c r="G14717" s="30">
        <f t="shared" si="254"/>
        <v>2306.0950666666668</v>
      </c>
    </row>
    <row r="14718" spans="1:7" hidden="1" x14ac:dyDescent="0.25">
      <c r="A14718" s="28">
        <v>44743</v>
      </c>
      <c r="B14718" s="27" t="s">
        <v>200</v>
      </c>
      <c r="C14718" s="27" t="s">
        <v>55</v>
      </c>
      <c r="D14718" s="27" t="s">
        <v>6</v>
      </c>
      <c r="E14718" s="27" t="s">
        <v>14</v>
      </c>
      <c r="F14718" s="29"/>
      <c r="G14718" s="30">
        <f t="shared" si="254"/>
        <v>2306.0950666666668</v>
      </c>
    </row>
    <row r="14719" spans="1:7" hidden="1" x14ac:dyDescent="0.25">
      <c r="A14719" s="28">
        <v>44743</v>
      </c>
      <c r="B14719" s="27" t="s">
        <v>200</v>
      </c>
      <c r="C14719" s="27" t="s">
        <v>55</v>
      </c>
      <c r="D14719" s="27" t="s">
        <v>6</v>
      </c>
      <c r="E14719" s="27" t="s">
        <v>15</v>
      </c>
      <c r="F14719" s="29"/>
      <c r="G14719" s="30">
        <f t="shared" si="254"/>
        <v>2306.0950666666668</v>
      </c>
    </row>
    <row r="14720" spans="1:7" hidden="1" x14ac:dyDescent="0.25">
      <c r="A14720" s="28">
        <v>44743</v>
      </c>
      <c r="B14720" s="27" t="s">
        <v>200</v>
      </c>
      <c r="C14720" s="27" t="s">
        <v>55</v>
      </c>
      <c r="D14720" s="27" t="s">
        <v>6</v>
      </c>
      <c r="E14720" s="27" t="s">
        <v>16</v>
      </c>
      <c r="F14720" s="29"/>
      <c r="G14720" s="30">
        <f t="shared" si="254"/>
        <v>2306.0950666666668</v>
      </c>
    </row>
    <row r="14721" spans="1:7" hidden="1" x14ac:dyDescent="0.25">
      <c r="A14721" s="28">
        <v>44743</v>
      </c>
      <c r="B14721" s="27" t="s">
        <v>200</v>
      </c>
      <c r="C14721" s="27" t="s">
        <v>55</v>
      </c>
      <c r="D14721" s="27" t="s">
        <v>6</v>
      </c>
      <c r="E14721" s="27" t="s">
        <v>17</v>
      </c>
      <c r="F14721" s="29"/>
      <c r="G14721" s="30">
        <f t="shared" si="254"/>
        <v>2306.0950666666668</v>
      </c>
    </row>
    <row r="14722" spans="1:7" hidden="1" x14ac:dyDescent="0.25">
      <c r="A14722" s="28">
        <v>44743</v>
      </c>
      <c r="B14722" s="27" t="s">
        <v>200</v>
      </c>
      <c r="C14722" s="27" t="s">
        <v>55</v>
      </c>
      <c r="D14722" s="27" t="s">
        <v>6</v>
      </c>
      <c r="E14722" s="27" t="s">
        <v>18</v>
      </c>
      <c r="F14722" s="29"/>
      <c r="G14722" s="30">
        <f t="shared" si="254"/>
        <v>2306.0950666666668</v>
      </c>
    </row>
    <row r="14723" spans="1:7" hidden="1" x14ac:dyDescent="0.25">
      <c r="A14723" s="28">
        <v>44743</v>
      </c>
      <c r="B14723" s="27" t="s">
        <v>200</v>
      </c>
      <c r="C14723" s="27" t="s">
        <v>55</v>
      </c>
      <c r="D14723" s="27" t="s">
        <v>6</v>
      </c>
      <c r="E14723" s="27" t="s">
        <v>19</v>
      </c>
      <c r="F14723" s="29"/>
      <c r="G14723" s="30">
        <f t="shared" si="254"/>
        <v>2306.0950666666668</v>
      </c>
    </row>
    <row r="14724" spans="1:7" hidden="1" x14ac:dyDescent="0.25">
      <c r="A14724" s="28">
        <v>44743</v>
      </c>
      <c r="B14724" s="27" t="s">
        <v>200</v>
      </c>
      <c r="C14724" s="27" t="s">
        <v>55</v>
      </c>
      <c r="D14724" s="27" t="s">
        <v>6</v>
      </c>
      <c r="E14724" s="27" t="s">
        <v>20</v>
      </c>
      <c r="F14724" s="29"/>
      <c r="G14724" s="30">
        <f t="shared" si="254"/>
        <v>2306.0950666666668</v>
      </c>
    </row>
    <row r="14725" spans="1:7" hidden="1" x14ac:dyDescent="0.25">
      <c r="A14725" s="28">
        <v>44743</v>
      </c>
      <c r="B14725" s="27" t="s">
        <v>200</v>
      </c>
      <c r="C14725" s="27" t="s">
        <v>55</v>
      </c>
      <c r="D14725" s="27" t="s">
        <v>6</v>
      </c>
      <c r="E14725" s="27" t="s">
        <v>38</v>
      </c>
      <c r="F14725" s="29"/>
      <c r="G14725" s="30">
        <f t="shared" si="254"/>
        <v>2306.0950666666668</v>
      </c>
    </row>
    <row r="14726" spans="1:7" hidden="1" x14ac:dyDescent="0.25">
      <c r="A14726" s="28">
        <v>44743</v>
      </c>
      <c r="B14726" s="27" t="s">
        <v>200</v>
      </c>
      <c r="C14726" s="27" t="s">
        <v>55</v>
      </c>
      <c r="D14726" s="27" t="s">
        <v>6</v>
      </c>
      <c r="E14726" s="27" t="s">
        <v>23</v>
      </c>
      <c r="F14726" s="29"/>
      <c r="G14726" s="30">
        <f t="shared" si="254"/>
        <v>2306.0950666666668</v>
      </c>
    </row>
    <row r="14727" spans="1:7" hidden="1" x14ac:dyDescent="0.25">
      <c r="A14727" s="28">
        <v>44743</v>
      </c>
      <c r="B14727" s="27" t="s">
        <v>200</v>
      </c>
      <c r="C14727" s="27" t="s">
        <v>55</v>
      </c>
      <c r="D14727" s="27" t="s">
        <v>6</v>
      </c>
      <c r="E14727" s="27" t="s">
        <v>40</v>
      </c>
      <c r="F14727" s="29"/>
      <c r="G14727" s="30">
        <f t="shared" si="254"/>
        <v>2306.0950666666668</v>
      </c>
    </row>
    <row r="14728" spans="1:7" hidden="1" x14ac:dyDescent="0.25">
      <c r="A14728" s="28">
        <v>44743</v>
      </c>
      <c r="B14728" s="27" t="s">
        <v>200</v>
      </c>
      <c r="C14728" s="27" t="s">
        <v>55</v>
      </c>
      <c r="D14728" s="27" t="s">
        <v>6</v>
      </c>
      <c r="E14728" s="27" t="s">
        <v>42</v>
      </c>
      <c r="F14728" s="29"/>
      <c r="G14728" s="30">
        <f t="shared" si="254"/>
        <v>2306.0950666666668</v>
      </c>
    </row>
    <row r="14729" spans="1:7" hidden="1" x14ac:dyDescent="0.25">
      <c r="A14729" s="28">
        <v>44743</v>
      </c>
      <c r="B14729" s="27" t="s">
        <v>200</v>
      </c>
      <c r="C14729" s="27" t="s">
        <v>55</v>
      </c>
      <c r="D14729" s="27" t="s">
        <v>6</v>
      </c>
      <c r="E14729" s="27" t="s">
        <v>72</v>
      </c>
      <c r="F14729" s="29"/>
      <c r="G14729" s="30">
        <f t="shared" si="254"/>
        <v>2306.0950666666668</v>
      </c>
    </row>
    <row r="14730" spans="1:7" hidden="1" x14ac:dyDescent="0.25">
      <c r="A14730" s="28">
        <v>44743</v>
      </c>
      <c r="B14730" s="27" t="s">
        <v>200</v>
      </c>
      <c r="C14730" s="27" t="s">
        <v>55</v>
      </c>
      <c r="D14730" s="27" t="s">
        <v>6</v>
      </c>
      <c r="E14730" s="27" t="s">
        <v>12</v>
      </c>
      <c r="F14730" s="29"/>
      <c r="G14730" s="30">
        <f t="shared" si="254"/>
        <v>2306.0950666666668</v>
      </c>
    </row>
    <row r="14731" spans="1:7" hidden="1" x14ac:dyDescent="0.25">
      <c r="A14731" s="28">
        <v>44743</v>
      </c>
      <c r="B14731" s="27" t="s">
        <v>200</v>
      </c>
      <c r="C14731" s="27" t="s">
        <v>183</v>
      </c>
      <c r="D14731" s="27" t="s">
        <v>7</v>
      </c>
      <c r="E14731" s="27" t="s">
        <v>8</v>
      </c>
      <c r="F14731" s="29"/>
      <c r="G14731" s="30">
        <f t="shared" ref="G14731:G14758" si="255">6921.99/28</f>
        <v>247.21392857142857</v>
      </c>
    </row>
    <row r="14732" spans="1:7" hidden="1" x14ac:dyDescent="0.25">
      <c r="A14732" s="28">
        <v>44743</v>
      </c>
      <c r="B14732" s="27" t="s">
        <v>200</v>
      </c>
      <c r="C14732" s="27" t="s">
        <v>183</v>
      </c>
      <c r="D14732" s="27" t="s">
        <v>7</v>
      </c>
      <c r="E14732" s="27" t="s">
        <v>9</v>
      </c>
      <c r="F14732" s="29"/>
      <c r="G14732" s="30">
        <f t="shared" si="255"/>
        <v>247.21392857142857</v>
      </c>
    </row>
    <row r="14733" spans="1:7" hidden="1" x14ac:dyDescent="0.25">
      <c r="A14733" s="28">
        <v>44743</v>
      </c>
      <c r="B14733" s="27" t="s">
        <v>200</v>
      </c>
      <c r="C14733" s="27" t="s">
        <v>183</v>
      </c>
      <c r="D14733" s="27" t="s">
        <v>7</v>
      </c>
      <c r="E14733" s="27" t="s">
        <v>22</v>
      </c>
      <c r="F14733" s="29"/>
      <c r="G14733" s="30">
        <f t="shared" si="255"/>
        <v>247.21392857142857</v>
      </c>
    </row>
    <row r="14734" spans="1:7" hidden="1" x14ac:dyDescent="0.25">
      <c r="A14734" s="28">
        <v>44743</v>
      </c>
      <c r="B14734" s="27" t="s">
        <v>200</v>
      </c>
      <c r="C14734" s="27" t="s">
        <v>183</v>
      </c>
      <c r="D14734" s="27" t="s">
        <v>7</v>
      </c>
      <c r="E14734" s="27" t="s">
        <v>39</v>
      </c>
      <c r="F14734" s="29"/>
      <c r="G14734" s="30">
        <f t="shared" si="255"/>
        <v>247.21392857142857</v>
      </c>
    </row>
    <row r="14735" spans="1:7" hidden="1" x14ac:dyDescent="0.25">
      <c r="A14735" s="28">
        <v>44743</v>
      </c>
      <c r="B14735" s="27" t="s">
        <v>200</v>
      </c>
      <c r="C14735" s="27" t="s">
        <v>183</v>
      </c>
      <c r="D14735" s="27" t="s">
        <v>7</v>
      </c>
      <c r="E14735" s="27" t="s">
        <v>64</v>
      </c>
      <c r="F14735" s="29"/>
      <c r="G14735" s="30">
        <f t="shared" si="255"/>
        <v>247.21392857142857</v>
      </c>
    </row>
    <row r="14736" spans="1:7" hidden="1" x14ac:dyDescent="0.25">
      <c r="A14736" s="28">
        <v>44743</v>
      </c>
      <c r="B14736" s="27" t="s">
        <v>200</v>
      </c>
      <c r="C14736" s="27" t="s">
        <v>183</v>
      </c>
      <c r="D14736" s="27" t="s">
        <v>7</v>
      </c>
      <c r="E14736" s="27" t="s">
        <v>21</v>
      </c>
      <c r="F14736" s="29"/>
      <c r="G14736" s="30">
        <f t="shared" si="255"/>
        <v>247.21392857142857</v>
      </c>
    </row>
    <row r="14737" spans="1:7" hidden="1" x14ac:dyDescent="0.25">
      <c r="A14737" s="28">
        <v>44743</v>
      </c>
      <c r="B14737" s="27" t="s">
        <v>200</v>
      </c>
      <c r="C14737" s="27" t="s">
        <v>183</v>
      </c>
      <c r="D14737" s="27" t="s">
        <v>7</v>
      </c>
      <c r="E14737" s="27" t="s">
        <v>41</v>
      </c>
      <c r="F14737" s="29"/>
      <c r="G14737" s="30">
        <f t="shared" si="255"/>
        <v>247.21392857142857</v>
      </c>
    </row>
    <row r="14738" spans="1:7" hidden="1" x14ac:dyDescent="0.25">
      <c r="A14738" s="28">
        <v>44743</v>
      </c>
      <c r="B14738" s="27" t="s">
        <v>200</v>
      </c>
      <c r="C14738" s="27" t="s">
        <v>183</v>
      </c>
      <c r="D14738" s="27" t="s">
        <v>7</v>
      </c>
      <c r="E14738" s="27" t="s">
        <v>10</v>
      </c>
      <c r="F14738" s="29"/>
      <c r="G14738" s="30">
        <f t="shared" si="255"/>
        <v>247.21392857142857</v>
      </c>
    </row>
    <row r="14739" spans="1:7" hidden="1" x14ac:dyDescent="0.25">
      <c r="A14739" s="28">
        <v>44743</v>
      </c>
      <c r="B14739" s="27" t="s">
        <v>200</v>
      </c>
      <c r="C14739" s="27" t="s">
        <v>183</v>
      </c>
      <c r="D14739" s="27" t="s">
        <v>7</v>
      </c>
      <c r="E14739" s="27" t="s">
        <v>11</v>
      </c>
      <c r="F14739" s="29"/>
      <c r="G14739" s="30">
        <f t="shared" si="255"/>
        <v>247.21392857142857</v>
      </c>
    </row>
    <row r="14740" spans="1:7" hidden="1" x14ac:dyDescent="0.25">
      <c r="A14740" s="28">
        <v>44743</v>
      </c>
      <c r="B14740" s="27" t="s">
        <v>200</v>
      </c>
      <c r="C14740" s="27" t="s">
        <v>183</v>
      </c>
      <c r="D14740" s="27" t="s">
        <v>7</v>
      </c>
      <c r="E14740" s="27" t="s">
        <v>12</v>
      </c>
      <c r="F14740" s="29"/>
      <c r="G14740" s="30">
        <f t="shared" si="255"/>
        <v>247.21392857142857</v>
      </c>
    </row>
    <row r="14741" spans="1:7" hidden="1" x14ac:dyDescent="0.25">
      <c r="A14741" s="28">
        <v>44743</v>
      </c>
      <c r="B14741" s="27" t="s">
        <v>200</v>
      </c>
      <c r="C14741" s="27" t="s">
        <v>183</v>
      </c>
      <c r="D14741" s="27" t="s">
        <v>7</v>
      </c>
      <c r="E14741" s="27" t="s">
        <v>13</v>
      </c>
      <c r="F14741" s="29"/>
      <c r="G14741" s="30">
        <f t="shared" si="255"/>
        <v>247.21392857142857</v>
      </c>
    </row>
    <row r="14742" spans="1:7" hidden="1" x14ac:dyDescent="0.25">
      <c r="A14742" s="28">
        <v>44743</v>
      </c>
      <c r="B14742" s="27" t="s">
        <v>200</v>
      </c>
      <c r="C14742" s="27" t="s">
        <v>183</v>
      </c>
      <c r="D14742" s="27" t="s">
        <v>7</v>
      </c>
      <c r="E14742" s="27" t="s">
        <v>14</v>
      </c>
      <c r="F14742" s="29"/>
      <c r="G14742" s="30">
        <f t="shared" si="255"/>
        <v>247.21392857142857</v>
      </c>
    </row>
    <row r="14743" spans="1:7" hidden="1" x14ac:dyDescent="0.25">
      <c r="A14743" s="28">
        <v>44743</v>
      </c>
      <c r="B14743" s="27" t="s">
        <v>200</v>
      </c>
      <c r="C14743" s="27" t="s">
        <v>183</v>
      </c>
      <c r="D14743" s="27" t="s">
        <v>7</v>
      </c>
      <c r="E14743" s="27" t="s">
        <v>15</v>
      </c>
      <c r="F14743" s="29"/>
      <c r="G14743" s="30">
        <f t="shared" si="255"/>
        <v>247.21392857142857</v>
      </c>
    </row>
    <row r="14744" spans="1:7" hidden="1" x14ac:dyDescent="0.25">
      <c r="A14744" s="28">
        <v>44743</v>
      </c>
      <c r="B14744" s="27" t="s">
        <v>200</v>
      </c>
      <c r="C14744" s="27" t="s">
        <v>183</v>
      </c>
      <c r="D14744" s="27" t="s">
        <v>7</v>
      </c>
      <c r="E14744" s="27" t="s">
        <v>16</v>
      </c>
      <c r="F14744" s="29"/>
      <c r="G14744" s="30">
        <f t="shared" si="255"/>
        <v>247.21392857142857</v>
      </c>
    </row>
    <row r="14745" spans="1:7" hidden="1" x14ac:dyDescent="0.25">
      <c r="A14745" s="28">
        <v>44743</v>
      </c>
      <c r="B14745" s="27" t="s">
        <v>200</v>
      </c>
      <c r="C14745" s="27" t="s">
        <v>183</v>
      </c>
      <c r="D14745" s="27" t="s">
        <v>7</v>
      </c>
      <c r="E14745" s="27" t="s">
        <v>17</v>
      </c>
      <c r="F14745" s="29"/>
      <c r="G14745" s="30">
        <f t="shared" si="255"/>
        <v>247.21392857142857</v>
      </c>
    </row>
    <row r="14746" spans="1:7" hidden="1" x14ac:dyDescent="0.25">
      <c r="A14746" s="28">
        <v>44743</v>
      </c>
      <c r="B14746" s="27" t="s">
        <v>200</v>
      </c>
      <c r="C14746" s="27" t="s">
        <v>183</v>
      </c>
      <c r="D14746" s="27" t="s">
        <v>7</v>
      </c>
      <c r="E14746" s="27" t="s">
        <v>18</v>
      </c>
      <c r="F14746" s="29"/>
      <c r="G14746" s="30">
        <f t="shared" si="255"/>
        <v>247.21392857142857</v>
      </c>
    </row>
    <row r="14747" spans="1:7" hidden="1" x14ac:dyDescent="0.25">
      <c r="A14747" s="28">
        <v>44743</v>
      </c>
      <c r="B14747" s="27" t="s">
        <v>200</v>
      </c>
      <c r="C14747" s="27" t="s">
        <v>183</v>
      </c>
      <c r="D14747" s="27" t="s">
        <v>7</v>
      </c>
      <c r="E14747" s="27" t="s">
        <v>19</v>
      </c>
      <c r="F14747" s="29"/>
      <c r="G14747" s="30">
        <f t="shared" si="255"/>
        <v>247.21392857142857</v>
      </c>
    </row>
    <row r="14748" spans="1:7" hidden="1" x14ac:dyDescent="0.25">
      <c r="A14748" s="28">
        <v>44743</v>
      </c>
      <c r="B14748" s="27" t="s">
        <v>200</v>
      </c>
      <c r="C14748" s="27" t="s">
        <v>183</v>
      </c>
      <c r="D14748" s="27" t="s">
        <v>7</v>
      </c>
      <c r="E14748" s="27" t="s">
        <v>20</v>
      </c>
      <c r="F14748" s="29"/>
      <c r="G14748" s="30">
        <f t="shared" si="255"/>
        <v>247.21392857142857</v>
      </c>
    </row>
    <row r="14749" spans="1:7" hidden="1" x14ac:dyDescent="0.25">
      <c r="A14749" s="28">
        <v>44743</v>
      </c>
      <c r="B14749" s="27" t="s">
        <v>200</v>
      </c>
      <c r="C14749" s="27" t="s">
        <v>183</v>
      </c>
      <c r="D14749" s="27" t="s">
        <v>7</v>
      </c>
      <c r="E14749" s="27" t="s">
        <v>38</v>
      </c>
      <c r="F14749" s="29"/>
      <c r="G14749" s="30">
        <f t="shared" si="255"/>
        <v>247.21392857142857</v>
      </c>
    </row>
    <row r="14750" spans="1:7" hidden="1" x14ac:dyDescent="0.25">
      <c r="A14750" s="28">
        <v>44743</v>
      </c>
      <c r="B14750" s="27" t="s">
        <v>200</v>
      </c>
      <c r="C14750" s="27" t="s">
        <v>183</v>
      </c>
      <c r="D14750" s="27" t="s">
        <v>7</v>
      </c>
      <c r="E14750" s="27" t="s">
        <v>23</v>
      </c>
      <c r="F14750" s="29"/>
      <c r="G14750" s="30">
        <f t="shared" si="255"/>
        <v>247.21392857142857</v>
      </c>
    </row>
    <row r="14751" spans="1:7" hidden="1" x14ac:dyDescent="0.25">
      <c r="A14751" s="28">
        <v>44743</v>
      </c>
      <c r="B14751" s="27" t="s">
        <v>200</v>
      </c>
      <c r="C14751" s="27" t="s">
        <v>183</v>
      </c>
      <c r="D14751" s="27" t="s">
        <v>7</v>
      </c>
      <c r="E14751" s="27" t="s">
        <v>40</v>
      </c>
      <c r="F14751" s="29"/>
      <c r="G14751" s="30">
        <f t="shared" si="255"/>
        <v>247.21392857142857</v>
      </c>
    </row>
    <row r="14752" spans="1:7" hidden="1" x14ac:dyDescent="0.25">
      <c r="A14752" s="28">
        <v>44743</v>
      </c>
      <c r="B14752" s="27" t="s">
        <v>200</v>
      </c>
      <c r="C14752" s="27" t="s">
        <v>183</v>
      </c>
      <c r="D14752" s="27" t="s">
        <v>7</v>
      </c>
      <c r="E14752" s="27" t="s">
        <v>42</v>
      </c>
      <c r="F14752" s="29"/>
      <c r="G14752" s="30">
        <f t="shared" si="255"/>
        <v>247.21392857142857</v>
      </c>
    </row>
    <row r="14753" spans="1:7" hidden="1" x14ac:dyDescent="0.25">
      <c r="A14753" s="28">
        <v>44743</v>
      </c>
      <c r="B14753" s="27" t="s">
        <v>200</v>
      </c>
      <c r="C14753" s="27" t="s">
        <v>183</v>
      </c>
      <c r="D14753" s="27" t="s">
        <v>7</v>
      </c>
      <c r="E14753" s="27" t="s">
        <v>43</v>
      </c>
      <c r="F14753" s="29"/>
      <c r="G14753" s="30">
        <f t="shared" si="255"/>
        <v>247.21392857142857</v>
      </c>
    </row>
    <row r="14754" spans="1:7" hidden="1" x14ac:dyDescent="0.25">
      <c r="A14754" s="28">
        <v>44743</v>
      </c>
      <c r="B14754" s="27" t="s">
        <v>200</v>
      </c>
      <c r="C14754" s="27" t="s">
        <v>183</v>
      </c>
      <c r="D14754" s="27" t="s">
        <v>7</v>
      </c>
      <c r="E14754" s="27" t="s">
        <v>72</v>
      </c>
      <c r="F14754" s="29"/>
      <c r="G14754" s="30">
        <f t="shared" si="255"/>
        <v>247.21392857142857</v>
      </c>
    </row>
    <row r="14755" spans="1:7" hidden="1" x14ac:dyDescent="0.25">
      <c r="A14755" s="28">
        <v>44743</v>
      </c>
      <c r="B14755" s="27" t="s">
        <v>200</v>
      </c>
      <c r="C14755" s="27" t="s">
        <v>183</v>
      </c>
      <c r="D14755" s="27" t="s">
        <v>7</v>
      </c>
      <c r="E14755" s="27" t="s">
        <v>206</v>
      </c>
      <c r="F14755" s="29"/>
      <c r="G14755" s="30">
        <f t="shared" si="255"/>
        <v>247.21392857142857</v>
      </c>
    </row>
    <row r="14756" spans="1:7" hidden="1" x14ac:dyDescent="0.25">
      <c r="A14756" s="28">
        <v>44743</v>
      </c>
      <c r="B14756" s="27" t="s">
        <v>200</v>
      </c>
      <c r="C14756" s="27" t="s">
        <v>183</v>
      </c>
      <c r="D14756" s="27" t="s">
        <v>7</v>
      </c>
      <c r="E14756" s="27" t="s">
        <v>67</v>
      </c>
      <c r="F14756" s="29"/>
      <c r="G14756" s="30">
        <f t="shared" si="255"/>
        <v>247.21392857142857</v>
      </c>
    </row>
    <row r="14757" spans="1:7" hidden="1" x14ac:dyDescent="0.25">
      <c r="A14757" s="28">
        <v>44743</v>
      </c>
      <c r="B14757" s="27" t="s">
        <v>200</v>
      </c>
      <c r="C14757" s="27" t="s">
        <v>183</v>
      </c>
      <c r="D14757" s="27" t="s">
        <v>7</v>
      </c>
      <c r="E14757" s="27" t="s">
        <v>68</v>
      </c>
      <c r="F14757" s="29"/>
      <c r="G14757" s="30">
        <f t="shared" si="255"/>
        <v>247.21392857142857</v>
      </c>
    </row>
    <row r="14758" spans="1:7" hidden="1" x14ac:dyDescent="0.25">
      <c r="A14758" s="28">
        <v>44743</v>
      </c>
      <c r="B14758" s="27" t="s">
        <v>200</v>
      </c>
      <c r="C14758" s="27" t="s">
        <v>183</v>
      </c>
      <c r="D14758" s="27" t="s">
        <v>7</v>
      </c>
      <c r="E14758" s="27" t="s">
        <v>74</v>
      </c>
      <c r="F14758" s="29"/>
      <c r="G14758" s="30">
        <f t="shared" si="255"/>
        <v>247.21392857142857</v>
      </c>
    </row>
    <row r="14759" spans="1:7" hidden="1" x14ac:dyDescent="0.25">
      <c r="A14759" s="28">
        <v>44743</v>
      </c>
      <c r="B14759" s="27" t="s">
        <v>200</v>
      </c>
      <c r="C14759" s="27" t="s">
        <v>56</v>
      </c>
      <c r="D14759" s="27" t="s">
        <v>6</v>
      </c>
      <c r="E14759" s="27" t="s">
        <v>8</v>
      </c>
      <c r="F14759" s="29"/>
      <c r="G14759" s="30">
        <f t="shared" ref="G14759:G14782" si="256">74852.6732888889/24</f>
        <v>3118.8613870370373</v>
      </c>
    </row>
    <row r="14760" spans="1:7" hidden="1" x14ac:dyDescent="0.25">
      <c r="A14760" s="28">
        <v>44743</v>
      </c>
      <c r="B14760" s="27" t="s">
        <v>200</v>
      </c>
      <c r="C14760" s="27" t="s">
        <v>56</v>
      </c>
      <c r="D14760" s="27" t="s">
        <v>6</v>
      </c>
      <c r="E14760" s="27" t="s">
        <v>9</v>
      </c>
      <c r="F14760" s="29"/>
      <c r="G14760" s="30">
        <f t="shared" si="256"/>
        <v>3118.8613870370373</v>
      </c>
    </row>
    <row r="14761" spans="1:7" hidden="1" x14ac:dyDescent="0.25">
      <c r="A14761" s="28">
        <v>44743</v>
      </c>
      <c r="B14761" s="27" t="s">
        <v>200</v>
      </c>
      <c r="C14761" s="27" t="s">
        <v>56</v>
      </c>
      <c r="D14761" s="27" t="s">
        <v>6</v>
      </c>
      <c r="E14761" s="27" t="s">
        <v>22</v>
      </c>
      <c r="F14761" s="29"/>
      <c r="G14761" s="30">
        <f t="shared" si="256"/>
        <v>3118.8613870370373</v>
      </c>
    </row>
    <row r="14762" spans="1:7" hidden="1" x14ac:dyDescent="0.25">
      <c r="A14762" s="28">
        <v>44743</v>
      </c>
      <c r="B14762" s="27" t="s">
        <v>200</v>
      </c>
      <c r="C14762" s="27" t="s">
        <v>56</v>
      </c>
      <c r="D14762" s="27" t="s">
        <v>6</v>
      </c>
      <c r="E14762" s="27" t="s">
        <v>39</v>
      </c>
      <c r="F14762" s="29"/>
      <c r="G14762" s="30">
        <f t="shared" si="256"/>
        <v>3118.8613870370373</v>
      </c>
    </row>
    <row r="14763" spans="1:7" hidden="1" x14ac:dyDescent="0.25">
      <c r="A14763" s="28">
        <v>44743</v>
      </c>
      <c r="B14763" s="27" t="s">
        <v>200</v>
      </c>
      <c r="C14763" s="27" t="s">
        <v>56</v>
      </c>
      <c r="D14763" s="27" t="s">
        <v>6</v>
      </c>
      <c r="E14763" s="27" t="s">
        <v>64</v>
      </c>
      <c r="F14763" s="29"/>
      <c r="G14763" s="30">
        <f t="shared" si="256"/>
        <v>3118.8613870370373</v>
      </c>
    </row>
    <row r="14764" spans="1:7" hidden="1" x14ac:dyDescent="0.25">
      <c r="A14764" s="28">
        <v>44743</v>
      </c>
      <c r="B14764" s="27" t="s">
        <v>200</v>
      </c>
      <c r="C14764" s="27" t="s">
        <v>56</v>
      </c>
      <c r="D14764" s="27" t="s">
        <v>6</v>
      </c>
      <c r="E14764" s="27" t="s">
        <v>21</v>
      </c>
      <c r="F14764" s="29"/>
      <c r="G14764" s="30">
        <f t="shared" si="256"/>
        <v>3118.8613870370373</v>
      </c>
    </row>
    <row r="14765" spans="1:7" hidden="1" x14ac:dyDescent="0.25">
      <c r="A14765" s="28">
        <v>44743</v>
      </c>
      <c r="B14765" s="27" t="s">
        <v>200</v>
      </c>
      <c r="C14765" s="27" t="s">
        <v>56</v>
      </c>
      <c r="D14765" s="27" t="s">
        <v>6</v>
      </c>
      <c r="E14765" s="27" t="s">
        <v>41</v>
      </c>
      <c r="F14765" s="29"/>
      <c r="G14765" s="30">
        <f t="shared" si="256"/>
        <v>3118.8613870370373</v>
      </c>
    </row>
    <row r="14766" spans="1:7" hidden="1" x14ac:dyDescent="0.25">
      <c r="A14766" s="28">
        <v>44743</v>
      </c>
      <c r="B14766" s="27" t="s">
        <v>200</v>
      </c>
      <c r="C14766" s="27" t="s">
        <v>56</v>
      </c>
      <c r="D14766" s="27" t="s">
        <v>6</v>
      </c>
      <c r="E14766" s="27" t="s">
        <v>10</v>
      </c>
      <c r="F14766" s="29"/>
      <c r="G14766" s="30">
        <f t="shared" si="256"/>
        <v>3118.8613870370373</v>
      </c>
    </row>
    <row r="14767" spans="1:7" hidden="1" x14ac:dyDescent="0.25">
      <c r="A14767" s="28">
        <v>44743</v>
      </c>
      <c r="B14767" s="27" t="s">
        <v>200</v>
      </c>
      <c r="C14767" s="27" t="s">
        <v>56</v>
      </c>
      <c r="D14767" s="27" t="s">
        <v>6</v>
      </c>
      <c r="E14767" s="27" t="s">
        <v>11</v>
      </c>
      <c r="F14767" s="29"/>
      <c r="G14767" s="30">
        <f t="shared" si="256"/>
        <v>3118.8613870370373</v>
      </c>
    </row>
    <row r="14768" spans="1:7" hidden="1" x14ac:dyDescent="0.25">
      <c r="A14768" s="28">
        <v>44743</v>
      </c>
      <c r="B14768" s="27" t="s">
        <v>200</v>
      </c>
      <c r="C14768" s="27" t="s">
        <v>56</v>
      </c>
      <c r="D14768" s="27" t="s">
        <v>6</v>
      </c>
      <c r="E14768" s="27" t="s">
        <v>12</v>
      </c>
      <c r="F14768" s="29"/>
      <c r="G14768" s="30">
        <f t="shared" si="256"/>
        <v>3118.8613870370373</v>
      </c>
    </row>
    <row r="14769" spans="1:7" hidden="1" x14ac:dyDescent="0.25">
      <c r="A14769" s="28">
        <v>44743</v>
      </c>
      <c r="B14769" s="27" t="s">
        <v>200</v>
      </c>
      <c r="C14769" s="27" t="s">
        <v>56</v>
      </c>
      <c r="D14769" s="27" t="s">
        <v>6</v>
      </c>
      <c r="E14769" s="27" t="s">
        <v>13</v>
      </c>
      <c r="F14769" s="29"/>
      <c r="G14769" s="30">
        <f t="shared" si="256"/>
        <v>3118.8613870370373</v>
      </c>
    </row>
    <row r="14770" spans="1:7" hidden="1" x14ac:dyDescent="0.25">
      <c r="A14770" s="28">
        <v>44743</v>
      </c>
      <c r="B14770" s="27" t="s">
        <v>200</v>
      </c>
      <c r="C14770" s="27" t="s">
        <v>56</v>
      </c>
      <c r="D14770" s="27" t="s">
        <v>6</v>
      </c>
      <c r="E14770" s="27" t="s">
        <v>14</v>
      </c>
      <c r="F14770" s="29"/>
      <c r="G14770" s="30">
        <f t="shared" si="256"/>
        <v>3118.8613870370373</v>
      </c>
    </row>
    <row r="14771" spans="1:7" hidden="1" x14ac:dyDescent="0.25">
      <c r="A14771" s="28">
        <v>44743</v>
      </c>
      <c r="B14771" s="27" t="s">
        <v>200</v>
      </c>
      <c r="C14771" s="27" t="s">
        <v>56</v>
      </c>
      <c r="D14771" s="27" t="s">
        <v>6</v>
      </c>
      <c r="E14771" s="27" t="s">
        <v>15</v>
      </c>
      <c r="F14771" s="29"/>
      <c r="G14771" s="30">
        <f t="shared" si="256"/>
        <v>3118.8613870370373</v>
      </c>
    </row>
    <row r="14772" spans="1:7" hidden="1" x14ac:dyDescent="0.25">
      <c r="A14772" s="28">
        <v>44743</v>
      </c>
      <c r="B14772" s="27" t="s">
        <v>200</v>
      </c>
      <c r="C14772" s="27" t="s">
        <v>56</v>
      </c>
      <c r="D14772" s="27" t="s">
        <v>6</v>
      </c>
      <c r="E14772" s="27" t="s">
        <v>16</v>
      </c>
      <c r="F14772" s="29"/>
      <c r="G14772" s="30">
        <f t="shared" si="256"/>
        <v>3118.8613870370373</v>
      </c>
    </row>
    <row r="14773" spans="1:7" hidden="1" x14ac:dyDescent="0.25">
      <c r="A14773" s="28">
        <v>44743</v>
      </c>
      <c r="B14773" s="27" t="s">
        <v>200</v>
      </c>
      <c r="C14773" s="27" t="s">
        <v>56</v>
      </c>
      <c r="D14773" s="27" t="s">
        <v>6</v>
      </c>
      <c r="E14773" s="27" t="s">
        <v>17</v>
      </c>
      <c r="F14773" s="29"/>
      <c r="G14773" s="30">
        <f t="shared" si="256"/>
        <v>3118.8613870370373</v>
      </c>
    </row>
    <row r="14774" spans="1:7" hidden="1" x14ac:dyDescent="0.25">
      <c r="A14774" s="28">
        <v>44743</v>
      </c>
      <c r="B14774" s="27" t="s">
        <v>200</v>
      </c>
      <c r="C14774" s="27" t="s">
        <v>56</v>
      </c>
      <c r="D14774" s="27" t="s">
        <v>6</v>
      </c>
      <c r="E14774" s="27" t="s">
        <v>18</v>
      </c>
      <c r="F14774" s="29"/>
      <c r="G14774" s="30">
        <f t="shared" si="256"/>
        <v>3118.8613870370373</v>
      </c>
    </row>
    <row r="14775" spans="1:7" hidden="1" x14ac:dyDescent="0.25">
      <c r="A14775" s="28">
        <v>44743</v>
      </c>
      <c r="B14775" s="27" t="s">
        <v>200</v>
      </c>
      <c r="C14775" s="27" t="s">
        <v>56</v>
      </c>
      <c r="D14775" s="27" t="s">
        <v>6</v>
      </c>
      <c r="E14775" s="27" t="s">
        <v>19</v>
      </c>
      <c r="F14775" s="29"/>
      <c r="G14775" s="30">
        <f t="shared" si="256"/>
        <v>3118.8613870370373</v>
      </c>
    </row>
    <row r="14776" spans="1:7" hidden="1" x14ac:dyDescent="0.25">
      <c r="A14776" s="28">
        <v>44743</v>
      </c>
      <c r="B14776" s="27" t="s">
        <v>200</v>
      </c>
      <c r="C14776" s="27" t="s">
        <v>56</v>
      </c>
      <c r="D14776" s="27" t="s">
        <v>6</v>
      </c>
      <c r="E14776" s="27" t="s">
        <v>20</v>
      </c>
      <c r="F14776" s="29"/>
      <c r="G14776" s="30">
        <f t="shared" si="256"/>
        <v>3118.8613870370373</v>
      </c>
    </row>
    <row r="14777" spans="1:7" hidden="1" x14ac:dyDescent="0.25">
      <c r="A14777" s="28">
        <v>44743</v>
      </c>
      <c r="B14777" s="27" t="s">
        <v>200</v>
      </c>
      <c r="C14777" s="27" t="s">
        <v>56</v>
      </c>
      <c r="D14777" s="27" t="s">
        <v>6</v>
      </c>
      <c r="E14777" s="27" t="s">
        <v>38</v>
      </c>
      <c r="F14777" s="29"/>
      <c r="G14777" s="30">
        <f t="shared" si="256"/>
        <v>3118.8613870370373</v>
      </c>
    </row>
    <row r="14778" spans="1:7" hidden="1" x14ac:dyDescent="0.25">
      <c r="A14778" s="28">
        <v>44743</v>
      </c>
      <c r="B14778" s="27" t="s">
        <v>200</v>
      </c>
      <c r="C14778" s="27" t="s">
        <v>56</v>
      </c>
      <c r="D14778" s="27" t="s">
        <v>6</v>
      </c>
      <c r="E14778" s="27" t="s">
        <v>23</v>
      </c>
      <c r="F14778" s="29"/>
      <c r="G14778" s="30">
        <f t="shared" si="256"/>
        <v>3118.8613870370373</v>
      </c>
    </row>
    <row r="14779" spans="1:7" hidden="1" x14ac:dyDescent="0.25">
      <c r="A14779" s="28">
        <v>44743</v>
      </c>
      <c r="B14779" s="27" t="s">
        <v>200</v>
      </c>
      <c r="C14779" s="27" t="s">
        <v>56</v>
      </c>
      <c r="D14779" s="27" t="s">
        <v>6</v>
      </c>
      <c r="E14779" s="27" t="s">
        <v>40</v>
      </c>
      <c r="F14779" s="29"/>
      <c r="G14779" s="30">
        <f t="shared" si="256"/>
        <v>3118.8613870370373</v>
      </c>
    </row>
    <row r="14780" spans="1:7" hidden="1" x14ac:dyDescent="0.25">
      <c r="A14780" s="28">
        <v>44743</v>
      </c>
      <c r="B14780" s="27" t="s">
        <v>200</v>
      </c>
      <c r="C14780" s="27" t="s">
        <v>56</v>
      </c>
      <c r="D14780" s="27" t="s">
        <v>6</v>
      </c>
      <c r="E14780" s="27" t="s">
        <v>42</v>
      </c>
      <c r="F14780" s="29"/>
      <c r="G14780" s="30">
        <f t="shared" si="256"/>
        <v>3118.8613870370373</v>
      </c>
    </row>
    <row r="14781" spans="1:7" hidden="1" x14ac:dyDescent="0.25">
      <c r="A14781" s="28">
        <v>44743</v>
      </c>
      <c r="B14781" s="27" t="s">
        <v>200</v>
      </c>
      <c r="C14781" s="27" t="s">
        <v>56</v>
      </c>
      <c r="D14781" s="27" t="s">
        <v>6</v>
      </c>
      <c r="E14781" s="27" t="s">
        <v>72</v>
      </c>
      <c r="F14781" s="29"/>
      <c r="G14781" s="30">
        <f t="shared" si="256"/>
        <v>3118.8613870370373</v>
      </c>
    </row>
    <row r="14782" spans="1:7" hidden="1" x14ac:dyDescent="0.25">
      <c r="A14782" s="28">
        <v>44743</v>
      </c>
      <c r="B14782" s="27" t="s">
        <v>200</v>
      </c>
      <c r="C14782" s="27" t="s">
        <v>56</v>
      </c>
      <c r="D14782" s="27" t="s">
        <v>6</v>
      </c>
      <c r="E14782" s="27" t="s">
        <v>12</v>
      </c>
      <c r="F14782" s="29"/>
      <c r="G14782" s="30">
        <f t="shared" si="256"/>
        <v>3118.8613870370373</v>
      </c>
    </row>
    <row r="14783" spans="1:7" hidden="1" x14ac:dyDescent="0.25">
      <c r="A14783" s="28">
        <v>44743</v>
      </c>
      <c r="B14783" s="27" t="s">
        <v>200</v>
      </c>
      <c r="C14783" s="27" t="s">
        <v>182</v>
      </c>
      <c r="D14783" s="27" t="s">
        <v>7</v>
      </c>
      <c r="E14783" s="27" t="s">
        <v>8</v>
      </c>
      <c r="F14783" s="29"/>
      <c r="G14783" s="30">
        <f t="shared" ref="G14783:G14810" si="257">7592.13/28</f>
        <v>271.14749999999998</v>
      </c>
    </row>
    <row r="14784" spans="1:7" hidden="1" x14ac:dyDescent="0.25">
      <c r="A14784" s="28">
        <v>44743</v>
      </c>
      <c r="B14784" s="27" t="s">
        <v>200</v>
      </c>
      <c r="C14784" s="27" t="s">
        <v>182</v>
      </c>
      <c r="D14784" s="27" t="s">
        <v>7</v>
      </c>
      <c r="E14784" s="27" t="s">
        <v>9</v>
      </c>
      <c r="F14784" s="29"/>
      <c r="G14784" s="30">
        <f t="shared" si="257"/>
        <v>271.14749999999998</v>
      </c>
    </row>
    <row r="14785" spans="1:7" hidden="1" x14ac:dyDescent="0.25">
      <c r="A14785" s="28">
        <v>44743</v>
      </c>
      <c r="B14785" s="27" t="s">
        <v>200</v>
      </c>
      <c r="C14785" s="27" t="s">
        <v>182</v>
      </c>
      <c r="D14785" s="27" t="s">
        <v>7</v>
      </c>
      <c r="E14785" s="27" t="s">
        <v>22</v>
      </c>
      <c r="F14785" s="29"/>
      <c r="G14785" s="30">
        <f t="shared" si="257"/>
        <v>271.14749999999998</v>
      </c>
    </row>
    <row r="14786" spans="1:7" hidden="1" x14ac:dyDescent="0.25">
      <c r="A14786" s="28">
        <v>44743</v>
      </c>
      <c r="B14786" s="27" t="s">
        <v>200</v>
      </c>
      <c r="C14786" s="27" t="s">
        <v>182</v>
      </c>
      <c r="D14786" s="27" t="s">
        <v>7</v>
      </c>
      <c r="E14786" s="27" t="s">
        <v>39</v>
      </c>
      <c r="F14786" s="29"/>
      <c r="G14786" s="30">
        <f t="shared" si="257"/>
        <v>271.14749999999998</v>
      </c>
    </row>
    <row r="14787" spans="1:7" hidden="1" x14ac:dyDescent="0.25">
      <c r="A14787" s="28">
        <v>44743</v>
      </c>
      <c r="B14787" s="27" t="s">
        <v>200</v>
      </c>
      <c r="C14787" s="27" t="s">
        <v>182</v>
      </c>
      <c r="D14787" s="27" t="s">
        <v>7</v>
      </c>
      <c r="E14787" s="27" t="s">
        <v>64</v>
      </c>
      <c r="F14787" s="29"/>
      <c r="G14787" s="30">
        <f t="shared" si="257"/>
        <v>271.14749999999998</v>
      </c>
    </row>
    <row r="14788" spans="1:7" hidden="1" x14ac:dyDescent="0.25">
      <c r="A14788" s="28">
        <v>44743</v>
      </c>
      <c r="B14788" s="27" t="s">
        <v>200</v>
      </c>
      <c r="C14788" s="27" t="s">
        <v>182</v>
      </c>
      <c r="D14788" s="27" t="s">
        <v>7</v>
      </c>
      <c r="E14788" s="27" t="s">
        <v>21</v>
      </c>
      <c r="F14788" s="29"/>
      <c r="G14788" s="30">
        <f t="shared" si="257"/>
        <v>271.14749999999998</v>
      </c>
    </row>
    <row r="14789" spans="1:7" hidden="1" x14ac:dyDescent="0.25">
      <c r="A14789" s="28">
        <v>44743</v>
      </c>
      <c r="B14789" s="27" t="s">
        <v>200</v>
      </c>
      <c r="C14789" s="27" t="s">
        <v>182</v>
      </c>
      <c r="D14789" s="27" t="s">
        <v>7</v>
      </c>
      <c r="E14789" s="27" t="s">
        <v>41</v>
      </c>
      <c r="F14789" s="29"/>
      <c r="G14789" s="30">
        <f t="shared" si="257"/>
        <v>271.14749999999998</v>
      </c>
    </row>
    <row r="14790" spans="1:7" hidden="1" x14ac:dyDescent="0.25">
      <c r="A14790" s="28">
        <v>44743</v>
      </c>
      <c r="B14790" s="27" t="s">
        <v>200</v>
      </c>
      <c r="C14790" s="27" t="s">
        <v>182</v>
      </c>
      <c r="D14790" s="27" t="s">
        <v>7</v>
      </c>
      <c r="E14790" s="27" t="s">
        <v>10</v>
      </c>
      <c r="F14790" s="29"/>
      <c r="G14790" s="30">
        <f t="shared" si="257"/>
        <v>271.14749999999998</v>
      </c>
    </row>
    <row r="14791" spans="1:7" hidden="1" x14ac:dyDescent="0.25">
      <c r="A14791" s="28">
        <v>44743</v>
      </c>
      <c r="B14791" s="27" t="s">
        <v>200</v>
      </c>
      <c r="C14791" s="27" t="s">
        <v>182</v>
      </c>
      <c r="D14791" s="27" t="s">
        <v>7</v>
      </c>
      <c r="E14791" s="27" t="s">
        <v>11</v>
      </c>
      <c r="F14791" s="29"/>
      <c r="G14791" s="30">
        <f t="shared" si="257"/>
        <v>271.14749999999998</v>
      </c>
    </row>
    <row r="14792" spans="1:7" hidden="1" x14ac:dyDescent="0.25">
      <c r="A14792" s="28">
        <v>44743</v>
      </c>
      <c r="B14792" s="27" t="s">
        <v>200</v>
      </c>
      <c r="C14792" s="27" t="s">
        <v>182</v>
      </c>
      <c r="D14792" s="27" t="s">
        <v>7</v>
      </c>
      <c r="E14792" s="27" t="s">
        <v>12</v>
      </c>
      <c r="F14792" s="29"/>
      <c r="G14792" s="30">
        <f t="shared" si="257"/>
        <v>271.14749999999998</v>
      </c>
    </row>
    <row r="14793" spans="1:7" hidden="1" x14ac:dyDescent="0.25">
      <c r="A14793" s="28">
        <v>44743</v>
      </c>
      <c r="B14793" s="27" t="s">
        <v>200</v>
      </c>
      <c r="C14793" s="27" t="s">
        <v>182</v>
      </c>
      <c r="D14793" s="27" t="s">
        <v>7</v>
      </c>
      <c r="E14793" s="27" t="s">
        <v>13</v>
      </c>
      <c r="F14793" s="29"/>
      <c r="G14793" s="30">
        <f t="shared" si="257"/>
        <v>271.14749999999998</v>
      </c>
    </row>
    <row r="14794" spans="1:7" hidden="1" x14ac:dyDescent="0.25">
      <c r="A14794" s="28">
        <v>44743</v>
      </c>
      <c r="B14794" s="27" t="s">
        <v>200</v>
      </c>
      <c r="C14794" s="27" t="s">
        <v>182</v>
      </c>
      <c r="D14794" s="27" t="s">
        <v>7</v>
      </c>
      <c r="E14794" s="27" t="s">
        <v>14</v>
      </c>
      <c r="F14794" s="29"/>
      <c r="G14794" s="30">
        <f t="shared" si="257"/>
        <v>271.14749999999998</v>
      </c>
    </row>
    <row r="14795" spans="1:7" hidden="1" x14ac:dyDescent="0.25">
      <c r="A14795" s="28">
        <v>44743</v>
      </c>
      <c r="B14795" s="27" t="s">
        <v>200</v>
      </c>
      <c r="C14795" s="27" t="s">
        <v>182</v>
      </c>
      <c r="D14795" s="27" t="s">
        <v>7</v>
      </c>
      <c r="E14795" s="27" t="s">
        <v>15</v>
      </c>
      <c r="F14795" s="29"/>
      <c r="G14795" s="30">
        <f t="shared" si="257"/>
        <v>271.14749999999998</v>
      </c>
    </row>
    <row r="14796" spans="1:7" hidden="1" x14ac:dyDescent="0.25">
      <c r="A14796" s="28">
        <v>44743</v>
      </c>
      <c r="B14796" s="27" t="s">
        <v>200</v>
      </c>
      <c r="C14796" s="27" t="s">
        <v>182</v>
      </c>
      <c r="D14796" s="27" t="s">
        <v>7</v>
      </c>
      <c r="E14796" s="27" t="s">
        <v>16</v>
      </c>
      <c r="F14796" s="29"/>
      <c r="G14796" s="30">
        <f t="shared" si="257"/>
        <v>271.14749999999998</v>
      </c>
    </row>
    <row r="14797" spans="1:7" hidden="1" x14ac:dyDescent="0.25">
      <c r="A14797" s="28">
        <v>44743</v>
      </c>
      <c r="B14797" s="27" t="s">
        <v>200</v>
      </c>
      <c r="C14797" s="27" t="s">
        <v>182</v>
      </c>
      <c r="D14797" s="27" t="s">
        <v>7</v>
      </c>
      <c r="E14797" s="27" t="s">
        <v>17</v>
      </c>
      <c r="F14797" s="29"/>
      <c r="G14797" s="30">
        <f t="shared" si="257"/>
        <v>271.14749999999998</v>
      </c>
    </row>
    <row r="14798" spans="1:7" hidden="1" x14ac:dyDescent="0.25">
      <c r="A14798" s="28">
        <v>44743</v>
      </c>
      <c r="B14798" s="27" t="s">
        <v>200</v>
      </c>
      <c r="C14798" s="27" t="s">
        <v>182</v>
      </c>
      <c r="D14798" s="27" t="s">
        <v>7</v>
      </c>
      <c r="E14798" s="27" t="s">
        <v>18</v>
      </c>
      <c r="F14798" s="29"/>
      <c r="G14798" s="30">
        <f t="shared" si="257"/>
        <v>271.14749999999998</v>
      </c>
    </row>
    <row r="14799" spans="1:7" hidden="1" x14ac:dyDescent="0.25">
      <c r="A14799" s="28">
        <v>44743</v>
      </c>
      <c r="B14799" s="27" t="s">
        <v>200</v>
      </c>
      <c r="C14799" s="27" t="s">
        <v>182</v>
      </c>
      <c r="D14799" s="27" t="s">
        <v>7</v>
      </c>
      <c r="E14799" s="27" t="s">
        <v>19</v>
      </c>
      <c r="F14799" s="29"/>
      <c r="G14799" s="30">
        <f t="shared" si="257"/>
        <v>271.14749999999998</v>
      </c>
    </row>
    <row r="14800" spans="1:7" hidden="1" x14ac:dyDescent="0.25">
      <c r="A14800" s="28">
        <v>44743</v>
      </c>
      <c r="B14800" s="27" t="s">
        <v>200</v>
      </c>
      <c r="C14800" s="27" t="s">
        <v>182</v>
      </c>
      <c r="D14800" s="27" t="s">
        <v>7</v>
      </c>
      <c r="E14800" s="27" t="s">
        <v>20</v>
      </c>
      <c r="F14800" s="29"/>
      <c r="G14800" s="30">
        <f t="shared" si="257"/>
        <v>271.14749999999998</v>
      </c>
    </row>
    <row r="14801" spans="1:7" hidden="1" x14ac:dyDescent="0.25">
      <c r="A14801" s="28">
        <v>44743</v>
      </c>
      <c r="B14801" s="27" t="s">
        <v>200</v>
      </c>
      <c r="C14801" s="27" t="s">
        <v>182</v>
      </c>
      <c r="D14801" s="27" t="s">
        <v>7</v>
      </c>
      <c r="E14801" s="27" t="s">
        <v>38</v>
      </c>
      <c r="F14801" s="29"/>
      <c r="G14801" s="30">
        <f t="shared" si="257"/>
        <v>271.14749999999998</v>
      </c>
    </row>
    <row r="14802" spans="1:7" hidden="1" x14ac:dyDescent="0.25">
      <c r="A14802" s="28">
        <v>44743</v>
      </c>
      <c r="B14802" s="27" t="s">
        <v>200</v>
      </c>
      <c r="C14802" s="27" t="s">
        <v>182</v>
      </c>
      <c r="D14802" s="27" t="s">
        <v>7</v>
      </c>
      <c r="E14802" s="27" t="s">
        <v>23</v>
      </c>
      <c r="F14802" s="29"/>
      <c r="G14802" s="30">
        <f t="shared" si="257"/>
        <v>271.14749999999998</v>
      </c>
    </row>
    <row r="14803" spans="1:7" hidden="1" x14ac:dyDescent="0.25">
      <c r="A14803" s="28">
        <v>44743</v>
      </c>
      <c r="B14803" s="27" t="s">
        <v>200</v>
      </c>
      <c r="C14803" s="27" t="s">
        <v>182</v>
      </c>
      <c r="D14803" s="27" t="s">
        <v>7</v>
      </c>
      <c r="E14803" s="27" t="s">
        <v>40</v>
      </c>
      <c r="F14803" s="29"/>
      <c r="G14803" s="30">
        <f t="shared" si="257"/>
        <v>271.14749999999998</v>
      </c>
    </row>
    <row r="14804" spans="1:7" hidden="1" x14ac:dyDescent="0.25">
      <c r="A14804" s="28">
        <v>44743</v>
      </c>
      <c r="B14804" s="27" t="s">
        <v>200</v>
      </c>
      <c r="C14804" s="27" t="s">
        <v>182</v>
      </c>
      <c r="D14804" s="27" t="s">
        <v>7</v>
      </c>
      <c r="E14804" s="27" t="s">
        <v>42</v>
      </c>
      <c r="F14804" s="29"/>
      <c r="G14804" s="30">
        <f t="shared" si="257"/>
        <v>271.14749999999998</v>
      </c>
    </row>
    <row r="14805" spans="1:7" hidden="1" x14ac:dyDescent="0.25">
      <c r="A14805" s="28">
        <v>44743</v>
      </c>
      <c r="B14805" s="27" t="s">
        <v>200</v>
      </c>
      <c r="C14805" s="27" t="s">
        <v>182</v>
      </c>
      <c r="D14805" s="27" t="s">
        <v>7</v>
      </c>
      <c r="E14805" s="27" t="s">
        <v>43</v>
      </c>
      <c r="F14805" s="29"/>
      <c r="G14805" s="30">
        <f t="shared" si="257"/>
        <v>271.14749999999998</v>
      </c>
    </row>
    <row r="14806" spans="1:7" hidden="1" x14ac:dyDescent="0.25">
      <c r="A14806" s="28">
        <v>44743</v>
      </c>
      <c r="B14806" s="27" t="s">
        <v>200</v>
      </c>
      <c r="C14806" s="27" t="s">
        <v>182</v>
      </c>
      <c r="D14806" s="27" t="s">
        <v>7</v>
      </c>
      <c r="E14806" s="27" t="s">
        <v>72</v>
      </c>
      <c r="F14806" s="29"/>
      <c r="G14806" s="30">
        <f t="shared" si="257"/>
        <v>271.14749999999998</v>
      </c>
    </row>
    <row r="14807" spans="1:7" hidden="1" x14ac:dyDescent="0.25">
      <c r="A14807" s="28">
        <v>44743</v>
      </c>
      <c r="B14807" s="27" t="s">
        <v>200</v>
      </c>
      <c r="C14807" s="27" t="s">
        <v>182</v>
      </c>
      <c r="D14807" s="27" t="s">
        <v>7</v>
      </c>
      <c r="E14807" s="27" t="s">
        <v>206</v>
      </c>
      <c r="F14807" s="29"/>
      <c r="G14807" s="30">
        <f t="shared" si="257"/>
        <v>271.14749999999998</v>
      </c>
    </row>
    <row r="14808" spans="1:7" hidden="1" x14ac:dyDescent="0.25">
      <c r="A14808" s="28">
        <v>44743</v>
      </c>
      <c r="B14808" s="27" t="s">
        <v>200</v>
      </c>
      <c r="C14808" s="27" t="s">
        <v>182</v>
      </c>
      <c r="D14808" s="27" t="s">
        <v>7</v>
      </c>
      <c r="E14808" s="27" t="s">
        <v>67</v>
      </c>
      <c r="F14808" s="29"/>
      <c r="G14808" s="30">
        <f t="shared" si="257"/>
        <v>271.14749999999998</v>
      </c>
    </row>
    <row r="14809" spans="1:7" hidden="1" x14ac:dyDescent="0.25">
      <c r="A14809" s="28">
        <v>44743</v>
      </c>
      <c r="B14809" s="27" t="s">
        <v>200</v>
      </c>
      <c r="C14809" s="27" t="s">
        <v>182</v>
      </c>
      <c r="D14809" s="27" t="s">
        <v>7</v>
      </c>
      <c r="E14809" s="27" t="s">
        <v>68</v>
      </c>
      <c r="F14809" s="29"/>
      <c r="G14809" s="30">
        <f t="shared" si="257"/>
        <v>271.14749999999998</v>
      </c>
    </row>
    <row r="14810" spans="1:7" hidden="1" x14ac:dyDescent="0.25">
      <c r="A14810" s="28">
        <v>44743</v>
      </c>
      <c r="B14810" s="27" t="s">
        <v>200</v>
      </c>
      <c r="C14810" s="27" t="s">
        <v>182</v>
      </c>
      <c r="D14810" s="27" t="s">
        <v>7</v>
      </c>
      <c r="E14810" s="27" t="s">
        <v>74</v>
      </c>
      <c r="F14810" s="29"/>
      <c r="G14810" s="30">
        <f t="shared" si="257"/>
        <v>271.14749999999998</v>
      </c>
    </row>
    <row r="14811" spans="1:7" hidden="1" x14ac:dyDescent="0.25">
      <c r="A14811" s="28">
        <v>44743</v>
      </c>
      <c r="B14811" s="27" t="s">
        <v>35</v>
      </c>
      <c r="C14811" s="27" t="s">
        <v>50</v>
      </c>
      <c r="D14811" s="27" t="s">
        <v>7</v>
      </c>
      <c r="E14811" s="27" t="s">
        <v>8</v>
      </c>
      <c r="F14811" s="29"/>
      <c r="G14811" s="30">
        <v>667.60749999999996</v>
      </c>
    </row>
    <row r="14812" spans="1:7" hidden="1" x14ac:dyDescent="0.25">
      <c r="A14812" s="28">
        <v>44743</v>
      </c>
      <c r="B14812" s="27" t="s">
        <v>35</v>
      </c>
      <c r="C14812" s="27" t="s">
        <v>50</v>
      </c>
      <c r="D14812" s="27" t="s">
        <v>7</v>
      </c>
      <c r="E14812" s="27" t="s">
        <v>9</v>
      </c>
      <c r="F14812" s="29"/>
      <c r="G14812" s="30">
        <v>667.60749999999996</v>
      </c>
    </row>
    <row r="14813" spans="1:7" hidden="1" x14ac:dyDescent="0.25">
      <c r="A14813" s="28">
        <v>44743</v>
      </c>
      <c r="B14813" s="27" t="s">
        <v>35</v>
      </c>
      <c r="C14813" s="27" t="s">
        <v>50</v>
      </c>
      <c r="D14813" s="27" t="s">
        <v>7</v>
      </c>
      <c r="E14813" s="27" t="s">
        <v>22</v>
      </c>
      <c r="F14813" s="29"/>
      <c r="G14813" s="30">
        <v>667.60749999999996</v>
      </c>
    </row>
    <row r="14814" spans="1:7" hidden="1" x14ac:dyDescent="0.25">
      <c r="A14814" s="28">
        <v>44743</v>
      </c>
      <c r="B14814" s="27" t="s">
        <v>35</v>
      </c>
      <c r="C14814" s="27" t="s">
        <v>50</v>
      </c>
      <c r="D14814" s="27" t="s">
        <v>7</v>
      </c>
      <c r="E14814" s="27" t="s">
        <v>39</v>
      </c>
      <c r="F14814" s="29"/>
      <c r="G14814" s="30">
        <v>667.60749999999996</v>
      </c>
    </row>
    <row r="14815" spans="1:7" hidden="1" x14ac:dyDescent="0.25">
      <c r="A14815" s="28">
        <v>44743</v>
      </c>
      <c r="B14815" s="27" t="s">
        <v>35</v>
      </c>
      <c r="C14815" s="27" t="s">
        <v>50</v>
      </c>
      <c r="D14815" s="27" t="s">
        <v>7</v>
      </c>
      <c r="E14815" s="27" t="s">
        <v>64</v>
      </c>
      <c r="F14815" s="29"/>
      <c r="G14815" s="30">
        <v>667.60749999999996</v>
      </c>
    </row>
    <row r="14816" spans="1:7" hidden="1" x14ac:dyDescent="0.25">
      <c r="A14816" s="28">
        <v>44743</v>
      </c>
      <c r="B14816" s="27" t="s">
        <v>35</v>
      </c>
      <c r="C14816" s="27" t="s">
        <v>50</v>
      </c>
      <c r="D14816" s="27" t="s">
        <v>7</v>
      </c>
      <c r="E14816" s="27" t="s">
        <v>21</v>
      </c>
      <c r="F14816" s="29"/>
      <c r="G14816" s="30">
        <v>667.60749999999996</v>
      </c>
    </row>
    <row r="14817" spans="1:7" hidden="1" x14ac:dyDescent="0.25">
      <c r="A14817" s="28">
        <v>44743</v>
      </c>
      <c r="B14817" s="27" t="s">
        <v>35</v>
      </c>
      <c r="C14817" s="27" t="s">
        <v>50</v>
      </c>
      <c r="D14817" s="27" t="s">
        <v>7</v>
      </c>
      <c r="E14817" s="27" t="s">
        <v>41</v>
      </c>
      <c r="F14817" s="29"/>
      <c r="G14817" s="30">
        <v>667.60749999999996</v>
      </c>
    </row>
    <row r="14818" spans="1:7" hidden="1" x14ac:dyDescent="0.25">
      <c r="A14818" s="28">
        <v>44743</v>
      </c>
      <c r="B14818" s="27" t="s">
        <v>35</v>
      </c>
      <c r="C14818" s="27" t="s">
        <v>50</v>
      </c>
      <c r="D14818" s="27" t="s">
        <v>7</v>
      </c>
      <c r="E14818" s="27" t="s">
        <v>10</v>
      </c>
      <c r="F14818" s="29"/>
      <c r="G14818" s="30">
        <v>667.60749999999996</v>
      </c>
    </row>
    <row r="14819" spans="1:7" hidden="1" x14ac:dyDescent="0.25">
      <c r="A14819" s="28">
        <v>44743</v>
      </c>
      <c r="B14819" s="27" t="s">
        <v>35</v>
      </c>
      <c r="C14819" s="27" t="s">
        <v>50</v>
      </c>
      <c r="D14819" s="27" t="s">
        <v>7</v>
      </c>
      <c r="E14819" s="27" t="s">
        <v>11</v>
      </c>
      <c r="F14819" s="29"/>
      <c r="G14819" s="30">
        <v>667.60749999999996</v>
      </c>
    </row>
    <row r="14820" spans="1:7" hidden="1" x14ac:dyDescent="0.25">
      <c r="A14820" s="28">
        <v>44743</v>
      </c>
      <c r="B14820" s="27" t="s">
        <v>35</v>
      </c>
      <c r="C14820" s="27" t="s">
        <v>50</v>
      </c>
      <c r="D14820" s="27" t="s">
        <v>7</v>
      </c>
      <c r="E14820" s="27" t="s">
        <v>12</v>
      </c>
      <c r="F14820" s="29"/>
      <c r="G14820" s="30">
        <v>667.60749999999996</v>
      </c>
    </row>
    <row r="14821" spans="1:7" hidden="1" x14ac:dyDescent="0.25">
      <c r="A14821" s="28">
        <v>44743</v>
      </c>
      <c r="B14821" s="27" t="s">
        <v>35</v>
      </c>
      <c r="C14821" s="27" t="s">
        <v>50</v>
      </c>
      <c r="D14821" s="27" t="s">
        <v>7</v>
      </c>
      <c r="E14821" s="27" t="s">
        <v>13</v>
      </c>
      <c r="F14821" s="29"/>
      <c r="G14821" s="30">
        <v>667.60749999999996</v>
      </c>
    </row>
    <row r="14822" spans="1:7" hidden="1" x14ac:dyDescent="0.25">
      <c r="A14822" s="28">
        <v>44743</v>
      </c>
      <c r="B14822" s="27" t="s">
        <v>35</v>
      </c>
      <c r="C14822" s="27" t="s">
        <v>50</v>
      </c>
      <c r="D14822" s="27" t="s">
        <v>7</v>
      </c>
      <c r="E14822" s="27" t="s">
        <v>14</v>
      </c>
      <c r="F14822" s="29"/>
      <c r="G14822" s="30">
        <v>667.60749999999996</v>
      </c>
    </row>
    <row r="14823" spans="1:7" hidden="1" x14ac:dyDescent="0.25">
      <c r="A14823" s="28">
        <v>44743</v>
      </c>
      <c r="B14823" s="27" t="s">
        <v>35</v>
      </c>
      <c r="C14823" s="27" t="s">
        <v>50</v>
      </c>
      <c r="D14823" s="27" t="s">
        <v>7</v>
      </c>
      <c r="E14823" s="27" t="s">
        <v>15</v>
      </c>
      <c r="F14823" s="29"/>
      <c r="G14823" s="30">
        <v>667.60749999999996</v>
      </c>
    </row>
    <row r="14824" spans="1:7" hidden="1" x14ac:dyDescent="0.25">
      <c r="A14824" s="28">
        <v>44743</v>
      </c>
      <c r="B14824" s="27" t="s">
        <v>35</v>
      </c>
      <c r="C14824" s="27" t="s">
        <v>50</v>
      </c>
      <c r="D14824" s="27" t="s">
        <v>7</v>
      </c>
      <c r="E14824" s="27" t="s">
        <v>16</v>
      </c>
      <c r="F14824" s="29"/>
      <c r="G14824" s="30">
        <v>667.60749999999996</v>
      </c>
    </row>
    <row r="14825" spans="1:7" hidden="1" x14ac:dyDescent="0.25">
      <c r="A14825" s="28">
        <v>44743</v>
      </c>
      <c r="B14825" s="27" t="s">
        <v>35</v>
      </c>
      <c r="C14825" s="27" t="s">
        <v>50</v>
      </c>
      <c r="D14825" s="27" t="s">
        <v>7</v>
      </c>
      <c r="E14825" s="27" t="s">
        <v>17</v>
      </c>
      <c r="F14825" s="29"/>
      <c r="G14825" s="30">
        <v>667.60749999999996</v>
      </c>
    </row>
    <row r="14826" spans="1:7" hidden="1" x14ac:dyDescent="0.25">
      <c r="A14826" s="28">
        <v>44743</v>
      </c>
      <c r="B14826" s="27" t="s">
        <v>35</v>
      </c>
      <c r="C14826" s="27" t="s">
        <v>50</v>
      </c>
      <c r="D14826" s="27" t="s">
        <v>7</v>
      </c>
      <c r="E14826" s="27" t="s">
        <v>18</v>
      </c>
      <c r="F14826" s="29"/>
      <c r="G14826" s="30">
        <v>667.60749999999996</v>
      </c>
    </row>
    <row r="14827" spans="1:7" hidden="1" x14ac:dyDescent="0.25">
      <c r="A14827" s="28">
        <v>44743</v>
      </c>
      <c r="B14827" s="27" t="s">
        <v>35</v>
      </c>
      <c r="C14827" s="27" t="s">
        <v>50</v>
      </c>
      <c r="D14827" s="27" t="s">
        <v>7</v>
      </c>
      <c r="E14827" s="27" t="s">
        <v>19</v>
      </c>
      <c r="F14827" s="29"/>
      <c r="G14827" s="30">
        <v>667.60749999999996</v>
      </c>
    </row>
    <row r="14828" spans="1:7" hidden="1" x14ac:dyDescent="0.25">
      <c r="A14828" s="28">
        <v>44743</v>
      </c>
      <c r="B14828" s="27" t="s">
        <v>35</v>
      </c>
      <c r="C14828" s="27" t="s">
        <v>50</v>
      </c>
      <c r="D14828" s="27" t="s">
        <v>7</v>
      </c>
      <c r="E14828" s="27" t="s">
        <v>20</v>
      </c>
      <c r="F14828" s="29"/>
      <c r="G14828" s="30">
        <v>667.60749999999996</v>
      </c>
    </row>
    <row r="14829" spans="1:7" hidden="1" x14ac:dyDescent="0.25">
      <c r="A14829" s="28">
        <v>44743</v>
      </c>
      <c r="B14829" s="27" t="s">
        <v>35</v>
      </c>
      <c r="C14829" s="27" t="s">
        <v>50</v>
      </c>
      <c r="D14829" s="27" t="s">
        <v>7</v>
      </c>
      <c r="E14829" s="27" t="s">
        <v>38</v>
      </c>
      <c r="F14829" s="29"/>
      <c r="G14829" s="30">
        <v>667.60749999999996</v>
      </c>
    </row>
    <row r="14830" spans="1:7" hidden="1" x14ac:dyDescent="0.25">
      <c r="A14830" s="28">
        <v>44743</v>
      </c>
      <c r="B14830" s="27" t="s">
        <v>35</v>
      </c>
      <c r="C14830" s="27" t="s">
        <v>50</v>
      </c>
      <c r="D14830" s="27" t="s">
        <v>7</v>
      </c>
      <c r="E14830" s="27" t="s">
        <v>23</v>
      </c>
      <c r="F14830" s="29"/>
      <c r="G14830" s="30">
        <v>667.60749999999996</v>
      </c>
    </row>
    <row r="14831" spans="1:7" hidden="1" x14ac:dyDescent="0.25">
      <c r="A14831" s="28">
        <v>44743</v>
      </c>
      <c r="B14831" s="27" t="s">
        <v>35</v>
      </c>
      <c r="C14831" s="27" t="s">
        <v>50</v>
      </c>
      <c r="D14831" s="27" t="s">
        <v>7</v>
      </c>
      <c r="E14831" s="27" t="s">
        <v>40</v>
      </c>
      <c r="F14831" s="29"/>
      <c r="G14831" s="30">
        <v>667.60749999999996</v>
      </c>
    </row>
    <row r="14832" spans="1:7" hidden="1" x14ac:dyDescent="0.25">
      <c r="A14832" s="28">
        <v>44743</v>
      </c>
      <c r="B14832" s="27" t="s">
        <v>35</v>
      </c>
      <c r="C14832" s="27" t="s">
        <v>50</v>
      </c>
      <c r="D14832" s="27" t="s">
        <v>7</v>
      </c>
      <c r="E14832" s="27" t="s">
        <v>42</v>
      </c>
      <c r="F14832" s="29"/>
      <c r="G14832" s="30">
        <v>667.60749999999996</v>
      </c>
    </row>
    <row r="14833" spans="1:7" hidden="1" x14ac:dyDescent="0.25">
      <c r="A14833" s="28">
        <v>44743</v>
      </c>
      <c r="B14833" s="27" t="s">
        <v>35</v>
      </c>
      <c r="C14833" s="27" t="s">
        <v>50</v>
      </c>
      <c r="D14833" s="27" t="s">
        <v>7</v>
      </c>
      <c r="E14833" s="27" t="s">
        <v>43</v>
      </c>
      <c r="F14833" s="29"/>
      <c r="G14833" s="30">
        <v>667.60749999999996</v>
      </c>
    </row>
    <row r="14834" spans="1:7" hidden="1" x14ac:dyDescent="0.25">
      <c r="A14834" s="28">
        <v>44743</v>
      </c>
      <c r="B14834" s="27" t="s">
        <v>35</v>
      </c>
      <c r="C14834" s="27" t="s">
        <v>50</v>
      </c>
      <c r="D14834" s="27" t="s">
        <v>7</v>
      </c>
      <c r="E14834" s="27" t="s">
        <v>72</v>
      </c>
      <c r="F14834" s="29"/>
      <c r="G14834" s="30">
        <v>667.60749999999996</v>
      </c>
    </row>
    <row r="14835" spans="1:7" hidden="1" x14ac:dyDescent="0.25">
      <c r="A14835" s="28">
        <v>44743</v>
      </c>
      <c r="B14835" s="27" t="s">
        <v>35</v>
      </c>
      <c r="C14835" s="27" t="s">
        <v>50</v>
      </c>
      <c r="D14835" s="27" t="s">
        <v>7</v>
      </c>
      <c r="E14835" s="27" t="s">
        <v>206</v>
      </c>
      <c r="F14835" s="29"/>
      <c r="G14835" s="30">
        <v>667.60749999999996</v>
      </c>
    </row>
    <row r="14836" spans="1:7" hidden="1" x14ac:dyDescent="0.25">
      <c r="A14836" s="28">
        <v>44743</v>
      </c>
      <c r="B14836" s="27" t="s">
        <v>35</v>
      </c>
      <c r="C14836" s="27" t="s">
        <v>50</v>
      </c>
      <c r="D14836" s="27" t="s">
        <v>7</v>
      </c>
      <c r="E14836" s="27" t="s">
        <v>67</v>
      </c>
      <c r="F14836" s="29"/>
      <c r="G14836" s="30">
        <v>667.60749999999996</v>
      </c>
    </row>
    <row r="14837" spans="1:7" hidden="1" x14ac:dyDescent="0.25">
      <c r="A14837" s="28">
        <v>44743</v>
      </c>
      <c r="B14837" s="27" t="s">
        <v>35</v>
      </c>
      <c r="C14837" s="27" t="s">
        <v>50</v>
      </c>
      <c r="D14837" s="27" t="s">
        <v>7</v>
      </c>
      <c r="E14837" s="27" t="s">
        <v>68</v>
      </c>
      <c r="F14837" s="29"/>
      <c r="G14837" s="30">
        <v>667.60749999999996</v>
      </c>
    </row>
    <row r="14838" spans="1:7" hidden="1" x14ac:dyDescent="0.25">
      <c r="A14838" s="28">
        <v>44743</v>
      </c>
      <c r="B14838" s="27" t="s">
        <v>35</v>
      </c>
      <c r="C14838" s="27" t="s">
        <v>50</v>
      </c>
      <c r="D14838" s="27" t="s">
        <v>7</v>
      </c>
      <c r="E14838" s="27" t="s">
        <v>74</v>
      </c>
      <c r="F14838" s="29"/>
      <c r="G14838" s="30">
        <v>667.60749999999996</v>
      </c>
    </row>
    <row r="14839" spans="1:7" hidden="1" x14ac:dyDescent="0.25">
      <c r="A14839" s="28">
        <v>44743</v>
      </c>
      <c r="B14839" s="27" t="s">
        <v>34</v>
      </c>
      <c r="C14839" s="27" t="s">
        <v>50</v>
      </c>
      <c r="D14839" s="27" t="s">
        <v>6</v>
      </c>
      <c r="E14839" s="27" t="s">
        <v>8</v>
      </c>
      <c r="F14839" s="29"/>
      <c r="G14839" s="30">
        <v>273.50799999999998</v>
      </c>
    </row>
    <row r="14840" spans="1:7" hidden="1" x14ac:dyDescent="0.25">
      <c r="A14840" s="28">
        <v>44743</v>
      </c>
      <c r="B14840" s="27" t="s">
        <v>34</v>
      </c>
      <c r="C14840" s="27" t="s">
        <v>50</v>
      </c>
      <c r="D14840" s="27" t="s">
        <v>6</v>
      </c>
      <c r="E14840" s="27" t="s">
        <v>9</v>
      </c>
      <c r="F14840" s="29"/>
      <c r="G14840" s="30">
        <v>273.50799999999998</v>
      </c>
    </row>
    <row r="14841" spans="1:7" hidden="1" x14ac:dyDescent="0.25">
      <c r="A14841" s="28">
        <v>44743</v>
      </c>
      <c r="B14841" s="27" t="s">
        <v>34</v>
      </c>
      <c r="C14841" s="27" t="s">
        <v>50</v>
      </c>
      <c r="D14841" s="27" t="s">
        <v>6</v>
      </c>
      <c r="E14841" s="27" t="s">
        <v>22</v>
      </c>
      <c r="F14841" s="29"/>
      <c r="G14841" s="30">
        <v>273.50799999999998</v>
      </c>
    </row>
    <row r="14842" spans="1:7" hidden="1" x14ac:dyDescent="0.25">
      <c r="A14842" s="28">
        <v>44743</v>
      </c>
      <c r="B14842" s="27" t="s">
        <v>34</v>
      </c>
      <c r="C14842" s="27" t="s">
        <v>50</v>
      </c>
      <c r="D14842" s="27" t="s">
        <v>6</v>
      </c>
      <c r="E14842" s="27" t="s">
        <v>39</v>
      </c>
      <c r="F14842" s="29"/>
      <c r="G14842" s="30">
        <v>273.50799999999998</v>
      </c>
    </row>
    <row r="14843" spans="1:7" hidden="1" x14ac:dyDescent="0.25">
      <c r="A14843" s="28">
        <v>44743</v>
      </c>
      <c r="B14843" s="27" t="s">
        <v>34</v>
      </c>
      <c r="C14843" s="27" t="s">
        <v>50</v>
      </c>
      <c r="D14843" s="27" t="s">
        <v>6</v>
      </c>
      <c r="E14843" s="27" t="s">
        <v>64</v>
      </c>
      <c r="F14843" s="29"/>
      <c r="G14843" s="30">
        <v>273.50799999999998</v>
      </c>
    </row>
    <row r="14844" spans="1:7" hidden="1" x14ac:dyDescent="0.25">
      <c r="A14844" s="28">
        <v>44743</v>
      </c>
      <c r="B14844" s="27" t="s">
        <v>34</v>
      </c>
      <c r="C14844" s="27" t="s">
        <v>50</v>
      </c>
      <c r="D14844" s="27" t="s">
        <v>6</v>
      </c>
      <c r="E14844" s="27" t="s">
        <v>21</v>
      </c>
      <c r="F14844" s="29"/>
      <c r="G14844" s="30">
        <v>273.50799999999998</v>
      </c>
    </row>
    <row r="14845" spans="1:7" hidden="1" x14ac:dyDescent="0.25">
      <c r="A14845" s="28">
        <v>44743</v>
      </c>
      <c r="B14845" s="27" t="s">
        <v>34</v>
      </c>
      <c r="C14845" s="27" t="s">
        <v>50</v>
      </c>
      <c r="D14845" s="27" t="s">
        <v>6</v>
      </c>
      <c r="E14845" s="27" t="s">
        <v>41</v>
      </c>
      <c r="F14845" s="29"/>
      <c r="G14845" s="30">
        <v>273.50799999999998</v>
      </c>
    </row>
    <row r="14846" spans="1:7" hidden="1" x14ac:dyDescent="0.25">
      <c r="A14846" s="28">
        <v>44743</v>
      </c>
      <c r="B14846" s="27" t="s">
        <v>34</v>
      </c>
      <c r="C14846" s="27" t="s">
        <v>50</v>
      </c>
      <c r="D14846" s="27" t="s">
        <v>6</v>
      </c>
      <c r="E14846" s="27" t="s">
        <v>10</v>
      </c>
      <c r="F14846" s="29"/>
      <c r="G14846" s="30">
        <v>273.50799999999998</v>
      </c>
    </row>
    <row r="14847" spans="1:7" hidden="1" x14ac:dyDescent="0.25">
      <c r="A14847" s="28">
        <v>44743</v>
      </c>
      <c r="B14847" s="27" t="s">
        <v>34</v>
      </c>
      <c r="C14847" s="27" t="s">
        <v>50</v>
      </c>
      <c r="D14847" s="27" t="s">
        <v>6</v>
      </c>
      <c r="E14847" s="27" t="s">
        <v>11</v>
      </c>
      <c r="F14847" s="29"/>
      <c r="G14847" s="30">
        <v>273.50799999999998</v>
      </c>
    </row>
    <row r="14848" spans="1:7" hidden="1" x14ac:dyDescent="0.25">
      <c r="A14848" s="28">
        <v>44743</v>
      </c>
      <c r="B14848" s="27" t="s">
        <v>34</v>
      </c>
      <c r="C14848" s="27" t="s">
        <v>50</v>
      </c>
      <c r="D14848" s="27" t="s">
        <v>6</v>
      </c>
      <c r="E14848" s="27" t="s">
        <v>12</v>
      </c>
      <c r="F14848" s="29"/>
      <c r="G14848" s="30">
        <v>273.50799999999998</v>
      </c>
    </row>
    <row r="14849" spans="1:7" hidden="1" x14ac:dyDescent="0.25">
      <c r="A14849" s="28">
        <v>44743</v>
      </c>
      <c r="B14849" s="27" t="s">
        <v>34</v>
      </c>
      <c r="C14849" s="27" t="s">
        <v>50</v>
      </c>
      <c r="D14849" s="27" t="s">
        <v>6</v>
      </c>
      <c r="E14849" s="27" t="s">
        <v>13</v>
      </c>
      <c r="F14849" s="29"/>
      <c r="G14849" s="30">
        <v>273.50799999999998</v>
      </c>
    </row>
    <row r="14850" spans="1:7" hidden="1" x14ac:dyDescent="0.25">
      <c r="A14850" s="28">
        <v>44743</v>
      </c>
      <c r="B14850" s="27" t="s">
        <v>34</v>
      </c>
      <c r="C14850" s="27" t="s">
        <v>50</v>
      </c>
      <c r="D14850" s="27" t="s">
        <v>6</v>
      </c>
      <c r="E14850" s="27" t="s">
        <v>14</v>
      </c>
      <c r="F14850" s="29"/>
      <c r="G14850" s="30">
        <v>273.50799999999998</v>
      </c>
    </row>
    <row r="14851" spans="1:7" hidden="1" x14ac:dyDescent="0.25">
      <c r="A14851" s="28">
        <v>44743</v>
      </c>
      <c r="B14851" s="27" t="s">
        <v>34</v>
      </c>
      <c r="C14851" s="27" t="s">
        <v>50</v>
      </c>
      <c r="D14851" s="27" t="s">
        <v>6</v>
      </c>
      <c r="E14851" s="27" t="s">
        <v>15</v>
      </c>
      <c r="F14851" s="29"/>
      <c r="G14851" s="30">
        <v>273.50799999999998</v>
      </c>
    </row>
    <row r="14852" spans="1:7" hidden="1" x14ac:dyDescent="0.25">
      <c r="A14852" s="28">
        <v>44743</v>
      </c>
      <c r="B14852" s="27" t="s">
        <v>34</v>
      </c>
      <c r="C14852" s="27" t="s">
        <v>50</v>
      </c>
      <c r="D14852" s="27" t="s">
        <v>6</v>
      </c>
      <c r="E14852" s="27" t="s">
        <v>16</v>
      </c>
      <c r="F14852" s="29"/>
      <c r="G14852" s="30">
        <v>273.50799999999998</v>
      </c>
    </row>
    <row r="14853" spans="1:7" hidden="1" x14ac:dyDescent="0.25">
      <c r="A14853" s="28">
        <v>44743</v>
      </c>
      <c r="B14853" s="27" t="s">
        <v>34</v>
      </c>
      <c r="C14853" s="27" t="s">
        <v>50</v>
      </c>
      <c r="D14853" s="27" t="s">
        <v>6</v>
      </c>
      <c r="E14853" s="27" t="s">
        <v>17</v>
      </c>
      <c r="F14853" s="29"/>
      <c r="G14853" s="30">
        <v>273.50799999999998</v>
      </c>
    </row>
    <row r="14854" spans="1:7" hidden="1" x14ac:dyDescent="0.25">
      <c r="A14854" s="28">
        <v>44743</v>
      </c>
      <c r="B14854" s="27" t="s">
        <v>34</v>
      </c>
      <c r="C14854" s="27" t="s">
        <v>50</v>
      </c>
      <c r="D14854" s="27" t="s">
        <v>6</v>
      </c>
      <c r="E14854" s="27" t="s">
        <v>18</v>
      </c>
      <c r="F14854" s="29"/>
      <c r="G14854" s="30">
        <v>273.50799999999998</v>
      </c>
    </row>
    <row r="14855" spans="1:7" hidden="1" x14ac:dyDescent="0.25">
      <c r="A14855" s="28">
        <v>44743</v>
      </c>
      <c r="B14855" s="27" t="s">
        <v>34</v>
      </c>
      <c r="C14855" s="27" t="s">
        <v>50</v>
      </c>
      <c r="D14855" s="27" t="s">
        <v>6</v>
      </c>
      <c r="E14855" s="27" t="s">
        <v>19</v>
      </c>
      <c r="F14855" s="29"/>
      <c r="G14855" s="30">
        <v>273.50799999999998</v>
      </c>
    </row>
    <row r="14856" spans="1:7" hidden="1" x14ac:dyDescent="0.25">
      <c r="A14856" s="28">
        <v>44743</v>
      </c>
      <c r="B14856" s="27" t="s">
        <v>34</v>
      </c>
      <c r="C14856" s="27" t="s">
        <v>50</v>
      </c>
      <c r="D14856" s="27" t="s">
        <v>6</v>
      </c>
      <c r="E14856" s="27" t="s">
        <v>20</v>
      </c>
      <c r="F14856" s="29"/>
      <c r="G14856" s="30">
        <v>273.50799999999998</v>
      </c>
    </row>
    <row r="14857" spans="1:7" hidden="1" x14ac:dyDescent="0.25">
      <c r="A14857" s="28">
        <v>44743</v>
      </c>
      <c r="B14857" s="27" t="s">
        <v>34</v>
      </c>
      <c r="C14857" s="27" t="s">
        <v>50</v>
      </c>
      <c r="D14857" s="27" t="s">
        <v>6</v>
      </c>
      <c r="E14857" s="27" t="s">
        <v>38</v>
      </c>
      <c r="F14857" s="29"/>
      <c r="G14857" s="30">
        <v>273.50799999999998</v>
      </c>
    </row>
    <row r="14858" spans="1:7" hidden="1" x14ac:dyDescent="0.25">
      <c r="A14858" s="28">
        <v>44743</v>
      </c>
      <c r="B14858" s="27" t="s">
        <v>34</v>
      </c>
      <c r="C14858" s="27" t="s">
        <v>50</v>
      </c>
      <c r="D14858" s="27" t="s">
        <v>6</v>
      </c>
      <c r="E14858" s="27" t="s">
        <v>23</v>
      </c>
      <c r="F14858" s="29"/>
      <c r="G14858" s="30">
        <v>273.50799999999998</v>
      </c>
    </row>
    <row r="14859" spans="1:7" hidden="1" x14ac:dyDescent="0.25">
      <c r="A14859" s="28">
        <v>44743</v>
      </c>
      <c r="B14859" s="27" t="s">
        <v>34</v>
      </c>
      <c r="C14859" s="27" t="s">
        <v>50</v>
      </c>
      <c r="D14859" s="27" t="s">
        <v>6</v>
      </c>
      <c r="E14859" s="27" t="s">
        <v>40</v>
      </c>
      <c r="F14859" s="29"/>
      <c r="G14859" s="30">
        <v>273.50799999999998</v>
      </c>
    </row>
    <row r="14860" spans="1:7" hidden="1" x14ac:dyDescent="0.25">
      <c r="A14860" s="28">
        <v>44743</v>
      </c>
      <c r="B14860" s="27" t="s">
        <v>34</v>
      </c>
      <c r="C14860" s="27" t="s">
        <v>50</v>
      </c>
      <c r="D14860" s="27" t="s">
        <v>6</v>
      </c>
      <c r="E14860" s="27" t="s">
        <v>42</v>
      </c>
      <c r="F14860" s="29"/>
      <c r="G14860" s="30">
        <v>273.50799999999998</v>
      </c>
    </row>
    <row r="14861" spans="1:7" hidden="1" x14ac:dyDescent="0.25">
      <c r="A14861" s="28">
        <v>44743</v>
      </c>
      <c r="B14861" s="27" t="s">
        <v>34</v>
      </c>
      <c r="C14861" s="27" t="s">
        <v>50</v>
      </c>
      <c r="D14861" s="27" t="s">
        <v>6</v>
      </c>
      <c r="E14861" s="27" t="s">
        <v>43</v>
      </c>
      <c r="F14861" s="29"/>
      <c r="G14861" s="30">
        <v>273.50799999999998</v>
      </c>
    </row>
    <row r="14862" spans="1:7" hidden="1" x14ac:dyDescent="0.25">
      <c r="A14862" s="28">
        <v>44743</v>
      </c>
      <c r="B14862" s="27" t="s">
        <v>34</v>
      </c>
      <c r="C14862" s="27" t="s">
        <v>50</v>
      </c>
      <c r="D14862" s="27" t="s">
        <v>6</v>
      </c>
      <c r="E14862" s="27" t="s">
        <v>72</v>
      </c>
      <c r="F14862" s="29"/>
      <c r="G14862" s="30">
        <v>273.50799999999998</v>
      </c>
    </row>
    <row r="14863" spans="1:7" hidden="1" x14ac:dyDescent="0.25">
      <c r="A14863" s="28">
        <v>44743</v>
      </c>
      <c r="B14863" s="27" t="s">
        <v>34</v>
      </c>
      <c r="C14863" s="27" t="s">
        <v>50</v>
      </c>
      <c r="D14863" s="27" t="s">
        <v>6</v>
      </c>
      <c r="E14863" s="27" t="s">
        <v>206</v>
      </c>
      <c r="F14863" s="29"/>
      <c r="G14863" s="30">
        <v>273.50799999999998</v>
      </c>
    </row>
    <row r="14864" spans="1:7" hidden="1" x14ac:dyDescent="0.25">
      <c r="A14864" s="28">
        <v>44774</v>
      </c>
      <c r="B14864" s="27" t="s">
        <v>33</v>
      </c>
      <c r="C14864" s="27" t="s">
        <v>50</v>
      </c>
      <c r="D14864" s="27" t="s">
        <v>7</v>
      </c>
      <c r="E14864" s="27" t="s">
        <v>8</v>
      </c>
      <c r="F14864" s="29"/>
      <c r="G14864" s="30">
        <v>4117.9974999999995</v>
      </c>
    </row>
    <row r="14865" spans="1:7" hidden="1" x14ac:dyDescent="0.25">
      <c r="A14865" s="28">
        <v>44774</v>
      </c>
      <c r="B14865" s="27" t="s">
        <v>33</v>
      </c>
      <c r="C14865" s="27" t="s">
        <v>50</v>
      </c>
      <c r="D14865" s="27" t="s">
        <v>7</v>
      </c>
      <c r="E14865" s="27" t="s">
        <v>9</v>
      </c>
      <c r="F14865" s="29"/>
      <c r="G14865" s="30">
        <v>4117.9974999999995</v>
      </c>
    </row>
    <row r="14866" spans="1:7" hidden="1" x14ac:dyDescent="0.25">
      <c r="A14866" s="28">
        <v>44774</v>
      </c>
      <c r="B14866" s="27" t="s">
        <v>33</v>
      </c>
      <c r="C14866" s="27" t="s">
        <v>50</v>
      </c>
      <c r="D14866" s="27" t="s">
        <v>7</v>
      </c>
      <c r="E14866" s="27" t="s">
        <v>22</v>
      </c>
      <c r="F14866" s="29"/>
      <c r="G14866" s="30">
        <v>4117.9974999999995</v>
      </c>
    </row>
    <row r="14867" spans="1:7" hidden="1" x14ac:dyDescent="0.25">
      <c r="A14867" s="28">
        <v>44774</v>
      </c>
      <c r="B14867" s="27" t="s">
        <v>33</v>
      </c>
      <c r="C14867" s="27" t="s">
        <v>50</v>
      </c>
      <c r="D14867" s="27" t="s">
        <v>7</v>
      </c>
      <c r="E14867" s="27" t="s">
        <v>39</v>
      </c>
      <c r="F14867" s="29"/>
      <c r="G14867" s="30">
        <v>4117.9974999999995</v>
      </c>
    </row>
    <row r="14868" spans="1:7" hidden="1" x14ac:dyDescent="0.25">
      <c r="A14868" s="28">
        <v>44774</v>
      </c>
      <c r="B14868" s="27" t="s">
        <v>33</v>
      </c>
      <c r="C14868" s="27" t="s">
        <v>50</v>
      </c>
      <c r="D14868" s="27" t="s">
        <v>7</v>
      </c>
      <c r="E14868" s="27" t="s">
        <v>64</v>
      </c>
      <c r="F14868" s="29"/>
      <c r="G14868" s="30">
        <v>4117.9974999999995</v>
      </c>
    </row>
    <row r="14869" spans="1:7" hidden="1" x14ac:dyDescent="0.25">
      <c r="A14869" s="28">
        <v>44774</v>
      </c>
      <c r="B14869" s="27" t="s">
        <v>33</v>
      </c>
      <c r="C14869" s="27" t="s">
        <v>50</v>
      </c>
      <c r="D14869" s="27" t="s">
        <v>7</v>
      </c>
      <c r="E14869" s="27" t="s">
        <v>21</v>
      </c>
      <c r="F14869" s="29"/>
      <c r="G14869" s="30">
        <v>4117.9974999999995</v>
      </c>
    </row>
    <row r="14870" spans="1:7" hidden="1" x14ac:dyDescent="0.25">
      <c r="A14870" s="28">
        <v>44774</v>
      </c>
      <c r="B14870" s="27" t="s">
        <v>33</v>
      </c>
      <c r="C14870" s="27" t="s">
        <v>50</v>
      </c>
      <c r="D14870" s="27" t="s">
        <v>7</v>
      </c>
      <c r="E14870" s="27" t="s">
        <v>41</v>
      </c>
      <c r="F14870" s="29"/>
      <c r="G14870" s="30">
        <v>4117.9974999999995</v>
      </c>
    </row>
    <row r="14871" spans="1:7" hidden="1" x14ac:dyDescent="0.25">
      <c r="A14871" s="28">
        <v>44774</v>
      </c>
      <c r="B14871" s="27" t="s">
        <v>33</v>
      </c>
      <c r="C14871" s="27" t="s">
        <v>50</v>
      </c>
      <c r="D14871" s="27" t="s">
        <v>7</v>
      </c>
      <c r="E14871" s="27" t="s">
        <v>10</v>
      </c>
      <c r="F14871" s="29"/>
      <c r="G14871" s="30">
        <v>4117.9974999999995</v>
      </c>
    </row>
    <row r="14872" spans="1:7" hidden="1" x14ac:dyDescent="0.25">
      <c r="A14872" s="28">
        <v>44774</v>
      </c>
      <c r="B14872" s="27" t="s">
        <v>33</v>
      </c>
      <c r="C14872" s="27" t="s">
        <v>50</v>
      </c>
      <c r="D14872" s="27" t="s">
        <v>7</v>
      </c>
      <c r="E14872" s="27" t="s">
        <v>11</v>
      </c>
      <c r="F14872" s="29"/>
      <c r="G14872" s="30">
        <v>4117.9974999999995</v>
      </c>
    </row>
    <row r="14873" spans="1:7" hidden="1" x14ac:dyDescent="0.25">
      <c r="A14873" s="28">
        <v>44774</v>
      </c>
      <c r="B14873" s="27" t="s">
        <v>33</v>
      </c>
      <c r="C14873" s="27" t="s">
        <v>50</v>
      </c>
      <c r="D14873" s="27" t="s">
        <v>7</v>
      </c>
      <c r="E14873" s="27" t="s">
        <v>12</v>
      </c>
      <c r="F14873" s="29"/>
      <c r="G14873" s="30">
        <v>4117.9974999999995</v>
      </c>
    </row>
    <row r="14874" spans="1:7" hidden="1" x14ac:dyDescent="0.25">
      <c r="A14874" s="28">
        <v>44774</v>
      </c>
      <c r="B14874" s="27" t="s">
        <v>33</v>
      </c>
      <c r="C14874" s="27" t="s">
        <v>50</v>
      </c>
      <c r="D14874" s="27" t="s">
        <v>7</v>
      </c>
      <c r="E14874" s="27" t="s">
        <v>13</v>
      </c>
      <c r="F14874" s="29"/>
      <c r="G14874" s="30">
        <v>4117.9974999999995</v>
      </c>
    </row>
    <row r="14875" spans="1:7" hidden="1" x14ac:dyDescent="0.25">
      <c r="A14875" s="28">
        <v>44774</v>
      </c>
      <c r="B14875" s="27" t="s">
        <v>33</v>
      </c>
      <c r="C14875" s="27" t="s">
        <v>50</v>
      </c>
      <c r="D14875" s="27" t="s">
        <v>7</v>
      </c>
      <c r="E14875" s="27" t="s">
        <v>14</v>
      </c>
      <c r="F14875" s="29"/>
      <c r="G14875" s="30">
        <v>4117.9974999999995</v>
      </c>
    </row>
    <row r="14876" spans="1:7" hidden="1" x14ac:dyDescent="0.25">
      <c r="A14876" s="28">
        <v>44774</v>
      </c>
      <c r="B14876" s="27" t="s">
        <v>33</v>
      </c>
      <c r="C14876" s="27" t="s">
        <v>50</v>
      </c>
      <c r="D14876" s="27" t="s">
        <v>7</v>
      </c>
      <c r="E14876" s="27" t="s">
        <v>15</v>
      </c>
      <c r="F14876" s="29"/>
      <c r="G14876" s="30">
        <v>4117.9974999999995</v>
      </c>
    </row>
    <row r="14877" spans="1:7" hidden="1" x14ac:dyDescent="0.25">
      <c r="A14877" s="28">
        <v>44774</v>
      </c>
      <c r="B14877" s="27" t="s">
        <v>33</v>
      </c>
      <c r="C14877" s="27" t="s">
        <v>50</v>
      </c>
      <c r="D14877" s="27" t="s">
        <v>7</v>
      </c>
      <c r="E14877" s="27" t="s">
        <v>16</v>
      </c>
      <c r="F14877" s="29"/>
      <c r="G14877" s="30">
        <v>4117.9974999999995</v>
      </c>
    </row>
    <row r="14878" spans="1:7" hidden="1" x14ac:dyDescent="0.25">
      <c r="A14878" s="28">
        <v>44774</v>
      </c>
      <c r="B14878" s="27" t="s">
        <v>33</v>
      </c>
      <c r="C14878" s="27" t="s">
        <v>50</v>
      </c>
      <c r="D14878" s="27" t="s">
        <v>7</v>
      </c>
      <c r="E14878" s="27" t="s">
        <v>17</v>
      </c>
      <c r="F14878" s="29"/>
      <c r="G14878" s="30">
        <v>4117.9974999999995</v>
      </c>
    </row>
    <row r="14879" spans="1:7" hidden="1" x14ac:dyDescent="0.25">
      <c r="A14879" s="28">
        <v>44774</v>
      </c>
      <c r="B14879" s="27" t="s">
        <v>33</v>
      </c>
      <c r="C14879" s="27" t="s">
        <v>50</v>
      </c>
      <c r="D14879" s="27" t="s">
        <v>7</v>
      </c>
      <c r="E14879" s="27" t="s">
        <v>18</v>
      </c>
      <c r="F14879" s="29"/>
      <c r="G14879" s="30">
        <v>4117.9974999999995</v>
      </c>
    </row>
    <row r="14880" spans="1:7" hidden="1" x14ac:dyDescent="0.25">
      <c r="A14880" s="28">
        <v>44774</v>
      </c>
      <c r="B14880" s="27" t="s">
        <v>33</v>
      </c>
      <c r="C14880" s="27" t="s">
        <v>50</v>
      </c>
      <c r="D14880" s="27" t="s">
        <v>7</v>
      </c>
      <c r="E14880" s="27" t="s">
        <v>19</v>
      </c>
      <c r="F14880" s="29"/>
      <c r="G14880" s="30">
        <v>4117.9974999999995</v>
      </c>
    </row>
    <row r="14881" spans="1:7" hidden="1" x14ac:dyDescent="0.25">
      <c r="A14881" s="28">
        <v>44774</v>
      </c>
      <c r="B14881" s="27" t="s">
        <v>33</v>
      </c>
      <c r="C14881" s="27" t="s">
        <v>50</v>
      </c>
      <c r="D14881" s="27" t="s">
        <v>7</v>
      </c>
      <c r="E14881" s="27" t="s">
        <v>20</v>
      </c>
      <c r="F14881" s="29"/>
      <c r="G14881" s="30">
        <v>4117.9974999999995</v>
      </c>
    </row>
    <row r="14882" spans="1:7" hidden="1" x14ac:dyDescent="0.25">
      <c r="A14882" s="28">
        <v>44774</v>
      </c>
      <c r="B14882" s="27" t="s">
        <v>33</v>
      </c>
      <c r="C14882" s="27" t="s">
        <v>50</v>
      </c>
      <c r="D14882" s="27" t="s">
        <v>7</v>
      </c>
      <c r="E14882" s="27" t="s">
        <v>38</v>
      </c>
      <c r="F14882" s="29"/>
      <c r="G14882" s="30">
        <v>4117.9974999999995</v>
      </c>
    </row>
    <row r="14883" spans="1:7" hidden="1" x14ac:dyDescent="0.25">
      <c r="A14883" s="28">
        <v>44774</v>
      </c>
      <c r="B14883" s="27" t="s">
        <v>33</v>
      </c>
      <c r="C14883" s="27" t="s">
        <v>50</v>
      </c>
      <c r="D14883" s="27" t="s">
        <v>7</v>
      </c>
      <c r="E14883" s="27" t="s">
        <v>23</v>
      </c>
      <c r="F14883" s="29"/>
      <c r="G14883" s="30">
        <v>4117.9974999999995</v>
      </c>
    </row>
    <row r="14884" spans="1:7" hidden="1" x14ac:dyDescent="0.25">
      <c r="A14884" s="28">
        <v>44774</v>
      </c>
      <c r="B14884" s="27" t="s">
        <v>33</v>
      </c>
      <c r="C14884" s="27" t="s">
        <v>50</v>
      </c>
      <c r="D14884" s="27" t="s">
        <v>7</v>
      </c>
      <c r="E14884" s="27" t="s">
        <v>40</v>
      </c>
      <c r="F14884" s="29"/>
      <c r="G14884" s="30">
        <v>4117.9974999999995</v>
      </c>
    </row>
    <row r="14885" spans="1:7" hidden="1" x14ac:dyDescent="0.25">
      <c r="A14885" s="28">
        <v>44774</v>
      </c>
      <c r="B14885" s="27" t="s">
        <v>33</v>
      </c>
      <c r="C14885" s="27" t="s">
        <v>50</v>
      </c>
      <c r="D14885" s="27" t="s">
        <v>7</v>
      </c>
      <c r="E14885" s="27" t="s">
        <v>42</v>
      </c>
      <c r="F14885" s="29"/>
      <c r="G14885" s="30">
        <v>4117.9974999999995</v>
      </c>
    </row>
    <row r="14886" spans="1:7" hidden="1" x14ac:dyDescent="0.25">
      <c r="A14886" s="28">
        <v>44774</v>
      </c>
      <c r="B14886" s="27" t="s">
        <v>33</v>
      </c>
      <c r="C14886" s="27" t="s">
        <v>50</v>
      </c>
      <c r="D14886" s="27" t="s">
        <v>7</v>
      </c>
      <c r="E14886" s="27" t="s">
        <v>43</v>
      </c>
      <c r="F14886" s="29"/>
      <c r="G14886" s="30">
        <v>4117.9974999999995</v>
      </c>
    </row>
    <row r="14887" spans="1:7" hidden="1" x14ac:dyDescent="0.25">
      <c r="A14887" s="28">
        <v>44774</v>
      </c>
      <c r="B14887" s="27" t="s">
        <v>33</v>
      </c>
      <c r="C14887" s="27" t="s">
        <v>50</v>
      </c>
      <c r="D14887" s="27" t="s">
        <v>7</v>
      </c>
      <c r="E14887" s="27" t="s">
        <v>72</v>
      </c>
      <c r="F14887" s="29"/>
      <c r="G14887" s="30">
        <v>4117.9974999999995</v>
      </c>
    </row>
    <row r="14888" spans="1:7" hidden="1" x14ac:dyDescent="0.25">
      <c r="A14888" s="28">
        <v>44774</v>
      </c>
      <c r="B14888" s="27" t="s">
        <v>33</v>
      </c>
      <c r="C14888" s="27" t="s">
        <v>50</v>
      </c>
      <c r="D14888" s="27" t="s">
        <v>7</v>
      </c>
      <c r="E14888" s="27" t="s">
        <v>206</v>
      </c>
      <c r="F14888" s="29"/>
      <c r="G14888" s="30">
        <v>4117.9974999999995</v>
      </c>
    </row>
    <row r="14889" spans="1:7" hidden="1" x14ac:dyDescent="0.25">
      <c r="A14889" s="28">
        <v>44774</v>
      </c>
      <c r="B14889" s="27" t="s">
        <v>33</v>
      </c>
      <c r="C14889" s="27" t="s">
        <v>50</v>
      </c>
      <c r="D14889" s="27" t="s">
        <v>7</v>
      </c>
      <c r="E14889" s="27" t="s">
        <v>67</v>
      </c>
      <c r="F14889" s="29"/>
      <c r="G14889" s="30">
        <v>4117.9974999999995</v>
      </c>
    </row>
    <row r="14890" spans="1:7" hidden="1" x14ac:dyDescent="0.25">
      <c r="A14890" s="28">
        <v>44774</v>
      </c>
      <c r="B14890" s="27" t="s">
        <v>33</v>
      </c>
      <c r="C14890" s="27" t="s">
        <v>50</v>
      </c>
      <c r="D14890" s="27" t="s">
        <v>7</v>
      </c>
      <c r="E14890" s="27" t="s">
        <v>68</v>
      </c>
      <c r="F14890" s="29"/>
      <c r="G14890" s="30">
        <v>4117.9974999999995</v>
      </c>
    </row>
    <row r="14891" spans="1:7" hidden="1" x14ac:dyDescent="0.25">
      <c r="A14891" s="28">
        <v>44774</v>
      </c>
      <c r="B14891" s="27" t="s">
        <v>33</v>
      </c>
      <c r="C14891" s="27" t="s">
        <v>50</v>
      </c>
      <c r="D14891" s="27" t="s">
        <v>7</v>
      </c>
      <c r="E14891" s="27" t="s">
        <v>74</v>
      </c>
      <c r="F14891" s="29"/>
      <c r="G14891" s="30">
        <v>4117.9974999999995</v>
      </c>
    </row>
    <row r="14892" spans="1:7" hidden="1" x14ac:dyDescent="0.25">
      <c r="A14892" s="28">
        <v>44774</v>
      </c>
      <c r="B14892" s="27" t="s">
        <v>4</v>
      </c>
      <c r="C14892" s="27" t="s">
        <v>50</v>
      </c>
      <c r="D14892" s="27" t="s">
        <v>7</v>
      </c>
      <c r="E14892" s="27" t="s">
        <v>8</v>
      </c>
      <c r="F14892" s="29"/>
      <c r="G14892" s="30">
        <v>1215.53</v>
      </c>
    </row>
    <row r="14893" spans="1:7" hidden="1" x14ac:dyDescent="0.25">
      <c r="A14893" s="28">
        <v>44774</v>
      </c>
      <c r="B14893" s="27" t="s">
        <v>4</v>
      </c>
      <c r="C14893" s="27" t="s">
        <v>50</v>
      </c>
      <c r="D14893" s="27" t="s">
        <v>7</v>
      </c>
      <c r="E14893" s="27" t="s">
        <v>9</v>
      </c>
      <c r="F14893" s="29"/>
      <c r="G14893" s="30">
        <f>159108.5/14</f>
        <v>11364.892857142857</v>
      </c>
    </row>
    <row r="14894" spans="1:7" hidden="1" x14ac:dyDescent="0.25">
      <c r="A14894" s="28">
        <v>44774</v>
      </c>
      <c r="B14894" s="27" t="s">
        <v>4</v>
      </c>
      <c r="C14894" s="27" t="s">
        <v>50</v>
      </c>
      <c r="D14894" s="27" t="s">
        <v>7</v>
      </c>
      <c r="E14894" s="27" t="s">
        <v>22</v>
      </c>
      <c r="F14894" s="29"/>
      <c r="G14894" s="30">
        <f>159108.5/14</f>
        <v>11364.892857142857</v>
      </c>
    </row>
    <row r="14895" spans="1:7" hidden="1" x14ac:dyDescent="0.25">
      <c r="A14895" s="28">
        <v>44774</v>
      </c>
      <c r="B14895" s="27" t="s">
        <v>4</v>
      </c>
      <c r="C14895" s="27" t="s">
        <v>50</v>
      </c>
      <c r="D14895" s="27" t="s">
        <v>7</v>
      </c>
      <c r="E14895" s="27" t="s">
        <v>39</v>
      </c>
      <c r="F14895" s="29"/>
      <c r="G14895" s="30">
        <v>2297.96</v>
      </c>
    </row>
    <row r="14896" spans="1:7" hidden="1" x14ac:dyDescent="0.25">
      <c r="A14896" s="28">
        <v>44774</v>
      </c>
      <c r="B14896" s="27" t="s">
        <v>4</v>
      </c>
      <c r="C14896" s="27" t="s">
        <v>50</v>
      </c>
      <c r="D14896" s="27" t="s">
        <v>7</v>
      </c>
      <c r="E14896" s="27" t="s">
        <v>64</v>
      </c>
      <c r="F14896" s="29"/>
      <c r="G14896" s="30">
        <f>159108.5/14</f>
        <v>11364.892857142857</v>
      </c>
    </row>
    <row r="14897" spans="1:7" hidden="1" x14ac:dyDescent="0.25">
      <c r="A14897" s="28">
        <v>44774</v>
      </c>
      <c r="B14897" s="27" t="s">
        <v>4</v>
      </c>
      <c r="C14897" s="27" t="s">
        <v>50</v>
      </c>
      <c r="D14897" s="27" t="s">
        <v>7</v>
      </c>
      <c r="E14897" s="27" t="s">
        <v>21</v>
      </c>
      <c r="F14897" s="29"/>
      <c r="G14897" s="30">
        <v>899.59</v>
      </c>
    </row>
    <row r="14898" spans="1:7" hidden="1" x14ac:dyDescent="0.25">
      <c r="A14898" s="28">
        <v>44774</v>
      </c>
      <c r="B14898" s="27" t="s">
        <v>4</v>
      </c>
      <c r="C14898" s="27" t="s">
        <v>50</v>
      </c>
      <c r="D14898" s="27" t="s">
        <v>7</v>
      </c>
      <c r="E14898" s="27" t="s">
        <v>41</v>
      </c>
      <c r="F14898" s="29"/>
      <c r="G14898" s="30">
        <v>4282.74</v>
      </c>
    </row>
    <row r="14899" spans="1:7" hidden="1" x14ac:dyDescent="0.25">
      <c r="A14899" s="28">
        <v>44774</v>
      </c>
      <c r="B14899" s="27" t="s">
        <v>4</v>
      </c>
      <c r="C14899" s="27" t="s">
        <v>50</v>
      </c>
      <c r="D14899" s="27" t="s">
        <v>7</v>
      </c>
      <c r="E14899" s="27" t="s">
        <v>10</v>
      </c>
      <c r="F14899" s="29"/>
      <c r="G14899" s="30">
        <v>6700.84</v>
      </c>
    </row>
    <row r="14900" spans="1:7" hidden="1" x14ac:dyDescent="0.25">
      <c r="A14900" s="28">
        <v>44774</v>
      </c>
      <c r="B14900" s="27" t="s">
        <v>4</v>
      </c>
      <c r="C14900" s="27" t="s">
        <v>50</v>
      </c>
      <c r="D14900" s="27" t="s">
        <v>7</v>
      </c>
      <c r="E14900" s="27" t="s">
        <v>11</v>
      </c>
      <c r="F14900" s="29"/>
      <c r="G14900" s="30">
        <v>76.89</v>
      </c>
    </row>
    <row r="14901" spans="1:7" hidden="1" x14ac:dyDescent="0.25">
      <c r="A14901" s="28">
        <v>44774</v>
      </c>
      <c r="B14901" s="27" t="s">
        <v>4</v>
      </c>
      <c r="C14901" s="27" t="s">
        <v>50</v>
      </c>
      <c r="D14901" s="27" t="s">
        <v>7</v>
      </c>
      <c r="E14901" s="27" t="s">
        <v>12</v>
      </c>
      <c r="F14901" s="29"/>
      <c r="G14901" s="30">
        <f>159108.5/14</f>
        <v>11364.892857142857</v>
      </c>
    </row>
    <row r="14902" spans="1:7" hidden="1" x14ac:dyDescent="0.25">
      <c r="A14902" s="28">
        <v>44774</v>
      </c>
      <c r="B14902" s="27" t="s">
        <v>4</v>
      </c>
      <c r="C14902" s="27" t="s">
        <v>50</v>
      </c>
      <c r="D14902" s="27" t="s">
        <v>7</v>
      </c>
      <c r="E14902" s="27" t="s">
        <v>13</v>
      </c>
      <c r="F14902" s="29"/>
      <c r="G14902" s="30">
        <v>13931.07</v>
      </c>
    </row>
    <row r="14903" spans="1:7" hidden="1" x14ac:dyDescent="0.25">
      <c r="A14903" s="28">
        <v>44774</v>
      </c>
      <c r="B14903" s="27" t="s">
        <v>4</v>
      </c>
      <c r="C14903" s="27" t="s">
        <v>50</v>
      </c>
      <c r="D14903" s="27" t="s">
        <v>7</v>
      </c>
      <c r="E14903" s="27" t="s">
        <v>14</v>
      </c>
      <c r="F14903" s="29"/>
      <c r="G14903" s="30">
        <v>358.76</v>
      </c>
    </row>
    <row r="14904" spans="1:7" hidden="1" x14ac:dyDescent="0.25">
      <c r="A14904" s="28">
        <v>44774</v>
      </c>
      <c r="B14904" s="27" t="s">
        <v>4</v>
      </c>
      <c r="C14904" s="27" t="s">
        <v>50</v>
      </c>
      <c r="D14904" s="27" t="s">
        <v>7</v>
      </c>
      <c r="E14904" s="27" t="s">
        <v>15</v>
      </c>
      <c r="F14904" s="29"/>
      <c r="G14904" s="30">
        <v>830.13</v>
      </c>
    </row>
    <row r="14905" spans="1:7" hidden="1" x14ac:dyDescent="0.25">
      <c r="A14905" s="28">
        <v>44774</v>
      </c>
      <c r="B14905" s="27" t="s">
        <v>4</v>
      </c>
      <c r="C14905" s="27" t="s">
        <v>50</v>
      </c>
      <c r="D14905" s="27" t="s">
        <v>7</v>
      </c>
      <c r="E14905" s="27" t="s">
        <v>16</v>
      </c>
      <c r="F14905" s="29"/>
      <c r="G14905" s="30">
        <f>159108.5/14</f>
        <v>11364.892857142857</v>
      </c>
    </row>
    <row r="14906" spans="1:7" hidden="1" x14ac:dyDescent="0.25">
      <c r="A14906" s="28">
        <v>44774</v>
      </c>
      <c r="B14906" s="27" t="s">
        <v>4</v>
      </c>
      <c r="C14906" s="27" t="s">
        <v>50</v>
      </c>
      <c r="D14906" s="27" t="s">
        <v>7</v>
      </c>
      <c r="E14906" s="27" t="s">
        <v>17</v>
      </c>
      <c r="F14906" s="29"/>
      <c r="G14906" s="30">
        <v>4901.57</v>
      </c>
    </row>
    <row r="14907" spans="1:7" hidden="1" x14ac:dyDescent="0.25">
      <c r="A14907" s="28">
        <v>44774</v>
      </c>
      <c r="B14907" s="27" t="s">
        <v>4</v>
      </c>
      <c r="C14907" s="27" t="s">
        <v>50</v>
      </c>
      <c r="D14907" s="27" t="s">
        <v>7</v>
      </c>
      <c r="E14907" s="27" t="s">
        <v>18</v>
      </c>
      <c r="F14907" s="29"/>
      <c r="G14907" s="30">
        <f>159108.5/14</f>
        <v>11364.892857142857</v>
      </c>
    </row>
    <row r="14908" spans="1:7" hidden="1" x14ac:dyDescent="0.25">
      <c r="A14908" s="28">
        <v>44774</v>
      </c>
      <c r="B14908" s="27" t="s">
        <v>4</v>
      </c>
      <c r="C14908" s="27" t="s">
        <v>50</v>
      </c>
      <c r="D14908" s="27" t="s">
        <v>7</v>
      </c>
      <c r="E14908" s="27" t="s">
        <v>19</v>
      </c>
      <c r="F14908" s="29"/>
      <c r="G14908" s="30">
        <v>3596.27</v>
      </c>
    </row>
    <row r="14909" spans="1:7" hidden="1" x14ac:dyDescent="0.25">
      <c r="A14909" s="28">
        <v>44774</v>
      </c>
      <c r="B14909" s="27" t="s">
        <v>4</v>
      </c>
      <c r="C14909" s="27" t="s">
        <v>50</v>
      </c>
      <c r="D14909" s="27" t="s">
        <v>7</v>
      </c>
      <c r="E14909" s="27" t="s">
        <v>20</v>
      </c>
      <c r="F14909" s="29"/>
      <c r="G14909" s="30">
        <v>876.99</v>
      </c>
    </row>
    <row r="14910" spans="1:7" hidden="1" x14ac:dyDescent="0.25">
      <c r="A14910" s="28">
        <v>44774</v>
      </c>
      <c r="B14910" s="27" t="s">
        <v>4</v>
      </c>
      <c r="C14910" s="27" t="s">
        <v>50</v>
      </c>
      <c r="D14910" s="27" t="s">
        <v>7</v>
      </c>
      <c r="E14910" s="27" t="s">
        <v>38</v>
      </c>
      <c r="F14910" s="29"/>
      <c r="G14910" s="30">
        <f>159108.5/14</f>
        <v>11364.892857142857</v>
      </c>
    </row>
    <row r="14911" spans="1:7" hidden="1" x14ac:dyDescent="0.25">
      <c r="A14911" s="28">
        <v>44774</v>
      </c>
      <c r="B14911" s="27" t="s">
        <v>4</v>
      </c>
      <c r="C14911" s="27" t="s">
        <v>50</v>
      </c>
      <c r="D14911" s="27" t="s">
        <v>7</v>
      </c>
      <c r="E14911" s="27" t="s">
        <v>23</v>
      </c>
      <c r="F14911" s="29"/>
      <c r="G14911" s="30">
        <v>10023.15</v>
      </c>
    </row>
    <row r="14912" spans="1:7" hidden="1" x14ac:dyDescent="0.25">
      <c r="A14912" s="28">
        <v>44774</v>
      </c>
      <c r="B14912" s="27" t="s">
        <v>4</v>
      </c>
      <c r="C14912" s="27" t="s">
        <v>50</v>
      </c>
      <c r="D14912" s="27" t="s">
        <v>7</v>
      </c>
      <c r="E14912" s="27" t="s">
        <v>40</v>
      </c>
      <c r="F14912" s="29"/>
      <c r="G14912" s="30">
        <v>377.28</v>
      </c>
    </row>
    <row r="14913" spans="1:7" hidden="1" x14ac:dyDescent="0.25">
      <c r="A14913" s="28">
        <v>44774</v>
      </c>
      <c r="B14913" s="27" t="s">
        <v>4</v>
      </c>
      <c r="C14913" s="27" t="s">
        <v>50</v>
      </c>
      <c r="D14913" s="27" t="s">
        <v>7</v>
      </c>
      <c r="E14913" s="27" t="s">
        <v>42</v>
      </c>
      <c r="F14913" s="29"/>
      <c r="G14913" s="30">
        <f t="shared" ref="G14913:G14919" si="258">159108.5/14</f>
        <v>11364.892857142857</v>
      </c>
    </row>
    <row r="14914" spans="1:7" hidden="1" x14ac:dyDescent="0.25">
      <c r="A14914" s="28">
        <v>44774</v>
      </c>
      <c r="B14914" s="27" t="s">
        <v>4</v>
      </c>
      <c r="C14914" s="27" t="s">
        <v>50</v>
      </c>
      <c r="D14914" s="27" t="s">
        <v>7</v>
      </c>
      <c r="E14914" s="27" t="s">
        <v>43</v>
      </c>
      <c r="F14914" s="29"/>
      <c r="G14914" s="30">
        <f t="shared" si="258"/>
        <v>11364.892857142857</v>
      </c>
    </row>
    <row r="14915" spans="1:7" hidden="1" x14ac:dyDescent="0.25">
      <c r="A14915" s="28">
        <v>44774</v>
      </c>
      <c r="B14915" s="27" t="s">
        <v>4</v>
      </c>
      <c r="C14915" s="27" t="s">
        <v>50</v>
      </c>
      <c r="D14915" s="27" t="s">
        <v>7</v>
      </c>
      <c r="E14915" s="27" t="s">
        <v>72</v>
      </c>
      <c r="F14915" s="29"/>
      <c r="G14915" s="30">
        <f t="shared" si="258"/>
        <v>11364.892857142857</v>
      </c>
    </row>
    <row r="14916" spans="1:7" hidden="1" x14ac:dyDescent="0.25">
      <c r="A14916" s="28">
        <v>44774</v>
      </c>
      <c r="B14916" s="27" t="s">
        <v>4</v>
      </c>
      <c r="C14916" s="27" t="s">
        <v>50</v>
      </c>
      <c r="D14916" s="27" t="s">
        <v>7</v>
      </c>
      <c r="E14916" s="27" t="s">
        <v>206</v>
      </c>
      <c r="F14916" s="29"/>
      <c r="G14916" s="30">
        <f t="shared" si="258"/>
        <v>11364.892857142857</v>
      </c>
    </row>
    <row r="14917" spans="1:7" hidden="1" x14ac:dyDescent="0.25">
      <c r="A14917" s="28">
        <v>44774</v>
      </c>
      <c r="B14917" s="27" t="s">
        <v>4</v>
      </c>
      <c r="C14917" s="27" t="s">
        <v>50</v>
      </c>
      <c r="D14917" s="27" t="s">
        <v>7</v>
      </c>
      <c r="E14917" s="27" t="s">
        <v>67</v>
      </c>
      <c r="F14917" s="29"/>
      <c r="G14917" s="30">
        <f t="shared" si="258"/>
        <v>11364.892857142857</v>
      </c>
    </row>
    <row r="14918" spans="1:7" hidden="1" x14ac:dyDescent="0.25">
      <c r="A14918" s="28">
        <v>44774</v>
      </c>
      <c r="B14918" s="27" t="s">
        <v>4</v>
      </c>
      <c r="C14918" s="27" t="s">
        <v>50</v>
      </c>
      <c r="D14918" s="27" t="s">
        <v>7</v>
      </c>
      <c r="E14918" s="27" t="s">
        <v>68</v>
      </c>
      <c r="F14918" s="29"/>
      <c r="G14918" s="30">
        <f t="shared" si="258"/>
        <v>11364.892857142857</v>
      </c>
    </row>
    <row r="14919" spans="1:7" hidden="1" x14ac:dyDescent="0.25">
      <c r="A14919" s="28">
        <v>44774</v>
      </c>
      <c r="B14919" s="27" t="s">
        <v>4</v>
      </c>
      <c r="C14919" s="27" t="s">
        <v>50</v>
      </c>
      <c r="D14919" s="27" t="s">
        <v>7</v>
      </c>
      <c r="E14919" s="27" t="s">
        <v>74</v>
      </c>
      <c r="F14919" s="29"/>
      <c r="G14919" s="30">
        <f t="shared" si="258"/>
        <v>11364.892857142857</v>
      </c>
    </row>
    <row r="14920" spans="1:7" hidden="1" x14ac:dyDescent="0.25">
      <c r="A14920" s="28">
        <v>44774</v>
      </c>
      <c r="B14920" s="27" t="s">
        <v>26</v>
      </c>
      <c r="C14920" s="27" t="s">
        <v>50</v>
      </c>
      <c r="D14920" s="27" t="s">
        <v>6</v>
      </c>
      <c r="E14920" s="27" t="s">
        <v>8</v>
      </c>
      <c r="F14920" s="29"/>
      <c r="G14920" s="30">
        <v>719.18234681218985</v>
      </c>
    </row>
    <row r="14921" spans="1:7" hidden="1" x14ac:dyDescent="0.25">
      <c r="A14921" s="28">
        <v>44774</v>
      </c>
      <c r="B14921" s="27" t="s">
        <v>26</v>
      </c>
      <c r="C14921" s="27" t="s">
        <v>50</v>
      </c>
      <c r="D14921" s="27" t="s">
        <v>6</v>
      </c>
      <c r="E14921" s="27" t="s">
        <v>9</v>
      </c>
      <c r="F14921" s="29"/>
      <c r="G14921" s="30">
        <v>1595.1320615825009</v>
      </c>
    </row>
    <row r="14922" spans="1:7" hidden="1" x14ac:dyDescent="0.25">
      <c r="A14922" s="28">
        <v>44774</v>
      </c>
      <c r="B14922" s="27" t="s">
        <v>26</v>
      </c>
      <c r="C14922" s="27" t="s">
        <v>50</v>
      </c>
      <c r="D14922" s="27" t="s">
        <v>6</v>
      </c>
      <c r="E14922" s="27" t="s">
        <v>22</v>
      </c>
      <c r="F14922" s="29"/>
      <c r="G14922" s="30">
        <v>2121.8036778000037</v>
      </c>
    </row>
    <row r="14923" spans="1:7" hidden="1" x14ac:dyDescent="0.25">
      <c r="A14923" s="28">
        <v>44774</v>
      </c>
      <c r="B14923" s="27" t="s">
        <v>26</v>
      </c>
      <c r="C14923" s="27" t="s">
        <v>50</v>
      </c>
      <c r="D14923" s="27" t="s">
        <v>6</v>
      </c>
      <c r="E14923" s="27" t="s">
        <v>39</v>
      </c>
      <c r="F14923" s="29"/>
      <c r="G14923" s="30">
        <v>1858.2521149872089</v>
      </c>
    </row>
    <row r="14924" spans="1:7" hidden="1" x14ac:dyDescent="0.25">
      <c r="A14924" s="28">
        <v>44774</v>
      </c>
      <c r="B14924" s="27" t="s">
        <v>26</v>
      </c>
      <c r="C14924" s="27" t="s">
        <v>50</v>
      </c>
      <c r="D14924" s="27" t="s">
        <v>6</v>
      </c>
      <c r="E14924" s="27" t="s">
        <v>64</v>
      </c>
      <c r="F14924" s="29"/>
      <c r="G14924" s="30">
        <v>1276.3329108875935</v>
      </c>
    </row>
    <row r="14925" spans="1:7" hidden="1" x14ac:dyDescent="0.25">
      <c r="A14925" s="28">
        <v>44774</v>
      </c>
      <c r="B14925" s="27" t="s">
        <v>26</v>
      </c>
      <c r="C14925" s="27" t="s">
        <v>50</v>
      </c>
      <c r="D14925" s="27" t="s">
        <v>6</v>
      </c>
      <c r="E14925" s="27" t="s">
        <v>21</v>
      </c>
      <c r="F14925" s="29"/>
      <c r="G14925" s="30">
        <v>1372.0704648952321</v>
      </c>
    </row>
    <row r="14926" spans="1:7" hidden="1" x14ac:dyDescent="0.25">
      <c r="A14926" s="28">
        <v>44774</v>
      </c>
      <c r="B14926" s="27" t="s">
        <v>26</v>
      </c>
      <c r="C14926" s="27" t="s">
        <v>50</v>
      </c>
      <c r="D14926" s="27" t="s">
        <v>6</v>
      </c>
      <c r="E14926" s="27" t="s">
        <v>41</v>
      </c>
      <c r="F14926" s="29"/>
      <c r="G14926" s="30">
        <v>1581.4819806400055</v>
      </c>
    </row>
    <row r="14927" spans="1:7" hidden="1" x14ac:dyDescent="0.25">
      <c r="A14927" s="28">
        <v>44774</v>
      </c>
      <c r="B14927" s="27" t="s">
        <v>26</v>
      </c>
      <c r="C14927" s="27" t="s">
        <v>50</v>
      </c>
      <c r="D14927" s="27" t="s">
        <v>6</v>
      </c>
      <c r="E14927" s="27" t="s">
        <v>10</v>
      </c>
      <c r="F14927" s="29"/>
      <c r="G14927" s="30">
        <v>2188.8314725228997</v>
      </c>
    </row>
    <row r="14928" spans="1:7" hidden="1" x14ac:dyDescent="0.25">
      <c r="A14928" s="28">
        <v>44774</v>
      </c>
      <c r="B14928" s="27" t="s">
        <v>26</v>
      </c>
      <c r="C14928" s="27" t="s">
        <v>50</v>
      </c>
      <c r="D14928" s="27" t="s">
        <v>6</v>
      </c>
      <c r="E14928" s="27" t="s">
        <v>11</v>
      </c>
      <c r="F14928" s="29"/>
      <c r="G14928" s="30">
        <v>1627.7110218930932</v>
      </c>
    </row>
    <row r="14929" spans="1:7" hidden="1" x14ac:dyDescent="0.25">
      <c r="A14929" s="28">
        <v>44774</v>
      </c>
      <c r="B14929" s="27" t="s">
        <v>26</v>
      </c>
      <c r="C14929" s="27" t="s">
        <v>50</v>
      </c>
      <c r="D14929" s="27" t="s">
        <v>6</v>
      </c>
      <c r="E14929" s="27" t="s">
        <v>12</v>
      </c>
      <c r="F14929" s="29"/>
      <c r="G14929" s="30">
        <v>1714.4875638594519</v>
      </c>
    </row>
    <row r="14930" spans="1:7" hidden="1" x14ac:dyDescent="0.25">
      <c r="A14930" s="28">
        <v>44774</v>
      </c>
      <c r="B14930" s="27" t="s">
        <v>26</v>
      </c>
      <c r="C14930" s="27" t="s">
        <v>50</v>
      </c>
      <c r="D14930" s="27" t="s">
        <v>6</v>
      </c>
      <c r="E14930" s="27" t="s">
        <v>13</v>
      </c>
      <c r="F14930" s="29"/>
      <c r="G14930" s="30">
        <v>1743.4562287890469</v>
      </c>
    </row>
    <row r="14931" spans="1:7" hidden="1" x14ac:dyDescent="0.25">
      <c r="A14931" s="28">
        <v>44774</v>
      </c>
      <c r="B14931" s="27" t="s">
        <v>26</v>
      </c>
      <c r="C14931" s="27" t="s">
        <v>50</v>
      </c>
      <c r="D14931" s="27" t="s">
        <v>6</v>
      </c>
      <c r="E14931" s="27" t="s">
        <v>14</v>
      </c>
      <c r="F14931" s="29"/>
      <c r="G14931" s="30">
        <v>561.68141286032039</v>
      </c>
    </row>
    <row r="14932" spans="1:7" hidden="1" x14ac:dyDescent="0.25">
      <c r="A14932" s="28">
        <v>44774</v>
      </c>
      <c r="B14932" s="27" t="s">
        <v>26</v>
      </c>
      <c r="C14932" s="27" t="s">
        <v>50</v>
      </c>
      <c r="D14932" s="27" t="s">
        <v>6</v>
      </c>
      <c r="E14932" s="27" t="s">
        <v>15</v>
      </c>
      <c r="F14932" s="29"/>
      <c r="G14932" s="30">
        <v>1903.4886846016955</v>
      </c>
    </row>
    <row r="14933" spans="1:7" hidden="1" x14ac:dyDescent="0.25">
      <c r="A14933" s="28">
        <v>44774</v>
      </c>
      <c r="B14933" s="27" t="s">
        <v>26</v>
      </c>
      <c r="C14933" s="27" t="s">
        <v>50</v>
      </c>
      <c r="D14933" s="27" t="s">
        <v>6</v>
      </c>
      <c r="E14933" s="27" t="s">
        <v>16</v>
      </c>
      <c r="F14933" s="29"/>
      <c r="G14933" s="30">
        <v>2154.0949651718715</v>
      </c>
    </row>
    <row r="14934" spans="1:7" hidden="1" x14ac:dyDescent="0.25">
      <c r="A14934" s="28">
        <v>44774</v>
      </c>
      <c r="B14934" s="27" t="s">
        <v>26</v>
      </c>
      <c r="C14934" s="27" t="s">
        <v>50</v>
      </c>
      <c r="D14934" s="27" t="s">
        <v>6</v>
      </c>
      <c r="E14934" s="27" t="s">
        <v>17</v>
      </c>
      <c r="F14934" s="29"/>
      <c r="G14934" s="30">
        <v>3135.6350321011482</v>
      </c>
    </row>
    <row r="14935" spans="1:7" hidden="1" x14ac:dyDescent="0.25">
      <c r="A14935" s="28">
        <v>44774</v>
      </c>
      <c r="B14935" s="27" t="s">
        <v>26</v>
      </c>
      <c r="C14935" s="27" t="s">
        <v>50</v>
      </c>
      <c r="D14935" s="27" t="s">
        <v>6</v>
      </c>
      <c r="E14935" s="27" t="s">
        <v>18</v>
      </c>
      <c r="F14935" s="29"/>
      <c r="G14935" s="30">
        <v>1603.690331509566</v>
      </c>
    </row>
    <row r="14936" spans="1:7" hidden="1" x14ac:dyDescent="0.25">
      <c r="A14936" s="28">
        <v>44774</v>
      </c>
      <c r="B14936" s="27" t="s">
        <v>26</v>
      </c>
      <c r="C14936" s="27" t="s">
        <v>50</v>
      </c>
      <c r="D14936" s="27" t="s">
        <v>6</v>
      </c>
      <c r="E14936" s="27" t="s">
        <v>19</v>
      </c>
      <c r="F14936" s="29"/>
      <c r="G14936" s="30">
        <v>2421.1417541901737</v>
      </c>
    </row>
    <row r="14937" spans="1:7" hidden="1" x14ac:dyDescent="0.25">
      <c r="A14937" s="28">
        <v>44774</v>
      </c>
      <c r="B14937" s="27" t="s">
        <v>26</v>
      </c>
      <c r="C14937" s="27" t="s">
        <v>50</v>
      </c>
      <c r="D14937" s="27" t="s">
        <v>6</v>
      </c>
      <c r="E14937" s="27" t="s">
        <v>20</v>
      </c>
      <c r="F14937" s="29"/>
      <c r="G14937" s="30">
        <v>1946.4814052941281</v>
      </c>
    </row>
    <row r="14938" spans="1:7" hidden="1" x14ac:dyDescent="0.25">
      <c r="A14938" s="28">
        <v>44774</v>
      </c>
      <c r="B14938" s="27" t="s">
        <v>26</v>
      </c>
      <c r="C14938" s="27" t="s">
        <v>50</v>
      </c>
      <c r="D14938" s="27" t="s">
        <v>6</v>
      </c>
      <c r="E14938" s="27" t="s">
        <v>38</v>
      </c>
      <c r="F14938" s="29"/>
      <c r="G14938" s="30">
        <v>760.63601728244464</v>
      </c>
    </row>
    <row r="14939" spans="1:7" hidden="1" x14ac:dyDescent="0.25">
      <c r="A14939" s="28">
        <v>44774</v>
      </c>
      <c r="B14939" s="27" t="s">
        <v>26</v>
      </c>
      <c r="C14939" s="27" t="s">
        <v>50</v>
      </c>
      <c r="D14939" s="27" t="s">
        <v>6</v>
      </c>
      <c r="E14939" s="27" t="s">
        <v>23</v>
      </c>
      <c r="F14939" s="29"/>
      <c r="G14939" s="30">
        <v>2589.0564485238838</v>
      </c>
    </row>
    <row r="14940" spans="1:7" hidden="1" x14ac:dyDescent="0.25">
      <c r="A14940" s="28">
        <v>44774</v>
      </c>
      <c r="B14940" s="27" t="s">
        <v>26</v>
      </c>
      <c r="C14940" s="27" t="s">
        <v>50</v>
      </c>
      <c r="D14940" s="27" t="s">
        <v>6</v>
      </c>
      <c r="E14940" s="27" t="s">
        <v>40</v>
      </c>
      <c r="F14940" s="29"/>
      <c r="G14940" s="30">
        <v>834.25152230214019</v>
      </c>
    </row>
    <row r="14941" spans="1:7" hidden="1" x14ac:dyDescent="0.25">
      <c r="A14941" s="28">
        <v>44774</v>
      </c>
      <c r="B14941" s="27" t="s">
        <v>26</v>
      </c>
      <c r="C14941" s="27" t="s">
        <v>50</v>
      </c>
      <c r="D14941" s="27" t="s">
        <v>6</v>
      </c>
      <c r="E14941" s="27" t="s">
        <v>42</v>
      </c>
      <c r="F14941" s="29"/>
      <c r="G14941" s="30">
        <v>770.09371289428304</v>
      </c>
    </row>
    <row r="14942" spans="1:7" hidden="1" x14ac:dyDescent="0.25">
      <c r="A14942" s="28">
        <v>44774</v>
      </c>
      <c r="B14942" s="27" t="s">
        <v>26</v>
      </c>
      <c r="C14942" s="27" t="s">
        <v>50</v>
      </c>
      <c r="D14942" s="27" t="s">
        <v>6</v>
      </c>
      <c r="E14942" s="27" t="s">
        <v>43</v>
      </c>
      <c r="F14942" s="29"/>
      <c r="G14942" s="30">
        <v>715.10130483040575</v>
      </c>
    </row>
    <row r="14943" spans="1:7" hidden="1" x14ac:dyDescent="0.25">
      <c r="A14943" s="28">
        <v>44774</v>
      </c>
      <c r="B14943" s="27" t="s">
        <v>26</v>
      </c>
      <c r="C14943" s="27" t="s">
        <v>50</v>
      </c>
      <c r="D14943" s="27" t="s">
        <v>6</v>
      </c>
      <c r="E14943" s="27" t="s">
        <v>72</v>
      </c>
      <c r="F14943" s="29"/>
      <c r="G14943" s="30">
        <v>667.44121784171193</v>
      </c>
    </row>
    <row r="14944" spans="1:7" hidden="1" x14ac:dyDescent="0.25">
      <c r="A14944" s="28">
        <v>44774</v>
      </c>
      <c r="B14944" s="27" t="s">
        <v>26</v>
      </c>
      <c r="C14944" s="27" t="s">
        <v>50</v>
      </c>
      <c r="D14944" s="27" t="s">
        <v>6</v>
      </c>
      <c r="E14944" s="27" t="s">
        <v>206</v>
      </c>
      <c r="F14944" s="29"/>
      <c r="G14944" s="30">
        <v>625.73864172660501</v>
      </c>
    </row>
    <row r="14945" spans="1:7" hidden="1" x14ac:dyDescent="0.25">
      <c r="A14945" s="28">
        <v>44774</v>
      </c>
      <c r="B14945" s="27" t="s">
        <v>26</v>
      </c>
      <c r="C14945" s="27" t="s">
        <v>50</v>
      </c>
      <c r="D14945" s="27" t="s">
        <v>6</v>
      </c>
      <c r="E14945" s="27" t="s">
        <v>67</v>
      </c>
      <c r="F14945" s="29"/>
      <c r="G14945" s="30">
        <v>588.94225103680481</v>
      </c>
    </row>
    <row r="14946" spans="1:7" hidden="1" x14ac:dyDescent="0.25">
      <c r="A14946" s="28">
        <v>44774</v>
      </c>
      <c r="B14946" s="27" t="s">
        <v>26</v>
      </c>
      <c r="C14946" s="27" t="s">
        <v>50</v>
      </c>
      <c r="D14946" s="27" t="s">
        <v>6</v>
      </c>
      <c r="E14946" s="27" t="s">
        <v>68</v>
      </c>
      <c r="F14946" s="29"/>
      <c r="G14946" s="30">
        <v>556.23434820142666</v>
      </c>
    </row>
    <row r="14947" spans="1:7" hidden="1" x14ac:dyDescent="0.25">
      <c r="A14947" s="28">
        <v>44774</v>
      </c>
      <c r="B14947" s="27" t="s">
        <v>26</v>
      </c>
      <c r="C14947" s="27" t="s">
        <v>50</v>
      </c>
      <c r="D14947" s="27" t="s">
        <v>6</v>
      </c>
      <c r="E14947" s="27" t="s">
        <v>74</v>
      </c>
      <c r="F14947" s="29"/>
      <c r="G14947" s="30">
        <v>1778.7894736842106</v>
      </c>
    </row>
    <row r="14948" spans="1:7" hidden="1" x14ac:dyDescent="0.25">
      <c r="A14948" s="28">
        <v>44774</v>
      </c>
      <c r="B14948" s="27" t="s">
        <v>26</v>
      </c>
      <c r="C14948" s="27" t="s">
        <v>50</v>
      </c>
      <c r="D14948" s="27" t="s">
        <v>6</v>
      </c>
      <c r="E14948" s="27" t="s">
        <v>37</v>
      </c>
      <c r="F14948" s="29"/>
      <c r="G14948" s="30">
        <v>791.10058149340887</v>
      </c>
    </row>
    <row r="14949" spans="1:7" hidden="1" x14ac:dyDescent="0.25">
      <c r="A14949" s="28">
        <v>44774</v>
      </c>
      <c r="B14949" s="27" t="s">
        <v>3</v>
      </c>
      <c r="C14949" s="27" t="s">
        <v>50</v>
      </c>
      <c r="D14949" s="27" t="s">
        <v>7</v>
      </c>
      <c r="E14949" s="27" t="s">
        <v>8</v>
      </c>
      <c r="F14949" s="29"/>
      <c r="G14949" s="30">
        <v>881.37285714285713</v>
      </c>
    </row>
    <row r="14950" spans="1:7" hidden="1" x14ac:dyDescent="0.25">
      <c r="A14950" s="28">
        <v>44774</v>
      </c>
      <c r="B14950" s="27" t="s">
        <v>3</v>
      </c>
      <c r="C14950" s="27" t="s">
        <v>50</v>
      </c>
      <c r="D14950" s="27" t="s">
        <v>7</v>
      </c>
      <c r="E14950" s="27" t="s">
        <v>9</v>
      </c>
      <c r="F14950" s="29"/>
      <c r="G14950" s="30">
        <v>881.37285714285713</v>
      </c>
    </row>
    <row r="14951" spans="1:7" hidden="1" x14ac:dyDescent="0.25">
      <c r="A14951" s="28">
        <v>44774</v>
      </c>
      <c r="B14951" s="27" t="s">
        <v>3</v>
      </c>
      <c r="C14951" s="27" t="s">
        <v>50</v>
      </c>
      <c r="D14951" s="27" t="s">
        <v>7</v>
      </c>
      <c r="E14951" s="27" t="s">
        <v>22</v>
      </c>
      <c r="F14951" s="29"/>
      <c r="G14951" s="30">
        <v>881.37285714285713</v>
      </c>
    </row>
    <row r="14952" spans="1:7" hidden="1" x14ac:dyDescent="0.25">
      <c r="A14952" s="28">
        <v>44774</v>
      </c>
      <c r="B14952" s="27" t="s">
        <v>3</v>
      </c>
      <c r="C14952" s="27" t="s">
        <v>50</v>
      </c>
      <c r="D14952" s="27" t="s">
        <v>7</v>
      </c>
      <c r="E14952" s="27" t="s">
        <v>39</v>
      </c>
      <c r="F14952" s="29"/>
      <c r="G14952" s="30">
        <v>881.37285714285713</v>
      </c>
    </row>
    <row r="14953" spans="1:7" hidden="1" x14ac:dyDescent="0.25">
      <c r="A14953" s="28">
        <v>44774</v>
      </c>
      <c r="B14953" s="27" t="s">
        <v>3</v>
      </c>
      <c r="C14953" s="27" t="s">
        <v>50</v>
      </c>
      <c r="D14953" s="27" t="s">
        <v>7</v>
      </c>
      <c r="E14953" s="27" t="s">
        <v>64</v>
      </c>
      <c r="F14953" s="29"/>
      <c r="G14953" s="30">
        <v>881.37285714285713</v>
      </c>
    </row>
    <row r="14954" spans="1:7" hidden="1" x14ac:dyDescent="0.25">
      <c r="A14954" s="28">
        <v>44774</v>
      </c>
      <c r="B14954" s="27" t="s">
        <v>3</v>
      </c>
      <c r="C14954" s="27" t="s">
        <v>50</v>
      </c>
      <c r="D14954" s="27" t="s">
        <v>7</v>
      </c>
      <c r="E14954" s="27" t="s">
        <v>21</v>
      </c>
      <c r="F14954" s="29"/>
      <c r="G14954" s="30">
        <v>881.37285714285713</v>
      </c>
    </row>
    <row r="14955" spans="1:7" hidden="1" x14ac:dyDescent="0.25">
      <c r="A14955" s="28">
        <v>44774</v>
      </c>
      <c r="B14955" s="27" t="s">
        <v>3</v>
      </c>
      <c r="C14955" s="27" t="s">
        <v>50</v>
      </c>
      <c r="D14955" s="27" t="s">
        <v>7</v>
      </c>
      <c r="E14955" s="27" t="s">
        <v>41</v>
      </c>
      <c r="F14955" s="29"/>
      <c r="G14955" s="30">
        <v>881.37285714285713</v>
      </c>
    </row>
    <row r="14956" spans="1:7" hidden="1" x14ac:dyDescent="0.25">
      <c r="A14956" s="28">
        <v>44774</v>
      </c>
      <c r="B14956" s="27" t="s">
        <v>3</v>
      </c>
      <c r="C14956" s="27" t="s">
        <v>50</v>
      </c>
      <c r="D14956" s="27" t="s">
        <v>7</v>
      </c>
      <c r="E14956" s="27" t="s">
        <v>10</v>
      </c>
      <c r="F14956" s="29"/>
      <c r="G14956" s="30">
        <v>881.37285714285713</v>
      </c>
    </row>
    <row r="14957" spans="1:7" hidden="1" x14ac:dyDescent="0.25">
      <c r="A14957" s="28">
        <v>44774</v>
      </c>
      <c r="B14957" s="27" t="s">
        <v>3</v>
      </c>
      <c r="C14957" s="27" t="s">
        <v>50</v>
      </c>
      <c r="D14957" s="27" t="s">
        <v>7</v>
      </c>
      <c r="E14957" s="27" t="s">
        <v>11</v>
      </c>
      <c r="F14957" s="29"/>
      <c r="G14957" s="30">
        <v>881.37285714285713</v>
      </c>
    </row>
    <row r="14958" spans="1:7" hidden="1" x14ac:dyDescent="0.25">
      <c r="A14958" s="28">
        <v>44774</v>
      </c>
      <c r="B14958" s="27" t="s">
        <v>3</v>
      </c>
      <c r="C14958" s="27" t="s">
        <v>50</v>
      </c>
      <c r="D14958" s="27" t="s">
        <v>7</v>
      </c>
      <c r="E14958" s="27" t="s">
        <v>12</v>
      </c>
      <c r="F14958" s="29"/>
      <c r="G14958" s="30">
        <v>881.37285714285713</v>
      </c>
    </row>
    <row r="14959" spans="1:7" hidden="1" x14ac:dyDescent="0.25">
      <c r="A14959" s="28">
        <v>44774</v>
      </c>
      <c r="B14959" s="27" t="s">
        <v>3</v>
      </c>
      <c r="C14959" s="27" t="s">
        <v>50</v>
      </c>
      <c r="D14959" s="27" t="s">
        <v>7</v>
      </c>
      <c r="E14959" s="27" t="s">
        <v>13</v>
      </c>
      <c r="F14959" s="29"/>
      <c r="G14959" s="30">
        <v>881.37285714285713</v>
      </c>
    </row>
    <row r="14960" spans="1:7" hidden="1" x14ac:dyDescent="0.25">
      <c r="A14960" s="28">
        <v>44774</v>
      </c>
      <c r="B14960" s="27" t="s">
        <v>3</v>
      </c>
      <c r="C14960" s="27" t="s">
        <v>50</v>
      </c>
      <c r="D14960" s="27" t="s">
        <v>7</v>
      </c>
      <c r="E14960" s="27" t="s">
        <v>14</v>
      </c>
      <c r="F14960" s="29"/>
      <c r="G14960" s="30">
        <v>881.37285714285713</v>
      </c>
    </row>
    <row r="14961" spans="1:7" hidden="1" x14ac:dyDescent="0.25">
      <c r="A14961" s="28">
        <v>44774</v>
      </c>
      <c r="B14961" s="27" t="s">
        <v>3</v>
      </c>
      <c r="C14961" s="27" t="s">
        <v>50</v>
      </c>
      <c r="D14961" s="27" t="s">
        <v>7</v>
      </c>
      <c r="E14961" s="27" t="s">
        <v>15</v>
      </c>
      <c r="F14961" s="29"/>
      <c r="G14961" s="30">
        <v>881.37285714285713</v>
      </c>
    </row>
    <row r="14962" spans="1:7" hidden="1" x14ac:dyDescent="0.25">
      <c r="A14962" s="28">
        <v>44774</v>
      </c>
      <c r="B14962" s="27" t="s">
        <v>3</v>
      </c>
      <c r="C14962" s="27" t="s">
        <v>50</v>
      </c>
      <c r="D14962" s="27" t="s">
        <v>7</v>
      </c>
      <c r="E14962" s="27" t="s">
        <v>16</v>
      </c>
      <c r="F14962" s="29"/>
      <c r="G14962" s="30">
        <v>881.37285714285713</v>
      </c>
    </row>
    <row r="14963" spans="1:7" hidden="1" x14ac:dyDescent="0.25">
      <c r="A14963" s="28">
        <v>44774</v>
      </c>
      <c r="B14963" s="27" t="s">
        <v>3</v>
      </c>
      <c r="C14963" s="27" t="s">
        <v>50</v>
      </c>
      <c r="D14963" s="27" t="s">
        <v>7</v>
      </c>
      <c r="E14963" s="27" t="s">
        <v>17</v>
      </c>
      <c r="F14963" s="29"/>
      <c r="G14963" s="30">
        <v>881.37285714285713</v>
      </c>
    </row>
    <row r="14964" spans="1:7" hidden="1" x14ac:dyDescent="0.25">
      <c r="A14964" s="28">
        <v>44774</v>
      </c>
      <c r="B14964" s="27" t="s">
        <v>3</v>
      </c>
      <c r="C14964" s="27" t="s">
        <v>50</v>
      </c>
      <c r="D14964" s="27" t="s">
        <v>7</v>
      </c>
      <c r="E14964" s="27" t="s">
        <v>18</v>
      </c>
      <c r="F14964" s="29"/>
      <c r="G14964" s="30">
        <v>881.37285714285713</v>
      </c>
    </row>
    <row r="14965" spans="1:7" hidden="1" x14ac:dyDescent="0.25">
      <c r="A14965" s="28">
        <v>44774</v>
      </c>
      <c r="B14965" s="27" t="s">
        <v>3</v>
      </c>
      <c r="C14965" s="27" t="s">
        <v>50</v>
      </c>
      <c r="D14965" s="27" t="s">
        <v>7</v>
      </c>
      <c r="E14965" s="27" t="s">
        <v>19</v>
      </c>
      <c r="F14965" s="29"/>
      <c r="G14965" s="30">
        <v>881.37285714285713</v>
      </c>
    </row>
    <row r="14966" spans="1:7" hidden="1" x14ac:dyDescent="0.25">
      <c r="A14966" s="28">
        <v>44774</v>
      </c>
      <c r="B14966" s="27" t="s">
        <v>3</v>
      </c>
      <c r="C14966" s="27" t="s">
        <v>50</v>
      </c>
      <c r="D14966" s="27" t="s">
        <v>7</v>
      </c>
      <c r="E14966" s="27" t="s">
        <v>20</v>
      </c>
      <c r="F14966" s="29"/>
      <c r="G14966" s="30">
        <v>881.37285714285713</v>
      </c>
    </row>
    <row r="14967" spans="1:7" hidden="1" x14ac:dyDescent="0.25">
      <c r="A14967" s="28">
        <v>44774</v>
      </c>
      <c r="B14967" s="27" t="s">
        <v>3</v>
      </c>
      <c r="C14967" s="27" t="s">
        <v>50</v>
      </c>
      <c r="D14967" s="27" t="s">
        <v>7</v>
      </c>
      <c r="E14967" s="27" t="s">
        <v>38</v>
      </c>
      <c r="F14967" s="29"/>
      <c r="G14967" s="30">
        <v>881.37285714285713</v>
      </c>
    </row>
    <row r="14968" spans="1:7" hidden="1" x14ac:dyDescent="0.25">
      <c r="A14968" s="28">
        <v>44774</v>
      </c>
      <c r="B14968" s="27" t="s">
        <v>3</v>
      </c>
      <c r="C14968" s="27" t="s">
        <v>50</v>
      </c>
      <c r="D14968" s="27" t="s">
        <v>7</v>
      </c>
      <c r="E14968" s="27" t="s">
        <v>23</v>
      </c>
      <c r="F14968" s="29"/>
      <c r="G14968" s="30">
        <v>881.37285714285713</v>
      </c>
    </row>
    <row r="14969" spans="1:7" hidden="1" x14ac:dyDescent="0.25">
      <c r="A14969" s="28">
        <v>44774</v>
      </c>
      <c r="B14969" s="27" t="s">
        <v>3</v>
      </c>
      <c r="C14969" s="27" t="s">
        <v>50</v>
      </c>
      <c r="D14969" s="27" t="s">
        <v>7</v>
      </c>
      <c r="E14969" s="27" t="s">
        <v>40</v>
      </c>
      <c r="F14969" s="29"/>
      <c r="G14969" s="30">
        <v>881.37285714285713</v>
      </c>
    </row>
    <row r="14970" spans="1:7" hidden="1" x14ac:dyDescent="0.25">
      <c r="A14970" s="28">
        <v>44774</v>
      </c>
      <c r="B14970" s="27" t="s">
        <v>3</v>
      </c>
      <c r="C14970" s="27" t="s">
        <v>50</v>
      </c>
      <c r="D14970" s="27" t="s">
        <v>7</v>
      </c>
      <c r="E14970" s="27" t="s">
        <v>42</v>
      </c>
      <c r="F14970" s="29"/>
      <c r="G14970" s="30">
        <v>881.37285714285713</v>
      </c>
    </row>
    <row r="14971" spans="1:7" hidden="1" x14ac:dyDescent="0.25">
      <c r="A14971" s="28">
        <v>44774</v>
      </c>
      <c r="B14971" s="27" t="s">
        <v>3</v>
      </c>
      <c r="C14971" s="27" t="s">
        <v>50</v>
      </c>
      <c r="D14971" s="27" t="s">
        <v>7</v>
      </c>
      <c r="E14971" s="27" t="s">
        <v>43</v>
      </c>
      <c r="F14971" s="29"/>
      <c r="G14971" s="30">
        <v>881.37285714285713</v>
      </c>
    </row>
    <row r="14972" spans="1:7" hidden="1" x14ac:dyDescent="0.25">
      <c r="A14972" s="28">
        <v>44774</v>
      </c>
      <c r="B14972" s="27" t="s">
        <v>3</v>
      </c>
      <c r="C14972" s="27" t="s">
        <v>50</v>
      </c>
      <c r="D14972" s="27" t="s">
        <v>7</v>
      </c>
      <c r="E14972" s="27" t="s">
        <v>72</v>
      </c>
      <c r="F14972" s="29"/>
      <c r="G14972" s="30">
        <v>881.37285714285713</v>
      </c>
    </row>
    <row r="14973" spans="1:7" hidden="1" x14ac:dyDescent="0.25">
      <c r="A14973" s="28">
        <v>44774</v>
      </c>
      <c r="B14973" s="27" t="s">
        <v>3</v>
      </c>
      <c r="C14973" s="27" t="s">
        <v>50</v>
      </c>
      <c r="D14973" s="27" t="s">
        <v>7</v>
      </c>
      <c r="E14973" s="27" t="s">
        <v>206</v>
      </c>
      <c r="F14973" s="29"/>
      <c r="G14973" s="30">
        <v>881.37285714285713</v>
      </c>
    </row>
    <row r="14974" spans="1:7" hidden="1" x14ac:dyDescent="0.25">
      <c r="A14974" s="28">
        <v>44774</v>
      </c>
      <c r="B14974" s="27" t="s">
        <v>3</v>
      </c>
      <c r="C14974" s="27" t="s">
        <v>50</v>
      </c>
      <c r="D14974" s="27" t="s">
        <v>7</v>
      </c>
      <c r="E14974" s="27" t="s">
        <v>67</v>
      </c>
      <c r="F14974" s="29"/>
      <c r="G14974" s="30">
        <v>881.37285714285713</v>
      </c>
    </row>
    <row r="14975" spans="1:7" hidden="1" x14ac:dyDescent="0.25">
      <c r="A14975" s="28">
        <v>44774</v>
      </c>
      <c r="B14975" s="27" t="s">
        <v>3</v>
      </c>
      <c r="C14975" s="27" t="s">
        <v>50</v>
      </c>
      <c r="D14975" s="27" t="s">
        <v>7</v>
      </c>
      <c r="E14975" s="27" t="s">
        <v>68</v>
      </c>
      <c r="F14975" s="29"/>
      <c r="G14975" s="30">
        <v>881.37285714285713</v>
      </c>
    </row>
    <row r="14976" spans="1:7" hidden="1" x14ac:dyDescent="0.25">
      <c r="A14976" s="28">
        <v>44774</v>
      </c>
      <c r="B14976" s="27" t="s">
        <v>3</v>
      </c>
      <c r="C14976" s="27" t="s">
        <v>50</v>
      </c>
      <c r="D14976" s="27" t="s">
        <v>7</v>
      </c>
      <c r="E14976" s="27" t="s">
        <v>74</v>
      </c>
      <c r="F14976" s="29"/>
      <c r="G14976" s="30">
        <v>881.37285714285713</v>
      </c>
    </row>
    <row r="14977" spans="1:7" hidden="1" x14ac:dyDescent="0.25">
      <c r="A14977" s="28">
        <v>44774</v>
      </c>
      <c r="B14977" s="27" t="s">
        <v>32</v>
      </c>
      <c r="C14977" s="27" t="s">
        <v>50</v>
      </c>
      <c r="D14977" s="27" t="s">
        <v>7</v>
      </c>
      <c r="E14977" s="27" t="s">
        <v>17</v>
      </c>
      <c r="F14977" s="29"/>
      <c r="G14977" s="30">
        <v>75</v>
      </c>
    </row>
    <row r="14978" spans="1:7" hidden="1" x14ac:dyDescent="0.25">
      <c r="A14978" s="28">
        <v>44774</v>
      </c>
      <c r="B14978" s="27" t="s">
        <v>5</v>
      </c>
      <c r="C14978" s="27" t="s">
        <v>51</v>
      </c>
      <c r="D14978" s="27" t="s">
        <v>51</v>
      </c>
      <c r="E14978" s="27" t="s">
        <v>8</v>
      </c>
      <c r="F14978" s="29">
        <v>2927</v>
      </c>
      <c r="G14978" s="30">
        <v>8.2743494334991023</v>
      </c>
    </row>
    <row r="14979" spans="1:7" hidden="1" x14ac:dyDescent="0.25">
      <c r="A14979" s="28">
        <v>44774</v>
      </c>
      <c r="B14979" s="27" t="s">
        <v>5</v>
      </c>
      <c r="C14979" s="27" t="s">
        <v>51</v>
      </c>
      <c r="D14979" s="27" t="s">
        <v>51</v>
      </c>
      <c r="E14979" s="27" t="s">
        <v>9</v>
      </c>
      <c r="F14979" s="29">
        <v>5681</v>
      </c>
      <c r="G14979" s="30">
        <v>2.8729481210822416</v>
      </c>
    </row>
    <row r="14980" spans="1:7" hidden="1" x14ac:dyDescent="0.25">
      <c r="A14980" s="28">
        <v>44774</v>
      </c>
      <c r="B14980" s="27" t="s">
        <v>5</v>
      </c>
      <c r="C14980" s="27" t="s">
        <v>51</v>
      </c>
      <c r="D14980" s="27" t="s">
        <v>51</v>
      </c>
      <c r="E14980" s="27" t="s">
        <v>22</v>
      </c>
      <c r="F14980" s="29">
        <v>4587</v>
      </c>
      <c r="G14980" s="30">
        <v>3.7328035517954472</v>
      </c>
    </row>
    <row r="14981" spans="1:7" hidden="1" x14ac:dyDescent="0.25">
      <c r="A14981" s="28">
        <v>44774</v>
      </c>
      <c r="B14981" s="27" t="s">
        <v>5</v>
      </c>
      <c r="C14981" s="27" t="s">
        <v>51</v>
      </c>
      <c r="D14981" s="27" t="s">
        <v>51</v>
      </c>
      <c r="E14981" s="27" t="s">
        <v>64</v>
      </c>
      <c r="F14981" s="29">
        <v>5697</v>
      </c>
      <c r="G14981" s="30">
        <v>3.1368586568422763</v>
      </c>
    </row>
    <row r="14982" spans="1:7" hidden="1" x14ac:dyDescent="0.25">
      <c r="A14982" s="28">
        <v>44774</v>
      </c>
      <c r="B14982" s="27" t="s">
        <v>5</v>
      </c>
      <c r="C14982" s="27" t="s">
        <v>51</v>
      </c>
      <c r="D14982" s="27" t="s">
        <v>51</v>
      </c>
      <c r="E14982" s="27" t="s">
        <v>21</v>
      </c>
      <c r="F14982" s="29">
        <v>4139</v>
      </c>
      <c r="G14982" s="30">
        <v>4.9839252667748113</v>
      </c>
    </row>
    <row r="14983" spans="1:7" hidden="1" x14ac:dyDescent="0.25">
      <c r="A14983" s="28">
        <v>44774</v>
      </c>
      <c r="B14983" s="27" t="s">
        <v>5</v>
      </c>
      <c r="C14983" s="27" t="s">
        <v>51</v>
      </c>
      <c r="D14983" s="27" t="s">
        <v>51</v>
      </c>
      <c r="E14983" s="27" t="s">
        <v>41</v>
      </c>
      <c r="F14983" s="29">
        <v>5880</v>
      </c>
      <c r="G14983" s="30">
        <v>2.8636697610417885</v>
      </c>
    </row>
    <row r="14984" spans="1:7" hidden="1" x14ac:dyDescent="0.25">
      <c r="A14984" s="28">
        <v>44774</v>
      </c>
      <c r="B14984" s="27" t="s">
        <v>5</v>
      </c>
      <c r="C14984" s="27" t="s">
        <v>51</v>
      </c>
      <c r="D14984" s="27" t="s">
        <v>51</v>
      </c>
      <c r="E14984" s="27" t="s">
        <v>10</v>
      </c>
      <c r="F14984" s="29">
        <v>6710</v>
      </c>
      <c r="G14984" s="30">
        <v>2.7523684544956417</v>
      </c>
    </row>
    <row r="14985" spans="1:7" hidden="1" x14ac:dyDescent="0.25">
      <c r="A14985" s="28">
        <v>44774</v>
      </c>
      <c r="B14985" s="27" t="s">
        <v>5</v>
      </c>
      <c r="C14985" s="27" t="s">
        <v>51</v>
      </c>
      <c r="D14985" s="27" t="s">
        <v>51</v>
      </c>
      <c r="E14985" s="27" t="s">
        <v>11</v>
      </c>
      <c r="F14985" s="29">
        <v>586</v>
      </c>
      <c r="G14985" s="30">
        <v>29.387409349890696</v>
      </c>
    </row>
    <row r="14986" spans="1:7" hidden="1" x14ac:dyDescent="0.25">
      <c r="A14986" s="28">
        <v>44774</v>
      </c>
      <c r="B14986" s="27" t="s">
        <v>5</v>
      </c>
      <c r="C14986" s="27" t="s">
        <v>51</v>
      </c>
      <c r="D14986" s="27" t="s">
        <v>51</v>
      </c>
      <c r="E14986" s="27" t="s">
        <v>13</v>
      </c>
      <c r="F14986" s="29">
        <v>8767</v>
      </c>
      <c r="G14986" s="30">
        <v>2.3301969985093995</v>
      </c>
    </row>
    <row r="14987" spans="1:7" hidden="1" x14ac:dyDescent="0.25">
      <c r="A14987" s="28">
        <v>44774</v>
      </c>
      <c r="B14987" s="27" t="s">
        <v>5</v>
      </c>
      <c r="C14987" s="27" t="s">
        <v>51</v>
      </c>
      <c r="D14987" s="27" t="s">
        <v>51</v>
      </c>
      <c r="E14987" s="27" t="s">
        <v>14</v>
      </c>
      <c r="F14987" s="29">
        <v>4038</v>
      </c>
      <c r="G14987" s="30">
        <v>4.1328658420017765</v>
      </c>
    </row>
    <row r="14988" spans="1:7" hidden="1" x14ac:dyDescent="0.25">
      <c r="A14988" s="28">
        <v>44774</v>
      </c>
      <c r="B14988" s="27" t="s">
        <v>5</v>
      </c>
      <c r="C14988" s="27" t="s">
        <v>51</v>
      </c>
      <c r="D14988" s="27" t="s">
        <v>51</v>
      </c>
      <c r="E14988" s="27" t="s">
        <v>15</v>
      </c>
      <c r="F14988" s="29">
        <v>4467</v>
      </c>
      <c r="G14988" s="30">
        <v>4.1964797176824282</v>
      </c>
    </row>
    <row r="14989" spans="1:7" hidden="1" x14ac:dyDescent="0.25">
      <c r="A14989" s="28">
        <v>44774</v>
      </c>
      <c r="B14989" s="27" t="s">
        <v>5</v>
      </c>
      <c r="C14989" s="27" t="s">
        <v>51</v>
      </c>
      <c r="D14989" s="27" t="s">
        <v>51</v>
      </c>
      <c r="E14989" s="27" t="s">
        <v>16</v>
      </c>
      <c r="F14989" s="29">
        <v>1377</v>
      </c>
      <c r="G14989" s="30">
        <v>11.729310950949589</v>
      </c>
    </row>
    <row r="14990" spans="1:7" hidden="1" x14ac:dyDescent="0.25">
      <c r="A14990" s="28">
        <v>44774</v>
      </c>
      <c r="B14990" s="27" t="s">
        <v>5</v>
      </c>
      <c r="C14990" s="27" t="s">
        <v>51</v>
      </c>
      <c r="D14990" s="27" t="s">
        <v>51</v>
      </c>
      <c r="E14990" s="27" t="s">
        <v>17</v>
      </c>
      <c r="F14990" s="29">
        <v>6171</v>
      </c>
      <c r="G14990" s="30">
        <v>3.1456605487582014</v>
      </c>
    </row>
    <row r="14991" spans="1:7" hidden="1" x14ac:dyDescent="0.25">
      <c r="A14991" s="28">
        <v>44774</v>
      </c>
      <c r="B14991" s="27" t="s">
        <v>5</v>
      </c>
      <c r="C14991" s="27" t="s">
        <v>51</v>
      </c>
      <c r="D14991" s="27" t="s">
        <v>51</v>
      </c>
      <c r="E14991" s="27" t="s">
        <v>18</v>
      </c>
      <c r="F14991" s="29">
        <v>6215</v>
      </c>
      <c r="G14991" s="30">
        <v>2.5049197981971485</v>
      </c>
    </row>
    <row r="14992" spans="1:7" hidden="1" x14ac:dyDescent="0.25">
      <c r="A14992" s="28">
        <v>44774</v>
      </c>
      <c r="B14992" s="27" t="s">
        <v>5</v>
      </c>
      <c r="C14992" s="27" t="s">
        <v>51</v>
      </c>
      <c r="D14992" s="27" t="s">
        <v>51</v>
      </c>
      <c r="E14992" s="27" t="s">
        <v>19</v>
      </c>
      <c r="F14992" s="29">
        <v>5409</v>
      </c>
      <c r="G14992" s="30">
        <v>4.3798110498199092</v>
      </c>
    </row>
    <row r="14993" spans="1:7" hidden="1" x14ac:dyDescent="0.25">
      <c r="A14993" s="28">
        <v>44774</v>
      </c>
      <c r="B14993" s="27" t="s">
        <v>5</v>
      </c>
      <c r="C14993" s="27" t="s">
        <v>51</v>
      </c>
      <c r="D14993" s="27" t="s">
        <v>51</v>
      </c>
      <c r="E14993" s="27" t="s">
        <v>20</v>
      </c>
      <c r="F14993" s="29">
        <v>4402</v>
      </c>
      <c r="G14993" s="30">
        <v>3.7006287186687508</v>
      </c>
    </row>
    <row r="14994" spans="1:7" hidden="1" x14ac:dyDescent="0.25">
      <c r="A14994" s="28">
        <v>44774</v>
      </c>
      <c r="B14994" s="27" t="s">
        <v>5</v>
      </c>
      <c r="C14994" s="27" t="s">
        <v>51</v>
      </c>
      <c r="D14994" s="27" t="s">
        <v>51</v>
      </c>
      <c r="E14994" s="27" t="s">
        <v>38</v>
      </c>
      <c r="F14994" s="29">
        <v>2105</v>
      </c>
      <c r="G14994" s="30">
        <v>6.9901293261606448</v>
      </c>
    </row>
    <row r="14995" spans="1:7" hidden="1" x14ac:dyDescent="0.25">
      <c r="A14995" s="28">
        <v>44774</v>
      </c>
      <c r="B14995" s="27" t="s">
        <v>5</v>
      </c>
      <c r="C14995" s="27" t="s">
        <v>51</v>
      </c>
      <c r="D14995" s="27" t="s">
        <v>51</v>
      </c>
      <c r="E14995" s="27" t="s">
        <v>23</v>
      </c>
      <c r="F14995" s="29">
        <v>7527</v>
      </c>
      <c r="G14995" s="30">
        <v>2.3412412199826749</v>
      </c>
    </row>
    <row r="14996" spans="1:7" hidden="1" x14ac:dyDescent="0.25">
      <c r="A14996" s="28">
        <v>44774</v>
      </c>
      <c r="B14996" s="27" t="s">
        <v>5</v>
      </c>
      <c r="C14996" s="27" t="s">
        <v>51</v>
      </c>
      <c r="D14996" s="27" t="s">
        <v>51</v>
      </c>
      <c r="E14996" s="27" t="s">
        <v>40</v>
      </c>
      <c r="F14996" s="29">
        <v>6980</v>
      </c>
      <c r="G14996" s="30">
        <v>2.3623836298836465</v>
      </c>
    </row>
    <row r="14997" spans="1:7" hidden="1" x14ac:dyDescent="0.25">
      <c r="A14997" s="28">
        <v>44774</v>
      </c>
      <c r="B14997" s="27" t="s">
        <v>5</v>
      </c>
      <c r="C14997" s="27" t="s">
        <v>51</v>
      </c>
      <c r="D14997" s="27" t="s">
        <v>51</v>
      </c>
      <c r="E14997" s="27" t="s">
        <v>43</v>
      </c>
      <c r="F14997" s="29">
        <v>7069</v>
      </c>
      <c r="G14997" s="30">
        <v>2.6024257347738176</v>
      </c>
    </row>
    <row r="14998" spans="1:7" hidden="1" x14ac:dyDescent="0.25">
      <c r="A14998" s="28">
        <v>44774</v>
      </c>
      <c r="B14998" s="27" t="s">
        <v>5</v>
      </c>
      <c r="C14998" s="27" t="s">
        <v>51</v>
      </c>
      <c r="D14998" s="27" t="s">
        <v>51</v>
      </c>
      <c r="E14998" s="27" t="s">
        <v>72</v>
      </c>
      <c r="F14998" s="29">
        <v>5594</v>
      </c>
      <c r="G14998" s="30">
        <v>2.7451067987356854</v>
      </c>
    </row>
    <row r="14999" spans="1:7" hidden="1" x14ac:dyDescent="0.25">
      <c r="A14999" s="28">
        <v>44774</v>
      </c>
      <c r="B14999" s="27" t="s">
        <v>5</v>
      </c>
      <c r="C14999" s="27" t="s">
        <v>51</v>
      </c>
      <c r="D14999" s="27" t="s">
        <v>51</v>
      </c>
      <c r="E14999" s="27" t="s">
        <v>206</v>
      </c>
      <c r="F14999" s="29">
        <v>7946</v>
      </c>
      <c r="G14999" s="30">
        <v>2.2004420541765839</v>
      </c>
    </row>
    <row r="15000" spans="1:7" hidden="1" x14ac:dyDescent="0.25">
      <c r="A15000" s="28">
        <v>44774</v>
      </c>
      <c r="B15000" s="27" t="s">
        <v>5</v>
      </c>
      <c r="C15000" s="27" t="s">
        <v>51</v>
      </c>
      <c r="D15000" s="27" t="s">
        <v>51</v>
      </c>
      <c r="E15000" s="27" t="s">
        <v>67</v>
      </c>
      <c r="F15000" s="29">
        <v>3725</v>
      </c>
      <c r="G15000" s="30">
        <v>4.5106878740475347</v>
      </c>
    </row>
    <row r="15001" spans="1:7" hidden="1" x14ac:dyDescent="0.25">
      <c r="A15001" s="28">
        <v>44774</v>
      </c>
      <c r="B15001" s="27" t="s">
        <v>5</v>
      </c>
      <c r="C15001" s="27" t="s">
        <v>51</v>
      </c>
      <c r="D15001" s="27" t="s">
        <v>51</v>
      </c>
      <c r="E15001" s="27" t="s">
        <v>68</v>
      </c>
      <c r="F15001" s="29">
        <v>7562</v>
      </c>
      <c r="G15001" s="30">
        <f>17484.71/Tabela16[[#This Row],[KM RODADO]]</f>
        <v>2.3121806400423166</v>
      </c>
    </row>
    <row r="15002" spans="1:7" hidden="1" x14ac:dyDescent="0.25">
      <c r="A15002" s="28">
        <v>44774</v>
      </c>
      <c r="B15002" s="27" t="s">
        <v>5</v>
      </c>
      <c r="C15002" s="27" t="s">
        <v>51</v>
      </c>
      <c r="D15002" s="27" t="s">
        <v>51</v>
      </c>
      <c r="E15002" s="27" t="s">
        <v>74</v>
      </c>
      <c r="F15002" s="29">
        <v>5173</v>
      </c>
      <c r="G15002" s="30">
        <f>14718.31/Tabela16[[#This Row],[KM RODADO]]</f>
        <v>2.8452174753527935</v>
      </c>
    </row>
    <row r="15003" spans="1:7" hidden="1" x14ac:dyDescent="0.25">
      <c r="A15003" s="28">
        <v>44774</v>
      </c>
      <c r="B15003" s="27" t="s">
        <v>180</v>
      </c>
      <c r="C15003" s="27" t="s">
        <v>50</v>
      </c>
      <c r="D15003" s="27" t="s">
        <v>7</v>
      </c>
      <c r="E15003" s="27" t="s">
        <v>8</v>
      </c>
      <c r="F15003" s="29"/>
      <c r="G15003" s="30">
        <v>3915</v>
      </c>
    </row>
    <row r="15004" spans="1:7" hidden="1" x14ac:dyDescent="0.25">
      <c r="A15004" s="28">
        <v>44774</v>
      </c>
      <c r="B15004" s="27" t="s">
        <v>180</v>
      </c>
      <c r="C15004" s="27" t="s">
        <v>50</v>
      </c>
      <c r="D15004" s="27" t="s">
        <v>7</v>
      </c>
      <c r="E15004" s="27" t="s">
        <v>64</v>
      </c>
      <c r="F15004" s="29"/>
      <c r="G15004" s="30">
        <v>100</v>
      </c>
    </row>
    <row r="15005" spans="1:7" hidden="1" x14ac:dyDescent="0.25">
      <c r="A15005" s="28">
        <v>44774</v>
      </c>
      <c r="B15005" s="27" t="s">
        <v>180</v>
      </c>
      <c r="C15005" s="27" t="s">
        <v>50</v>
      </c>
      <c r="D15005" s="27" t="s">
        <v>7</v>
      </c>
      <c r="E15005" s="27" t="s">
        <v>21</v>
      </c>
      <c r="F15005" s="29"/>
      <c r="G15005" s="30">
        <v>5223.41</v>
      </c>
    </row>
    <row r="15006" spans="1:7" hidden="1" x14ac:dyDescent="0.25">
      <c r="A15006" s="28">
        <v>44774</v>
      </c>
      <c r="B15006" s="27" t="s">
        <v>180</v>
      </c>
      <c r="C15006" s="27" t="s">
        <v>50</v>
      </c>
      <c r="D15006" s="27" t="s">
        <v>7</v>
      </c>
      <c r="E15006" s="27" t="s">
        <v>41</v>
      </c>
      <c r="F15006" s="29"/>
      <c r="G15006" s="30">
        <v>620</v>
      </c>
    </row>
    <row r="15007" spans="1:7" hidden="1" x14ac:dyDescent="0.25">
      <c r="A15007" s="28">
        <v>44774</v>
      </c>
      <c r="B15007" s="27" t="s">
        <v>180</v>
      </c>
      <c r="C15007" s="27" t="s">
        <v>50</v>
      </c>
      <c r="D15007" s="27" t="s">
        <v>7</v>
      </c>
      <c r="E15007" s="27" t="s">
        <v>11</v>
      </c>
      <c r="F15007" s="29"/>
      <c r="G15007" s="30">
        <v>650</v>
      </c>
    </row>
    <row r="15008" spans="1:7" hidden="1" x14ac:dyDescent="0.25">
      <c r="A15008" s="28">
        <v>44774</v>
      </c>
      <c r="B15008" s="27" t="s">
        <v>180</v>
      </c>
      <c r="C15008" s="27" t="s">
        <v>50</v>
      </c>
      <c r="D15008" s="27" t="s">
        <v>7</v>
      </c>
      <c r="E15008" s="27" t="s">
        <v>14</v>
      </c>
      <c r="F15008" s="29"/>
      <c r="G15008" s="30">
        <v>1156</v>
      </c>
    </row>
    <row r="15009" spans="1:7" hidden="1" x14ac:dyDescent="0.25">
      <c r="A15009" s="28">
        <v>44774</v>
      </c>
      <c r="B15009" s="27" t="s">
        <v>180</v>
      </c>
      <c r="C15009" s="27" t="s">
        <v>50</v>
      </c>
      <c r="D15009" s="27" t="s">
        <v>7</v>
      </c>
      <c r="E15009" s="27" t="s">
        <v>15</v>
      </c>
      <c r="F15009" s="29"/>
      <c r="G15009" s="30">
        <v>1400</v>
      </c>
    </row>
    <row r="15010" spans="1:7" hidden="1" x14ac:dyDescent="0.25">
      <c r="A15010" s="28">
        <v>44774</v>
      </c>
      <c r="B15010" s="27" t="s">
        <v>180</v>
      </c>
      <c r="C15010" s="27" t="s">
        <v>50</v>
      </c>
      <c r="D15010" s="27" t="s">
        <v>7</v>
      </c>
      <c r="E15010" s="27" t="s">
        <v>19</v>
      </c>
      <c r="F15010" s="29"/>
      <c r="G15010" s="30">
        <v>5500</v>
      </c>
    </row>
    <row r="15011" spans="1:7" hidden="1" x14ac:dyDescent="0.25">
      <c r="A15011" s="28">
        <v>44774</v>
      </c>
      <c r="B15011" s="27" t="s">
        <v>180</v>
      </c>
      <c r="C15011" s="27" t="s">
        <v>50</v>
      </c>
      <c r="D15011" s="27" t="s">
        <v>7</v>
      </c>
      <c r="E15011" s="27" t="s">
        <v>42</v>
      </c>
      <c r="F15011" s="29"/>
      <c r="G15011" s="30">
        <v>2280</v>
      </c>
    </row>
    <row r="15012" spans="1:7" hidden="1" x14ac:dyDescent="0.25">
      <c r="A15012" s="28">
        <v>44774</v>
      </c>
      <c r="B15012" s="27" t="s">
        <v>180</v>
      </c>
      <c r="C15012" s="27" t="s">
        <v>50</v>
      </c>
      <c r="D15012" s="27" t="s">
        <v>7</v>
      </c>
      <c r="E15012" s="27" t="s">
        <v>43</v>
      </c>
      <c r="F15012" s="29"/>
      <c r="G15012" s="30">
        <v>30</v>
      </c>
    </row>
    <row r="15013" spans="1:7" hidden="1" x14ac:dyDescent="0.25">
      <c r="A15013" s="28">
        <v>44774</v>
      </c>
      <c r="B15013" s="27" t="s">
        <v>180</v>
      </c>
      <c r="C15013" s="27" t="s">
        <v>50</v>
      </c>
      <c r="D15013" s="27" t="s">
        <v>7</v>
      </c>
      <c r="E15013" s="27" t="s">
        <v>72</v>
      </c>
      <c r="F15013" s="29"/>
      <c r="G15013" s="30">
        <v>273</v>
      </c>
    </row>
    <row r="15014" spans="1:7" hidden="1" x14ac:dyDescent="0.25">
      <c r="A15014" s="28">
        <v>44774</v>
      </c>
      <c r="B15014" s="27" t="s">
        <v>180</v>
      </c>
      <c r="C15014" s="27" t="s">
        <v>50</v>
      </c>
      <c r="D15014" s="27" t="s">
        <v>7</v>
      </c>
      <c r="E15014" s="27" t="s">
        <v>206</v>
      </c>
      <c r="F15014" s="29"/>
      <c r="G15014" s="30">
        <v>950</v>
      </c>
    </row>
    <row r="15015" spans="1:7" hidden="1" x14ac:dyDescent="0.25">
      <c r="A15015" s="28">
        <v>44774</v>
      </c>
      <c r="B15015" s="27" t="s">
        <v>180</v>
      </c>
      <c r="C15015" s="27" t="s">
        <v>50</v>
      </c>
      <c r="D15015" s="27" t="s">
        <v>7</v>
      </c>
      <c r="E15015" s="27" t="s">
        <v>37</v>
      </c>
      <c r="F15015" s="29"/>
      <c r="G15015" s="30">
        <v>1785</v>
      </c>
    </row>
    <row r="15016" spans="1:7" hidden="1" x14ac:dyDescent="0.25">
      <c r="A15016" s="28">
        <v>44774</v>
      </c>
      <c r="B15016" s="27" t="s">
        <v>181</v>
      </c>
      <c r="C15016" s="27" t="s">
        <v>50</v>
      </c>
      <c r="D15016" s="27" t="s">
        <v>6</v>
      </c>
      <c r="E15016" s="27" t="s">
        <v>8</v>
      </c>
      <c r="F15016" s="29"/>
      <c r="G15016" s="30">
        <v>1315</v>
      </c>
    </row>
    <row r="15017" spans="1:7" hidden="1" x14ac:dyDescent="0.25">
      <c r="A15017" s="28">
        <v>44774</v>
      </c>
      <c r="B15017" s="27" t="s">
        <v>181</v>
      </c>
      <c r="C15017" s="27" t="s">
        <v>50</v>
      </c>
      <c r="D15017" s="27" t="s">
        <v>6</v>
      </c>
      <c r="E15017" s="27" t="s">
        <v>9</v>
      </c>
      <c r="F15017" s="29"/>
      <c r="G15017" s="30">
        <v>192</v>
      </c>
    </row>
    <row r="15018" spans="1:7" hidden="1" x14ac:dyDescent="0.25">
      <c r="A15018" s="28">
        <v>44774</v>
      </c>
      <c r="B15018" s="27" t="s">
        <v>181</v>
      </c>
      <c r="C15018" s="27" t="s">
        <v>50</v>
      </c>
      <c r="D15018" s="27" t="s">
        <v>6</v>
      </c>
      <c r="E15018" s="27" t="s">
        <v>39</v>
      </c>
      <c r="F15018" s="29"/>
      <c r="G15018" s="30">
        <v>220</v>
      </c>
    </row>
    <row r="15019" spans="1:7" hidden="1" x14ac:dyDescent="0.25">
      <c r="A15019" s="28">
        <v>44774</v>
      </c>
      <c r="B15019" s="27" t="s">
        <v>181</v>
      </c>
      <c r="C15019" s="27" t="s">
        <v>50</v>
      </c>
      <c r="D15019" s="27" t="s">
        <v>6</v>
      </c>
      <c r="E15019" s="27" t="s">
        <v>64</v>
      </c>
      <c r="F15019" s="29"/>
      <c r="G15019" s="30">
        <v>1200</v>
      </c>
    </row>
    <row r="15020" spans="1:7" hidden="1" x14ac:dyDescent="0.25">
      <c r="A15020" s="28">
        <v>44774</v>
      </c>
      <c r="B15020" s="27" t="s">
        <v>181</v>
      </c>
      <c r="C15020" s="27" t="s">
        <v>50</v>
      </c>
      <c r="D15020" s="27" t="s">
        <v>6</v>
      </c>
      <c r="E15020" s="27" t="s">
        <v>10</v>
      </c>
      <c r="F15020" s="29"/>
      <c r="G15020" s="30">
        <v>300</v>
      </c>
    </row>
    <row r="15021" spans="1:7" hidden="1" x14ac:dyDescent="0.25">
      <c r="A15021" s="28">
        <v>44774</v>
      </c>
      <c r="B15021" s="27" t="s">
        <v>181</v>
      </c>
      <c r="C15021" s="27" t="s">
        <v>50</v>
      </c>
      <c r="D15021" s="27" t="s">
        <v>6</v>
      </c>
      <c r="E15021" s="27" t="s">
        <v>13</v>
      </c>
      <c r="F15021" s="29"/>
      <c r="G15021" s="30">
        <v>1946</v>
      </c>
    </row>
    <row r="15022" spans="1:7" hidden="1" x14ac:dyDescent="0.25">
      <c r="A15022" s="28">
        <v>44774</v>
      </c>
      <c r="B15022" s="27" t="s">
        <v>181</v>
      </c>
      <c r="C15022" s="27" t="s">
        <v>50</v>
      </c>
      <c r="D15022" s="27" t="s">
        <v>6</v>
      </c>
      <c r="E15022" s="27" t="s">
        <v>15</v>
      </c>
      <c r="F15022" s="29"/>
      <c r="G15022" s="30">
        <v>998</v>
      </c>
    </row>
    <row r="15023" spans="1:7" hidden="1" x14ac:dyDescent="0.25">
      <c r="A15023" s="28">
        <v>44774</v>
      </c>
      <c r="B15023" s="27" t="s">
        <v>181</v>
      </c>
      <c r="C15023" s="27" t="s">
        <v>50</v>
      </c>
      <c r="D15023" s="27" t="s">
        <v>6</v>
      </c>
      <c r="E15023" s="27" t="s">
        <v>17</v>
      </c>
      <c r="F15023" s="29"/>
      <c r="G15023" s="30">
        <v>1179</v>
      </c>
    </row>
    <row r="15024" spans="1:7" hidden="1" x14ac:dyDescent="0.25">
      <c r="A15024" s="28">
        <v>44774</v>
      </c>
      <c r="B15024" s="27" t="s">
        <v>181</v>
      </c>
      <c r="C15024" s="27" t="s">
        <v>50</v>
      </c>
      <c r="D15024" s="27" t="s">
        <v>6</v>
      </c>
      <c r="E15024" s="27" t="s">
        <v>40</v>
      </c>
      <c r="F15024" s="29"/>
      <c r="G15024" s="30">
        <v>1080</v>
      </c>
    </row>
    <row r="15025" spans="1:7" hidden="1" x14ac:dyDescent="0.25">
      <c r="A15025" s="28">
        <v>44774</v>
      </c>
      <c r="B15025" s="27" t="s">
        <v>181</v>
      </c>
      <c r="C15025" s="27" t="s">
        <v>50</v>
      </c>
      <c r="D15025" s="27" t="s">
        <v>6</v>
      </c>
      <c r="E15025" s="27" t="s">
        <v>43</v>
      </c>
      <c r="F15025" s="29"/>
      <c r="G15025" s="30">
        <v>3144.06</v>
      </c>
    </row>
    <row r="15026" spans="1:7" hidden="1" x14ac:dyDescent="0.25">
      <c r="A15026" s="28">
        <v>44774</v>
      </c>
      <c r="B15026" s="27" t="s">
        <v>181</v>
      </c>
      <c r="C15026" s="27" t="s">
        <v>50</v>
      </c>
      <c r="D15026" s="27" t="s">
        <v>6</v>
      </c>
      <c r="E15026" s="27" t="s">
        <v>206</v>
      </c>
      <c r="F15026" s="29"/>
      <c r="G15026" s="30">
        <v>200</v>
      </c>
    </row>
    <row r="15027" spans="1:7" hidden="1" x14ac:dyDescent="0.25">
      <c r="A15027" s="28">
        <v>44774</v>
      </c>
      <c r="B15027" s="27" t="s">
        <v>181</v>
      </c>
      <c r="C15027" s="27" t="s">
        <v>50</v>
      </c>
      <c r="D15027" s="27" t="s">
        <v>6</v>
      </c>
      <c r="E15027" s="27" t="s">
        <v>37</v>
      </c>
      <c r="F15027" s="29"/>
      <c r="G15027" s="30">
        <v>3455.05</v>
      </c>
    </row>
    <row r="15028" spans="1:7" hidden="1" x14ac:dyDescent="0.25">
      <c r="A15028" s="28">
        <v>44774</v>
      </c>
      <c r="B15028" s="27" t="s">
        <v>25</v>
      </c>
      <c r="C15028" s="27" t="s">
        <v>50</v>
      </c>
      <c r="D15028" s="27" t="s">
        <v>7</v>
      </c>
      <c r="E15028" s="27" t="s">
        <v>41</v>
      </c>
      <c r="F15028" s="29"/>
      <c r="G15028" s="30">
        <v>130.16</v>
      </c>
    </row>
    <row r="15029" spans="1:7" hidden="1" x14ac:dyDescent="0.25">
      <c r="A15029" s="28">
        <v>44774</v>
      </c>
      <c r="B15029" s="27" t="s">
        <v>25</v>
      </c>
      <c r="C15029" s="27" t="s">
        <v>50</v>
      </c>
      <c r="D15029" s="27" t="s">
        <v>7</v>
      </c>
      <c r="E15029" s="27" t="s">
        <v>19</v>
      </c>
      <c r="F15029" s="29"/>
      <c r="G15029" s="30">
        <v>1280.0700000000002</v>
      </c>
    </row>
    <row r="15030" spans="1:7" hidden="1" x14ac:dyDescent="0.25">
      <c r="A15030" s="28">
        <v>44774</v>
      </c>
      <c r="B15030" s="27" t="s">
        <v>25</v>
      </c>
      <c r="C15030" s="27" t="s">
        <v>50</v>
      </c>
      <c r="D15030" s="27" t="s">
        <v>7</v>
      </c>
      <c r="E15030" s="27" t="s">
        <v>37</v>
      </c>
      <c r="F15030" s="29"/>
      <c r="G15030" s="30">
        <v>1707.8000000000002</v>
      </c>
    </row>
    <row r="15031" spans="1:7" hidden="1" x14ac:dyDescent="0.25">
      <c r="A15031" s="28">
        <v>44774</v>
      </c>
      <c r="B15031" s="27" t="s">
        <v>2</v>
      </c>
      <c r="C15031" s="27" t="s">
        <v>50</v>
      </c>
      <c r="D15031" s="27" t="s">
        <v>7</v>
      </c>
      <c r="E15031" s="27" t="s">
        <v>8</v>
      </c>
      <c r="F15031" s="29"/>
      <c r="G15031" s="30">
        <v>490.99999999999989</v>
      </c>
    </row>
    <row r="15032" spans="1:7" hidden="1" x14ac:dyDescent="0.25">
      <c r="A15032" s="28">
        <v>44774</v>
      </c>
      <c r="B15032" s="27" t="s">
        <v>2</v>
      </c>
      <c r="C15032" s="27" t="s">
        <v>50</v>
      </c>
      <c r="D15032" s="27" t="s">
        <v>7</v>
      </c>
      <c r="E15032" s="27" t="s">
        <v>9</v>
      </c>
      <c r="F15032" s="29"/>
      <c r="G15032" s="30">
        <v>580.5000000000008</v>
      </c>
    </row>
    <row r="15033" spans="1:7" hidden="1" x14ac:dyDescent="0.25">
      <c r="A15033" s="28">
        <v>44774</v>
      </c>
      <c r="B15033" s="27" t="s">
        <v>2</v>
      </c>
      <c r="C15033" s="27" t="s">
        <v>50</v>
      </c>
      <c r="D15033" s="27" t="s">
        <v>7</v>
      </c>
      <c r="E15033" s="27" t="s">
        <v>22</v>
      </c>
      <c r="F15033" s="29"/>
      <c r="G15033" s="30">
        <v>1046.9800000000007</v>
      </c>
    </row>
    <row r="15034" spans="1:7" hidden="1" x14ac:dyDescent="0.25">
      <c r="A15034" s="28">
        <v>44774</v>
      </c>
      <c r="B15034" s="27" t="s">
        <v>2</v>
      </c>
      <c r="C15034" s="27" t="s">
        <v>50</v>
      </c>
      <c r="D15034" s="27" t="s">
        <v>7</v>
      </c>
      <c r="E15034" s="27" t="s">
        <v>39</v>
      </c>
      <c r="F15034" s="29"/>
      <c r="G15034" s="30">
        <v>198.50000000000006</v>
      </c>
    </row>
    <row r="15035" spans="1:7" hidden="1" x14ac:dyDescent="0.25">
      <c r="A15035" s="28">
        <v>44774</v>
      </c>
      <c r="B15035" s="27" t="s">
        <v>2</v>
      </c>
      <c r="C15035" s="27" t="s">
        <v>50</v>
      </c>
      <c r="D15035" s="27" t="s">
        <v>7</v>
      </c>
      <c r="E15035" s="27" t="s">
        <v>64</v>
      </c>
      <c r="F15035" s="29"/>
      <c r="G15035" s="30">
        <v>609.50000000000068</v>
      </c>
    </row>
    <row r="15036" spans="1:7" hidden="1" x14ac:dyDescent="0.25">
      <c r="A15036" s="28">
        <v>44774</v>
      </c>
      <c r="B15036" s="27" t="s">
        <v>2</v>
      </c>
      <c r="C15036" s="27" t="s">
        <v>50</v>
      </c>
      <c r="D15036" s="27" t="s">
        <v>7</v>
      </c>
      <c r="E15036" s="27" t="s">
        <v>21</v>
      </c>
      <c r="F15036" s="29"/>
      <c r="G15036" s="30">
        <v>79.40000000000002</v>
      </c>
    </row>
    <row r="15037" spans="1:7" hidden="1" x14ac:dyDescent="0.25">
      <c r="A15037" s="28">
        <v>44774</v>
      </c>
      <c r="B15037" s="27" t="s">
        <v>2</v>
      </c>
      <c r="C15037" s="27" t="s">
        <v>50</v>
      </c>
      <c r="D15037" s="27" t="s">
        <v>7</v>
      </c>
      <c r="E15037" s="27" t="s">
        <v>41</v>
      </c>
      <c r="F15037" s="29"/>
      <c r="G15037" s="30">
        <v>553.14999999999975</v>
      </c>
    </row>
    <row r="15038" spans="1:7" hidden="1" x14ac:dyDescent="0.25">
      <c r="A15038" s="28">
        <v>44774</v>
      </c>
      <c r="B15038" s="27" t="s">
        <v>2</v>
      </c>
      <c r="C15038" s="27" t="s">
        <v>50</v>
      </c>
      <c r="D15038" s="27" t="s">
        <v>7</v>
      </c>
      <c r="E15038" s="27" t="s">
        <v>10</v>
      </c>
      <c r="F15038" s="29"/>
      <c r="G15038" s="30">
        <v>1294.7100000000005</v>
      </c>
    </row>
    <row r="15039" spans="1:7" hidden="1" x14ac:dyDescent="0.25">
      <c r="A15039" s="28">
        <v>44774</v>
      </c>
      <c r="B15039" s="27" t="s">
        <v>2</v>
      </c>
      <c r="C15039" s="27" t="s">
        <v>50</v>
      </c>
      <c r="D15039" s="27" t="s">
        <v>7</v>
      </c>
      <c r="E15039" s="27" t="s">
        <v>11</v>
      </c>
      <c r="F15039" s="29"/>
      <c r="G15039" s="30">
        <v>258.45999999999998</v>
      </c>
    </row>
    <row r="15040" spans="1:7" hidden="1" x14ac:dyDescent="0.25">
      <c r="A15040" s="28">
        <v>44774</v>
      </c>
      <c r="B15040" s="27" t="s">
        <v>2</v>
      </c>
      <c r="C15040" s="27" t="s">
        <v>50</v>
      </c>
      <c r="D15040" s="27" t="s">
        <v>7</v>
      </c>
      <c r="E15040" s="27" t="s">
        <v>12</v>
      </c>
      <c r="F15040" s="29"/>
      <c r="G15040" s="30">
        <v>117.86</v>
      </c>
    </row>
    <row r="15041" spans="1:7" hidden="1" x14ac:dyDescent="0.25">
      <c r="A15041" s="28">
        <v>44774</v>
      </c>
      <c r="B15041" s="27" t="s">
        <v>2</v>
      </c>
      <c r="C15041" s="27" t="s">
        <v>50</v>
      </c>
      <c r="D15041" s="27" t="s">
        <v>7</v>
      </c>
      <c r="E15041" s="27" t="s">
        <v>13</v>
      </c>
      <c r="F15041" s="29"/>
      <c r="G15041" s="30">
        <v>2054.5300000000016</v>
      </c>
    </row>
    <row r="15042" spans="1:7" hidden="1" x14ac:dyDescent="0.25">
      <c r="A15042" s="28">
        <v>44774</v>
      </c>
      <c r="B15042" s="27" t="s">
        <v>2</v>
      </c>
      <c r="C15042" s="27" t="s">
        <v>50</v>
      </c>
      <c r="D15042" s="27" t="s">
        <v>7</v>
      </c>
      <c r="E15042" s="27" t="s">
        <v>14</v>
      </c>
      <c r="F15042" s="29"/>
      <c r="G15042" s="30">
        <v>285.97999999999996</v>
      </c>
    </row>
    <row r="15043" spans="1:7" hidden="1" x14ac:dyDescent="0.25">
      <c r="A15043" s="28">
        <v>44774</v>
      </c>
      <c r="B15043" s="27" t="s">
        <v>2</v>
      </c>
      <c r="C15043" s="27" t="s">
        <v>50</v>
      </c>
      <c r="D15043" s="27" t="s">
        <v>7</v>
      </c>
      <c r="E15043" s="27" t="s">
        <v>15</v>
      </c>
      <c r="F15043" s="29"/>
      <c r="G15043" s="30">
        <v>490.59999999999934</v>
      </c>
    </row>
    <row r="15044" spans="1:7" hidden="1" x14ac:dyDescent="0.25">
      <c r="A15044" s="28">
        <v>44774</v>
      </c>
      <c r="B15044" s="27" t="s">
        <v>2</v>
      </c>
      <c r="C15044" s="27" t="s">
        <v>50</v>
      </c>
      <c r="D15044" s="27" t="s">
        <v>7</v>
      </c>
      <c r="E15044" s="27" t="s">
        <v>16</v>
      </c>
      <c r="F15044" s="29"/>
      <c r="G15044" s="30">
        <v>43.58</v>
      </c>
    </row>
    <row r="15045" spans="1:7" hidden="1" x14ac:dyDescent="0.25">
      <c r="A15045" s="28">
        <v>44774</v>
      </c>
      <c r="B15045" s="27" t="s">
        <v>2</v>
      </c>
      <c r="C15045" s="27" t="s">
        <v>50</v>
      </c>
      <c r="D15045" s="27" t="s">
        <v>7</v>
      </c>
      <c r="E15045" s="27" t="s">
        <v>17</v>
      </c>
      <c r="F15045" s="29"/>
      <c r="G15045" s="30">
        <v>1068.6500000000005</v>
      </c>
    </row>
    <row r="15046" spans="1:7" hidden="1" x14ac:dyDescent="0.25">
      <c r="A15046" s="28">
        <v>44774</v>
      </c>
      <c r="B15046" s="27" t="s">
        <v>2</v>
      </c>
      <c r="C15046" s="27" t="s">
        <v>50</v>
      </c>
      <c r="D15046" s="27" t="s">
        <v>7</v>
      </c>
      <c r="E15046" s="27" t="s">
        <v>18</v>
      </c>
      <c r="F15046" s="29"/>
      <c r="G15046" s="30">
        <v>10.8</v>
      </c>
    </row>
    <row r="15047" spans="1:7" hidden="1" x14ac:dyDescent="0.25">
      <c r="A15047" s="28">
        <v>44774</v>
      </c>
      <c r="B15047" s="27" t="s">
        <v>2</v>
      </c>
      <c r="C15047" s="27" t="s">
        <v>50</v>
      </c>
      <c r="D15047" s="27" t="s">
        <v>7</v>
      </c>
      <c r="E15047" s="27" t="s">
        <v>19</v>
      </c>
      <c r="F15047" s="29"/>
      <c r="G15047" s="30">
        <v>535.59999999999968</v>
      </c>
    </row>
    <row r="15048" spans="1:7" hidden="1" x14ac:dyDescent="0.25">
      <c r="A15048" s="28">
        <v>44774</v>
      </c>
      <c r="B15048" s="27" t="s">
        <v>2</v>
      </c>
      <c r="C15048" s="27" t="s">
        <v>50</v>
      </c>
      <c r="D15048" s="27" t="s">
        <v>7</v>
      </c>
      <c r="E15048" s="27" t="s">
        <v>20</v>
      </c>
      <c r="F15048" s="29"/>
      <c r="G15048" s="30">
        <v>390.09999999999991</v>
      </c>
    </row>
    <row r="15049" spans="1:7" hidden="1" x14ac:dyDescent="0.25">
      <c r="A15049" s="28">
        <v>44774</v>
      </c>
      <c r="B15049" s="27" t="s">
        <v>2</v>
      </c>
      <c r="C15049" s="27" t="s">
        <v>50</v>
      </c>
      <c r="D15049" s="27" t="s">
        <v>7</v>
      </c>
      <c r="E15049" s="27" t="s">
        <v>23</v>
      </c>
      <c r="F15049" s="29"/>
      <c r="G15049" s="30">
        <v>1079.8799999999999</v>
      </c>
    </row>
    <row r="15050" spans="1:7" hidden="1" x14ac:dyDescent="0.25">
      <c r="A15050" s="28">
        <v>44774</v>
      </c>
      <c r="B15050" s="27" t="s">
        <v>2</v>
      </c>
      <c r="C15050" s="27" t="s">
        <v>50</v>
      </c>
      <c r="D15050" s="27" t="s">
        <v>7</v>
      </c>
      <c r="E15050" s="27" t="s">
        <v>40</v>
      </c>
      <c r="F15050" s="29"/>
      <c r="G15050" s="30">
        <v>621.60000000000014</v>
      </c>
    </row>
    <row r="15051" spans="1:7" hidden="1" x14ac:dyDescent="0.25">
      <c r="A15051" s="28">
        <v>44774</v>
      </c>
      <c r="B15051" s="27" t="s">
        <v>2</v>
      </c>
      <c r="C15051" s="27" t="s">
        <v>50</v>
      </c>
      <c r="D15051" s="27" t="s">
        <v>7</v>
      </c>
      <c r="E15051" s="27" t="s">
        <v>42</v>
      </c>
      <c r="F15051" s="29"/>
      <c r="G15051" s="30">
        <v>180.32000000000005</v>
      </c>
    </row>
    <row r="15052" spans="1:7" hidden="1" x14ac:dyDescent="0.25">
      <c r="A15052" s="28">
        <v>44774</v>
      </c>
      <c r="B15052" s="27" t="s">
        <v>2</v>
      </c>
      <c r="C15052" s="27" t="s">
        <v>50</v>
      </c>
      <c r="D15052" s="27" t="s">
        <v>7</v>
      </c>
      <c r="E15052" s="27" t="s">
        <v>43</v>
      </c>
      <c r="F15052" s="29"/>
      <c r="G15052" s="30">
        <v>553.79999999999984</v>
      </c>
    </row>
    <row r="15053" spans="1:7" hidden="1" x14ac:dyDescent="0.25">
      <c r="A15053" s="28">
        <v>44774</v>
      </c>
      <c r="B15053" s="27" t="s">
        <v>2</v>
      </c>
      <c r="C15053" s="27" t="s">
        <v>50</v>
      </c>
      <c r="D15053" s="27" t="s">
        <v>7</v>
      </c>
      <c r="E15053" s="27" t="s">
        <v>72</v>
      </c>
      <c r="F15053" s="29"/>
      <c r="G15053" s="30">
        <v>462.09999999999974</v>
      </c>
    </row>
    <row r="15054" spans="1:7" hidden="1" x14ac:dyDescent="0.25">
      <c r="A15054" s="28">
        <v>44774</v>
      </c>
      <c r="B15054" s="27" t="s">
        <v>2</v>
      </c>
      <c r="C15054" s="27" t="s">
        <v>50</v>
      </c>
      <c r="D15054" s="27" t="s">
        <v>7</v>
      </c>
      <c r="E15054" s="27" t="s">
        <v>206</v>
      </c>
      <c r="F15054" s="29"/>
      <c r="G15054" s="30">
        <v>3177.7000000000012</v>
      </c>
    </row>
    <row r="15055" spans="1:7" hidden="1" x14ac:dyDescent="0.25">
      <c r="A15055" s="28">
        <v>44774</v>
      </c>
      <c r="B15055" s="27" t="s">
        <v>2</v>
      </c>
      <c r="C15055" s="27" t="s">
        <v>50</v>
      </c>
      <c r="D15055" s="27" t="s">
        <v>7</v>
      </c>
      <c r="E15055" s="27" t="s">
        <v>67</v>
      </c>
      <c r="F15055" s="29"/>
      <c r="G15055" s="30">
        <v>486.0000000000004</v>
      </c>
    </row>
    <row r="15056" spans="1:7" hidden="1" x14ac:dyDescent="0.25">
      <c r="A15056" s="28">
        <v>44774</v>
      </c>
      <c r="B15056" s="27" t="s">
        <v>2</v>
      </c>
      <c r="C15056" s="27" t="s">
        <v>50</v>
      </c>
      <c r="D15056" s="27" t="s">
        <v>7</v>
      </c>
      <c r="E15056" s="27" t="s">
        <v>68</v>
      </c>
      <c r="F15056" s="29"/>
      <c r="G15056" s="30">
        <v>3248.3999999999978</v>
      </c>
    </row>
    <row r="15057" spans="1:7" hidden="1" x14ac:dyDescent="0.25">
      <c r="A15057" s="28">
        <v>44774</v>
      </c>
      <c r="B15057" s="27" t="s">
        <v>2</v>
      </c>
      <c r="C15057" s="27" t="s">
        <v>50</v>
      </c>
      <c r="D15057" s="27" t="s">
        <v>7</v>
      </c>
      <c r="E15057" s="27" t="s">
        <v>74</v>
      </c>
      <c r="F15057" s="29"/>
      <c r="G15057" s="30">
        <v>612.17999999999995</v>
      </c>
    </row>
    <row r="15058" spans="1:7" hidden="1" x14ac:dyDescent="0.25">
      <c r="A15058" s="28">
        <v>44774</v>
      </c>
      <c r="B15058" s="27" t="s">
        <v>2</v>
      </c>
      <c r="C15058" s="27" t="s">
        <v>50</v>
      </c>
      <c r="D15058" s="27" t="s">
        <v>7</v>
      </c>
      <c r="E15058" s="27" t="s">
        <v>37</v>
      </c>
      <c r="F15058" s="29"/>
      <c r="G15058" s="30">
        <v>481.19000000000005</v>
      </c>
    </row>
    <row r="15059" spans="1:7" hidden="1" x14ac:dyDescent="0.25">
      <c r="A15059" s="28">
        <v>44774</v>
      </c>
      <c r="B15059" s="27" t="s">
        <v>36</v>
      </c>
      <c r="C15059" s="27" t="s">
        <v>50</v>
      </c>
      <c r="D15059" s="27" t="s">
        <v>6</v>
      </c>
      <c r="E15059" s="27" t="s">
        <v>8</v>
      </c>
      <c r="F15059" s="29"/>
      <c r="G15059" s="30">
        <v>468.11214285714283</v>
      </c>
    </row>
    <row r="15060" spans="1:7" hidden="1" x14ac:dyDescent="0.25">
      <c r="A15060" s="28">
        <v>44774</v>
      </c>
      <c r="B15060" s="27" t="s">
        <v>36</v>
      </c>
      <c r="C15060" s="27" t="s">
        <v>50</v>
      </c>
      <c r="D15060" s="27" t="s">
        <v>6</v>
      </c>
      <c r="E15060" s="27" t="s">
        <v>9</v>
      </c>
      <c r="F15060" s="29"/>
      <c r="G15060" s="30">
        <v>468.11214285714283</v>
      </c>
    </row>
    <row r="15061" spans="1:7" hidden="1" x14ac:dyDescent="0.25">
      <c r="A15061" s="28">
        <v>44774</v>
      </c>
      <c r="B15061" s="27" t="s">
        <v>36</v>
      </c>
      <c r="C15061" s="27" t="s">
        <v>50</v>
      </c>
      <c r="D15061" s="27" t="s">
        <v>6</v>
      </c>
      <c r="E15061" s="27" t="s">
        <v>22</v>
      </c>
      <c r="F15061" s="29"/>
      <c r="G15061" s="30">
        <v>468.11214285714283</v>
      </c>
    </row>
    <row r="15062" spans="1:7" hidden="1" x14ac:dyDescent="0.25">
      <c r="A15062" s="28">
        <v>44774</v>
      </c>
      <c r="B15062" s="27" t="s">
        <v>36</v>
      </c>
      <c r="C15062" s="27" t="s">
        <v>50</v>
      </c>
      <c r="D15062" s="27" t="s">
        <v>6</v>
      </c>
      <c r="E15062" s="27" t="s">
        <v>39</v>
      </c>
      <c r="F15062" s="29"/>
      <c r="G15062" s="30">
        <v>468.11214285714283</v>
      </c>
    </row>
    <row r="15063" spans="1:7" hidden="1" x14ac:dyDescent="0.25">
      <c r="A15063" s="28">
        <v>44774</v>
      </c>
      <c r="B15063" s="27" t="s">
        <v>36</v>
      </c>
      <c r="C15063" s="27" t="s">
        <v>50</v>
      </c>
      <c r="D15063" s="27" t="s">
        <v>6</v>
      </c>
      <c r="E15063" s="27" t="s">
        <v>64</v>
      </c>
      <c r="F15063" s="29"/>
      <c r="G15063" s="30">
        <v>468.11214285714283</v>
      </c>
    </row>
    <row r="15064" spans="1:7" hidden="1" x14ac:dyDescent="0.25">
      <c r="A15064" s="28">
        <v>44774</v>
      </c>
      <c r="B15064" s="27" t="s">
        <v>36</v>
      </c>
      <c r="C15064" s="27" t="s">
        <v>50</v>
      </c>
      <c r="D15064" s="27" t="s">
        <v>6</v>
      </c>
      <c r="E15064" s="27" t="s">
        <v>21</v>
      </c>
      <c r="F15064" s="29"/>
      <c r="G15064" s="30">
        <v>468.11214285714283</v>
      </c>
    </row>
    <row r="15065" spans="1:7" hidden="1" x14ac:dyDescent="0.25">
      <c r="A15065" s="28">
        <v>44774</v>
      </c>
      <c r="B15065" s="27" t="s">
        <v>36</v>
      </c>
      <c r="C15065" s="27" t="s">
        <v>50</v>
      </c>
      <c r="D15065" s="27" t="s">
        <v>6</v>
      </c>
      <c r="E15065" s="27" t="s">
        <v>41</v>
      </c>
      <c r="F15065" s="29"/>
      <c r="G15065" s="30">
        <v>468.11214285714283</v>
      </c>
    </row>
    <row r="15066" spans="1:7" hidden="1" x14ac:dyDescent="0.25">
      <c r="A15066" s="28">
        <v>44774</v>
      </c>
      <c r="B15066" s="27" t="s">
        <v>36</v>
      </c>
      <c r="C15066" s="27" t="s">
        <v>50</v>
      </c>
      <c r="D15066" s="27" t="s">
        <v>6</v>
      </c>
      <c r="E15066" s="27" t="s">
        <v>10</v>
      </c>
      <c r="F15066" s="29"/>
      <c r="G15066" s="30">
        <v>468.11214285714283</v>
      </c>
    </row>
    <row r="15067" spans="1:7" hidden="1" x14ac:dyDescent="0.25">
      <c r="A15067" s="28">
        <v>44774</v>
      </c>
      <c r="B15067" s="27" t="s">
        <v>36</v>
      </c>
      <c r="C15067" s="27" t="s">
        <v>50</v>
      </c>
      <c r="D15067" s="27" t="s">
        <v>6</v>
      </c>
      <c r="E15067" s="27" t="s">
        <v>11</v>
      </c>
      <c r="F15067" s="29"/>
      <c r="G15067" s="30">
        <v>468.11214285714283</v>
      </c>
    </row>
    <row r="15068" spans="1:7" hidden="1" x14ac:dyDescent="0.25">
      <c r="A15068" s="28">
        <v>44774</v>
      </c>
      <c r="B15068" s="27" t="s">
        <v>36</v>
      </c>
      <c r="C15068" s="27" t="s">
        <v>50</v>
      </c>
      <c r="D15068" s="27" t="s">
        <v>6</v>
      </c>
      <c r="E15068" s="27" t="s">
        <v>12</v>
      </c>
      <c r="F15068" s="29"/>
      <c r="G15068" s="30">
        <v>468.11214285714283</v>
      </c>
    </row>
    <row r="15069" spans="1:7" hidden="1" x14ac:dyDescent="0.25">
      <c r="A15069" s="28">
        <v>44774</v>
      </c>
      <c r="B15069" s="27" t="s">
        <v>36</v>
      </c>
      <c r="C15069" s="27" t="s">
        <v>50</v>
      </c>
      <c r="D15069" s="27" t="s">
        <v>6</v>
      </c>
      <c r="E15069" s="27" t="s">
        <v>13</v>
      </c>
      <c r="F15069" s="29"/>
      <c r="G15069" s="30">
        <v>468.11214285714283</v>
      </c>
    </row>
    <row r="15070" spans="1:7" hidden="1" x14ac:dyDescent="0.25">
      <c r="A15070" s="28">
        <v>44774</v>
      </c>
      <c r="B15070" s="27" t="s">
        <v>36</v>
      </c>
      <c r="C15070" s="27" t="s">
        <v>50</v>
      </c>
      <c r="D15070" s="27" t="s">
        <v>6</v>
      </c>
      <c r="E15070" s="27" t="s">
        <v>14</v>
      </c>
      <c r="F15070" s="29"/>
      <c r="G15070" s="30">
        <v>468.11214285714283</v>
      </c>
    </row>
    <row r="15071" spans="1:7" hidden="1" x14ac:dyDescent="0.25">
      <c r="A15071" s="28">
        <v>44774</v>
      </c>
      <c r="B15071" s="27" t="s">
        <v>36</v>
      </c>
      <c r="C15071" s="27" t="s">
        <v>50</v>
      </c>
      <c r="D15071" s="27" t="s">
        <v>6</v>
      </c>
      <c r="E15071" s="27" t="s">
        <v>15</v>
      </c>
      <c r="F15071" s="29"/>
      <c r="G15071" s="30">
        <v>468.11214285714283</v>
      </c>
    </row>
    <row r="15072" spans="1:7" hidden="1" x14ac:dyDescent="0.25">
      <c r="A15072" s="28">
        <v>44774</v>
      </c>
      <c r="B15072" s="27" t="s">
        <v>36</v>
      </c>
      <c r="C15072" s="27" t="s">
        <v>50</v>
      </c>
      <c r="D15072" s="27" t="s">
        <v>6</v>
      </c>
      <c r="E15072" s="27" t="s">
        <v>16</v>
      </c>
      <c r="F15072" s="29"/>
      <c r="G15072" s="30">
        <v>468.11214285714283</v>
      </c>
    </row>
    <row r="15073" spans="1:7" hidden="1" x14ac:dyDescent="0.25">
      <c r="A15073" s="28">
        <v>44774</v>
      </c>
      <c r="B15073" s="27" t="s">
        <v>36</v>
      </c>
      <c r="C15073" s="27" t="s">
        <v>50</v>
      </c>
      <c r="D15073" s="27" t="s">
        <v>6</v>
      </c>
      <c r="E15073" s="27" t="s">
        <v>17</v>
      </c>
      <c r="F15073" s="29"/>
      <c r="G15073" s="30">
        <v>468.11214285714283</v>
      </c>
    </row>
    <row r="15074" spans="1:7" hidden="1" x14ac:dyDescent="0.25">
      <c r="A15074" s="28">
        <v>44774</v>
      </c>
      <c r="B15074" s="27" t="s">
        <v>36</v>
      </c>
      <c r="C15074" s="27" t="s">
        <v>50</v>
      </c>
      <c r="D15074" s="27" t="s">
        <v>6</v>
      </c>
      <c r="E15074" s="27" t="s">
        <v>18</v>
      </c>
      <c r="F15074" s="29"/>
      <c r="G15074" s="30">
        <v>468.11214285714283</v>
      </c>
    </row>
    <row r="15075" spans="1:7" hidden="1" x14ac:dyDescent="0.25">
      <c r="A15075" s="28">
        <v>44774</v>
      </c>
      <c r="B15075" s="27" t="s">
        <v>36</v>
      </c>
      <c r="C15075" s="27" t="s">
        <v>50</v>
      </c>
      <c r="D15075" s="27" t="s">
        <v>6</v>
      </c>
      <c r="E15075" s="27" t="s">
        <v>19</v>
      </c>
      <c r="F15075" s="29"/>
      <c r="G15075" s="30">
        <v>468.11214285714283</v>
      </c>
    </row>
    <row r="15076" spans="1:7" hidden="1" x14ac:dyDescent="0.25">
      <c r="A15076" s="28">
        <v>44774</v>
      </c>
      <c r="B15076" s="27" t="s">
        <v>36</v>
      </c>
      <c r="C15076" s="27" t="s">
        <v>50</v>
      </c>
      <c r="D15076" s="27" t="s">
        <v>6</v>
      </c>
      <c r="E15076" s="27" t="s">
        <v>20</v>
      </c>
      <c r="F15076" s="29"/>
      <c r="G15076" s="30">
        <v>468.11214285714283</v>
      </c>
    </row>
    <row r="15077" spans="1:7" hidden="1" x14ac:dyDescent="0.25">
      <c r="A15077" s="28">
        <v>44774</v>
      </c>
      <c r="B15077" s="27" t="s">
        <v>36</v>
      </c>
      <c r="C15077" s="27" t="s">
        <v>50</v>
      </c>
      <c r="D15077" s="27" t="s">
        <v>6</v>
      </c>
      <c r="E15077" s="27" t="s">
        <v>38</v>
      </c>
      <c r="F15077" s="29"/>
      <c r="G15077" s="30">
        <v>468.11214285714283</v>
      </c>
    </row>
    <row r="15078" spans="1:7" hidden="1" x14ac:dyDescent="0.25">
      <c r="A15078" s="28">
        <v>44774</v>
      </c>
      <c r="B15078" s="27" t="s">
        <v>36</v>
      </c>
      <c r="C15078" s="27" t="s">
        <v>50</v>
      </c>
      <c r="D15078" s="27" t="s">
        <v>6</v>
      </c>
      <c r="E15078" s="27" t="s">
        <v>23</v>
      </c>
      <c r="F15078" s="29"/>
      <c r="G15078" s="30">
        <v>468.11214285714283</v>
      </c>
    </row>
    <row r="15079" spans="1:7" hidden="1" x14ac:dyDescent="0.25">
      <c r="A15079" s="28">
        <v>44774</v>
      </c>
      <c r="B15079" s="27" t="s">
        <v>36</v>
      </c>
      <c r="C15079" s="27" t="s">
        <v>50</v>
      </c>
      <c r="D15079" s="27" t="s">
        <v>6</v>
      </c>
      <c r="E15079" s="27" t="s">
        <v>40</v>
      </c>
      <c r="F15079" s="29"/>
      <c r="G15079" s="30">
        <v>468.11214285714283</v>
      </c>
    </row>
    <row r="15080" spans="1:7" hidden="1" x14ac:dyDescent="0.25">
      <c r="A15080" s="28">
        <v>44774</v>
      </c>
      <c r="B15080" s="27" t="s">
        <v>36</v>
      </c>
      <c r="C15080" s="27" t="s">
        <v>50</v>
      </c>
      <c r="D15080" s="27" t="s">
        <v>6</v>
      </c>
      <c r="E15080" s="27" t="s">
        <v>42</v>
      </c>
      <c r="F15080" s="29"/>
      <c r="G15080" s="30">
        <v>468.11214285714283</v>
      </c>
    </row>
    <row r="15081" spans="1:7" hidden="1" x14ac:dyDescent="0.25">
      <c r="A15081" s="28">
        <v>44774</v>
      </c>
      <c r="B15081" s="27" t="s">
        <v>36</v>
      </c>
      <c r="C15081" s="27" t="s">
        <v>50</v>
      </c>
      <c r="D15081" s="27" t="s">
        <v>6</v>
      </c>
      <c r="E15081" s="27" t="s">
        <v>43</v>
      </c>
      <c r="F15081" s="29"/>
      <c r="G15081" s="30">
        <v>468.11214285714283</v>
      </c>
    </row>
    <row r="15082" spans="1:7" hidden="1" x14ac:dyDescent="0.25">
      <c r="A15082" s="28">
        <v>44774</v>
      </c>
      <c r="B15082" s="27" t="s">
        <v>36</v>
      </c>
      <c r="C15082" s="27" t="s">
        <v>50</v>
      </c>
      <c r="D15082" s="27" t="s">
        <v>6</v>
      </c>
      <c r="E15082" s="27" t="s">
        <v>72</v>
      </c>
      <c r="F15082" s="29"/>
      <c r="G15082" s="30">
        <v>468.11214285714283</v>
      </c>
    </row>
    <row r="15083" spans="1:7" hidden="1" x14ac:dyDescent="0.25">
      <c r="A15083" s="28">
        <v>44774</v>
      </c>
      <c r="B15083" s="27" t="s">
        <v>36</v>
      </c>
      <c r="C15083" s="27" t="s">
        <v>50</v>
      </c>
      <c r="D15083" s="27" t="s">
        <v>6</v>
      </c>
      <c r="E15083" s="27" t="s">
        <v>206</v>
      </c>
      <c r="F15083" s="29"/>
      <c r="G15083" s="30">
        <v>468.11214285714283</v>
      </c>
    </row>
    <row r="15084" spans="1:7" hidden="1" x14ac:dyDescent="0.25">
      <c r="A15084" s="28">
        <v>44774</v>
      </c>
      <c r="B15084" s="27" t="s">
        <v>36</v>
      </c>
      <c r="C15084" s="27" t="s">
        <v>50</v>
      </c>
      <c r="D15084" s="27" t="s">
        <v>6</v>
      </c>
      <c r="E15084" s="27" t="s">
        <v>67</v>
      </c>
      <c r="F15084" s="29"/>
      <c r="G15084" s="30">
        <v>468.11214285714283</v>
      </c>
    </row>
    <row r="15085" spans="1:7" hidden="1" x14ac:dyDescent="0.25">
      <c r="A15085" s="28">
        <v>44774</v>
      </c>
      <c r="B15085" s="27" t="s">
        <v>36</v>
      </c>
      <c r="C15085" s="27" t="s">
        <v>50</v>
      </c>
      <c r="D15085" s="27" t="s">
        <v>6</v>
      </c>
      <c r="E15085" s="27" t="s">
        <v>68</v>
      </c>
      <c r="F15085" s="29"/>
      <c r="G15085" s="30">
        <v>468.11214285714283</v>
      </c>
    </row>
    <row r="15086" spans="1:7" hidden="1" x14ac:dyDescent="0.25">
      <c r="A15086" s="28">
        <v>44774</v>
      </c>
      <c r="B15086" s="27" t="s">
        <v>36</v>
      </c>
      <c r="C15086" s="27" t="s">
        <v>50</v>
      </c>
      <c r="D15086" s="27" t="s">
        <v>6</v>
      </c>
      <c r="E15086" s="27" t="s">
        <v>74</v>
      </c>
      <c r="F15086" s="29"/>
      <c r="G15086" s="30">
        <v>468.11214285714283</v>
      </c>
    </row>
    <row r="15087" spans="1:7" hidden="1" x14ac:dyDescent="0.25">
      <c r="A15087" s="28">
        <v>44774</v>
      </c>
      <c r="B15087" s="27" t="s">
        <v>200</v>
      </c>
      <c r="C15087" s="27" t="s">
        <v>53</v>
      </c>
      <c r="D15087" s="27" t="s">
        <v>6</v>
      </c>
      <c r="E15087" s="27" t="s">
        <v>8</v>
      </c>
      <c r="F15087" s="29"/>
      <c r="G15087" s="30">
        <f t="shared" ref="G15087:G15110" si="259">2328.95819444444/24</f>
        <v>97.039924768518333</v>
      </c>
    </row>
    <row r="15088" spans="1:7" hidden="1" x14ac:dyDescent="0.25">
      <c r="A15088" s="28">
        <v>44774</v>
      </c>
      <c r="B15088" s="27" t="s">
        <v>200</v>
      </c>
      <c r="C15088" s="27" t="s">
        <v>53</v>
      </c>
      <c r="D15088" s="27" t="s">
        <v>6</v>
      </c>
      <c r="E15088" s="27" t="s">
        <v>9</v>
      </c>
      <c r="F15088" s="29"/>
      <c r="G15088" s="30">
        <f t="shared" si="259"/>
        <v>97.039924768518333</v>
      </c>
    </row>
    <row r="15089" spans="1:7" hidden="1" x14ac:dyDescent="0.25">
      <c r="A15089" s="28">
        <v>44774</v>
      </c>
      <c r="B15089" s="27" t="s">
        <v>200</v>
      </c>
      <c r="C15089" s="27" t="s">
        <v>53</v>
      </c>
      <c r="D15089" s="27" t="s">
        <v>6</v>
      </c>
      <c r="E15089" s="27" t="s">
        <v>22</v>
      </c>
      <c r="F15089" s="29"/>
      <c r="G15089" s="30">
        <f t="shared" si="259"/>
        <v>97.039924768518333</v>
      </c>
    </row>
    <row r="15090" spans="1:7" hidden="1" x14ac:dyDescent="0.25">
      <c r="A15090" s="28">
        <v>44774</v>
      </c>
      <c r="B15090" s="27" t="s">
        <v>200</v>
      </c>
      <c r="C15090" s="27" t="s">
        <v>53</v>
      </c>
      <c r="D15090" s="27" t="s">
        <v>6</v>
      </c>
      <c r="E15090" s="27" t="s">
        <v>39</v>
      </c>
      <c r="F15090" s="29"/>
      <c r="G15090" s="30">
        <f t="shared" si="259"/>
        <v>97.039924768518333</v>
      </c>
    </row>
    <row r="15091" spans="1:7" hidden="1" x14ac:dyDescent="0.25">
      <c r="A15091" s="28">
        <v>44774</v>
      </c>
      <c r="B15091" s="27" t="s">
        <v>200</v>
      </c>
      <c r="C15091" s="27" t="s">
        <v>53</v>
      </c>
      <c r="D15091" s="27" t="s">
        <v>6</v>
      </c>
      <c r="E15091" s="27" t="s">
        <v>64</v>
      </c>
      <c r="F15091" s="29"/>
      <c r="G15091" s="30">
        <f t="shared" si="259"/>
        <v>97.039924768518333</v>
      </c>
    </row>
    <row r="15092" spans="1:7" hidden="1" x14ac:dyDescent="0.25">
      <c r="A15092" s="28">
        <v>44774</v>
      </c>
      <c r="B15092" s="27" t="s">
        <v>200</v>
      </c>
      <c r="C15092" s="27" t="s">
        <v>53</v>
      </c>
      <c r="D15092" s="27" t="s">
        <v>6</v>
      </c>
      <c r="E15092" s="27" t="s">
        <v>21</v>
      </c>
      <c r="F15092" s="29"/>
      <c r="G15092" s="30">
        <f t="shared" si="259"/>
        <v>97.039924768518333</v>
      </c>
    </row>
    <row r="15093" spans="1:7" hidden="1" x14ac:dyDescent="0.25">
      <c r="A15093" s="28">
        <v>44774</v>
      </c>
      <c r="B15093" s="27" t="s">
        <v>200</v>
      </c>
      <c r="C15093" s="27" t="s">
        <v>53</v>
      </c>
      <c r="D15093" s="27" t="s">
        <v>6</v>
      </c>
      <c r="E15093" s="27" t="s">
        <v>41</v>
      </c>
      <c r="F15093" s="29"/>
      <c r="G15093" s="30">
        <f t="shared" si="259"/>
        <v>97.039924768518333</v>
      </c>
    </row>
    <row r="15094" spans="1:7" hidden="1" x14ac:dyDescent="0.25">
      <c r="A15094" s="28">
        <v>44774</v>
      </c>
      <c r="B15094" s="27" t="s">
        <v>200</v>
      </c>
      <c r="C15094" s="27" t="s">
        <v>53</v>
      </c>
      <c r="D15094" s="27" t="s">
        <v>6</v>
      </c>
      <c r="E15094" s="27" t="s">
        <v>10</v>
      </c>
      <c r="F15094" s="29"/>
      <c r="G15094" s="30">
        <f t="shared" si="259"/>
        <v>97.039924768518333</v>
      </c>
    </row>
    <row r="15095" spans="1:7" hidden="1" x14ac:dyDescent="0.25">
      <c r="A15095" s="28">
        <v>44774</v>
      </c>
      <c r="B15095" s="27" t="s">
        <v>200</v>
      </c>
      <c r="C15095" s="27" t="s">
        <v>53</v>
      </c>
      <c r="D15095" s="27" t="s">
        <v>6</v>
      </c>
      <c r="E15095" s="27" t="s">
        <v>11</v>
      </c>
      <c r="F15095" s="29"/>
      <c r="G15095" s="30">
        <f t="shared" si="259"/>
        <v>97.039924768518333</v>
      </c>
    </row>
    <row r="15096" spans="1:7" hidden="1" x14ac:dyDescent="0.25">
      <c r="A15096" s="28">
        <v>44774</v>
      </c>
      <c r="B15096" s="27" t="s">
        <v>200</v>
      </c>
      <c r="C15096" s="27" t="s">
        <v>53</v>
      </c>
      <c r="D15096" s="27" t="s">
        <v>6</v>
      </c>
      <c r="E15096" s="27" t="s">
        <v>12</v>
      </c>
      <c r="F15096" s="29"/>
      <c r="G15096" s="30">
        <f t="shared" si="259"/>
        <v>97.039924768518333</v>
      </c>
    </row>
    <row r="15097" spans="1:7" hidden="1" x14ac:dyDescent="0.25">
      <c r="A15097" s="28">
        <v>44774</v>
      </c>
      <c r="B15097" s="27" t="s">
        <v>200</v>
      </c>
      <c r="C15097" s="27" t="s">
        <v>53</v>
      </c>
      <c r="D15097" s="27" t="s">
        <v>6</v>
      </c>
      <c r="E15097" s="27" t="s">
        <v>13</v>
      </c>
      <c r="F15097" s="29"/>
      <c r="G15097" s="30">
        <f t="shared" si="259"/>
        <v>97.039924768518333</v>
      </c>
    </row>
    <row r="15098" spans="1:7" hidden="1" x14ac:dyDescent="0.25">
      <c r="A15098" s="28">
        <v>44774</v>
      </c>
      <c r="B15098" s="27" t="s">
        <v>200</v>
      </c>
      <c r="C15098" s="27" t="s">
        <v>53</v>
      </c>
      <c r="D15098" s="27" t="s">
        <v>6</v>
      </c>
      <c r="E15098" s="27" t="s">
        <v>14</v>
      </c>
      <c r="F15098" s="29"/>
      <c r="G15098" s="30">
        <f t="shared" si="259"/>
        <v>97.039924768518333</v>
      </c>
    </row>
    <row r="15099" spans="1:7" hidden="1" x14ac:dyDescent="0.25">
      <c r="A15099" s="28">
        <v>44774</v>
      </c>
      <c r="B15099" s="27" t="s">
        <v>200</v>
      </c>
      <c r="C15099" s="27" t="s">
        <v>53</v>
      </c>
      <c r="D15099" s="27" t="s">
        <v>6</v>
      </c>
      <c r="E15099" s="27" t="s">
        <v>15</v>
      </c>
      <c r="F15099" s="29"/>
      <c r="G15099" s="30">
        <f t="shared" si="259"/>
        <v>97.039924768518333</v>
      </c>
    </row>
    <row r="15100" spans="1:7" hidden="1" x14ac:dyDescent="0.25">
      <c r="A15100" s="28">
        <v>44774</v>
      </c>
      <c r="B15100" s="27" t="s">
        <v>200</v>
      </c>
      <c r="C15100" s="27" t="s">
        <v>53</v>
      </c>
      <c r="D15100" s="27" t="s">
        <v>6</v>
      </c>
      <c r="E15100" s="27" t="s">
        <v>16</v>
      </c>
      <c r="F15100" s="29"/>
      <c r="G15100" s="30">
        <f t="shared" si="259"/>
        <v>97.039924768518333</v>
      </c>
    </row>
    <row r="15101" spans="1:7" hidden="1" x14ac:dyDescent="0.25">
      <c r="A15101" s="28">
        <v>44774</v>
      </c>
      <c r="B15101" s="27" t="s">
        <v>200</v>
      </c>
      <c r="C15101" s="27" t="s">
        <v>53</v>
      </c>
      <c r="D15101" s="27" t="s">
        <v>6</v>
      </c>
      <c r="E15101" s="27" t="s">
        <v>17</v>
      </c>
      <c r="F15101" s="29"/>
      <c r="G15101" s="30">
        <f t="shared" si="259"/>
        <v>97.039924768518333</v>
      </c>
    </row>
    <row r="15102" spans="1:7" hidden="1" x14ac:dyDescent="0.25">
      <c r="A15102" s="28">
        <v>44774</v>
      </c>
      <c r="B15102" s="27" t="s">
        <v>200</v>
      </c>
      <c r="C15102" s="27" t="s">
        <v>53</v>
      </c>
      <c r="D15102" s="27" t="s">
        <v>6</v>
      </c>
      <c r="E15102" s="27" t="s">
        <v>18</v>
      </c>
      <c r="F15102" s="29"/>
      <c r="G15102" s="30">
        <f t="shared" si="259"/>
        <v>97.039924768518333</v>
      </c>
    </row>
    <row r="15103" spans="1:7" hidden="1" x14ac:dyDescent="0.25">
      <c r="A15103" s="28">
        <v>44774</v>
      </c>
      <c r="B15103" s="27" t="s">
        <v>200</v>
      </c>
      <c r="C15103" s="27" t="s">
        <v>53</v>
      </c>
      <c r="D15103" s="27" t="s">
        <v>6</v>
      </c>
      <c r="E15103" s="27" t="s">
        <v>19</v>
      </c>
      <c r="F15103" s="29"/>
      <c r="G15103" s="30">
        <f t="shared" si="259"/>
        <v>97.039924768518333</v>
      </c>
    </row>
    <row r="15104" spans="1:7" hidden="1" x14ac:dyDescent="0.25">
      <c r="A15104" s="28">
        <v>44774</v>
      </c>
      <c r="B15104" s="27" t="s">
        <v>200</v>
      </c>
      <c r="C15104" s="27" t="s">
        <v>53</v>
      </c>
      <c r="D15104" s="27" t="s">
        <v>6</v>
      </c>
      <c r="E15104" s="27" t="s">
        <v>20</v>
      </c>
      <c r="F15104" s="29"/>
      <c r="G15104" s="30">
        <f t="shared" si="259"/>
        <v>97.039924768518333</v>
      </c>
    </row>
    <row r="15105" spans="1:7" hidden="1" x14ac:dyDescent="0.25">
      <c r="A15105" s="28">
        <v>44774</v>
      </c>
      <c r="B15105" s="27" t="s">
        <v>200</v>
      </c>
      <c r="C15105" s="27" t="s">
        <v>53</v>
      </c>
      <c r="D15105" s="27" t="s">
        <v>6</v>
      </c>
      <c r="E15105" s="27" t="s">
        <v>38</v>
      </c>
      <c r="F15105" s="29"/>
      <c r="G15105" s="30">
        <f t="shared" si="259"/>
        <v>97.039924768518333</v>
      </c>
    </row>
    <row r="15106" spans="1:7" hidden="1" x14ac:dyDescent="0.25">
      <c r="A15106" s="28">
        <v>44774</v>
      </c>
      <c r="B15106" s="27" t="s">
        <v>200</v>
      </c>
      <c r="C15106" s="27" t="s">
        <v>53</v>
      </c>
      <c r="D15106" s="27" t="s">
        <v>6</v>
      </c>
      <c r="E15106" s="27" t="s">
        <v>23</v>
      </c>
      <c r="F15106" s="29"/>
      <c r="G15106" s="30">
        <f t="shared" si="259"/>
        <v>97.039924768518333</v>
      </c>
    </row>
    <row r="15107" spans="1:7" hidden="1" x14ac:dyDescent="0.25">
      <c r="A15107" s="28">
        <v>44774</v>
      </c>
      <c r="B15107" s="27" t="s">
        <v>200</v>
      </c>
      <c r="C15107" s="27" t="s">
        <v>53</v>
      </c>
      <c r="D15107" s="27" t="s">
        <v>6</v>
      </c>
      <c r="E15107" s="27" t="s">
        <v>40</v>
      </c>
      <c r="F15107" s="29"/>
      <c r="G15107" s="30">
        <f t="shared" si="259"/>
        <v>97.039924768518333</v>
      </c>
    </row>
    <row r="15108" spans="1:7" hidden="1" x14ac:dyDescent="0.25">
      <c r="A15108" s="28">
        <v>44774</v>
      </c>
      <c r="B15108" s="27" t="s">
        <v>200</v>
      </c>
      <c r="C15108" s="27" t="s">
        <v>53</v>
      </c>
      <c r="D15108" s="27" t="s">
        <v>6</v>
      </c>
      <c r="E15108" s="27" t="s">
        <v>42</v>
      </c>
      <c r="F15108" s="29"/>
      <c r="G15108" s="30">
        <f t="shared" si="259"/>
        <v>97.039924768518333</v>
      </c>
    </row>
    <row r="15109" spans="1:7" hidden="1" x14ac:dyDescent="0.25">
      <c r="A15109" s="28">
        <v>44774</v>
      </c>
      <c r="B15109" s="27" t="s">
        <v>200</v>
      </c>
      <c r="C15109" s="27" t="s">
        <v>53</v>
      </c>
      <c r="D15109" s="27" t="s">
        <v>6</v>
      </c>
      <c r="E15109" s="27" t="s">
        <v>72</v>
      </c>
      <c r="F15109" s="29"/>
      <c r="G15109" s="30">
        <f t="shared" si="259"/>
        <v>97.039924768518333</v>
      </c>
    </row>
    <row r="15110" spans="1:7" hidden="1" x14ac:dyDescent="0.25">
      <c r="A15110" s="28">
        <v>44774</v>
      </c>
      <c r="B15110" s="27" t="s">
        <v>200</v>
      </c>
      <c r="C15110" s="27" t="s">
        <v>53</v>
      </c>
      <c r="D15110" s="27" t="s">
        <v>6</v>
      </c>
      <c r="E15110" s="27" t="s">
        <v>12</v>
      </c>
      <c r="F15110" s="29"/>
      <c r="G15110" s="30">
        <f t="shared" si="259"/>
        <v>97.039924768518333</v>
      </c>
    </row>
    <row r="15111" spans="1:7" hidden="1" x14ac:dyDescent="0.25">
      <c r="A15111" s="28">
        <v>44774</v>
      </c>
      <c r="B15111" s="27" t="s">
        <v>200</v>
      </c>
      <c r="C15111" s="27" t="s">
        <v>54</v>
      </c>
      <c r="D15111" s="27" t="s">
        <v>7</v>
      </c>
      <c r="E15111" s="27" t="s">
        <v>8</v>
      </c>
      <c r="F15111" s="29"/>
      <c r="G15111" s="30">
        <f t="shared" ref="G15111:G15138" si="260">661.39/28</f>
        <v>23.62107142857143</v>
      </c>
    </row>
    <row r="15112" spans="1:7" hidden="1" x14ac:dyDescent="0.25">
      <c r="A15112" s="28">
        <v>44774</v>
      </c>
      <c r="B15112" s="27" t="s">
        <v>200</v>
      </c>
      <c r="C15112" s="27" t="s">
        <v>54</v>
      </c>
      <c r="D15112" s="27" t="s">
        <v>7</v>
      </c>
      <c r="E15112" s="27" t="s">
        <v>9</v>
      </c>
      <c r="F15112" s="29"/>
      <c r="G15112" s="30">
        <f t="shared" si="260"/>
        <v>23.62107142857143</v>
      </c>
    </row>
    <row r="15113" spans="1:7" hidden="1" x14ac:dyDescent="0.25">
      <c r="A15113" s="28">
        <v>44774</v>
      </c>
      <c r="B15113" s="27" t="s">
        <v>200</v>
      </c>
      <c r="C15113" s="27" t="s">
        <v>54</v>
      </c>
      <c r="D15113" s="27" t="s">
        <v>7</v>
      </c>
      <c r="E15113" s="27" t="s">
        <v>22</v>
      </c>
      <c r="F15113" s="29"/>
      <c r="G15113" s="30">
        <f t="shared" si="260"/>
        <v>23.62107142857143</v>
      </c>
    </row>
    <row r="15114" spans="1:7" hidden="1" x14ac:dyDescent="0.25">
      <c r="A15114" s="28">
        <v>44774</v>
      </c>
      <c r="B15114" s="27" t="s">
        <v>200</v>
      </c>
      <c r="C15114" s="27" t="s">
        <v>54</v>
      </c>
      <c r="D15114" s="27" t="s">
        <v>7</v>
      </c>
      <c r="E15114" s="27" t="s">
        <v>39</v>
      </c>
      <c r="F15114" s="29"/>
      <c r="G15114" s="30">
        <f t="shared" si="260"/>
        <v>23.62107142857143</v>
      </c>
    </row>
    <row r="15115" spans="1:7" hidden="1" x14ac:dyDescent="0.25">
      <c r="A15115" s="28">
        <v>44774</v>
      </c>
      <c r="B15115" s="27" t="s">
        <v>200</v>
      </c>
      <c r="C15115" s="27" t="s">
        <v>54</v>
      </c>
      <c r="D15115" s="27" t="s">
        <v>7</v>
      </c>
      <c r="E15115" s="27" t="s">
        <v>64</v>
      </c>
      <c r="F15115" s="29"/>
      <c r="G15115" s="30">
        <f t="shared" si="260"/>
        <v>23.62107142857143</v>
      </c>
    </row>
    <row r="15116" spans="1:7" hidden="1" x14ac:dyDescent="0.25">
      <c r="A15116" s="28">
        <v>44774</v>
      </c>
      <c r="B15116" s="27" t="s">
        <v>200</v>
      </c>
      <c r="C15116" s="27" t="s">
        <v>54</v>
      </c>
      <c r="D15116" s="27" t="s">
        <v>7</v>
      </c>
      <c r="E15116" s="27" t="s">
        <v>21</v>
      </c>
      <c r="F15116" s="29"/>
      <c r="G15116" s="30">
        <f t="shared" si="260"/>
        <v>23.62107142857143</v>
      </c>
    </row>
    <row r="15117" spans="1:7" hidden="1" x14ac:dyDescent="0.25">
      <c r="A15117" s="28">
        <v>44774</v>
      </c>
      <c r="B15117" s="27" t="s">
        <v>200</v>
      </c>
      <c r="C15117" s="27" t="s">
        <v>54</v>
      </c>
      <c r="D15117" s="27" t="s">
        <v>7</v>
      </c>
      <c r="E15117" s="27" t="s">
        <v>41</v>
      </c>
      <c r="F15117" s="29"/>
      <c r="G15117" s="30">
        <f t="shared" si="260"/>
        <v>23.62107142857143</v>
      </c>
    </row>
    <row r="15118" spans="1:7" hidden="1" x14ac:dyDescent="0.25">
      <c r="A15118" s="28">
        <v>44774</v>
      </c>
      <c r="B15118" s="27" t="s">
        <v>200</v>
      </c>
      <c r="C15118" s="27" t="s">
        <v>54</v>
      </c>
      <c r="D15118" s="27" t="s">
        <v>7</v>
      </c>
      <c r="E15118" s="27" t="s">
        <v>10</v>
      </c>
      <c r="F15118" s="29"/>
      <c r="G15118" s="30">
        <f t="shared" si="260"/>
        <v>23.62107142857143</v>
      </c>
    </row>
    <row r="15119" spans="1:7" hidden="1" x14ac:dyDescent="0.25">
      <c r="A15119" s="28">
        <v>44774</v>
      </c>
      <c r="B15119" s="27" t="s">
        <v>200</v>
      </c>
      <c r="C15119" s="27" t="s">
        <v>54</v>
      </c>
      <c r="D15119" s="27" t="s">
        <v>7</v>
      </c>
      <c r="E15119" s="27" t="s">
        <v>11</v>
      </c>
      <c r="F15119" s="29"/>
      <c r="G15119" s="30">
        <f t="shared" si="260"/>
        <v>23.62107142857143</v>
      </c>
    </row>
    <row r="15120" spans="1:7" hidden="1" x14ac:dyDescent="0.25">
      <c r="A15120" s="28">
        <v>44774</v>
      </c>
      <c r="B15120" s="27" t="s">
        <v>200</v>
      </c>
      <c r="C15120" s="27" t="s">
        <v>54</v>
      </c>
      <c r="D15120" s="27" t="s">
        <v>7</v>
      </c>
      <c r="E15120" s="27" t="s">
        <v>12</v>
      </c>
      <c r="F15120" s="29"/>
      <c r="G15120" s="30">
        <f t="shared" si="260"/>
        <v>23.62107142857143</v>
      </c>
    </row>
    <row r="15121" spans="1:7" hidden="1" x14ac:dyDescent="0.25">
      <c r="A15121" s="28">
        <v>44774</v>
      </c>
      <c r="B15121" s="27" t="s">
        <v>200</v>
      </c>
      <c r="C15121" s="27" t="s">
        <v>54</v>
      </c>
      <c r="D15121" s="27" t="s">
        <v>7</v>
      </c>
      <c r="E15121" s="27" t="s">
        <v>13</v>
      </c>
      <c r="F15121" s="29"/>
      <c r="G15121" s="30">
        <f t="shared" si="260"/>
        <v>23.62107142857143</v>
      </c>
    </row>
    <row r="15122" spans="1:7" hidden="1" x14ac:dyDescent="0.25">
      <c r="A15122" s="28">
        <v>44774</v>
      </c>
      <c r="B15122" s="27" t="s">
        <v>200</v>
      </c>
      <c r="C15122" s="27" t="s">
        <v>54</v>
      </c>
      <c r="D15122" s="27" t="s">
        <v>7</v>
      </c>
      <c r="E15122" s="27" t="s">
        <v>14</v>
      </c>
      <c r="F15122" s="29"/>
      <c r="G15122" s="30">
        <f t="shared" si="260"/>
        <v>23.62107142857143</v>
      </c>
    </row>
    <row r="15123" spans="1:7" hidden="1" x14ac:dyDescent="0.25">
      <c r="A15123" s="28">
        <v>44774</v>
      </c>
      <c r="B15123" s="27" t="s">
        <v>200</v>
      </c>
      <c r="C15123" s="27" t="s">
        <v>54</v>
      </c>
      <c r="D15123" s="27" t="s">
        <v>7</v>
      </c>
      <c r="E15123" s="27" t="s">
        <v>15</v>
      </c>
      <c r="F15123" s="29"/>
      <c r="G15123" s="30">
        <f t="shared" si="260"/>
        <v>23.62107142857143</v>
      </c>
    </row>
    <row r="15124" spans="1:7" hidden="1" x14ac:dyDescent="0.25">
      <c r="A15124" s="28">
        <v>44774</v>
      </c>
      <c r="B15124" s="27" t="s">
        <v>200</v>
      </c>
      <c r="C15124" s="27" t="s">
        <v>54</v>
      </c>
      <c r="D15124" s="27" t="s">
        <v>7</v>
      </c>
      <c r="E15124" s="27" t="s">
        <v>16</v>
      </c>
      <c r="F15124" s="29"/>
      <c r="G15124" s="30">
        <f t="shared" si="260"/>
        <v>23.62107142857143</v>
      </c>
    </row>
    <row r="15125" spans="1:7" hidden="1" x14ac:dyDescent="0.25">
      <c r="A15125" s="28">
        <v>44774</v>
      </c>
      <c r="B15125" s="27" t="s">
        <v>200</v>
      </c>
      <c r="C15125" s="27" t="s">
        <v>54</v>
      </c>
      <c r="D15125" s="27" t="s">
        <v>7</v>
      </c>
      <c r="E15125" s="27" t="s">
        <v>17</v>
      </c>
      <c r="F15125" s="29"/>
      <c r="G15125" s="30">
        <f t="shared" si="260"/>
        <v>23.62107142857143</v>
      </c>
    </row>
    <row r="15126" spans="1:7" hidden="1" x14ac:dyDescent="0.25">
      <c r="A15126" s="28">
        <v>44774</v>
      </c>
      <c r="B15126" s="27" t="s">
        <v>200</v>
      </c>
      <c r="C15126" s="27" t="s">
        <v>54</v>
      </c>
      <c r="D15126" s="27" t="s">
        <v>7</v>
      </c>
      <c r="E15126" s="27" t="s">
        <v>18</v>
      </c>
      <c r="F15126" s="29"/>
      <c r="G15126" s="30">
        <f t="shared" si="260"/>
        <v>23.62107142857143</v>
      </c>
    </row>
    <row r="15127" spans="1:7" hidden="1" x14ac:dyDescent="0.25">
      <c r="A15127" s="28">
        <v>44774</v>
      </c>
      <c r="B15127" s="27" t="s">
        <v>200</v>
      </c>
      <c r="C15127" s="27" t="s">
        <v>54</v>
      </c>
      <c r="D15127" s="27" t="s">
        <v>7</v>
      </c>
      <c r="E15127" s="27" t="s">
        <v>19</v>
      </c>
      <c r="F15127" s="29"/>
      <c r="G15127" s="30">
        <f t="shared" si="260"/>
        <v>23.62107142857143</v>
      </c>
    </row>
    <row r="15128" spans="1:7" hidden="1" x14ac:dyDescent="0.25">
      <c r="A15128" s="28">
        <v>44774</v>
      </c>
      <c r="B15128" s="27" t="s">
        <v>200</v>
      </c>
      <c r="C15128" s="27" t="s">
        <v>54</v>
      </c>
      <c r="D15128" s="27" t="s">
        <v>7</v>
      </c>
      <c r="E15128" s="27" t="s">
        <v>20</v>
      </c>
      <c r="F15128" s="29"/>
      <c r="G15128" s="30">
        <f t="shared" si="260"/>
        <v>23.62107142857143</v>
      </c>
    </row>
    <row r="15129" spans="1:7" hidden="1" x14ac:dyDescent="0.25">
      <c r="A15129" s="28">
        <v>44774</v>
      </c>
      <c r="B15129" s="27" t="s">
        <v>200</v>
      </c>
      <c r="C15129" s="27" t="s">
        <v>54</v>
      </c>
      <c r="D15129" s="27" t="s">
        <v>7</v>
      </c>
      <c r="E15129" s="27" t="s">
        <v>38</v>
      </c>
      <c r="F15129" s="29"/>
      <c r="G15129" s="30">
        <f t="shared" si="260"/>
        <v>23.62107142857143</v>
      </c>
    </row>
    <row r="15130" spans="1:7" hidden="1" x14ac:dyDescent="0.25">
      <c r="A15130" s="28">
        <v>44774</v>
      </c>
      <c r="B15130" s="27" t="s">
        <v>200</v>
      </c>
      <c r="C15130" s="27" t="s">
        <v>54</v>
      </c>
      <c r="D15130" s="27" t="s">
        <v>7</v>
      </c>
      <c r="E15130" s="27" t="s">
        <v>23</v>
      </c>
      <c r="F15130" s="29"/>
      <c r="G15130" s="30">
        <f t="shared" si="260"/>
        <v>23.62107142857143</v>
      </c>
    </row>
    <row r="15131" spans="1:7" hidden="1" x14ac:dyDescent="0.25">
      <c r="A15131" s="28">
        <v>44774</v>
      </c>
      <c r="B15131" s="27" t="s">
        <v>200</v>
      </c>
      <c r="C15131" s="27" t="s">
        <v>54</v>
      </c>
      <c r="D15131" s="27" t="s">
        <v>7</v>
      </c>
      <c r="E15131" s="27" t="s">
        <v>40</v>
      </c>
      <c r="F15131" s="29"/>
      <c r="G15131" s="30">
        <f t="shared" si="260"/>
        <v>23.62107142857143</v>
      </c>
    </row>
    <row r="15132" spans="1:7" hidden="1" x14ac:dyDescent="0.25">
      <c r="A15132" s="28">
        <v>44774</v>
      </c>
      <c r="B15132" s="27" t="s">
        <v>200</v>
      </c>
      <c r="C15132" s="27" t="s">
        <v>54</v>
      </c>
      <c r="D15132" s="27" t="s">
        <v>7</v>
      </c>
      <c r="E15132" s="27" t="s">
        <v>42</v>
      </c>
      <c r="F15132" s="29"/>
      <c r="G15132" s="30">
        <f t="shared" si="260"/>
        <v>23.62107142857143</v>
      </c>
    </row>
    <row r="15133" spans="1:7" hidden="1" x14ac:dyDescent="0.25">
      <c r="A15133" s="28">
        <v>44774</v>
      </c>
      <c r="B15133" s="27" t="s">
        <v>200</v>
      </c>
      <c r="C15133" s="27" t="s">
        <v>54</v>
      </c>
      <c r="D15133" s="27" t="s">
        <v>7</v>
      </c>
      <c r="E15133" s="27" t="s">
        <v>43</v>
      </c>
      <c r="F15133" s="29"/>
      <c r="G15133" s="30">
        <f t="shared" si="260"/>
        <v>23.62107142857143</v>
      </c>
    </row>
    <row r="15134" spans="1:7" hidden="1" x14ac:dyDescent="0.25">
      <c r="A15134" s="28">
        <v>44774</v>
      </c>
      <c r="B15134" s="27" t="s">
        <v>200</v>
      </c>
      <c r="C15134" s="27" t="s">
        <v>54</v>
      </c>
      <c r="D15134" s="27" t="s">
        <v>7</v>
      </c>
      <c r="E15134" s="27" t="s">
        <v>72</v>
      </c>
      <c r="F15134" s="29"/>
      <c r="G15134" s="30">
        <f t="shared" si="260"/>
        <v>23.62107142857143</v>
      </c>
    </row>
    <row r="15135" spans="1:7" hidden="1" x14ac:dyDescent="0.25">
      <c r="A15135" s="28">
        <v>44774</v>
      </c>
      <c r="B15135" s="27" t="s">
        <v>200</v>
      </c>
      <c r="C15135" s="27" t="s">
        <v>54</v>
      </c>
      <c r="D15135" s="27" t="s">
        <v>7</v>
      </c>
      <c r="E15135" s="27" t="s">
        <v>206</v>
      </c>
      <c r="F15135" s="29"/>
      <c r="G15135" s="30">
        <f t="shared" si="260"/>
        <v>23.62107142857143</v>
      </c>
    </row>
    <row r="15136" spans="1:7" hidden="1" x14ac:dyDescent="0.25">
      <c r="A15136" s="28">
        <v>44774</v>
      </c>
      <c r="B15136" s="27" t="s">
        <v>200</v>
      </c>
      <c r="C15136" s="27" t="s">
        <v>54</v>
      </c>
      <c r="D15136" s="27" t="s">
        <v>7</v>
      </c>
      <c r="E15136" s="27" t="s">
        <v>67</v>
      </c>
      <c r="F15136" s="29"/>
      <c r="G15136" s="30">
        <f t="shared" si="260"/>
        <v>23.62107142857143</v>
      </c>
    </row>
    <row r="15137" spans="1:7" hidden="1" x14ac:dyDescent="0.25">
      <c r="A15137" s="28">
        <v>44774</v>
      </c>
      <c r="B15137" s="27" t="s">
        <v>200</v>
      </c>
      <c r="C15137" s="27" t="s">
        <v>54</v>
      </c>
      <c r="D15137" s="27" t="s">
        <v>7</v>
      </c>
      <c r="E15137" s="27" t="s">
        <v>68</v>
      </c>
      <c r="F15137" s="29"/>
      <c r="G15137" s="30">
        <f t="shared" si="260"/>
        <v>23.62107142857143</v>
      </c>
    </row>
    <row r="15138" spans="1:7" hidden="1" x14ac:dyDescent="0.25">
      <c r="A15138" s="28">
        <v>44774</v>
      </c>
      <c r="B15138" s="27" t="s">
        <v>200</v>
      </c>
      <c r="C15138" s="27" t="s">
        <v>54</v>
      </c>
      <c r="D15138" s="27" t="s">
        <v>7</v>
      </c>
      <c r="E15138" s="27" t="s">
        <v>74</v>
      </c>
      <c r="F15138" s="29"/>
      <c r="G15138" s="30">
        <f t="shared" si="260"/>
        <v>23.62107142857143</v>
      </c>
    </row>
    <row r="15139" spans="1:7" hidden="1" x14ac:dyDescent="0.25">
      <c r="A15139" s="28">
        <v>44774</v>
      </c>
      <c r="B15139" s="27" t="s">
        <v>200</v>
      </c>
      <c r="C15139" s="27" t="s">
        <v>55</v>
      </c>
      <c r="D15139" s="27" t="s">
        <v>6</v>
      </c>
      <c r="E15139" s="27" t="s">
        <v>8</v>
      </c>
      <c r="F15139" s="29"/>
      <c r="G15139" s="30">
        <f t="shared" ref="G15139:G15162" si="261">37723.4960444444/24</f>
        <v>1571.8123351851834</v>
      </c>
    </row>
    <row r="15140" spans="1:7" hidden="1" x14ac:dyDescent="0.25">
      <c r="A15140" s="28">
        <v>44774</v>
      </c>
      <c r="B15140" s="27" t="s">
        <v>200</v>
      </c>
      <c r="C15140" s="27" t="s">
        <v>55</v>
      </c>
      <c r="D15140" s="27" t="s">
        <v>6</v>
      </c>
      <c r="E15140" s="27" t="s">
        <v>9</v>
      </c>
      <c r="F15140" s="29"/>
      <c r="G15140" s="30">
        <f t="shared" si="261"/>
        <v>1571.8123351851834</v>
      </c>
    </row>
    <row r="15141" spans="1:7" hidden="1" x14ac:dyDescent="0.25">
      <c r="A15141" s="28">
        <v>44774</v>
      </c>
      <c r="B15141" s="27" t="s">
        <v>200</v>
      </c>
      <c r="C15141" s="27" t="s">
        <v>55</v>
      </c>
      <c r="D15141" s="27" t="s">
        <v>6</v>
      </c>
      <c r="E15141" s="27" t="s">
        <v>22</v>
      </c>
      <c r="F15141" s="29"/>
      <c r="G15141" s="30">
        <f t="shared" si="261"/>
        <v>1571.8123351851834</v>
      </c>
    </row>
    <row r="15142" spans="1:7" hidden="1" x14ac:dyDescent="0.25">
      <c r="A15142" s="28">
        <v>44774</v>
      </c>
      <c r="B15142" s="27" t="s">
        <v>200</v>
      </c>
      <c r="C15142" s="27" t="s">
        <v>55</v>
      </c>
      <c r="D15142" s="27" t="s">
        <v>6</v>
      </c>
      <c r="E15142" s="27" t="s">
        <v>39</v>
      </c>
      <c r="F15142" s="29"/>
      <c r="G15142" s="30">
        <f t="shared" si="261"/>
        <v>1571.8123351851834</v>
      </c>
    </row>
    <row r="15143" spans="1:7" hidden="1" x14ac:dyDescent="0.25">
      <c r="A15143" s="28">
        <v>44774</v>
      </c>
      <c r="B15143" s="27" t="s">
        <v>200</v>
      </c>
      <c r="C15143" s="27" t="s">
        <v>55</v>
      </c>
      <c r="D15143" s="27" t="s">
        <v>6</v>
      </c>
      <c r="E15143" s="27" t="s">
        <v>64</v>
      </c>
      <c r="F15143" s="29"/>
      <c r="G15143" s="30">
        <f t="shared" si="261"/>
        <v>1571.8123351851834</v>
      </c>
    </row>
    <row r="15144" spans="1:7" hidden="1" x14ac:dyDescent="0.25">
      <c r="A15144" s="28">
        <v>44774</v>
      </c>
      <c r="B15144" s="27" t="s">
        <v>200</v>
      </c>
      <c r="C15144" s="27" t="s">
        <v>55</v>
      </c>
      <c r="D15144" s="27" t="s">
        <v>6</v>
      </c>
      <c r="E15144" s="27" t="s">
        <v>21</v>
      </c>
      <c r="F15144" s="29"/>
      <c r="G15144" s="30">
        <f t="shared" si="261"/>
        <v>1571.8123351851834</v>
      </c>
    </row>
    <row r="15145" spans="1:7" hidden="1" x14ac:dyDescent="0.25">
      <c r="A15145" s="28">
        <v>44774</v>
      </c>
      <c r="B15145" s="27" t="s">
        <v>200</v>
      </c>
      <c r="C15145" s="27" t="s">
        <v>55</v>
      </c>
      <c r="D15145" s="27" t="s">
        <v>6</v>
      </c>
      <c r="E15145" s="27" t="s">
        <v>41</v>
      </c>
      <c r="F15145" s="29"/>
      <c r="G15145" s="30">
        <f t="shared" si="261"/>
        <v>1571.8123351851834</v>
      </c>
    </row>
    <row r="15146" spans="1:7" hidden="1" x14ac:dyDescent="0.25">
      <c r="A15146" s="28">
        <v>44774</v>
      </c>
      <c r="B15146" s="27" t="s">
        <v>200</v>
      </c>
      <c r="C15146" s="27" t="s">
        <v>55</v>
      </c>
      <c r="D15146" s="27" t="s">
        <v>6</v>
      </c>
      <c r="E15146" s="27" t="s">
        <v>10</v>
      </c>
      <c r="F15146" s="29"/>
      <c r="G15146" s="30">
        <f t="shared" si="261"/>
        <v>1571.8123351851834</v>
      </c>
    </row>
    <row r="15147" spans="1:7" hidden="1" x14ac:dyDescent="0.25">
      <c r="A15147" s="28">
        <v>44774</v>
      </c>
      <c r="B15147" s="27" t="s">
        <v>200</v>
      </c>
      <c r="C15147" s="27" t="s">
        <v>55</v>
      </c>
      <c r="D15147" s="27" t="s">
        <v>6</v>
      </c>
      <c r="E15147" s="27" t="s">
        <v>11</v>
      </c>
      <c r="F15147" s="29"/>
      <c r="G15147" s="30">
        <f t="shared" si="261"/>
        <v>1571.8123351851834</v>
      </c>
    </row>
    <row r="15148" spans="1:7" hidden="1" x14ac:dyDescent="0.25">
      <c r="A15148" s="28">
        <v>44774</v>
      </c>
      <c r="B15148" s="27" t="s">
        <v>200</v>
      </c>
      <c r="C15148" s="27" t="s">
        <v>55</v>
      </c>
      <c r="D15148" s="27" t="s">
        <v>6</v>
      </c>
      <c r="E15148" s="27" t="s">
        <v>12</v>
      </c>
      <c r="F15148" s="29"/>
      <c r="G15148" s="30">
        <f t="shared" si="261"/>
        <v>1571.8123351851834</v>
      </c>
    </row>
    <row r="15149" spans="1:7" hidden="1" x14ac:dyDescent="0.25">
      <c r="A15149" s="28">
        <v>44774</v>
      </c>
      <c r="B15149" s="27" t="s">
        <v>200</v>
      </c>
      <c r="C15149" s="27" t="s">
        <v>55</v>
      </c>
      <c r="D15149" s="27" t="s">
        <v>6</v>
      </c>
      <c r="E15149" s="27" t="s">
        <v>13</v>
      </c>
      <c r="F15149" s="29"/>
      <c r="G15149" s="30">
        <f t="shared" si="261"/>
        <v>1571.8123351851834</v>
      </c>
    </row>
    <row r="15150" spans="1:7" hidden="1" x14ac:dyDescent="0.25">
      <c r="A15150" s="28">
        <v>44774</v>
      </c>
      <c r="B15150" s="27" t="s">
        <v>200</v>
      </c>
      <c r="C15150" s="27" t="s">
        <v>55</v>
      </c>
      <c r="D15150" s="27" t="s">
        <v>6</v>
      </c>
      <c r="E15150" s="27" t="s">
        <v>14</v>
      </c>
      <c r="F15150" s="29"/>
      <c r="G15150" s="30">
        <f t="shared" si="261"/>
        <v>1571.8123351851834</v>
      </c>
    </row>
    <row r="15151" spans="1:7" hidden="1" x14ac:dyDescent="0.25">
      <c r="A15151" s="28">
        <v>44774</v>
      </c>
      <c r="B15151" s="27" t="s">
        <v>200</v>
      </c>
      <c r="C15151" s="27" t="s">
        <v>55</v>
      </c>
      <c r="D15151" s="27" t="s">
        <v>6</v>
      </c>
      <c r="E15151" s="27" t="s">
        <v>15</v>
      </c>
      <c r="F15151" s="29"/>
      <c r="G15151" s="30">
        <f t="shared" si="261"/>
        <v>1571.8123351851834</v>
      </c>
    </row>
    <row r="15152" spans="1:7" hidden="1" x14ac:dyDescent="0.25">
      <c r="A15152" s="28">
        <v>44774</v>
      </c>
      <c r="B15152" s="27" t="s">
        <v>200</v>
      </c>
      <c r="C15152" s="27" t="s">
        <v>55</v>
      </c>
      <c r="D15152" s="27" t="s">
        <v>6</v>
      </c>
      <c r="E15152" s="27" t="s">
        <v>16</v>
      </c>
      <c r="F15152" s="29"/>
      <c r="G15152" s="30">
        <f t="shared" si="261"/>
        <v>1571.8123351851834</v>
      </c>
    </row>
    <row r="15153" spans="1:7" hidden="1" x14ac:dyDescent="0.25">
      <c r="A15153" s="28">
        <v>44774</v>
      </c>
      <c r="B15153" s="27" t="s">
        <v>200</v>
      </c>
      <c r="C15153" s="27" t="s">
        <v>55</v>
      </c>
      <c r="D15153" s="27" t="s">
        <v>6</v>
      </c>
      <c r="E15153" s="27" t="s">
        <v>17</v>
      </c>
      <c r="F15153" s="29"/>
      <c r="G15153" s="30">
        <f t="shared" si="261"/>
        <v>1571.8123351851834</v>
      </c>
    </row>
    <row r="15154" spans="1:7" hidden="1" x14ac:dyDescent="0.25">
      <c r="A15154" s="28">
        <v>44774</v>
      </c>
      <c r="B15154" s="27" t="s">
        <v>200</v>
      </c>
      <c r="C15154" s="27" t="s">
        <v>55</v>
      </c>
      <c r="D15154" s="27" t="s">
        <v>6</v>
      </c>
      <c r="E15154" s="27" t="s">
        <v>18</v>
      </c>
      <c r="F15154" s="29"/>
      <c r="G15154" s="30">
        <f t="shared" si="261"/>
        <v>1571.8123351851834</v>
      </c>
    </row>
    <row r="15155" spans="1:7" hidden="1" x14ac:dyDescent="0.25">
      <c r="A15155" s="28">
        <v>44774</v>
      </c>
      <c r="B15155" s="27" t="s">
        <v>200</v>
      </c>
      <c r="C15155" s="27" t="s">
        <v>55</v>
      </c>
      <c r="D15155" s="27" t="s">
        <v>6</v>
      </c>
      <c r="E15155" s="27" t="s">
        <v>19</v>
      </c>
      <c r="F15155" s="29"/>
      <c r="G15155" s="30">
        <f t="shared" si="261"/>
        <v>1571.8123351851834</v>
      </c>
    </row>
    <row r="15156" spans="1:7" hidden="1" x14ac:dyDescent="0.25">
      <c r="A15156" s="28">
        <v>44774</v>
      </c>
      <c r="B15156" s="27" t="s">
        <v>200</v>
      </c>
      <c r="C15156" s="27" t="s">
        <v>55</v>
      </c>
      <c r="D15156" s="27" t="s">
        <v>6</v>
      </c>
      <c r="E15156" s="27" t="s">
        <v>20</v>
      </c>
      <c r="F15156" s="29"/>
      <c r="G15156" s="30">
        <f t="shared" si="261"/>
        <v>1571.8123351851834</v>
      </c>
    </row>
    <row r="15157" spans="1:7" hidden="1" x14ac:dyDescent="0.25">
      <c r="A15157" s="28">
        <v>44774</v>
      </c>
      <c r="B15157" s="27" t="s">
        <v>200</v>
      </c>
      <c r="C15157" s="27" t="s">
        <v>55</v>
      </c>
      <c r="D15157" s="27" t="s">
        <v>6</v>
      </c>
      <c r="E15157" s="27" t="s">
        <v>38</v>
      </c>
      <c r="F15157" s="29"/>
      <c r="G15157" s="30">
        <f t="shared" si="261"/>
        <v>1571.8123351851834</v>
      </c>
    </row>
    <row r="15158" spans="1:7" hidden="1" x14ac:dyDescent="0.25">
      <c r="A15158" s="28">
        <v>44774</v>
      </c>
      <c r="B15158" s="27" t="s">
        <v>200</v>
      </c>
      <c r="C15158" s="27" t="s">
        <v>55</v>
      </c>
      <c r="D15158" s="27" t="s">
        <v>6</v>
      </c>
      <c r="E15158" s="27" t="s">
        <v>23</v>
      </c>
      <c r="F15158" s="29"/>
      <c r="G15158" s="30">
        <f t="shared" si="261"/>
        <v>1571.8123351851834</v>
      </c>
    </row>
    <row r="15159" spans="1:7" hidden="1" x14ac:dyDescent="0.25">
      <c r="A15159" s="28">
        <v>44774</v>
      </c>
      <c r="B15159" s="27" t="s">
        <v>200</v>
      </c>
      <c r="C15159" s="27" t="s">
        <v>55</v>
      </c>
      <c r="D15159" s="27" t="s">
        <v>6</v>
      </c>
      <c r="E15159" s="27" t="s">
        <v>40</v>
      </c>
      <c r="F15159" s="29"/>
      <c r="G15159" s="30">
        <f t="shared" si="261"/>
        <v>1571.8123351851834</v>
      </c>
    </row>
    <row r="15160" spans="1:7" hidden="1" x14ac:dyDescent="0.25">
      <c r="A15160" s="28">
        <v>44774</v>
      </c>
      <c r="B15160" s="27" t="s">
        <v>200</v>
      </c>
      <c r="C15160" s="27" t="s">
        <v>55</v>
      </c>
      <c r="D15160" s="27" t="s">
        <v>6</v>
      </c>
      <c r="E15160" s="27" t="s">
        <v>42</v>
      </c>
      <c r="F15160" s="29"/>
      <c r="G15160" s="30">
        <f t="shared" si="261"/>
        <v>1571.8123351851834</v>
      </c>
    </row>
    <row r="15161" spans="1:7" hidden="1" x14ac:dyDescent="0.25">
      <c r="A15161" s="28">
        <v>44774</v>
      </c>
      <c r="B15161" s="27" t="s">
        <v>200</v>
      </c>
      <c r="C15161" s="27" t="s">
        <v>55</v>
      </c>
      <c r="D15161" s="27" t="s">
        <v>6</v>
      </c>
      <c r="E15161" s="27" t="s">
        <v>72</v>
      </c>
      <c r="F15161" s="29"/>
      <c r="G15161" s="30">
        <f t="shared" si="261"/>
        <v>1571.8123351851834</v>
      </c>
    </row>
    <row r="15162" spans="1:7" hidden="1" x14ac:dyDescent="0.25">
      <c r="A15162" s="28">
        <v>44774</v>
      </c>
      <c r="B15162" s="27" t="s">
        <v>200</v>
      </c>
      <c r="C15162" s="27" t="s">
        <v>55</v>
      </c>
      <c r="D15162" s="27" t="s">
        <v>6</v>
      </c>
      <c r="E15162" s="27" t="s">
        <v>12</v>
      </c>
      <c r="F15162" s="29"/>
      <c r="G15162" s="30">
        <f t="shared" si="261"/>
        <v>1571.8123351851834</v>
      </c>
    </row>
    <row r="15163" spans="1:7" hidden="1" x14ac:dyDescent="0.25">
      <c r="A15163" s="28">
        <v>44774</v>
      </c>
      <c r="B15163" s="27" t="s">
        <v>200</v>
      </c>
      <c r="C15163" s="27" t="s">
        <v>183</v>
      </c>
      <c r="D15163" s="27" t="s">
        <v>7</v>
      </c>
      <c r="E15163" s="27" t="s">
        <v>8</v>
      </c>
      <c r="F15163" s="29"/>
      <c r="G15163" s="30">
        <f t="shared" ref="G15163:G15190" si="262">1425.44/28</f>
        <v>50.908571428571427</v>
      </c>
    </row>
    <row r="15164" spans="1:7" hidden="1" x14ac:dyDescent="0.25">
      <c r="A15164" s="28">
        <v>44774</v>
      </c>
      <c r="B15164" s="27" t="s">
        <v>200</v>
      </c>
      <c r="C15164" s="27" t="s">
        <v>183</v>
      </c>
      <c r="D15164" s="27" t="s">
        <v>7</v>
      </c>
      <c r="E15164" s="27" t="s">
        <v>9</v>
      </c>
      <c r="F15164" s="29"/>
      <c r="G15164" s="30">
        <f t="shared" si="262"/>
        <v>50.908571428571427</v>
      </c>
    </row>
    <row r="15165" spans="1:7" hidden="1" x14ac:dyDescent="0.25">
      <c r="A15165" s="28">
        <v>44774</v>
      </c>
      <c r="B15165" s="27" t="s">
        <v>200</v>
      </c>
      <c r="C15165" s="27" t="s">
        <v>183</v>
      </c>
      <c r="D15165" s="27" t="s">
        <v>7</v>
      </c>
      <c r="E15165" s="27" t="s">
        <v>22</v>
      </c>
      <c r="F15165" s="29"/>
      <c r="G15165" s="30">
        <f t="shared" si="262"/>
        <v>50.908571428571427</v>
      </c>
    </row>
    <row r="15166" spans="1:7" hidden="1" x14ac:dyDescent="0.25">
      <c r="A15166" s="28">
        <v>44774</v>
      </c>
      <c r="B15166" s="27" t="s">
        <v>200</v>
      </c>
      <c r="C15166" s="27" t="s">
        <v>183</v>
      </c>
      <c r="D15166" s="27" t="s">
        <v>7</v>
      </c>
      <c r="E15166" s="27" t="s">
        <v>39</v>
      </c>
      <c r="F15166" s="29"/>
      <c r="G15166" s="30">
        <f t="shared" si="262"/>
        <v>50.908571428571427</v>
      </c>
    </row>
    <row r="15167" spans="1:7" hidden="1" x14ac:dyDescent="0.25">
      <c r="A15167" s="28">
        <v>44774</v>
      </c>
      <c r="B15167" s="27" t="s">
        <v>200</v>
      </c>
      <c r="C15167" s="27" t="s">
        <v>183</v>
      </c>
      <c r="D15167" s="27" t="s">
        <v>7</v>
      </c>
      <c r="E15167" s="27" t="s">
        <v>64</v>
      </c>
      <c r="F15167" s="29"/>
      <c r="G15167" s="30">
        <f t="shared" si="262"/>
        <v>50.908571428571427</v>
      </c>
    </row>
    <row r="15168" spans="1:7" hidden="1" x14ac:dyDescent="0.25">
      <c r="A15168" s="28">
        <v>44774</v>
      </c>
      <c r="B15168" s="27" t="s">
        <v>200</v>
      </c>
      <c r="C15168" s="27" t="s">
        <v>183</v>
      </c>
      <c r="D15168" s="27" t="s">
        <v>7</v>
      </c>
      <c r="E15168" s="27" t="s">
        <v>21</v>
      </c>
      <c r="F15168" s="29"/>
      <c r="G15168" s="30">
        <f t="shared" si="262"/>
        <v>50.908571428571427</v>
      </c>
    </row>
    <row r="15169" spans="1:7" hidden="1" x14ac:dyDescent="0.25">
      <c r="A15169" s="28">
        <v>44774</v>
      </c>
      <c r="B15169" s="27" t="s">
        <v>200</v>
      </c>
      <c r="C15169" s="27" t="s">
        <v>183</v>
      </c>
      <c r="D15169" s="27" t="s">
        <v>7</v>
      </c>
      <c r="E15169" s="27" t="s">
        <v>41</v>
      </c>
      <c r="F15169" s="29"/>
      <c r="G15169" s="30">
        <f t="shared" si="262"/>
        <v>50.908571428571427</v>
      </c>
    </row>
    <row r="15170" spans="1:7" hidden="1" x14ac:dyDescent="0.25">
      <c r="A15170" s="28">
        <v>44774</v>
      </c>
      <c r="B15170" s="27" t="s">
        <v>200</v>
      </c>
      <c r="C15170" s="27" t="s">
        <v>183</v>
      </c>
      <c r="D15170" s="27" t="s">
        <v>7</v>
      </c>
      <c r="E15170" s="27" t="s">
        <v>10</v>
      </c>
      <c r="F15170" s="29"/>
      <c r="G15170" s="30">
        <f t="shared" si="262"/>
        <v>50.908571428571427</v>
      </c>
    </row>
    <row r="15171" spans="1:7" hidden="1" x14ac:dyDescent="0.25">
      <c r="A15171" s="28">
        <v>44774</v>
      </c>
      <c r="B15171" s="27" t="s">
        <v>200</v>
      </c>
      <c r="C15171" s="27" t="s">
        <v>183</v>
      </c>
      <c r="D15171" s="27" t="s">
        <v>7</v>
      </c>
      <c r="E15171" s="27" t="s">
        <v>11</v>
      </c>
      <c r="F15171" s="29"/>
      <c r="G15171" s="30">
        <f t="shared" si="262"/>
        <v>50.908571428571427</v>
      </c>
    </row>
    <row r="15172" spans="1:7" hidden="1" x14ac:dyDescent="0.25">
      <c r="A15172" s="28">
        <v>44774</v>
      </c>
      <c r="B15172" s="27" t="s">
        <v>200</v>
      </c>
      <c r="C15172" s="27" t="s">
        <v>183</v>
      </c>
      <c r="D15172" s="27" t="s">
        <v>7</v>
      </c>
      <c r="E15172" s="27" t="s">
        <v>12</v>
      </c>
      <c r="F15172" s="29"/>
      <c r="G15172" s="30">
        <f t="shared" si="262"/>
        <v>50.908571428571427</v>
      </c>
    </row>
    <row r="15173" spans="1:7" hidden="1" x14ac:dyDescent="0.25">
      <c r="A15173" s="28">
        <v>44774</v>
      </c>
      <c r="B15173" s="27" t="s">
        <v>200</v>
      </c>
      <c r="C15173" s="27" t="s">
        <v>183</v>
      </c>
      <c r="D15173" s="27" t="s">
        <v>7</v>
      </c>
      <c r="E15173" s="27" t="s">
        <v>13</v>
      </c>
      <c r="F15173" s="29"/>
      <c r="G15173" s="30">
        <f t="shared" si="262"/>
        <v>50.908571428571427</v>
      </c>
    </row>
    <row r="15174" spans="1:7" hidden="1" x14ac:dyDescent="0.25">
      <c r="A15174" s="28">
        <v>44774</v>
      </c>
      <c r="B15174" s="27" t="s">
        <v>200</v>
      </c>
      <c r="C15174" s="27" t="s">
        <v>183</v>
      </c>
      <c r="D15174" s="27" t="s">
        <v>7</v>
      </c>
      <c r="E15174" s="27" t="s">
        <v>14</v>
      </c>
      <c r="F15174" s="29"/>
      <c r="G15174" s="30">
        <f t="shared" si="262"/>
        <v>50.908571428571427</v>
      </c>
    </row>
    <row r="15175" spans="1:7" hidden="1" x14ac:dyDescent="0.25">
      <c r="A15175" s="28">
        <v>44774</v>
      </c>
      <c r="B15175" s="27" t="s">
        <v>200</v>
      </c>
      <c r="C15175" s="27" t="s">
        <v>183</v>
      </c>
      <c r="D15175" s="27" t="s">
        <v>7</v>
      </c>
      <c r="E15175" s="27" t="s">
        <v>15</v>
      </c>
      <c r="F15175" s="29"/>
      <c r="G15175" s="30">
        <f t="shared" si="262"/>
        <v>50.908571428571427</v>
      </c>
    </row>
    <row r="15176" spans="1:7" hidden="1" x14ac:dyDescent="0.25">
      <c r="A15176" s="28">
        <v>44774</v>
      </c>
      <c r="B15176" s="27" t="s">
        <v>200</v>
      </c>
      <c r="C15176" s="27" t="s">
        <v>183</v>
      </c>
      <c r="D15176" s="27" t="s">
        <v>7</v>
      </c>
      <c r="E15176" s="27" t="s">
        <v>16</v>
      </c>
      <c r="F15176" s="29"/>
      <c r="G15176" s="30">
        <f t="shared" si="262"/>
        <v>50.908571428571427</v>
      </c>
    </row>
    <row r="15177" spans="1:7" hidden="1" x14ac:dyDescent="0.25">
      <c r="A15177" s="28">
        <v>44774</v>
      </c>
      <c r="B15177" s="27" t="s">
        <v>200</v>
      </c>
      <c r="C15177" s="27" t="s">
        <v>183</v>
      </c>
      <c r="D15177" s="27" t="s">
        <v>7</v>
      </c>
      <c r="E15177" s="27" t="s">
        <v>17</v>
      </c>
      <c r="F15177" s="29"/>
      <c r="G15177" s="30">
        <f t="shared" si="262"/>
        <v>50.908571428571427</v>
      </c>
    </row>
    <row r="15178" spans="1:7" hidden="1" x14ac:dyDescent="0.25">
      <c r="A15178" s="28">
        <v>44774</v>
      </c>
      <c r="B15178" s="27" t="s">
        <v>200</v>
      </c>
      <c r="C15178" s="27" t="s">
        <v>183</v>
      </c>
      <c r="D15178" s="27" t="s">
        <v>7</v>
      </c>
      <c r="E15178" s="27" t="s">
        <v>18</v>
      </c>
      <c r="F15178" s="29"/>
      <c r="G15178" s="30">
        <f t="shared" si="262"/>
        <v>50.908571428571427</v>
      </c>
    </row>
    <row r="15179" spans="1:7" hidden="1" x14ac:dyDescent="0.25">
      <c r="A15179" s="28">
        <v>44774</v>
      </c>
      <c r="B15179" s="27" t="s">
        <v>200</v>
      </c>
      <c r="C15179" s="27" t="s">
        <v>183</v>
      </c>
      <c r="D15179" s="27" t="s">
        <v>7</v>
      </c>
      <c r="E15179" s="27" t="s">
        <v>19</v>
      </c>
      <c r="F15179" s="29"/>
      <c r="G15179" s="30">
        <f t="shared" si="262"/>
        <v>50.908571428571427</v>
      </c>
    </row>
    <row r="15180" spans="1:7" hidden="1" x14ac:dyDescent="0.25">
      <c r="A15180" s="28">
        <v>44774</v>
      </c>
      <c r="B15180" s="27" t="s">
        <v>200</v>
      </c>
      <c r="C15180" s="27" t="s">
        <v>183</v>
      </c>
      <c r="D15180" s="27" t="s">
        <v>7</v>
      </c>
      <c r="E15180" s="27" t="s">
        <v>20</v>
      </c>
      <c r="F15180" s="29"/>
      <c r="G15180" s="30">
        <f t="shared" si="262"/>
        <v>50.908571428571427</v>
      </c>
    </row>
    <row r="15181" spans="1:7" hidden="1" x14ac:dyDescent="0.25">
      <c r="A15181" s="28">
        <v>44774</v>
      </c>
      <c r="B15181" s="27" t="s">
        <v>200</v>
      </c>
      <c r="C15181" s="27" t="s">
        <v>183</v>
      </c>
      <c r="D15181" s="27" t="s">
        <v>7</v>
      </c>
      <c r="E15181" s="27" t="s">
        <v>38</v>
      </c>
      <c r="F15181" s="29"/>
      <c r="G15181" s="30">
        <f t="shared" si="262"/>
        <v>50.908571428571427</v>
      </c>
    </row>
    <row r="15182" spans="1:7" hidden="1" x14ac:dyDescent="0.25">
      <c r="A15182" s="28">
        <v>44774</v>
      </c>
      <c r="B15182" s="27" t="s">
        <v>200</v>
      </c>
      <c r="C15182" s="27" t="s">
        <v>183</v>
      </c>
      <c r="D15182" s="27" t="s">
        <v>7</v>
      </c>
      <c r="E15182" s="27" t="s">
        <v>23</v>
      </c>
      <c r="F15182" s="29"/>
      <c r="G15182" s="30">
        <f t="shared" si="262"/>
        <v>50.908571428571427</v>
      </c>
    </row>
    <row r="15183" spans="1:7" hidden="1" x14ac:dyDescent="0.25">
      <c r="A15183" s="28">
        <v>44774</v>
      </c>
      <c r="B15183" s="27" t="s">
        <v>200</v>
      </c>
      <c r="C15183" s="27" t="s">
        <v>183</v>
      </c>
      <c r="D15183" s="27" t="s">
        <v>7</v>
      </c>
      <c r="E15183" s="27" t="s">
        <v>40</v>
      </c>
      <c r="F15183" s="29"/>
      <c r="G15183" s="30">
        <f t="shared" si="262"/>
        <v>50.908571428571427</v>
      </c>
    </row>
    <row r="15184" spans="1:7" hidden="1" x14ac:dyDescent="0.25">
      <c r="A15184" s="28">
        <v>44774</v>
      </c>
      <c r="B15184" s="27" t="s">
        <v>200</v>
      </c>
      <c r="C15184" s="27" t="s">
        <v>183</v>
      </c>
      <c r="D15184" s="27" t="s">
        <v>7</v>
      </c>
      <c r="E15184" s="27" t="s">
        <v>42</v>
      </c>
      <c r="F15184" s="29"/>
      <c r="G15184" s="30">
        <f t="shared" si="262"/>
        <v>50.908571428571427</v>
      </c>
    </row>
    <row r="15185" spans="1:7" hidden="1" x14ac:dyDescent="0.25">
      <c r="A15185" s="28">
        <v>44774</v>
      </c>
      <c r="B15185" s="27" t="s">
        <v>200</v>
      </c>
      <c r="C15185" s="27" t="s">
        <v>183</v>
      </c>
      <c r="D15185" s="27" t="s">
        <v>7</v>
      </c>
      <c r="E15185" s="27" t="s">
        <v>43</v>
      </c>
      <c r="F15185" s="29"/>
      <c r="G15185" s="30">
        <f t="shared" si="262"/>
        <v>50.908571428571427</v>
      </c>
    </row>
    <row r="15186" spans="1:7" hidden="1" x14ac:dyDescent="0.25">
      <c r="A15186" s="28">
        <v>44774</v>
      </c>
      <c r="B15186" s="27" t="s">
        <v>200</v>
      </c>
      <c r="C15186" s="27" t="s">
        <v>183</v>
      </c>
      <c r="D15186" s="27" t="s">
        <v>7</v>
      </c>
      <c r="E15186" s="27" t="s">
        <v>72</v>
      </c>
      <c r="F15186" s="29"/>
      <c r="G15186" s="30">
        <f t="shared" si="262"/>
        <v>50.908571428571427</v>
      </c>
    </row>
    <row r="15187" spans="1:7" hidden="1" x14ac:dyDescent="0.25">
      <c r="A15187" s="28">
        <v>44774</v>
      </c>
      <c r="B15187" s="27" t="s">
        <v>200</v>
      </c>
      <c r="C15187" s="27" t="s">
        <v>183</v>
      </c>
      <c r="D15187" s="27" t="s">
        <v>7</v>
      </c>
      <c r="E15187" s="27" t="s">
        <v>206</v>
      </c>
      <c r="F15187" s="29"/>
      <c r="G15187" s="30">
        <f t="shared" si="262"/>
        <v>50.908571428571427</v>
      </c>
    </row>
    <row r="15188" spans="1:7" hidden="1" x14ac:dyDescent="0.25">
      <c r="A15188" s="28">
        <v>44774</v>
      </c>
      <c r="B15188" s="27" t="s">
        <v>200</v>
      </c>
      <c r="C15188" s="27" t="s">
        <v>183</v>
      </c>
      <c r="D15188" s="27" t="s">
        <v>7</v>
      </c>
      <c r="E15188" s="27" t="s">
        <v>67</v>
      </c>
      <c r="F15188" s="29"/>
      <c r="G15188" s="30">
        <f t="shared" si="262"/>
        <v>50.908571428571427</v>
      </c>
    </row>
    <row r="15189" spans="1:7" hidden="1" x14ac:dyDescent="0.25">
      <c r="A15189" s="28">
        <v>44774</v>
      </c>
      <c r="B15189" s="27" t="s">
        <v>200</v>
      </c>
      <c r="C15189" s="27" t="s">
        <v>183</v>
      </c>
      <c r="D15189" s="27" t="s">
        <v>7</v>
      </c>
      <c r="E15189" s="27" t="s">
        <v>68</v>
      </c>
      <c r="F15189" s="29"/>
      <c r="G15189" s="30">
        <f t="shared" si="262"/>
        <v>50.908571428571427</v>
      </c>
    </row>
    <row r="15190" spans="1:7" hidden="1" x14ac:dyDescent="0.25">
      <c r="A15190" s="28">
        <v>44774</v>
      </c>
      <c r="B15190" s="27" t="s">
        <v>200</v>
      </c>
      <c r="C15190" s="27" t="s">
        <v>183</v>
      </c>
      <c r="D15190" s="27" t="s">
        <v>7</v>
      </c>
      <c r="E15190" s="27" t="s">
        <v>74</v>
      </c>
      <c r="F15190" s="29"/>
      <c r="G15190" s="30">
        <f t="shared" si="262"/>
        <v>50.908571428571427</v>
      </c>
    </row>
    <row r="15191" spans="1:7" hidden="1" x14ac:dyDescent="0.25">
      <c r="A15191" s="28">
        <v>44774</v>
      </c>
      <c r="B15191" s="27" t="s">
        <v>200</v>
      </c>
      <c r="C15191" s="27" t="s">
        <v>56</v>
      </c>
      <c r="D15191" s="27" t="s">
        <v>6</v>
      </c>
      <c r="E15191" s="27" t="s">
        <v>8</v>
      </c>
      <c r="F15191" s="29"/>
      <c r="G15191" s="30">
        <f t="shared" ref="G15191:G15214" si="263">62077.6082222222/24</f>
        <v>2586.5670092592586</v>
      </c>
    </row>
    <row r="15192" spans="1:7" hidden="1" x14ac:dyDescent="0.25">
      <c r="A15192" s="28">
        <v>44774</v>
      </c>
      <c r="B15192" s="27" t="s">
        <v>200</v>
      </c>
      <c r="C15192" s="27" t="s">
        <v>56</v>
      </c>
      <c r="D15192" s="27" t="s">
        <v>6</v>
      </c>
      <c r="E15192" s="27" t="s">
        <v>9</v>
      </c>
      <c r="F15192" s="29"/>
      <c r="G15192" s="30">
        <f t="shared" si="263"/>
        <v>2586.5670092592586</v>
      </c>
    </row>
    <row r="15193" spans="1:7" hidden="1" x14ac:dyDescent="0.25">
      <c r="A15193" s="28">
        <v>44774</v>
      </c>
      <c r="B15193" s="27" t="s">
        <v>200</v>
      </c>
      <c r="C15193" s="27" t="s">
        <v>56</v>
      </c>
      <c r="D15193" s="27" t="s">
        <v>6</v>
      </c>
      <c r="E15193" s="27" t="s">
        <v>22</v>
      </c>
      <c r="F15193" s="29"/>
      <c r="G15193" s="30">
        <f t="shared" si="263"/>
        <v>2586.5670092592586</v>
      </c>
    </row>
    <row r="15194" spans="1:7" hidden="1" x14ac:dyDescent="0.25">
      <c r="A15194" s="28">
        <v>44774</v>
      </c>
      <c r="B15194" s="27" t="s">
        <v>200</v>
      </c>
      <c r="C15194" s="27" t="s">
        <v>56</v>
      </c>
      <c r="D15194" s="27" t="s">
        <v>6</v>
      </c>
      <c r="E15194" s="27" t="s">
        <v>39</v>
      </c>
      <c r="F15194" s="29"/>
      <c r="G15194" s="30">
        <f t="shared" si="263"/>
        <v>2586.5670092592586</v>
      </c>
    </row>
    <row r="15195" spans="1:7" hidden="1" x14ac:dyDescent="0.25">
      <c r="A15195" s="28">
        <v>44774</v>
      </c>
      <c r="B15195" s="27" t="s">
        <v>200</v>
      </c>
      <c r="C15195" s="27" t="s">
        <v>56</v>
      </c>
      <c r="D15195" s="27" t="s">
        <v>6</v>
      </c>
      <c r="E15195" s="27" t="s">
        <v>64</v>
      </c>
      <c r="F15195" s="29"/>
      <c r="G15195" s="30">
        <f t="shared" si="263"/>
        <v>2586.5670092592586</v>
      </c>
    </row>
    <row r="15196" spans="1:7" hidden="1" x14ac:dyDescent="0.25">
      <c r="A15196" s="28">
        <v>44774</v>
      </c>
      <c r="B15196" s="27" t="s">
        <v>200</v>
      </c>
      <c r="C15196" s="27" t="s">
        <v>56</v>
      </c>
      <c r="D15196" s="27" t="s">
        <v>6</v>
      </c>
      <c r="E15196" s="27" t="s">
        <v>21</v>
      </c>
      <c r="F15196" s="29"/>
      <c r="G15196" s="30">
        <f t="shared" si="263"/>
        <v>2586.5670092592586</v>
      </c>
    </row>
    <row r="15197" spans="1:7" hidden="1" x14ac:dyDescent="0.25">
      <c r="A15197" s="28">
        <v>44774</v>
      </c>
      <c r="B15197" s="27" t="s">
        <v>200</v>
      </c>
      <c r="C15197" s="27" t="s">
        <v>56</v>
      </c>
      <c r="D15197" s="27" t="s">
        <v>6</v>
      </c>
      <c r="E15197" s="27" t="s">
        <v>41</v>
      </c>
      <c r="F15197" s="29"/>
      <c r="G15197" s="30">
        <f t="shared" si="263"/>
        <v>2586.5670092592586</v>
      </c>
    </row>
    <row r="15198" spans="1:7" hidden="1" x14ac:dyDescent="0.25">
      <c r="A15198" s="28">
        <v>44774</v>
      </c>
      <c r="B15198" s="27" t="s">
        <v>200</v>
      </c>
      <c r="C15198" s="27" t="s">
        <v>56</v>
      </c>
      <c r="D15198" s="27" t="s">
        <v>6</v>
      </c>
      <c r="E15198" s="27" t="s">
        <v>10</v>
      </c>
      <c r="F15198" s="29"/>
      <c r="G15198" s="30">
        <f t="shared" si="263"/>
        <v>2586.5670092592586</v>
      </c>
    </row>
    <row r="15199" spans="1:7" hidden="1" x14ac:dyDescent="0.25">
      <c r="A15199" s="28">
        <v>44774</v>
      </c>
      <c r="B15199" s="27" t="s">
        <v>200</v>
      </c>
      <c r="C15199" s="27" t="s">
        <v>56</v>
      </c>
      <c r="D15199" s="27" t="s">
        <v>6</v>
      </c>
      <c r="E15199" s="27" t="s">
        <v>11</v>
      </c>
      <c r="F15199" s="29"/>
      <c r="G15199" s="30">
        <f t="shared" si="263"/>
        <v>2586.5670092592586</v>
      </c>
    </row>
    <row r="15200" spans="1:7" hidden="1" x14ac:dyDescent="0.25">
      <c r="A15200" s="28">
        <v>44774</v>
      </c>
      <c r="B15200" s="27" t="s">
        <v>200</v>
      </c>
      <c r="C15200" s="27" t="s">
        <v>56</v>
      </c>
      <c r="D15200" s="27" t="s">
        <v>6</v>
      </c>
      <c r="E15200" s="27" t="s">
        <v>12</v>
      </c>
      <c r="F15200" s="29"/>
      <c r="G15200" s="30">
        <f t="shared" si="263"/>
        <v>2586.5670092592586</v>
      </c>
    </row>
    <row r="15201" spans="1:7" hidden="1" x14ac:dyDescent="0.25">
      <c r="A15201" s="28">
        <v>44774</v>
      </c>
      <c r="B15201" s="27" t="s">
        <v>200</v>
      </c>
      <c r="C15201" s="27" t="s">
        <v>56</v>
      </c>
      <c r="D15201" s="27" t="s">
        <v>6</v>
      </c>
      <c r="E15201" s="27" t="s">
        <v>13</v>
      </c>
      <c r="F15201" s="29"/>
      <c r="G15201" s="30">
        <f t="shared" si="263"/>
        <v>2586.5670092592586</v>
      </c>
    </row>
    <row r="15202" spans="1:7" hidden="1" x14ac:dyDescent="0.25">
      <c r="A15202" s="28">
        <v>44774</v>
      </c>
      <c r="B15202" s="27" t="s">
        <v>200</v>
      </c>
      <c r="C15202" s="27" t="s">
        <v>56</v>
      </c>
      <c r="D15202" s="27" t="s">
        <v>6</v>
      </c>
      <c r="E15202" s="27" t="s">
        <v>14</v>
      </c>
      <c r="F15202" s="29"/>
      <c r="G15202" s="30">
        <f t="shared" si="263"/>
        <v>2586.5670092592586</v>
      </c>
    </row>
    <row r="15203" spans="1:7" hidden="1" x14ac:dyDescent="0.25">
      <c r="A15203" s="28">
        <v>44774</v>
      </c>
      <c r="B15203" s="27" t="s">
        <v>200</v>
      </c>
      <c r="C15203" s="27" t="s">
        <v>56</v>
      </c>
      <c r="D15203" s="27" t="s">
        <v>6</v>
      </c>
      <c r="E15203" s="27" t="s">
        <v>15</v>
      </c>
      <c r="F15203" s="29"/>
      <c r="G15203" s="30">
        <f t="shared" si="263"/>
        <v>2586.5670092592586</v>
      </c>
    </row>
    <row r="15204" spans="1:7" hidden="1" x14ac:dyDescent="0.25">
      <c r="A15204" s="28">
        <v>44774</v>
      </c>
      <c r="B15204" s="27" t="s">
        <v>200</v>
      </c>
      <c r="C15204" s="27" t="s">
        <v>56</v>
      </c>
      <c r="D15204" s="27" t="s">
        <v>6</v>
      </c>
      <c r="E15204" s="27" t="s">
        <v>16</v>
      </c>
      <c r="F15204" s="29"/>
      <c r="G15204" s="30">
        <f t="shared" si="263"/>
        <v>2586.5670092592586</v>
      </c>
    </row>
    <row r="15205" spans="1:7" hidden="1" x14ac:dyDescent="0.25">
      <c r="A15205" s="28">
        <v>44774</v>
      </c>
      <c r="B15205" s="27" t="s">
        <v>200</v>
      </c>
      <c r="C15205" s="27" t="s">
        <v>56</v>
      </c>
      <c r="D15205" s="27" t="s">
        <v>6</v>
      </c>
      <c r="E15205" s="27" t="s">
        <v>17</v>
      </c>
      <c r="F15205" s="29"/>
      <c r="G15205" s="30">
        <f t="shared" si="263"/>
        <v>2586.5670092592586</v>
      </c>
    </row>
    <row r="15206" spans="1:7" hidden="1" x14ac:dyDescent="0.25">
      <c r="A15206" s="28">
        <v>44774</v>
      </c>
      <c r="B15206" s="27" t="s">
        <v>200</v>
      </c>
      <c r="C15206" s="27" t="s">
        <v>56</v>
      </c>
      <c r="D15206" s="27" t="s">
        <v>6</v>
      </c>
      <c r="E15206" s="27" t="s">
        <v>18</v>
      </c>
      <c r="F15206" s="29"/>
      <c r="G15206" s="30">
        <f t="shared" si="263"/>
        <v>2586.5670092592586</v>
      </c>
    </row>
    <row r="15207" spans="1:7" hidden="1" x14ac:dyDescent="0.25">
      <c r="A15207" s="28">
        <v>44774</v>
      </c>
      <c r="B15207" s="27" t="s">
        <v>200</v>
      </c>
      <c r="C15207" s="27" t="s">
        <v>56</v>
      </c>
      <c r="D15207" s="27" t="s">
        <v>6</v>
      </c>
      <c r="E15207" s="27" t="s">
        <v>19</v>
      </c>
      <c r="F15207" s="29"/>
      <c r="G15207" s="30">
        <f t="shared" si="263"/>
        <v>2586.5670092592586</v>
      </c>
    </row>
    <row r="15208" spans="1:7" hidden="1" x14ac:dyDescent="0.25">
      <c r="A15208" s="28">
        <v>44774</v>
      </c>
      <c r="B15208" s="27" t="s">
        <v>200</v>
      </c>
      <c r="C15208" s="27" t="s">
        <v>56</v>
      </c>
      <c r="D15208" s="27" t="s">
        <v>6</v>
      </c>
      <c r="E15208" s="27" t="s">
        <v>20</v>
      </c>
      <c r="F15208" s="29"/>
      <c r="G15208" s="30">
        <f t="shared" si="263"/>
        <v>2586.5670092592586</v>
      </c>
    </row>
    <row r="15209" spans="1:7" hidden="1" x14ac:dyDescent="0.25">
      <c r="A15209" s="28">
        <v>44774</v>
      </c>
      <c r="B15209" s="27" t="s">
        <v>200</v>
      </c>
      <c r="C15209" s="27" t="s">
        <v>56</v>
      </c>
      <c r="D15209" s="27" t="s">
        <v>6</v>
      </c>
      <c r="E15209" s="27" t="s">
        <v>38</v>
      </c>
      <c r="F15209" s="29"/>
      <c r="G15209" s="30">
        <f t="shared" si="263"/>
        <v>2586.5670092592586</v>
      </c>
    </row>
    <row r="15210" spans="1:7" hidden="1" x14ac:dyDescent="0.25">
      <c r="A15210" s="28">
        <v>44774</v>
      </c>
      <c r="B15210" s="27" t="s">
        <v>200</v>
      </c>
      <c r="C15210" s="27" t="s">
        <v>56</v>
      </c>
      <c r="D15210" s="27" t="s">
        <v>6</v>
      </c>
      <c r="E15210" s="27" t="s">
        <v>23</v>
      </c>
      <c r="F15210" s="29"/>
      <c r="G15210" s="30">
        <f t="shared" si="263"/>
        <v>2586.5670092592586</v>
      </c>
    </row>
    <row r="15211" spans="1:7" hidden="1" x14ac:dyDescent="0.25">
      <c r="A15211" s="28">
        <v>44774</v>
      </c>
      <c r="B15211" s="27" t="s">
        <v>200</v>
      </c>
      <c r="C15211" s="27" t="s">
        <v>56</v>
      </c>
      <c r="D15211" s="27" t="s">
        <v>6</v>
      </c>
      <c r="E15211" s="27" t="s">
        <v>40</v>
      </c>
      <c r="F15211" s="29"/>
      <c r="G15211" s="30">
        <f t="shared" si="263"/>
        <v>2586.5670092592586</v>
      </c>
    </row>
    <row r="15212" spans="1:7" hidden="1" x14ac:dyDescent="0.25">
      <c r="A15212" s="28">
        <v>44774</v>
      </c>
      <c r="B15212" s="27" t="s">
        <v>200</v>
      </c>
      <c r="C15212" s="27" t="s">
        <v>56</v>
      </c>
      <c r="D15212" s="27" t="s">
        <v>6</v>
      </c>
      <c r="E15212" s="27" t="s">
        <v>42</v>
      </c>
      <c r="F15212" s="29"/>
      <c r="G15212" s="30">
        <f t="shared" si="263"/>
        <v>2586.5670092592586</v>
      </c>
    </row>
    <row r="15213" spans="1:7" hidden="1" x14ac:dyDescent="0.25">
      <c r="A15213" s="28">
        <v>44774</v>
      </c>
      <c r="B15213" s="27" t="s">
        <v>200</v>
      </c>
      <c r="C15213" s="27" t="s">
        <v>56</v>
      </c>
      <c r="D15213" s="27" t="s">
        <v>6</v>
      </c>
      <c r="E15213" s="27" t="s">
        <v>72</v>
      </c>
      <c r="F15213" s="29"/>
      <c r="G15213" s="30">
        <f t="shared" si="263"/>
        <v>2586.5670092592586</v>
      </c>
    </row>
    <row r="15214" spans="1:7" hidden="1" x14ac:dyDescent="0.25">
      <c r="A15214" s="28">
        <v>44774</v>
      </c>
      <c r="B15214" s="27" t="s">
        <v>200</v>
      </c>
      <c r="C15214" s="27" t="s">
        <v>56</v>
      </c>
      <c r="D15214" s="27" t="s">
        <v>6</v>
      </c>
      <c r="E15214" s="27" t="s">
        <v>12</v>
      </c>
      <c r="F15214" s="29"/>
      <c r="G15214" s="30">
        <f t="shared" si="263"/>
        <v>2586.5670092592586</v>
      </c>
    </row>
    <row r="15215" spans="1:7" hidden="1" x14ac:dyDescent="0.25">
      <c r="A15215" s="28">
        <v>44774</v>
      </c>
      <c r="B15215" s="27" t="s">
        <v>200</v>
      </c>
      <c r="C15215" s="27" t="s">
        <v>182</v>
      </c>
      <c r="D15215" s="27" t="s">
        <v>7</v>
      </c>
      <c r="E15215" s="27" t="s">
        <v>8</v>
      </c>
      <c r="F15215" s="29"/>
      <c r="G15215" s="30">
        <f t="shared" ref="G15215:G15239" si="264">3551.56/25</f>
        <v>142.0624</v>
      </c>
    </row>
    <row r="15216" spans="1:7" hidden="1" x14ac:dyDescent="0.25">
      <c r="A15216" s="28">
        <v>44774</v>
      </c>
      <c r="B15216" s="27" t="s">
        <v>200</v>
      </c>
      <c r="C15216" s="27" t="s">
        <v>182</v>
      </c>
      <c r="D15216" s="27" t="s">
        <v>7</v>
      </c>
      <c r="E15216" s="27" t="s">
        <v>9</v>
      </c>
      <c r="F15216" s="29"/>
      <c r="G15216" s="30">
        <f t="shared" si="264"/>
        <v>142.0624</v>
      </c>
    </row>
    <row r="15217" spans="1:7" hidden="1" x14ac:dyDescent="0.25">
      <c r="A15217" s="28">
        <v>44774</v>
      </c>
      <c r="B15217" s="27" t="s">
        <v>200</v>
      </c>
      <c r="C15217" s="27" t="s">
        <v>182</v>
      </c>
      <c r="D15217" s="27" t="s">
        <v>7</v>
      </c>
      <c r="E15217" s="27" t="s">
        <v>22</v>
      </c>
      <c r="F15217" s="29"/>
      <c r="G15217" s="30">
        <f t="shared" si="264"/>
        <v>142.0624</v>
      </c>
    </row>
    <row r="15218" spans="1:7" hidden="1" x14ac:dyDescent="0.25">
      <c r="A15218" s="28">
        <v>44774</v>
      </c>
      <c r="B15218" s="27" t="s">
        <v>200</v>
      </c>
      <c r="C15218" s="27" t="s">
        <v>182</v>
      </c>
      <c r="D15218" s="27" t="s">
        <v>7</v>
      </c>
      <c r="E15218" s="27" t="s">
        <v>39</v>
      </c>
      <c r="F15218" s="29"/>
      <c r="G15218" s="30">
        <f t="shared" si="264"/>
        <v>142.0624</v>
      </c>
    </row>
    <row r="15219" spans="1:7" hidden="1" x14ac:dyDescent="0.25">
      <c r="A15219" s="28">
        <v>44774</v>
      </c>
      <c r="B15219" s="27" t="s">
        <v>200</v>
      </c>
      <c r="C15219" s="27" t="s">
        <v>182</v>
      </c>
      <c r="D15219" s="27" t="s">
        <v>7</v>
      </c>
      <c r="E15219" s="27" t="s">
        <v>64</v>
      </c>
      <c r="F15219" s="29"/>
      <c r="G15219" s="30">
        <f t="shared" si="264"/>
        <v>142.0624</v>
      </c>
    </row>
    <row r="15220" spans="1:7" hidden="1" x14ac:dyDescent="0.25">
      <c r="A15220" s="28">
        <v>44774</v>
      </c>
      <c r="B15220" s="27" t="s">
        <v>200</v>
      </c>
      <c r="C15220" s="27" t="s">
        <v>182</v>
      </c>
      <c r="D15220" s="27" t="s">
        <v>7</v>
      </c>
      <c r="E15220" s="27" t="s">
        <v>21</v>
      </c>
      <c r="F15220" s="29"/>
      <c r="G15220" s="30">
        <f t="shared" si="264"/>
        <v>142.0624</v>
      </c>
    </row>
    <row r="15221" spans="1:7" hidden="1" x14ac:dyDescent="0.25">
      <c r="A15221" s="28">
        <v>44774</v>
      </c>
      <c r="B15221" s="27" t="s">
        <v>200</v>
      </c>
      <c r="C15221" s="27" t="s">
        <v>182</v>
      </c>
      <c r="D15221" s="27" t="s">
        <v>7</v>
      </c>
      <c r="E15221" s="27" t="s">
        <v>41</v>
      </c>
      <c r="F15221" s="29"/>
      <c r="G15221" s="30">
        <f t="shared" si="264"/>
        <v>142.0624</v>
      </c>
    </row>
    <row r="15222" spans="1:7" hidden="1" x14ac:dyDescent="0.25">
      <c r="A15222" s="28">
        <v>44774</v>
      </c>
      <c r="B15222" s="27" t="s">
        <v>200</v>
      </c>
      <c r="C15222" s="27" t="s">
        <v>182</v>
      </c>
      <c r="D15222" s="27" t="s">
        <v>7</v>
      </c>
      <c r="E15222" s="27" t="s">
        <v>10</v>
      </c>
      <c r="F15222" s="29"/>
      <c r="G15222" s="30">
        <f t="shared" si="264"/>
        <v>142.0624</v>
      </c>
    </row>
    <row r="15223" spans="1:7" hidden="1" x14ac:dyDescent="0.25">
      <c r="A15223" s="28">
        <v>44774</v>
      </c>
      <c r="B15223" s="27" t="s">
        <v>200</v>
      </c>
      <c r="C15223" s="27" t="s">
        <v>182</v>
      </c>
      <c r="D15223" s="27" t="s">
        <v>7</v>
      </c>
      <c r="E15223" s="27" t="s">
        <v>11</v>
      </c>
      <c r="F15223" s="29"/>
      <c r="G15223" s="30">
        <f t="shared" si="264"/>
        <v>142.0624</v>
      </c>
    </row>
    <row r="15224" spans="1:7" hidden="1" x14ac:dyDescent="0.25">
      <c r="A15224" s="28">
        <v>44774</v>
      </c>
      <c r="B15224" s="27" t="s">
        <v>200</v>
      </c>
      <c r="C15224" s="27" t="s">
        <v>182</v>
      </c>
      <c r="D15224" s="27" t="s">
        <v>7</v>
      </c>
      <c r="E15224" s="27" t="s">
        <v>12</v>
      </c>
      <c r="F15224" s="29"/>
      <c r="G15224" s="30">
        <f t="shared" si="264"/>
        <v>142.0624</v>
      </c>
    </row>
    <row r="15225" spans="1:7" hidden="1" x14ac:dyDescent="0.25">
      <c r="A15225" s="28">
        <v>44774</v>
      </c>
      <c r="B15225" s="27" t="s">
        <v>200</v>
      </c>
      <c r="C15225" s="27" t="s">
        <v>182</v>
      </c>
      <c r="D15225" s="27" t="s">
        <v>7</v>
      </c>
      <c r="E15225" s="27" t="s">
        <v>13</v>
      </c>
      <c r="F15225" s="29"/>
      <c r="G15225" s="30">
        <f t="shared" si="264"/>
        <v>142.0624</v>
      </c>
    </row>
    <row r="15226" spans="1:7" hidden="1" x14ac:dyDescent="0.25">
      <c r="A15226" s="28">
        <v>44774</v>
      </c>
      <c r="B15226" s="27" t="s">
        <v>200</v>
      </c>
      <c r="C15226" s="27" t="s">
        <v>182</v>
      </c>
      <c r="D15226" s="27" t="s">
        <v>7</v>
      </c>
      <c r="E15226" s="27" t="s">
        <v>14</v>
      </c>
      <c r="F15226" s="29"/>
      <c r="G15226" s="30">
        <f t="shared" si="264"/>
        <v>142.0624</v>
      </c>
    </row>
    <row r="15227" spans="1:7" hidden="1" x14ac:dyDescent="0.25">
      <c r="A15227" s="28">
        <v>44774</v>
      </c>
      <c r="B15227" s="27" t="s">
        <v>200</v>
      </c>
      <c r="C15227" s="27" t="s">
        <v>182</v>
      </c>
      <c r="D15227" s="27" t="s">
        <v>7</v>
      </c>
      <c r="E15227" s="27" t="s">
        <v>15</v>
      </c>
      <c r="F15227" s="29"/>
      <c r="G15227" s="30">
        <f t="shared" si="264"/>
        <v>142.0624</v>
      </c>
    </row>
    <row r="15228" spans="1:7" hidden="1" x14ac:dyDescent="0.25">
      <c r="A15228" s="28">
        <v>44774</v>
      </c>
      <c r="B15228" s="27" t="s">
        <v>200</v>
      </c>
      <c r="C15228" s="27" t="s">
        <v>182</v>
      </c>
      <c r="D15228" s="27" t="s">
        <v>7</v>
      </c>
      <c r="E15228" s="27" t="s">
        <v>16</v>
      </c>
      <c r="F15228" s="29"/>
      <c r="G15228" s="30">
        <f t="shared" si="264"/>
        <v>142.0624</v>
      </c>
    </row>
    <row r="15229" spans="1:7" hidden="1" x14ac:dyDescent="0.25">
      <c r="A15229" s="28">
        <v>44774</v>
      </c>
      <c r="B15229" s="27" t="s">
        <v>200</v>
      </c>
      <c r="C15229" s="27" t="s">
        <v>182</v>
      </c>
      <c r="D15229" s="27" t="s">
        <v>7</v>
      </c>
      <c r="E15229" s="27" t="s">
        <v>17</v>
      </c>
      <c r="F15229" s="29"/>
      <c r="G15229" s="30">
        <f t="shared" si="264"/>
        <v>142.0624</v>
      </c>
    </row>
    <row r="15230" spans="1:7" hidden="1" x14ac:dyDescent="0.25">
      <c r="A15230" s="28">
        <v>44774</v>
      </c>
      <c r="B15230" s="27" t="s">
        <v>200</v>
      </c>
      <c r="C15230" s="27" t="s">
        <v>182</v>
      </c>
      <c r="D15230" s="27" t="s">
        <v>7</v>
      </c>
      <c r="E15230" s="27" t="s">
        <v>18</v>
      </c>
      <c r="F15230" s="29"/>
      <c r="G15230" s="30">
        <f t="shared" si="264"/>
        <v>142.0624</v>
      </c>
    </row>
    <row r="15231" spans="1:7" hidden="1" x14ac:dyDescent="0.25">
      <c r="A15231" s="28">
        <v>44774</v>
      </c>
      <c r="B15231" s="27" t="s">
        <v>200</v>
      </c>
      <c r="C15231" s="27" t="s">
        <v>182</v>
      </c>
      <c r="D15231" s="27" t="s">
        <v>7</v>
      </c>
      <c r="E15231" s="27" t="s">
        <v>19</v>
      </c>
      <c r="F15231" s="29"/>
      <c r="G15231" s="30">
        <f t="shared" si="264"/>
        <v>142.0624</v>
      </c>
    </row>
    <row r="15232" spans="1:7" hidden="1" x14ac:dyDescent="0.25">
      <c r="A15232" s="28">
        <v>44774</v>
      </c>
      <c r="B15232" s="27" t="s">
        <v>200</v>
      </c>
      <c r="C15232" s="27" t="s">
        <v>182</v>
      </c>
      <c r="D15232" s="27" t="s">
        <v>7</v>
      </c>
      <c r="E15232" s="27" t="s">
        <v>20</v>
      </c>
      <c r="F15232" s="29"/>
      <c r="G15232" s="30">
        <f t="shared" si="264"/>
        <v>142.0624</v>
      </c>
    </row>
    <row r="15233" spans="1:7" hidden="1" x14ac:dyDescent="0.25">
      <c r="A15233" s="28">
        <v>44774</v>
      </c>
      <c r="B15233" s="27" t="s">
        <v>200</v>
      </c>
      <c r="C15233" s="27" t="s">
        <v>182</v>
      </c>
      <c r="D15233" s="27" t="s">
        <v>7</v>
      </c>
      <c r="E15233" s="27" t="s">
        <v>38</v>
      </c>
      <c r="F15233" s="29"/>
      <c r="G15233" s="30">
        <f t="shared" si="264"/>
        <v>142.0624</v>
      </c>
    </row>
    <row r="15234" spans="1:7" hidden="1" x14ac:dyDescent="0.25">
      <c r="A15234" s="28">
        <v>44774</v>
      </c>
      <c r="B15234" s="27" t="s">
        <v>200</v>
      </c>
      <c r="C15234" s="27" t="s">
        <v>182</v>
      </c>
      <c r="D15234" s="27" t="s">
        <v>7</v>
      </c>
      <c r="E15234" s="27" t="s">
        <v>23</v>
      </c>
      <c r="F15234" s="29"/>
      <c r="G15234" s="30">
        <f t="shared" si="264"/>
        <v>142.0624</v>
      </c>
    </row>
    <row r="15235" spans="1:7" hidden="1" x14ac:dyDescent="0.25">
      <c r="A15235" s="28">
        <v>44774</v>
      </c>
      <c r="B15235" s="27" t="s">
        <v>200</v>
      </c>
      <c r="C15235" s="27" t="s">
        <v>182</v>
      </c>
      <c r="D15235" s="27" t="s">
        <v>7</v>
      </c>
      <c r="E15235" s="27" t="s">
        <v>40</v>
      </c>
      <c r="F15235" s="29"/>
      <c r="G15235" s="30">
        <f t="shared" si="264"/>
        <v>142.0624</v>
      </c>
    </row>
    <row r="15236" spans="1:7" hidden="1" x14ac:dyDescent="0.25">
      <c r="A15236" s="28">
        <v>44774</v>
      </c>
      <c r="B15236" s="27" t="s">
        <v>200</v>
      </c>
      <c r="C15236" s="27" t="s">
        <v>182</v>
      </c>
      <c r="D15236" s="27" t="s">
        <v>7</v>
      </c>
      <c r="E15236" s="27" t="s">
        <v>42</v>
      </c>
      <c r="F15236" s="29"/>
      <c r="G15236" s="30">
        <f t="shared" si="264"/>
        <v>142.0624</v>
      </c>
    </row>
    <row r="15237" spans="1:7" hidden="1" x14ac:dyDescent="0.25">
      <c r="A15237" s="28">
        <v>44774</v>
      </c>
      <c r="B15237" s="27" t="s">
        <v>200</v>
      </c>
      <c r="C15237" s="27" t="s">
        <v>182</v>
      </c>
      <c r="D15237" s="27" t="s">
        <v>7</v>
      </c>
      <c r="E15237" s="27" t="s">
        <v>43</v>
      </c>
      <c r="F15237" s="29"/>
      <c r="G15237" s="30">
        <f t="shared" si="264"/>
        <v>142.0624</v>
      </c>
    </row>
    <row r="15238" spans="1:7" hidden="1" x14ac:dyDescent="0.25">
      <c r="A15238" s="28">
        <v>44774</v>
      </c>
      <c r="B15238" s="27" t="s">
        <v>200</v>
      </c>
      <c r="C15238" s="27" t="s">
        <v>182</v>
      </c>
      <c r="D15238" s="27" t="s">
        <v>7</v>
      </c>
      <c r="E15238" s="27" t="s">
        <v>72</v>
      </c>
      <c r="F15238" s="29"/>
      <c r="G15238" s="30">
        <f t="shared" si="264"/>
        <v>142.0624</v>
      </c>
    </row>
    <row r="15239" spans="1:7" hidden="1" x14ac:dyDescent="0.25">
      <c r="A15239" s="28">
        <v>44774</v>
      </c>
      <c r="B15239" s="27" t="s">
        <v>200</v>
      </c>
      <c r="C15239" s="27" t="s">
        <v>182</v>
      </c>
      <c r="D15239" s="27" t="s">
        <v>7</v>
      </c>
      <c r="E15239" s="27" t="s">
        <v>206</v>
      </c>
      <c r="F15239" s="29"/>
      <c r="G15239" s="30">
        <f t="shared" si="264"/>
        <v>142.0624</v>
      </c>
    </row>
    <row r="15240" spans="1:7" hidden="1" x14ac:dyDescent="0.25">
      <c r="A15240" s="28">
        <v>44774</v>
      </c>
      <c r="B15240" s="27" t="s">
        <v>35</v>
      </c>
      <c r="C15240" s="27" t="s">
        <v>50</v>
      </c>
      <c r="D15240" s="27" t="s">
        <v>7</v>
      </c>
      <c r="E15240" s="27" t="s">
        <v>8</v>
      </c>
      <c r="F15240" s="29"/>
      <c r="G15240" s="30">
        <v>731.2646428571428</v>
      </c>
    </row>
    <row r="15241" spans="1:7" hidden="1" x14ac:dyDescent="0.25">
      <c r="A15241" s="28">
        <v>44774</v>
      </c>
      <c r="B15241" s="27" t="s">
        <v>35</v>
      </c>
      <c r="C15241" s="27" t="s">
        <v>50</v>
      </c>
      <c r="D15241" s="27" t="s">
        <v>7</v>
      </c>
      <c r="E15241" s="27" t="s">
        <v>9</v>
      </c>
      <c r="F15241" s="29"/>
      <c r="G15241" s="30">
        <v>731.2646428571428</v>
      </c>
    </row>
    <row r="15242" spans="1:7" hidden="1" x14ac:dyDescent="0.25">
      <c r="A15242" s="28">
        <v>44774</v>
      </c>
      <c r="B15242" s="27" t="s">
        <v>35</v>
      </c>
      <c r="C15242" s="27" t="s">
        <v>50</v>
      </c>
      <c r="D15242" s="27" t="s">
        <v>7</v>
      </c>
      <c r="E15242" s="27" t="s">
        <v>22</v>
      </c>
      <c r="F15242" s="29"/>
      <c r="G15242" s="30">
        <v>731.2646428571428</v>
      </c>
    </row>
    <row r="15243" spans="1:7" hidden="1" x14ac:dyDescent="0.25">
      <c r="A15243" s="28">
        <v>44774</v>
      </c>
      <c r="B15243" s="27" t="s">
        <v>35</v>
      </c>
      <c r="C15243" s="27" t="s">
        <v>50</v>
      </c>
      <c r="D15243" s="27" t="s">
        <v>7</v>
      </c>
      <c r="E15243" s="27" t="s">
        <v>39</v>
      </c>
      <c r="F15243" s="29"/>
      <c r="G15243" s="30">
        <v>731.2646428571428</v>
      </c>
    </row>
    <row r="15244" spans="1:7" hidden="1" x14ac:dyDescent="0.25">
      <c r="A15244" s="28">
        <v>44774</v>
      </c>
      <c r="B15244" s="27" t="s">
        <v>35</v>
      </c>
      <c r="C15244" s="27" t="s">
        <v>50</v>
      </c>
      <c r="D15244" s="27" t="s">
        <v>7</v>
      </c>
      <c r="E15244" s="27" t="s">
        <v>64</v>
      </c>
      <c r="F15244" s="29"/>
      <c r="G15244" s="30">
        <v>731.2646428571428</v>
      </c>
    </row>
    <row r="15245" spans="1:7" hidden="1" x14ac:dyDescent="0.25">
      <c r="A15245" s="28">
        <v>44774</v>
      </c>
      <c r="B15245" s="27" t="s">
        <v>35</v>
      </c>
      <c r="C15245" s="27" t="s">
        <v>50</v>
      </c>
      <c r="D15245" s="27" t="s">
        <v>7</v>
      </c>
      <c r="E15245" s="27" t="s">
        <v>21</v>
      </c>
      <c r="F15245" s="29"/>
      <c r="G15245" s="30">
        <v>731.2646428571428</v>
      </c>
    </row>
    <row r="15246" spans="1:7" hidden="1" x14ac:dyDescent="0.25">
      <c r="A15246" s="28">
        <v>44774</v>
      </c>
      <c r="B15246" s="27" t="s">
        <v>35</v>
      </c>
      <c r="C15246" s="27" t="s">
        <v>50</v>
      </c>
      <c r="D15246" s="27" t="s">
        <v>7</v>
      </c>
      <c r="E15246" s="27" t="s">
        <v>41</v>
      </c>
      <c r="F15246" s="29"/>
      <c r="G15246" s="30">
        <v>731.2646428571428</v>
      </c>
    </row>
    <row r="15247" spans="1:7" hidden="1" x14ac:dyDescent="0.25">
      <c r="A15247" s="28">
        <v>44774</v>
      </c>
      <c r="B15247" s="27" t="s">
        <v>35</v>
      </c>
      <c r="C15247" s="27" t="s">
        <v>50</v>
      </c>
      <c r="D15247" s="27" t="s">
        <v>7</v>
      </c>
      <c r="E15247" s="27" t="s">
        <v>10</v>
      </c>
      <c r="F15247" s="29"/>
      <c r="G15247" s="30">
        <v>731.2646428571428</v>
      </c>
    </row>
    <row r="15248" spans="1:7" hidden="1" x14ac:dyDescent="0.25">
      <c r="A15248" s="28">
        <v>44774</v>
      </c>
      <c r="B15248" s="27" t="s">
        <v>35</v>
      </c>
      <c r="C15248" s="27" t="s">
        <v>50</v>
      </c>
      <c r="D15248" s="27" t="s">
        <v>7</v>
      </c>
      <c r="E15248" s="27" t="s">
        <v>11</v>
      </c>
      <c r="F15248" s="29"/>
      <c r="G15248" s="30">
        <v>731.2646428571428</v>
      </c>
    </row>
    <row r="15249" spans="1:7" hidden="1" x14ac:dyDescent="0.25">
      <c r="A15249" s="28">
        <v>44774</v>
      </c>
      <c r="B15249" s="27" t="s">
        <v>35</v>
      </c>
      <c r="C15249" s="27" t="s">
        <v>50</v>
      </c>
      <c r="D15249" s="27" t="s">
        <v>7</v>
      </c>
      <c r="E15249" s="27" t="s">
        <v>12</v>
      </c>
      <c r="F15249" s="29"/>
      <c r="G15249" s="30">
        <v>731.2646428571428</v>
      </c>
    </row>
    <row r="15250" spans="1:7" hidden="1" x14ac:dyDescent="0.25">
      <c r="A15250" s="28">
        <v>44774</v>
      </c>
      <c r="B15250" s="27" t="s">
        <v>35</v>
      </c>
      <c r="C15250" s="27" t="s">
        <v>50</v>
      </c>
      <c r="D15250" s="27" t="s">
        <v>7</v>
      </c>
      <c r="E15250" s="27" t="s">
        <v>13</v>
      </c>
      <c r="F15250" s="29"/>
      <c r="G15250" s="30">
        <v>731.2646428571428</v>
      </c>
    </row>
    <row r="15251" spans="1:7" hidden="1" x14ac:dyDescent="0.25">
      <c r="A15251" s="28">
        <v>44774</v>
      </c>
      <c r="B15251" s="27" t="s">
        <v>35</v>
      </c>
      <c r="C15251" s="27" t="s">
        <v>50</v>
      </c>
      <c r="D15251" s="27" t="s">
        <v>7</v>
      </c>
      <c r="E15251" s="27" t="s">
        <v>14</v>
      </c>
      <c r="F15251" s="29"/>
      <c r="G15251" s="30">
        <v>731.2646428571428</v>
      </c>
    </row>
    <row r="15252" spans="1:7" hidden="1" x14ac:dyDescent="0.25">
      <c r="A15252" s="28">
        <v>44774</v>
      </c>
      <c r="B15252" s="27" t="s">
        <v>35</v>
      </c>
      <c r="C15252" s="27" t="s">
        <v>50</v>
      </c>
      <c r="D15252" s="27" t="s">
        <v>7</v>
      </c>
      <c r="E15252" s="27" t="s">
        <v>15</v>
      </c>
      <c r="F15252" s="29"/>
      <c r="G15252" s="30">
        <v>731.2646428571428</v>
      </c>
    </row>
    <row r="15253" spans="1:7" hidden="1" x14ac:dyDescent="0.25">
      <c r="A15253" s="28">
        <v>44774</v>
      </c>
      <c r="B15253" s="27" t="s">
        <v>35</v>
      </c>
      <c r="C15253" s="27" t="s">
        <v>50</v>
      </c>
      <c r="D15253" s="27" t="s">
        <v>7</v>
      </c>
      <c r="E15253" s="27" t="s">
        <v>16</v>
      </c>
      <c r="F15253" s="29"/>
      <c r="G15253" s="30">
        <v>731.2646428571428</v>
      </c>
    </row>
    <row r="15254" spans="1:7" hidden="1" x14ac:dyDescent="0.25">
      <c r="A15254" s="28">
        <v>44774</v>
      </c>
      <c r="B15254" s="27" t="s">
        <v>35</v>
      </c>
      <c r="C15254" s="27" t="s">
        <v>50</v>
      </c>
      <c r="D15254" s="27" t="s">
        <v>7</v>
      </c>
      <c r="E15254" s="27" t="s">
        <v>17</v>
      </c>
      <c r="F15254" s="29"/>
      <c r="G15254" s="30">
        <v>731.2646428571428</v>
      </c>
    </row>
    <row r="15255" spans="1:7" hidden="1" x14ac:dyDescent="0.25">
      <c r="A15255" s="28">
        <v>44774</v>
      </c>
      <c r="B15255" s="27" t="s">
        <v>35</v>
      </c>
      <c r="C15255" s="27" t="s">
        <v>50</v>
      </c>
      <c r="D15255" s="27" t="s">
        <v>7</v>
      </c>
      <c r="E15255" s="27" t="s">
        <v>18</v>
      </c>
      <c r="F15255" s="29"/>
      <c r="G15255" s="30">
        <v>731.2646428571428</v>
      </c>
    </row>
    <row r="15256" spans="1:7" hidden="1" x14ac:dyDescent="0.25">
      <c r="A15256" s="28">
        <v>44774</v>
      </c>
      <c r="B15256" s="27" t="s">
        <v>35</v>
      </c>
      <c r="C15256" s="27" t="s">
        <v>50</v>
      </c>
      <c r="D15256" s="27" t="s">
        <v>7</v>
      </c>
      <c r="E15256" s="27" t="s">
        <v>19</v>
      </c>
      <c r="F15256" s="29"/>
      <c r="G15256" s="30">
        <v>731.2646428571428</v>
      </c>
    </row>
    <row r="15257" spans="1:7" hidden="1" x14ac:dyDescent="0.25">
      <c r="A15257" s="28">
        <v>44774</v>
      </c>
      <c r="B15257" s="27" t="s">
        <v>35</v>
      </c>
      <c r="C15257" s="27" t="s">
        <v>50</v>
      </c>
      <c r="D15257" s="27" t="s">
        <v>7</v>
      </c>
      <c r="E15257" s="27" t="s">
        <v>20</v>
      </c>
      <c r="F15257" s="29"/>
      <c r="G15257" s="30">
        <v>731.2646428571428</v>
      </c>
    </row>
    <row r="15258" spans="1:7" hidden="1" x14ac:dyDescent="0.25">
      <c r="A15258" s="28">
        <v>44774</v>
      </c>
      <c r="B15258" s="27" t="s">
        <v>35</v>
      </c>
      <c r="C15258" s="27" t="s">
        <v>50</v>
      </c>
      <c r="D15258" s="27" t="s">
        <v>7</v>
      </c>
      <c r="E15258" s="27" t="s">
        <v>38</v>
      </c>
      <c r="F15258" s="29"/>
      <c r="G15258" s="30">
        <v>731.2646428571428</v>
      </c>
    </row>
    <row r="15259" spans="1:7" hidden="1" x14ac:dyDescent="0.25">
      <c r="A15259" s="28">
        <v>44774</v>
      </c>
      <c r="B15259" s="27" t="s">
        <v>35</v>
      </c>
      <c r="C15259" s="27" t="s">
        <v>50</v>
      </c>
      <c r="D15259" s="27" t="s">
        <v>7</v>
      </c>
      <c r="E15259" s="27" t="s">
        <v>23</v>
      </c>
      <c r="F15259" s="29"/>
      <c r="G15259" s="30">
        <v>731.2646428571428</v>
      </c>
    </row>
    <row r="15260" spans="1:7" hidden="1" x14ac:dyDescent="0.25">
      <c r="A15260" s="28">
        <v>44774</v>
      </c>
      <c r="B15260" s="27" t="s">
        <v>35</v>
      </c>
      <c r="C15260" s="27" t="s">
        <v>50</v>
      </c>
      <c r="D15260" s="27" t="s">
        <v>7</v>
      </c>
      <c r="E15260" s="27" t="s">
        <v>40</v>
      </c>
      <c r="F15260" s="29"/>
      <c r="G15260" s="30">
        <v>731.2646428571428</v>
      </c>
    </row>
    <row r="15261" spans="1:7" hidden="1" x14ac:dyDescent="0.25">
      <c r="A15261" s="28">
        <v>44774</v>
      </c>
      <c r="B15261" s="27" t="s">
        <v>35</v>
      </c>
      <c r="C15261" s="27" t="s">
        <v>50</v>
      </c>
      <c r="D15261" s="27" t="s">
        <v>7</v>
      </c>
      <c r="E15261" s="27" t="s">
        <v>42</v>
      </c>
      <c r="F15261" s="29"/>
      <c r="G15261" s="30">
        <v>731.2646428571428</v>
      </c>
    </row>
    <row r="15262" spans="1:7" hidden="1" x14ac:dyDescent="0.25">
      <c r="A15262" s="28">
        <v>44774</v>
      </c>
      <c r="B15262" s="27" t="s">
        <v>35</v>
      </c>
      <c r="C15262" s="27" t="s">
        <v>50</v>
      </c>
      <c r="D15262" s="27" t="s">
        <v>7</v>
      </c>
      <c r="E15262" s="27" t="s">
        <v>43</v>
      </c>
      <c r="F15262" s="29"/>
      <c r="G15262" s="30">
        <v>731.2646428571428</v>
      </c>
    </row>
    <row r="15263" spans="1:7" hidden="1" x14ac:dyDescent="0.25">
      <c r="A15263" s="28">
        <v>44774</v>
      </c>
      <c r="B15263" s="27" t="s">
        <v>35</v>
      </c>
      <c r="C15263" s="27" t="s">
        <v>50</v>
      </c>
      <c r="D15263" s="27" t="s">
        <v>7</v>
      </c>
      <c r="E15263" s="27" t="s">
        <v>72</v>
      </c>
      <c r="F15263" s="29"/>
      <c r="G15263" s="30">
        <v>731.2646428571428</v>
      </c>
    </row>
    <row r="15264" spans="1:7" hidden="1" x14ac:dyDescent="0.25">
      <c r="A15264" s="28">
        <v>44774</v>
      </c>
      <c r="B15264" s="27" t="s">
        <v>35</v>
      </c>
      <c r="C15264" s="27" t="s">
        <v>50</v>
      </c>
      <c r="D15264" s="27" t="s">
        <v>7</v>
      </c>
      <c r="E15264" s="27" t="s">
        <v>206</v>
      </c>
      <c r="F15264" s="29"/>
      <c r="G15264" s="30">
        <v>731.2646428571428</v>
      </c>
    </row>
    <row r="15265" spans="1:7" hidden="1" x14ac:dyDescent="0.25">
      <c r="A15265" s="28">
        <v>44774</v>
      </c>
      <c r="B15265" s="27" t="s">
        <v>35</v>
      </c>
      <c r="C15265" s="27" t="s">
        <v>50</v>
      </c>
      <c r="D15265" s="27" t="s">
        <v>7</v>
      </c>
      <c r="E15265" s="27" t="s">
        <v>67</v>
      </c>
      <c r="F15265" s="29"/>
      <c r="G15265" s="30">
        <v>731.2646428571428</v>
      </c>
    </row>
    <row r="15266" spans="1:7" hidden="1" x14ac:dyDescent="0.25">
      <c r="A15266" s="28">
        <v>44774</v>
      </c>
      <c r="B15266" s="27" t="s">
        <v>35</v>
      </c>
      <c r="C15266" s="27" t="s">
        <v>50</v>
      </c>
      <c r="D15266" s="27" t="s">
        <v>7</v>
      </c>
      <c r="E15266" s="27" t="s">
        <v>68</v>
      </c>
      <c r="F15266" s="29"/>
      <c r="G15266" s="30">
        <v>731.2646428571428</v>
      </c>
    </row>
    <row r="15267" spans="1:7" hidden="1" x14ac:dyDescent="0.25">
      <c r="A15267" s="28">
        <v>44774</v>
      </c>
      <c r="B15267" s="27" t="s">
        <v>35</v>
      </c>
      <c r="C15267" s="27" t="s">
        <v>50</v>
      </c>
      <c r="D15267" s="27" t="s">
        <v>7</v>
      </c>
      <c r="E15267" s="27" t="s">
        <v>74</v>
      </c>
      <c r="F15267" s="29"/>
      <c r="G15267" s="30">
        <v>731.2646428571428</v>
      </c>
    </row>
    <row r="15268" spans="1:7" hidden="1" x14ac:dyDescent="0.25">
      <c r="A15268" s="28">
        <v>44774</v>
      </c>
      <c r="B15268" s="27" t="s">
        <v>34</v>
      </c>
      <c r="C15268" s="27" t="s">
        <v>50</v>
      </c>
      <c r="D15268" s="27" t="s">
        <v>6</v>
      </c>
      <c r="E15268" s="27" t="s">
        <v>8</v>
      </c>
      <c r="F15268" s="29"/>
      <c r="G15268" s="30">
        <v>273.50799999999998</v>
      </c>
    </row>
    <row r="15269" spans="1:7" hidden="1" x14ac:dyDescent="0.25">
      <c r="A15269" s="28">
        <v>44774</v>
      </c>
      <c r="B15269" s="27" t="s">
        <v>34</v>
      </c>
      <c r="C15269" s="27" t="s">
        <v>50</v>
      </c>
      <c r="D15269" s="27" t="s">
        <v>6</v>
      </c>
      <c r="E15269" s="27" t="s">
        <v>9</v>
      </c>
      <c r="F15269" s="29"/>
      <c r="G15269" s="30">
        <v>273.50799999999998</v>
      </c>
    </row>
    <row r="15270" spans="1:7" hidden="1" x14ac:dyDescent="0.25">
      <c r="A15270" s="28">
        <v>44774</v>
      </c>
      <c r="B15270" s="27" t="s">
        <v>34</v>
      </c>
      <c r="C15270" s="27" t="s">
        <v>50</v>
      </c>
      <c r="D15270" s="27" t="s">
        <v>6</v>
      </c>
      <c r="E15270" s="27" t="s">
        <v>22</v>
      </c>
      <c r="F15270" s="29"/>
      <c r="G15270" s="30">
        <v>273.50799999999998</v>
      </c>
    </row>
    <row r="15271" spans="1:7" hidden="1" x14ac:dyDescent="0.25">
      <c r="A15271" s="28">
        <v>44774</v>
      </c>
      <c r="B15271" s="27" t="s">
        <v>34</v>
      </c>
      <c r="C15271" s="27" t="s">
        <v>50</v>
      </c>
      <c r="D15271" s="27" t="s">
        <v>6</v>
      </c>
      <c r="E15271" s="27" t="s">
        <v>39</v>
      </c>
      <c r="F15271" s="29"/>
      <c r="G15271" s="30">
        <v>273.50799999999998</v>
      </c>
    </row>
    <row r="15272" spans="1:7" hidden="1" x14ac:dyDescent="0.25">
      <c r="A15272" s="28">
        <v>44774</v>
      </c>
      <c r="B15272" s="27" t="s">
        <v>34</v>
      </c>
      <c r="C15272" s="27" t="s">
        <v>50</v>
      </c>
      <c r="D15272" s="27" t="s">
        <v>6</v>
      </c>
      <c r="E15272" s="27" t="s">
        <v>64</v>
      </c>
      <c r="F15272" s="29"/>
      <c r="G15272" s="30">
        <v>273.50799999999998</v>
      </c>
    </row>
    <row r="15273" spans="1:7" hidden="1" x14ac:dyDescent="0.25">
      <c r="A15273" s="28">
        <v>44774</v>
      </c>
      <c r="B15273" s="27" t="s">
        <v>34</v>
      </c>
      <c r="C15273" s="27" t="s">
        <v>50</v>
      </c>
      <c r="D15273" s="27" t="s">
        <v>6</v>
      </c>
      <c r="E15273" s="27" t="s">
        <v>21</v>
      </c>
      <c r="F15273" s="29"/>
      <c r="G15273" s="30">
        <v>273.50799999999998</v>
      </c>
    </row>
    <row r="15274" spans="1:7" hidden="1" x14ac:dyDescent="0.25">
      <c r="A15274" s="28">
        <v>44774</v>
      </c>
      <c r="B15274" s="27" t="s">
        <v>34</v>
      </c>
      <c r="C15274" s="27" t="s">
        <v>50</v>
      </c>
      <c r="D15274" s="27" t="s">
        <v>6</v>
      </c>
      <c r="E15274" s="27" t="s">
        <v>41</v>
      </c>
      <c r="F15274" s="29"/>
      <c r="G15274" s="30">
        <v>273.50799999999998</v>
      </c>
    </row>
    <row r="15275" spans="1:7" hidden="1" x14ac:dyDescent="0.25">
      <c r="A15275" s="28">
        <v>44774</v>
      </c>
      <c r="B15275" s="27" t="s">
        <v>34</v>
      </c>
      <c r="C15275" s="27" t="s">
        <v>50</v>
      </c>
      <c r="D15275" s="27" t="s">
        <v>6</v>
      </c>
      <c r="E15275" s="27" t="s">
        <v>10</v>
      </c>
      <c r="F15275" s="29"/>
      <c r="G15275" s="30">
        <v>273.50799999999998</v>
      </c>
    </row>
    <row r="15276" spans="1:7" hidden="1" x14ac:dyDescent="0.25">
      <c r="A15276" s="28">
        <v>44774</v>
      </c>
      <c r="B15276" s="27" t="s">
        <v>34</v>
      </c>
      <c r="C15276" s="27" t="s">
        <v>50</v>
      </c>
      <c r="D15276" s="27" t="s">
        <v>6</v>
      </c>
      <c r="E15276" s="27" t="s">
        <v>11</v>
      </c>
      <c r="F15276" s="29"/>
      <c r="G15276" s="30">
        <v>273.50799999999998</v>
      </c>
    </row>
    <row r="15277" spans="1:7" hidden="1" x14ac:dyDescent="0.25">
      <c r="A15277" s="28">
        <v>44774</v>
      </c>
      <c r="B15277" s="27" t="s">
        <v>34</v>
      </c>
      <c r="C15277" s="27" t="s">
        <v>50</v>
      </c>
      <c r="D15277" s="27" t="s">
        <v>6</v>
      </c>
      <c r="E15277" s="27" t="s">
        <v>12</v>
      </c>
      <c r="F15277" s="29"/>
      <c r="G15277" s="30">
        <v>273.50799999999998</v>
      </c>
    </row>
    <row r="15278" spans="1:7" hidden="1" x14ac:dyDescent="0.25">
      <c r="A15278" s="28">
        <v>44774</v>
      </c>
      <c r="B15278" s="27" t="s">
        <v>34</v>
      </c>
      <c r="C15278" s="27" t="s">
        <v>50</v>
      </c>
      <c r="D15278" s="27" t="s">
        <v>6</v>
      </c>
      <c r="E15278" s="27" t="s">
        <v>13</v>
      </c>
      <c r="F15278" s="29"/>
      <c r="G15278" s="30">
        <v>273.50799999999998</v>
      </c>
    </row>
    <row r="15279" spans="1:7" hidden="1" x14ac:dyDescent="0.25">
      <c r="A15279" s="28">
        <v>44774</v>
      </c>
      <c r="B15279" s="27" t="s">
        <v>34</v>
      </c>
      <c r="C15279" s="27" t="s">
        <v>50</v>
      </c>
      <c r="D15279" s="27" t="s">
        <v>6</v>
      </c>
      <c r="E15279" s="27" t="s">
        <v>14</v>
      </c>
      <c r="F15279" s="29"/>
      <c r="G15279" s="30">
        <v>273.50799999999998</v>
      </c>
    </row>
    <row r="15280" spans="1:7" hidden="1" x14ac:dyDescent="0.25">
      <c r="A15280" s="28">
        <v>44774</v>
      </c>
      <c r="B15280" s="27" t="s">
        <v>34</v>
      </c>
      <c r="C15280" s="27" t="s">
        <v>50</v>
      </c>
      <c r="D15280" s="27" t="s">
        <v>6</v>
      </c>
      <c r="E15280" s="27" t="s">
        <v>15</v>
      </c>
      <c r="F15280" s="29"/>
      <c r="G15280" s="30">
        <v>273.50799999999998</v>
      </c>
    </row>
    <row r="15281" spans="1:7" hidden="1" x14ac:dyDescent="0.25">
      <c r="A15281" s="28">
        <v>44774</v>
      </c>
      <c r="B15281" s="27" t="s">
        <v>34</v>
      </c>
      <c r="C15281" s="27" t="s">
        <v>50</v>
      </c>
      <c r="D15281" s="27" t="s">
        <v>6</v>
      </c>
      <c r="E15281" s="27" t="s">
        <v>16</v>
      </c>
      <c r="F15281" s="29"/>
      <c r="G15281" s="30">
        <v>273.50799999999998</v>
      </c>
    </row>
    <row r="15282" spans="1:7" hidden="1" x14ac:dyDescent="0.25">
      <c r="A15282" s="28">
        <v>44774</v>
      </c>
      <c r="B15282" s="27" t="s">
        <v>34</v>
      </c>
      <c r="C15282" s="27" t="s">
        <v>50</v>
      </c>
      <c r="D15282" s="27" t="s">
        <v>6</v>
      </c>
      <c r="E15282" s="27" t="s">
        <v>17</v>
      </c>
      <c r="F15282" s="29"/>
      <c r="G15282" s="30">
        <v>273.50799999999998</v>
      </c>
    </row>
    <row r="15283" spans="1:7" hidden="1" x14ac:dyDescent="0.25">
      <c r="A15283" s="28">
        <v>44774</v>
      </c>
      <c r="B15283" s="27" t="s">
        <v>34</v>
      </c>
      <c r="C15283" s="27" t="s">
        <v>50</v>
      </c>
      <c r="D15283" s="27" t="s">
        <v>6</v>
      </c>
      <c r="E15283" s="27" t="s">
        <v>18</v>
      </c>
      <c r="F15283" s="29"/>
      <c r="G15283" s="30">
        <v>273.50799999999998</v>
      </c>
    </row>
    <row r="15284" spans="1:7" hidden="1" x14ac:dyDescent="0.25">
      <c r="A15284" s="28">
        <v>44774</v>
      </c>
      <c r="B15284" s="27" t="s">
        <v>34</v>
      </c>
      <c r="C15284" s="27" t="s">
        <v>50</v>
      </c>
      <c r="D15284" s="27" t="s">
        <v>6</v>
      </c>
      <c r="E15284" s="27" t="s">
        <v>19</v>
      </c>
      <c r="F15284" s="29"/>
      <c r="G15284" s="30">
        <v>273.50799999999998</v>
      </c>
    </row>
    <row r="15285" spans="1:7" hidden="1" x14ac:dyDescent="0.25">
      <c r="A15285" s="28">
        <v>44774</v>
      </c>
      <c r="B15285" s="27" t="s">
        <v>34</v>
      </c>
      <c r="C15285" s="27" t="s">
        <v>50</v>
      </c>
      <c r="D15285" s="27" t="s">
        <v>6</v>
      </c>
      <c r="E15285" s="27" t="s">
        <v>20</v>
      </c>
      <c r="F15285" s="29"/>
      <c r="G15285" s="30">
        <v>273.50799999999998</v>
      </c>
    </row>
    <row r="15286" spans="1:7" hidden="1" x14ac:dyDescent="0.25">
      <c r="A15286" s="28">
        <v>44774</v>
      </c>
      <c r="B15286" s="27" t="s">
        <v>34</v>
      </c>
      <c r="C15286" s="27" t="s">
        <v>50</v>
      </c>
      <c r="D15286" s="27" t="s">
        <v>6</v>
      </c>
      <c r="E15286" s="27" t="s">
        <v>38</v>
      </c>
      <c r="F15286" s="29"/>
      <c r="G15286" s="30">
        <v>273.50799999999998</v>
      </c>
    </row>
    <row r="15287" spans="1:7" hidden="1" x14ac:dyDescent="0.25">
      <c r="A15287" s="28">
        <v>44774</v>
      </c>
      <c r="B15287" s="27" t="s">
        <v>34</v>
      </c>
      <c r="C15287" s="27" t="s">
        <v>50</v>
      </c>
      <c r="D15287" s="27" t="s">
        <v>6</v>
      </c>
      <c r="E15287" s="27" t="s">
        <v>23</v>
      </c>
      <c r="F15287" s="29"/>
      <c r="G15287" s="30">
        <v>273.50799999999998</v>
      </c>
    </row>
    <row r="15288" spans="1:7" hidden="1" x14ac:dyDescent="0.25">
      <c r="A15288" s="28">
        <v>44774</v>
      </c>
      <c r="B15288" s="27" t="s">
        <v>34</v>
      </c>
      <c r="C15288" s="27" t="s">
        <v>50</v>
      </c>
      <c r="D15288" s="27" t="s">
        <v>6</v>
      </c>
      <c r="E15288" s="27" t="s">
        <v>40</v>
      </c>
      <c r="F15288" s="29"/>
      <c r="G15288" s="30">
        <v>273.50799999999998</v>
      </c>
    </row>
    <row r="15289" spans="1:7" hidden="1" x14ac:dyDescent="0.25">
      <c r="A15289" s="28">
        <v>44774</v>
      </c>
      <c r="B15289" s="27" t="s">
        <v>34</v>
      </c>
      <c r="C15289" s="27" t="s">
        <v>50</v>
      </c>
      <c r="D15289" s="27" t="s">
        <v>6</v>
      </c>
      <c r="E15289" s="27" t="s">
        <v>42</v>
      </c>
      <c r="F15289" s="29"/>
      <c r="G15289" s="30">
        <v>273.50799999999998</v>
      </c>
    </row>
    <row r="15290" spans="1:7" hidden="1" x14ac:dyDescent="0.25">
      <c r="A15290" s="28">
        <v>44774</v>
      </c>
      <c r="B15290" s="27" t="s">
        <v>34</v>
      </c>
      <c r="C15290" s="27" t="s">
        <v>50</v>
      </c>
      <c r="D15290" s="27" t="s">
        <v>6</v>
      </c>
      <c r="E15290" s="27" t="s">
        <v>43</v>
      </c>
      <c r="F15290" s="29"/>
      <c r="G15290" s="30">
        <v>273.50799999999998</v>
      </c>
    </row>
    <row r="15291" spans="1:7" hidden="1" x14ac:dyDescent="0.25">
      <c r="A15291" s="28">
        <v>44774</v>
      </c>
      <c r="B15291" s="27" t="s">
        <v>34</v>
      </c>
      <c r="C15291" s="27" t="s">
        <v>50</v>
      </c>
      <c r="D15291" s="27" t="s">
        <v>6</v>
      </c>
      <c r="E15291" s="27" t="s">
        <v>72</v>
      </c>
      <c r="F15291" s="29"/>
      <c r="G15291" s="30">
        <v>273.50799999999998</v>
      </c>
    </row>
    <row r="15292" spans="1:7" hidden="1" x14ac:dyDescent="0.25">
      <c r="A15292" s="28">
        <v>44774</v>
      </c>
      <c r="B15292" s="27" t="s">
        <v>34</v>
      </c>
      <c r="C15292" s="27" t="s">
        <v>50</v>
      </c>
      <c r="D15292" s="27" t="s">
        <v>6</v>
      </c>
      <c r="E15292" s="27" t="s">
        <v>206</v>
      </c>
      <c r="F15292" s="29"/>
      <c r="G15292" s="30">
        <v>273.50799999999998</v>
      </c>
    </row>
    <row r="15293" spans="1:7" hidden="1" x14ac:dyDescent="0.25">
      <c r="A15293" s="28">
        <v>44805</v>
      </c>
      <c r="B15293" s="27" t="s">
        <v>33</v>
      </c>
      <c r="C15293" s="27" t="s">
        <v>50</v>
      </c>
      <c r="D15293" s="27" t="s">
        <v>7</v>
      </c>
      <c r="E15293" s="27" t="s">
        <v>8</v>
      </c>
      <c r="F15293" s="29"/>
      <c r="G15293" s="30">
        <v>3843.1389285714286</v>
      </c>
    </row>
    <row r="15294" spans="1:7" hidden="1" x14ac:dyDescent="0.25">
      <c r="A15294" s="28">
        <v>44805</v>
      </c>
      <c r="B15294" s="27" t="s">
        <v>33</v>
      </c>
      <c r="C15294" s="27" t="s">
        <v>50</v>
      </c>
      <c r="D15294" s="27" t="s">
        <v>7</v>
      </c>
      <c r="E15294" s="27" t="s">
        <v>9</v>
      </c>
      <c r="F15294" s="29"/>
      <c r="G15294" s="30">
        <v>3843.1389285714286</v>
      </c>
    </row>
    <row r="15295" spans="1:7" hidden="1" x14ac:dyDescent="0.25">
      <c r="A15295" s="28">
        <v>44805</v>
      </c>
      <c r="B15295" s="27" t="s">
        <v>33</v>
      </c>
      <c r="C15295" s="27" t="s">
        <v>50</v>
      </c>
      <c r="D15295" s="27" t="s">
        <v>7</v>
      </c>
      <c r="E15295" s="27" t="s">
        <v>22</v>
      </c>
      <c r="F15295" s="29"/>
      <c r="G15295" s="30">
        <v>3843.1389285714286</v>
      </c>
    </row>
    <row r="15296" spans="1:7" hidden="1" x14ac:dyDescent="0.25">
      <c r="A15296" s="28">
        <v>44805</v>
      </c>
      <c r="B15296" s="27" t="s">
        <v>33</v>
      </c>
      <c r="C15296" s="27" t="s">
        <v>50</v>
      </c>
      <c r="D15296" s="27" t="s">
        <v>7</v>
      </c>
      <c r="E15296" s="27" t="s">
        <v>39</v>
      </c>
      <c r="F15296" s="29"/>
      <c r="G15296" s="30">
        <v>3843.1389285714286</v>
      </c>
    </row>
    <row r="15297" spans="1:7" hidden="1" x14ac:dyDescent="0.25">
      <c r="A15297" s="28">
        <v>44805</v>
      </c>
      <c r="B15297" s="27" t="s">
        <v>33</v>
      </c>
      <c r="C15297" s="27" t="s">
        <v>50</v>
      </c>
      <c r="D15297" s="27" t="s">
        <v>7</v>
      </c>
      <c r="E15297" s="27" t="s">
        <v>64</v>
      </c>
      <c r="F15297" s="29"/>
      <c r="G15297" s="30">
        <v>3843.1389285714286</v>
      </c>
    </row>
    <row r="15298" spans="1:7" hidden="1" x14ac:dyDescent="0.25">
      <c r="A15298" s="28">
        <v>44805</v>
      </c>
      <c r="B15298" s="27" t="s">
        <v>33</v>
      </c>
      <c r="C15298" s="27" t="s">
        <v>50</v>
      </c>
      <c r="D15298" s="27" t="s">
        <v>7</v>
      </c>
      <c r="E15298" s="27" t="s">
        <v>21</v>
      </c>
      <c r="F15298" s="29"/>
      <c r="G15298" s="30">
        <v>3843.1389285714286</v>
      </c>
    </row>
    <row r="15299" spans="1:7" hidden="1" x14ac:dyDescent="0.25">
      <c r="A15299" s="28">
        <v>44805</v>
      </c>
      <c r="B15299" s="27" t="s">
        <v>33</v>
      </c>
      <c r="C15299" s="27" t="s">
        <v>50</v>
      </c>
      <c r="D15299" s="27" t="s">
        <v>7</v>
      </c>
      <c r="E15299" s="27" t="s">
        <v>41</v>
      </c>
      <c r="F15299" s="29"/>
      <c r="G15299" s="30">
        <v>3843.1389285714286</v>
      </c>
    </row>
    <row r="15300" spans="1:7" hidden="1" x14ac:dyDescent="0.25">
      <c r="A15300" s="28">
        <v>44805</v>
      </c>
      <c r="B15300" s="27" t="s">
        <v>33</v>
      </c>
      <c r="C15300" s="27" t="s">
        <v>50</v>
      </c>
      <c r="D15300" s="27" t="s">
        <v>7</v>
      </c>
      <c r="E15300" s="27" t="s">
        <v>10</v>
      </c>
      <c r="F15300" s="29"/>
      <c r="G15300" s="30">
        <v>3843.1389285714286</v>
      </c>
    </row>
    <row r="15301" spans="1:7" hidden="1" x14ac:dyDescent="0.25">
      <c r="A15301" s="28">
        <v>44805</v>
      </c>
      <c r="B15301" s="27" t="s">
        <v>33</v>
      </c>
      <c r="C15301" s="27" t="s">
        <v>50</v>
      </c>
      <c r="D15301" s="27" t="s">
        <v>7</v>
      </c>
      <c r="E15301" s="27" t="s">
        <v>11</v>
      </c>
      <c r="F15301" s="29"/>
      <c r="G15301" s="30">
        <v>3843.1389285714286</v>
      </c>
    </row>
    <row r="15302" spans="1:7" hidden="1" x14ac:dyDescent="0.25">
      <c r="A15302" s="28">
        <v>44805</v>
      </c>
      <c r="B15302" s="27" t="s">
        <v>33</v>
      </c>
      <c r="C15302" s="27" t="s">
        <v>50</v>
      </c>
      <c r="D15302" s="27" t="s">
        <v>7</v>
      </c>
      <c r="E15302" s="27" t="s">
        <v>12</v>
      </c>
      <c r="F15302" s="29"/>
      <c r="G15302" s="30">
        <v>3843.1389285714286</v>
      </c>
    </row>
    <row r="15303" spans="1:7" hidden="1" x14ac:dyDescent="0.25">
      <c r="A15303" s="28">
        <v>44805</v>
      </c>
      <c r="B15303" s="27" t="s">
        <v>33</v>
      </c>
      <c r="C15303" s="27" t="s">
        <v>50</v>
      </c>
      <c r="D15303" s="27" t="s">
        <v>7</v>
      </c>
      <c r="E15303" s="27" t="s">
        <v>13</v>
      </c>
      <c r="F15303" s="29"/>
      <c r="G15303" s="30">
        <v>3843.1389285714286</v>
      </c>
    </row>
    <row r="15304" spans="1:7" hidden="1" x14ac:dyDescent="0.25">
      <c r="A15304" s="28">
        <v>44805</v>
      </c>
      <c r="B15304" s="27" t="s">
        <v>33</v>
      </c>
      <c r="C15304" s="27" t="s">
        <v>50</v>
      </c>
      <c r="D15304" s="27" t="s">
        <v>7</v>
      </c>
      <c r="E15304" s="27" t="s">
        <v>14</v>
      </c>
      <c r="F15304" s="29"/>
      <c r="G15304" s="30">
        <v>3843.1389285714286</v>
      </c>
    </row>
    <row r="15305" spans="1:7" hidden="1" x14ac:dyDescent="0.25">
      <c r="A15305" s="28">
        <v>44805</v>
      </c>
      <c r="B15305" s="27" t="s">
        <v>33</v>
      </c>
      <c r="C15305" s="27" t="s">
        <v>50</v>
      </c>
      <c r="D15305" s="27" t="s">
        <v>7</v>
      </c>
      <c r="E15305" s="27" t="s">
        <v>15</v>
      </c>
      <c r="F15305" s="29"/>
      <c r="G15305" s="30">
        <v>3843.1389285714286</v>
      </c>
    </row>
    <row r="15306" spans="1:7" hidden="1" x14ac:dyDescent="0.25">
      <c r="A15306" s="28">
        <v>44805</v>
      </c>
      <c r="B15306" s="27" t="s">
        <v>33</v>
      </c>
      <c r="C15306" s="27" t="s">
        <v>50</v>
      </c>
      <c r="D15306" s="27" t="s">
        <v>7</v>
      </c>
      <c r="E15306" s="27" t="s">
        <v>16</v>
      </c>
      <c r="F15306" s="29"/>
      <c r="G15306" s="30">
        <v>3843.1389285714286</v>
      </c>
    </row>
    <row r="15307" spans="1:7" hidden="1" x14ac:dyDescent="0.25">
      <c r="A15307" s="28">
        <v>44805</v>
      </c>
      <c r="B15307" s="27" t="s">
        <v>33</v>
      </c>
      <c r="C15307" s="27" t="s">
        <v>50</v>
      </c>
      <c r="D15307" s="27" t="s">
        <v>7</v>
      </c>
      <c r="E15307" s="27" t="s">
        <v>17</v>
      </c>
      <c r="F15307" s="29"/>
      <c r="G15307" s="30">
        <v>3843.1389285714286</v>
      </c>
    </row>
    <row r="15308" spans="1:7" hidden="1" x14ac:dyDescent="0.25">
      <c r="A15308" s="28">
        <v>44805</v>
      </c>
      <c r="B15308" s="27" t="s">
        <v>33</v>
      </c>
      <c r="C15308" s="27" t="s">
        <v>50</v>
      </c>
      <c r="D15308" s="27" t="s">
        <v>7</v>
      </c>
      <c r="E15308" s="27" t="s">
        <v>18</v>
      </c>
      <c r="F15308" s="29"/>
      <c r="G15308" s="30">
        <v>3843.1389285714286</v>
      </c>
    </row>
    <row r="15309" spans="1:7" hidden="1" x14ac:dyDescent="0.25">
      <c r="A15309" s="28">
        <v>44805</v>
      </c>
      <c r="B15309" s="27" t="s">
        <v>33</v>
      </c>
      <c r="C15309" s="27" t="s">
        <v>50</v>
      </c>
      <c r="D15309" s="27" t="s">
        <v>7</v>
      </c>
      <c r="E15309" s="27" t="s">
        <v>19</v>
      </c>
      <c r="F15309" s="29"/>
      <c r="G15309" s="30">
        <v>3843.1389285714286</v>
      </c>
    </row>
    <row r="15310" spans="1:7" hidden="1" x14ac:dyDescent="0.25">
      <c r="A15310" s="28">
        <v>44805</v>
      </c>
      <c r="B15310" s="27" t="s">
        <v>33</v>
      </c>
      <c r="C15310" s="27" t="s">
        <v>50</v>
      </c>
      <c r="D15310" s="27" t="s">
        <v>7</v>
      </c>
      <c r="E15310" s="27" t="s">
        <v>20</v>
      </c>
      <c r="F15310" s="29"/>
      <c r="G15310" s="30">
        <v>3843.1389285714286</v>
      </c>
    </row>
    <row r="15311" spans="1:7" hidden="1" x14ac:dyDescent="0.25">
      <c r="A15311" s="28">
        <v>44805</v>
      </c>
      <c r="B15311" s="27" t="s">
        <v>33</v>
      </c>
      <c r="C15311" s="27" t="s">
        <v>50</v>
      </c>
      <c r="D15311" s="27" t="s">
        <v>7</v>
      </c>
      <c r="E15311" s="27" t="s">
        <v>38</v>
      </c>
      <c r="F15311" s="29"/>
      <c r="G15311" s="30">
        <v>3843.1389285714286</v>
      </c>
    </row>
    <row r="15312" spans="1:7" hidden="1" x14ac:dyDescent="0.25">
      <c r="A15312" s="28">
        <v>44805</v>
      </c>
      <c r="B15312" s="27" t="s">
        <v>33</v>
      </c>
      <c r="C15312" s="27" t="s">
        <v>50</v>
      </c>
      <c r="D15312" s="27" t="s">
        <v>7</v>
      </c>
      <c r="E15312" s="27" t="s">
        <v>23</v>
      </c>
      <c r="F15312" s="29"/>
      <c r="G15312" s="30">
        <v>3843.1389285714286</v>
      </c>
    </row>
    <row r="15313" spans="1:7" hidden="1" x14ac:dyDescent="0.25">
      <c r="A15313" s="28">
        <v>44805</v>
      </c>
      <c r="B15313" s="27" t="s">
        <v>33</v>
      </c>
      <c r="C15313" s="27" t="s">
        <v>50</v>
      </c>
      <c r="D15313" s="27" t="s">
        <v>7</v>
      </c>
      <c r="E15313" s="27" t="s">
        <v>40</v>
      </c>
      <c r="F15313" s="29"/>
      <c r="G15313" s="30">
        <v>3843.1389285714286</v>
      </c>
    </row>
    <row r="15314" spans="1:7" hidden="1" x14ac:dyDescent="0.25">
      <c r="A15314" s="28">
        <v>44805</v>
      </c>
      <c r="B15314" s="27" t="s">
        <v>33</v>
      </c>
      <c r="C15314" s="27" t="s">
        <v>50</v>
      </c>
      <c r="D15314" s="27" t="s">
        <v>7</v>
      </c>
      <c r="E15314" s="27" t="s">
        <v>42</v>
      </c>
      <c r="F15314" s="29"/>
      <c r="G15314" s="30">
        <v>3843.1389285714286</v>
      </c>
    </row>
    <row r="15315" spans="1:7" hidden="1" x14ac:dyDescent="0.25">
      <c r="A15315" s="28">
        <v>44805</v>
      </c>
      <c r="B15315" s="27" t="s">
        <v>33</v>
      </c>
      <c r="C15315" s="27" t="s">
        <v>50</v>
      </c>
      <c r="D15315" s="27" t="s">
        <v>7</v>
      </c>
      <c r="E15315" s="27" t="s">
        <v>43</v>
      </c>
      <c r="F15315" s="29"/>
      <c r="G15315" s="30">
        <v>3843.1389285714286</v>
      </c>
    </row>
    <row r="15316" spans="1:7" hidden="1" x14ac:dyDescent="0.25">
      <c r="A15316" s="28">
        <v>44805</v>
      </c>
      <c r="B15316" s="27" t="s">
        <v>33</v>
      </c>
      <c r="C15316" s="27" t="s">
        <v>50</v>
      </c>
      <c r="D15316" s="27" t="s">
        <v>7</v>
      </c>
      <c r="E15316" s="27" t="s">
        <v>72</v>
      </c>
      <c r="F15316" s="29"/>
      <c r="G15316" s="30">
        <v>3843.1389285714286</v>
      </c>
    </row>
    <row r="15317" spans="1:7" hidden="1" x14ac:dyDescent="0.25">
      <c r="A15317" s="28">
        <v>44805</v>
      </c>
      <c r="B15317" s="27" t="s">
        <v>33</v>
      </c>
      <c r="C15317" s="27" t="s">
        <v>50</v>
      </c>
      <c r="D15317" s="27" t="s">
        <v>7</v>
      </c>
      <c r="E15317" s="27" t="s">
        <v>206</v>
      </c>
      <c r="F15317" s="29"/>
      <c r="G15317" s="30">
        <v>3843.1389285714286</v>
      </c>
    </row>
    <row r="15318" spans="1:7" hidden="1" x14ac:dyDescent="0.25">
      <c r="A15318" s="28">
        <v>44805</v>
      </c>
      <c r="B15318" s="27" t="s">
        <v>33</v>
      </c>
      <c r="C15318" s="27" t="s">
        <v>50</v>
      </c>
      <c r="D15318" s="27" t="s">
        <v>7</v>
      </c>
      <c r="E15318" s="27" t="s">
        <v>67</v>
      </c>
      <c r="F15318" s="29"/>
      <c r="G15318" s="30">
        <v>3843.1389285714286</v>
      </c>
    </row>
    <row r="15319" spans="1:7" hidden="1" x14ac:dyDescent="0.25">
      <c r="A15319" s="28">
        <v>44805</v>
      </c>
      <c r="B15319" s="27" t="s">
        <v>33</v>
      </c>
      <c r="C15319" s="27" t="s">
        <v>50</v>
      </c>
      <c r="D15319" s="27" t="s">
        <v>7</v>
      </c>
      <c r="E15319" s="27" t="s">
        <v>68</v>
      </c>
      <c r="F15319" s="29"/>
      <c r="G15319" s="30">
        <v>3843.1389285714286</v>
      </c>
    </row>
    <row r="15320" spans="1:7" hidden="1" x14ac:dyDescent="0.25">
      <c r="A15320" s="28">
        <v>44805</v>
      </c>
      <c r="B15320" s="27" t="s">
        <v>33</v>
      </c>
      <c r="C15320" s="27" t="s">
        <v>50</v>
      </c>
      <c r="D15320" s="27" t="s">
        <v>7</v>
      </c>
      <c r="E15320" s="27" t="s">
        <v>74</v>
      </c>
      <c r="F15320" s="29"/>
      <c r="G15320" s="30">
        <v>3843.1389285714286</v>
      </c>
    </row>
    <row r="15321" spans="1:7" hidden="1" x14ac:dyDescent="0.25">
      <c r="A15321" s="28">
        <v>44805</v>
      </c>
      <c r="B15321" s="27" t="s">
        <v>4</v>
      </c>
      <c r="C15321" s="27" t="s">
        <v>50</v>
      </c>
      <c r="D15321" s="27" t="s">
        <v>7</v>
      </c>
      <c r="E15321" s="27" t="s">
        <v>8</v>
      </c>
      <c r="F15321" s="29"/>
      <c r="G15321" s="30">
        <v>888.85</v>
      </c>
    </row>
    <row r="15322" spans="1:7" hidden="1" x14ac:dyDescent="0.25">
      <c r="A15322" s="28">
        <v>44805</v>
      </c>
      <c r="B15322" s="27" t="s">
        <v>4</v>
      </c>
      <c r="C15322" s="27" t="s">
        <v>50</v>
      </c>
      <c r="D15322" s="27" t="s">
        <v>7</v>
      </c>
      <c r="E15322" s="27" t="s">
        <v>9</v>
      </c>
      <c r="F15322" s="29"/>
      <c r="G15322" s="30">
        <f>150644.41/18</f>
        <v>8369.1338888888895</v>
      </c>
    </row>
    <row r="15323" spans="1:7" hidden="1" x14ac:dyDescent="0.25">
      <c r="A15323" s="28">
        <v>44805</v>
      </c>
      <c r="B15323" s="27" t="s">
        <v>4</v>
      </c>
      <c r="C15323" s="27" t="s">
        <v>50</v>
      </c>
      <c r="D15323" s="27" t="s">
        <v>7</v>
      </c>
      <c r="E15323" s="27" t="s">
        <v>22</v>
      </c>
      <c r="F15323" s="29"/>
      <c r="G15323" s="30">
        <v>2280.35</v>
      </c>
    </row>
    <row r="15324" spans="1:7" hidden="1" x14ac:dyDescent="0.25">
      <c r="A15324" s="28">
        <v>44805</v>
      </c>
      <c r="B15324" s="27" t="s">
        <v>4</v>
      </c>
      <c r="C15324" s="27" t="s">
        <v>50</v>
      </c>
      <c r="D15324" s="27" t="s">
        <v>7</v>
      </c>
      <c r="E15324" s="27" t="s">
        <v>39</v>
      </c>
      <c r="F15324" s="29"/>
      <c r="G15324" s="30">
        <v>845.06</v>
      </c>
    </row>
    <row r="15325" spans="1:7" hidden="1" x14ac:dyDescent="0.25">
      <c r="A15325" s="28">
        <v>44805</v>
      </c>
      <c r="B15325" s="27" t="s">
        <v>4</v>
      </c>
      <c r="C15325" s="27" t="s">
        <v>50</v>
      </c>
      <c r="D15325" s="27" t="s">
        <v>7</v>
      </c>
      <c r="E15325" s="27" t="s">
        <v>64</v>
      </c>
      <c r="F15325" s="29"/>
      <c r="G15325" s="30">
        <f>150644.41/18</f>
        <v>8369.1338888888895</v>
      </c>
    </row>
    <row r="15326" spans="1:7" hidden="1" x14ac:dyDescent="0.25">
      <c r="A15326" s="28">
        <v>44805</v>
      </c>
      <c r="B15326" s="27" t="s">
        <v>4</v>
      </c>
      <c r="C15326" s="27" t="s">
        <v>50</v>
      </c>
      <c r="D15326" s="27" t="s">
        <v>7</v>
      </c>
      <c r="E15326" s="27" t="s">
        <v>21</v>
      </c>
      <c r="F15326" s="29"/>
      <c r="G15326" s="30">
        <v>4794.3100000000004</v>
      </c>
    </row>
    <row r="15327" spans="1:7" hidden="1" x14ac:dyDescent="0.25">
      <c r="A15327" s="28">
        <v>44805</v>
      </c>
      <c r="B15327" s="27" t="s">
        <v>4</v>
      </c>
      <c r="C15327" s="27" t="s">
        <v>50</v>
      </c>
      <c r="D15327" s="27" t="s">
        <v>7</v>
      </c>
      <c r="E15327" s="27" t="s">
        <v>41</v>
      </c>
      <c r="F15327" s="29"/>
      <c r="G15327" s="30">
        <v>1152.06</v>
      </c>
    </row>
    <row r="15328" spans="1:7" hidden="1" x14ac:dyDescent="0.25">
      <c r="A15328" s="28">
        <v>44805</v>
      </c>
      <c r="B15328" s="27" t="s">
        <v>4</v>
      </c>
      <c r="C15328" s="27" t="s">
        <v>50</v>
      </c>
      <c r="D15328" s="27" t="s">
        <v>7</v>
      </c>
      <c r="E15328" s="27" t="s">
        <v>10</v>
      </c>
      <c r="F15328" s="29"/>
      <c r="G15328" s="30">
        <v>3907.72</v>
      </c>
    </row>
    <row r="15329" spans="1:7" hidden="1" x14ac:dyDescent="0.25">
      <c r="A15329" s="28">
        <v>44805</v>
      </c>
      <c r="B15329" s="27" t="s">
        <v>4</v>
      </c>
      <c r="C15329" s="27" t="s">
        <v>50</v>
      </c>
      <c r="D15329" s="27" t="s">
        <v>7</v>
      </c>
      <c r="E15329" s="27" t="s">
        <v>11</v>
      </c>
      <c r="F15329" s="29"/>
      <c r="G15329" s="30">
        <f>150644.41/18</f>
        <v>8369.1338888888895</v>
      </c>
    </row>
    <row r="15330" spans="1:7" hidden="1" x14ac:dyDescent="0.25">
      <c r="A15330" s="28">
        <v>44805</v>
      </c>
      <c r="B15330" s="27" t="s">
        <v>4</v>
      </c>
      <c r="C15330" s="27" t="s">
        <v>50</v>
      </c>
      <c r="D15330" s="27" t="s">
        <v>7</v>
      </c>
      <c r="E15330" s="27" t="s">
        <v>12</v>
      </c>
      <c r="F15330" s="29"/>
      <c r="G15330" s="30">
        <f>150644.41/18</f>
        <v>8369.1338888888895</v>
      </c>
    </row>
    <row r="15331" spans="1:7" hidden="1" x14ac:dyDescent="0.25">
      <c r="A15331" s="28">
        <v>44805</v>
      </c>
      <c r="B15331" s="27" t="s">
        <v>4</v>
      </c>
      <c r="C15331" s="27" t="s">
        <v>50</v>
      </c>
      <c r="D15331" s="27" t="s">
        <v>7</v>
      </c>
      <c r="E15331" s="27" t="s">
        <v>13</v>
      </c>
      <c r="F15331" s="29"/>
      <c r="G15331" s="30">
        <v>3855.62</v>
      </c>
    </row>
    <row r="15332" spans="1:7" hidden="1" x14ac:dyDescent="0.25">
      <c r="A15332" s="28">
        <v>44805</v>
      </c>
      <c r="B15332" s="27" t="s">
        <v>4</v>
      </c>
      <c r="C15332" s="27" t="s">
        <v>50</v>
      </c>
      <c r="D15332" s="27" t="s">
        <v>7</v>
      </c>
      <c r="E15332" s="27" t="s">
        <v>14</v>
      </c>
      <c r="F15332" s="29"/>
      <c r="G15332" s="30">
        <f t="shared" ref="G15332:G15337" si="265">150644.41/18</f>
        <v>8369.1338888888895</v>
      </c>
    </row>
    <row r="15333" spans="1:7" hidden="1" x14ac:dyDescent="0.25">
      <c r="A15333" s="28">
        <v>44805</v>
      </c>
      <c r="B15333" s="27" t="s">
        <v>4</v>
      </c>
      <c r="C15333" s="27" t="s">
        <v>50</v>
      </c>
      <c r="D15333" s="27" t="s">
        <v>7</v>
      </c>
      <c r="E15333" s="27" t="s">
        <v>15</v>
      </c>
      <c r="F15333" s="29"/>
      <c r="G15333" s="30">
        <f t="shared" si="265"/>
        <v>8369.1338888888895</v>
      </c>
    </row>
    <row r="15334" spans="1:7" hidden="1" x14ac:dyDescent="0.25">
      <c r="A15334" s="28">
        <v>44805</v>
      </c>
      <c r="B15334" s="27" t="s">
        <v>4</v>
      </c>
      <c r="C15334" s="27" t="s">
        <v>50</v>
      </c>
      <c r="D15334" s="27" t="s">
        <v>7</v>
      </c>
      <c r="E15334" s="27" t="s">
        <v>16</v>
      </c>
      <c r="F15334" s="29"/>
      <c r="G15334" s="30">
        <f t="shared" si="265"/>
        <v>8369.1338888888895</v>
      </c>
    </row>
    <row r="15335" spans="1:7" hidden="1" x14ac:dyDescent="0.25">
      <c r="A15335" s="28">
        <v>44805</v>
      </c>
      <c r="B15335" s="27" t="s">
        <v>4</v>
      </c>
      <c r="C15335" s="27" t="s">
        <v>50</v>
      </c>
      <c r="D15335" s="27" t="s">
        <v>7</v>
      </c>
      <c r="E15335" s="27" t="s">
        <v>17</v>
      </c>
      <c r="F15335" s="29"/>
      <c r="G15335" s="30">
        <f t="shared" si="265"/>
        <v>8369.1338888888895</v>
      </c>
    </row>
    <row r="15336" spans="1:7" hidden="1" x14ac:dyDescent="0.25">
      <c r="A15336" s="28">
        <v>44805</v>
      </c>
      <c r="B15336" s="27" t="s">
        <v>4</v>
      </c>
      <c r="C15336" s="27" t="s">
        <v>50</v>
      </c>
      <c r="D15336" s="27" t="s">
        <v>7</v>
      </c>
      <c r="E15336" s="27" t="s">
        <v>18</v>
      </c>
      <c r="F15336" s="29"/>
      <c r="G15336" s="30">
        <f t="shared" si="265"/>
        <v>8369.1338888888895</v>
      </c>
    </row>
    <row r="15337" spans="1:7" hidden="1" x14ac:dyDescent="0.25">
      <c r="A15337" s="28">
        <v>44805</v>
      </c>
      <c r="B15337" s="27" t="s">
        <v>4</v>
      </c>
      <c r="C15337" s="27" t="s">
        <v>50</v>
      </c>
      <c r="D15337" s="27" t="s">
        <v>7</v>
      </c>
      <c r="E15337" s="27" t="s">
        <v>19</v>
      </c>
      <c r="F15337" s="29"/>
      <c r="G15337" s="30">
        <f t="shared" si="265"/>
        <v>8369.1338888888895</v>
      </c>
    </row>
    <row r="15338" spans="1:7" hidden="1" x14ac:dyDescent="0.25">
      <c r="A15338" s="28">
        <v>44805</v>
      </c>
      <c r="B15338" s="27" t="s">
        <v>4</v>
      </c>
      <c r="C15338" s="27" t="s">
        <v>50</v>
      </c>
      <c r="D15338" s="27" t="s">
        <v>7</v>
      </c>
      <c r="E15338" s="27" t="s">
        <v>20</v>
      </c>
      <c r="F15338" s="29"/>
      <c r="G15338" s="30">
        <v>275.89999999999998</v>
      </c>
    </row>
    <row r="15339" spans="1:7" hidden="1" x14ac:dyDescent="0.25">
      <c r="A15339" s="28">
        <v>44805</v>
      </c>
      <c r="B15339" s="27" t="s">
        <v>4</v>
      </c>
      <c r="C15339" s="27" t="s">
        <v>50</v>
      </c>
      <c r="D15339" s="27" t="s">
        <v>7</v>
      </c>
      <c r="E15339" s="27" t="s">
        <v>38</v>
      </c>
      <c r="F15339" s="29"/>
      <c r="G15339" s="30">
        <f>150644.41/18</f>
        <v>8369.1338888888895</v>
      </c>
    </row>
    <row r="15340" spans="1:7" hidden="1" x14ac:dyDescent="0.25">
      <c r="A15340" s="28">
        <v>44805</v>
      </c>
      <c r="B15340" s="27" t="s">
        <v>4</v>
      </c>
      <c r="C15340" s="27" t="s">
        <v>50</v>
      </c>
      <c r="D15340" s="27" t="s">
        <v>7</v>
      </c>
      <c r="E15340" s="27" t="s">
        <v>23</v>
      </c>
      <c r="F15340" s="29"/>
      <c r="G15340" s="30">
        <v>4773.3500000000004</v>
      </c>
    </row>
    <row r="15341" spans="1:7" hidden="1" x14ac:dyDescent="0.25">
      <c r="A15341" s="28">
        <v>44805</v>
      </c>
      <c r="B15341" s="27" t="s">
        <v>4</v>
      </c>
      <c r="C15341" s="27" t="s">
        <v>50</v>
      </c>
      <c r="D15341" s="27" t="s">
        <v>7</v>
      </c>
      <c r="E15341" s="27" t="s">
        <v>40</v>
      </c>
      <c r="F15341" s="29"/>
      <c r="G15341" s="30">
        <v>267.32</v>
      </c>
    </row>
    <row r="15342" spans="1:7" hidden="1" x14ac:dyDescent="0.25">
      <c r="A15342" s="28">
        <v>44805</v>
      </c>
      <c r="B15342" s="27" t="s">
        <v>4</v>
      </c>
      <c r="C15342" s="27" t="s">
        <v>50</v>
      </c>
      <c r="D15342" s="27" t="s">
        <v>7</v>
      </c>
      <c r="E15342" s="27" t="s">
        <v>42</v>
      </c>
      <c r="F15342" s="29"/>
      <c r="G15342" s="30">
        <f t="shared" ref="G15342:G15348" si="266">150644.41/18</f>
        <v>8369.1338888888895</v>
      </c>
    </row>
    <row r="15343" spans="1:7" hidden="1" x14ac:dyDescent="0.25">
      <c r="A15343" s="28">
        <v>44805</v>
      </c>
      <c r="B15343" s="27" t="s">
        <v>4</v>
      </c>
      <c r="C15343" s="27" t="s">
        <v>50</v>
      </c>
      <c r="D15343" s="27" t="s">
        <v>7</v>
      </c>
      <c r="E15343" s="27" t="s">
        <v>43</v>
      </c>
      <c r="F15343" s="29"/>
      <c r="G15343" s="30">
        <f t="shared" si="266"/>
        <v>8369.1338888888895</v>
      </c>
    </row>
    <row r="15344" spans="1:7" hidden="1" x14ac:dyDescent="0.25">
      <c r="A15344" s="28">
        <v>44805</v>
      </c>
      <c r="B15344" s="27" t="s">
        <v>4</v>
      </c>
      <c r="C15344" s="27" t="s">
        <v>50</v>
      </c>
      <c r="D15344" s="27" t="s">
        <v>7</v>
      </c>
      <c r="E15344" s="27" t="s">
        <v>72</v>
      </c>
      <c r="F15344" s="29"/>
      <c r="G15344" s="30">
        <f t="shared" si="266"/>
        <v>8369.1338888888895</v>
      </c>
    </row>
    <row r="15345" spans="1:7" hidden="1" x14ac:dyDescent="0.25">
      <c r="A15345" s="28">
        <v>44805</v>
      </c>
      <c r="B15345" s="27" t="s">
        <v>4</v>
      </c>
      <c r="C15345" s="27" t="s">
        <v>50</v>
      </c>
      <c r="D15345" s="27" t="s">
        <v>7</v>
      </c>
      <c r="E15345" s="27" t="s">
        <v>206</v>
      </c>
      <c r="F15345" s="29"/>
      <c r="G15345" s="30">
        <f t="shared" si="266"/>
        <v>8369.1338888888895</v>
      </c>
    </row>
    <row r="15346" spans="1:7" hidden="1" x14ac:dyDescent="0.25">
      <c r="A15346" s="28">
        <v>44805</v>
      </c>
      <c r="B15346" s="27" t="s">
        <v>4</v>
      </c>
      <c r="C15346" s="27" t="s">
        <v>50</v>
      </c>
      <c r="D15346" s="27" t="s">
        <v>7</v>
      </c>
      <c r="E15346" s="27" t="s">
        <v>67</v>
      </c>
      <c r="F15346" s="29"/>
      <c r="G15346" s="30">
        <f t="shared" si="266"/>
        <v>8369.1338888888895</v>
      </c>
    </row>
    <row r="15347" spans="1:7" hidden="1" x14ac:dyDescent="0.25">
      <c r="A15347" s="28">
        <v>44805</v>
      </c>
      <c r="B15347" s="27" t="s">
        <v>4</v>
      </c>
      <c r="C15347" s="27" t="s">
        <v>50</v>
      </c>
      <c r="D15347" s="27" t="s">
        <v>7</v>
      </c>
      <c r="E15347" s="27" t="s">
        <v>68</v>
      </c>
      <c r="F15347" s="29"/>
      <c r="G15347" s="30">
        <f t="shared" si="266"/>
        <v>8369.1338888888895</v>
      </c>
    </row>
    <row r="15348" spans="1:7" hidden="1" x14ac:dyDescent="0.25">
      <c r="A15348" s="28">
        <v>44805</v>
      </c>
      <c r="B15348" s="27" t="s">
        <v>4</v>
      </c>
      <c r="C15348" s="27" t="s">
        <v>50</v>
      </c>
      <c r="D15348" s="27" t="s">
        <v>7</v>
      </c>
      <c r="E15348" s="27" t="s">
        <v>74</v>
      </c>
      <c r="F15348" s="29"/>
      <c r="G15348" s="30">
        <f t="shared" si="266"/>
        <v>8369.1338888888895</v>
      </c>
    </row>
    <row r="15349" spans="1:7" hidden="1" x14ac:dyDescent="0.25">
      <c r="A15349" s="28">
        <v>44805</v>
      </c>
      <c r="B15349" s="27" t="s">
        <v>26</v>
      </c>
      <c r="C15349" s="27" t="s">
        <v>50</v>
      </c>
      <c r="D15349" s="27" t="s">
        <v>6</v>
      </c>
      <c r="E15349" s="27" t="s">
        <v>8</v>
      </c>
      <c r="F15349" s="29"/>
      <c r="G15349" s="30">
        <v>719.18234681218985</v>
      </c>
    </row>
    <row r="15350" spans="1:7" hidden="1" x14ac:dyDescent="0.25">
      <c r="A15350" s="28">
        <v>44805</v>
      </c>
      <c r="B15350" s="27" t="s">
        <v>26</v>
      </c>
      <c r="C15350" s="27" t="s">
        <v>50</v>
      </c>
      <c r="D15350" s="27" t="s">
        <v>6</v>
      </c>
      <c r="E15350" s="27" t="s">
        <v>9</v>
      </c>
      <c r="F15350" s="29"/>
      <c r="G15350" s="30">
        <v>1595.1320615825009</v>
      </c>
    </row>
    <row r="15351" spans="1:7" hidden="1" x14ac:dyDescent="0.25">
      <c r="A15351" s="28">
        <v>44805</v>
      </c>
      <c r="B15351" s="27" t="s">
        <v>26</v>
      </c>
      <c r="C15351" s="27" t="s">
        <v>50</v>
      </c>
      <c r="D15351" s="27" t="s">
        <v>6</v>
      </c>
      <c r="E15351" s="27" t="s">
        <v>22</v>
      </c>
      <c r="F15351" s="29"/>
      <c r="G15351" s="30">
        <v>2121.8036778000037</v>
      </c>
    </row>
    <row r="15352" spans="1:7" hidden="1" x14ac:dyDescent="0.25">
      <c r="A15352" s="28">
        <v>44805</v>
      </c>
      <c r="B15352" s="27" t="s">
        <v>26</v>
      </c>
      <c r="C15352" s="27" t="s">
        <v>50</v>
      </c>
      <c r="D15352" s="27" t="s">
        <v>6</v>
      </c>
      <c r="E15352" s="27" t="s">
        <v>39</v>
      </c>
      <c r="F15352" s="29"/>
      <c r="G15352" s="30">
        <v>1858.2521149872089</v>
      </c>
    </row>
    <row r="15353" spans="1:7" hidden="1" x14ac:dyDescent="0.25">
      <c r="A15353" s="28">
        <v>44805</v>
      </c>
      <c r="B15353" s="27" t="s">
        <v>26</v>
      </c>
      <c r="C15353" s="27" t="s">
        <v>50</v>
      </c>
      <c r="D15353" s="27" t="s">
        <v>6</v>
      </c>
      <c r="E15353" s="27" t="s">
        <v>64</v>
      </c>
      <c r="F15353" s="29"/>
      <c r="G15353" s="30">
        <v>1276.3329108875935</v>
      </c>
    </row>
    <row r="15354" spans="1:7" hidden="1" x14ac:dyDescent="0.25">
      <c r="A15354" s="28">
        <v>44805</v>
      </c>
      <c r="B15354" s="27" t="s">
        <v>26</v>
      </c>
      <c r="C15354" s="27" t="s">
        <v>50</v>
      </c>
      <c r="D15354" s="27" t="s">
        <v>6</v>
      </c>
      <c r="E15354" s="27" t="s">
        <v>21</v>
      </c>
      <c r="F15354" s="29"/>
      <c r="G15354" s="30">
        <v>1372.0704648952321</v>
      </c>
    </row>
    <row r="15355" spans="1:7" hidden="1" x14ac:dyDescent="0.25">
      <c r="A15355" s="28">
        <v>44805</v>
      </c>
      <c r="B15355" s="27" t="s">
        <v>26</v>
      </c>
      <c r="C15355" s="27" t="s">
        <v>50</v>
      </c>
      <c r="D15355" s="27" t="s">
        <v>6</v>
      </c>
      <c r="E15355" s="27" t="s">
        <v>41</v>
      </c>
      <c r="F15355" s="29"/>
      <c r="G15355" s="30">
        <v>1581.4819806400055</v>
      </c>
    </row>
    <row r="15356" spans="1:7" hidden="1" x14ac:dyDescent="0.25">
      <c r="A15356" s="28">
        <v>44805</v>
      </c>
      <c r="B15356" s="27" t="s">
        <v>26</v>
      </c>
      <c r="C15356" s="27" t="s">
        <v>50</v>
      </c>
      <c r="D15356" s="27" t="s">
        <v>6</v>
      </c>
      <c r="E15356" s="27" t="s">
        <v>10</v>
      </c>
      <c r="F15356" s="29"/>
      <c r="G15356" s="30">
        <v>2188.8314725228997</v>
      </c>
    </row>
    <row r="15357" spans="1:7" hidden="1" x14ac:dyDescent="0.25">
      <c r="A15357" s="28">
        <v>44805</v>
      </c>
      <c r="B15357" s="27" t="s">
        <v>26</v>
      </c>
      <c r="C15357" s="27" t="s">
        <v>50</v>
      </c>
      <c r="D15357" s="27" t="s">
        <v>6</v>
      </c>
      <c r="E15357" s="27" t="s">
        <v>11</v>
      </c>
      <c r="F15357" s="29"/>
      <c r="G15357" s="30">
        <v>1627.7110218930932</v>
      </c>
    </row>
    <row r="15358" spans="1:7" hidden="1" x14ac:dyDescent="0.25">
      <c r="A15358" s="28">
        <v>44805</v>
      </c>
      <c r="B15358" s="27" t="s">
        <v>26</v>
      </c>
      <c r="C15358" s="27" t="s">
        <v>50</v>
      </c>
      <c r="D15358" s="27" t="s">
        <v>6</v>
      </c>
      <c r="E15358" s="27" t="s">
        <v>12</v>
      </c>
      <c r="F15358" s="29"/>
      <c r="G15358" s="30">
        <v>1714.4875638594519</v>
      </c>
    </row>
    <row r="15359" spans="1:7" hidden="1" x14ac:dyDescent="0.25">
      <c r="A15359" s="28">
        <v>44805</v>
      </c>
      <c r="B15359" s="27" t="s">
        <v>26</v>
      </c>
      <c r="C15359" s="27" t="s">
        <v>50</v>
      </c>
      <c r="D15359" s="27" t="s">
        <v>6</v>
      </c>
      <c r="E15359" s="27" t="s">
        <v>13</v>
      </c>
      <c r="F15359" s="29"/>
      <c r="G15359" s="30">
        <v>1743.4562287890469</v>
      </c>
    </row>
    <row r="15360" spans="1:7" hidden="1" x14ac:dyDescent="0.25">
      <c r="A15360" s="28">
        <v>44805</v>
      </c>
      <c r="B15360" s="27" t="s">
        <v>26</v>
      </c>
      <c r="C15360" s="27" t="s">
        <v>50</v>
      </c>
      <c r="D15360" s="27" t="s">
        <v>6</v>
      </c>
      <c r="E15360" s="27" t="s">
        <v>14</v>
      </c>
      <c r="F15360" s="29"/>
      <c r="G15360" s="30">
        <v>561.68141286032039</v>
      </c>
    </row>
    <row r="15361" spans="1:7" hidden="1" x14ac:dyDescent="0.25">
      <c r="A15361" s="28">
        <v>44805</v>
      </c>
      <c r="B15361" s="27" t="s">
        <v>26</v>
      </c>
      <c r="C15361" s="27" t="s">
        <v>50</v>
      </c>
      <c r="D15361" s="27" t="s">
        <v>6</v>
      </c>
      <c r="E15361" s="27" t="s">
        <v>15</v>
      </c>
      <c r="F15361" s="29"/>
      <c r="G15361" s="30">
        <v>1903.4886846016955</v>
      </c>
    </row>
    <row r="15362" spans="1:7" hidden="1" x14ac:dyDescent="0.25">
      <c r="A15362" s="28">
        <v>44805</v>
      </c>
      <c r="B15362" s="27" t="s">
        <v>26</v>
      </c>
      <c r="C15362" s="27" t="s">
        <v>50</v>
      </c>
      <c r="D15362" s="27" t="s">
        <v>6</v>
      </c>
      <c r="E15362" s="27" t="s">
        <v>16</v>
      </c>
      <c r="F15362" s="29"/>
      <c r="G15362" s="30">
        <v>2154.0949651718715</v>
      </c>
    </row>
    <row r="15363" spans="1:7" hidden="1" x14ac:dyDescent="0.25">
      <c r="A15363" s="28">
        <v>44805</v>
      </c>
      <c r="B15363" s="27" t="s">
        <v>26</v>
      </c>
      <c r="C15363" s="27" t="s">
        <v>50</v>
      </c>
      <c r="D15363" s="27" t="s">
        <v>6</v>
      </c>
      <c r="E15363" s="27" t="s">
        <v>17</v>
      </c>
      <c r="F15363" s="29"/>
      <c r="G15363" s="30">
        <v>3135.6350321011482</v>
      </c>
    </row>
    <row r="15364" spans="1:7" hidden="1" x14ac:dyDescent="0.25">
      <c r="A15364" s="28">
        <v>44805</v>
      </c>
      <c r="B15364" s="27" t="s">
        <v>26</v>
      </c>
      <c r="C15364" s="27" t="s">
        <v>50</v>
      </c>
      <c r="D15364" s="27" t="s">
        <v>6</v>
      </c>
      <c r="E15364" s="27" t="s">
        <v>18</v>
      </c>
      <c r="F15364" s="29"/>
      <c r="G15364" s="30">
        <v>1603.690331509566</v>
      </c>
    </row>
    <row r="15365" spans="1:7" hidden="1" x14ac:dyDescent="0.25">
      <c r="A15365" s="28">
        <v>44805</v>
      </c>
      <c r="B15365" s="27" t="s">
        <v>26</v>
      </c>
      <c r="C15365" s="27" t="s">
        <v>50</v>
      </c>
      <c r="D15365" s="27" t="s">
        <v>6</v>
      </c>
      <c r="E15365" s="27" t="s">
        <v>19</v>
      </c>
      <c r="F15365" s="29"/>
      <c r="G15365" s="30">
        <v>2421.1417541901737</v>
      </c>
    </row>
    <row r="15366" spans="1:7" hidden="1" x14ac:dyDescent="0.25">
      <c r="A15366" s="28">
        <v>44805</v>
      </c>
      <c r="B15366" s="27" t="s">
        <v>26</v>
      </c>
      <c r="C15366" s="27" t="s">
        <v>50</v>
      </c>
      <c r="D15366" s="27" t="s">
        <v>6</v>
      </c>
      <c r="E15366" s="27" t="s">
        <v>20</v>
      </c>
      <c r="F15366" s="29"/>
      <c r="G15366" s="30">
        <v>1946.4814052941281</v>
      </c>
    </row>
    <row r="15367" spans="1:7" hidden="1" x14ac:dyDescent="0.25">
      <c r="A15367" s="28">
        <v>44805</v>
      </c>
      <c r="B15367" s="27" t="s">
        <v>26</v>
      </c>
      <c r="C15367" s="27" t="s">
        <v>50</v>
      </c>
      <c r="D15367" s="27" t="s">
        <v>6</v>
      </c>
      <c r="E15367" s="27" t="s">
        <v>38</v>
      </c>
      <c r="F15367" s="29"/>
      <c r="G15367" s="30">
        <v>760.63601728244464</v>
      </c>
    </row>
    <row r="15368" spans="1:7" hidden="1" x14ac:dyDescent="0.25">
      <c r="A15368" s="28">
        <v>44805</v>
      </c>
      <c r="B15368" s="27" t="s">
        <v>26</v>
      </c>
      <c r="C15368" s="27" t="s">
        <v>50</v>
      </c>
      <c r="D15368" s="27" t="s">
        <v>6</v>
      </c>
      <c r="E15368" s="27" t="s">
        <v>23</v>
      </c>
      <c r="F15368" s="29"/>
      <c r="G15368" s="30">
        <v>2589.0564485238838</v>
      </c>
    </row>
    <row r="15369" spans="1:7" hidden="1" x14ac:dyDescent="0.25">
      <c r="A15369" s="28">
        <v>44805</v>
      </c>
      <c r="B15369" s="27" t="s">
        <v>26</v>
      </c>
      <c r="C15369" s="27" t="s">
        <v>50</v>
      </c>
      <c r="D15369" s="27" t="s">
        <v>6</v>
      </c>
      <c r="E15369" s="27" t="s">
        <v>40</v>
      </c>
      <c r="F15369" s="29"/>
      <c r="G15369" s="30">
        <v>834.25152230214019</v>
      </c>
    </row>
    <row r="15370" spans="1:7" hidden="1" x14ac:dyDescent="0.25">
      <c r="A15370" s="28">
        <v>44805</v>
      </c>
      <c r="B15370" s="27" t="s">
        <v>26</v>
      </c>
      <c r="C15370" s="27" t="s">
        <v>50</v>
      </c>
      <c r="D15370" s="27" t="s">
        <v>6</v>
      </c>
      <c r="E15370" s="27" t="s">
        <v>42</v>
      </c>
      <c r="F15370" s="29"/>
      <c r="G15370" s="30">
        <v>770.09371289428304</v>
      </c>
    </row>
    <row r="15371" spans="1:7" hidden="1" x14ac:dyDescent="0.25">
      <c r="A15371" s="28">
        <v>44805</v>
      </c>
      <c r="B15371" s="27" t="s">
        <v>26</v>
      </c>
      <c r="C15371" s="27" t="s">
        <v>50</v>
      </c>
      <c r="D15371" s="27" t="s">
        <v>6</v>
      </c>
      <c r="E15371" s="27" t="s">
        <v>43</v>
      </c>
      <c r="F15371" s="29"/>
      <c r="G15371" s="30">
        <v>715.10130483040575</v>
      </c>
    </row>
    <row r="15372" spans="1:7" hidden="1" x14ac:dyDescent="0.25">
      <c r="A15372" s="28">
        <v>44805</v>
      </c>
      <c r="B15372" s="27" t="s">
        <v>26</v>
      </c>
      <c r="C15372" s="27" t="s">
        <v>50</v>
      </c>
      <c r="D15372" s="27" t="s">
        <v>6</v>
      </c>
      <c r="E15372" s="27" t="s">
        <v>72</v>
      </c>
      <c r="F15372" s="29"/>
      <c r="G15372" s="30">
        <v>667.44121784171193</v>
      </c>
    </row>
    <row r="15373" spans="1:7" hidden="1" x14ac:dyDescent="0.25">
      <c r="A15373" s="28">
        <v>44805</v>
      </c>
      <c r="B15373" s="27" t="s">
        <v>26</v>
      </c>
      <c r="C15373" s="27" t="s">
        <v>50</v>
      </c>
      <c r="D15373" s="27" t="s">
        <v>6</v>
      </c>
      <c r="E15373" s="27" t="s">
        <v>206</v>
      </c>
      <c r="F15373" s="29"/>
      <c r="G15373" s="30">
        <v>625.73864172660501</v>
      </c>
    </row>
    <row r="15374" spans="1:7" hidden="1" x14ac:dyDescent="0.25">
      <c r="A15374" s="28">
        <v>44805</v>
      </c>
      <c r="B15374" s="27" t="s">
        <v>26</v>
      </c>
      <c r="C15374" s="27" t="s">
        <v>50</v>
      </c>
      <c r="D15374" s="27" t="s">
        <v>6</v>
      </c>
      <c r="E15374" s="27" t="s">
        <v>67</v>
      </c>
      <c r="F15374" s="29"/>
      <c r="G15374" s="30">
        <v>588.94225103680481</v>
      </c>
    </row>
    <row r="15375" spans="1:7" hidden="1" x14ac:dyDescent="0.25">
      <c r="A15375" s="28">
        <v>44805</v>
      </c>
      <c r="B15375" s="27" t="s">
        <v>26</v>
      </c>
      <c r="C15375" s="27" t="s">
        <v>50</v>
      </c>
      <c r="D15375" s="27" t="s">
        <v>6</v>
      </c>
      <c r="E15375" s="27" t="s">
        <v>68</v>
      </c>
      <c r="F15375" s="29"/>
      <c r="G15375" s="30">
        <v>556.23434820142666</v>
      </c>
    </row>
    <row r="15376" spans="1:7" hidden="1" x14ac:dyDescent="0.25">
      <c r="A15376" s="28">
        <v>44805</v>
      </c>
      <c r="B15376" s="27" t="s">
        <v>26</v>
      </c>
      <c r="C15376" s="27" t="s">
        <v>50</v>
      </c>
      <c r="D15376" s="27" t="s">
        <v>6</v>
      </c>
      <c r="E15376" s="27" t="s">
        <v>74</v>
      </c>
      <c r="F15376" s="29"/>
      <c r="G15376" s="30">
        <v>1778.7894736842106</v>
      </c>
    </row>
    <row r="15377" spans="1:7" hidden="1" x14ac:dyDescent="0.25">
      <c r="A15377" s="28">
        <v>44805</v>
      </c>
      <c r="B15377" s="27" t="s">
        <v>26</v>
      </c>
      <c r="C15377" s="27" t="s">
        <v>50</v>
      </c>
      <c r="D15377" s="27" t="s">
        <v>6</v>
      </c>
      <c r="E15377" s="27" t="s">
        <v>37</v>
      </c>
      <c r="F15377" s="29"/>
      <c r="G15377" s="30">
        <v>791.10058149340887</v>
      </c>
    </row>
    <row r="15378" spans="1:7" hidden="1" x14ac:dyDescent="0.25">
      <c r="A15378" s="28">
        <v>44805</v>
      </c>
      <c r="B15378" s="27" t="s">
        <v>3</v>
      </c>
      <c r="C15378" s="27" t="s">
        <v>50</v>
      </c>
      <c r="D15378" s="27" t="s">
        <v>7</v>
      </c>
      <c r="E15378" s="27" t="s">
        <v>8</v>
      </c>
      <c r="F15378" s="29"/>
      <c r="G15378" s="30">
        <v>960.09642857142865</v>
      </c>
    </row>
    <row r="15379" spans="1:7" hidden="1" x14ac:dyDescent="0.25">
      <c r="A15379" s="28">
        <v>44805</v>
      </c>
      <c r="B15379" s="27" t="s">
        <v>3</v>
      </c>
      <c r="C15379" s="27" t="s">
        <v>50</v>
      </c>
      <c r="D15379" s="27" t="s">
        <v>7</v>
      </c>
      <c r="E15379" s="27" t="s">
        <v>9</v>
      </c>
      <c r="F15379" s="29"/>
      <c r="G15379" s="30">
        <v>960.09642857142865</v>
      </c>
    </row>
    <row r="15380" spans="1:7" hidden="1" x14ac:dyDescent="0.25">
      <c r="A15380" s="28">
        <v>44805</v>
      </c>
      <c r="B15380" s="27" t="s">
        <v>3</v>
      </c>
      <c r="C15380" s="27" t="s">
        <v>50</v>
      </c>
      <c r="D15380" s="27" t="s">
        <v>7</v>
      </c>
      <c r="E15380" s="27" t="s">
        <v>22</v>
      </c>
      <c r="F15380" s="29"/>
      <c r="G15380" s="30">
        <v>960.09642857142865</v>
      </c>
    </row>
    <row r="15381" spans="1:7" hidden="1" x14ac:dyDescent="0.25">
      <c r="A15381" s="28">
        <v>44805</v>
      </c>
      <c r="B15381" s="27" t="s">
        <v>3</v>
      </c>
      <c r="C15381" s="27" t="s">
        <v>50</v>
      </c>
      <c r="D15381" s="27" t="s">
        <v>7</v>
      </c>
      <c r="E15381" s="27" t="s">
        <v>39</v>
      </c>
      <c r="F15381" s="29"/>
      <c r="G15381" s="30">
        <v>960.09642857142865</v>
      </c>
    </row>
    <row r="15382" spans="1:7" hidden="1" x14ac:dyDescent="0.25">
      <c r="A15382" s="28">
        <v>44805</v>
      </c>
      <c r="B15382" s="27" t="s">
        <v>3</v>
      </c>
      <c r="C15382" s="27" t="s">
        <v>50</v>
      </c>
      <c r="D15382" s="27" t="s">
        <v>7</v>
      </c>
      <c r="E15382" s="27" t="s">
        <v>64</v>
      </c>
      <c r="F15382" s="29"/>
      <c r="G15382" s="30">
        <v>960.09642857142865</v>
      </c>
    </row>
    <row r="15383" spans="1:7" hidden="1" x14ac:dyDescent="0.25">
      <c r="A15383" s="28">
        <v>44805</v>
      </c>
      <c r="B15383" s="27" t="s">
        <v>3</v>
      </c>
      <c r="C15383" s="27" t="s">
        <v>50</v>
      </c>
      <c r="D15383" s="27" t="s">
        <v>7</v>
      </c>
      <c r="E15383" s="27" t="s">
        <v>21</v>
      </c>
      <c r="F15383" s="29"/>
      <c r="G15383" s="30">
        <v>960.09642857142865</v>
      </c>
    </row>
    <row r="15384" spans="1:7" hidden="1" x14ac:dyDescent="0.25">
      <c r="A15384" s="28">
        <v>44805</v>
      </c>
      <c r="B15384" s="27" t="s">
        <v>3</v>
      </c>
      <c r="C15384" s="27" t="s">
        <v>50</v>
      </c>
      <c r="D15384" s="27" t="s">
        <v>7</v>
      </c>
      <c r="E15384" s="27" t="s">
        <v>41</v>
      </c>
      <c r="F15384" s="29"/>
      <c r="G15384" s="30">
        <v>960.09642857142865</v>
      </c>
    </row>
    <row r="15385" spans="1:7" hidden="1" x14ac:dyDescent="0.25">
      <c r="A15385" s="28">
        <v>44805</v>
      </c>
      <c r="B15385" s="27" t="s">
        <v>3</v>
      </c>
      <c r="C15385" s="27" t="s">
        <v>50</v>
      </c>
      <c r="D15385" s="27" t="s">
        <v>7</v>
      </c>
      <c r="E15385" s="27" t="s">
        <v>10</v>
      </c>
      <c r="F15385" s="29"/>
      <c r="G15385" s="30">
        <v>960.09642857142865</v>
      </c>
    </row>
    <row r="15386" spans="1:7" hidden="1" x14ac:dyDescent="0.25">
      <c r="A15386" s="28">
        <v>44805</v>
      </c>
      <c r="B15386" s="27" t="s">
        <v>3</v>
      </c>
      <c r="C15386" s="27" t="s">
        <v>50</v>
      </c>
      <c r="D15386" s="27" t="s">
        <v>7</v>
      </c>
      <c r="E15386" s="27" t="s">
        <v>11</v>
      </c>
      <c r="F15386" s="29"/>
      <c r="G15386" s="30">
        <v>960.09642857142865</v>
      </c>
    </row>
    <row r="15387" spans="1:7" hidden="1" x14ac:dyDescent="0.25">
      <c r="A15387" s="28">
        <v>44805</v>
      </c>
      <c r="B15387" s="27" t="s">
        <v>3</v>
      </c>
      <c r="C15387" s="27" t="s">
        <v>50</v>
      </c>
      <c r="D15387" s="27" t="s">
        <v>7</v>
      </c>
      <c r="E15387" s="27" t="s">
        <v>12</v>
      </c>
      <c r="F15387" s="29"/>
      <c r="G15387" s="30">
        <v>960.09642857142865</v>
      </c>
    </row>
    <row r="15388" spans="1:7" hidden="1" x14ac:dyDescent="0.25">
      <c r="A15388" s="28">
        <v>44805</v>
      </c>
      <c r="B15388" s="27" t="s">
        <v>3</v>
      </c>
      <c r="C15388" s="27" t="s">
        <v>50</v>
      </c>
      <c r="D15388" s="27" t="s">
        <v>7</v>
      </c>
      <c r="E15388" s="27" t="s">
        <v>13</v>
      </c>
      <c r="F15388" s="29"/>
      <c r="G15388" s="30">
        <v>960.09642857142865</v>
      </c>
    </row>
    <row r="15389" spans="1:7" hidden="1" x14ac:dyDescent="0.25">
      <c r="A15389" s="28">
        <v>44805</v>
      </c>
      <c r="B15389" s="27" t="s">
        <v>3</v>
      </c>
      <c r="C15389" s="27" t="s">
        <v>50</v>
      </c>
      <c r="D15389" s="27" t="s">
        <v>7</v>
      </c>
      <c r="E15389" s="27" t="s">
        <v>14</v>
      </c>
      <c r="F15389" s="29"/>
      <c r="G15389" s="30">
        <v>960.09642857142865</v>
      </c>
    </row>
    <row r="15390" spans="1:7" hidden="1" x14ac:dyDescent="0.25">
      <c r="A15390" s="28">
        <v>44805</v>
      </c>
      <c r="B15390" s="27" t="s">
        <v>3</v>
      </c>
      <c r="C15390" s="27" t="s">
        <v>50</v>
      </c>
      <c r="D15390" s="27" t="s">
        <v>7</v>
      </c>
      <c r="E15390" s="27" t="s">
        <v>15</v>
      </c>
      <c r="F15390" s="29"/>
      <c r="G15390" s="30">
        <v>960.09642857142865</v>
      </c>
    </row>
    <row r="15391" spans="1:7" hidden="1" x14ac:dyDescent="0.25">
      <c r="A15391" s="28">
        <v>44805</v>
      </c>
      <c r="B15391" s="27" t="s">
        <v>3</v>
      </c>
      <c r="C15391" s="27" t="s">
        <v>50</v>
      </c>
      <c r="D15391" s="27" t="s">
        <v>7</v>
      </c>
      <c r="E15391" s="27" t="s">
        <v>16</v>
      </c>
      <c r="F15391" s="29"/>
      <c r="G15391" s="30">
        <v>960.09642857142865</v>
      </c>
    </row>
    <row r="15392" spans="1:7" hidden="1" x14ac:dyDescent="0.25">
      <c r="A15392" s="28">
        <v>44805</v>
      </c>
      <c r="B15392" s="27" t="s">
        <v>3</v>
      </c>
      <c r="C15392" s="27" t="s">
        <v>50</v>
      </c>
      <c r="D15392" s="27" t="s">
        <v>7</v>
      </c>
      <c r="E15392" s="27" t="s">
        <v>17</v>
      </c>
      <c r="F15392" s="29"/>
      <c r="G15392" s="30">
        <v>960.09642857142865</v>
      </c>
    </row>
    <row r="15393" spans="1:7" hidden="1" x14ac:dyDescent="0.25">
      <c r="A15393" s="28">
        <v>44805</v>
      </c>
      <c r="B15393" s="27" t="s">
        <v>3</v>
      </c>
      <c r="C15393" s="27" t="s">
        <v>50</v>
      </c>
      <c r="D15393" s="27" t="s">
        <v>7</v>
      </c>
      <c r="E15393" s="27" t="s">
        <v>18</v>
      </c>
      <c r="F15393" s="29"/>
      <c r="G15393" s="30">
        <v>960.09642857142865</v>
      </c>
    </row>
    <row r="15394" spans="1:7" hidden="1" x14ac:dyDescent="0.25">
      <c r="A15394" s="28">
        <v>44805</v>
      </c>
      <c r="B15394" s="27" t="s">
        <v>3</v>
      </c>
      <c r="C15394" s="27" t="s">
        <v>50</v>
      </c>
      <c r="D15394" s="27" t="s">
        <v>7</v>
      </c>
      <c r="E15394" s="27" t="s">
        <v>19</v>
      </c>
      <c r="F15394" s="29"/>
      <c r="G15394" s="30">
        <v>960.09642857142865</v>
      </c>
    </row>
    <row r="15395" spans="1:7" hidden="1" x14ac:dyDescent="0.25">
      <c r="A15395" s="28">
        <v>44805</v>
      </c>
      <c r="B15395" s="27" t="s">
        <v>3</v>
      </c>
      <c r="C15395" s="27" t="s">
        <v>50</v>
      </c>
      <c r="D15395" s="27" t="s">
        <v>7</v>
      </c>
      <c r="E15395" s="27" t="s">
        <v>20</v>
      </c>
      <c r="F15395" s="29"/>
      <c r="G15395" s="30">
        <v>960.09642857142865</v>
      </c>
    </row>
    <row r="15396" spans="1:7" hidden="1" x14ac:dyDescent="0.25">
      <c r="A15396" s="28">
        <v>44805</v>
      </c>
      <c r="B15396" s="27" t="s">
        <v>3</v>
      </c>
      <c r="C15396" s="27" t="s">
        <v>50</v>
      </c>
      <c r="D15396" s="27" t="s">
        <v>7</v>
      </c>
      <c r="E15396" s="27" t="s">
        <v>38</v>
      </c>
      <c r="F15396" s="29"/>
      <c r="G15396" s="30">
        <v>960.09642857142865</v>
      </c>
    </row>
    <row r="15397" spans="1:7" hidden="1" x14ac:dyDescent="0.25">
      <c r="A15397" s="28">
        <v>44805</v>
      </c>
      <c r="B15397" s="27" t="s">
        <v>3</v>
      </c>
      <c r="C15397" s="27" t="s">
        <v>50</v>
      </c>
      <c r="D15397" s="27" t="s">
        <v>7</v>
      </c>
      <c r="E15397" s="27" t="s">
        <v>23</v>
      </c>
      <c r="F15397" s="29"/>
      <c r="G15397" s="30">
        <v>960.09642857142865</v>
      </c>
    </row>
    <row r="15398" spans="1:7" hidden="1" x14ac:dyDescent="0.25">
      <c r="A15398" s="28">
        <v>44805</v>
      </c>
      <c r="B15398" s="27" t="s">
        <v>3</v>
      </c>
      <c r="C15398" s="27" t="s">
        <v>50</v>
      </c>
      <c r="D15398" s="27" t="s">
        <v>7</v>
      </c>
      <c r="E15398" s="27" t="s">
        <v>40</v>
      </c>
      <c r="F15398" s="29"/>
      <c r="G15398" s="30">
        <v>960.09642857142865</v>
      </c>
    </row>
    <row r="15399" spans="1:7" hidden="1" x14ac:dyDescent="0.25">
      <c r="A15399" s="28">
        <v>44805</v>
      </c>
      <c r="B15399" s="27" t="s">
        <v>3</v>
      </c>
      <c r="C15399" s="27" t="s">
        <v>50</v>
      </c>
      <c r="D15399" s="27" t="s">
        <v>7</v>
      </c>
      <c r="E15399" s="27" t="s">
        <v>42</v>
      </c>
      <c r="F15399" s="29"/>
      <c r="G15399" s="30">
        <v>960.09642857142865</v>
      </c>
    </row>
    <row r="15400" spans="1:7" hidden="1" x14ac:dyDescent="0.25">
      <c r="A15400" s="28">
        <v>44805</v>
      </c>
      <c r="B15400" s="27" t="s">
        <v>3</v>
      </c>
      <c r="C15400" s="27" t="s">
        <v>50</v>
      </c>
      <c r="D15400" s="27" t="s">
        <v>7</v>
      </c>
      <c r="E15400" s="27" t="s">
        <v>43</v>
      </c>
      <c r="F15400" s="29"/>
      <c r="G15400" s="30">
        <v>960.09642857142865</v>
      </c>
    </row>
    <row r="15401" spans="1:7" hidden="1" x14ac:dyDescent="0.25">
      <c r="A15401" s="28">
        <v>44805</v>
      </c>
      <c r="B15401" s="27" t="s">
        <v>3</v>
      </c>
      <c r="C15401" s="27" t="s">
        <v>50</v>
      </c>
      <c r="D15401" s="27" t="s">
        <v>7</v>
      </c>
      <c r="E15401" s="27" t="s">
        <v>72</v>
      </c>
      <c r="F15401" s="29"/>
      <c r="G15401" s="30">
        <v>960.09642857142865</v>
      </c>
    </row>
    <row r="15402" spans="1:7" hidden="1" x14ac:dyDescent="0.25">
      <c r="A15402" s="28">
        <v>44805</v>
      </c>
      <c r="B15402" s="27" t="s">
        <v>3</v>
      </c>
      <c r="C15402" s="27" t="s">
        <v>50</v>
      </c>
      <c r="D15402" s="27" t="s">
        <v>7</v>
      </c>
      <c r="E15402" s="27" t="s">
        <v>206</v>
      </c>
      <c r="F15402" s="29"/>
      <c r="G15402" s="30">
        <v>960.09642857142865</v>
      </c>
    </row>
    <row r="15403" spans="1:7" hidden="1" x14ac:dyDescent="0.25">
      <c r="A15403" s="28">
        <v>44805</v>
      </c>
      <c r="B15403" s="27" t="s">
        <v>3</v>
      </c>
      <c r="C15403" s="27" t="s">
        <v>50</v>
      </c>
      <c r="D15403" s="27" t="s">
        <v>7</v>
      </c>
      <c r="E15403" s="27" t="s">
        <v>67</v>
      </c>
      <c r="F15403" s="29"/>
      <c r="G15403" s="30">
        <v>960.09642857142865</v>
      </c>
    </row>
    <row r="15404" spans="1:7" hidden="1" x14ac:dyDescent="0.25">
      <c r="A15404" s="28">
        <v>44805</v>
      </c>
      <c r="B15404" s="27" t="s">
        <v>3</v>
      </c>
      <c r="C15404" s="27" t="s">
        <v>50</v>
      </c>
      <c r="D15404" s="27" t="s">
        <v>7</v>
      </c>
      <c r="E15404" s="27" t="s">
        <v>68</v>
      </c>
      <c r="F15404" s="29"/>
      <c r="G15404" s="30">
        <v>960.09642857142865</v>
      </c>
    </row>
    <row r="15405" spans="1:7" hidden="1" x14ac:dyDescent="0.25">
      <c r="A15405" s="28">
        <v>44805</v>
      </c>
      <c r="B15405" s="27" t="s">
        <v>3</v>
      </c>
      <c r="C15405" s="27" t="s">
        <v>50</v>
      </c>
      <c r="D15405" s="27" t="s">
        <v>7</v>
      </c>
      <c r="E15405" s="27" t="s">
        <v>74</v>
      </c>
      <c r="F15405" s="29"/>
      <c r="G15405" s="30">
        <v>960.09642857142865</v>
      </c>
    </row>
    <row r="15406" spans="1:7" hidden="1" x14ac:dyDescent="0.25">
      <c r="A15406" s="28">
        <v>44805</v>
      </c>
      <c r="B15406" s="27" t="s">
        <v>32</v>
      </c>
      <c r="C15406" s="27" t="s">
        <v>50</v>
      </c>
      <c r="D15406" s="27" t="s">
        <v>7</v>
      </c>
      <c r="E15406" s="27" t="s">
        <v>17</v>
      </c>
      <c r="F15406" s="29"/>
      <c r="G15406" s="30">
        <v>75</v>
      </c>
    </row>
    <row r="15407" spans="1:7" hidden="1" x14ac:dyDescent="0.25">
      <c r="A15407" s="28">
        <v>44805</v>
      </c>
      <c r="B15407" s="27" t="s">
        <v>5</v>
      </c>
      <c r="C15407" s="27" t="s">
        <v>51</v>
      </c>
      <c r="D15407" s="27" t="s">
        <v>51</v>
      </c>
      <c r="E15407" s="27" t="s">
        <v>8</v>
      </c>
      <c r="F15407" s="29">
        <v>5010</v>
      </c>
      <c r="G15407" s="30">
        <v>3.5911267790978938</v>
      </c>
    </row>
    <row r="15408" spans="1:7" hidden="1" x14ac:dyDescent="0.25">
      <c r="A15408" s="28">
        <v>44805</v>
      </c>
      <c r="B15408" s="27" t="s">
        <v>5</v>
      </c>
      <c r="C15408" s="27" t="s">
        <v>51</v>
      </c>
      <c r="D15408" s="27" t="s">
        <v>51</v>
      </c>
      <c r="E15408" s="27" t="s">
        <v>9</v>
      </c>
      <c r="F15408" s="29">
        <v>3398</v>
      </c>
      <c r="G15408" s="30">
        <v>4.9877109615352522</v>
      </c>
    </row>
    <row r="15409" spans="1:7" hidden="1" x14ac:dyDescent="0.25">
      <c r="A15409" s="28">
        <v>44805</v>
      </c>
      <c r="B15409" s="27" t="s">
        <v>5</v>
      </c>
      <c r="C15409" s="27" t="s">
        <v>51</v>
      </c>
      <c r="D15409" s="27" t="s">
        <v>51</v>
      </c>
      <c r="E15409" s="27" t="s">
        <v>22</v>
      </c>
      <c r="F15409" s="29">
        <v>2575</v>
      </c>
      <c r="G15409" s="30">
        <v>6.02102658777254</v>
      </c>
    </row>
    <row r="15410" spans="1:7" hidden="1" x14ac:dyDescent="0.25">
      <c r="A15410" s="28">
        <v>44805</v>
      </c>
      <c r="B15410" s="27" t="s">
        <v>5</v>
      </c>
      <c r="C15410" s="27" t="s">
        <v>51</v>
      </c>
      <c r="D15410" s="27" t="s">
        <v>51</v>
      </c>
      <c r="E15410" s="27" t="s">
        <v>64</v>
      </c>
      <c r="F15410" s="29">
        <v>5679</v>
      </c>
      <c r="G15410" s="30">
        <v>2.9511646637036995</v>
      </c>
    </row>
    <row r="15411" spans="1:7" hidden="1" x14ac:dyDescent="0.25">
      <c r="A15411" s="28">
        <v>44805</v>
      </c>
      <c r="B15411" s="27" t="s">
        <v>5</v>
      </c>
      <c r="C15411" s="27" t="s">
        <v>51</v>
      </c>
      <c r="D15411" s="27" t="s">
        <v>51</v>
      </c>
      <c r="E15411" s="27" t="s">
        <v>21</v>
      </c>
      <c r="F15411" s="29">
        <v>5984</v>
      </c>
      <c r="G15411" s="30">
        <v>3.4002440258371518</v>
      </c>
    </row>
    <row r="15412" spans="1:7" hidden="1" x14ac:dyDescent="0.25">
      <c r="A15412" s="28">
        <v>44805</v>
      </c>
      <c r="B15412" s="27" t="s">
        <v>5</v>
      </c>
      <c r="C15412" s="27" t="s">
        <v>51</v>
      </c>
      <c r="D15412" s="27" t="s">
        <v>51</v>
      </c>
      <c r="E15412" s="27" t="s">
        <v>41</v>
      </c>
      <c r="F15412" s="29">
        <v>3530</v>
      </c>
      <c r="G15412" s="30">
        <v>4.118824862989884</v>
      </c>
    </row>
    <row r="15413" spans="1:7" hidden="1" x14ac:dyDescent="0.25">
      <c r="A15413" s="28">
        <v>44805</v>
      </c>
      <c r="B15413" s="27" t="s">
        <v>5</v>
      </c>
      <c r="C15413" s="27" t="s">
        <v>51</v>
      </c>
      <c r="D15413" s="27" t="s">
        <v>51</v>
      </c>
      <c r="E15413" s="27" t="s">
        <v>10</v>
      </c>
      <c r="F15413" s="29">
        <v>5082</v>
      </c>
      <c r="G15413" s="30">
        <v>3.4189045035042533</v>
      </c>
    </row>
    <row r="15414" spans="1:7" hidden="1" x14ac:dyDescent="0.25">
      <c r="A15414" s="28">
        <v>44805</v>
      </c>
      <c r="B15414" s="27" t="s">
        <v>5</v>
      </c>
      <c r="C15414" s="27" t="s">
        <v>51</v>
      </c>
      <c r="D15414" s="27" t="s">
        <v>51</v>
      </c>
      <c r="E15414" s="27" t="s">
        <v>12</v>
      </c>
      <c r="F15414" s="29">
        <v>1500</v>
      </c>
      <c r="G15414" s="30">
        <v>17.391385852096779</v>
      </c>
    </row>
    <row r="15415" spans="1:7" hidden="1" x14ac:dyDescent="0.25">
      <c r="A15415" s="28">
        <v>44805</v>
      </c>
      <c r="B15415" s="27" t="s">
        <v>5</v>
      </c>
      <c r="C15415" s="27" t="s">
        <v>51</v>
      </c>
      <c r="D15415" s="27" t="s">
        <v>51</v>
      </c>
      <c r="E15415" s="27" t="s">
        <v>13</v>
      </c>
      <c r="F15415" s="29">
        <v>6772</v>
      </c>
      <c r="G15415" s="30">
        <v>2.5376561493022392</v>
      </c>
    </row>
    <row r="15416" spans="1:7" hidden="1" x14ac:dyDescent="0.25">
      <c r="A15416" s="28">
        <v>44805</v>
      </c>
      <c r="B15416" s="27" t="s">
        <v>5</v>
      </c>
      <c r="C15416" s="27" t="s">
        <v>51</v>
      </c>
      <c r="D15416" s="27" t="s">
        <v>51</v>
      </c>
      <c r="E15416" s="27" t="s">
        <v>14</v>
      </c>
      <c r="F15416" s="29">
        <v>4628</v>
      </c>
      <c r="G15416" s="30">
        <v>3.0870684155458159</v>
      </c>
    </row>
    <row r="15417" spans="1:7" hidden="1" x14ac:dyDescent="0.25">
      <c r="A15417" s="28">
        <v>44805</v>
      </c>
      <c r="B15417" s="27" t="s">
        <v>5</v>
      </c>
      <c r="C15417" s="27" t="s">
        <v>51</v>
      </c>
      <c r="D15417" s="27" t="s">
        <v>51</v>
      </c>
      <c r="E15417" s="27" t="s">
        <v>15</v>
      </c>
      <c r="F15417" s="29">
        <v>2889</v>
      </c>
      <c r="G15417" s="30">
        <v>5.0914844134011705</v>
      </c>
    </row>
    <row r="15418" spans="1:7" hidden="1" x14ac:dyDescent="0.25">
      <c r="A15418" s="28">
        <v>44805</v>
      </c>
      <c r="B15418" s="27" t="s">
        <v>5</v>
      </c>
      <c r="C15418" s="27" t="s">
        <v>51</v>
      </c>
      <c r="D15418" s="27" t="s">
        <v>51</v>
      </c>
      <c r="E15418" s="27" t="s">
        <v>16</v>
      </c>
      <c r="F15418" s="29">
        <v>887</v>
      </c>
      <c r="G15418" s="30">
        <v>17.80958821971382</v>
      </c>
    </row>
    <row r="15419" spans="1:7" hidden="1" x14ac:dyDescent="0.25">
      <c r="A15419" s="28">
        <v>44805</v>
      </c>
      <c r="B15419" s="27" t="s">
        <v>5</v>
      </c>
      <c r="C15419" s="27" t="s">
        <v>51</v>
      </c>
      <c r="D15419" s="27" t="s">
        <v>51</v>
      </c>
      <c r="E15419" s="27" t="s">
        <v>17</v>
      </c>
      <c r="F15419" s="29">
        <v>3473</v>
      </c>
      <c r="G15419" s="30">
        <v>5.0670010992846057</v>
      </c>
    </row>
    <row r="15420" spans="1:7" hidden="1" x14ac:dyDescent="0.25">
      <c r="A15420" s="28">
        <v>44805</v>
      </c>
      <c r="B15420" s="27" t="s">
        <v>5</v>
      </c>
      <c r="C15420" s="27" t="s">
        <v>51</v>
      </c>
      <c r="D15420" s="27" t="s">
        <v>51</v>
      </c>
      <c r="E15420" s="27" t="s">
        <v>18</v>
      </c>
      <c r="F15420" s="29">
        <v>5052</v>
      </c>
      <c r="G15420" s="30">
        <v>2.8200118996880152</v>
      </c>
    </row>
    <row r="15421" spans="1:7" hidden="1" x14ac:dyDescent="0.25">
      <c r="A15421" s="28">
        <v>44805</v>
      </c>
      <c r="B15421" s="27" t="s">
        <v>5</v>
      </c>
      <c r="C15421" s="27" t="s">
        <v>51</v>
      </c>
      <c r="D15421" s="27" t="s">
        <v>51</v>
      </c>
      <c r="E15421" s="27" t="s">
        <v>19</v>
      </c>
      <c r="F15421" s="29">
        <v>4993</v>
      </c>
      <c r="G15421" s="30">
        <v>3.7412260244150728</v>
      </c>
    </row>
    <row r="15422" spans="1:7" hidden="1" x14ac:dyDescent="0.25">
      <c r="A15422" s="28">
        <v>44805</v>
      </c>
      <c r="B15422" s="27" t="s">
        <v>5</v>
      </c>
      <c r="C15422" s="27" t="s">
        <v>51</v>
      </c>
      <c r="D15422" s="27" t="s">
        <v>51</v>
      </c>
      <c r="E15422" s="27" t="s">
        <v>20</v>
      </c>
      <c r="F15422" s="29">
        <v>3367</v>
      </c>
      <c r="G15422" s="30">
        <v>5.2232228069523075</v>
      </c>
    </row>
    <row r="15423" spans="1:7" hidden="1" x14ac:dyDescent="0.25">
      <c r="A15423" s="28">
        <v>44805</v>
      </c>
      <c r="B15423" s="27" t="s">
        <v>5</v>
      </c>
      <c r="C15423" s="27" t="s">
        <v>51</v>
      </c>
      <c r="D15423" s="27" t="s">
        <v>51</v>
      </c>
      <c r="E15423" s="27" t="s">
        <v>38</v>
      </c>
      <c r="F15423" s="29">
        <v>1722</v>
      </c>
      <c r="G15423" s="30">
        <v>7.9655318252013538</v>
      </c>
    </row>
    <row r="15424" spans="1:7" hidden="1" x14ac:dyDescent="0.25">
      <c r="A15424" s="28">
        <v>44805</v>
      </c>
      <c r="B15424" s="27" t="s">
        <v>5</v>
      </c>
      <c r="C15424" s="27" t="s">
        <v>51</v>
      </c>
      <c r="D15424" s="27" t="s">
        <v>51</v>
      </c>
      <c r="E15424" s="27" t="s">
        <v>23</v>
      </c>
      <c r="F15424" s="29">
        <v>6668</v>
      </c>
      <c r="G15424" s="30">
        <v>2.4357732804796295</v>
      </c>
    </row>
    <row r="15425" spans="1:7" hidden="1" x14ac:dyDescent="0.25">
      <c r="A15425" s="28">
        <v>44805</v>
      </c>
      <c r="B15425" s="27" t="s">
        <v>5</v>
      </c>
      <c r="C15425" s="27" t="s">
        <v>51</v>
      </c>
      <c r="D15425" s="27" t="s">
        <v>51</v>
      </c>
      <c r="E15425" s="27" t="s">
        <v>40</v>
      </c>
      <c r="F15425" s="29">
        <v>5362</v>
      </c>
      <c r="G15425" s="30">
        <v>2.7322195650907175</v>
      </c>
    </row>
    <row r="15426" spans="1:7" hidden="1" x14ac:dyDescent="0.25">
      <c r="A15426" s="28">
        <v>44805</v>
      </c>
      <c r="B15426" s="27" t="s">
        <v>5</v>
      </c>
      <c r="C15426" s="27" t="s">
        <v>51</v>
      </c>
      <c r="D15426" s="27" t="s">
        <v>51</v>
      </c>
      <c r="E15426" s="27" t="s">
        <v>43</v>
      </c>
      <c r="F15426" s="29">
        <v>3691</v>
      </c>
      <c r="G15426" s="30">
        <v>4.4491495774978835</v>
      </c>
    </row>
    <row r="15427" spans="1:7" hidden="1" x14ac:dyDescent="0.25">
      <c r="A15427" s="28">
        <v>44805</v>
      </c>
      <c r="B15427" s="27" t="s">
        <v>5</v>
      </c>
      <c r="C15427" s="27" t="s">
        <v>51</v>
      </c>
      <c r="D15427" s="27" t="s">
        <v>51</v>
      </c>
      <c r="E15427" s="27" t="s">
        <v>72</v>
      </c>
      <c r="F15427" s="29">
        <v>5061</v>
      </c>
      <c r="G15427" s="30">
        <v>2.6956235928780869</v>
      </c>
    </row>
    <row r="15428" spans="1:7" hidden="1" x14ac:dyDescent="0.25">
      <c r="A15428" s="28">
        <v>44805</v>
      </c>
      <c r="B15428" s="27" t="s">
        <v>5</v>
      </c>
      <c r="C15428" s="27" t="s">
        <v>51</v>
      </c>
      <c r="D15428" s="27" t="s">
        <v>51</v>
      </c>
      <c r="E15428" s="27" t="s">
        <v>206</v>
      </c>
      <c r="F15428" s="29">
        <v>3947</v>
      </c>
      <c r="G15428" s="30">
        <v>3.9362594714759851</v>
      </c>
    </row>
    <row r="15429" spans="1:7" hidden="1" x14ac:dyDescent="0.25">
      <c r="A15429" s="28">
        <v>44805</v>
      </c>
      <c r="B15429" s="27" t="s">
        <v>5</v>
      </c>
      <c r="C15429" s="27" t="s">
        <v>51</v>
      </c>
      <c r="D15429" s="27" t="s">
        <v>51</v>
      </c>
      <c r="E15429" s="27" t="s">
        <v>67</v>
      </c>
      <c r="F15429" s="29">
        <v>2686</v>
      </c>
      <c r="G15429" s="30">
        <v>5.6346994370699655</v>
      </c>
    </row>
    <row r="15430" spans="1:7" hidden="1" x14ac:dyDescent="0.25">
      <c r="A15430" s="28">
        <v>44805</v>
      </c>
      <c r="B15430" s="27" t="s">
        <v>5</v>
      </c>
      <c r="C15430" s="27" t="s">
        <v>51</v>
      </c>
      <c r="D15430" s="27" t="s">
        <v>51</v>
      </c>
      <c r="E15430" s="27" t="s">
        <v>68</v>
      </c>
      <c r="F15430" s="29">
        <v>5994</v>
      </c>
      <c r="G15430" s="30">
        <f>15536.42/Tabela16[[#This Row],[KM RODADO]]</f>
        <v>2.5919953286619952</v>
      </c>
    </row>
    <row r="15431" spans="1:7" hidden="1" x14ac:dyDescent="0.25">
      <c r="A15431" s="28">
        <v>44805</v>
      </c>
      <c r="B15431" s="27" t="s">
        <v>5</v>
      </c>
      <c r="C15431" s="27" t="s">
        <v>51</v>
      </c>
      <c r="D15431" s="27" t="s">
        <v>51</v>
      </c>
      <c r="E15431" s="27" t="s">
        <v>74</v>
      </c>
      <c r="F15431" s="29">
        <v>2636</v>
      </c>
      <c r="G15431" s="30">
        <f>14718.31/Tabela16[[#This Row],[KM RODADO]]</f>
        <v>5.5835773899848249</v>
      </c>
    </row>
    <row r="15432" spans="1:7" hidden="1" x14ac:dyDescent="0.25">
      <c r="A15432" s="28">
        <v>44805</v>
      </c>
      <c r="B15432" s="27" t="s">
        <v>180</v>
      </c>
      <c r="C15432" s="27" t="s">
        <v>50</v>
      </c>
      <c r="D15432" s="27" t="s">
        <v>7</v>
      </c>
      <c r="E15432" s="27" t="s">
        <v>9</v>
      </c>
      <c r="F15432" s="29"/>
      <c r="G15432" s="30">
        <v>2318</v>
      </c>
    </row>
    <row r="15433" spans="1:7" hidden="1" x14ac:dyDescent="0.25">
      <c r="A15433" s="28">
        <v>44805</v>
      </c>
      <c r="B15433" s="27" t="s">
        <v>180</v>
      </c>
      <c r="C15433" s="27" t="s">
        <v>50</v>
      </c>
      <c r="D15433" s="27" t="s">
        <v>7</v>
      </c>
      <c r="E15433" s="27" t="s">
        <v>22</v>
      </c>
      <c r="F15433" s="29"/>
      <c r="G15433" s="30">
        <v>80</v>
      </c>
    </row>
    <row r="15434" spans="1:7" hidden="1" x14ac:dyDescent="0.25">
      <c r="A15434" s="28">
        <v>44805</v>
      </c>
      <c r="B15434" s="27" t="s">
        <v>180</v>
      </c>
      <c r="C15434" s="27" t="s">
        <v>50</v>
      </c>
      <c r="D15434" s="27" t="s">
        <v>7</v>
      </c>
      <c r="E15434" s="27" t="s">
        <v>64</v>
      </c>
      <c r="F15434" s="29"/>
      <c r="G15434" s="30">
        <v>1540</v>
      </c>
    </row>
    <row r="15435" spans="1:7" hidden="1" x14ac:dyDescent="0.25">
      <c r="A15435" s="28">
        <v>44805</v>
      </c>
      <c r="B15435" s="27" t="s">
        <v>180</v>
      </c>
      <c r="C15435" s="27" t="s">
        <v>50</v>
      </c>
      <c r="D15435" s="27" t="s">
        <v>7</v>
      </c>
      <c r="E15435" s="27" t="s">
        <v>21</v>
      </c>
      <c r="F15435" s="29"/>
      <c r="G15435" s="30">
        <v>4881</v>
      </c>
    </row>
    <row r="15436" spans="1:7" hidden="1" x14ac:dyDescent="0.25">
      <c r="A15436" s="28">
        <v>44805</v>
      </c>
      <c r="B15436" s="27" t="s">
        <v>180</v>
      </c>
      <c r="C15436" s="27" t="s">
        <v>50</v>
      </c>
      <c r="D15436" s="27" t="s">
        <v>7</v>
      </c>
      <c r="E15436" s="27" t="s">
        <v>10</v>
      </c>
      <c r="F15436" s="29"/>
      <c r="G15436" s="30">
        <v>1010</v>
      </c>
    </row>
    <row r="15437" spans="1:7" hidden="1" x14ac:dyDescent="0.25">
      <c r="A15437" s="28">
        <v>44805</v>
      </c>
      <c r="B15437" s="27" t="s">
        <v>180</v>
      </c>
      <c r="C15437" s="27" t="s">
        <v>50</v>
      </c>
      <c r="D15437" s="27" t="s">
        <v>7</v>
      </c>
      <c r="E15437" s="27" t="s">
        <v>12</v>
      </c>
      <c r="F15437" s="29"/>
      <c r="G15437" s="30">
        <v>10650</v>
      </c>
    </row>
    <row r="15438" spans="1:7" hidden="1" x14ac:dyDescent="0.25">
      <c r="A15438" s="28">
        <v>44805</v>
      </c>
      <c r="B15438" s="27" t="s">
        <v>180</v>
      </c>
      <c r="C15438" s="27" t="s">
        <v>50</v>
      </c>
      <c r="D15438" s="27" t="s">
        <v>7</v>
      </c>
      <c r="E15438" s="27" t="s">
        <v>16</v>
      </c>
      <c r="F15438" s="29"/>
      <c r="G15438" s="30">
        <v>1110</v>
      </c>
    </row>
    <row r="15439" spans="1:7" hidden="1" x14ac:dyDescent="0.25">
      <c r="A15439" s="28">
        <v>44805</v>
      </c>
      <c r="B15439" s="27" t="s">
        <v>180</v>
      </c>
      <c r="C15439" s="27" t="s">
        <v>50</v>
      </c>
      <c r="D15439" s="27" t="s">
        <v>7</v>
      </c>
      <c r="E15439" s="27" t="s">
        <v>19</v>
      </c>
      <c r="F15439" s="29"/>
      <c r="G15439" s="30">
        <v>3122.3</v>
      </c>
    </row>
    <row r="15440" spans="1:7" hidden="1" x14ac:dyDescent="0.25">
      <c r="A15440" s="28">
        <v>44805</v>
      </c>
      <c r="B15440" s="27" t="s">
        <v>180</v>
      </c>
      <c r="C15440" s="27" t="s">
        <v>50</v>
      </c>
      <c r="D15440" s="27" t="s">
        <v>7</v>
      </c>
      <c r="E15440" s="27" t="s">
        <v>20</v>
      </c>
      <c r="F15440" s="29"/>
      <c r="G15440" s="30">
        <v>2720</v>
      </c>
    </row>
    <row r="15441" spans="1:7" hidden="1" x14ac:dyDescent="0.25">
      <c r="A15441" s="28">
        <v>44805</v>
      </c>
      <c r="B15441" s="27" t="s">
        <v>180</v>
      </c>
      <c r="C15441" s="27" t="s">
        <v>50</v>
      </c>
      <c r="D15441" s="27" t="s">
        <v>7</v>
      </c>
      <c r="E15441" s="27" t="s">
        <v>37</v>
      </c>
      <c r="F15441" s="29"/>
      <c r="G15441" s="30">
        <v>4447.8</v>
      </c>
    </row>
    <row r="15442" spans="1:7" hidden="1" x14ac:dyDescent="0.25">
      <c r="A15442" s="28">
        <v>44805</v>
      </c>
      <c r="B15442" s="27" t="s">
        <v>181</v>
      </c>
      <c r="C15442" s="27" t="s">
        <v>50</v>
      </c>
      <c r="D15442" s="27" t="s">
        <v>6</v>
      </c>
      <c r="E15442" s="27" t="s">
        <v>8</v>
      </c>
      <c r="F15442" s="29"/>
      <c r="G15442" s="30">
        <v>65.959999999999994</v>
      </c>
    </row>
    <row r="15443" spans="1:7" hidden="1" x14ac:dyDescent="0.25">
      <c r="A15443" s="28">
        <v>44805</v>
      </c>
      <c r="B15443" s="27" t="s">
        <v>181</v>
      </c>
      <c r="C15443" s="27" t="s">
        <v>50</v>
      </c>
      <c r="D15443" s="27" t="s">
        <v>6</v>
      </c>
      <c r="E15443" s="27" t="s">
        <v>39</v>
      </c>
      <c r="F15443" s="29"/>
      <c r="G15443" s="30">
        <v>180</v>
      </c>
    </row>
    <row r="15444" spans="1:7" hidden="1" x14ac:dyDescent="0.25">
      <c r="A15444" s="28">
        <v>44805</v>
      </c>
      <c r="B15444" s="27" t="s">
        <v>181</v>
      </c>
      <c r="C15444" s="27" t="s">
        <v>50</v>
      </c>
      <c r="D15444" s="27" t="s">
        <v>6</v>
      </c>
      <c r="E15444" s="27" t="s">
        <v>21</v>
      </c>
      <c r="F15444" s="29"/>
      <c r="G15444" s="30">
        <v>486</v>
      </c>
    </row>
    <row r="15445" spans="1:7" hidden="1" x14ac:dyDescent="0.25">
      <c r="A15445" s="28">
        <v>44805</v>
      </c>
      <c r="B15445" s="27" t="s">
        <v>181</v>
      </c>
      <c r="C15445" s="27" t="s">
        <v>50</v>
      </c>
      <c r="D15445" s="27" t="s">
        <v>6</v>
      </c>
      <c r="E15445" s="27" t="s">
        <v>13</v>
      </c>
      <c r="F15445" s="29"/>
      <c r="G15445" s="30">
        <v>745</v>
      </c>
    </row>
    <row r="15446" spans="1:7" hidden="1" x14ac:dyDescent="0.25">
      <c r="A15446" s="28">
        <v>44805</v>
      </c>
      <c r="B15446" s="27" t="s">
        <v>181</v>
      </c>
      <c r="C15446" s="27" t="s">
        <v>50</v>
      </c>
      <c r="D15446" s="27" t="s">
        <v>6</v>
      </c>
      <c r="E15446" s="27" t="s">
        <v>17</v>
      </c>
      <c r="F15446" s="29"/>
      <c r="G15446" s="30">
        <v>1000</v>
      </c>
    </row>
    <row r="15447" spans="1:7" hidden="1" x14ac:dyDescent="0.25">
      <c r="A15447" s="28">
        <v>44805</v>
      </c>
      <c r="B15447" s="27" t="s">
        <v>181</v>
      </c>
      <c r="C15447" s="27" t="s">
        <v>50</v>
      </c>
      <c r="D15447" s="27" t="s">
        <v>6</v>
      </c>
      <c r="E15447" s="27" t="s">
        <v>18</v>
      </c>
      <c r="F15447" s="29"/>
      <c r="G15447" s="30">
        <v>110</v>
      </c>
    </row>
    <row r="15448" spans="1:7" hidden="1" x14ac:dyDescent="0.25">
      <c r="A15448" s="28">
        <v>44805</v>
      </c>
      <c r="B15448" s="27" t="s">
        <v>181</v>
      </c>
      <c r="C15448" s="27" t="s">
        <v>50</v>
      </c>
      <c r="D15448" s="27" t="s">
        <v>6</v>
      </c>
      <c r="E15448" s="27" t="s">
        <v>20</v>
      </c>
      <c r="F15448" s="29"/>
      <c r="G15448" s="30">
        <v>120</v>
      </c>
    </row>
    <row r="15449" spans="1:7" hidden="1" x14ac:dyDescent="0.25">
      <c r="A15449" s="28">
        <v>44805</v>
      </c>
      <c r="B15449" s="27" t="s">
        <v>181</v>
      </c>
      <c r="C15449" s="27" t="s">
        <v>50</v>
      </c>
      <c r="D15449" s="27" t="s">
        <v>6</v>
      </c>
      <c r="E15449" s="27" t="s">
        <v>38</v>
      </c>
      <c r="F15449" s="29"/>
      <c r="G15449" s="30">
        <v>423</v>
      </c>
    </row>
    <row r="15450" spans="1:7" hidden="1" x14ac:dyDescent="0.25">
      <c r="A15450" s="28">
        <v>44805</v>
      </c>
      <c r="B15450" s="27" t="s">
        <v>181</v>
      </c>
      <c r="C15450" s="27" t="s">
        <v>50</v>
      </c>
      <c r="D15450" s="27" t="s">
        <v>6</v>
      </c>
      <c r="E15450" s="27" t="s">
        <v>40</v>
      </c>
      <c r="F15450" s="29"/>
      <c r="G15450" s="30">
        <v>665</v>
      </c>
    </row>
    <row r="15451" spans="1:7" hidden="1" x14ac:dyDescent="0.25">
      <c r="A15451" s="28">
        <v>44805</v>
      </c>
      <c r="B15451" s="27" t="s">
        <v>181</v>
      </c>
      <c r="C15451" s="27" t="s">
        <v>50</v>
      </c>
      <c r="D15451" s="27" t="s">
        <v>6</v>
      </c>
      <c r="E15451" s="27" t="s">
        <v>43</v>
      </c>
      <c r="F15451" s="29"/>
      <c r="G15451" s="30">
        <v>2790</v>
      </c>
    </row>
    <row r="15452" spans="1:7" hidden="1" x14ac:dyDescent="0.25">
      <c r="A15452" s="28">
        <v>44805</v>
      </c>
      <c r="B15452" s="27" t="s">
        <v>181</v>
      </c>
      <c r="C15452" s="27" t="s">
        <v>50</v>
      </c>
      <c r="D15452" s="27" t="s">
        <v>6</v>
      </c>
      <c r="E15452" s="27" t="s">
        <v>206</v>
      </c>
      <c r="F15452" s="29"/>
      <c r="G15452" s="30">
        <v>90</v>
      </c>
    </row>
    <row r="15453" spans="1:7" hidden="1" x14ac:dyDescent="0.25">
      <c r="A15453" s="28">
        <v>44805</v>
      </c>
      <c r="B15453" s="27" t="s">
        <v>181</v>
      </c>
      <c r="C15453" s="27" t="s">
        <v>50</v>
      </c>
      <c r="D15453" s="27" t="s">
        <v>6</v>
      </c>
      <c r="E15453" s="27" t="s">
        <v>37</v>
      </c>
      <c r="F15453" s="29"/>
      <c r="G15453" s="30">
        <v>11194.220000000001</v>
      </c>
    </row>
    <row r="15454" spans="1:7" hidden="1" x14ac:dyDescent="0.25">
      <c r="A15454" s="28">
        <v>44805</v>
      </c>
      <c r="B15454" s="27" t="s">
        <v>25</v>
      </c>
      <c r="C15454" s="27" t="s">
        <v>50</v>
      </c>
      <c r="D15454" s="27" t="s">
        <v>7</v>
      </c>
      <c r="E15454" s="27" t="s">
        <v>39</v>
      </c>
      <c r="F15454" s="29"/>
      <c r="G15454" s="30">
        <v>130.15</v>
      </c>
    </row>
    <row r="15455" spans="1:7" hidden="1" x14ac:dyDescent="0.25">
      <c r="A15455" s="28">
        <v>44805</v>
      </c>
      <c r="B15455" s="27" t="s">
        <v>25</v>
      </c>
      <c r="C15455" s="27" t="s">
        <v>50</v>
      </c>
      <c r="D15455" s="27" t="s">
        <v>7</v>
      </c>
      <c r="E15455" s="27" t="s">
        <v>12</v>
      </c>
      <c r="F15455" s="29"/>
      <c r="G15455" s="30">
        <v>208.25</v>
      </c>
    </row>
    <row r="15456" spans="1:7" hidden="1" x14ac:dyDescent="0.25">
      <c r="A15456" s="28">
        <v>44805</v>
      </c>
      <c r="B15456" s="27" t="s">
        <v>25</v>
      </c>
      <c r="C15456" s="27" t="s">
        <v>50</v>
      </c>
      <c r="D15456" s="27" t="s">
        <v>7</v>
      </c>
      <c r="E15456" s="27" t="s">
        <v>19</v>
      </c>
      <c r="F15456" s="29"/>
      <c r="G15456" s="30">
        <v>104.13</v>
      </c>
    </row>
    <row r="15457" spans="1:7" hidden="1" x14ac:dyDescent="0.25">
      <c r="A15457" s="28">
        <v>44805</v>
      </c>
      <c r="B15457" s="27" t="s">
        <v>25</v>
      </c>
      <c r="C15457" s="27" t="s">
        <v>50</v>
      </c>
      <c r="D15457" s="27" t="s">
        <v>7</v>
      </c>
      <c r="E15457" s="27" t="s">
        <v>37</v>
      </c>
      <c r="F15457" s="29"/>
      <c r="G15457" s="30">
        <v>265.77999999999997</v>
      </c>
    </row>
    <row r="15458" spans="1:7" hidden="1" x14ac:dyDescent="0.25">
      <c r="A15458" s="28">
        <v>44805</v>
      </c>
      <c r="B15458" s="27" t="s">
        <v>2</v>
      </c>
      <c r="C15458" s="27" t="s">
        <v>50</v>
      </c>
      <c r="D15458" s="27" t="s">
        <v>7</v>
      </c>
      <c r="E15458" s="27" t="s">
        <v>8</v>
      </c>
      <c r="F15458" s="29"/>
      <c r="G15458" s="30">
        <v>1712.98</v>
      </c>
    </row>
    <row r="15459" spans="1:7" hidden="1" x14ac:dyDescent="0.25">
      <c r="A15459" s="28">
        <v>44805</v>
      </c>
      <c r="B15459" s="27" t="s">
        <v>2</v>
      </c>
      <c r="C15459" s="27" t="s">
        <v>50</v>
      </c>
      <c r="D15459" s="27" t="s">
        <v>7</v>
      </c>
      <c r="E15459" s="27" t="s">
        <v>9</v>
      </c>
      <c r="F15459" s="29"/>
      <c r="G15459" s="30">
        <v>502.10000000000065</v>
      </c>
    </row>
    <row r="15460" spans="1:7" hidden="1" x14ac:dyDescent="0.25">
      <c r="A15460" s="28">
        <v>44805</v>
      </c>
      <c r="B15460" s="27" t="s">
        <v>2</v>
      </c>
      <c r="C15460" s="27" t="s">
        <v>50</v>
      </c>
      <c r="D15460" s="27" t="s">
        <v>7</v>
      </c>
      <c r="E15460" s="27" t="s">
        <v>22</v>
      </c>
      <c r="F15460" s="29"/>
      <c r="G15460" s="30">
        <v>769.3300000000005</v>
      </c>
    </row>
    <row r="15461" spans="1:7" hidden="1" x14ac:dyDescent="0.25">
      <c r="A15461" s="28">
        <v>44805</v>
      </c>
      <c r="B15461" s="27" t="s">
        <v>2</v>
      </c>
      <c r="C15461" s="27" t="s">
        <v>50</v>
      </c>
      <c r="D15461" s="27" t="s">
        <v>7</v>
      </c>
      <c r="E15461" s="27" t="s">
        <v>39</v>
      </c>
      <c r="F15461" s="29"/>
      <c r="G15461" s="30">
        <v>116.4</v>
      </c>
    </row>
    <row r="15462" spans="1:7" hidden="1" x14ac:dyDescent="0.25">
      <c r="A15462" s="28">
        <v>44805</v>
      </c>
      <c r="B15462" s="27" t="s">
        <v>2</v>
      </c>
      <c r="C15462" s="27" t="s">
        <v>50</v>
      </c>
      <c r="D15462" s="27" t="s">
        <v>7</v>
      </c>
      <c r="E15462" s="27" t="s">
        <v>64</v>
      </c>
      <c r="F15462" s="29"/>
      <c r="G15462" s="30">
        <v>593.39000000000044</v>
      </c>
    </row>
    <row r="15463" spans="1:7" hidden="1" x14ac:dyDescent="0.25">
      <c r="A15463" s="28">
        <v>44805</v>
      </c>
      <c r="B15463" s="27" t="s">
        <v>2</v>
      </c>
      <c r="C15463" s="27" t="s">
        <v>50</v>
      </c>
      <c r="D15463" s="27" t="s">
        <v>7</v>
      </c>
      <c r="E15463" s="27" t="s">
        <v>21</v>
      </c>
      <c r="F15463" s="29"/>
      <c r="G15463" s="30">
        <v>1074.98</v>
      </c>
    </row>
    <row r="15464" spans="1:7" hidden="1" x14ac:dyDescent="0.25">
      <c r="A15464" s="28">
        <v>44805</v>
      </c>
      <c r="B15464" s="27" t="s">
        <v>2</v>
      </c>
      <c r="C15464" s="27" t="s">
        <v>50</v>
      </c>
      <c r="D15464" s="27" t="s">
        <v>7</v>
      </c>
      <c r="E15464" s="27" t="s">
        <v>41</v>
      </c>
      <c r="F15464" s="29"/>
      <c r="G15464" s="30">
        <v>424.95999999999975</v>
      </c>
    </row>
    <row r="15465" spans="1:7" hidden="1" x14ac:dyDescent="0.25">
      <c r="A15465" s="28">
        <v>44805</v>
      </c>
      <c r="B15465" s="27" t="s">
        <v>2</v>
      </c>
      <c r="C15465" s="27" t="s">
        <v>50</v>
      </c>
      <c r="D15465" s="27" t="s">
        <v>7</v>
      </c>
      <c r="E15465" s="27" t="s">
        <v>10</v>
      </c>
      <c r="F15465" s="29"/>
      <c r="G15465" s="30">
        <v>826.1000000000007</v>
      </c>
    </row>
    <row r="15466" spans="1:7" hidden="1" x14ac:dyDescent="0.25">
      <c r="A15466" s="28">
        <v>44805</v>
      </c>
      <c r="B15466" s="27" t="s">
        <v>2</v>
      </c>
      <c r="C15466" s="27" t="s">
        <v>50</v>
      </c>
      <c r="D15466" s="27" t="s">
        <v>7</v>
      </c>
      <c r="E15466" s="27" t="s">
        <v>11</v>
      </c>
      <c r="F15466" s="29"/>
      <c r="G15466" s="30">
        <v>172.18</v>
      </c>
    </row>
    <row r="15467" spans="1:7" hidden="1" x14ac:dyDescent="0.25">
      <c r="A15467" s="28">
        <v>44805</v>
      </c>
      <c r="B15467" s="27" t="s">
        <v>2</v>
      </c>
      <c r="C15467" s="27" t="s">
        <v>50</v>
      </c>
      <c r="D15467" s="27" t="s">
        <v>7</v>
      </c>
      <c r="E15467" s="27" t="s">
        <v>12</v>
      </c>
      <c r="F15467" s="29"/>
      <c r="G15467" s="30">
        <v>164.40000000000006</v>
      </c>
    </row>
    <row r="15468" spans="1:7" hidden="1" x14ac:dyDescent="0.25">
      <c r="A15468" s="28">
        <v>44805</v>
      </c>
      <c r="B15468" s="27" t="s">
        <v>2</v>
      </c>
      <c r="C15468" s="27" t="s">
        <v>50</v>
      </c>
      <c r="D15468" s="27" t="s">
        <v>7</v>
      </c>
      <c r="E15468" s="27" t="s">
        <v>13</v>
      </c>
      <c r="F15468" s="29"/>
      <c r="G15468" s="30">
        <v>1346.6100000000006</v>
      </c>
    </row>
    <row r="15469" spans="1:7" hidden="1" x14ac:dyDescent="0.25">
      <c r="A15469" s="28">
        <v>44805</v>
      </c>
      <c r="B15469" s="27" t="s">
        <v>2</v>
      </c>
      <c r="C15469" s="27" t="s">
        <v>50</v>
      </c>
      <c r="D15469" s="27" t="s">
        <v>7</v>
      </c>
      <c r="E15469" s="27" t="s">
        <v>14</v>
      </c>
      <c r="F15469" s="29"/>
      <c r="G15469" s="30">
        <v>375.32999999999964</v>
      </c>
    </row>
    <row r="15470" spans="1:7" hidden="1" x14ac:dyDescent="0.25">
      <c r="A15470" s="28">
        <v>44805</v>
      </c>
      <c r="B15470" s="27" t="s">
        <v>2</v>
      </c>
      <c r="C15470" s="27" t="s">
        <v>50</v>
      </c>
      <c r="D15470" s="27" t="s">
        <v>7</v>
      </c>
      <c r="E15470" s="27" t="s">
        <v>15</v>
      </c>
      <c r="F15470" s="29"/>
      <c r="G15470" s="30">
        <v>272.8</v>
      </c>
    </row>
    <row r="15471" spans="1:7" hidden="1" x14ac:dyDescent="0.25">
      <c r="A15471" s="28">
        <v>44805</v>
      </c>
      <c r="B15471" s="27" t="s">
        <v>2</v>
      </c>
      <c r="C15471" s="27" t="s">
        <v>50</v>
      </c>
      <c r="D15471" s="27" t="s">
        <v>7</v>
      </c>
      <c r="E15471" s="27" t="s">
        <v>17</v>
      </c>
      <c r="F15471" s="29"/>
      <c r="G15471" s="30">
        <v>854.05000000000064</v>
      </c>
    </row>
    <row r="15472" spans="1:7" hidden="1" x14ac:dyDescent="0.25">
      <c r="A15472" s="28">
        <v>44805</v>
      </c>
      <c r="B15472" s="27" t="s">
        <v>2</v>
      </c>
      <c r="C15472" s="27" t="s">
        <v>50</v>
      </c>
      <c r="D15472" s="27" t="s">
        <v>7</v>
      </c>
      <c r="E15472" s="27" t="s">
        <v>19</v>
      </c>
      <c r="F15472" s="29"/>
      <c r="G15472" s="30">
        <v>499.35999999999927</v>
      </c>
    </row>
    <row r="15473" spans="1:7" hidden="1" x14ac:dyDescent="0.25">
      <c r="A15473" s="28">
        <v>44805</v>
      </c>
      <c r="B15473" s="27" t="s">
        <v>2</v>
      </c>
      <c r="C15473" s="27" t="s">
        <v>50</v>
      </c>
      <c r="D15473" s="27" t="s">
        <v>7</v>
      </c>
      <c r="E15473" s="27" t="s">
        <v>20</v>
      </c>
      <c r="F15473" s="29"/>
      <c r="G15473" s="30">
        <v>267.09999999999991</v>
      </c>
    </row>
    <row r="15474" spans="1:7" hidden="1" x14ac:dyDescent="0.25">
      <c r="A15474" s="28">
        <v>44805</v>
      </c>
      <c r="B15474" s="27" t="s">
        <v>2</v>
      </c>
      <c r="C15474" s="27" t="s">
        <v>50</v>
      </c>
      <c r="D15474" s="27" t="s">
        <v>7</v>
      </c>
      <c r="E15474" s="27" t="s">
        <v>23</v>
      </c>
      <c r="F15474" s="29"/>
      <c r="G15474" s="30">
        <v>1119.6700000000003</v>
      </c>
    </row>
    <row r="15475" spans="1:7" hidden="1" x14ac:dyDescent="0.25">
      <c r="A15475" s="28">
        <v>44805</v>
      </c>
      <c r="B15475" s="27" t="s">
        <v>2</v>
      </c>
      <c r="C15475" s="27" t="s">
        <v>50</v>
      </c>
      <c r="D15475" s="27" t="s">
        <v>7</v>
      </c>
      <c r="E15475" s="27" t="s">
        <v>40</v>
      </c>
      <c r="F15475" s="29"/>
      <c r="G15475" s="30">
        <v>617.90000000000009</v>
      </c>
    </row>
    <row r="15476" spans="1:7" hidden="1" x14ac:dyDescent="0.25">
      <c r="A15476" s="28">
        <v>44805</v>
      </c>
      <c r="B15476" s="27" t="s">
        <v>2</v>
      </c>
      <c r="C15476" s="27" t="s">
        <v>50</v>
      </c>
      <c r="D15476" s="27" t="s">
        <v>7</v>
      </c>
      <c r="E15476" s="27" t="s">
        <v>42</v>
      </c>
      <c r="F15476" s="29"/>
      <c r="G15476" s="30">
        <v>223.78000000000009</v>
      </c>
    </row>
    <row r="15477" spans="1:7" hidden="1" x14ac:dyDescent="0.25">
      <c r="A15477" s="28">
        <v>44805</v>
      </c>
      <c r="B15477" s="27" t="s">
        <v>2</v>
      </c>
      <c r="C15477" s="27" t="s">
        <v>50</v>
      </c>
      <c r="D15477" s="27" t="s">
        <v>7</v>
      </c>
      <c r="E15477" s="27" t="s">
        <v>43</v>
      </c>
      <c r="F15477" s="29"/>
      <c r="G15477" s="30">
        <v>383.69999999999965</v>
      </c>
    </row>
    <row r="15478" spans="1:7" hidden="1" x14ac:dyDescent="0.25">
      <c r="A15478" s="28">
        <v>44805</v>
      </c>
      <c r="B15478" s="27" t="s">
        <v>2</v>
      </c>
      <c r="C15478" s="27" t="s">
        <v>50</v>
      </c>
      <c r="D15478" s="27" t="s">
        <v>7</v>
      </c>
      <c r="E15478" s="27" t="s">
        <v>72</v>
      </c>
      <c r="F15478" s="29"/>
      <c r="G15478" s="30">
        <v>442.09999999999968</v>
      </c>
    </row>
    <row r="15479" spans="1:7" hidden="1" x14ac:dyDescent="0.25">
      <c r="A15479" s="28">
        <v>44805</v>
      </c>
      <c r="B15479" s="27" t="s">
        <v>2</v>
      </c>
      <c r="C15479" s="27" t="s">
        <v>50</v>
      </c>
      <c r="D15479" s="27" t="s">
        <v>7</v>
      </c>
      <c r="E15479" s="27" t="s">
        <v>206</v>
      </c>
      <c r="F15479" s="29"/>
      <c r="G15479" s="30">
        <v>1339.3999999999999</v>
      </c>
    </row>
    <row r="15480" spans="1:7" hidden="1" x14ac:dyDescent="0.25">
      <c r="A15480" s="28">
        <v>44805</v>
      </c>
      <c r="B15480" s="27" t="s">
        <v>2</v>
      </c>
      <c r="C15480" s="27" t="s">
        <v>50</v>
      </c>
      <c r="D15480" s="27" t="s">
        <v>7</v>
      </c>
      <c r="E15480" s="27" t="s">
        <v>67</v>
      </c>
      <c r="F15480" s="29"/>
      <c r="G15480" s="30">
        <v>417.4800000000003</v>
      </c>
    </row>
    <row r="15481" spans="1:7" hidden="1" x14ac:dyDescent="0.25">
      <c r="A15481" s="28">
        <v>44805</v>
      </c>
      <c r="B15481" s="27" t="s">
        <v>2</v>
      </c>
      <c r="C15481" s="27" t="s">
        <v>50</v>
      </c>
      <c r="D15481" s="27" t="s">
        <v>7</v>
      </c>
      <c r="E15481" s="27" t="s">
        <v>68</v>
      </c>
      <c r="F15481" s="29"/>
      <c r="G15481" s="30">
        <v>2720.6799999999989</v>
      </c>
    </row>
    <row r="15482" spans="1:7" hidden="1" x14ac:dyDescent="0.25">
      <c r="A15482" s="28">
        <v>44805</v>
      </c>
      <c r="B15482" s="27" t="s">
        <v>2</v>
      </c>
      <c r="C15482" s="27" t="s">
        <v>50</v>
      </c>
      <c r="D15482" s="27" t="s">
        <v>7</v>
      </c>
      <c r="E15482" s="27" t="s">
        <v>74</v>
      </c>
      <c r="F15482" s="29"/>
      <c r="G15482" s="30">
        <v>279.57999999999987</v>
      </c>
    </row>
    <row r="15483" spans="1:7" hidden="1" x14ac:dyDescent="0.25">
      <c r="A15483" s="28">
        <v>44805</v>
      </c>
      <c r="B15483" s="27" t="s">
        <v>2</v>
      </c>
      <c r="C15483" s="27" t="s">
        <v>50</v>
      </c>
      <c r="D15483" s="27" t="s">
        <v>7</v>
      </c>
      <c r="E15483" s="27" t="s">
        <v>37</v>
      </c>
      <c r="F15483" s="29"/>
      <c r="G15483" s="30">
        <v>1863.8</v>
      </c>
    </row>
    <row r="15484" spans="1:7" hidden="1" x14ac:dyDescent="0.25">
      <c r="A15484" s="28">
        <v>44805</v>
      </c>
      <c r="B15484" s="27" t="s">
        <v>36</v>
      </c>
      <c r="C15484" s="27" t="s">
        <v>50</v>
      </c>
      <c r="D15484" s="27" t="s">
        <v>6</v>
      </c>
      <c r="E15484" s="27" t="s">
        <v>8</v>
      </c>
      <c r="F15484" s="29"/>
      <c r="G15484" s="30">
        <v>436.30107142857145</v>
      </c>
    </row>
    <row r="15485" spans="1:7" hidden="1" x14ac:dyDescent="0.25">
      <c r="A15485" s="28">
        <v>44805</v>
      </c>
      <c r="B15485" s="27" t="s">
        <v>36</v>
      </c>
      <c r="C15485" s="27" t="s">
        <v>50</v>
      </c>
      <c r="D15485" s="27" t="s">
        <v>6</v>
      </c>
      <c r="E15485" s="27" t="s">
        <v>9</v>
      </c>
      <c r="F15485" s="29"/>
      <c r="G15485" s="30">
        <v>436.30107142857145</v>
      </c>
    </row>
    <row r="15486" spans="1:7" hidden="1" x14ac:dyDescent="0.25">
      <c r="A15486" s="28">
        <v>44805</v>
      </c>
      <c r="B15486" s="27" t="s">
        <v>36</v>
      </c>
      <c r="C15486" s="27" t="s">
        <v>50</v>
      </c>
      <c r="D15486" s="27" t="s">
        <v>6</v>
      </c>
      <c r="E15486" s="27" t="s">
        <v>22</v>
      </c>
      <c r="F15486" s="29"/>
      <c r="G15486" s="30">
        <v>436.30107142857145</v>
      </c>
    </row>
    <row r="15487" spans="1:7" hidden="1" x14ac:dyDescent="0.25">
      <c r="A15487" s="28">
        <v>44805</v>
      </c>
      <c r="B15487" s="27" t="s">
        <v>36</v>
      </c>
      <c r="C15487" s="27" t="s">
        <v>50</v>
      </c>
      <c r="D15487" s="27" t="s">
        <v>6</v>
      </c>
      <c r="E15487" s="27" t="s">
        <v>39</v>
      </c>
      <c r="F15487" s="29"/>
      <c r="G15487" s="30">
        <v>436.30107142857145</v>
      </c>
    </row>
    <row r="15488" spans="1:7" hidden="1" x14ac:dyDescent="0.25">
      <c r="A15488" s="28">
        <v>44805</v>
      </c>
      <c r="B15488" s="27" t="s">
        <v>36</v>
      </c>
      <c r="C15488" s="27" t="s">
        <v>50</v>
      </c>
      <c r="D15488" s="27" t="s">
        <v>6</v>
      </c>
      <c r="E15488" s="27" t="s">
        <v>64</v>
      </c>
      <c r="F15488" s="29"/>
      <c r="G15488" s="30">
        <v>436.30107142857145</v>
      </c>
    </row>
    <row r="15489" spans="1:7" hidden="1" x14ac:dyDescent="0.25">
      <c r="A15489" s="28">
        <v>44805</v>
      </c>
      <c r="B15489" s="27" t="s">
        <v>36</v>
      </c>
      <c r="C15489" s="27" t="s">
        <v>50</v>
      </c>
      <c r="D15489" s="27" t="s">
        <v>6</v>
      </c>
      <c r="E15489" s="27" t="s">
        <v>21</v>
      </c>
      <c r="F15489" s="29"/>
      <c r="G15489" s="30">
        <v>436.30107142857145</v>
      </c>
    </row>
    <row r="15490" spans="1:7" hidden="1" x14ac:dyDescent="0.25">
      <c r="A15490" s="28">
        <v>44805</v>
      </c>
      <c r="B15490" s="27" t="s">
        <v>36</v>
      </c>
      <c r="C15490" s="27" t="s">
        <v>50</v>
      </c>
      <c r="D15490" s="27" t="s">
        <v>6</v>
      </c>
      <c r="E15490" s="27" t="s">
        <v>41</v>
      </c>
      <c r="F15490" s="29"/>
      <c r="G15490" s="30">
        <v>436.30107142857145</v>
      </c>
    </row>
    <row r="15491" spans="1:7" hidden="1" x14ac:dyDescent="0.25">
      <c r="A15491" s="28">
        <v>44805</v>
      </c>
      <c r="B15491" s="27" t="s">
        <v>36</v>
      </c>
      <c r="C15491" s="27" t="s">
        <v>50</v>
      </c>
      <c r="D15491" s="27" t="s">
        <v>6</v>
      </c>
      <c r="E15491" s="27" t="s">
        <v>10</v>
      </c>
      <c r="F15491" s="29"/>
      <c r="G15491" s="30">
        <v>436.30107142857145</v>
      </c>
    </row>
    <row r="15492" spans="1:7" hidden="1" x14ac:dyDescent="0.25">
      <c r="A15492" s="28">
        <v>44805</v>
      </c>
      <c r="B15492" s="27" t="s">
        <v>36</v>
      </c>
      <c r="C15492" s="27" t="s">
        <v>50</v>
      </c>
      <c r="D15492" s="27" t="s">
        <v>6</v>
      </c>
      <c r="E15492" s="27" t="s">
        <v>11</v>
      </c>
      <c r="F15492" s="29"/>
      <c r="G15492" s="30">
        <v>436.30107142857145</v>
      </c>
    </row>
    <row r="15493" spans="1:7" hidden="1" x14ac:dyDescent="0.25">
      <c r="A15493" s="28">
        <v>44805</v>
      </c>
      <c r="B15493" s="27" t="s">
        <v>36</v>
      </c>
      <c r="C15493" s="27" t="s">
        <v>50</v>
      </c>
      <c r="D15493" s="27" t="s">
        <v>6</v>
      </c>
      <c r="E15493" s="27" t="s">
        <v>12</v>
      </c>
      <c r="F15493" s="29"/>
      <c r="G15493" s="30">
        <v>436.30107142857145</v>
      </c>
    </row>
    <row r="15494" spans="1:7" hidden="1" x14ac:dyDescent="0.25">
      <c r="A15494" s="28">
        <v>44805</v>
      </c>
      <c r="B15494" s="27" t="s">
        <v>36</v>
      </c>
      <c r="C15494" s="27" t="s">
        <v>50</v>
      </c>
      <c r="D15494" s="27" t="s">
        <v>6</v>
      </c>
      <c r="E15494" s="27" t="s">
        <v>13</v>
      </c>
      <c r="F15494" s="29"/>
      <c r="G15494" s="30">
        <v>436.30107142857145</v>
      </c>
    </row>
    <row r="15495" spans="1:7" hidden="1" x14ac:dyDescent="0.25">
      <c r="A15495" s="28">
        <v>44805</v>
      </c>
      <c r="B15495" s="27" t="s">
        <v>36</v>
      </c>
      <c r="C15495" s="27" t="s">
        <v>50</v>
      </c>
      <c r="D15495" s="27" t="s">
        <v>6</v>
      </c>
      <c r="E15495" s="27" t="s">
        <v>14</v>
      </c>
      <c r="F15495" s="29"/>
      <c r="G15495" s="30">
        <v>436.30107142857145</v>
      </c>
    </row>
    <row r="15496" spans="1:7" hidden="1" x14ac:dyDescent="0.25">
      <c r="A15496" s="28">
        <v>44805</v>
      </c>
      <c r="B15496" s="27" t="s">
        <v>36</v>
      </c>
      <c r="C15496" s="27" t="s">
        <v>50</v>
      </c>
      <c r="D15496" s="27" t="s">
        <v>6</v>
      </c>
      <c r="E15496" s="27" t="s">
        <v>15</v>
      </c>
      <c r="F15496" s="29"/>
      <c r="G15496" s="30">
        <v>436.30107142857145</v>
      </c>
    </row>
    <row r="15497" spans="1:7" hidden="1" x14ac:dyDescent="0.25">
      <c r="A15497" s="28">
        <v>44805</v>
      </c>
      <c r="B15497" s="27" t="s">
        <v>36</v>
      </c>
      <c r="C15497" s="27" t="s">
        <v>50</v>
      </c>
      <c r="D15497" s="27" t="s">
        <v>6</v>
      </c>
      <c r="E15497" s="27" t="s">
        <v>16</v>
      </c>
      <c r="F15497" s="29"/>
      <c r="G15497" s="30">
        <v>436.30107142857145</v>
      </c>
    </row>
    <row r="15498" spans="1:7" hidden="1" x14ac:dyDescent="0.25">
      <c r="A15498" s="28">
        <v>44805</v>
      </c>
      <c r="B15498" s="27" t="s">
        <v>36</v>
      </c>
      <c r="C15498" s="27" t="s">
        <v>50</v>
      </c>
      <c r="D15498" s="27" t="s">
        <v>6</v>
      </c>
      <c r="E15498" s="27" t="s">
        <v>17</v>
      </c>
      <c r="F15498" s="29"/>
      <c r="G15498" s="30">
        <v>436.30107142857145</v>
      </c>
    </row>
    <row r="15499" spans="1:7" hidden="1" x14ac:dyDescent="0.25">
      <c r="A15499" s="28">
        <v>44805</v>
      </c>
      <c r="B15499" s="27" t="s">
        <v>36</v>
      </c>
      <c r="C15499" s="27" t="s">
        <v>50</v>
      </c>
      <c r="D15499" s="27" t="s">
        <v>6</v>
      </c>
      <c r="E15499" s="27" t="s">
        <v>18</v>
      </c>
      <c r="F15499" s="29"/>
      <c r="G15499" s="30">
        <v>436.30107142857145</v>
      </c>
    </row>
    <row r="15500" spans="1:7" hidden="1" x14ac:dyDescent="0.25">
      <c r="A15500" s="28">
        <v>44805</v>
      </c>
      <c r="B15500" s="27" t="s">
        <v>36</v>
      </c>
      <c r="C15500" s="27" t="s">
        <v>50</v>
      </c>
      <c r="D15500" s="27" t="s">
        <v>6</v>
      </c>
      <c r="E15500" s="27" t="s">
        <v>19</v>
      </c>
      <c r="F15500" s="29"/>
      <c r="G15500" s="30">
        <v>436.30107142857145</v>
      </c>
    </row>
    <row r="15501" spans="1:7" hidden="1" x14ac:dyDescent="0.25">
      <c r="A15501" s="28">
        <v>44805</v>
      </c>
      <c r="B15501" s="27" t="s">
        <v>36</v>
      </c>
      <c r="C15501" s="27" t="s">
        <v>50</v>
      </c>
      <c r="D15501" s="27" t="s">
        <v>6</v>
      </c>
      <c r="E15501" s="27" t="s">
        <v>20</v>
      </c>
      <c r="F15501" s="29"/>
      <c r="G15501" s="30">
        <v>436.30107142857145</v>
      </c>
    </row>
    <row r="15502" spans="1:7" hidden="1" x14ac:dyDescent="0.25">
      <c r="A15502" s="28">
        <v>44805</v>
      </c>
      <c r="B15502" s="27" t="s">
        <v>36</v>
      </c>
      <c r="C15502" s="27" t="s">
        <v>50</v>
      </c>
      <c r="D15502" s="27" t="s">
        <v>6</v>
      </c>
      <c r="E15502" s="27" t="s">
        <v>38</v>
      </c>
      <c r="F15502" s="29"/>
      <c r="G15502" s="30">
        <v>436.30107142857145</v>
      </c>
    </row>
    <row r="15503" spans="1:7" hidden="1" x14ac:dyDescent="0.25">
      <c r="A15503" s="28">
        <v>44805</v>
      </c>
      <c r="B15503" s="27" t="s">
        <v>36</v>
      </c>
      <c r="C15503" s="27" t="s">
        <v>50</v>
      </c>
      <c r="D15503" s="27" t="s">
        <v>6</v>
      </c>
      <c r="E15503" s="27" t="s">
        <v>23</v>
      </c>
      <c r="F15503" s="29"/>
      <c r="G15503" s="30">
        <v>436.30107142857145</v>
      </c>
    </row>
    <row r="15504" spans="1:7" hidden="1" x14ac:dyDescent="0.25">
      <c r="A15504" s="28">
        <v>44805</v>
      </c>
      <c r="B15504" s="27" t="s">
        <v>36</v>
      </c>
      <c r="C15504" s="27" t="s">
        <v>50</v>
      </c>
      <c r="D15504" s="27" t="s">
        <v>6</v>
      </c>
      <c r="E15504" s="27" t="s">
        <v>40</v>
      </c>
      <c r="F15504" s="29"/>
      <c r="G15504" s="30">
        <v>436.30107142857145</v>
      </c>
    </row>
    <row r="15505" spans="1:7" hidden="1" x14ac:dyDescent="0.25">
      <c r="A15505" s="28">
        <v>44805</v>
      </c>
      <c r="B15505" s="27" t="s">
        <v>36</v>
      </c>
      <c r="C15505" s="27" t="s">
        <v>50</v>
      </c>
      <c r="D15505" s="27" t="s">
        <v>6</v>
      </c>
      <c r="E15505" s="27" t="s">
        <v>42</v>
      </c>
      <c r="F15505" s="29"/>
      <c r="G15505" s="30">
        <v>436.30107142857145</v>
      </c>
    </row>
    <row r="15506" spans="1:7" hidden="1" x14ac:dyDescent="0.25">
      <c r="A15506" s="28">
        <v>44805</v>
      </c>
      <c r="B15506" s="27" t="s">
        <v>36</v>
      </c>
      <c r="C15506" s="27" t="s">
        <v>50</v>
      </c>
      <c r="D15506" s="27" t="s">
        <v>6</v>
      </c>
      <c r="E15506" s="27" t="s">
        <v>43</v>
      </c>
      <c r="F15506" s="29"/>
      <c r="G15506" s="30">
        <v>436.30107142857145</v>
      </c>
    </row>
    <row r="15507" spans="1:7" hidden="1" x14ac:dyDescent="0.25">
      <c r="A15507" s="28">
        <v>44805</v>
      </c>
      <c r="B15507" s="27" t="s">
        <v>36</v>
      </c>
      <c r="C15507" s="27" t="s">
        <v>50</v>
      </c>
      <c r="D15507" s="27" t="s">
        <v>6</v>
      </c>
      <c r="E15507" s="27" t="s">
        <v>72</v>
      </c>
      <c r="F15507" s="29"/>
      <c r="G15507" s="30">
        <v>436.30107142857145</v>
      </c>
    </row>
    <row r="15508" spans="1:7" hidden="1" x14ac:dyDescent="0.25">
      <c r="A15508" s="28">
        <v>44805</v>
      </c>
      <c r="B15508" s="27" t="s">
        <v>36</v>
      </c>
      <c r="C15508" s="27" t="s">
        <v>50</v>
      </c>
      <c r="D15508" s="27" t="s">
        <v>6</v>
      </c>
      <c r="E15508" s="27" t="s">
        <v>206</v>
      </c>
      <c r="F15508" s="29"/>
      <c r="G15508" s="30">
        <v>436.30107142857145</v>
      </c>
    </row>
    <row r="15509" spans="1:7" hidden="1" x14ac:dyDescent="0.25">
      <c r="A15509" s="28">
        <v>44805</v>
      </c>
      <c r="B15509" s="27" t="s">
        <v>36</v>
      </c>
      <c r="C15509" s="27" t="s">
        <v>50</v>
      </c>
      <c r="D15509" s="27" t="s">
        <v>6</v>
      </c>
      <c r="E15509" s="27" t="s">
        <v>67</v>
      </c>
      <c r="F15509" s="29"/>
      <c r="G15509" s="30">
        <v>436.30107142857145</v>
      </c>
    </row>
    <row r="15510" spans="1:7" hidden="1" x14ac:dyDescent="0.25">
      <c r="A15510" s="28">
        <v>44805</v>
      </c>
      <c r="B15510" s="27" t="s">
        <v>36</v>
      </c>
      <c r="C15510" s="27" t="s">
        <v>50</v>
      </c>
      <c r="D15510" s="27" t="s">
        <v>6</v>
      </c>
      <c r="E15510" s="27" t="s">
        <v>68</v>
      </c>
      <c r="F15510" s="29"/>
      <c r="G15510" s="30">
        <v>436.30107142857145</v>
      </c>
    </row>
    <row r="15511" spans="1:7" hidden="1" x14ac:dyDescent="0.25">
      <c r="A15511" s="28">
        <v>44805</v>
      </c>
      <c r="B15511" s="27" t="s">
        <v>36</v>
      </c>
      <c r="C15511" s="27" t="s">
        <v>50</v>
      </c>
      <c r="D15511" s="27" t="s">
        <v>6</v>
      </c>
      <c r="E15511" s="27" t="s">
        <v>74</v>
      </c>
      <c r="F15511" s="29"/>
      <c r="G15511" s="30">
        <v>436.30107142857145</v>
      </c>
    </row>
    <row r="15512" spans="1:7" hidden="1" x14ac:dyDescent="0.25">
      <c r="A15512" s="28">
        <v>44805</v>
      </c>
      <c r="B15512" s="27" t="s">
        <v>200</v>
      </c>
      <c r="C15512" s="27" t="s">
        <v>53</v>
      </c>
      <c r="D15512" s="27" t="s">
        <v>6</v>
      </c>
      <c r="E15512" s="27" t="s">
        <v>8</v>
      </c>
      <c r="F15512" s="29"/>
      <c r="G15512" s="30">
        <f t="shared" ref="G15512:G15535" si="267">2328.95819444444/24</f>
        <v>97.039924768518333</v>
      </c>
    </row>
    <row r="15513" spans="1:7" hidden="1" x14ac:dyDescent="0.25">
      <c r="A15513" s="28">
        <v>44805</v>
      </c>
      <c r="B15513" s="27" t="s">
        <v>200</v>
      </c>
      <c r="C15513" s="27" t="s">
        <v>53</v>
      </c>
      <c r="D15513" s="27" t="s">
        <v>6</v>
      </c>
      <c r="E15513" s="27" t="s">
        <v>9</v>
      </c>
      <c r="F15513" s="29"/>
      <c r="G15513" s="30">
        <f t="shared" si="267"/>
        <v>97.039924768518333</v>
      </c>
    </row>
    <row r="15514" spans="1:7" hidden="1" x14ac:dyDescent="0.25">
      <c r="A15514" s="28">
        <v>44805</v>
      </c>
      <c r="B15514" s="27" t="s">
        <v>200</v>
      </c>
      <c r="C15514" s="27" t="s">
        <v>53</v>
      </c>
      <c r="D15514" s="27" t="s">
        <v>6</v>
      </c>
      <c r="E15514" s="27" t="s">
        <v>22</v>
      </c>
      <c r="F15514" s="29"/>
      <c r="G15514" s="30">
        <f t="shared" si="267"/>
        <v>97.039924768518333</v>
      </c>
    </row>
    <row r="15515" spans="1:7" hidden="1" x14ac:dyDescent="0.25">
      <c r="A15515" s="28">
        <v>44805</v>
      </c>
      <c r="B15515" s="27" t="s">
        <v>200</v>
      </c>
      <c r="C15515" s="27" t="s">
        <v>53</v>
      </c>
      <c r="D15515" s="27" t="s">
        <v>6</v>
      </c>
      <c r="E15515" s="27" t="s">
        <v>39</v>
      </c>
      <c r="F15515" s="29"/>
      <c r="G15515" s="30">
        <f t="shared" si="267"/>
        <v>97.039924768518333</v>
      </c>
    </row>
    <row r="15516" spans="1:7" hidden="1" x14ac:dyDescent="0.25">
      <c r="A15516" s="28">
        <v>44805</v>
      </c>
      <c r="B15516" s="27" t="s">
        <v>200</v>
      </c>
      <c r="C15516" s="27" t="s">
        <v>53</v>
      </c>
      <c r="D15516" s="27" t="s">
        <v>6</v>
      </c>
      <c r="E15516" s="27" t="s">
        <v>64</v>
      </c>
      <c r="F15516" s="29"/>
      <c r="G15516" s="30">
        <f t="shared" si="267"/>
        <v>97.039924768518333</v>
      </c>
    </row>
    <row r="15517" spans="1:7" hidden="1" x14ac:dyDescent="0.25">
      <c r="A15517" s="28">
        <v>44805</v>
      </c>
      <c r="B15517" s="27" t="s">
        <v>200</v>
      </c>
      <c r="C15517" s="27" t="s">
        <v>53</v>
      </c>
      <c r="D15517" s="27" t="s">
        <v>6</v>
      </c>
      <c r="E15517" s="27" t="s">
        <v>21</v>
      </c>
      <c r="F15517" s="29"/>
      <c r="G15517" s="30">
        <f t="shared" si="267"/>
        <v>97.039924768518333</v>
      </c>
    </row>
    <row r="15518" spans="1:7" hidden="1" x14ac:dyDescent="0.25">
      <c r="A15518" s="28">
        <v>44805</v>
      </c>
      <c r="B15518" s="27" t="s">
        <v>200</v>
      </c>
      <c r="C15518" s="27" t="s">
        <v>53</v>
      </c>
      <c r="D15518" s="27" t="s">
        <v>6</v>
      </c>
      <c r="E15518" s="27" t="s">
        <v>41</v>
      </c>
      <c r="F15518" s="29"/>
      <c r="G15518" s="30">
        <f t="shared" si="267"/>
        <v>97.039924768518333</v>
      </c>
    </row>
    <row r="15519" spans="1:7" hidden="1" x14ac:dyDescent="0.25">
      <c r="A15519" s="28">
        <v>44805</v>
      </c>
      <c r="B15519" s="27" t="s">
        <v>200</v>
      </c>
      <c r="C15519" s="27" t="s">
        <v>53</v>
      </c>
      <c r="D15519" s="27" t="s">
        <v>6</v>
      </c>
      <c r="E15519" s="27" t="s">
        <v>10</v>
      </c>
      <c r="F15519" s="29"/>
      <c r="G15519" s="30">
        <f t="shared" si="267"/>
        <v>97.039924768518333</v>
      </c>
    </row>
    <row r="15520" spans="1:7" hidden="1" x14ac:dyDescent="0.25">
      <c r="A15520" s="28">
        <v>44805</v>
      </c>
      <c r="B15520" s="27" t="s">
        <v>200</v>
      </c>
      <c r="C15520" s="27" t="s">
        <v>53</v>
      </c>
      <c r="D15520" s="27" t="s">
        <v>6</v>
      </c>
      <c r="E15520" s="27" t="s">
        <v>11</v>
      </c>
      <c r="F15520" s="29"/>
      <c r="G15520" s="30">
        <f t="shared" si="267"/>
        <v>97.039924768518333</v>
      </c>
    </row>
    <row r="15521" spans="1:7" hidden="1" x14ac:dyDescent="0.25">
      <c r="A15521" s="28">
        <v>44805</v>
      </c>
      <c r="B15521" s="27" t="s">
        <v>200</v>
      </c>
      <c r="C15521" s="27" t="s">
        <v>53</v>
      </c>
      <c r="D15521" s="27" t="s">
        <v>6</v>
      </c>
      <c r="E15521" s="27" t="s">
        <v>12</v>
      </c>
      <c r="F15521" s="29"/>
      <c r="G15521" s="30">
        <f t="shared" si="267"/>
        <v>97.039924768518333</v>
      </c>
    </row>
    <row r="15522" spans="1:7" hidden="1" x14ac:dyDescent="0.25">
      <c r="A15522" s="28">
        <v>44805</v>
      </c>
      <c r="B15522" s="27" t="s">
        <v>200</v>
      </c>
      <c r="C15522" s="27" t="s">
        <v>53</v>
      </c>
      <c r="D15522" s="27" t="s">
        <v>6</v>
      </c>
      <c r="E15522" s="27" t="s">
        <v>13</v>
      </c>
      <c r="F15522" s="29"/>
      <c r="G15522" s="30">
        <f t="shared" si="267"/>
        <v>97.039924768518333</v>
      </c>
    </row>
    <row r="15523" spans="1:7" hidden="1" x14ac:dyDescent="0.25">
      <c r="A15523" s="28">
        <v>44805</v>
      </c>
      <c r="B15523" s="27" t="s">
        <v>200</v>
      </c>
      <c r="C15523" s="27" t="s">
        <v>53</v>
      </c>
      <c r="D15523" s="27" t="s">
        <v>6</v>
      </c>
      <c r="E15523" s="27" t="s">
        <v>14</v>
      </c>
      <c r="F15523" s="29"/>
      <c r="G15523" s="30">
        <f t="shared" si="267"/>
        <v>97.039924768518333</v>
      </c>
    </row>
    <row r="15524" spans="1:7" hidden="1" x14ac:dyDescent="0.25">
      <c r="A15524" s="28">
        <v>44805</v>
      </c>
      <c r="B15524" s="27" t="s">
        <v>200</v>
      </c>
      <c r="C15524" s="27" t="s">
        <v>53</v>
      </c>
      <c r="D15524" s="27" t="s">
        <v>6</v>
      </c>
      <c r="E15524" s="27" t="s">
        <v>15</v>
      </c>
      <c r="F15524" s="29"/>
      <c r="G15524" s="30">
        <f t="shared" si="267"/>
        <v>97.039924768518333</v>
      </c>
    </row>
    <row r="15525" spans="1:7" hidden="1" x14ac:dyDescent="0.25">
      <c r="A15525" s="28">
        <v>44805</v>
      </c>
      <c r="B15525" s="27" t="s">
        <v>200</v>
      </c>
      <c r="C15525" s="27" t="s">
        <v>53</v>
      </c>
      <c r="D15525" s="27" t="s">
        <v>6</v>
      </c>
      <c r="E15525" s="27" t="s">
        <v>16</v>
      </c>
      <c r="F15525" s="29"/>
      <c r="G15525" s="30">
        <f t="shared" si="267"/>
        <v>97.039924768518333</v>
      </c>
    </row>
    <row r="15526" spans="1:7" hidden="1" x14ac:dyDescent="0.25">
      <c r="A15526" s="28">
        <v>44805</v>
      </c>
      <c r="B15526" s="27" t="s">
        <v>200</v>
      </c>
      <c r="C15526" s="27" t="s">
        <v>53</v>
      </c>
      <c r="D15526" s="27" t="s">
        <v>6</v>
      </c>
      <c r="E15526" s="27" t="s">
        <v>17</v>
      </c>
      <c r="F15526" s="29"/>
      <c r="G15526" s="30">
        <f t="shared" si="267"/>
        <v>97.039924768518333</v>
      </c>
    </row>
    <row r="15527" spans="1:7" hidden="1" x14ac:dyDescent="0.25">
      <c r="A15527" s="28">
        <v>44805</v>
      </c>
      <c r="B15527" s="27" t="s">
        <v>200</v>
      </c>
      <c r="C15527" s="27" t="s">
        <v>53</v>
      </c>
      <c r="D15527" s="27" t="s">
        <v>6</v>
      </c>
      <c r="E15527" s="27" t="s">
        <v>18</v>
      </c>
      <c r="F15527" s="29"/>
      <c r="G15527" s="30">
        <f t="shared" si="267"/>
        <v>97.039924768518333</v>
      </c>
    </row>
    <row r="15528" spans="1:7" hidden="1" x14ac:dyDescent="0.25">
      <c r="A15528" s="28">
        <v>44805</v>
      </c>
      <c r="B15528" s="27" t="s">
        <v>200</v>
      </c>
      <c r="C15528" s="27" t="s">
        <v>53</v>
      </c>
      <c r="D15528" s="27" t="s">
        <v>6</v>
      </c>
      <c r="E15528" s="27" t="s">
        <v>19</v>
      </c>
      <c r="F15528" s="29"/>
      <c r="G15528" s="30">
        <f t="shared" si="267"/>
        <v>97.039924768518333</v>
      </c>
    </row>
    <row r="15529" spans="1:7" hidden="1" x14ac:dyDescent="0.25">
      <c r="A15529" s="28">
        <v>44805</v>
      </c>
      <c r="B15529" s="27" t="s">
        <v>200</v>
      </c>
      <c r="C15529" s="27" t="s">
        <v>53</v>
      </c>
      <c r="D15529" s="27" t="s">
        <v>6</v>
      </c>
      <c r="E15529" s="27" t="s">
        <v>20</v>
      </c>
      <c r="F15529" s="29"/>
      <c r="G15529" s="30">
        <f t="shared" si="267"/>
        <v>97.039924768518333</v>
      </c>
    </row>
    <row r="15530" spans="1:7" hidden="1" x14ac:dyDescent="0.25">
      <c r="A15530" s="28">
        <v>44805</v>
      </c>
      <c r="B15530" s="27" t="s">
        <v>200</v>
      </c>
      <c r="C15530" s="27" t="s">
        <v>53</v>
      </c>
      <c r="D15530" s="27" t="s">
        <v>6</v>
      </c>
      <c r="E15530" s="27" t="s">
        <v>38</v>
      </c>
      <c r="F15530" s="29"/>
      <c r="G15530" s="30">
        <f t="shared" si="267"/>
        <v>97.039924768518333</v>
      </c>
    </row>
    <row r="15531" spans="1:7" hidden="1" x14ac:dyDescent="0.25">
      <c r="A15531" s="28">
        <v>44805</v>
      </c>
      <c r="B15531" s="27" t="s">
        <v>200</v>
      </c>
      <c r="C15531" s="27" t="s">
        <v>53</v>
      </c>
      <c r="D15531" s="27" t="s">
        <v>6</v>
      </c>
      <c r="E15531" s="27" t="s">
        <v>23</v>
      </c>
      <c r="F15531" s="29"/>
      <c r="G15531" s="30">
        <f t="shared" si="267"/>
        <v>97.039924768518333</v>
      </c>
    </row>
    <row r="15532" spans="1:7" hidden="1" x14ac:dyDescent="0.25">
      <c r="A15532" s="28">
        <v>44805</v>
      </c>
      <c r="B15532" s="27" t="s">
        <v>200</v>
      </c>
      <c r="C15532" s="27" t="s">
        <v>53</v>
      </c>
      <c r="D15532" s="27" t="s">
        <v>6</v>
      </c>
      <c r="E15532" s="27" t="s">
        <v>40</v>
      </c>
      <c r="F15532" s="29"/>
      <c r="G15532" s="30">
        <f t="shared" si="267"/>
        <v>97.039924768518333</v>
      </c>
    </row>
    <row r="15533" spans="1:7" hidden="1" x14ac:dyDescent="0.25">
      <c r="A15533" s="28">
        <v>44805</v>
      </c>
      <c r="B15533" s="27" t="s">
        <v>200</v>
      </c>
      <c r="C15533" s="27" t="s">
        <v>53</v>
      </c>
      <c r="D15533" s="27" t="s">
        <v>6</v>
      </c>
      <c r="E15533" s="27" t="s">
        <v>42</v>
      </c>
      <c r="F15533" s="29"/>
      <c r="G15533" s="30">
        <f t="shared" si="267"/>
        <v>97.039924768518333</v>
      </c>
    </row>
    <row r="15534" spans="1:7" hidden="1" x14ac:dyDescent="0.25">
      <c r="A15534" s="28">
        <v>44805</v>
      </c>
      <c r="B15534" s="27" t="s">
        <v>200</v>
      </c>
      <c r="C15534" s="27" t="s">
        <v>53</v>
      </c>
      <c r="D15534" s="27" t="s">
        <v>6</v>
      </c>
      <c r="E15534" s="27" t="s">
        <v>72</v>
      </c>
      <c r="F15534" s="29"/>
      <c r="G15534" s="30">
        <f t="shared" si="267"/>
        <v>97.039924768518333</v>
      </c>
    </row>
    <row r="15535" spans="1:7" hidden="1" x14ac:dyDescent="0.25">
      <c r="A15535" s="28">
        <v>44805</v>
      </c>
      <c r="B15535" s="27" t="s">
        <v>200</v>
      </c>
      <c r="C15535" s="27" t="s">
        <v>53</v>
      </c>
      <c r="D15535" s="27" t="s">
        <v>6</v>
      </c>
      <c r="E15535" s="27" t="s">
        <v>12</v>
      </c>
      <c r="F15535" s="29"/>
      <c r="G15535" s="30">
        <f t="shared" si="267"/>
        <v>97.039924768518333</v>
      </c>
    </row>
    <row r="15536" spans="1:7" hidden="1" x14ac:dyDescent="0.25">
      <c r="A15536" s="28">
        <v>44805</v>
      </c>
      <c r="B15536" s="27" t="s">
        <v>200</v>
      </c>
      <c r="C15536" s="27" t="s">
        <v>54</v>
      </c>
      <c r="D15536" s="27" t="s">
        <v>7</v>
      </c>
      <c r="E15536" s="27" t="s">
        <v>8</v>
      </c>
      <c r="F15536" s="29"/>
      <c r="G15536" s="30">
        <f t="shared" ref="G15536:G15563" si="268">1718.97/28</f>
        <v>61.391785714285717</v>
      </c>
    </row>
    <row r="15537" spans="1:7" hidden="1" x14ac:dyDescent="0.25">
      <c r="A15537" s="28">
        <v>44805</v>
      </c>
      <c r="B15537" s="27" t="s">
        <v>200</v>
      </c>
      <c r="C15537" s="27" t="s">
        <v>54</v>
      </c>
      <c r="D15537" s="27" t="s">
        <v>7</v>
      </c>
      <c r="E15537" s="27" t="s">
        <v>9</v>
      </c>
      <c r="F15537" s="29"/>
      <c r="G15537" s="30">
        <f t="shared" si="268"/>
        <v>61.391785714285717</v>
      </c>
    </row>
    <row r="15538" spans="1:7" hidden="1" x14ac:dyDescent="0.25">
      <c r="A15538" s="28">
        <v>44805</v>
      </c>
      <c r="B15538" s="27" t="s">
        <v>200</v>
      </c>
      <c r="C15538" s="27" t="s">
        <v>54</v>
      </c>
      <c r="D15538" s="27" t="s">
        <v>7</v>
      </c>
      <c r="E15538" s="27" t="s">
        <v>22</v>
      </c>
      <c r="F15538" s="29"/>
      <c r="G15538" s="30">
        <f t="shared" si="268"/>
        <v>61.391785714285717</v>
      </c>
    </row>
    <row r="15539" spans="1:7" hidden="1" x14ac:dyDescent="0.25">
      <c r="A15539" s="28">
        <v>44805</v>
      </c>
      <c r="B15539" s="27" t="s">
        <v>200</v>
      </c>
      <c r="C15539" s="27" t="s">
        <v>54</v>
      </c>
      <c r="D15539" s="27" t="s">
        <v>7</v>
      </c>
      <c r="E15539" s="27" t="s">
        <v>39</v>
      </c>
      <c r="F15539" s="29"/>
      <c r="G15539" s="30">
        <f t="shared" si="268"/>
        <v>61.391785714285717</v>
      </c>
    </row>
    <row r="15540" spans="1:7" hidden="1" x14ac:dyDescent="0.25">
      <c r="A15540" s="28">
        <v>44805</v>
      </c>
      <c r="B15540" s="27" t="s">
        <v>200</v>
      </c>
      <c r="C15540" s="27" t="s">
        <v>54</v>
      </c>
      <c r="D15540" s="27" t="s">
        <v>7</v>
      </c>
      <c r="E15540" s="27" t="s">
        <v>64</v>
      </c>
      <c r="F15540" s="29"/>
      <c r="G15540" s="30">
        <f t="shared" si="268"/>
        <v>61.391785714285717</v>
      </c>
    </row>
    <row r="15541" spans="1:7" hidden="1" x14ac:dyDescent="0.25">
      <c r="A15541" s="28">
        <v>44805</v>
      </c>
      <c r="B15541" s="27" t="s">
        <v>200</v>
      </c>
      <c r="C15541" s="27" t="s">
        <v>54</v>
      </c>
      <c r="D15541" s="27" t="s">
        <v>7</v>
      </c>
      <c r="E15541" s="27" t="s">
        <v>21</v>
      </c>
      <c r="F15541" s="29"/>
      <c r="G15541" s="30">
        <f t="shared" si="268"/>
        <v>61.391785714285717</v>
      </c>
    </row>
    <row r="15542" spans="1:7" hidden="1" x14ac:dyDescent="0.25">
      <c r="A15542" s="28">
        <v>44805</v>
      </c>
      <c r="B15542" s="27" t="s">
        <v>200</v>
      </c>
      <c r="C15542" s="27" t="s">
        <v>54</v>
      </c>
      <c r="D15542" s="27" t="s">
        <v>7</v>
      </c>
      <c r="E15542" s="27" t="s">
        <v>41</v>
      </c>
      <c r="F15542" s="29"/>
      <c r="G15542" s="30">
        <f t="shared" si="268"/>
        <v>61.391785714285717</v>
      </c>
    </row>
    <row r="15543" spans="1:7" hidden="1" x14ac:dyDescent="0.25">
      <c r="A15543" s="28">
        <v>44805</v>
      </c>
      <c r="B15543" s="27" t="s">
        <v>200</v>
      </c>
      <c r="C15543" s="27" t="s">
        <v>54</v>
      </c>
      <c r="D15543" s="27" t="s">
        <v>7</v>
      </c>
      <c r="E15543" s="27" t="s">
        <v>10</v>
      </c>
      <c r="F15543" s="29"/>
      <c r="G15543" s="30">
        <f t="shared" si="268"/>
        <v>61.391785714285717</v>
      </c>
    </row>
    <row r="15544" spans="1:7" hidden="1" x14ac:dyDescent="0.25">
      <c r="A15544" s="28">
        <v>44805</v>
      </c>
      <c r="B15544" s="27" t="s">
        <v>200</v>
      </c>
      <c r="C15544" s="27" t="s">
        <v>54</v>
      </c>
      <c r="D15544" s="27" t="s">
        <v>7</v>
      </c>
      <c r="E15544" s="27" t="s">
        <v>11</v>
      </c>
      <c r="F15544" s="29"/>
      <c r="G15544" s="30">
        <f t="shared" si="268"/>
        <v>61.391785714285717</v>
      </c>
    </row>
    <row r="15545" spans="1:7" hidden="1" x14ac:dyDescent="0.25">
      <c r="A15545" s="28">
        <v>44805</v>
      </c>
      <c r="B15545" s="27" t="s">
        <v>200</v>
      </c>
      <c r="C15545" s="27" t="s">
        <v>54</v>
      </c>
      <c r="D15545" s="27" t="s">
        <v>7</v>
      </c>
      <c r="E15545" s="27" t="s">
        <v>12</v>
      </c>
      <c r="F15545" s="29"/>
      <c r="G15545" s="30">
        <f t="shared" si="268"/>
        <v>61.391785714285717</v>
      </c>
    </row>
    <row r="15546" spans="1:7" hidden="1" x14ac:dyDescent="0.25">
      <c r="A15546" s="28">
        <v>44805</v>
      </c>
      <c r="B15546" s="27" t="s">
        <v>200</v>
      </c>
      <c r="C15546" s="27" t="s">
        <v>54</v>
      </c>
      <c r="D15546" s="27" t="s">
        <v>7</v>
      </c>
      <c r="E15546" s="27" t="s">
        <v>13</v>
      </c>
      <c r="F15546" s="29"/>
      <c r="G15546" s="30">
        <f t="shared" si="268"/>
        <v>61.391785714285717</v>
      </c>
    </row>
    <row r="15547" spans="1:7" hidden="1" x14ac:dyDescent="0.25">
      <c r="A15547" s="28">
        <v>44805</v>
      </c>
      <c r="B15547" s="27" t="s">
        <v>200</v>
      </c>
      <c r="C15547" s="27" t="s">
        <v>54</v>
      </c>
      <c r="D15547" s="27" t="s">
        <v>7</v>
      </c>
      <c r="E15547" s="27" t="s">
        <v>14</v>
      </c>
      <c r="F15547" s="29"/>
      <c r="G15547" s="30">
        <f t="shared" si="268"/>
        <v>61.391785714285717</v>
      </c>
    </row>
    <row r="15548" spans="1:7" hidden="1" x14ac:dyDescent="0.25">
      <c r="A15548" s="28">
        <v>44805</v>
      </c>
      <c r="B15548" s="27" t="s">
        <v>200</v>
      </c>
      <c r="C15548" s="27" t="s">
        <v>54</v>
      </c>
      <c r="D15548" s="27" t="s">
        <v>7</v>
      </c>
      <c r="E15548" s="27" t="s">
        <v>15</v>
      </c>
      <c r="F15548" s="29"/>
      <c r="G15548" s="30">
        <f t="shared" si="268"/>
        <v>61.391785714285717</v>
      </c>
    </row>
    <row r="15549" spans="1:7" hidden="1" x14ac:dyDescent="0.25">
      <c r="A15549" s="28">
        <v>44805</v>
      </c>
      <c r="B15549" s="27" t="s">
        <v>200</v>
      </c>
      <c r="C15549" s="27" t="s">
        <v>54</v>
      </c>
      <c r="D15549" s="27" t="s">
        <v>7</v>
      </c>
      <c r="E15549" s="27" t="s">
        <v>16</v>
      </c>
      <c r="F15549" s="29"/>
      <c r="G15549" s="30">
        <f t="shared" si="268"/>
        <v>61.391785714285717</v>
      </c>
    </row>
    <row r="15550" spans="1:7" hidden="1" x14ac:dyDescent="0.25">
      <c r="A15550" s="28">
        <v>44805</v>
      </c>
      <c r="B15550" s="27" t="s">
        <v>200</v>
      </c>
      <c r="C15550" s="27" t="s">
        <v>54</v>
      </c>
      <c r="D15550" s="27" t="s">
        <v>7</v>
      </c>
      <c r="E15550" s="27" t="s">
        <v>17</v>
      </c>
      <c r="F15550" s="29"/>
      <c r="G15550" s="30">
        <f t="shared" si="268"/>
        <v>61.391785714285717</v>
      </c>
    </row>
    <row r="15551" spans="1:7" hidden="1" x14ac:dyDescent="0.25">
      <c r="A15551" s="28">
        <v>44805</v>
      </c>
      <c r="B15551" s="27" t="s">
        <v>200</v>
      </c>
      <c r="C15551" s="27" t="s">
        <v>54</v>
      </c>
      <c r="D15551" s="27" t="s">
        <v>7</v>
      </c>
      <c r="E15551" s="27" t="s">
        <v>18</v>
      </c>
      <c r="F15551" s="29"/>
      <c r="G15551" s="30">
        <f t="shared" si="268"/>
        <v>61.391785714285717</v>
      </c>
    </row>
    <row r="15552" spans="1:7" hidden="1" x14ac:dyDescent="0.25">
      <c r="A15552" s="28">
        <v>44805</v>
      </c>
      <c r="B15552" s="27" t="s">
        <v>200</v>
      </c>
      <c r="C15552" s="27" t="s">
        <v>54</v>
      </c>
      <c r="D15552" s="27" t="s">
        <v>7</v>
      </c>
      <c r="E15552" s="27" t="s">
        <v>19</v>
      </c>
      <c r="F15552" s="29"/>
      <c r="G15552" s="30">
        <f t="shared" si="268"/>
        <v>61.391785714285717</v>
      </c>
    </row>
    <row r="15553" spans="1:7" hidden="1" x14ac:dyDescent="0.25">
      <c r="A15553" s="28">
        <v>44805</v>
      </c>
      <c r="B15553" s="27" t="s">
        <v>200</v>
      </c>
      <c r="C15553" s="27" t="s">
        <v>54</v>
      </c>
      <c r="D15553" s="27" t="s">
        <v>7</v>
      </c>
      <c r="E15553" s="27" t="s">
        <v>20</v>
      </c>
      <c r="F15553" s="29"/>
      <c r="G15553" s="30">
        <f t="shared" si="268"/>
        <v>61.391785714285717</v>
      </c>
    </row>
    <row r="15554" spans="1:7" hidden="1" x14ac:dyDescent="0.25">
      <c r="A15554" s="28">
        <v>44805</v>
      </c>
      <c r="B15554" s="27" t="s">
        <v>200</v>
      </c>
      <c r="C15554" s="27" t="s">
        <v>54</v>
      </c>
      <c r="D15554" s="27" t="s">
        <v>7</v>
      </c>
      <c r="E15554" s="27" t="s">
        <v>38</v>
      </c>
      <c r="F15554" s="29"/>
      <c r="G15554" s="30">
        <f t="shared" si="268"/>
        <v>61.391785714285717</v>
      </c>
    </row>
    <row r="15555" spans="1:7" hidden="1" x14ac:dyDescent="0.25">
      <c r="A15555" s="28">
        <v>44805</v>
      </c>
      <c r="B15555" s="27" t="s">
        <v>200</v>
      </c>
      <c r="C15555" s="27" t="s">
        <v>54</v>
      </c>
      <c r="D15555" s="27" t="s">
        <v>7</v>
      </c>
      <c r="E15555" s="27" t="s">
        <v>23</v>
      </c>
      <c r="F15555" s="29"/>
      <c r="G15555" s="30">
        <f t="shared" si="268"/>
        <v>61.391785714285717</v>
      </c>
    </row>
    <row r="15556" spans="1:7" hidden="1" x14ac:dyDescent="0.25">
      <c r="A15556" s="28">
        <v>44805</v>
      </c>
      <c r="B15556" s="27" t="s">
        <v>200</v>
      </c>
      <c r="C15556" s="27" t="s">
        <v>54</v>
      </c>
      <c r="D15556" s="27" t="s">
        <v>7</v>
      </c>
      <c r="E15556" s="27" t="s">
        <v>40</v>
      </c>
      <c r="F15556" s="29"/>
      <c r="G15556" s="30">
        <f t="shared" si="268"/>
        <v>61.391785714285717</v>
      </c>
    </row>
    <row r="15557" spans="1:7" hidden="1" x14ac:dyDescent="0.25">
      <c r="A15557" s="28">
        <v>44805</v>
      </c>
      <c r="B15557" s="27" t="s">
        <v>200</v>
      </c>
      <c r="C15557" s="27" t="s">
        <v>54</v>
      </c>
      <c r="D15557" s="27" t="s">
        <v>7</v>
      </c>
      <c r="E15557" s="27" t="s">
        <v>42</v>
      </c>
      <c r="F15557" s="29"/>
      <c r="G15557" s="30">
        <f t="shared" si="268"/>
        <v>61.391785714285717</v>
      </c>
    </row>
    <row r="15558" spans="1:7" hidden="1" x14ac:dyDescent="0.25">
      <c r="A15558" s="28">
        <v>44805</v>
      </c>
      <c r="B15558" s="27" t="s">
        <v>200</v>
      </c>
      <c r="C15558" s="27" t="s">
        <v>54</v>
      </c>
      <c r="D15558" s="27" t="s">
        <v>7</v>
      </c>
      <c r="E15558" s="27" t="s">
        <v>43</v>
      </c>
      <c r="F15558" s="29"/>
      <c r="G15558" s="30">
        <f t="shared" si="268"/>
        <v>61.391785714285717</v>
      </c>
    </row>
    <row r="15559" spans="1:7" hidden="1" x14ac:dyDescent="0.25">
      <c r="A15559" s="28">
        <v>44805</v>
      </c>
      <c r="B15559" s="27" t="s">
        <v>200</v>
      </c>
      <c r="C15559" s="27" t="s">
        <v>54</v>
      </c>
      <c r="D15559" s="27" t="s">
        <v>7</v>
      </c>
      <c r="E15559" s="27" t="s">
        <v>72</v>
      </c>
      <c r="F15559" s="29"/>
      <c r="G15559" s="30">
        <f t="shared" si="268"/>
        <v>61.391785714285717</v>
      </c>
    </row>
    <row r="15560" spans="1:7" hidden="1" x14ac:dyDescent="0.25">
      <c r="A15560" s="28">
        <v>44805</v>
      </c>
      <c r="B15560" s="27" t="s">
        <v>200</v>
      </c>
      <c r="C15560" s="27" t="s">
        <v>54</v>
      </c>
      <c r="D15560" s="27" t="s">
        <v>7</v>
      </c>
      <c r="E15560" s="27" t="s">
        <v>206</v>
      </c>
      <c r="F15560" s="29"/>
      <c r="G15560" s="30">
        <f t="shared" si="268"/>
        <v>61.391785714285717</v>
      </c>
    </row>
    <row r="15561" spans="1:7" hidden="1" x14ac:dyDescent="0.25">
      <c r="A15561" s="28">
        <v>44805</v>
      </c>
      <c r="B15561" s="27" t="s">
        <v>200</v>
      </c>
      <c r="C15561" s="27" t="s">
        <v>54</v>
      </c>
      <c r="D15561" s="27" t="s">
        <v>7</v>
      </c>
      <c r="E15561" s="27" t="s">
        <v>67</v>
      </c>
      <c r="F15561" s="29"/>
      <c r="G15561" s="30">
        <f t="shared" si="268"/>
        <v>61.391785714285717</v>
      </c>
    </row>
    <row r="15562" spans="1:7" hidden="1" x14ac:dyDescent="0.25">
      <c r="A15562" s="28">
        <v>44805</v>
      </c>
      <c r="B15562" s="27" t="s">
        <v>200</v>
      </c>
      <c r="C15562" s="27" t="s">
        <v>54</v>
      </c>
      <c r="D15562" s="27" t="s">
        <v>7</v>
      </c>
      <c r="E15562" s="27" t="s">
        <v>68</v>
      </c>
      <c r="F15562" s="29"/>
      <c r="G15562" s="30">
        <f t="shared" si="268"/>
        <v>61.391785714285717</v>
      </c>
    </row>
    <row r="15563" spans="1:7" hidden="1" x14ac:dyDescent="0.25">
      <c r="A15563" s="28">
        <v>44805</v>
      </c>
      <c r="B15563" s="27" t="s">
        <v>200</v>
      </c>
      <c r="C15563" s="27" t="s">
        <v>54</v>
      </c>
      <c r="D15563" s="27" t="s">
        <v>7</v>
      </c>
      <c r="E15563" s="27" t="s">
        <v>74</v>
      </c>
      <c r="F15563" s="29"/>
      <c r="G15563" s="30">
        <f t="shared" si="268"/>
        <v>61.391785714285717</v>
      </c>
    </row>
    <row r="15564" spans="1:7" hidden="1" x14ac:dyDescent="0.25">
      <c r="A15564" s="28">
        <v>44805</v>
      </c>
      <c r="B15564" s="27" t="s">
        <v>200</v>
      </c>
      <c r="C15564" s="27" t="s">
        <v>55</v>
      </c>
      <c r="D15564" s="27" t="s">
        <v>6</v>
      </c>
      <c r="E15564" s="27" t="s">
        <v>8</v>
      </c>
      <c r="F15564" s="29"/>
      <c r="G15564" s="30">
        <f t="shared" ref="G15564:G15587" si="269">30047.0501333333/24</f>
        <v>1251.9604222222208</v>
      </c>
    </row>
    <row r="15565" spans="1:7" hidden="1" x14ac:dyDescent="0.25">
      <c r="A15565" s="28">
        <v>44805</v>
      </c>
      <c r="B15565" s="27" t="s">
        <v>200</v>
      </c>
      <c r="C15565" s="27" t="s">
        <v>55</v>
      </c>
      <c r="D15565" s="27" t="s">
        <v>6</v>
      </c>
      <c r="E15565" s="27" t="s">
        <v>9</v>
      </c>
      <c r="F15565" s="29"/>
      <c r="G15565" s="30">
        <f t="shared" si="269"/>
        <v>1251.9604222222208</v>
      </c>
    </row>
    <row r="15566" spans="1:7" hidden="1" x14ac:dyDescent="0.25">
      <c r="A15566" s="28">
        <v>44805</v>
      </c>
      <c r="B15566" s="27" t="s">
        <v>200</v>
      </c>
      <c r="C15566" s="27" t="s">
        <v>55</v>
      </c>
      <c r="D15566" s="27" t="s">
        <v>6</v>
      </c>
      <c r="E15566" s="27" t="s">
        <v>22</v>
      </c>
      <c r="F15566" s="29"/>
      <c r="G15566" s="30">
        <f t="shared" si="269"/>
        <v>1251.9604222222208</v>
      </c>
    </row>
    <row r="15567" spans="1:7" hidden="1" x14ac:dyDescent="0.25">
      <c r="A15567" s="28">
        <v>44805</v>
      </c>
      <c r="B15567" s="27" t="s">
        <v>200</v>
      </c>
      <c r="C15567" s="27" t="s">
        <v>55</v>
      </c>
      <c r="D15567" s="27" t="s">
        <v>6</v>
      </c>
      <c r="E15567" s="27" t="s">
        <v>39</v>
      </c>
      <c r="F15567" s="29"/>
      <c r="G15567" s="30">
        <f t="shared" si="269"/>
        <v>1251.9604222222208</v>
      </c>
    </row>
    <row r="15568" spans="1:7" hidden="1" x14ac:dyDescent="0.25">
      <c r="A15568" s="28">
        <v>44805</v>
      </c>
      <c r="B15568" s="27" t="s">
        <v>200</v>
      </c>
      <c r="C15568" s="27" t="s">
        <v>55</v>
      </c>
      <c r="D15568" s="27" t="s">
        <v>6</v>
      </c>
      <c r="E15568" s="27" t="s">
        <v>64</v>
      </c>
      <c r="F15568" s="29"/>
      <c r="G15568" s="30">
        <f t="shared" si="269"/>
        <v>1251.9604222222208</v>
      </c>
    </row>
    <row r="15569" spans="1:7" hidden="1" x14ac:dyDescent="0.25">
      <c r="A15569" s="28">
        <v>44805</v>
      </c>
      <c r="B15569" s="27" t="s">
        <v>200</v>
      </c>
      <c r="C15569" s="27" t="s">
        <v>55</v>
      </c>
      <c r="D15569" s="27" t="s">
        <v>6</v>
      </c>
      <c r="E15569" s="27" t="s">
        <v>21</v>
      </c>
      <c r="F15569" s="29"/>
      <c r="G15569" s="30">
        <f t="shared" si="269"/>
        <v>1251.9604222222208</v>
      </c>
    </row>
    <row r="15570" spans="1:7" hidden="1" x14ac:dyDescent="0.25">
      <c r="A15570" s="28">
        <v>44805</v>
      </c>
      <c r="B15570" s="27" t="s">
        <v>200</v>
      </c>
      <c r="C15570" s="27" t="s">
        <v>55</v>
      </c>
      <c r="D15570" s="27" t="s">
        <v>6</v>
      </c>
      <c r="E15570" s="27" t="s">
        <v>41</v>
      </c>
      <c r="F15570" s="29"/>
      <c r="G15570" s="30">
        <f t="shared" si="269"/>
        <v>1251.9604222222208</v>
      </c>
    </row>
    <row r="15571" spans="1:7" hidden="1" x14ac:dyDescent="0.25">
      <c r="A15571" s="28">
        <v>44805</v>
      </c>
      <c r="B15571" s="27" t="s">
        <v>200</v>
      </c>
      <c r="C15571" s="27" t="s">
        <v>55</v>
      </c>
      <c r="D15571" s="27" t="s">
        <v>6</v>
      </c>
      <c r="E15571" s="27" t="s">
        <v>10</v>
      </c>
      <c r="F15571" s="29"/>
      <c r="G15571" s="30">
        <f t="shared" si="269"/>
        <v>1251.9604222222208</v>
      </c>
    </row>
    <row r="15572" spans="1:7" hidden="1" x14ac:dyDescent="0.25">
      <c r="A15572" s="28">
        <v>44805</v>
      </c>
      <c r="B15572" s="27" t="s">
        <v>200</v>
      </c>
      <c r="C15572" s="27" t="s">
        <v>55</v>
      </c>
      <c r="D15572" s="27" t="s">
        <v>6</v>
      </c>
      <c r="E15572" s="27" t="s">
        <v>11</v>
      </c>
      <c r="F15572" s="29"/>
      <c r="G15572" s="30">
        <f t="shared" si="269"/>
        <v>1251.9604222222208</v>
      </c>
    </row>
    <row r="15573" spans="1:7" hidden="1" x14ac:dyDescent="0.25">
      <c r="A15573" s="28">
        <v>44805</v>
      </c>
      <c r="B15573" s="27" t="s">
        <v>200</v>
      </c>
      <c r="C15573" s="27" t="s">
        <v>55</v>
      </c>
      <c r="D15573" s="27" t="s">
        <v>6</v>
      </c>
      <c r="E15573" s="27" t="s">
        <v>12</v>
      </c>
      <c r="F15573" s="29"/>
      <c r="G15573" s="30">
        <f t="shared" si="269"/>
        <v>1251.9604222222208</v>
      </c>
    </row>
    <row r="15574" spans="1:7" hidden="1" x14ac:dyDescent="0.25">
      <c r="A15574" s="28">
        <v>44805</v>
      </c>
      <c r="B15574" s="27" t="s">
        <v>200</v>
      </c>
      <c r="C15574" s="27" t="s">
        <v>55</v>
      </c>
      <c r="D15574" s="27" t="s">
        <v>6</v>
      </c>
      <c r="E15574" s="27" t="s">
        <v>13</v>
      </c>
      <c r="F15574" s="29"/>
      <c r="G15574" s="30">
        <f t="shared" si="269"/>
        <v>1251.9604222222208</v>
      </c>
    </row>
    <row r="15575" spans="1:7" hidden="1" x14ac:dyDescent="0.25">
      <c r="A15575" s="28">
        <v>44805</v>
      </c>
      <c r="B15575" s="27" t="s">
        <v>200</v>
      </c>
      <c r="C15575" s="27" t="s">
        <v>55</v>
      </c>
      <c r="D15575" s="27" t="s">
        <v>6</v>
      </c>
      <c r="E15575" s="27" t="s">
        <v>14</v>
      </c>
      <c r="F15575" s="29"/>
      <c r="G15575" s="30">
        <f t="shared" si="269"/>
        <v>1251.9604222222208</v>
      </c>
    </row>
    <row r="15576" spans="1:7" hidden="1" x14ac:dyDescent="0.25">
      <c r="A15576" s="28">
        <v>44805</v>
      </c>
      <c r="B15576" s="27" t="s">
        <v>200</v>
      </c>
      <c r="C15576" s="27" t="s">
        <v>55</v>
      </c>
      <c r="D15576" s="27" t="s">
        <v>6</v>
      </c>
      <c r="E15576" s="27" t="s">
        <v>15</v>
      </c>
      <c r="F15576" s="29"/>
      <c r="G15576" s="30">
        <f t="shared" si="269"/>
        <v>1251.9604222222208</v>
      </c>
    </row>
    <row r="15577" spans="1:7" hidden="1" x14ac:dyDescent="0.25">
      <c r="A15577" s="28">
        <v>44805</v>
      </c>
      <c r="B15577" s="27" t="s">
        <v>200</v>
      </c>
      <c r="C15577" s="27" t="s">
        <v>55</v>
      </c>
      <c r="D15577" s="27" t="s">
        <v>6</v>
      </c>
      <c r="E15577" s="27" t="s">
        <v>16</v>
      </c>
      <c r="F15577" s="29"/>
      <c r="G15577" s="30">
        <f t="shared" si="269"/>
        <v>1251.9604222222208</v>
      </c>
    </row>
    <row r="15578" spans="1:7" hidden="1" x14ac:dyDescent="0.25">
      <c r="A15578" s="28">
        <v>44805</v>
      </c>
      <c r="B15578" s="27" t="s">
        <v>200</v>
      </c>
      <c r="C15578" s="27" t="s">
        <v>55</v>
      </c>
      <c r="D15578" s="27" t="s">
        <v>6</v>
      </c>
      <c r="E15578" s="27" t="s">
        <v>17</v>
      </c>
      <c r="F15578" s="29"/>
      <c r="G15578" s="30">
        <f t="shared" si="269"/>
        <v>1251.9604222222208</v>
      </c>
    </row>
    <row r="15579" spans="1:7" hidden="1" x14ac:dyDescent="0.25">
      <c r="A15579" s="28">
        <v>44805</v>
      </c>
      <c r="B15579" s="27" t="s">
        <v>200</v>
      </c>
      <c r="C15579" s="27" t="s">
        <v>55</v>
      </c>
      <c r="D15579" s="27" t="s">
        <v>6</v>
      </c>
      <c r="E15579" s="27" t="s">
        <v>18</v>
      </c>
      <c r="F15579" s="29"/>
      <c r="G15579" s="30">
        <f t="shared" si="269"/>
        <v>1251.9604222222208</v>
      </c>
    </row>
    <row r="15580" spans="1:7" hidden="1" x14ac:dyDescent="0.25">
      <c r="A15580" s="28">
        <v>44805</v>
      </c>
      <c r="B15580" s="27" t="s">
        <v>200</v>
      </c>
      <c r="C15580" s="27" t="s">
        <v>55</v>
      </c>
      <c r="D15580" s="27" t="s">
        <v>6</v>
      </c>
      <c r="E15580" s="27" t="s">
        <v>19</v>
      </c>
      <c r="F15580" s="29"/>
      <c r="G15580" s="30">
        <f t="shared" si="269"/>
        <v>1251.9604222222208</v>
      </c>
    </row>
    <row r="15581" spans="1:7" hidden="1" x14ac:dyDescent="0.25">
      <c r="A15581" s="28">
        <v>44805</v>
      </c>
      <c r="B15581" s="27" t="s">
        <v>200</v>
      </c>
      <c r="C15581" s="27" t="s">
        <v>55</v>
      </c>
      <c r="D15581" s="27" t="s">
        <v>6</v>
      </c>
      <c r="E15581" s="27" t="s">
        <v>20</v>
      </c>
      <c r="F15581" s="29"/>
      <c r="G15581" s="30">
        <f t="shared" si="269"/>
        <v>1251.9604222222208</v>
      </c>
    </row>
    <row r="15582" spans="1:7" hidden="1" x14ac:dyDescent="0.25">
      <c r="A15582" s="28">
        <v>44805</v>
      </c>
      <c r="B15582" s="27" t="s">
        <v>200</v>
      </c>
      <c r="C15582" s="27" t="s">
        <v>55</v>
      </c>
      <c r="D15582" s="27" t="s">
        <v>6</v>
      </c>
      <c r="E15582" s="27" t="s">
        <v>38</v>
      </c>
      <c r="F15582" s="29"/>
      <c r="G15582" s="30">
        <f t="shared" si="269"/>
        <v>1251.9604222222208</v>
      </c>
    </row>
    <row r="15583" spans="1:7" hidden="1" x14ac:dyDescent="0.25">
      <c r="A15583" s="28">
        <v>44805</v>
      </c>
      <c r="B15583" s="27" t="s">
        <v>200</v>
      </c>
      <c r="C15583" s="27" t="s">
        <v>55</v>
      </c>
      <c r="D15583" s="27" t="s">
        <v>6</v>
      </c>
      <c r="E15583" s="27" t="s">
        <v>23</v>
      </c>
      <c r="F15583" s="29"/>
      <c r="G15583" s="30">
        <f t="shared" si="269"/>
        <v>1251.9604222222208</v>
      </c>
    </row>
    <row r="15584" spans="1:7" hidden="1" x14ac:dyDescent="0.25">
      <c r="A15584" s="28">
        <v>44805</v>
      </c>
      <c r="B15584" s="27" t="s">
        <v>200</v>
      </c>
      <c r="C15584" s="27" t="s">
        <v>55</v>
      </c>
      <c r="D15584" s="27" t="s">
        <v>6</v>
      </c>
      <c r="E15584" s="27" t="s">
        <v>40</v>
      </c>
      <c r="F15584" s="29"/>
      <c r="G15584" s="30">
        <f t="shared" si="269"/>
        <v>1251.9604222222208</v>
      </c>
    </row>
    <row r="15585" spans="1:7" hidden="1" x14ac:dyDescent="0.25">
      <c r="A15585" s="28">
        <v>44805</v>
      </c>
      <c r="B15585" s="27" t="s">
        <v>200</v>
      </c>
      <c r="C15585" s="27" t="s">
        <v>55</v>
      </c>
      <c r="D15585" s="27" t="s">
        <v>6</v>
      </c>
      <c r="E15585" s="27" t="s">
        <v>42</v>
      </c>
      <c r="F15585" s="29"/>
      <c r="G15585" s="30">
        <f t="shared" si="269"/>
        <v>1251.9604222222208</v>
      </c>
    </row>
    <row r="15586" spans="1:7" hidden="1" x14ac:dyDescent="0.25">
      <c r="A15586" s="28">
        <v>44805</v>
      </c>
      <c r="B15586" s="27" t="s">
        <v>200</v>
      </c>
      <c r="C15586" s="27" t="s">
        <v>55</v>
      </c>
      <c r="D15586" s="27" t="s">
        <v>6</v>
      </c>
      <c r="E15586" s="27" t="s">
        <v>72</v>
      </c>
      <c r="F15586" s="29"/>
      <c r="G15586" s="30">
        <f t="shared" si="269"/>
        <v>1251.9604222222208</v>
      </c>
    </row>
    <row r="15587" spans="1:7" hidden="1" x14ac:dyDescent="0.25">
      <c r="A15587" s="28">
        <v>44805</v>
      </c>
      <c r="B15587" s="27" t="s">
        <v>200</v>
      </c>
      <c r="C15587" s="27" t="s">
        <v>55</v>
      </c>
      <c r="D15587" s="27" t="s">
        <v>6</v>
      </c>
      <c r="E15587" s="27" t="s">
        <v>12</v>
      </c>
      <c r="F15587" s="29"/>
      <c r="G15587" s="30">
        <f t="shared" si="269"/>
        <v>1251.9604222222208</v>
      </c>
    </row>
    <row r="15588" spans="1:7" hidden="1" x14ac:dyDescent="0.25">
      <c r="A15588" s="28">
        <v>44805</v>
      </c>
      <c r="B15588" s="27" t="s">
        <v>200</v>
      </c>
      <c r="C15588" s="27" t="s">
        <v>183</v>
      </c>
      <c r="D15588" s="27" t="s">
        <v>7</v>
      </c>
      <c r="E15588" s="27" t="s">
        <v>8</v>
      </c>
      <c r="F15588" s="29"/>
      <c r="G15588" s="30">
        <f t="shared" ref="G15588:G15615" si="270">7923.89/28</f>
        <v>282.99607142857144</v>
      </c>
    </row>
    <row r="15589" spans="1:7" hidden="1" x14ac:dyDescent="0.25">
      <c r="A15589" s="28">
        <v>44805</v>
      </c>
      <c r="B15589" s="27" t="s">
        <v>200</v>
      </c>
      <c r="C15589" s="27" t="s">
        <v>183</v>
      </c>
      <c r="D15589" s="27" t="s">
        <v>7</v>
      </c>
      <c r="E15589" s="27" t="s">
        <v>9</v>
      </c>
      <c r="F15589" s="29"/>
      <c r="G15589" s="30">
        <f t="shared" si="270"/>
        <v>282.99607142857144</v>
      </c>
    </row>
    <row r="15590" spans="1:7" hidden="1" x14ac:dyDescent="0.25">
      <c r="A15590" s="28">
        <v>44805</v>
      </c>
      <c r="B15590" s="27" t="s">
        <v>200</v>
      </c>
      <c r="C15590" s="27" t="s">
        <v>183</v>
      </c>
      <c r="D15590" s="27" t="s">
        <v>7</v>
      </c>
      <c r="E15590" s="27" t="s">
        <v>22</v>
      </c>
      <c r="F15590" s="29"/>
      <c r="G15590" s="30">
        <f t="shared" si="270"/>
        <v>282.99607142857144</v>
      </c>
    </row>
    <row r="15591" spans="1:7" hidden="1" x14ac:dyDescent="0.25">
      <c r="A15591" s="28">
        <v>44805</v>
      </c>
      <c r="B15591" s="27" t="s">
        <v>200</v>
      </c>
      <c r="C15591" s="27" t="s">
        <v>183</v>
      </c>
      <c r="D15591" s="27" t="s">
        <v>7</v>
      </c>
      <c r="E15591" s="27" t="s">
        <v>39</v>
      </c>
      <c r="F15591" s="29"/>
      <c r="G15591" s="30">
        <f t="shared" si="270"/>
        <v>282.99607142857144</v>
      </c>
    </row>
    <row r="15592" spans="1:7" hidden="1" x14ac:dyDescent="0.25">
      <c r="A15592" s="28">
        <v>44805</v>
      </c>
      <c r="B15592" s="27" t="s">
        <v>200</v>
      </c>
      <c r="C15592" s="27" t="s">
        <v>183</v>
      </c>
      <c r="D15592" s="27" t="s">
        <v>7</v>
      </c>
      <c r="E15592" s="27" t="s">
        <v>64</v>
      </c>
      <c r="F15592" s="29"/>
      <c r="G15592" s="30">
        <f t="shared" si="270"/>
        <v>282.99607142857144</v>
      </c>
    </row>
    <row r="15593" spans="1:7" hidden="1" x14ac:dyDescent="0.25">
      <c r="A15593" s="28">
        <v>44805</v>
      </c>
      <c r="B15593" s="27" t="s">
        <v>200</v>
      </c>
      <c r="C15593" s="27" t="s">
        <v>183</v>
      </c>
      <c r="D15593" s="27" t="s">
        <v>7</v>
      </c>
      <c r="E15593" s="27" t="s">
        <v>21</v>
      </c>
      <c r="F15593" s="29"/>
      <c r="G15593" s="30">
        <f t="shared" si="270"/>
        <v>282.99607142857144</v>
      </c>
    </row>
    <row r="15594" spans="1:7" hidden="1" x14ac:dyDescent="0.25">
      <c r="A15594" s="28">
        <v>44805</v>
      </c>
      <c r="B15594" s="27" t="s">
        <v>200</v>
      </c>
      <c r="C15594" s="27" t="s">
        <v>183</v>
      </c>
      <c r="D15594" s="27" t="s">
        <v>7</v>
      </c>
      <c r="E15594" s="27" t="s">
        <v>41</v>
      </c>
      <c r="F15594" s="29"/>
      <c r="G15594" s="30">
        <f t="shared" si="270"/>
        <v>282.99607142857144</v>
      </c>
    </row>
    <row r="15595" spans="1:7" hidden="1" x14ac:dyDescent="0.25">
      <c r="A15595" s="28">
        <v>44805</v>
      </c>
      <c r="B15595" s="27" t="s">
        <v>200</v>
      </c>
      <c r="C15595" s="27" t="s">
        <v>183</v>
      </c>
      <c r="D15595" s="27" t="s">
        <v>7</v>
      </c>
      <c r="E15595" s="27" t="s">
        <v>10</v>
      </c>
      <c r="F15595" s="29"/>
      <c r="G15595" s="30">
        <f t="shared" si="270"/>
        <v>282.99607142857144</v>
      </c>
    </row>
    <row r="15596" spans="1:7" hidden="1" x14ac:dyDescent="0.25">
      <c r="A15596" s="28">
        <v>44805</v>
      </c>
      <c r="B15596" s="27" t="s">
        <v>200</v>
      </c>
      <c r="C15596" s="27" t="s">
        <v>183</v>
      </c>
      <c r="D15596" s="27" t="s">
        <v>7</v>
      </c>
      <c r="E15596" s="27" t="s">
        <v>11</v>
      </c>
      <c r="F15596" s="29"/>
      <c r="G15596" s="30">
        <f t="shared" si="270"/>
        <v>282.99607142857144</v>
      </c>
    </row>
    <row r="15597" spans="1:7" hidden="1" x14ac:dyDescent="0.25">
      <c r="A15597" s="28">
        <v>44805</v>
      </c>
      <c r="B15597" s="27" t="s">
        <v>200</v>
      </c>
      <c r="C15597" s="27" t="s">
        <v>183</v>
      </c>
      <c r="D15597" s="27" t="s">
        <v>7</v>
      </c>
      <c r="E15597" s="27" t="s">
        <v>12</v>
      </c>
      <c r="F15597" s="29"/>
      <c r="G15597" s="30">
        <f t="shared" si="270"/>
        <v>282.99607142857144</v>
      </c>
    </row>
    <row r="15598" spans="1:7" hidden="1" x14ac:dyDescent="0.25">
      <c r="A15598" s="28">
        <v>44805</v>
      </c>
      <c r="B15598" s="27" t="s">
        <v>200</v>
      </c>
      <c r="C15598" s="27" t="s">
        <v>183</v>
      </c>
      <c r="D15598" s="27" t="s">
        <v>7</v>
      </c>
      <c r="E15598" s="27" t="s">
        <v>13</v>
      </c>
      <c r="F15598" s="29"/>
      <c r="G15598" s="30">
        <f t="shared" si="270"/>
        <v>282.99607142857144</v>
      </c>
    </row>
    <row r="15599" spans="1:7" hidden="1" x14ac:dyDescent="0.25">
      <c r="A15599" s="28">
        <v>44805</v>
      </c>
      <c r="B15599" s="27" t="s">
        <v>200</v>
      </c>
      <c r="C15599" s="27" t="s">
        <v>183</v>
      </c>
      <c r="D15599" s="27" t="s">
        <v>7</v>
      </c>
      <c r="E15599" s="27" t="s">
        <v>14</v>
      </c>
      <c r="F15599" s="29"/>
      <c r="G15599" s="30">
        <f t="shared" si="270"/>
        <v>282.99607142857144</v>
      </c>
    </row>
    <row r="15600" spans="1:7" hidden="1" x14ac:dyDescent="0.25">
      <c r="A15600" s="28">
        <v>44805</v>
      </c>
      <c r="B15600" s="27" t="s">
        <v>200</v>
      </c>
      <c r="C15600" s="27" t="s">
        <v>183</v>
      </c>
      <c r="D15600" s="27" t="s">
        <v>7</v>
      </c>
      <c r="E15600" s="27" t="s">
        <v>15</v>
      </c>
      <c r="F15600" s="29"/>
      <c r="G15600" s="30">
        <f t="shared" si="270"/>
        <v>282.99607142857144</v>
      </c>
    </row>
    <row r="15601" spans="1:7" hidden="1" x14ac:dyDescent="0.25">
      <c r="A15601" s="28">
        <v>44805</v>
      </c>
      <c r="B15601" s="27" t="s">
        <v>200</v>
      </c>
      <c r="C15601" s="27" t="s">
        <v>183</v>
      </c>
      <c r="D15601" s="27" t="s">
        <v>7</v>
      </c>
      <c r="E15601" s="27" t="s">
        <v>16</v>
      </c>
      <c r="F15601" s="29"/>
      <c r="G15601" s="30">
        <f t="shared" si="270"/>
        <v>282.99607142857144</v>
      </c>
    </row>
    <row r="15602" spans="1:7" hidden="1" x14ac:dyDescent="0.25">
      <c r="A15602" s="28">
        <v>44805</v>
      </c>
      <c r="B15602" s="27" t="s">
        <v>200</v>
      </c>
      <c r="C15602" s="27" t="s">
        <v>183</v>
      </c>
      <c r="D15602" s="27" t="s">
        <v>7</v>
      </c>
      <c r="E15602" s="27" t="s">
        <v>17</v>
      </c>
      <c r="F15602" s="29"/>
      <c r="G15602" s="30">
        <f t="shared" si="270"/>
        <v>282.99607142857144</v>
      </c>
    </row>
    <row r="15603" spans="1:7" hidden="1" x14ac:dyDescent="0.25">
      <c r="A15603" s="28">
        <v>44805</v>
      </c>
      <c r="B15603" s="27" t="s">
        <v>200</v>
      </c>
      <c r="C15603" s="27" t="s">
        <v>183</v>
      </c>
      <c r="D15603" s="27" t="s">
        <v>7</v>
      </c>
      <c r="E15603" s="27" t="s">
        <v>18</v>
      </c>
      <c r="F15603" s="29"/>
      <c r="G15603" s="30">
        <f t="shared" si="270"/>
        <v>282.99607142857144</v>
      </c>
    </row>
    <row r="15604" spans="1:7" hidden="1" x14ac:dyDescent="0.25">
      <c r="A15604" s="28">
        <v>44805</v>
      </c>
      <c r="B15604" s="27" t="s">
        <v>200</v>
      </c>
      <c r="C15604" s="27" t="s">
        <v>183</v>
      </c>
      <c r="D15604" s="27" t="s">
        <v>7</v>
      </c>
      <c r="E15604" s="27" t="s">
        <v>19</v>
      </c>
      <c r="F15604" s="29"/>
      <c r="G15604" s="30">
        <f t="shared" si="270"/>
        <v>282.99607142857144</v>
      </c>
    </row>
    <row r="15605" spans="1:7" hidden="1" x14ac:dyDescent="0.25">
      <c r="A15605" s="28">
        <v>44805</v>
      </c>
      <c r="B15605" s="27" t="s">
        <v>200</v>
      </c>
      <c r="C15605" s="27" t="s">
        <v>183</v>
      </c>
      <c r="D15605" s="27" t="s">
        <v>7</v>
      </c>
      <c r="E15605" s="27" t="s">
        <v>20</v>
      </c>
      <c r="F15605" s="29"/>
      <c r="G15605" s="30">
        <f t="shared" si="270"/>
        <v>282.99607142857144</v>
      </c>
    </row>
    <row r="15606" spans="1:7" hidden="1" x14ac:dyDescent="0.25">
      <c r="A15606" s="28">
        <v>44805</v>
      </c>
      <c r="B15606" s="27" t="s">
        <v>200</v>
      </c>
      <c r="C15606" s="27" t="s">
        <v>183</v>
      </c>
      <c r="D15606" s="27" t="s">
        <v>7</v>
      </c>
      <c r="E15606" s="27" t="s">
        <v>38</v>
      </c>
      <c r="F15606" s="29"/>
      <c r="G15606" s="30">
        <f t="shared" si="270"/>
        <v>282.99607142857144</v>
      </c>
    </row>
    <row r="15607" spans="1:7" hidden="1" x14ac:dyDescent="0.25">
      <c r="A15607" s="28">
        <v>44805</v>
      </c>
      <c r="B15607" s="27" t="s">
        <v>200</v>
      </c>
      <c r="C15607" s="27" t="s">
        <v>183</v>
      </c>
      <c r="D15607" s="27" t="s">
        <v>7</v>
      </c>
      <c r="E15607" s="27" t="s">
        <v>23</v>
      </c>
      <c r="F15607" s="29"/>
      <c r="G15607" s="30">
        <f t="shared" si="270"/>
        <v>282.99607142857144</v>
      </c>
    </row>
    <row r="15608" spans="1:7" hidden="1" x14ac:dyDescent="0.25">
      <c r="A15608" s="28">
        <v>44805</v>
      </c>
      <c r="B15608" s="27" t="s">
        <v>200</v>
      </c>
      <c r="C15608" s="27" t="s">
        <v>183</v>
      </c>
      <c r="D15608" s="27" t="s">
        <v>7</v>
      </c>
      <c r="E15608" s="27" t="s">
        <v>40</v>
      </c>
      <c r="F15608" s="29"/>
      <c r="G15608" s="30">
        <f t="shared" si="270"/>
        <v>282.99607142857144</v>
      </c>
    </row>
    <row r="15609" spans="1:7" hidden="1" x14ac:dyDescent="0.25">
      <c r="A15609" s="28">
        <v>44805</v>
      </c>
      <c r="B15609" s="27" t="s">
        <v>200</v>
      </c>
      <c r="C15609" s="27" t="s">
        <v>183</v>
      </c>
      <c r="D15609" s="27" t="s">
        <v>7</v>
      </c>
      <c r="E15609" s="27" t="s">
        <v>42</v>
      </c>
      <c r="F15609" s="29"/>
      <c r="G15609" s="30">
        <f t="shared" si="270"/>
        <v>282.99607142857144</v>
      </c>
    </row>
    <row r="15610" spans="1:7" hidden="1" x14ac:dyDescent="0.25">
      <c r="A15610" s="28">
        <v>44805</v>
      </c>
      <c r="B15610" s="27" t="s">
        <v>200</v>
      </c>
      <c r="C15610" s="27" t="s">
        <v>183</v>
      </c>
      <c r="D15610" s="27" t="s">
        <v>7</v>
      </c>
      <c r="E15610" s="27" t="s">
        <v>43</v>
      </c>
      <c r="F15610" s="29"/>
      <c r="G15610" s="30">
        <f t="shared" si="270"/>
        <v>282.99607142857144</v>
      </c>
    </row>
    <row r="15611" spans="1:7" hidden="1" x14ac:dyDescent="0.25">
      <c r="A15611" s="28">
        <v>44805</v>
      </c>
      <c r="B15611" s="27" t="s">
        <v>200</v>
      </c>
      <c r="C15611" s="27" t="s">
        <v>183</v>
      </c>
      <c r="D15611" s="27" t="s">
        <v>7</v>
      </c>
      <c r="E15611" s="27" t="s">
        <v>72</v>
      </c>
      <c r="F15611" s="29"/>
      <c r="G15611" s="30">
        <f t="shared" si="270"/>
        <v>282.99607142857144</v>
      </c>
    </row>
    <row r="15612" spans="1:7" hidden="1" x14ac:dyDescent="0.25">
      <c r="A15612" s="28">
        <v>44805</v>
      </c>
      <c r="B15612" s="27" t="s">
        <v>200</v>
      </c>
      <c r="C15612" s="27" t="s">
        <v>183</v>
      </c>
      <c r="D15612" s="27" t="s">
        <v>7</v>
      </c>
      <c r="E15612" s="27" t="s">
        <v>206</v>
      </c>
      <c r="F15612" s="29"/>
      <c r="G15612" s="30">
        <f t="shared" si="270"/>
        <v>282.99607142857144</v>
      </c>
    </row>
    <row r="15613" spans="1:7" hidden="1" x14ac:dyDescent="0.25">
      <c r="A15613" s="28">
        <v>44805</v>
      </c>
      <c r="B15613" s="27" t="s">
        <v>200</v>
      </c>
      <c r="C15613" s="27" t="s">
        <v>183</v>
      </c>
      <c r="D15613" s="27" t="s">
        <v>7</v>
      </c>
      <c r="E15613" s="27" t="s">
        <v>67</v>
      </c>
      <c r="F15613" s="29"/>
      <c r="G15613" s="30">
        <f t="shared" si="270"/>
        <v>282.99607142857144</v>
      </c>
    </row>
    <row r="15614" spans="1:7" hidden="1" x14ac:dyDescent="0.25">
      <c r="A15614" s="28">
        <v>44805</v>
      </c>
      <c r="B15614" s="27" t="s">
        <v>200</v>
      </c>
      <c r="C15614" s="27" t="s">
        <v>183</v>
      </c>
      <c r="D15614" s="27" t="s">
        <v>7</v>
      </c>
      <c r="E15614" s="27" t="s">
        <v>68</v>
      </c>
      <c r="F15614" s="29"/>
      <c r="G15614" s="30">
        <f t="shared" si="270"/>
        <v>282.99607142857144</v>
      </c>
    </row>
    <row r="15615" spans="1:7" hidden="1" x14ac:dyDescent="0.25">
      <c r="A15615" s="28">
        <v>44805</v>
      </c>
      <c r="B15615" s="27" t="s">
        <v>200</v>
      </c>
      <c r="C15615" s="27" t="s">
        <v>183</v>
      </c>
      <c r="D15615" s="27" t="s">
        <v>7</v>
      </c>
      <c r="E15615" s="27" t="s">
        <v>74</v>
      </c>
      <c r="F15615" s="29"/>
      <c r="G15615" s="30">
        <f t="shared" si="270"/>
        <v>282.99607142857144</v>
      </c>
    </row>
    <row r="15616" spans="1:7" hidden="1" x14ac:dyDescent="0.25">
      <c r="A15616" s="28">
        <v>44805</v>
      </c>
      <c r="B15616" s="27" t="s">
        <v>200</v>
      </c>
      <c r="C15616" s="27" t="s">
        <v>56</v>
      </c>
      <c r="D15616" s="27" t="s">
        <v>6</v>
      </c>
      <c r="E15616" s="27" t="s">
        <v>8</v>
      </c>
      <c r="F15616" s="29"/>
      <c r="G15616" s="30">
        <f t="shared" ref="G15616:G15639" si="271">50515.5565333333/24</f>
        <v>2104.814855555554</v>
      </c>
    </row>
    <row r="15617" spans="1:7" hidden="1" x14ac:dyDescent="0.25">
      <c r="A15617" s="28">
        <v>44805</v>
      </c>
      <c r="B15617" s="27" t="s">
        <v>200</v>
      </c>
      <c r="C15617" s="27" t="s">
        <v>56</v>
      </c>
      <c r="D15617" s="27" t="s">
        <v>6</v>
      </c>
      <c r="E15617" s="27" t="s">
        <v>9</v>
      </c>
      <c r="F15617" s="29"/>
      <c r="G15617" s="30">
        <f t="shared" si="271"/>
        <v>2104.814855555554</v>
      </c>
    </row>
    <row r="15618" spans="1:7" hidden="1" x14ac:dyDescent="0.25">
      <c r="A15618" s="28">
        <v>44805</v>
      </c>
      <c r="B15618" s="27" t="s">
        <v>200</v>
      </c>
      <c r="C15618" s="27" t="s">
        <v>56</v>
      </c>
      <c r="D15618" s="27" t="s">
        <v>6</v>
      </c>
      <c r="E15618" s="27" t="s">
        <v>22</v>
      </c>
      <c r="F15618" s="29"/>
      <c r="G15618" s="30">
        <f t="shared" si="271"/>
        <v>2104.814855555554</v>
      </c>
    </row>
    <row r="15619" spans="1:7" hidden="1" x14ac:dyDescent="0.25">
      <c r="A15619" s="28">
        <v>44805</v>
      </c>
      <c r="B15619" s="27" t="s">
        <v>200</v>
      </c>
      <c r="C15619" s="27" t="s">
        <v>56</v>
      </c>
      <c r="D15619" s="27" t="s">
        <v>6</v>
      </c>
      <c r="E15619" s="27" t="s">
        <v>39</v>
      </c>
      <c r="F15619" s="29"/>
      <c r="G15619" s="30">
        <f t="shared" si="271"/>
        <v>2104.814855555554</v>
      </c>
    </row>
    <row r="15620" spans="1:7" hidden="1" x14ac:dyDescent="0.25">
      <c r="A15620" s="28">
        <v>44805</v>
      </c>
      <c r="B15620" s="27" t="s">
        <v>200</v>
      </c>
      <c r="C15620" s="27" t="s">
        <v>56</v>
      </c>
      <c r="D15620" s="27" t="s">
        <v>6</v>
      </c>
      <c r="E15620" s="27" t="s">
        <v>64</v>
      </c>
      <c r="F15620" s="29"/>
      <c r="G15620" s="30">
        <f t="shared" si="271"/>
        <v>2104.814855555554</v>
      </c>
    </row>
    <row r="15621" spans="1:7" hidden="1" x14ac:dyDescent="0.25">
      <c r="A15621" s="28">
        <v>44805</v>
      </c>
      <c r="B15621" s="27" t="s">
        <v>200</v>
      </c>
      <c r="C15621" s="27" t="s">
        <v>56</v>
      </c>
      <c r="D15621" s="27" t="s">
        <v>6</v>
      </c>
      <c r="E15621" s="27" t="s">
        <v>21</v>
      </c>
      <c r="F15621" s="29"/>
      <c r="G15621" s="30">
        <f t="shared" si="271"/>
        <v>2104.814855555554</v>
      </c>
    </row>
    <row r="15622" spans="1:7" hidden="1" x14ac:dyDescent="0.25">
      <c r="A15622" s="28">
        <v>44805</v>
      </c>
      <c r="B15622" s="27" t="s">
        <v>200</v>
      </c>
      <c r="C15622" s="27" t="s">
        <v>56</v>
      </c>
      <c r="D15622" s="27" t="s">
        <v>6</v>
      </c>
      <c r="E15622" s="27" t="s">
        <v>41</v>
      </c>
      <c r="F15622" s="29"/>
      <c r="G15622" s="30">
        <f t="shared" si="271"/>
        <v>2104.814855555554</v>
      </c>
    </row>
    <row r="15623" spans="1:7" hidden="1" x14ac:dyDescent="0.25">
      <c r="A15623" s="28">
        <v>44805</v>
      </c>
      <c r="B15623" s="27" t="s">
        <v>200</v>
      </c>
      <c r="C15623" s="27" t="s">
        <v>56</v>
      </c>
      <c r="D15623" s="27" t="s">
        <v>6</v>
      </c>
      <c r="E15623" s="27" t="s">
        <v>10</v>
      </c>
      <c r="F15623" s="29"/>
      <c r="G15623" s="30">
        <f t="shared" si="271"/>
        <v>2104.814855555554</v>
      </c>
    </row>
    <row r="15624" spans="1:7" hidden="1" x14ac:dyDescent="0.25">
      <c r="A15624" s="28">
        <v>44805</v>
      </c>
      <c r="B15624" s="27" t="s">
        <v>200</v>
      </c>
      <c r="C15624" s="27" t="s">
        <v>56</v>
      </c>
      <c r="D15624" s="27" t="s">
        <v>6</v>
      </c>
      <c r="E15624" s="27" t="s">
        <v>11</v>
      </c>
      <c r="F15624" s="29"/>
      <c r="G15624" s="30">
        <f t="shared" si="271"/>
        <v>2104.814855555554</v>
      </c>
    </row>
    <row r="15625" spans="1:7" hidden="1" x14ac:dyDescent="0.25">
      <c r="A15625" s="28">
        <v>44805</v>
      </c>
      <c r="B15625" s="27" t="s">
        <v>200</v>
      </c>
      <c r="C15625" s="27" t="s">
        <v>56</v>
      </c>
      <c r="D15625" s="27" t="s">
        <v>6</v>
      </c>
      <c r="E15625" s="27" t="s">
        <v>12</v>
      </c>
      <c r="F15625" s="29"/>
      <c r="G15625" s="30">
        <f t="shared" si="271"/>
        <v>2104.814855555554</v>
      </c>
    </row>
    <row r="15626" spans="1:7" hidden="1" x14ac:dyDescent="0.25">
      <c r="A15626" s="28">
        <v>44805</v>
      </c>
      <c r="B15626" s="27" t="s">
        <v>200</v>
      </c>
      <c r="C15626" s="27" t="s">
        <v>56</v>
      </c>
      <c r="D15626" s="27" t="s">
        <v>6</v>
      </c>
      <c r="E15626" s="27" t="s">
        <v>13</v>
      </c>
      <c r="F15626" s="29"/>
      <c r="G15626" s="30">
        <f t="shared" si="271"/>
        <v>2104.814855555554</v>
      </c>
    </row>
    <row r="15627" spans="1:7" hidden="1" x14ac:dyDescent="0.25">
      <c r="A15627" s="28">
        <v>44805</v>
      </c>
      <c r="B15627" s="27" t="s">
        <v>200</v>
      </c>
      <c r="C15627" s="27" t="s">
        <v>56</v>
      </c>
      <c r="D15627" s="27" t="s">
        <v>6</v>
      </c>
      <c r="E15627" s="27" t="s">
        <v>14</v>
      </c>
      <c r="F15627" s="29"/>
      <c r="G15627" s="30">
        <f t="shared" si="271"/>
        <v>2104.814855555554</v>
      </c>
    </row>
    <row r="15628" spans="1:7" hidden="1" x14ac:dyDescent="0.25">
      <c r="A15628" s="28">
        <v>44805</v>
      </c>
      <c r="B15628" s="27" t="s">
        <v>200</v>
      </c>
      <c r="C15628" s="27" t="s">
        <v>56</v>
      </c>
      <c r="D15628" s="27" t="s">
        <v>6</v>
      </c>
      <c r="E15628" s="27" t="s">
        <v>15</v>
      </c>
      <c r="F15628" s="29"/>
      <c r="G15628" s="30">
        <f t="shared" si="271"/>
        <v>2104.814855555554</v>
      </c>
    </row>
    <row r="15629" spans="1:7" hidden="1" x14ac:dyDescent="0.25">
      <c r="A15629" s="28">
        <v>44805</v>
      </c>
      <c r="B15629" s="27" t="s">
        <v>200</v>
      </c>
      <c r="C15629" s="27" t="s">
        <v>56</v>
      </c>
      <c r="D15629" s="27" t="s">
        <v>6</v>
      </c>
      <c r="E15629" s="27" t="s">
        <v>16</v>
      </c>
      <c r="F15629" s="29"/>
      <c r="G15629" s="30">
        <f t="shared" si="271"/>
        <v>2104.814855555554</v>
      </c>
    </row>
    <row r="15630" spans="1:7" hidden="1" x14ac:dyDescent="0.25">
      <c r="A15630" s="28">
        <v>44805</v>
      </c>
      <c r="B15630" s="27" t="s">
        <v>200</v>
      </c>
      <c r="C15630" s="27" t="s">
        <v>56</v>
      </c>
      <c r="D15630" s="27" t="s">
        <v>6</v>
      </c>
      <c r="E15630" s="27" t="s">
        <v>17</v>
      </c>
      <c r="F15630" s="29"/>
      <c r="G15630" s="30">
        <f t="shared" si="271"/>
        <v>2104.814855555554</v>
      </c>
    </row>
    <row r="15631" spans="1:7" hidden="1" x14ac:dyDescent="0.25">
      <c r="A15631" s="28">
        <v>44805</v>
      </c>
      <c r="B15631" s="27" t="s">
        <v>200</v>
      </c>
      <c r="C15631" s="27" t="s">
        <v>56</v>
      </c>
      <c r="D15631" s="27" t="s">
        <v>6</v>
      </c>
      <c r="E15631" s="27" t="s">
        <v>18</v>
      </c>
      <c r="F15631" s="29"/>
      <c r="G15631" s="30">
        <f t="shared" si="271"/>
        <v>2104.814855555554</v>
      </c>
    </row>
    <row r="15632" spans="1:7" hidden="1" x14ac:dyDescent="0.25">
      <c r="A15632" s="28">
        <v>44805</v>
      </c>
      <c r="B15632" s="27" t="s">
        <v>200</v>
      </c>
      <c r="C15632" s="27" t="s">
        <v>56</v>
      </c>
      <c r="D15632" s="27" t="s">
        <v>6</v>
      </c>
      <c r="E15632" s="27" t="s">
        <v>19</v>
      </c>
      <c r="F15632" s="29"/>
      <c r="G15632" s="30">
        <f t="shared" si="271"/>
        <v>2104.814855555554</v>
      </c>
    </row>
    <row r="15633" spans="1:7" hidden="1" x14ac:dyDescent="0.25">
      <c r="A15633" s="28">
        <v>44805</v>
      </c>
      <c r="B15633" s="27" t="s">
        <v>200</v>
      </c>
      <c r="C15633" s="27" t="s">
        <v>56</v>
      </c>
      <c r="D15633" s="27" t="s">
        <v>6</v>
      </c>
      <c r="E15633" s="27" t="s">
        <v>20</v>
      </c>
      <c r="F15633" s="29"/>
      <c r="G15633" s="30">
        <f t="shared" si="271"/>
        <v>2104.814855555554</v>
      </c>
    </row>
    <row r="15634" spans="1:7" hidden="1" x14ac:dyDescent="0.25">
      <c r="A15634" s="28">
        <v>44805</v>
      </c>
      <c r="B15634" s="27" t="s">
        <v>200</v>
      </c>
      <c r="C15634" s="27" t="s">
        <v>56</v>
      </c>
      <c r="D15634" s="27" t="s">
        <v>6</v>
      </c>
      <c r="E15634" s="27" t="s">
        <v>38</v>
      </c>
      <c r="F15634" s="29"/>
      <c r="G15634" s="30">
        <f t="shared" si="271"/>
        <v>2104.814855555554</v>
      </c>
    </row>
    <row r="15635" spans="1:7" hidden="1" x14ac:dyDescent="0.25">
      <c r="A15635" s="28">
        <v>44805</v>
      </c>
      <c r="B15635" s="27" t="s">
        <v>200</v>
      </c>
      <c r="C15635" s="27" t="s">
        <v>56</v>
      </c>
      <c r="D15635" s="27" t="s">
        <v>6</v>
      </c>
      <c r="E15635" s="27" t="s">
        <v>23</v>
      </c>
      <c r="F15635" s="29"/>
      <c r="G15635" s="30">
        <f t="shared" si="271"/>
        <v>2104.814855555554</v>
      </c>
    </row>
    <row r="15636" spans="1:7" hidden="1" x14ac:dyDescent="0.25">
      <c r="A15636" s="28">
        <v>44805</v>
      </c>
      <c r="B15636" s="27" t="s">
        <v>200</v>
      </c>
      <c r="C15636" s="27" t="s">
        <v>56</v>
      </c>
      <c r="D15636" s="27" t="s">
        <v>6</v>
      </c>
      <c r="E15636" s="27" t="s">
        <v>40</v>
      </c>
      <c r="F15636" s="29"/>
      <c r="G15636" s="30">
        <f t="shared" si="271"/>
        <v>2104.814855555554</v>
      </c>
    </row>
    <row r="15637" spans="1:7" hidden="1" x14ac:dyDescent="0.25">
      <c r="A15637" s="28">
        <v>44805</v>
      </c>
      <c r="B15637" s="27" t="s">
        <v>200</v>
      </c>
      <c r="C15637" s="27" t="s">
        <v>56</v>
      </c>
      <c r="D15637" s="27" t="s">
        <v>6</v>
      </c>
      <c r="E15637" s="27" t="s">
        <v>42</v>
      </c>
      <c r="F15637" s="29"/>
      <c r="G15637" s="30">
        <f t="shared" si="271"/>
        <v>2104.814855555554</v>
      </c>
    </row>
    <row r="15638" spans="1:7" hidden="1" x14ac:dyDescent="0.25">
      <c r="A15638" s="28">
        <v>44805</v>
      </c>
      <c r="B15638" s="27" t="s">
        <v>200</v>
      </c>
      <c r="C15638" s="27" t="s">
        <v>56</v>
      </c>
      <c r="D15638" s="27" t="s">
        <v>6</v>
      </c>
      <c r="E15638" s="27" t="s">
        <v>72</v>
      </c>
      <c r="F15638" s="29"/>
      <c r="G15638" s="30">
        <f t="shared" si="271"/>
        <v>2104.814855555554</v>
      </c>
    </row>
    <row r="15639" spans="1:7" hidden="1" x14ac:dyDescent="0.25">
      <c r="A15639" s="28">
        <v>44805</v>
      </c>
      <c r="B15639" s="27" t="s">
        <v>200</v>
      </c>
      <c r="C15639" s="27" t="s">
        <v>56</v>
      </c>
      <c r="D15639" s="27" t="s">
        <v>6</v>
      </c>
      <c r="E15639" s="27" t="s">
        <v>12</v>
      </c>
      <c r="F15639" s="29"/>
      <c r="G15639" s="30">
        <f t="shared" si="271"/>
        <v>2104.814855555554</v>
      </c>
    </row>
    <row r="15640" spans="1:7" hidden="1" x14ac:dyDescent="0.25">
      <c r="A15640" s="28">
        <v>44805</v>
      </c>
      <c r="B15640" s="27" t="s">
        <v>200</v>
      </c>
      <c r="C15640" s="27" t="s">
        <v>182</v>
      </c>
      <c r="D15640" s="27" t="s">
        <v>7</v>
      </c>
      <c r="E15640" s="27" t="s">
        <v>8</v>
      </c>
      <c r="F15640" s="29"/>
      <c r="G15640" s="30">
        <f t="shared" ref="G15640:G15664" si="272">9594.87/25</f>
        <v>383.79480000000001</v>
      </c>
    </row>
    <row r="15641" spans="1:7" hidden="1" x14ac:dyDescent="0.25">
      <c r="A15641" s="28">
        <v>44805</v>
      </c>
      <c r="B15641" s="27" t="s">
        <v>200</v>
      </c>
      <c r="C15641" s="27" t="s">
        <v>182</v>
      </c>
      <c r="D15641" s="27" t="s">
        <v>7</v>
      </c>
      <c r="E15641" s="27" t="s">
        <v>9</v>
      </c>
      <c r="F15641" s="29"/>
      <c r="G15641" s="30">
        <f t="shared" si="272"/>
        <v>383.79480000000001</v>
      </c>
    </row>
    <row r="15642" spans="1:7" hidden="1" x14ac:dyDescent="0.25">
      <c r="A15642" s="28">
        <v>44805</v>
      </c>
      <c r="B15642" s="27" t="s">
        <v>200</v>
      </c>
      <c r="C15642" s="27" t="s">
        <v>182</v>
      </c>
      <c r="D15642" s="27" t="s">
        <v>7</v>
      </c>
      <c r="E15642" s="27" t="s">
        <v>22</v>
      </c>
      <c r="F15642" s="29"/>
      <c r="G15642" s="30">
        <f t="shared" si="272"/>
        <v>383.79480000000001</v>
      </c>
    </row>
    <row r="15643" spans="1:7" hidden="1" x14ac:dyDescent="0.25">
      <c r="A15643" s="28">
        <v>44805</v>
      </c>
      <c r="B15643" s="27" t="s">
        <v>200</v>
      </c>
      <c r="C15643" s="27" t="s">
        <v>182</v>
      </c>
      <c r="D15643" s="27" t="s">
        <v>7</v>
      </c>
      <c r="E15643" s="27" t="s">
        <v>39</v>
      </c>
      <c r="F15643" s="29"/>
      <c r="G15643" s="30">
        <f t="shared" si="272"/>
        <v>383.79480000000001</v>
      </c>
    </row>
    <row r="15644" spans="1:7" hidden="1" x14ac:dyDescent="0.25">
      <c r="A15644" s="28">
        <v>44805</v>
      </c>
      <c r="B15644" s="27" t="s">
        <v>200</v>
      </c>
      <c r="C15644" s="27" t="s">
        <v>182</v>
      </c>
      <c r="D15644" s="27" t="s">
        <v>7</v>
      </c>
      <c r="E15644" s="27" t="s">
        <v>64</v>
      </c>
      <c r="F15644" s="29"/>
      <c r="G15644" s="30">
        <f t="shared" si="272"/>
        <v>383.79480000000001</v>
      </c>
    </row>
    <row r="15645" spans="1:7" hidden="1" x14ac:dyDescent="0.25">
      <c r="A15645" s="28">
        <v>44805</v>
      </c>
      <c r="B15645" s="27" t="s">
        <v>200</v>
      </c>
      <c r="C15645" s="27" t="s">
        <v>182</v>
      </c>
      <c r="D15645" s="27" t="s">
        <v>7</v>
      </c>
      <c r="E15645" s="27" t="s">
        <v>21</v>
      </c>
      <c r="F15645" s="29"/>
      <c r="G15645" s="30">
        <f t="shared" si="272"/>
        <v>383.79480000000001</v>
      </c>
    </row>
    <row r="15646" spans="1:7" hidden="1" x14ac:dyDescent="0.25">
      <c r="A15646" s="28">
        <v>44805</v>
      </c>
      <c r="B15646" s="27" t="s">
        <v>200</v>
      </c>
      <c r="C15646" s="27" t="s">
        <v>182</v>
      </c>
      <c r="D15646" s="27" t="s">
        <v>7</v>
      </c>
      <c r="E15646" s="27" t="s">
        <v>41</v>
      </c>
      <c r="F15646" s="29"/>
      <c r="G15646" s="30">
        <f t="shared" si="272"/>
        <v>383.79480000000001</v>
      </c>
    </row>
    <row r="15647" spans="1:7" hidden="1" x14ac:dyDescent="0.25">
      <c r="A15647" s="28">
        <v>44805</v>
      </c>
      <c r="B15647" s="27" t="s">
        <v>200</v>
      </c>
      <c r="C15647" s="27" t="s">
        <v>182</v>
      </c>
      <c r="D15647" s="27" t="s">
        <v>7</v>
      </c>
      <c r="E15647" s="27" t="s">
        <v>10</v>
      </c>
      <c r="F15647" s="29"/>
      <c r="G15647" s="30">
        <f t="shared" si="272"/>
        <v>383.79480000000001</v>
      </c>
    </row>
    <row r="15648" spans="1:7" hidden="1" x14ac:dyDescent="0.25">
      <c r="A15648" s="28">
        <v>44805</v>
      </c>
      <c r="B15648" s="27" t="s">
        <v>200</v>
      </c>
      <c r="C15648" s="27" t="s">
        <v>182</v>
      </c>
      <c r="D15648" s="27" t="s">
        <v>7</v>
      </c>
      <c r="E15648" s="27" t="s">
        <v>11</v>
      </c>
      <c r="F15648" s="29"/>
      <c r="G15648" s="30">
        <f t="shared" si="272"/>
        <v>383.79480000000001</v>
      </c>
    </row>
    <row r="15649" spans="1:7" hidden="1" x14ac:dyDescent="0.25">
      <c r="A15649" s="28">
        <v>44805</v>
      </c>
      <c r="B15649" s="27" t="s">
        <v>200</v>
      </c>
      <c r="C15649" s="27" t="s">
        <v>182</v>
      </c>
      <c r="D15649" s="27" t="s">
        <v>7</v>
      </c>
      <c r="E15649" s="27" t="s">
        <v>12</v>
      </c>
      <c r="F15649" s="29"/>
      <c r="G15649" s="30">
        <f t="shared" si="272"/>
        <v>383.79480000000001</v>
      </c>
    </row>
    <row r="15650" spans="1:7" hidden="1" x14ac:dyDescent="0.25">
      <c r="A15650" s="28">
        <v>44805</v>
      </c>
      <c r="B15650" s="27" t="s">
        <v>200</v>
      </c>
      <c r="C15650" s="27" t="s">
        <v>182</v>
      </c>
      <c r="D15650" s="27" t="s">
        <v>7</v>
      </c>
      <c r="E15650" s="27" t="s">
        <v>13</v>
      </c>
      <c r="F15650" s="29"/>
      <c r="G15650" s="30">
        <f t="shared" si="272"/>
        <v>383.79480000000001</v>
      </c>
    </row>
    <row r="15651" spans="1:7" hidden="1" x14ac:dyDescent="0.25">
      <c r="A15651" s="28">
        <v>44805</v>
      </c>
      <c r="B15651" s="27" t="s">
        <v>200</v>
      </c>
      <c r="C15651" s="27" t="s">
        <v>182</v>
      </c>
      <c r="D15651" s="27" t="s">
        <v>7</v>
      </c>
      <c r="E15651" s="27" t="s">
        <v>14</v>
      </c>
      <c r="F15651" s="29"/>
      <c r="G15651" s="30">
        <f t="shared" si="272"/>
        <v>383.79480000000001</v>
      </c>
    </row>
    <row r="15652" spans="1:7" hidden="1" x14ac:dyDescent="0.25">
      <c r="A15652" s="28">
        <v>44805</v>
      </c>
      <c r="B15652" s="27" t="s">
        <v>200</v>
      </c>
      <c r="C15652" s="27" t="s">
        <v>182</v>
      </c>
      <c r="D15652" s="27" t="s">
        <v>7</v>
      </c>
      <c r="E15652" s="27" t="s">
        <v>15</v>
      </c>
      <c r="F15652" s="29"/>
      <c r="G15652" s="30">
        <f t="shared" si="272"/>
        <v>383.79480000000001</v>
      </c>
    </row>
    <row r="15653" spans="1:7" hidden="1" x14ac:dyDescent="0.25">
      <c r="A15653" s="28">
        <v>44805</v>
      </c>
      <c r="B15653" s="27" t="s">
        <v>200</v>
      </c>
      <c r="C15653" s="27" t="s">
        <v>182</v>
      </c>
      <c r="D15653" s="27" t="s">
        <v>7</v>
      </c>
      <c r="E15653" s="27" t="s">
        <v>16</v>
      </c>
      <c r="F15653" s="29"/>
      <c r="G15653" s="30">
        <f t="shared" si="272"/>
        <v>383.79480000000001</v>
      </c>
    </row>
    <row r="15654" spans="1:7" hidden="1" x14ac:dyDescent="0.25">
      <c r="A15654" s="28">
        <v>44805</v>
      </c>
      <c r="B15654" s="27" t="s">
        <v>200</v>
      </c>
      <c r="C15654" s="27" t="s">
        <v>182</v>
      </c>
      <c r="D15654" s="27" t="s">
        <v>7</v>
      </c>
      <c r="E15654" s="27" t="s">
        <v>17</v>
      </c>
      <c r="F15654" s="29"/>
      <c r="G15654" s="30">
        <f t="shared" si="272"/>
        <v>383.79480000000001</v>
      </c>
    </row>
    <row r="15655" spans="1:7" hidden="1" x14ac:dyDescent="0.25">
      <c r="A15655" s="28">
        <v>44805</v>
      </c>
      <c r="B15655" s="27" t="s">
        <v>200</v>
      </c>
      <c r="C15655" s="27" t="s">
        <v>182</v>
      </c>
      <c r="D15655" s="27" t="s">
        <v>7</v>
      </c>
      <c r="E15655" s="27" t="s">
        <v>18</v>
      </c>
      <c r="F15655" s="29"/>
      <c r="G15655" s="30">
        <f t="shared" si="272"/>
        <v>383.79480000000001</v>
      </c>
    </row>
    <row r="15656" spans="1:7" hidden="1" x14ac:dyDescent="0.25">
      <c r="A15656" s="28">
        <v>44805</v>
      </c>
      <c r="B15656" s="27" t="s">
        <v>200</v>
      </c>
      <c r="C15656" s="27" t="s">
        <v>182</v>
      </c>
      <c r="D15656" s="27" t="s">
        <v>7</v>
      </c>
      <c r="E15656" s="27" t="s">
        <v>19</v>
      </c>
      <c r="F15656" s="29"/>
      <c r="G15656" s="30">
        <f t="shared" si="272"/>
        <v>383.79480000000001</v>
      </c>
    </row>
    <row r="15657" spans="1:7" hidden="1" x14ac:dyDescent="0.25">
      <c r="A15657" s="28">
        <v>44805</v>
      </c>
      <c r="B15657" s="27" t="s">
        <v>200</v>
      </c>
      <c r="C15657" s="27" t="s">
        <v>182</v>
      </c>
      <c r="D15657" s="27" t="s">
        <v>7</v>
      </c>
      <c r="E15657" s="27" t="s">
        <v>20</v>
      </c>
      <c r="F15657" s="29"/>
      <c r="G15657" s="30">
        <f t="shared" si="272"/>
        <v>383.79480000000001</v>
      </c>
    </row>
    <row r="15658" spans="1:7" hidden="1" x14ac:dyDescent="0.25">
      <c r="A15658" s="28">
        <v>44805</v>
      </c>
      <c r="B15658" s="27" t="s">
        <v>200</v>
      </c>
      <c r="C15658" s="27" t="s">
        <v>182</v>
      </c>
      <c r="D15658" s="27" t="s">
        <v>7</v>
      </c>
      <c r="E15658" s="27" t="s">
        <v>38</v>
      </c>
      <c r="F15658" s="29"/>
      <c r="G15658" s="30">
        <f t="shared" si="272"/>
        <v>383.79480000000001</v>
      </c>
    </row>
    <row r="15659" spans="1:7" hidden="1" x14ac:dyDescent="0.25">
      <c r="A15659" s="28">
        <v>44805</v>
      </c>
      <c r="B15659" s="27" t="s">
        <v>200</v>
      </c>
      <c r="C15659" s="27" t="s">
        <v>182</v>
      </c>
      <c r="D15659" s="27" t="s">
        <v>7</v>
      </c>
      <c r="E15659" s="27" t="s">
        <v>23</v>
      </c>
      <c r="F15659" s="29"/>
      <c r="G15659" s="30">
        <f t="shared" si="272"/>
        <v>383.79480000000001</v>
      </c>
    </row>
    <row r="15660" spans="1:7" hidden="1" x14ac:dyDescent="0.25">
      <c r="A15660" s="28">
        <v>44805</v>
      </c>
      <c r="B15660" s="27" t="s">
        <v>200</v>
      </c>
      <c r="C15660" s="27" t="s">
        <v>182</v>
      </c>
      <c r="D15660" s="27" t="s">
        <v>7</v>
      </c>
      <c r="E15660" s="27" t="s">
        <v>40</v>
      </c>
      <c r="F15660" s="29"/>
      <c r="G15660" s="30">
        <f t="shared" si="272"/>
        <v>383.79480000000001</v>
      </c>
    </row>
    <row r="15661" spans="1:7" hidden="1" x14ac:dyDescent="0.25">
      <c r="A15661" s="28">
        <v>44805</v>
      </c>
      <c r="B15661" s="27" t="s">
        <v>200</v>
      </c>
      <c r="C15661" s="27" t="s">
        <v>182</v>
      </c>
      <c r="D15661" s="27" t="s">
        <v>7</v>
      </c>
      <c r="E15661" s="27" t="s">
        <v>42</v>
      </c>
      <c r="F15661" s="29"/>
      <c r="G15661" s="30">
        <f t="shared" si="272"/>
        <v>383.79480000000001</v>
      </c>
    </row>
    <row r="15662" spans="1:7" hidden="1" x14ac:dyDescent="0.25">
      <c r="A15662" s="28">
        <v>44805</v>
      </c>
      <c r="B15662" s="27" t="s">
        <v>200</v>
      </c>
      <c r="C15662" s="27" t="s">
        <v>182</v>
      </c>
      <c r="D15662" s="27" t="s">
        <v>7</v>
      </c>
      <c r="E15662" s="27" t="s">
        <v>43</v>
      </c>
      <c r="F15662" s="29"/>
      <c r="G15662" s="30">
        <f t="shared" si="272"/>
        <v>383.79480000000001</v>
      </c>
    </row>
    <row r="15663" spans="1:7" hidden="1" x14ac:dyDescent="0.25">
      <c r="A15663" s="28">
        <v>44805</v>
      </c>
      <c r="B15663" s="27" t="s">
        <v>200</v>
      </c>
      <c r="C15663" s="27" t="s">
        <v>182</v>
      </c>
      <c r="D15663" s="27" t="s">
        <v>7</v>
      </c>
      <c r="E15663" s="27" t="s">
        <v>72</v>
      </c>
      <c r="F15663" s="29"/>
      <c r="G15663" s="30">
        <f t="shared" si="272"/>
        <v>383.79480000000001</v>
      </c>
    </row>
    <row r="15664" spans="1:7" hidden="1" x14ac:dyDescent="0.25">
      <c r="A15664" s="28">
        <v>44805</v>
      </c>
      <c r="B15664" s="27" t="s">
        <v>200</v>
      </c>
      <c r="C15664" s="27" t="s">
        <v>182</v>
      </c>
      <c r="D15664" s="27" t="s">
        <v>7</v>
      </c>
      <c r="E15664" s="27" t="s">
        <v>206</v>
      </c>
      <c r="F15664" s="29"/>
      <c r="G15664" s="30">
        <f t="shared" si="272"/>
        <v>383.79480000000001</v>
      </c>
    </row>
    <row r="15665" spans="1:7" hidden="1" x14ac:dyDescent="0.25">
      <c r="A15665" s="28">
        <v>44805</v>
      </c>
      <c r="B15665" s="27" t="s">
        <v>35</v>
      </c>
      <c r="C15665" s="27" t="s">
        <v>50</v>
      </c>
      <c r="D15665" s="27" t="s">
        <v>7</v>
      </c>
      <c r="E15665" s="27" t="s">
        <v>8</v>
      </c>
      <c r="F15665" s="29"/>
      <c r="G15665" s="30">
        <v>816.93142857142868</v>
      </c>
    </row>
    <row r="15666" spans="1:7" hidden="1" x14ac:dyDescent="0.25">
      <c r="A15666" s="28">
        <v>44805</v>
      </c>
      <c r="B15666" s="27" t="s">
        <v>35</v>
      </c>
      <c r="C15666" s="27" t="s">
        <v>50</v>
      </c>
      <c r="D15666" s="27" t="s">
        <v>7</v>
      </c>
      <c r="E15666" s="27" t="s">
        <v>9</v>
      </c>
      <c r="F15666" s="29"/>
      <c r="G15666" s="30">
        <v>816.93142857142868</v>
      </c>
    </row>
    <row r="15667" spans="1:7" hidden="1" x14ac:dyDescent="0.25">
      <c r="A15667" s="28">
        <v>44805</v>
      </c>
      <c r="B15667" s="27" t="s">
        <v>35</v>
      </c>
      <c r="C15667" s="27" t="s">
        <v>50</v>
      </c>
      <c r="D15667" s="27" t="s">
        <v>7</v>
      </c>
      <c r="E15667" s="27" t="s">
        <v>22</v>
      </c>
      <c r="F15667" s="29"/>
      <c r="G15667" s="30">
        <v>816.93142857142868</v>
      </c>
    </row>
    <row r="15668" spans="1:7" hidden="1" x14ac:dyDescent="0.25">
      <c r="A15668" s="28">
        <v>44805</v>
      </c>
      <c r="B15668" s="27" t="s">
        <v>35</v>
      </c>
      <c r="C15668" s="27" t="s">
        <v>50</v>
      </c>
      <c r="D15668" s="27" t="s">
        <v>7</v>
      </c>
      <c r="E15668" s="27" t="s">
        <v>39</v>
      </c>
      <c r="F15668" s="29"/>
      <c r="G15668" s="30">
        <v>816.93142857142868</v>
      </c>
    </row>
    <row r="15669" spans="1:7" hidden="1" x14ac:dyDescent="0.25">
      <c r="A15669" s="28">
        <v>44805</v>
      </c>
      <c r="B15669" s="27" t="s">
        <v>35</v>
      </c>
      <c r="C15669" s="27" t="s">
        <v>50</v>
      </c>
      <c r="D15669" s="27" t="s">
        <v>7</v>
      </c>
      <c r="E15669" s="27" t="s">
        <v>64</v>
      </c>
      <c r="F15669" s="29"/>
      <c r="G15669" s="30">
        <v>816.93142857142868</v>
      </c>
    </row>
    <row r="15670" spans="1:7" hidden="1" x14ac:dyDescent="0.25">
      <c r="A15670" s="28">
        <v>44805</v>
      </c>
      <c r="B15670" s="27" t="s">
        <v>35</v>
      </c>
      <c r="C15670" s="27" t="s">
        <v>50</v>
      </c>
      <c r="D15670" s="27" t="s">
        <v>7</v>
      </c>
      <c r="E15670" s="27" t="s">
        <v>21</v>
      </c>
      <c r="F15670" s="29"/>
      <c r="G15670" s="30">
        <v>816.93142857142868</v>
      </c>
    </row>
    <row r="15671" spans="1:7" hidden="1" x14ac:dyDescent="0.25">
      <c r="A15671" s="28">
        <v>44805</v>
      </c>
      <c r="B15671" s="27" t="s">
        <v>35</v>
      </c>
      <c r="C15671" s="27" t="s">
        <v>50</v>
      </c>
      <c r="D15671" s="27" t="s">
        <v>7</v>
      </c>
      <c r="E15671" s="27" t="s">
        <v>41</v>
      </c>
      <c r="F15671" s="29"/>
      <c r="G15671" s="30">
        <v>816.93142857142868</v>
      </c>
    </row>
    <row r="15672" spans="1:7" hidden="1" x14ac:dyDescent="0.25">
      <c r="A15672" s="28">
        <v>44805</v>
      </c>
      <c r="B15672" s="27" t="s">
        <v>35</v>
      </c>
      <c r="C15672" s="27" t="s">
        <v>50</v>
      </c>
      <c r="D15672" s="27" t="s">
        <v>7</v>
      </c>
      <c r="E15672" s="27" t="s">
        <v>10</v>
      </c>
      <c r="F15672" s="29"/>
      <c r="G15672" s="30">
        <v>816.93142857142868</v>
      </c>
    </row>
    <row r="15673" spans="1:7" hidden="1" x14ac:dyDescent="0.25">
      <c r="A15673" s="28">
        <v>44805</v>
      </c>
      <c r="B15673" s="27" t="s">
        <v>35</v>
      </c>
      <c r="C15673" s="27" t="s">
        <v>50</v>
      </c>
      <c r="D15673" s="27" t="s">
        <v>7</v>
      </c>
      <c r="E15673" s="27" t="s">
        <v>11</v>
      </c>
      <c r="F15673" s="29"/>
      <c r="G15673" s="30">
        <v>816.93142857142868</v>
      </c>
    </row>
    <row r="15674" spans="1:7" hidden="1" x14ac:dyDescent="0.25">
      <c r="A15674" s="28">
        <v>44805</v>
      </c>
      <c r="B15674" s="27" t="s">
        <v>35</v>
      </c>
      <c r="C15674" s="27" t="s">
        <v>50</v>
      </c>
      <c r="D15674" s="27" t="s">
        <v>7</v>
      </c>
      <c r="E15674" s="27" t="s">
        <v>12</v>
      </c>
      <c r="F15674" s="29"/>
      <c r="G15674" s="30">
        <v>816.93142857142868</v>
      </c>
    </row>
    <row r="15675" spans="1:7" hidden="1" x14ac:dyDescent="0.25">
      <c r="A15675" s="28">
        <v>44805</v>
      </c>
      <c r="B15675" s="27" t="s">
        <v>35</v>
      </c>
      <c r="C15675" s="27" t="s">
        <v>50</v>
      </c>
      <c r="D15675" s="27" t="s">
        <v>7</v>
      </c>
      <c r="E15675" s="27" t="s">
        <v>13</v>
      </c>
      <c r="F15675" s="29"/>
      <c r="G15675" s="30">
        <v>816.93142857142868</v>
      </c>
    </row>
    <row r="15676" spans="1:7" hidden="1" x14ac:dyDescent="0.25">
      <c r="A15676" s="28">
        <v>44805</v>
      </c>
      <c r="B15676" s="27" t="s">
        <v>35</v>
      </c>
      <c r="C15676" s="27" t="s">
        <v>50</v>
      </c>
      <c r="D15676" s="27" t="s">
        <v>7</v>
      </c>
      <c r="E15676" s="27" t="s">
        <v>14</v>
      </c>
      <c r="F15676" s="29"/>
      <c r="G15676" s="30">
        <v>816.93142857142868</v>
      </c>
    </row>
    <row r="15677" spans="1:7" hidden="1" x14ac:dyDescent="0.25">
      <c r="A15677" s="28">
        <v>44805</v>
      </c>
      <c r="B15677" s="27" t="s">
        <v>35</v>
      </c>
      <c r="C15677" s="27" t="s">
        <v>50</v>
      </c>
      <c r="D15677" s="27" t="s">
        <v>7</v>
      </c>
      <c r="E15677" s="27" t="s">
        <v>15</v>
      </c>
      <c r="F15677" s="29"/>
      <c r="G15677" s="30">
        <v>816.93142857142868</v>
      </c>
    </row>
    <row r="15678" spans="1:7" hidden="1" x14ac:dyDescent="0.25">
      <c r="A15678" s="28">
        <v>44805</v>
      </c>
      <c r="B15678" s="27" t="s">
        <v>35</v>
      </c>
      <c r="C15678" s="27" t="s">
        <v>50</v>
      </c>
      <c r="D15678" s="27" t="s">
        <v>7</v>
      </c>
      <c r="E15678" s="27" t="s">
        <v>16</v>
      </c>
      <c r="F15678" s="29"/>
      <c r="G15678" s="30">
        <v>816.93142857142868</v>
      </c>
    </row>
    <row r="15679" spans="1:7" hidden="1" x14ac:dyDescent="0.25">
      <c r="A15679" s="28">
        <v>44805</v>
      </c>
      <c r="B15679" s="27" t="s">
        <v>35</v>
      </c>
      <c r="C15679" s="27" t="s">
        <v>50</v>
      </c>
      <c r="D15679" s="27" t="s">
        <v>7</v>
      </c>
      <c r="E15679" s="27" t="s">
        <v>17</v>
      </c>
      <c r="F15679" s="29"/>
      <c r="G15679" s="30">
        <v>816.93142857142868</v>
      </c>
    </row>
    <row r="15680" spans="1:7" hidden="1" x14ac:dyDescent="0.25">
      <c r="A15680" s="28">
        <v>44805</v>
      </c>
      <c r="B15680" s="27" t="s">
        <v>35</v>
      </c>
      <c r="C15680" s="27" t="s">
        <v>50</v>
      </c>
      <c r="D15680" s="27" t="s">
        <v>7</v>
      </c>
      <c r="E15680" s="27" t="s">
        <v>18</v>
      </c>
      <c r="F15680" s="29"/>
      <c r="G15680" s="30">
        <v>816.93142857142868</v>
      </c>
    </row>
    <row r="15681" spans="1:7" hidden="1" x14ac:dyDescent="0.25">
      <c r="A15681" s="28">
        <v>44805</v>
      </c>
      <c r="B15681" s="27" t="s">
        <v>35</v>
      </c>
      <c r="C15681" s="27" t="s">
        <v>50</v>
      </c>
      <c r="D15681" s="27" t="s">
        <v>7</v>
      </c>
      <c r="E15681" s="27" t="s">
        <v>19</v>
      </c>
      <c r="F15681" s="29"/>
      <c r="G15681" s="30">
        <v>816.93142857142868</v>
      </c>
    </row>
    <row r="15682" spans="1:7" hidden="1" x14ac:dyDescent="0.25">
      <c r="A15682" s="28">
        <v>44805</v>
      </c>
      <c r="B15682" s="27" t="s">
        <v>35</v>
      </c>
      <c r="C15682" s="27" t="s">
        <v>50</v>
      </c>
      <c r="D15682" s="27" t="s">
        <v>7</v>
      </c>
      <c r="E15682" s="27" t="s">
        <v>20</v>
      </c>
      <c r="F15682" s="29"/>
      <c r="G15682" s="30">
        <v>816.93142857142868</v>
      </c>
    </row>
    <row r="15683" spans="1:7" hidden="1" x14ac:dyDescent="0.25">
      <c r="A15683" s="28">
        <v>44805</v>
      </c>
      <c r="B15683" s="27" t="s">
        <v>35</v>
      </c>
      <c r="C15683" s="27" t="s">
        <v>50</v>
      </c>
      <c r="D15683" s="27" t="s">
        <v>7</v>
      </c>
      <c r="E15683" s="27" t="s">
        <v>38</v>
      </c>
      <c r="F15683" s="29"/>
      <c r="G15683" s="30">
        <v>816.93142857142868</v>
      </c>
    </row>
    <row r="15684" spans="1:7" hidden="1" x14ac:dyDescent="0.25">
      <c r="A15684" s="28">
        <v>44805</v>
      </c>
      <c r="B15684" s="27" t="s">
        <v>35</v>
      </c>
      <c r="C15684" s="27" t="s">
        <v>50</v>
      </c>
      <c r="D15684" s="27" t="s">
        <v>7</v>
      </c>
      <c r="E15684" s="27" t="s">
        <v>23</v>
      </c>
      <c r="F15684" s="29"/>
      <c r="G15684" s="30">
        <v>816.93142857142868</v>
      </c>
    </row>
    <row r="15685" spans="1:7" hidden="1" x14ac:dyDescent="0.25">
      <c r="A15685" s="28">
        <v>44805</v>
      </c>
      <c r="B15685" s="27" t="s">
        <v>35</v>
      </c>
      <c r="C15685" s="27" t="s">
        <v>50</v>
      </c>
      <c r="D15685" s="27" t="s">
        <v>7</v>
      </c>
      <c r="E15685" s="27" t="s">
        <v>40</v>
      </c>
      <c r="F15685" s="29"/>
      <c r="G15685" s="30">
        <v>816.93142857142868</v>
      </c>
    </row>
    <row r="15686" spans="1:7" hidden="1" x14ac:dyDescent="0.25">
      <c r="A15686" s="28">
        <v>44805</v>
      </c>
      <c r="B15686" s="27" t="s">
        <v>35</v>
      </c>
      <c r="C15686" s="27" t="s">
        <v>50</v>
      </c>
      <c r="D15686" s="27" t="s">
        <v>7</v>
      </c>
      <c r="E15686" s="27" t="s">
        <v>42</v>
      </c>
      <c r="F15686" s="29"/>
      <c r="G15686" s="30">
        <v>816.93142857142868</v>
      </c>
    </row>
    <row r="15687" spans="1:7" hidden="1" x14ac:dyDescent="0.25">
      <c r="A15687" s="28">
        <v>44805</v>
      </c>
      <c r="B15687" s="27" t="s">
        <v>35</v>
      </c>
      <c r="C15687" s="27" t="s">
        <v>50</v>
      </c>
      <c r="D15687" s="27" t="s">
        <v>7</v>
      </c>
      <c r="E15687" s="27" t="s">
        <v>43</v>
      </c>
      <c r="F15687" s="29"/>
      <c r="G15687" s="30">
        <v>816.93142857142868</v>
      </c>
    </row>
    <row r="15688" spans="1:7" hidden="1" x14ac:dyDescent="0.25">
      <c r="A15688" s="28">
        <v>44805</v>
      </c>
      <c r="B15688" s="27" t="s">
        <v>35</v>
      </c>
      <c r="C15688" s="27" t="s">
        <v>50</v>
      </c>
      <c r="D15688" s="27" t="s">
        <v>7</v>
      </c>
      <c r="E15688" s="27" t="s">
        <v>72</v>
      </c>
      <c r="F15688" s="29"/>
      <c r="G15688" s="30">
        <v>816.93142857142868</v>
      </c>
    </row>
    <row r="15689" spans="1:7" hidden="1" x14ac:dyDescent="0.25">
      <c r="A15689" s="28">
        <v>44805</v>
      </c>
      <c r="B15689" s="27" t="s">
        <v>35</v>
      </c>
      <c r="C15689" s="27" t="s">
        <v>50</v>
      </c>
      <c r="D15689" s="27" t="s">
        <v>7</v>
      </c>
      <c r="E15689" s="27" t="s">
        <v>206</v>
      </c>
      <c r="F15689" s="29"/>
      <c r="G15689" s="30">
        <v>816.93142857142868</v>
      </c>
    </row>
    <row r="15690" spans="1:7" hidden="1" x14ac:dyDescent="0.25">
      <c r="A15690" s="28">
        <v>44805</v>
      </c>
      <c r="B15690" s="27" t="s">
        <v>35</v>
      </c>
      <c r="C15690" s="27" t="s">
        <v>50</v>
      </c>
      <c r="D15690" s="27" t="s">
        <v>7</v>
      </c>
      <c r="E15690" s="27" t="s">
        <v>67</v>
      </c>
      <c r="F15690" s="29"/>
      <c r="G15690" s="30">
        <v>816.93142857142868</v>
      </c>
    </row>
    <row r="15691" spans="1:7" hidden="1" x14ac:dyDescent="0.25">
      <c r="A15691" s="28">
        <v>44805</v>
      </c>
      <c r="B15691" s="27" t="s">
        <v>35</v>
      </c>
      <c r="C15691" s="27" t="s">
        <v>50</v>
      </c>
      <c r="D15691" s="27" t="s">
        <v>7</v>
      </c>
      <c r="E15691" s="27" t="s">
        <v>68</v>
      </c>
      <c r="F15691" s="29"/>
      <c r="G15691" s="30">
        <v>816.93142857142868</v>
      </c>
    </row>
    <row r="15692" spans="1:7" hidden="1" x14ac:dyDescent="0.25">
      <c r="A15692" s="28">
        <v>44805</v>
      </c>
      <c r="B15692" s="27" t="s">
        <v>35</v>
      </c>
      <c r="C15692" s="27" t="s">
        <v>50</v>
      </c>
      <c r="D15692" s="27" t="s">
        <v>7</v>
      </c>
      <c r="E15692" s="27" t="s">
        <v>74</v>
      </c>
      <c r="F15692" s="29"/>
      <c r="G15692" s="30">
        <v>816.93142857142868</v>
      </c>
    </row>
    <row r="15693" spans="1:7" hidden="1" x14ac:dyDescent="0.25">
      <c r="A15693" s="28">
        <v>44805</v>
      </c>
      <c r="B15693" s="27" t="s">
        <v>34</v>
      </c>
      <c r="C15693" s="27" t="s">
        <v>50</v>
      </c>
      <c r="D15693" s="27" t="s">
        <v>6</v>
      </c>
      <c r="E15693" s="27" t="s">
        <v>8</v>
      </c>
      <c r="F15693" s="29"/>
      <c r="G15693" s="30">
        <v>273.50799999999998</v>
      </c>
    </row>
    <row r="15694" spans="1:7" hidden="1" x14ac:dyDescent="0.25">
      <c r="A15694" s="28">
        <v>44805</v>
      </c>
      <c r="B15694" s="27" t="s">
        <v>34</v>
      </c>
      <c r="C15694" s="27" t="s">
        <v>50</v>
      </c>
      <c r="D15694" s="27" t="s">
        <v>6</v>
      </c>
      <c r="E15694" s="27" t="s">
        <v>9</v>
      </c>
      <c r="F15694" s="29"/>
      <c r="G15694" s="30">
        <v>273.50799999999998</v>
      </c>
    </row>
    <row r="15695" spans="1:7" hidden="1" x14ac:dyDescent="0.25">
      <c r="A15695" s="28">
        <v>44805</v>
      </c>
      <c r="B15695" s="27" t="s">
        <v>34</v>
      </c>
      <c r="C15695" s="27" t="s">
        <v>50</v>
      </c>
      <c r="D15695" s="27" t="s">
        <v>6</v>
      </c>
      <c r="E15695" s="27" t="s">
        <v>22</v>
      </c>
      <c r="F15695" s="29"/>
      <c r="G15695" s="30">
        <v>273.50799999999998</v>
      </c>
    </row>
    <row r="15696" spans="1:7" hidden="1" x14ac:dyDescent="0.25">
      <c r="A15696" s="28">
        <v>44805</v>
      </c>
      <c r="B15696" s="27" t="s">
        <v>34</v>
      </c>
      <c r="C15696" s="27" t="s">
        <v>50</v>
      </c>
      <c r="D15696" s="27" t="s">
        <v>6</v>
      </c>
      <c r="E15696" s="27" t="s">
        <v>39</v>
      </c>
      <c r="F15696" s="29"/>
      <c r="G15696" s="30">
        <v>273.50799999999998</v>
      </c>
    </row>
    <row r="15697" spans="1:7" hidden="1" x14ac:dyDescent="0.25">
      <c r="A15697" s="28">
        <v>44805</v>
      </c>
      <c r="B15697" s="27" t="s">
        <v>34</v>
      </c>
      <c r="C15697" s="27" t="s">
        <v>50</v>
      </c>
      <c r="D15697" s="27" t="s">
        <v>6</v>
      </c>
      <c r="E15697" s="27" t="s">
        <v>64</v>
      </c>
      <c r="F15697" s="29"/>
      <c r="G15697" s="30">
        <v>273.50799999999998</v>
      </c>
    </row>
    <row r="15698" spans="1:7" hidden="1" x14ac:dyDescent="0.25">
      <c r="A15698" s="28">
        <v>44805</v>
      </c>
      <c r="B15698" s="27" t="s">
        <v>34</v>
      </c>
      <c r="C15698" s="27" t="s">
        <v>50</v>
      </c>
      <c r="D15698" s="27" t="s">
        <v>6</v>
      </c>
      <c r="E15698" s="27" t="s">
        <v>21</v>
      </c>
      <c r="F15698" s="29"/>
      <c r="G15698" s="30">
        <v>273.50799999999998</v>
      </c>
    </row>
    <row r="15699" spans="1:7" hidden="1" x14ac:dyDescent="0.25">
      <c r="A15699" s="28">
        <v>44805</v>
      </c>
      <c r="B15699" s="27" t="s">
        <v>34</v>
      </c>
      <c r="C15699" s="27" t="s">
        <v>50</v>
      </c>
      <c r="D15699" s="27" t="s">
        <v>6</v>
      </c>
      <c r="E15699" s="27" t="s">
        <v>41</v>
      </c>
      <c r="F15699" s="29"/>
      <c r="G15699" s="30">
        <v>273.50799999999998</v>
      </c>
    </row>
    <row r="15700" spans="1:7" hidden="1" x14ac:dyDescent="0.25">
      <c r="A15700" s="28">
        <v>44805</v>
      </c>
      <c r="B15700" s="27" t="s">
        <v>34</v>
      </c>
      <c r="C15700" s="27" t="s">
        <v>50</v>
      </c>
      <c r="D15700" s="27" t="s">
        <v>6</v>
      </c>
      <c r="E15700" s="27" t="s">
        <v>10</v>
      </c>
      <c r="F15700" s="29"/>
      <c r="G15700" s="30">
        <v>273.50799999999998</v>
      </c>
    </row>
    <row r="15701" spans="1:7" hidden="1" x14ac:dyDescent="0.25">
      <c r="A15701" s="28">
        <v>44805</v>
      </c>
      <c r="B15701" s="27" t="s">
        <v>34</v>
      </c>
      <c r="C15701" s="27" t="s">
        <v>50</v>
      </c>
      <c r="D15701" s="27" t="s">
        <v>6</v>
      </c>
      <c r="E15701" s="27" t="s">
        <v>11</v>
      </c>
      <c r="F15701" s="29"/>
      <c r="G15701" s="30">
        <v>273.50799999999998</v>
      </c>
    </row>
    <row r="15702" spans="1:7" hidden="1" x14ac:dyDescent="0.25">
      <c r="A15702" s="28">
        <v>44805</v>
      </c>
      <c r="B15702" s="27" t="s">
        <v>34</v>
      </c>
      <c r="C15702" s="27" t="s">
        <v>50</v>
      </c>
      <c r="D15702" s="27" t="s">
        <v>6</v>
      </c>
      <c r="E15702" s="27" t="s">
        <v>12</v>
      </c>
      <c r="F15702" s="29"/>
      <c r="G15702" s="30">
        <v>273.50799999999998</v>
      </c>
    </row>
    <row r="15703" spans="1:7" hidden="1" x14ac:dyDescent="0.25">
      <c r="A15703" s="28">
        <v>44805</v>
      </c>
      <c r="B15703" s="27" t="s">
        <v>34</v>
      </c>
      <c r="C15703" s="27" t="s">
        <v>50</v>
      </c>
      <c r="D15703" s="27" t="s">
        <v>6</v>
      </c>
      <c r="E15703" s="27" t="s">
        <v>13</v>
      </c>
      <c r="F15703" s="29"/>
      <c r="G15703" s="30">
        <v>273.50799999999998</v>
      </c>
    </row>
    <row r="15704" spans="1:7" hidden="1" x14ac:dyDescent="0.25">
      <c r="A15704" s="28">
        <v>44805</v>
      </c>
      <c r="B15704" s="27" t="s">
        <v>34</v>
      </c>
      <c r="C15704" s="27" t="s">
        <v>50</v>
      </c>
      <c r="D15704" s="27" t="s">
        <v>6</v>
      </c>
      <c r="E15704" s="27" t="s">
        <v>14</v>
      </c>
      <c r="F15704" s="29"/>
      <c r="G15704" s="30">
        <v>273.50799999999998</v>
      </c>
    </row>
    <row r="15705" spans="1:7" hidden="1" x14ac:dyDescent="0.25">
      <c r="A15705" s="28">
        <v>44805</v>
      </c>
      <c r="B15705" s="27" t="s">
        <v>34</v>
      </c>
      <c r="C15705" s="27" t="s">
        <v>50</v>
      </c>
      <c r="D15705" s="27" t="s">
        <v>6</v>
      </c>
      <c r="E15705" s="27" t="s">
        <v>15</v>
      </c>
      <c r="F15705" s="29"/>
      <c r="G15705" s="30">
        <v>273.50799999999998</v>
      </c>
    </row>
    <row r="15706" spans="1:7" hidden="1" x14ac:dyDescent="0.25">
      <c r="A15706" s="28">
        <v>44805</v>
      </c>
      <c r="B15706" s="27" t="s">
        <v>34</v>
      </c>
      <c r="C15706" s="27" t="s">
        <v>50</v>
      </c>
      <c r="D15706" s="27" t="s">
        <v>6</v>
      </c>
      <c r="E15706" s="27" t="s">
        <v>16</v>
      </c>
      <c r="F15706" s="29"/>
      <c r="G15706" s="30">
        <v>273.50799999999998</v>
      </c>
    </row>
    <row r="15707" spans="1:7" hidden="1" x14ac:dyDescent="0.25">
      <c r="A15707" s="28">
        <v>44805</v>
      </c>
      <c r="B15707" s="27" t="s">
        <v>34</v>
      </c>
      <c r="C15707" s="27" t="s">
        <v>50</v>
      </c>
      <c r="D15707" s="27" t="s">
        <v>6</v>
      </c>
      <c r="E15707" s="27" t="s">
        <v>17</v>
      </c>
      <c r="F15707" s="29"/>
      <c r="G15707" s="30">
        <v>273.50799999999998</v>
      </c>
    </row>
    <row r="15708" spans="1:7" hidden="1" x14ac:dyDescent="0.25">
      <c r="A15708" s="28">
        <v>44805</v>
      </c>
      <c r="B15708" s="27" t="s">
        <v>34</v>
      </c>
      <c r="C15708" s="27" t="s">
        <v>50</v>
      </c>
      <c r="D15708" s="27" t="s">
        <v>6</v>
      </c>
      <c r="E15708" s="27" t="s">
        <v>18</v>
      </c>
      <c r="F15708" s="29"/>
      <c r="G15708" s="30">
        <v>273.50799999999998</v>
      </c>
    </row>
    <row r="15709" spans="1:7" hidden="1" x14ac:dyDescent="0.25">
      <c r="A15709" s="28">
        <v>44805</v>
      </c>
      <c r="B15709" s="27" t="s">
        <v>34</v>
      </c>
      <c r="C15709" s="27" t="s">
        <v>50</v>
      </c>
      <c r="D15709" s="27" t="s">
        <v>6</v>
      </c>
      <c r="E15709" s="27" t="s">
        <v>19</v>
      </c>
      <c r="F15709" s="29"/>
      <c r="G15709" s="30">
        <v>273.50799999999998</v>
      </c>
    </row>
    <row r="15710" spans="1:7" hidden="1" x14ac:dyDescent="0.25">
      <c r="A15710" s="28">
        <v>44805</v>
      </c>
      <c r="B15710" s="27" t="s">
        <v>34</v>
      </c>
      <c r="C15710" s="27" t="s">
        <v>50</v>
      </c>
      <c r="D15710" s="27" t="s">
        <v>6</v>
      </c>
      <c r="E15710" s="27" t="s">
        <v>20</v>
      </c>
      <c r="F15710" s="29"/>
      <c r="G15710" s="30">
        <v>273.50799999999998</v>
      </c>
    </row>
    <row r="15711" spans="1:7" hidden="1" x14ac:dyDescent="0.25">
      <c r="A15711" s="28">
        <v>44805</v>
      </c>
      <c r="B15711" s="27" t="s">
        <v>34</v>
      </c>
      <c r="C15711" s="27" t="s">
        <v>50</v>
      </c>
      <c r="D15711" s="27" t="s">
        <v>6</v>
      </c>
      <c r="E15711" s="27" t="s">
        <v>38</v>
      </c>
      <c r="F15711" s="29"/>
      <c r="G15711" s="30">
        <v>273.50799999999998</v>
      </c>
    </row>
    <row r="15712" spans="1:7" hidden="1" x14ac:dyDescent="0.25">
      <c r="A15712" s="28">
        <v>44805</v>
      </c>
      <c r="B15712" s="27" t="s">
        <v>34</v>
      </c>
      <c r="C15712" s="27" t="s">
        <v>50</v>
      </c>
      <c r="D15712" s="27" t="s">
        <v>6</v>
      </c>
      <c r="E15712" s="27" t="s">
        <v>23</v>
      </c>
      <c r="F15712" s="29"/>
      <c r="G15712" s="30">
        <v>273.50799999999998</v>
      </c>
    </row>
    <row r="15713" spans="1:7" hidden="1" x14ac:dyDescent="0.25">
      <c r="A15713" s="28">
        <v>44805</v>
      </c>
      <c r="B15713" s="27" t="s">
        <v>34</v>
      </c>
      <c r="C15713" s="27" t="s">
        <v>50</v>
      </c>
      <c r="D15713" s="27" t="s">
        <v>6</v>
      </c>
      <c r="E15713" s="27" t="s">
        <v>40</v>
      </c>
      <c r="F15713" s="29"/>
      <c r="G15713" s="30">
        <v>273.50799999999998</v>
      </c>
    </row>
    <row r="15714" spans="1:7" hidden="1" x14ac:dyDescent="0.25">
      <c r="A15714" s="28">
        <v>44805</v>
      </c>
      <c r="B15714" s="27" t="s">
        <v>34</v>
      </c>
      <c r="C15714" s="27" t="s">
        <v>50</v>
      </c>
      <c r="D15714" s="27" t="s">
        <v>6</v>
      </c>
      <c r="E15714" s="27" t="s">
        <v>42</v>
      </c>
      <c r="F15714" s="29"/>
      <c r="G15714" s="30">
        <v>273.50799999999998</v>
      </c>
    </row>
    <row r="15715" spans="1:7" hidden="1" x14ac:dyDescent="0.25">
      <c r="A15715" s="28">
        <v>44805</v>
      </c>
      <c r="B15715" s="27" t="s">
        <v>34</v>
      </c>
      <c r="C15715" s="27" t="s">
        <v>50</v>
      </c>
      <c r="D15715" s="27" t="s">
        <v>6</v>
      </c>
      <c r="E15715" s="27" t="s">
        <v>43</v>
      </c>
      <c r="F15715" s="29"/>
      <c r="G15715" s="30">
        <v>273.50799999999998</v>
      </c>
    </row>
    <row r="15716" spans="1:7" hidden="1" x14ac:dyDescent="0.25">
      <c r="A15716" s="28">
        <v>44805</v>
      </c>
      <c r="B15716" s="27" t="s">
        <v>34</v>
      </c>
      <c r="C15716" s="27" t="s">
        <v>50</v>
      </c>
      <c r="D15716" s="27" t="s">
        <v>6</v>
      </c>
      <c r="E15716" s="27" t="s">
        <v>72</v>
      </c>
      <c r="F15716" s="29"/>
      <c r="G15716" s="30">
        <v>273.50799999999998</v>
      </c>
    </row>
    <row r="15717" spans="1:7" hidden="1" x14ac:dyDescent="0.25">
      <c r="A15717" s="28">
        <v>44805</v>
      </c>
      <c r="B15717" s="27" t="s">
        <v>34</v>
      </c>
      <c r="C15717" s="27" t="s">
        <v>50</v>
      </c>
      <c r="D15717" s="27" t="s">
        <v>6</v>
      </c>
      <c r="E15717" s="27" t="s">
        <v>206</v>
      </c>
      <c r="F15717" s="29"/>
      <c r="G15717" s="30">
        <v>273.50799999999998</v>
      </c>
    </row>
    <row r="15718" spans="1:7" hidden="1" x14ac:dyDescent="0.25">
      <c r="A15718" s="28">
        <v>44835</v>
      </c>
      <c r="B15718" s="27" t="s">
        <v>33</v>
      </c>
      <c r="C15718" s="27" t="s">
        <v>50</v>
      </c>
      <c r="D15718" s="27" t="s">
        <v>7</v>
      </c>
      <c r="E15718" s="27" t="s">
        <v>8</v>
      </c>
      <c r="F15718" s="29"/>
      <c r="G15718" s="30">
        <v>3324.5082142857141</v>
      </c>
    </row>
    <row r="15719" spans="1:7" hidden="1" x14ac:dyDescent="0.25">
      <c r="A15719" s="28">
        <v>44835</v>
      </c>
      <c r="B15719" s="27" t="s">
        <v>33</v>
      </c>
      <c r="C15719" s="27" t="s">
        <v>50</v>
      </c>
      <c r="D15719" s="27" t="s">
        <v>7</v>
      </c>
      <c r="E15719" s="27" t="s">
        <v>9</v>
      </c>
      <c r="F15719" s="29"/>
      <c r="G15719" s="30">
        <v>3324.5082142857141</v>
      </c>
    </row>
    <row r="15720" spans="1:7" hidden="1" x14ac:dyDescent="0.25">
      <c r="A15720" s="28">
        <v>44835</v>
      </c>
      <c r="B15720" s="27" t="s">
        <v>33</v>
      </c>
      <c r="C15720" s="27" t="s">
        <v>50</v>
      </c>
      <c r="D15720" s="27" t="s">
        <v>7</v>
      </c>
      <c r="E15720" s="27" t="s">
        <v>22</v>
      </c>
      <c r="F15720" s="29"/>
      <c r="G15720" s="30">
        <v>3324.5082142857141</v>
      </c>
    </row>
    <row r="15721" spans="1:7" hidden="1" x14ac:dyDescent="0.25">
      <c r="A15721" s="28">
        <v>44835</v>
      </c>
      <c r="B15721" s="27" t="s">
        <v>33</v>
      </c>
      <c r="C15721" s="27" t="s">
        <v>50</v>
      </c>
      <c r="D15721" s="27" t="s">
        <v>7</v>
      </c>
      <c r="E15721" s="27" t="s">
        <v>39</v>
      </c>
      <c r="F15721" s="29"/>
      <c r="G15721" s="30">
        <v>3324.5082142857141</v>
      </c>
    </row>
    <row r="15722" spans="1:7" hidden="1" x14ac:dyDescent="0.25">
      <c r="A15722" s="28">
        <v>44835</v>
      </c>
      <c r="B15722" s="27" t="s">
        <v>33</v>
      </c>
      <c r="C15722" s="27" t="s">
        <v>50</v>
      </c>
      <c r="D15722" s="27" t="s">
        <v>7</v>
      </c>
      <c r="E15722" s="27" t="s">
        <v>64</v>
      </c>
      <c r="F15722" s="29"/>
      <c r="G15722" s="30">
        <v>3324.5082142857141</v>
      </c>
    </row>
    <row r="15723" spans="1:7" hidden="1" x14ac:dyDescent="0.25">
      <c r="A15723" s="28">
        <v>44835</v>
      </c>
      <c r="B15723" s="27" t="s">
        <v>33</v>
      </c>
      <c r="C15723" s="27" t="s">
        <v>50</v>
      </c>
      <c r="D15723" s="27" t="s">
        <v>7</v>
      </c>
      <c r="E15723" s="27" t="s">
        <v>21</v>
      </c>
      <c r="F15723" s="29"/>
      <c r="G15723" s="30">
        <v>3324.5082142857141</v>
      </c>
    </row>
    <row r="15724" spans="1:7" hidden="1" x14ac:dyDescent="0.25">
      <c r="A15724" s="28">
        <v>44835</v>
      </c>
      <c r="B15724" s="27" t="s">
        <v>33</v>
      </c>
      <c r="C15724" s="27" t="s">
        <v>50</v>
      </c>
      <c r="D15724" s="27" t="s">
        <v>7</v>
      </c>
      <c r="E15724" s="27" t="s">
        <v>41</v>
      </c>
      <c r="F15724" s="29"/>
      <c r="G15724" s="30">
        <v>3324.5082142857141</v>
      </c>
    </row>
    <row r="15725" spans="1:7" hidden="1" x14ac:dyDescent="0.25">
      <c r="A15725" s="28">
        <v>44835</v>
      </c>
      <c r="B15725" s="27" t="s">
        <v>33</v>
      </c>
      <c r="C15725" s="27" t="s">
        <v>50</v>
      </c>
      <c r="D15725" s="27" t="s">
        <v>7</v>
      </c>
      <c r="E15725" s="27" t="s">
        <v>10</v>
      </c>
      <c r="F15725" s="29"/>
      <c r="G15725" s="30">
        <v>3324.5082142857141</v>
      </c>
    </row>
    <row r="15726" spans="1:7" hidden="1" x14ac:dyDescent="0.25">
      <c r="A15726" s="28">
        <v>44835</v>
      </c>
      <c r="B15726" s="27" t="s">
        <v>33</v>
      </c>
      <c r="C15726" s="27" t="s">
        <v>50</v>
      </c>
      <c r="D15726" s="27" t="s">
        <v>7</v>
      </c>
      <c r="E15726" s="27" t="s">
        <v>11</v>
      </c>
      <c r="F15726" s="29"/>
      <c r="G15726" s="30">
        <v>3324.5082142857141</v>
      </c>
    </row>
    <row r="15727" spans="1:7" hidden="1" x14ac:dyDescent="0.25">
      <c r="A15727" s="28">
        <v>44835</v>
      </c>
      <c r="B15727" s="27" t="s">
        <v>33</v>
      </c>
      <c r="C15727" s="27" t="s">
        <v>50</v>
      </c>
      <c r="D15727" s="27" t="s">
        <v>7</v>
      </c>
      <c r="E15727" s="27" t="s">
        <v>12</v>
      </c>
      <c r="F15727" s="29"/>
      <c r="G15727" s="30">
        <v>3324.5082142857141</v>
      </c>
    </row>
    <row r="15728" spans="1:7" hidden="1" x14ac:dyDescent="0.25">
      <c r="A15728" s="28">
        <v>44835</v>
      </c>
      <c r="B15728" s="27" t="s">
        <v>33</v>
      </c>
      <c r="C15728" s="27" t="s">
        <v>50</v>
      </c>
      <c r="D15728" s="27" t="s">
        <v>7</v>
      </c>
      <c r="E15728" s="27" t="s">
        <v>13</v>
      </c>
      <c r="F15728" s="29"/>
      <c r="G15728" s="30">
        <v>3324.5082142857141</v>
      </c>
    </row>
    <row r="15729" spans="1:7" hidden="1" x14ac:dyDescent="0.25">
      <c r="A15729" s="28">
        <v>44835</v>
      </c>
      <c r="B15729" s="27" t="s">
        <v>33</v>
      </c>
      <c r="C15729" s="27" t="s">
        <v>50</v>
      </c>
      <c r="D15729" s="27" t="s">
        <v>7</v>
      </c>
      <c r="E15729" s="27" t="s">
        <v>14</v>
      </c>
      <c r="F15729" s="29"/>
      <c r="G15729" s="30">
        <v>3324.5082142857141</v>
      </c>
    </row>
    <row r="15730" spans="1:7" hidden="1" x14ac:dyDescent="0.25">
      <c r="A15730" s="28">
        <v>44835</v>
      </c>
      <c r="B15730" s="27" t="s">
        <v>33</v>
      </c>
      <c r="C15730" s="27" t="s">
        <v>50</v>
      </c>
      <c r="D15730" s="27" t="s">
        <v>7</v>
      </c>
      <c r="E15730" s="27" t="s">
        <v>15</v>
      </c>
      <c r="F15730" s="29"/>
      <c r="G15730" s="30">
        <v>3324.5082142857141</v>
      </c>
    </row>
    <row r="15731" spans="1:7" hidden="1" x14ac:dyDescent="0.25">
      <c r="A15731" s="28">
        <v>44835</v>
      </c>
      <c r="B15731" s="27" t="s">
        <v>33</v>
      </c>
      <c r="C15731" s="27" t="s">
        <v>50</v>
      </c>
      <c r="D15731" s="27" t="s">
        <v>7</v>
      </c>
      <c r="E15731" s="27" t="s">
        <v>16</v>
      </c>
      <c r="F15731" s="29"/>
      <c r="G15731" s="30">
        <v>3324.5082142857141</v>
      </c>
    </row>
    <row r="15732" spans="1:7" hidden="1" x14ac:dyDescent="0.25">
      <c r="A15732" s="28">
        <v>44835</v>
      </c>
      <c r="B15732" s="27" t="s">
        <v>33</v>
      </c>
      <c r="C15732" s="27" t="s">
        <v>50</v>
      </c>
      <c r="D15732" s="27" t="s">
        <v>7</v>
      </c>
      <c r="E15732" s="27" t="s">
        <v>17</v>
      </c>
      <c r="F15732" s="29"/>
      <c r="G15732" s="30">
        <v>3324.5082142857141</v>
      </c>
    </row>
    <row r="15733" spans="1:7" hidden="1" x14ac:dyDescent="0.25">
      <c r="A15733" s="28">
        <v>44835</v>
      </c>
      <c r="B15733" s="27" t="s">
        <v>33</v>
      </c>
      <c r="C15733" s="27" t="s">
        <v>50</v>
      </c>
      <c r="D15733" s="27" t="s">
        <v>7</v>
      </c>
      <c r="E15733" s="27" t="s">
        <v>18</v>
      </c>
      <c r="F15733" s="29"/>
      <c r="G15733" s="30">
        <v>3324.5082142857141</v>
      </c>
    </row>
    <row r="15734" spans="1:7" hidden="1" x14ac:dyDescent="0.25">
      <c r="A15734" s="28">
        <v>44835</v>
      </c>
      <c r="B15734" s="27" t="s">
        <v>33</v>
      </c>
      <c r="C15734" s="27" t="s">
        <v>50</v>
      </c>
      <c r="D15734" s="27" t="s">
        <v>7</v>
      </c>
      <c r="E15734" s="27" t="s">
        <v>19</v>
      </c>
      <c r="F15734" s="29"/>
      <c r="G15734" s="30">
        <v>3324.5082142857141</v>
      </c>
    </row>
    <row r="15735" spans="1:7" hidden="1" x14ac:dyDescent="0.25">
      <c r="A15735" s="28">
        <v>44835</v>
      </c>
      <c r="B15735" s="27" t="s">
        <v>33</v>
      </c>
      <c r="C15735" s="27" t="s">
        <v>50</v>
      </c>
      <c r="D15735" s="27" t="s">
        <v>7</v>
      </c>
      <c r="E15735" s="27" t="s">
        <v>20</v>
      </c>
      <c r="F15735" s="29"/>
      <c r="G15735" s="30">
        <v>3324.5082142857141</v>
      </c>
    </row>
    <row r="15736" spans="1:7" hidden="1" x14ac:dyDescent="0.25">
      <c r="A15736" s="28">
        <v>44835</v>
      </c>
      <c r="B15736" s="27" t="s">
        <v>33</v>
      </c>
      <c r="C15736" s="27" t="s">
        <v>50</v>
      </c>
      <c r="D15736" s="27" t="s">
        <v>7</v>
      </c>
      <c r="E15736" s="27" t="s">
        <v>38</v>
      </c>
      <c r="F15736" s="29"/>
      <c r="G15736" s="30">
        <v>3324.5082142857141</v>
      </c>
    </row>
    <row r="15737" spans="1:7" hidden="1" x14ac:dyDescent="0.25">
      <c r="A15737" s="28">
        <v>44835</v>
      </c>
      <c r="B15737" s="27" t="s">
        <v>33</v>
      </c>
      <c r="C15737" s="27" t="s">
        <v>50</v>
      </c>
      <c r="D15737" s="27" t="s">
        <v>7</v>
      </c>
      <c r="E15737" s="27" t="s">
        <v>23</v>
      </c>
      <c r="F15737" s="29"/>
      <c r="G15737" s="30">
        <v>3324.5082142857141</v>
      </c>
    </row>
    <row r="15738" spans="1:7" hidden="1" x14ac:dyDescent="0.25">
      <c r="A15738" s="28">
        <v>44835</v>
      </c>
      <c r="B15738" s="27" t="s">
        <v>33</v>
      </c>
      <c r="C15738" s="27" t="s">
        <v>50</v>
      </c>
      <c r="D15738" s="27" t="s">
        <v>7</v>
      </c>
      <c r="E15738" s="27" t="s">
        <v>40</v>
      </c>
      <c r="F15738" s="29"/>
      <c r="G15738" s="30">
        <v>3324.5082142857141</v>
      </c>
    </row>
    <row r="15739" spans="1:7" hidden="1" x14ac:dyDescent="0.25">
      <c r="A15739" s="28">
        <v>44835</v>
      </c>
      <c r="B15739" s="27" t="s">
        <v>33</v>
      </c>
      <c r="C15739" s="27" t="s">
        <v>50</v>
      </c>
      <c r="D15739" s="27" t="s">
        <v>7</v>
      </c>
      <c r="E15739" s="27" t="s">
        <v>42</v>
      </c>
      <c r="F15739" s="29"/>
      <c r="G15739" s="30">
        <v>3324.5082142857141</v>
      </c>
    </row>
    <row r="15740" spans="1:7" hidden="1" x14ac:dyDescent="0.25">
      <c r="A15740" s="28">
        <v>44835</v>
      </c>
      <c r="B15740" s="27" t="s">
        <v>33</v>
      </c>
      <c r="C15740" s="27" t="s">
        <v>50</v>
      </c>
      <c r="D15740" s="27" t="s">
        <v>7</v>
      </c>
      <c r="E15740" s="27" t="s">
        <v>43</v>
      </c>
      <c r="F15740" s="29"/>
      <c r="G15740" s="30">
        <v>3324.5082142857141</v>
      </c>
    </row>
    <row r="15741" spans="1:7" hidden="1" x14ac:dyDescent="0.25">
      <c r="A15741" s="28">
        <v>44835</v>
      </c>
      <c r="B15741" s="27" t="s">
        <v>33</v>
      </c>
      <c r="C15741" s="27" t="s">
        <v>50</v>
      </c>
      <c r="D15741" s="27" t="s">
        <v>7</v>
      </c>
      <c r="E15741" s="27" t="s">
        <v>72</v>
      </c>
      <c r="F15741" s="29"/>
      <c r="G15741" s="30">
        <v>3324.5082142857141</v>
      </c>
    </row>
    <row r="15742" spans="1:7" hidden="1" x14ac:dyDescent="0.25">
      <c r="A15742" s="28">
        <v>44835</v>
      </c>
      <c r="B15742" s="27" t="s">
        <v>33</v>
      </c>
      <c r="C15742" s="27" t="s">
        <v>50</v>
      </c>
      <c r="D15742" s="27" t="s">
        <v>7</v>
      </c>
      <c r="E15742" s="27" t="s">
        <v>206</v>
      </c>
      <c r="F15742" s="29"/>
      <c r="G15742" s="30">
        <v>3324.5082142857141</v>
      </c>
    </row>
    <row r="15743" spans="1:7" hidden="1" x14ac:dyDescent="0.25">
      <c r="A15743" s="28">
        <v>44835</v>
      </c>
      <c r="B15743" s="27" t="s">
        <v>33</v>
      </c>
      <c r="C15743" s="27" t="s">
        <v>50</v>
      </c>
      <c r="D15743" s="27" t="s">
        <v>7</v>
      </c>
      <c r="E15743" s="27" t="s">
        <v>67</v>
      </c>
      <c r="F15743" s="29"/>
      <c r="G15743" s="30">
        <v>3324.5082142857141</v>
      </c>
    </row>
    <row r="15744" spans="1:7" hidden="1" x14ac:dyDescent="0.25">
      <c r="A15744" s="28">
        <v>44835</v>
      </c>
      <c r="B15744" s="27" t="s">
        <v>33</v>
      </c>
      <c r="C15744" s="27" t="s">
        <v>50</v>
      </c>
      <c r="D15744" s="27" t="s">
        <v>7</v>
      </c>
      <c r="E15744" s="27" t="s">
        <v>68</v>
      </c>
      <c r="F15744" s="29"/>
      <c r="G15744" s="30">
        <v>3324.5082142857141</v>
      </c>
    </row>
    <row r="15745" spans="1:7" hidden="1" x14ac:dyDescent="0.25">
      <c r="A15745" s="28">
        <v>44835</v>
      </c>
      <c r="B15745" s="27" t="s">
        <v>33</v>
      </c>
      <c r="C15745" s="27" t="s">
        <v>50</v>
      </c>
      <c r="D15745" s="27" t="s">
        <v>7</v>
      </c>
      <c r="E15745" s="27" t="s">
        <v>74</v>
      </c>
      <c r="F15745" s="29"/>
      <c r="G15745" s="30">
        <v>3324.5082142857141</v>
      </c>
    </row>
    <row r="15746" spans="1:7" hidden="1" x14ac:dyDescent="0.25">
      <c r="A15746" s="28">
        <v>44835</v>
      </c>
      <c r="B15746" s="27" t="s">
        <v>4</v>
      </c>
      <c r="C15746" s="27" t="s">
        <v>50</v>
      </c>
      <c r="D15746" s="27" t="s">
        <v>7</v>
      </c>
      <c r="E15746" s="27" t="s">
        <v>8</v>
      </c>
      <c r="F15746" s="29"/>
      <c r="G15746" s="30">
        <v>980.65000000000009</v>
      </c>
    </row>
    <row r="15747" spans="1:7" hidden="1" x14ac:dyDescent="0.25">
      <c r="A15747" s="28">
        <v>44835</v>
      </c>
      <c r="B15747" s="27" t="s">
        <v>4</v>
      </c>
      <c r="C15747" s="27" t="s">
        <v>50</v>
      </c>
      <c r="D15747" s="27" t="s">
        <v>7</v>
      </c>
      <c r="E15747" s="27" t="s">
        <v>9</v>
      </c>
      <c r="F15747" s="29"/>
      <c r="G15747" s="30">
        <f>144047.1/18</f>
        <v>8002.6166666666668</v>
      </c>
    </row>
    <row r="15748" spans="1:7" hidden="1" x14ac:dyDescent="0.25">
      <c r="A15748" s="28">
        <v>44835</v>
      </c>
      <c r="B15748" s="27" t="s">
        <v>4</v>
      </c>
      <c r="C15748" s="27" t="s">
        <v>50</v>
      </c>
      <c r="D15748" s="27" t="s">
        <v>7</v>
      </c>
      <c r="E15748" s="27" t="s">
        <v>22</v>
      </c>
      <c r="F15748" s="29"/>
      <c r="G15748" s="30">
        <f>144047.1/18</f>
        <v>8002.6166666666668</v>
      </c>
    </row>
    <row r="15749" spans="1:7" hidden="1" x14ac:dyDescent="0.25">
      <c r="A15749" s="28">
        <v>44835</v>
      </c>
      <c r="B15749" s="27" t="s">
        <v>4</v>
      </c>
      <c r="C15749" s="27" t="s">
        <v>50</v>
      </c>
      <c r="D15749" s="27" t="s">
        <v>7</v>
      </c>
      <c r="E15749" s="27" t="s">
        <v>39</v>
      </c>
      <c r="F15749" s="29"/>
      <c r="G15749" s="30">
        <f>144047.1/18</f>
        <v>8002.6166666666668</v>
      </c>
    </row>
    <row r="15750" spans="1:7" hidden="1" x14ac:dyDescent="0.25">
      <c r="A15750" s="28">
        <v>44835</v>
      </c>
      <c r="B15750" s="27" t="s">
        <v>4</v>
      </c>
      <c r="C15750" s="27" t="s">
        <v>50</v>
      </c>
      <c r="D15750" s="27" t="s">
        <v>7</v>
      </c>
      <c r="E15750" s="27" t="s">
        <v>64</v>
      </c>
      <c r="F15750" s="29"/>
      <c r="G15750" s="30">
        <f>144047.1/18</f>
        <v>8002.6166666666668</v>
      </c>
    </row>
    <row r="15751" spans="1:7" hidden="1" x14ac:dyDescent="0.25">
      <c r="A15751" s="28">
        <v>44835</v>
      </c>
      <c r="B15751" s="27" t="s">
        <v>4</v>
      </c>
      <c r="C15751" s="27" t="s">
        <v>50</v>
      </c>
      <c r="D15751" s="27" t="s">
        <v>7</v>
      </c>
      <c r="E15751" s="27" t="s">
        <v>21</v>
      </c>
      <c r="F15751" s="29"/>
      <c r="G15751" s="30">
        <v>1805.82</v>
      </c>
    </row>
    <row r="15752" spans="1:7" hidden="1" x14ac:dyDescent="0.25">
      <c r="A15752" s="28">
        <v>44835</v>
      </c>
      <c r="B15752" s="27" t="s">
        <v>4</v>
      </c>
      <c r="C15752" s="27" t="s">
        <v>50</v>
      </c>
      <c r="D15752" s="27" t="s">
        <v>7</v>
      </c>
      <c r="E15752" s="27" t="s">
        <v>41</v>
      </c>
      <c r="F15752" s="29"/>
      <c r="G15752" s="30">
        <v>1993.77</v>
      </c>
    </row>
    <row r="15753" spans="1:7" hidden="1" x14ac:dyDescent="0.25">
      <c r="A15753" s="28">
        <v>44835</v>
      </c>
      <c r="B15753" s="27" t="s">
        <v>4</v>
      </c>
      <c r="C15753" s="27" t="s">
        <v>50</v>
      </c>
      <c r="D15753" s="27" t="s">
        <v>7</v>
      </c>
      <c r="E15753" s="27" t="s">
        <v>10</v>
      </c>
      <c r="F15753" s="29"/>
      <c r="G15753" s="30">
        <v>4931.29</v>
      </c>
    </row>
    <row r="15754" spans="1:7" hidden="1" x14ac:dyDescent="0.25">
      <c r="A15754" s="28">
        <v>44835</v>
      </c>
      <c r="B15754" s="27" t="s">
        <v>4</v>
      </c>
      <c r="C15754" s="27" t="s">
        <v>50</v>
      </c>
      <c r="D15754" s="27" t="s">
        <v>7</v>
      </c>
      <c r="E15754" s="27" t="s">
        <v>11</v>
      </c>
      <c r="F15754" s="29"/>
      <c r="G15754" s="30">
        <f>144047.1/18</f>
        <v>8002.6166666666668</v>
      </c>
    </row>
    <row r="15755" spans="1:7" hidden="1" x14ac:dyDescent="0.25">
      <c r="A15755" s="28">
        <v>44835</v>
      </c>
      <c r="B15755" s="27" t="s">
        <v>4</v>
      </c>
      <c r="C15755" s="27" t="s">
        <v>50</v>
      </c>
      <c r="D15755" s="27" t="s">
        <v>7</v>
      </c>
      <c r="E15755" s="27" t="s">
        <v>12</v>
      </c>
      <c r="F15755" s="29"/>
      <c r="G15755" s="30">
        <v>434.9</v>
      </c>
    </row>
    <row r="15756" spans="1:7" hidden="1" x14ac:dyDescent="0.25">
      <c r="A15756" s="28">
        <v>44835</v>
      </c>
      <c r="B15756" s="27" t="s">
        <v>4</v>
      </c>
      <c r="C15756" s="27" t="s">
        <v>50</v>
      </c>
      <c r="D15756" s="27" t="s">
        <v>7</v>
      </c>
      <c r="E15756" s="27" t="s">
        <v>13</v>
      </c>
      <c r="F15756" s="29"/>
      <c r="G15756" s="30">
        <v>7958.5499999999993</v>
      </c>
    </row>
    <row r="15757" spans="1:7" hidden="1" x14ac:dyDescent="0.25">
      <c r="A15757" s="28">
        <v>44835</v>
      </c>
      <c r="B15757" s="27" t="s">
        <v>4</v>
      </c>
      <c r="C15757" s="27" t="s">
        <v>50</v>
      </c>
      <c r="D15757" s="27" t="s">
        <v>7</v>
      </c>
      <c r="E15757" s="27" t="s">
        <v>14</v>
      </c>
      <c r="F15757" s="29"/>
      <c r="G15757" s="30">
        <f>144047.1/18</f>
        <v>8002.6166666666668</v>
      </c>
    </row>
    <row r="15758" spans="1:7" hidden="1" x14ac:dyDescent="0.25">
      <c r="A15758" s="28">
        <v>44835</v>
      </c>
      <c r="B15758" s="27" t="s">
        <v>4</v>
      </c>
      <c r="C15758" s="27" t="s">
        <v>50</v>
      </c>
      <c r="D15758" s="27" t="s">
        <v>7</v>
      </c>
      <c r="E15758" s="27" t="s">
        <v>15</v>
      </c>
      <c r="F15758" s="29"/>
      <c r="G15758" s="30">
        <v>542.14</v>
      </c>
    </row>
    <row r="15759" spans="1:7" hidden="1" x14ac:dyDescent="0.25">
      <c r="A15759" s="28">
        <v>44835</v>
      </c>
      <c r="B15759" s="27" t="s">
        <v>4</v>
      </c>
      <c r="C15759" s="27" t="s">
        <v>50</v>
      </c>
      <c r="D15759" s="27" t="s">
        <v>7</v>
      </c>
      <c r="E15759" s="27" t="s">
        <v>16</v>
      </c>
      <c r="F15759" s="29"/>
      <c r="G15759" s="30">
        <f>144047.1/18</f>
        <v>8002.6166666666668</v>
      </c>
    </row>
    <row r="15760" spans="1:7" hidden="1" x14ac:dyDescent="0.25">
      <c r="A15760" s="28">
        <v>44835</v>
      </c>
      <c r="B15760" s="27" t="s">
        <v>4</v>
      </c>
      <c r="C15760" s="27" t="s">
        <v>50</v>
      </c>
      <c r="D15760" s="27" t="s">
        <v>7</v>
      </c>
      <c r="E15760" s="27" t="s">
        <v>17</v>
      </c>
      <c r="F15760" s="29"/>
      <c r="G15760" s="30">
        <v>83.86</v>
      </c>
    </row>
    <row r="15761" spans="1:7" hidden="1" x14ac:dyDescent="0.25">
      <c r="A15761" s="28">
        <v>44835</v>
      </c>
      <c r="B15761" s="27" t="s">
        <v>4</v>
      </c>
      <c r="C15761" s="27" t="s">
        <v>50</v>
      </c>
      <c r="D15761" s="27" t="s">
        <v>7</v>
      </c>
      <c r="E15761" s="27" t="s">
        <v>18</v>
      </c>
      <c r="F15761" s="29"/>
      <c r="G15761" s="30">
        <f>144047.1/18</f>
        <v>8002.6166666666668</v>
      </c>
    </row>
    <row r="15762" spans="1:7" hidden="1" x14ac:dyDescent="0.25">
      <c r="A15762" s="28">
        <v>44835</v>
      </c>
      <c r="B15762" s="27" t="s">
        <v>4</v>
      </c>
      <c r="C15762" s="27" t="s">
        <v>50</v>
      </c>
      <c r="D15762" s="27" t="s">
        <v>7</v>
      </c>
      <c r="E15762" s="27" t="s">
        <v>19</v>
      </c>
      <c r="F15762" s="29"/>
      <c r="G15762" s="30">
        <f>144047.1/18</f>
        <v>8002.6166666666668</v>
      </c>
    </row>
    <row r="15763" spans="1:7" hidden="1" x14ac:dyDescent="0.25">
      <c r="A15763" s="28">
        <v>44835</v>
      </c>
      <c r="B15763" s="27" t="s">
        <v>4</v>
      </c>
      <c r="C15763" s="27" t="s">
        <v>50</v>
      </c>
      <c r="D15763" s="27" t="s">
        <v>7</v>
      </c>
      <c r="E15763" s="27" t="s">
        <v>20</v>
      </c>
      <c r="F15763" s="29"/>
      <c r="G15763" s="30">
        <f>144047.1/18</f>
        <v>8002.6166666666668</v>
      </c>
    </row>
    <row r="15764" spans="1:7" hidden="1" x14ac:dyDescent="0.25">
      <c r="A15764" s="28">
        <v>44835</v>
      </c>
      <c r="B15764" s="27" t="s">
        <v>4</v>
      </c>
      <c r="C15764" s="27" t="s">
        <v>50</v>
      </c>
      <c r="D15764" s="27" t="s">
        <v>7</v>
      </c>
      <c r="E15764" s="27" t="s">
        <v>38</v>
      </c>
      <c r="F15764" s="29"/>
      <c r="G15764" s="30">
        <f>144047.1/18</f>
        <v>8002.6166666666668</v>
      </c>
    </row>
    <row r="15765" spans="1:7" hidden="1" x14ac:dyDescent="0.25">
      <c r="A15765" s="28">
        <v>44835</v>
      </c>
      <c r="B15765" s="27" t="s">
        <v>4</v>
      </c>
      <c r="C15765" s="27" t="s">
        <v>50</v>
      </c>
      <c r="D15765" s="27" t="s">
        <v>7</v>
      </c>
      <c r="E15765" s="27" t="s">
        <v>23</v>
      </c>
      <c r="F15765" s="29"/>
      <c r="G15765" s="30">
        <v>2195.25</v>
      </c>
    </row>
    <row r="15766" spans="1:7" hidden="1" x14ac:dyDescent="0.25">
      <c r="A15766" s="28">
        <v>44835</v>
      </c>
      <c r="B15766" s="27" t="s">
        <v>4</v>
      </c>
      <c r="C15766" s="27" t="s">
        <v>50</v>
      </c>
      <c r="D15766" s="27" t="s">
        <v>7</v>
      </c>
      <c r="E15766" s="27" t="s">
        <v>40</v>
      </c>
      <c r="F15766" s="29"/>
      <c r="G15766" s="30">
        <v>340.93</v>
      </c>
    </row>
    <row r="15767" spans="1:7" hidden="1" x14ac:dyDescent="0.25">
      <c r="A15767" s="28">
        <v>44835</v>
      </c>
      <c r="B15767" s="27" t="s">
        <v>4</v>
      </c>
      <c r="C15767" s="27" t="s">
        <v>50</v>
      </c>
      <c r="D15767" s="27" t="s">
        <v>7</v>
      </c>
      <c r="E15767" s="27" t="s">
        <v>42</v>
      </c>
      <c r="F15767" s="29"/>
      <c r="G15767" s="30">
        <f t="shared" ref="G15767:G15773" si="273">144047.1/18</f>
        <v>8002.6166666666668</v>
      </c>
    </row>
    <row r="15768" spans="1:7" hidden="1" x14ac:dyDescent="0.25">
      <c r="A15768" s="28">
        <v>44835</v>
      </c>
      <c r="B15768" s="27" t="s">
        <v>4</v>
      </c>
      <c r="C15768" s="27" t="s">
        <v>50</v>
      </c>
      <c r="D15768" s="27" t="s">
        <v>7</v>
      </c>
      <c r="E15768" s="27" t="s">
        <v>43</v>
      </c>
      <c r="F15768" s="29"/>
      <c r="G15768" s="30">
        <f t="shared" si="273"/>
        <v>8002.6166666666668</v>
      </c>
    </row>
    <row r="15769" spans="1:7" hidden="1" x14ac:dyDescent="0.25">
      <c r="A15769" s="28">
        <v>44835</v>
      </c>
      <c r="B15769" s="27" t="s">
        <v>4</v>
      </c>
      <c r="C15769" s="27" t="s">
        <v>50</v>
      </c>
      <c r="D15769" s="27" t="s">
        <v>7</v>
      </c>
      <c r="E15769" s="27" t="s">
        <v>72</v>
      </c>
      <c r="F15769" s="29"/>
      <c r="G15769" s="30">
        <f t="shared" si="273"/>
        <v>8002.6166666666668</v>
      </c>
    </row>
    <row r="15770" spans="1:7" hidden="1" x14ac:dyDescent="0.25">
      <c r="A15770" s="28">
        <v>44835</v>
      </c>
      <c r="B15770" s="27" t="s">
        <v>4</v>
      </c>
      <c r="C15770" s="27" t="s">
        <v>50</v>
      </c>
      <c r="D15770" s="27" t="s">
        <v>7</v>
      </c>
      <c r="E15770" s="27" t="s">
        <v>206</v>
      </c>
      <c r="F15770" s="29"/>
      <c r="G15770" s="30">
        <f t="shared" si="273"/>
        <v>8002.6166666666668</v>
      </c>
    </row>
    <row r="15771" spans="1:7" hidden="1" x14ac:dyDescent="0.25">
      <c r="A15771" s="28">
        <v>44835</v>
      </c>
      <c r="B15771" s="27" t="s">
        <v>4</v>
      </c>
      <c r="C15771" s="27" t="s">
        <v>50</v>
      </c>
      <c r="D15771" s="27" t="s">
        <v>7</v>
      </c>
      <c r="E15771" s="27" t="s">
        <v>67</v>
      </c>
      <c r="F15771" s="29"/>
      <c r="G15771" s="30">
        <f t="shared" si="273"/>
        <v>8002.6166666666668</v>
      </c>
    </row>
    <row r="15772" spans="1:7" hidden="1" x14ac:dyDescent="0.25">
      <c r="A15772" s="28">
        <v>44835</v>
      </c>
      <c r="B15772" s="27" t="s">
        <v>4</v>
      </c>
      <c r="C15772" s="27" t="s">
        <v>50</v>
      </c>
      <c r="D15772" s="27" t="s">
        <v>7</v>
      </c>
      <c r="E15772" s="27" t="s">
        <v>68</v>
      </c>
      <c r="F15772" s="29"/>
      <c r="G15772" s="30">
        <f t="shared" si="273"/>
        <v>8002.6166666666668</v>
      </c>
    </row>
    <row r="15773" spans="1:7" hidden="1" x14ac:dyDescent="0.25">
      <c r="A15773" s="28">
        <v>44835</v>
      </c>
      <c r="B15773" s="27" t="s">
        <v>4</v>
      </c>
      <c r="C15773" s="27" t="s">
        <v>50</v>
      </c>
      <c r="D15773" s="27" t="s">
        <v>7</v>
      </c>
      <c r="E15773" s="27" t="s">
        <v>74</v>
      </c>
      <c r="F15773" s="29"/>
      <c r="G15773" s="30">
        <f t="shared" si="273"/>
        <v>8002.6166666666668</v>
      </c>
    </row>
    <row r="15774" spans="1:7" hidden="1" x14ac:dyDescent="0.25">
      <c r="A15774" s="28">
        <v>44835</v>
      </c>
      <c r="B15774" s="27" t="s">
        <v>26</v>
      </c>
      <c r="C15774" s="27" t="s">
        <v>50</v>
      </c>
      <c r="D15774" s="27" t="s">
        <v>6</v>
      </c>
      <c r="E15774" s="27" t="s">
        <v>8</v>
      </c>
      <c r="F15774" s="29"/>
      <c r="G15774" s="30">
        <v>719.18234681218985</v>
      </c>
    </row>
    <row r="15775" spans="1:7" hidden="1" x14ac:dyDescent="0.25">
      <c r="A15775" s="28">
        <v>44835</v>
      </c>
      <c r="B15775" s="27" t="s">
        <v>26</v>
      </c>
      <c r="C15775" s="27" t="s">
        <v>50</v>
      </c>
      <c r="D15775" s="27" t="s">
        <v>6</v>
      </c>
      <c r="E15775" s="27" t="s">
        <v>9</v>
      </c>
      <c r="F15775" s="29"/>
      <c r="G15775" s="30">
        <v>1595.1320615825009</v>
      </c>
    </row>
    <row r="15776" spans="1:7" hidden="1" x14ac:dyDescent="0.25">
      <c r="A15776" s="28">
        <v>44835</v>
      </c>
      <c r="B15776" s="27" t="s">
        <v>26</v>
      </c>
      <c r="C15776" s="27" t="s">
        <v>50</v>
      </c>
      <c r="D15776" s="27" t="s">
        <v>6</v>
      </c>
      <c r="E15776" s="27" t="s">
        <v>22</v>
      </c>
      <c r="F15776" s="29"/>
      <c r="G15776" s="30">
        <v>2121.8036778000037</v>
      </c>
    </row>
    <row r="15777" spans="1:7" hidden="1" x14ac:dyDescent="0.25">
      <c r="A15777" s="28">
        <v>44835</v>
      </c>
      <c r="B15777" s="27" t="s">
        <v>26</v>
      </c>
      <c r="C15777" s="27" t="s">
        <v>50</v>
      </c>
      <c r="D15777" s="27" t="s">
        <v>6</v>
      </c>
      <c r="E15777" s="27" t="s">
        <v>39</v>
      </c>
      <c r="F15777" s="29"/>
      <c r="G15777" s="30">
        <v>1858.2521149872089</v>
      </c>
    </row>
    <row r="15778" spans="1:7" hidden="1" x14ac:dyDescent="0.25">
      <c r="A15778" s="28">
        <v>44835</v>
      </c>
      <c r="B15778" s="27" t="s">
        <v>26</v>
      </c>
      <c r="C15778" s="27" t="s">
        <v>50</v>
      </c>
      <c r="D15778" s="27" t="s">
        <v>6</v>
      </c>
      <c r="E15778" s="27" t="s">
        <v>64</v>
      </c>
      <c r="F15778" s="29"/>
      <c r="G15778" s="30">
        <v>1276.3329108875935</v>
      </c>
    </row>
    <row r="15779" spans="1:7" hidden="1" x14ac:dyDescent="0.25">
      <c r="A15779" s="28">
        <v>44835</v>
      </c>
      <c r="B15779" s="27" t="s">
        <v>26</v>
      </c>
      <c r="C15779" s="27" t="s">
        <v>50</v>
      </c>
      <c r="D15779" s="27" t="s">
        <v>6</v>
      </c>
      <c r="E15779" s="27" t="s">
        <v>21</v>
      </c>
      <c r="F15779" s="29"/>
      <c r="G15779" s="30">
        <v>1372.0704648952321</v>
      </c>
    </row>
    <row r="15780" spans="1:7" hidden="1" x14ac:dyDescent="0.25">
      <c r="A15780" s="28">
        <v>44835</v>
      </c>
      <c r="B15780" s="27" t="s">
        <v>26</v>
      </c>
      <c r="C15780" s="27" t="s">
        <v>50</v>
      </c>
      <c r="D15780" s="27" t="s">
        <v>6</v>
      </c>
      <c r="E15780" s="27" t="s">
        <v>41</v>
      </c>
      <c r="F15780" s="29"/>
      <c r="G15780" s="30">
        <v>1581.4819806400055</v>
      </c>
    </row>
    <row r="15781" spans="1:7" hidden="1" x14ac:dyDescent="0.25">
      <c r="A15781" s="28">
        <v>44835</v>
      </c>
      <c r="B15781" s="27" t="s">
        <v>26</v>
      </c>
      <c r="C15781" s="27" t="s">
        <v>50</v>
      </c>
      <c r="D15781" s="27" t="s">
        <v>6</v>
      </c>
      <c r="E15781" s="27" t="s">
        <v>10</v>
      </c>
      <c r="F15781" s="29"/>
      <c r="G15781" s="30">
        <v>2188.8314725228997</v>
      </c>
    </row>
    <row r="15782" spans="1:7" hidden="1" x14ac:dyDescent="0.25">
      <c r="A15782" s="28">
        <v>44835</v>
      </c>
      <c r="B15782" s="27" t="s">
        <v>26</v>
      </c>
      <c r="C15782" s="27" t="s">
        <v>50</v>
      </c>
      <c r="D15782" s="27" t="s">
        <v>6</v>
      </c>
      <c r="E15782" s="27" t="s">
        <v>11</v>
      </c>
      <c r="F15782" s="29"/>
      <c r="G15782" s="30">
        <v>1627.7110218930932</v>
      </c>
    </row>
    <row r="15783" spans="1:7" hidden="1" x14ac:dyDescent="0.25">
      <c r="A15783" s="28">
        <v>44835</v>
      </c>
      <c r="B15783" s="27" t="s">
        <v>26</v>
      </c>
      <c r="C15783" s="27" t="s">
        <v>50</v>
      </c>
      <c r="D15783" s="27" t="s">
        <v>6</v>
      </c>
      <c r="E15783" s="27" t="s">
        <v>12</v>
      </c>
      <c r="F15783" s="29"/>
      <c r="G15783" s="30">
        <v>1714.4875638594519</v>
      </c>
    </row>
    <row r="15784" spans="1:7" hidden="1" x14ac:dyDescent="0.25">
      <c r="A15784" s="28">
        <v>44835</v>
      </c>
      <c r="B15784" s="27" t="s">
        <v>26</v>
      </c>
      <c r="C15784" s="27" t="s">
        <v>50</v>
      </c>
      <c r="D15784" s="27" t="s">
        <v>6</v>
      </c>
      <c r="E15784" s="27" t="s">
        <v>13</v>
      </c>
      <c r="F15784" s="29"/>
      <c r="G15784" s="30">
        <v>1743.4562287890469</v>
      </c>
    </row>
    <row r="15785" spans="1:7" hidden="1" x14ac:dyDescent="0.25">
      <c r="A15785" s="28">
        <v>44835</v>
      </c>
      <c r="B15785" s="27" t="s">
        <v>26</v>
      </c>
      <c r="C15785" s="27" t="s">
        <v>50</v>
      </c>
      <c r="D15785" s="27" t="s">
        <v>6</v>
      </c>
      <c r="E15785" s="27" t="s">
        <v>14</v>
      </c>
      <c r="F15785" s="29"/>
      <c r="G15785" s="30">
        <v>561.68141286032039</v>
      </c>
    </row>
    <row r="15786" spans="1:7" hidden="1" x14ac:dyDescent="0.25">
      <c r="A15786" s="28">
        <v>44835</v>
      </c>
      <c r="B15786" s="27" t="s">
        <v>26</v>
      </c>
      <c r="C15786" s="27" t="s">
        <v>50</v>
      </c>
      <c r="D15786" s="27" t="s">
        <v>6</v>
      </c>
      <c r="E15786" s="27" t="s">
        <v>15</v>
      </c>
      <c r="F15786" s="29"/>
      <c r="G15786" s="30">
        <v>1903.4886846016955</v>
      </c>
    </row>
    <row r="15787" spans="1:7" hidden="1" x14ac:dyDescent="0.25">
      <c r="A15787" s="28">
        <v>44835</v>
      </c>
      <c r="B15787" s="27" t="s">
        <v>26</v>
      </c>
      <c r="C15787" s="27" t="s">
        <v>50</v>
      </c>
      <c r="D15787" s="27" t="s">
        <v>6</v>
      </c>
      <c r="E15787" s="27" t="s">
        <v>16</v>
      </c>
      <c r="F15787" s="29"/>
      <c r="G15787" s="30">
        <v>2154.0949651718715</v>
      </c>
    </row>
    <row r="15788" spans="1:7" hidden="1" x14ac:dyDescent="0.25">
      <c r="A15788" s="28">
        <v>44835</v>
      </c>
      <c r="B15788" s="27" t="s">
        <v>26</v>
      </c>
      <c r="C15788" s="27" t="s">
        <v>50</v>
      </c>
      <c r="D15788" s="27" t="s">
        <v>6</v>
      </c>
      <c r="E15788" s="27" t="s">
        <v>17</v>
      </c>
      <c r="F15788" s="29"/>
      <c r="G15788" s="30">
        <v>3135.6350321011482</v>
      </c>
    </row>
    <row r="15789" spans="1:7" hidden="1" x14ac:dyDescent="0.25">
      <c r="A15789" s="28">
        <v>44835</v>
      </c>
      <c r="B15789" s="27" t="s">
        <v>26</v>
      </c>
      <c r="C15789" s="27" t="s">
        <v>50</v>
      </c>
      <c r="D15789" s="27" t="s">
        <v>6</v>
      </c>
      <c r="E15789" s="27" t="s">
        <v>18</v>
      </c>
      <c r="F15789" s="29"/>
      <c r="G15789" s="30">
        <v>1603.690331509566</v>
      </c>
    </row>
    <row r="15790" spans="1:7" hidden="1" x14ac:dyDescent="0.25">
      <c r="A15790" s="28">
        <v>44835</v>
      </c>
      <c r="B15790" s="27" t="s">
        <v>26</v>
      </c>
      <c r="C15790" s="27" t="s">
        <v>50</v>
      </c>
      <c r="D15790" s="27" t="s">
        <v>6</v>
      </c>
      <c r="E15790" s="27" t="s">
        <v>19</v>
      </c>
      <c r="F15790" s="29"/>
      <c r="G15790" s="30">
        <v>2421.1417541901737</v>
      </c>
    </row>
    <row r="15791" spans="1:7" hidden="1" x14ac:dyDescent="0.25">
      <c r="A15791" s="28">
        <v>44835</v>
      </c>
      <c r="B15791" s="27" t="s">
        <v>26</v>
      </c>
      <c r="C15791" s="27" t="s">
        <v>50</v>
      </c>
      <c r="D15791" s="27" t="s">
        <v>6</v>
      </c>
      <c r="E15791" s="27" t="s">
        <v>20</v>
      </c>
      <c r="F15791" s="29"/>
      <c r="G15791" s="30">
        <v>1946.4814052941281</v>
      </c>
    </row>
    <row r="15792" spans="1:7" hidden="1" x14ac:dyDescent="0.25">
      <c r="A15792" s="28">
        <v>44835</v>
      </c>
      <c r="B15792" s="27" t="s">
        <v>26</v>
      </c>
      <c r="C15792" s="27" t="s">
        <v>50</v>
      </c>
      <c r="D15792" s="27" t="s">
        <v>6</v>
      </c>
      <c r="E15792" s="27" t="s">
        <v>38</v>
      </c>
      <c r="F15792" s="29"/>
      <c r="G15792" s="30">
        <v>760.63601728244464</v>
      </c>
    </row>
    <row r="15793" spans="1:7" hidden="1" x14ac:dyDescent="0.25">
      <c r="A15793" s="28">
        <v>44835</v>
      </c>
      <c r="B15793" s="27" t="s">
        <v>26</v>
      </c>
      <c r="C15793" s="27" t="s">
        <v>50</v>
      </c>
      <c r="D15793" s="27" t="s">
        <v>6</v>
      </c>
      <c r="E15793" s="27" t="s">
        <v>23</v>
      </c>
      <c r="F15793" s="29"/>
      <c r="G15793" s="30">
        <v>2589.0564485238838</v>
      </c>
    </row>
    <row r="15794" spans="1:7" hidden="1" x14ac:dyDescent="0.25">
      <c r="A15794" s="28">
        <v>44835</v>
      </c>
      <c r="B15794" s="27" t="s">
        <v>26</v>
      </c>
      <c r="C15794" s="27" t="s">
        <v>50</v>
      </c>
      <c r="D15794" s="27" t="s">
        <v>6</v>
      </c>
      <c r="E15794" s="27" t="s">
        <v>40</v>
      </c>
      <c r="F15794" s="29"/>
      <c r="G15794" s="30">
        <v>834.25152230214019</v>
      </c>
    </row>
    <row r="15795" spans="1:7" hidden="1" x14ac:dyDescent="0.25">
      <c r="A15795" s="28">
        <v>44835</v>
      </c>
      <c r="B15795" s="27" t="s">
        <v>26</v>
      </c>
      <c r="C15795" s="27" t="s">
        <v>50</v>
      </c>
      <c r="D15795" s="27" t="s">
        <v>6</v>
      </c>
      <c r="E15795" s="27" t="s">
        <v>42</v>
      </c>
      <c r="F15795" s="29"/>
      <c r="G15795" s="30">
        <v>770.09371289428304</v>
      </c>
    </row>
    <row r="15796" spans="1:7" hidden="1" x14ac:dyDescent="0.25">
      <c r="A15796" s="28">
        <v>44835</v>
      </c>
      <c r="B15796" s="27" t="s">
        <v>26</v>
      </c>
      <c r="C15796" s="27" t="s">
        <v>50</v>
      </c>
      <c r="D15796" s="27" t="s">
        <v>6</v>
      </c>
      <c r="E15796" s="27" t="s">
        <v>43</v>
      </c>
      <c r="F15796" s="29"/>
      <c r="G15796" s="30">
        <v>715.10130483040575</v>
      </c>
    </row>
    <row r="15797" spans="1:7" hidden="1" x14ac:dyDescent="0.25">
      <c r="A15797" s="28">
        <v>44835</v>
      </c>
      <c r="B15797" s="27" t="s">
        <v>26</v>
      </c>
      <c r="C15797" s="27" t="s">
        <v>50</v>
      </c>
      <c r="D15797" s="27" t="s">
        <v>6</v>
      </c>
      <c r="E15797" s="27" t="s">
        <v>72</v>
      </c>
      <c r="F15797" s="29"/>
      <c r="G15797" s="30">
        <v>667.44121784171193</v>
      </c>
    </row>
    <row r="15798" spans="1:7" hidden="1" x14ac:dyDescent="0.25">
      <c r="A15798" s="28">
        <v>44835</v>
      </c>
      <c r="B15798" s="27" t="s">
        <v>26</v>
      </c>
      <c r="C15798" s="27" t="s">
        <v>50</v>
      </c>
      <c r="D15798" s="27" t="s">
        <v>6</v>
      </c>
      <c r="E15798" s="27" t="s">
        <v>206</v>
      </c>
      <c r="F15798" s="29"/>
      <c r="G15798" s="30">
        <v>625.73864172660501</v>
      </c>
    </row>
    <row r="15799" spans="1:7" hidden="1" x14ac:dyDescent="0.25">
      <c r="A15799" s="28">
        <v>44835</v>
      </c>
      <c r="B15799" s="27" t="s">
        <v>26</v>
      </c>
      <c r="C15799" s="27" t="s">
        <v>50</v>
      </c>
      <c r="D15799" s="27" t="s">
        <v>6</v>
      </c>
      <c r="E15799" s="27" t="s">
        <v>67</v>
      </c>
      <c r="F15799" s="29"/>
      <c r="G15799" s="30">
        <v>588.94225103680481</v>
      </c>
    </row>
    <row r="15800" spans="1:7" hidden="1" x14ac:dyDescent="0.25">
      <c r="A15800" s="28">
        <v>44835</v>
      </c>
      <c r="B15800" s="27" t="s">
        <v>26</v>
      </c>
      <c r="C15800" s="27" t="s">
        <v>50</v>
      </c>
      <c r="D15800" s="27" t="s">
        <v>6</v>
      </c>
      <c r="E15800" s="27" t="s">
        <v>68</v>
      </c>
      <c r="F15800" s="29"/>
      <c r="G15800" s="30">
        <v>556.23434820142666</v>
      </c>
    </row>
    <row r="15801" spans="1:7" hidden="1" x14ac:dyDescent="0.25">
      <c r="A15801" s="28">
        <v>44835</v>
      </c>
      <c r="B15801" s="27" t="s">
        <v>26</v>
      </c>
      <c r="C15801" s="27" t="s">
        <v>50</v>
      </c>
      <c r="D15801" s="27" t="s">
        <v>6</v>
      </c>
      <c r="E15801" s="27" t="s">
        <v>74</v>
      </c>
      <c r="F15801" s="29"/>
      <c r="G15801" s="30">
        <v>1778.7894736842106</v>
      </c>
    </row>
    <row r="15802" spans="1:7" hidden="1" x14ac:dyDescent="0.25">
      <c r="A15802" s="28">
        <v>44835</v>
      </c>
      <c r="B15802" s="27" t="s">
        <v>26</v>
      </c>
      <c r="C15802" s="27" t="s">
        <v>50</v>
      </c>
      <c r="D15802" s="27" t="s">
        <v>6</v>
      </c>
      <c r="E15802" s="27" t="s">
        <v>37</v>
      </c>
      <c r="F15802" s="29"/>
      <c r="G15802" s="30">
        <v>791.10058149340887</v>
      </c>
    </row>
    <row r="15803" spans="1:7" hidden="1" x14ac:dyDescent="0.25">
      <c r="A15803" s="28">
        <v>44835</v>
      </c>
      <c r="B15803" s="27" t="s">
        <v>3</v>
      </c>
      <c r="C15803" s="27" t="s">
        <v>50</v>
      </c>
      <c r="D15803" s="27" t="s">
        <v>7</v>
      </c>
      <c r="E15803" s="27" t="s">
        <v>8</v>
      </c>
      <c r="F15803" s="29"/>
      <c r="G15803" s="30">
        <v>936.12571428571425</v>
      </c>
    </row>
    <row r="15804" spans="1:7" hidden="1" x14ac:dyDescent="0.25">
      <c r="A15804" s="28">
        <v>44835</v>
      </c>
      <c r="B15804" s="27" t="s">
        <v>3</v>
      </c>
      <c r="C15804" s="27" t="s">
        <v>50</v>
      </c>
      <c r="D15804" s="27" t="s">
        <v>7</v>
      </c>
      <c r="E15804" s="27" t="s">
        <v>9</v>
      </c>
      <c r="F15804" s="29"/>
      <c r="G15804" s="30">
        <v>936.12571428571425</v>
      </c>
    </row>
    <row r="15805" spans="1:7" hidden="1" x14ac:dyDescent="0.25">
      <c r="A15805" s="28">
        <v>44835</v>
      </c>
      <c r="B15805" s="27" t="s">
        <v>3</v>
      </c>
      <c r="C15805" s="27" t="s">
        <v>50</v>
      </c>
      <c r="D15805" s="27" t="s">
        <v>7</v>
      </c>
      <c r="E15805" s="27" t="s">
        <v>22</v>
      </c>
      <c r="F15805" s="29"/>
      <c r="G15805" s="30">
        <v>936.12571428571425</v>
      </c>
    </row>
    <row r="15806" spans="1:7" hidden="1" x14ac:dyDescent="0.25">
      <c r="A15806" s="28">
        <v>44835</v>
      </c>
      <c r="B15806" s="27" t="s">
        <v>3</v>
      </c>
      <c r="C15806" s="27" t="s">
        <v>50</v>
      </c>
      <c r="D15806" s="27" t="s">
        <v>7</v>
      </c>
      <c r="E15806" s="27" t="s">
        <v>39</v>
      </c>
      <c r="F15806" s="29"/>
      <c r="G15806" s="30">
        <v>936.12571428571425</v>
      </c>
    </row>
    <row r="15807" spans="1:7" hidden="1" x14ac:dyDescent="0.25">
      <c r="A15807" s="28">
        <v>44835</v>
      </c>
      <c r="B15807" s="27" t="s">
        <v>3</v>
      </c>
      <c r="C15807" s="27" t="s">
        <v>50</v>
      </c>
      <c r="D15807" s="27" t="s">
        <v>7</v>
      </c>
      <c r="E15807" s="27" t="s">
        <v>64</v>
      </c>
      <c r="F15807" s="29"/>
      <c r="G15807" s="30">
        <v>936.12571428571425</v>
      </c>
    </row>
    <row r="15808" spans="1:7" hidden="1" x14ac:dyDescent="0.25">
      <c r="A15808" s="28">
        <v>44835</v>
      </c>
      <c r="B15808" s="27" t="s">
        <v>3</v>
      </c>
      <c r="C15808" s="27" t="s">
        <v>50</v>
      </c>
      <c r="D15808" s="27" t="s">
        <v>7</v>
      </c>
      <c r="E15808" s="27" t="s">
        <v>21</v>
      </c>
      <c r="F15808" s="29"/>
      <c r="G15808" s="30">
        <v>936.12571428571425</v>
      </c>
    </row>
    <row r="15809" spans="1:7" hidden="1" x14ac:dyDescent="0.25">
      <c r="A15809" s="28">
        <v>44835</v>
      </c>
      <c r="B15809" s="27" t="s">
        <v>3</v>
      </c>
      <c r="C15809" s="27" t="s">
        <v>50</v>
      </c>
      <c r="D15809" s="27" t="s">
        <v>7</v>
      </c>
      <c r="E15809" s="27" t="s">
        <v>41</v>
      </c>
      <c r="F15809" s="29"/>
      <c r="G15809" s="30">
        <v>936.12571428571425</v>
      </c>
    </row>
    <row r="15810" spans="1:7" hidden="1" x14ac:dyDescent="0.25">
      <c r="A15810" s="28">
        <v>44835</v>
      </c>
      <c r="B15810" s="27" t="s">
        <v>3</v>
      </c>
      <c r="C15810" s="27" t="s">
        <v>50</v>
      </c>
      <c r="D15810" s="27" t="s">
        <v>7</v>
      </c>
      <c r="E15810" s="27" t="s">
        <v>10</v>
      </c>
      <c r="F15810" s="29"/>
      <c r="G15810" s="30">
        <v>936.12571428571425</v>
      </c>
    </row>
    <row r="15811" spans="1:7" hidden="1" x14ac:dyDescent="0.25">
      <c r="A15811" s="28">
        <v>44835</v>
      </c>
      <c r="B15811" s="27" t="s">
        <v>3</v>
      </c>
      <c r="C15811" s="27" t="s">
        <v>50</v>
      </c>
      <c r="D15811" s="27" t="s">
        <v>7</v>
      </c>
      <c r="E15811" s="27" t="s">
        <v>11</v>
      </c>
      <c r="F15811" s="29"/>
      <c r="G15811" s="30">
        <v>936.12571428571425</v>
      </c>
    </row>
    <row r="15812" spans="1:7" hidden="1" x14ac:dyDescent="0.25">
      <c r="A15812" s="28">
        <v>44835</v>
      </c>
      <c r="B15812" s="27" t="s">
        <v>3</v>
      </c>
      <c r="C15812" s="27" t="s">
        <v>50</v>
      </c>
      <c r="D15812" s="27" t="s">
        <v>7</v>
      </c>
      <c r="E15812" s="27" t="s">
        <v>12</v>
      </c>
      <c r="F15812" s="29"/>
      <c r="G15812" s="30">
        <v>936.12571428571425</v>
      </c>
    </row>
    <row r="15813" spans="1:7" hidden="1" x14ac:dyDescent="0.25">
      <c r="A15813" s="28">
        <v>44835</v>
      </c>
      <c r="B15813" s="27" t="s">
        <v>3</v>
      </c>
      <c r="C15813" s="27" t="s">
        <v>50</v>
      </c>
      <c r="D15813" s="27" t="s">
        <v>7</v>
      </c>
      <c r="E15813" s="27" t="s">
        <v>13</v>
      </c>
      <c r="F15813" s="29"/>
      <c r="G15813" s="30">
        <v>936.12571428571425</v>
      </c>
    </row>
    <row r="15814" spans="1:7" hidden="1" x14ac:dyDescent="0.25">
      <c r="A15814" s="28">
        <v>44835</v>
      </c>
      <c r="B15814" s="27" t="s">
        <v>3</v>
      </c>
      <c r="C15814" s="27" t="s">
        <v>50</v>
      </c>
      <c r="D15814" s="27" t="s">
        <v>7</v>
      </c>
      <c r="E15814" s="27" t="s">
        <v>14</v>
      </c>
      <c r="F15814" s="29"/>
      <c r="G15814" s="30">
        <v>936.12571428571425</v>
      </c>
    </row>
    <row r="15815" spans="1:7" hidden="1" x14ac:dyDescent="0.25">
      <c r="A15815" s="28">
        <v>44835</v>
      </c>
      <c r="B15815" s="27" t="s">
        <v>3</v>
      </c>
      <c r="C15815" s="27" t="s">
        <v>50</v>
      </c>
      <c r="D15815" s="27" t="s">
        <v>7</v>
      </c>
      <c r="E15815" s="27" t="s">
        <v>15</v>
      </c>
      <c r="F15815" s="29"/>
      <c r="G15815" s="30">
        <v>936.12571428571425</v>
      </c>
    </row>
    <row r="15816" spans="1:7" hidden="1" x14ac:dyDescent="0.25">
      <c r="A15816" s="28">
        <v>44835</v>
      </c>
      <c r="B15816" s="27" t="s">
        <v>3</v>
      </c>
      <c r="C15816" s="27" t="s">
        <v>50</v>
      </c>
      <c r="D15816" s="27" t="s">
        <v>7</v>
      </c>
      <c r="E15816" s="27" t="s">
        <v>16</v>
      </c>
      <c r="F15816" s="29"/>
      <c r="G15816" s="30">
        <v>936.12571428571425</v>
      </c>
    </row>
    <row r="15817" spans="1:7" hidden="1" x14ac:dyDescent="0.25">
      <c r="A15817" s="28">
        <v>44835</v>
      </c>
      <c r="B15817" s="27" t="s">
        <v>3</v>
      </c>
      <c r="C15817" s="27" t="s">
        <v>50</v>
      </c>
      <c r="D15817" s="27" t="s">
        <v>7</v>
      </c>
      <c r="E15817" s="27" t="s">
        <v>17</v>
      </c>
      <c r="F15817" s="29"/>
      <c r="G15817" s="30">
        <v>936.12571428571425</v>
      </c>
    </row>
    <row r="15818" spans="1:7" hidden="1" x14ac:dyDescent="0.25">
      <c r="A15818" s="28">
        <v>44835</v>
      </c>
      <c r="B15818" s="27" t="s">
        <v>3</v>
      </c>
      <c r="C15818" s="27" t="s">
        <v>50</v>
      </c>
      <c r="D15818" s="27" t="s">
        <v>7</v>
      </c>
      <c r="E15818" s="27" t="s">
        <v>18</v>
      </c>
      <c r="F15818" s="29"/>
      <c r="G15818" s="30">
        <v>936.12571428571425</v>
      </c>
    </row>
    <row r="15819" spans="1:7" hidden="1" x14ac:dyDescent="0.25">
      <c r="A15819" s="28">
        <v>44835</v>
      </c>
      <c r="B15819" s="27" t="s">
        <v>3</v>
      </c>
      <c r="C15819" s="27" t="s">
        <v>50</v>
      </c>
      <c r="D15819" s="27" t="s">
        <v>7</v>
      </c>
      <c r="E15819" s="27" t="s">
        <v>19</v>
      </c>
      <c r="F15819" s="29"/>
      <c r="G15819" s="30">
        <v>936.12571428571425</v>
      </c>
    </row>
    <row r="15820" spans="1:7" hidden="1" x14ac:dyDescent="0.25">
      <c r="A15820" s="28">
        <v>44835</v>
      </c>
      <c r="B15820" s="27" t="s">
        <v>3</v>
      </c>
      <c r="C15820" s="27" t="s">
        <v>50</v>
      </c>
      <c r="D15820" s="27" t="s">
        <v>7</v>
      </c>
      <c r="E15820" s="27" t="s">
        <v>20</v>
      </c>
      <c r="F15820" s="29"/>
      <c r="G15820" s="30">
        <v>936.12571428571425</v>
      </c>
    </row>
    <row r="15821" spans="1:7" hidden="1" x14ac:dyDescent="0.25">
      <c r="A15821" s="28">
        <v>44835</v>
      </c>
      <c r="B15821" s="27" t="s">
        <v>3</v>
      </c>
      <c r="C15821" s="27" t="s">
        <v>50</v>
      </c>
      <c r="D15821" s="27" t="s">
        <v>7</v>
      </c>
      <c r="E15821" s="27" t="s">
        <v>38</v>
      </c>
      <c r="F15821" s="29"/>
      <c r="G15821" s="30">
        <v>936.12571428571425</v>
      </c>
    </row>
    <row r="15822" spans="1:7" hidden="1" x14ac:dyDescent="0.25">
      <c r="A15822" s="28">
        <v>44835</v>
      </c>
      <c r="B15822" s="27" t="s">
        <v>3</v>
      </c>
      <c r="C15822" s="27" t="s">
        <v>50</v>
      </c>
      <c r="D15822" s="27" t="s">
        <v>7</v>
      </c>
      <c r="E15822" s="27" t="s">
        <v>23</v>
      </c>
      <c r="F15822" s="29"/>
      <c r="G15822" s="30">
        <v>936.12571428571425</v>
      </c>
    </row>
    <row r="15823" spans="1:7" hidden="1" x14ac:dyDescent="0.25">
      <c r="A15823" s="28">
        <v>44835</v>
      </c>
      <c r="B15823" s="27" t="s">
        <v>3</v>
      </c>
      <c r="C15823" s="27" t="s">
        <v>50</v>
      </c>
      <c r="D15823" s="27" t="s">
        <v>7</v>
      </c>
      <c r="E15823" s="27" t="s">
        <v>40</v>
      </c>
      <c r="F15823" s="29"/>
      <c r="G15823" s="30">
        <v>936.12571428571425</v>
      </c>
    </row>
    <row r="15824" spans="1:7" hidden="1" x14ac:dyDescent="0.25">
      <c r="A15824" s="28">
        <v>44835</v>
      </c>
      <c r="B15824" s="27" t="s">
        <v>3</v>
      </c>
      <c r="C15824" s="27" t="s">
        <v>50</v>
      </c>
      <c r="D15824" s="27" t="s">
        <v>7</v>
      </c>
      <c r="E15824" s="27" t="s">
        <v>42</v>
      </c>
      <c r="F15824" s="29"/>
      <c r="G15824" s="30">
        <v>936.12571428571425</v>
      </c>
    </row>
    <row r="15825" spans="1:7" hidden="1" x14ac:dyDescent="0.25">
      <c r="A15825" s="28">
        <v>44835</v>
      </c>
      <c r="B15825" s="27" t="s">
        <v>3</v>
      </c>
      <c r="C15825" s="27" t="s">
        <v>50</v>
      </c>
      <c r="D15825" s="27" t="s">
        <v>7</v>
      </c>
      <c r="E15825" s="27" t="s">
        <v>43</v>
      </c>
      <c r="F15825" s="29"/>
      <c r="G15825" s="30">
        <v>936.12571428571425</v>
      </c>
    </row>
    <row r="15826" spans="1:7" hidden="1" x14ac:dyDescent="0.25">
      <c r="A15826" s="28">
        <v>44835</v>
      </c>
      <c r="B15826" s="27" t="s">
        <v>3</v>
      </c>
      <c r="C15826" s="27" t="s">
        <v>50</v>
      </c>
      <c r="D15826" s="27" t="s">
        <v>7</v>
      </c>
      <c r="E15826" s="27" t="s">
        <v>72</v>
      </c>
      <c r="F15826" s="29"/>
      <c r="G15826" s="30">
        <v>936.12571428571425</v>
      </c>
    </row>
    <row r="15827" spans="1:7" hidden="1" x14ac:dyDescent="0.25">
      <c r="A15827" s="28">
        <v>44835</v>
      </c>
      <c r="B15827" s="27" t="s">
        <v>3</v>
      </c>
      <c r="C15827" s="27" t="s">
        <v>50</v>
      </c>
      <c r="D15827" s="27" t="s">
        <v>7</v>
      </c>
      <c r="E15827" s="27" t="s">
        <v>206</v>
      </c>
      <c r="F15827" s="29"/>
      <c r="G15827" s="30">
        <v>936.12571428571425</v>
      </c>
    </row>
    <row r="15828" spans="1:7" hidden="1" x14ac:dyDescent="0.25">
      <c r="A15828" s="28">
        <v>44835</v>
      </c>
      <c r="B15828" s="27" t="s">
        <v>3</v>
      </c>
      <c r="C15828" s="27" t="s">
        <v>50</v>
      </c>
      <c r="D15828" s="27" t="s">
        <v>7</v>
      </c>
      <c r="E15828" s="27" t="s">
        <v>67</v>
      </c>
      <c r="F15828" s="29"/>
      <c r="G15828" s="30">
        <v>936.12571428571425</v>
      </c>
    </row>
    <row r="15829" spans="1:7" hidden="1" x14ac:dyDescent="0.25">
      <c r="A15829" s="28">
        <v>44835</v>
      </c>
      <c r="B15829" s="27" t="s">
        <v>3</v>
      </c>
      <c r="C15829" s="27" t="s">
        <v>50</v>
      </c>
      <c r="D15829" s="27" t="s">
        <v>7</v>
      </c>
      <c r="E15829" s="27" t="s">
        <v>68</v>
      </c>
      <c r="F15829" s="29"/>
      <c r="G15829" s="30">
        <v>936.12571428571425</v>
      </c>
    </row>
    <row r="15830" spans="1:7" hidden="1" x14ac:dyDescent="0.25">
      <c r="A15830" s="28">
        <v>44835</v>
      </c>
      <c r="B15830" s="27" t="s">
        <v>3</v>
      </c>
      <c r="C15830" s="27" t="s">
        <v>50</v>
      </c>
      <c r="D15830" s="27" t="s">
        <v>7</v>
      </c>
      <c r="E15830" s="27" t="s">
        <v>74</v>
      </c>
      <c r="F15830" s="29"/>
      <c r="G15830" s="30">
        <v>936.12571428571425</v>
      </c>
    </row>
    <row r="15831" spans="1:7" hidden="1" x14ac:dyDescent="0.25">
      <c r="A15831" s="28">
        <v>44835</v>
      </c>
      <c r="B15831" s="27" t="s">
        <v>32</v>
      </c>
      <c r="C15831" s="27" t="s">
        <v>50</v>
      </c>
      <c r="D15831" s="27" t="s">
        <v>7</v>
      </c>
      <c r="E15831" s="27" t="s">
        <v>17</v>
      </c>
      <c r="F15831" s="29"/>
      <c r="G15831" s="30">
        <v>75</v>
      </c>
    </row>
    <row r="15832" spans="1:7" hidden="1" x14ac:dyDescent="0.25">
      <c r="A15832" s="28">
        <v>44835</v>
      </c>
      <c r="B15832" s="27" t="s">
        <v>5</v>
      </c>
      <c r="C15832" s="27" t="s">
        <v>51</v>
      </c>
      <c r="D15832" s="27" t="s">
        <v>51</v>
      </c>
      <c r="E15832" s="27" t="s">
        <v>8</v>
      </c>
      <c r="F15832" s="29">
        <v>3897</v>
      </c>
      <c r="G15832" s="30">
        <v>4.4118692726055775</v>
      </c>
    </row>
    <row r="15833" spans="1:7" hidden="1" x14ac:dyDescent="0.25">
      <c r="A15833" s="28">
        <v>44835</v>
      </c>
      <c r="B15833" s="27" t="s">
        <v>5</v>
      </c>
      <c r="C15833" s="27" t="s">
        <v>51</v>
      </c>
      <c r="D15833" s="27" t="s">
        <v>51</v>
      </c>
      <c r="E15833" s="27" t="s">
        <v>9</v>
      </c>
      <c r="F15833" s="29">
        <v>5634</v>
      </c>
      <c r="G15833" s="30">
        <v>2.4667362805182185</v>
      </c>
    </row>
    <row r="15834" spans="1:7" hidden="1" x14ac:dyDescent="0.25">
      <c r="A15834" s="28">
        <v>44835</v>
      </c>
      <c r="B15834" s="27" t="s">
        <v>5</v>
      </c>
      <c r="C15834" s="27" t="s">
        <v>51</v>
      </c>
      <c r="D15834" s="27" t="s">
        <v>51</v>
      </c>
      <c r="E15834" s="27" t="s">
        <v>22</v>
      </c>
      <c r="F15834" s="29">
        <v>4298</v>
      </c>
      <c r="G15834" s="30">
        <v>3.4265620801901226</v>
      </c>
    </row>
    <row r="15835" spans="1:7" hidden="1" x14ac:dyDescent="0.25">
      <c r="A15835" s="28">
        <v>44835</v>
      </c>
      <c r="B15835" s="27" t="s">
        <v>5</v>
      </c>
      <c r="C15835" s="27" t="s">
        <v>51</v>
      </c>
      <c r="D15835" s="27" t="s">
        <v>51</v>
      </c>
      <c r="E15835" s="27" t="s">
        <v>64</v>
      </c>
      <c r="F15835" s="29">
        <v>4878</v>
      </c>
      <c r="G15835" s="30">
        <v>3.1216407888541311</v>
      </c>
    </row>
    <row r="15836" spans="1:7" hidden="1" x14ac:dyDescent="0.25">
      <c r="A15836" s="28">
        <v>44835</v>
      </c>
      <c r="B15836" s="27" t="s">
        <v>5</v>
      </c>
      <c r="C15836" s="27" t="s">
        <v>51</v>
      </c>
      <c r="D15836" s="27" t="s">
        <v>51</v>
      </c>
      <c r="E15836" s="27" t="s">
        <v>21</v>
      </c>
      <c r="F15836" s="29">
        <v>3605</v>
      </c>
      <c r="G15836" s="30">
        <v>4.7554176443141118</v>
      </c>
    </row>
    <row r="15837" spans="1:7" hidden="1" x14ac:dyDescent="0.25">
      <c r="A15837" s="28">
        <v>44835</v>
      </c>
      <c r="B15837" s="27" t="s">
        <v>5</v>
      </c>
      <c r="C15837" s="27" t="s">
        <v>51</v>
      </c>
      <c r="D15837" s="27" t="s">
        <v>51</v>
      </c>
      <c r="E15837" s="27" t="s">
        <v>41</v>
      </c>
      <c r="F15837" s="29">
        <v>4839</v>
      </c>
      <c r="G15837" s="30">
        <v>2.8317156692492551</v>
      </c>
    </row>
    <row r="15838" spans="1:7" hidden="1" x14ac:dyDescent="0.25">
      <c r="A15838" s="28">
        <v>44835</v>
      </c>
      <c r="B15838" s="27" t="s">
        <v>5</v>
      </c>
      <c r="C15838" s="27" t="s">
        <v>51</v>
      </c>
      <c r="D15838" s="27" t="s">
        <v>51</v>
      </c>
      <c r="E15838" s="27" t="s">
        <v>10</v>
      </c>
      <c r="F15838" s="29">
        <v>3439</v>
      </c>
      <c r="G15838" s="30">
        <v>4.9685554898708224</v>
      </c>
    </row>
    <row r="15839" spans="1:7" hidden="1" x14ac:dyDescent="0.25">
      <c r="A15839" s="28">
        <v>44835</v>
      </c>
      <c r="B15839" s="27" t="s">
        <v>5</v>
      </c>
      <c r="C15839" s="27" t="s">
        <v>51</v>
      </c>
      <c r="D15839" s="27" t="s">
        <v>51</v>
      </c>
      <c r="E15839" s="27" t="s">
        <v>13</v>
      </c>
      <c r="F15839" s="29">
        <v>7041</v>
      </c>
      <c r="G15839" s="30">
        <v>2.2400223101735413</v>
      </c>
    </row>
    <row r="15840" spans="1:7" hidden="1" x14ac:dyDescent="0.25">
      <c r="A15840" s="28">
        <v>44835</v>
      </c>
      <c r="B15840" s="27" t="s">
        <v>5</v>
      </c>
      <c r="C15840" s="27" t="s">
        <v>51</v>
      </c>
      <c r="D15840" s="27" t="s">
        <v>51</v>
      </c>
      <c r="E15840" s="27" t="s">
        <v>14</v>
      </c>
      <c r="F15840" s="29">
        <v>4895</v>
      </c>
      <c r="G15840" s="30">
        <v>2.7413569499495765</v>
      </c>
    </row>
    <row r="15841" spans="1:7" hidden="1" x14ac:dyDescent="0.25">
      <c r="A15841" s="28">
        <v>44835</v>
      </c>
      <c r="B15841" s="27" t="s">
        <v>5</v>
      </c>
      <c r="C15841" s="27" t="s">
        <v>51</v>
      </c>
      <c r="D15841" s="27" t="s">
        <v>51</v>
      </c>
      <c r="E15841" s="27" t="s">
        <v>15</v>
      </c>
      <c r="F15841" s="29">
        <v>4106</v>
      </c>
      <c r="G15841" s="30">
        <v>3.4039573374229994</v>
      </c>
    </row>
    <row r="15842" spans="1:7" hidden="1" x14ac:dyDescent="0.25">
      <c r="A15842" s="28">
        <v>44835</v>
      </c>
      <c r="B15842" s="27" t="s">
        <v>5</v>
      </c>
      <c r="C15842" s="27" t="s">
        <v>51</v>
      </c>
      <c r="D15842" s="27" t="s">
        <v>51</v>
      </c>
      <c r="E15842" s="27" t="s">
        <v>17</v>
      </c>
      <c r="F15842" s="29">
        <v>8722</v>
      </c>
      <c r="G15842" s="30">
        <v>2.1991418453288571</v>
      </c>
    </row>
    <row r="15843" spans="1:7" hidden="1" x14ac:dyDescent="0.25">
      <c r="A15843" s="28">
        <v>44835</v>
      </c>
      <c r="B15843" s="27" t="s">
        <v>5</v>
      </c>
      <c r="C15843" s="27" t="s">
        <v>51</v>
      </c>
      <c r="D15843" s="27" t="s">
        <v>51</v>
      </c>
      <c r="E15843" s="27" t="s">
        <v>18</v>
      </c>
      <c r="F15843" s="29">
        <v>4849</v>
      </c>
      <c r="G15843" s="30">
        <v>2.9170283510758317</v>
      </c>
    </row>
    <row r="15844" spans="1:7" hidden="1" x14ac:dyDescent="0.25">
      <c r="A15844" s="28">
        <v>44835</v>
      </c>
      <c r="B15844" s="27" t="s">
        <v>5</v>
      </c>
      <c r="C15844" s="27" t="s">
        <v>51</v>
      </c>
      <c r="D15844" s="27" t="s">
        <v>51</v>
      </c>
      <c r="E15844" s="27" t="s">
        <v>19</v>
      </c>
      <c r="F15844" s="29">
        <v>4939</v>
      </c>
      <c r="G15844" s="30">
        <v>2.9594516900278021</v>
      </c>
    </row>
    <row r="15845" spans="1:7" hidden="1" x14ac:dyDescent="0.25">
      <c r="A15845" s="28">
        <v>44835</v>
      </c>
      <c r="B15845" s="27" t="s">
        <v>5</v>
      </c>
      <c r="C15845" s="27" t="s">
        <v>51</v>
      </c>
      <c r="D15845" s="27" t="s">
        <v>51</v>
      </c>
      <c r="E15845" s="27" t="s">
        <v>20</v>
      </c>
      <c r="F15845" s="29">
        <v>4207</v>
      </c>
      <c r="G15845" s="30">
        <v>3.3063493102332471</v>
      </c>
    </row>
    <row r="15846" spans="1:7" hidden="1" x14ac:dyDescent="0.25">
      <c r="A15846" s="28">
        <v>44835</v>
      </c>
      <c r="B15846" s="27" t="s">
        <v>5</v>
      </c>
      <c r="C15846" s="27" t="s">
        <v>51</v>
      </c>
      <c r="D15846" s="27" t="s">
        <v>51</v>
      </c>
      <c r="E15846" s="27" t="s">
        <v>23</v>
      </c>
      <c r="F15846" s="29">
        <v>5446</v>
      </c>
      <c r="G15846" s="30">
        <v>3.1280860432209012</v>
      </c>
    </row>
    <row r="15847" spans="1:7" hidden="1" x14ac:dyDescent="0.25">
      <c r="A15847" s="28">
        <v>44835</v>
      </c>
      <c r="B15847" s="27" t="s">
        <v>5</v>
      </c>
      <c r="C15847" s="27" t="s">
        <v>51</v>
      </c>
      <c r="D15847" s="27" t="s">
        <v>51</v>
      </c>
      <c r="E15847" s="27" t="s">
        <v>40</v>
      </c>
      <c r="F15847" s="29">
        <v>7851</v>
      </c>
      <c r="G15847" s="30">
        <v>1.6798346280931451</v>
      </c>
    </row>
    <row r="15848" spans="1:7" hidden="1" x14ac:dyDescent="0.25">
      <c r="A15848" s="28">
        <v>44835</v>
      </c>
      <c r="B15848" s="27" t="s">
        <v>5</v>
      </c>
      <c r="C15848" s="27" t="s">
        <v>51</v>
      </c>
      <c r="D15848" s="27" t="s">
        <v>51</v>
      </c>
      <c r="E15848" s="27" t="s">
        <v>43</v>
      </c>
      <c r="F15848" s="29">
        <v>6481</v>
      </c>
      <c r="G15848" s="30">
        <v>2.1593737768380725</v>
      </c>
    </row>
    <row r="15849" spans="1:7" hidden="1" x14ac:dyDescent="0.25">
      <c r="A15849" s="28">
        <v>44835</v>
      </c>
      <c r="B15849" s="27" t="s">
        <v>5</v>
      </c>
      <c r="C15849" s="27" t="s">
        <v>51</v>
      </c>
      <c r="D15849" s="27" t="s">
        <v>51</v>
      </c>
      <c r="E15849" s="27" t="s">
        <v>72</v>
      </c>
      <c r="F15849" s="29">
        <v>1544</v>
      </c>
      <c r="G15849" s="30">
        <v>9.5406550263593619</v>
      </c>
    </row>
    <row r="15850" spans="1:7" hidden="1" x14ac:dyDescent="0.25">
      <c r="A15850" s="28">
        <v>44835</v>
      </c>
      <c r="B15850" s="27" t="s">
        <v>5</v>
      </c>
      <c r="C15850" s="27" t="s">
        <v>51</v>
      </c>
      <c r="D15850" s="27" t="s">
        <v>51</v>
      </c>
      <c r="E15850" s="27" t="s">
        <v>206</v>
      </c>
      <c r="F15850" s="29">
        <v>4026</v>
      </c>
      <c r="G15850" s="30">
        <v>6.5398997742321336</v>
      </c>
    </row>
    <row r="15851" spans="1:7" hidden="1" x14ac:dyDescent="0.25">
      <c r="A15851" s="28">
        <v>44835</v>
      </c>
      <c r="B15851" s="27" t="s">
        <v>5</v>
      </c>
      <c r="C15851" s="27" t="s">
        <v>51</v>
      </c>
      <c r="D15851" s="27" t="s">
        <v>51</v>
      </c>
      <c r="E15851" s="27" t="s">
        <v>67</v>
      </c>
      <c r="F15851" s="29">
        <v>2620</v>
      </c>
      <c r="G15851" s="30">
        <v>5.4453405842851401</v>
      </c>
    </row>
    <row r="15852" spans="1:7" hidden="1" x14ac:dyDescent="0.25">
      <c r="A15852" s="28">
        <v>44835</v>
      </c>
      <c r="B15852" s="27" t="s">
        <v>5</v>
      </c>
      <c r="C15852" s="27" t="s">
        <v>51</v>
      </c>
      <c r="D15852" s="27" t="s">
        <v>51</v>
      </c>
      <c r="E15852" s="27" t="s">
        <v>68</v>
      </c>
      <c r="F15852" s="29">
        <v>6438</v>
      </c>
      <c r="G15852" s="30">
        <f>26329.64/Tabela16[[#This Row],[KM RODADO]]</f>
        <v>4.0897235166200678</v>
      </c>
    </row>
    <row r="15853" spans="1:7" hidden="1" x14ac:dyDescent="0.25">
      <c r="A15853" s="28">
        <v>44835</v>
      </c>
      <c r="B15853" s="27" t="s">
        <v>5</v>
      </c>
      <c r="C15853" s="27" t="s">
        <v>51</v>
      </c>
      <c r="D15853" s="27" t="s">
        <v>51</v>
      </c>
      <c r="E15853" s="27" t="s">
        <v>74</v>
      </c>
      <c r="F15853" s="29">
        <v>3653</v>
      </c>
      <c r="G15853" s="30">
        <f>14718.31/Tabela16[[#This Row],[KM RODADO]]</f>
        <v>4.0291021078565565</v>
      </c>
    </row>
    <row r="15854" spans="1:7" hidden="1" x14ac:dyDescent="0.25">
      <c r="A15854" s="28">
        <v>44835</v>
      </c>
      <c r="B15854" s="27" t="s">
        <v>5</v>
      </c>
      <c r="C15854" s="27" t="s">
        <v>51</v>
      </c>
      <c r="D15854" s="27" t="s">
        <v>51</v>
      </c>
      <c r="E15854" s="27" t="s">
        <v>39</v>
      </c>
      <c r="F15854" s="29">
        <v>1233</v>
      </c>
      <c r="G15854" s="30">
        <v>12.062532824111976</v>
      </c>
    </row>
    <row r="15855" spans="1:7" hidden="1" x14ac:dyDescent="0.25">
      <c r="A15855" s="28">
        <v>44835</v>
      </c>
      <c r="B15855" s="27" t="s">
        <v>180</v>
      </c>
      <c r="C15855" s="27" t="s">
        <v>50</v>
      </c>
      <c r="D15855" s="27" t="s">
        <v>7</v>
      </c>
      <c r="E15855" s="27" t="s">
        <v>64</v>
      </c>
      <c r="F15855" s="29"/>
      <c r="G15855" s="30">
        <v>90</v>
      </c>
    </row>
    <row r="15856" spans="1:7" hidden="1" x14ac:dyDescent="0.25">
      <c r="A15856" s="28">
        <v>44835</v>
      </c>
      <c r="B15856" s="27" t="s">
        <v>180</v>
      </c>
      <c r="C15856" s="27" t="s">
        <v>50</v>
      </c>
      <c r="D15856" s="27" t="s">
        <v>7</v>
      </c>
      <c r="E15856" s="27" t="s">
        <v>21</v>
      </c>
      <c r="F15856" s="29"/>
      <c r="G15856" s="30">
        <v>3000</v>
      </c>
    </row>
    <row r="15857" spans="1:7" hidden="1" x14ac:dyDescent="0.25">
      <c r="A15857" s="28">
        <v>44835</v>
      </c>
      <c r="B15857" s="27" t="s">
        <v>180</v>
      </c>
      <c r="C15857" s="27" t="s">
        <v>50</v>
      </c>
      <c r="D15857" s="27" t="s">
        <v>7</v>
      </c>
      <c r="E15857" s="27" t="s">
        <v>10</v>
      </c>
      <c r="F15857" s="29"/>
      <c r="G15857" s="30">
        <v>1360</v>
      </c>
    </row>
    <row r="15858" spans="1:7" hidden="1" x14ac:dyDescent="0.25">
      <c r="A15858" s="28">
        <v>44835</v>
      </c>
      <c r="B15858" s="27" t="s">
        <v>180</v>
      </c>
      <c r="C15858" s="27" t="s">
        <v>50</v>
      </c>
      <c r="D15858" s="27" t="s">
        <v>7</v>
      </c>
      <c r="E15858" s="27" t="s">
        <v>11</v>
      </c>
      <c r="F15858" s="29"/>
      <c r="G15858" s="30">
        <v>235</v>
      </c>
    </row>
    <row r="15859" spans="1:7" hidden="1" x14ac:dyDescent="0.25">
      <c r="A15859" s="28">
        <v>44835</v>
      </c>
      <c r="B15859" s="27" t="s">
        <v>180</v>
      </c>
      <c r="C15859" s="27" t="s">
        <v>50</v>
      </c>
      <c r="D15859" s="27" t="s">
        <v>7</v>
      </c>
      <c r="E15859" s="27" t="s">
        <v>17</v>
      </c>
      <c r="F15859" s="29"/>
      <c r="G15859" s="30">
        <v>40</v>
      </c>
    </row>
    <row r="15860" spans="1:7" hidden="1" x14ac:dyDescent="0.25">
      <c r="A15860" s="28">
        <v>44835</v>
      </c>
      <c r="B15860" s="27" t="s">
        <v>180</v>
      </c>
      <c r="C15860" s="27" t="s">
        <v>50</v>
      </c>
      <c r="D15860" s="27" t="s">
        <v>7</v>
      </c>
      <c r="E15860" s="27" t="s">
        <v>23</v>
      </c>
      <c r="F15860" s="29"/>
      <c r="G15860" s="30">
        <v>890</v>
      </c>
    </row>
    <row r="15861" spans="1:7" hidden="1" x14ac:dyDescent="0.25">
      <c r="A15861" s="28">
        <v>44835</v>
      </c>
      <c r="B15861" s="27" t="s">
        <v>180</v>
      </c>
      <c r="C15861" s="27" t="s">
        <v>50</v>
      </c>
      <c r="D15861" s="27" t="s">
        <v>7</v>
      </c>
      <c r="E15861" s="27" t="s">
        <v>72</v>
      </c>
      <c r="F15861" s="29"/>
      <c r="G15861" s="30">
        <v>1805</v>
      </c>
    </row>
    <row r="15862" spans="1:7" hidden="1" x14ac:dyDescent="0.25">
      <c r="A15862" s="28">
        <v>44835</v>
      </c>
      <c r="B15862" s="27" t="s">
        <v>180</v>
      </c>
      <c r="C15862" s="27" t="s">
        <v>50</v>
      </c>
      <c r="D15862" s="27" t="s">
        <v>7</v>
      </c>
      <c r="E15862" s="27" t="s">
        <v>206</v>
      </c>
      <c r="F15862" s="29"/>
      <c r="G15862" s="30">
        <v>860</v>
      </c>
    </row>
    <row r="15863" spans="1:7" hidden="1" x14ac:dyDescent="0.25">
      <c r="A15863" s="28">
        <v>44835</v>
      </c>
      <c r="B15863" s="27" t="s">
        <v>180</v>
      </c>
      <c r="C15863" s="27" t="s">
        <v>50</v>
      </c>
      <c r="D15863" s="27" t="s">
        <v>7</v>
      </c>
      <c r="E15863" s="27" t="s">
        <v>68</v>
      </c>
      <c r="F15863" s="29"/>
      <c r="G15863" s="30">
        <v>9865</v>
      </c>
    </row>
    <row r="15864" spans="1:7" hidden="1" x14ac:dyDescent="0.25">
      <c r="A15864" s="28">
        <v>44835</v>
      </c>
      <c r="B15864" s="27" t="s">
        <v>180</v>
      </c>
      <c r="C15864" s="27" t="s">
        <v>50</v>
      </c>
      <c r="D15864" s="27" t="s">
        <v>7</v>
      </c>
      <c r="E15864" s="27" t="s">
        <v>37</v>
      </c>
      <c r="F15864" s="29"/>
      <c r="G15864" s="30">
        <v>10705.77</v>
      </c>
    </row>
    <row r="15865" spans="1:7" hidden="1" x14ac:dyDescent="0.25">
      <c r="A15865" s="28">
        <v>44835</v>
      </c>
      <c r="B15865" s="27" t="s">
        <v>181</v>
      </c>
      <c r="C15865" s="27" t="s">
        <v>50</v>
      </c>
      <c r="D15865" s="27" t="s">
        <v>6</v>
      </c>
      <c r="E15865" s="27" t="s">
        <v>22</v>
      </c>
      <c r="F15865" s="29"/>
      <c r="G15865" s="30">
        <v>140</v>
      </c>
    </row>
    <row r="15866" spans="1:7" hidden="1" x14ac:dyDescent="0.25">
      <c r="A15866" s="28">
        <v>44835</v>
      </c>
      <c r="B15866" s="27" t="s">
        <v>181</v>
      </c>
      <c r="C15866" s="27" t="s">
        <v>50</v>
      </c>
      <c r="D15866" s="27" t="s">
        <v>6</v>
      </c>
      <c r="E15866" s="27" t="s">
        <v>64</v>
      </c>
      <c r="F15866" s="29"/>
      <c r="G15866" s="30">
        <v>650</v>
      </c>
    </row>
    <row r="15867" spans="1:7" hidden="1" x14ac:dyDescent="0.25">
      <c r="A15867" s="28">
        <v>44835</v>
      </c>
      <c r="B15867" s="27" t="s">
        <v>181</v>
      </c>
      <c r="C15867" s="27" t="s">
        <v>50</v>
      </c>
      <c r="D15867" s="27" t="s">
        <v>6</v>
      </c>
      <c r="E15867" s="27" t="s">
        <v>10</v>
      </c>
      <c r="F15867" s="29"/>
      <c r="G15867" s="30">
        <v>230</v>
      </c>
    </row>
    <row r="15868" spans="1:7" hidden="1" x14ac:dyDescent="0.25">
      <c r="A15868" s="28">
        <v>44835</v>
      </c>
      <c r="B15868" s="27" t="s">
        <v>181</v>
      </c>
      <c r="C15868" s="27" t="s">
        <v>50</v>
      </c>
      <c r="D15868" s="27" t="s">
        <v>6</v>
      </c>
      <c r="E15868" s="27" t="s">
        <v>12</v>
      </c>
      <c r="F15868" s="29"/>
      <c r="G15868" s="30">
        <v>380</v>
      </c>
    </row>
    <row r="15869" spans="1:7" hidden="1" x14ac:dyDescent="0.25">
      <c r="A15869" s="28">
        <v>44835</v>
      </c>
      <c r="B15869" s="27" t="s">
        <v>181</v>
      </c>
      <c r="C15869" s="27" t="s">
        <v>50</v>
      </c>
      <c r="D15869" s="27" t="s">
        <v>6</v>
      </c>
      <c r="E15869" s="27" t="s">
        <v>13</v>
      </c>
      <c r="F15869" s="29"/>
      <c r="G15869" s="30">
        <v>200</v>
      </c>
    </row>
    <row r="15870" spans="1:7" hidden="1" x14ac:dyDescent="0.25">
      <c r="A15870" s="28">
        <v>44835</v>
      </c>
      <c r="B15870" s="27" t="s">
        <v>181</v>
      </c>
      <c r="C15870" s="27" t="s">
        <v>50</v>
      </c>
      <c r="D15870" s="27" t="s">
        <v>6</v>
      </c>
      <c r="E15870" s="27" t="s">
        <v>16</v>
      </c>
      <c r="F15870" s="29"/>
      <c r="G15870" s="30">
        <v>150</v>
      </c>
    </row>
    <row r="15871" spans="1:7" hidden="1" x14ac:dyDescent="0.25">
      <c r="A15871" s="28">
        <v>44835</v>
      </c>
      <c r="B15871" s="27" t="s">
        <v>181</v>
      </c>
      <c r="C15871" s="27" t="s">
        <v>50</v>
      </c>
      <c r="D15871" s="27" t="s">
        <v>6</v>
      </c>
      <c r="E15871" s="27" t="s">
        <v>17</v>
      </c>
      <c r="F15871" s="29"/>
      <c r="G15871" s="30">
        <v>3380</v>
      </c>
    </row>
    <row r="15872" spans="1:7" hidden="1" x14ac:dyDescent="0.25">
      <c r="A15872" s="28">
        <v>44835</v>
      </c>
      <c r="B15872" s="27" t="s">
        <v>181</v>
      </c>
      <c r="C15872" s="27" t="s">
        <v>50</v>
      </c>
      <c r="D15872" s="27" t="s">
        <v>6</v>
      </c>
      <c r="E15872" s="27" t="s">
        <v>18</v>
      </c>
      <c r="F15872" s="29"/>
      <c r="G15872" s="30">
        <v>844.75</v>
      </c>
    </row>
    <row r="15873" spans="1:7" hidden="1" x14ac:dyDescent="0.25">
      <c r="A15873" s="28">
        <v>44835</v>
      </c>
      <c r="B15873" s="27" t="s">
        <v>181</v>
      </c>
      <c r="C15873" s="27" t="s">
        <v>50</v>
      </c>
      <c r="D15873" s="27" t="s">
        <v>6</v>
      </c>
      <c r="E15873" s="27" t="s">
        <v>38</v>
      </c>
      <c r="F15873" s="29"/>
      <c r="G15873" s="30">
        <v>80</v>
      </c>
    </row>
    <row r="15874" spans="1:7" hidden="1" x14ac:dyDescent="0.25">
      <c r="A15874" s="28">
        <v>44835</v>
      </c>
      <c r="B15874" s="27" t="s">
        <v>181</v>
      </c>
      <c r="C15874" s="27" t="s">
        <v>50</v>
      </c>
      <c r="D15874" s="27" t="s">
        <v>6</v>
      </c>
      <c r="E15874" s="27" t="s">
        <v>23</v>
      </c>
      <c r="F15874" s="29"/>
      <c r="G15874" s="30">
        <v>740.6</v>
      </c>
    </row>
    <row r="15875" spans="1:7" hidden="1" x14ac:dyDescent="0.25">
      <c r="A15875" s="28">
        <v>44835</v>
      </c>
      <c r="B15875" s="27" t="s">
        <v>181</v>
      </c>
      <c r="C15875" s="27" t="s">
        <v>50</v>
      </c>
      <c r="D15875" s="27" t="s">
        <v>6</v>
      </c>
      <c r="E15875" s="27" t="s">
        <v>40</v>
      </c>
      <c r="F15875" s="29"/>
      <c r="G15875" s="30">
        <v>40</v>
      </c>
    </row>
    <row r="15876" spans="1:7" hidden="1" x14ac:dyDescent="0.25">
      <c r="A15876" s="28">
        <v>44835</v>
      </c>
      <c r="B15876" s="27" t="s">
        <v>181</v>
      </c>
      <c r="C15876" s="27" t="s">
        <v>50</v>
      </c>
      <c r="D15876" s="27" t="s">
        <v>6</v>
      </c>
      <c r="E15876" s="27" t="s">
        <v>43</v>
      </c>
      <c r="F15876" s="29"/>
      <c r="G15876" s="30">
        <v>1199.8699999999999</v>
      </c>
    </row>
    <row r="15877" spans="1:7" hidden="1" x14ac:dyDescent="0.25">
      <c r="A15877" s="28">
        <v>44835</v>
      </c>
      <c r="B15877" s="27" t="s">
        <v>181</v>
      </c>
      <c r="C15877" s="27" t="s">
        <v>50</v>
      </c>
      <c r="D15877" s="27" t="s">
        <v>6</v>
      </c>
      <c r="E15877" s="27" t="s">
        <v>72</v>
      </c>
      <c r="F15877" s="29"/>
      <c r="G15877" s="30">
        <v>120</v>
      </c>
    </row>
    <row r="15878" spans="1:7" hidden="1" x14ac:dyDescent="0.25">
      <c r="A15878" s="28">
        <v>44835</v>
      </c>
      <c r="B15878" s="27" t="s">
        <v>181</v>
      </c>
      <c r="C15878" s="27" t="s">
        <v>50</v>
      </c>
      <c r="D15878" s="27" t="s">
        <v>6</v>
      </c>
      <c r="E15878" s="27" t="s">
        <v>68</v>
      </c>
      <c r="F15878" s="29"/>
      <c r="G15878" s="30">
        <v>1765</v>
      </c>
    </row>
    <row r="15879" spans="1:7" hidden="1" x14ac:dyDescent="0.25">
      <c r="A15879" s="28">
        <v>44835</v>
      </c>
      <c r="B15879" s="27" t="s">
        <v>181</v>
      </c>
      <c r="C15879" s="27" t="s">
        <v>50</v>
      </c>
      <c r="D15879" s="27" t="s">
        <v>6</v>
      </c>
      <c r="E15879" s="27" t="s">
        <v>37</v>
      </c>
      <c r="F15879" s="29"/>
      <c r="G15879" s="30">
        <v>4130.4400000000005</v>
      </c>
    </row>
    <row r="15880" spans="1:7" hidden="1" x14ac:dyDescent="0.25">
      <c r="A15880" s="28">
        <v>44835</v>
      </c>
      <c r="B15880" s="27" t="s">
        <v>25</v>
      </c>
      <c r="C15880" s="27" t="s">
        <v>50</v>
      </c>
      <c r="D15880" s="27" t="s">
        <v>7</v>
      </c>
      <c r="E15880" s="27" t="s">
        <v>9</v>
      </c>
      <c r="F15880" s="29"/>
      <c r="G15880" s="30">
        <v>104.13</v>
      </c>
    </row>
    <row r="15881" spans="1:7" hidden="1" x14ac:dyDescent="0.25">
      <c r="A15881" s="28">
        <v>44835</v>
      </c>
      <c r="B15881" s="27" t="s">
        <v>25</v>
      </c>
      <c r="C15881" s="27" t="s">
        <v>50</v>
      </c>
      <c r="D15881" s="27" t="s">
        <v>7</v>
      </c>
      <c r="E15881" s="27" t="s">
        <v>39</v>
      </c>
      <c r="F15881" s="29"/>
      <c r="G15881" s="30">
        <v>416.52</v>
      </c>
    </row>
    <row r="15882" spans="1:7" hidden="1" x14ac:dyDescent="0.25">
      <c r="A15882" s="28">
        <v>44835</v>
      </c>
      <c r="B15882" s="27" t="s">
        <v>25</v>
      </c>
      <c r="C15882" s="27" t="s">
        <v>50</v>
      </c>
      <c r="D15882" s="27" t="s">
        <v>7</v>
      </c>
      <c r="E15882" s="27" t="s">
        <v>64</v>
      </c>
      <c r="F15882" s="29"/>
      <c r="G15882" s="30">
        <v>135.71</v>
      </c>
    </row>
    <row r="15883" spans="1:7" hidden="1" x14ac:dyDescent="0.25">
      <c r="A15883" s="28">
        <v>44835</v>
      </c>
      <c r="B15883" s="27" t="s">
        <v>25</v>
      </c>
      <c r="C15883" s="27" t="s">
        <v>50</v>
      </c>
      <c r="D15883" s="27" t="s">
        <v>7</v>
      </c>
      <c r="E15883" s="27" t="s">
        <v>11</v>
      </c>
      <c r="F15883" s="29"/>
      <c r="G15883" s="30">
        <v>104.13</v>
      </c>
    </row>
    <row r="15884" spans="1:7" hidden="1" x14ac:dyDescent="0.25">
      <c r="A15884" s="28">
        <v>44835</v>
      </c>
      <c r="B15884" s="27" t="s">
        <v>25</v>
      </c>
      <c r="C15884" s="27" t="s">
        <v>50</v>
      </c>
      <c r="D15884" s="27" t="s">
        <v>7</v>
      </c>
      <c r="E15884" s="27" t="s">
        <v>15</v>
      </c>
      <c r="F15884" s="29"/>
      <c r="G15884" s="30">
        <v>104.13</v>
      </c>
    </row>
    <row r="15885" spans="1:7" hidden="1" x14ac:dyDescent="0.25">
      <c r="A15885" s="28">
        <v>44835</v>
      </c>
      <c r="B15885" s="27" t="s">
        <v>25</v>
      </c>
      <c r="C15885" s="27" t="s">
        <v>50</v>
      </c>
      <c r="D15885" s="27" t="s">
        <v>7</v>
      </c>
      <c r="E15885" s="27" t="s">
        <v>42</v>
      </c>
      <c r="F15885" s="29"/>
      <c r="G15885" s="30">
        <v>495.90999999999997</v>
      </c>
    </row>
    <row r="15886" spans="1:7" hidden="1" x14ac:dyDescent="0.25">
      <c r="A15886" s="28">
        <v>44835</v>
      </c>
      <c r="B15886" s="27" t="s">
        <v>25</v>
      </c>
      <c r="C15886" s="27" t="s">
        <v>50</v>
      </c>
      <c r="D15886" s="27" t="s">
        <v>7</v>
      </c>
      <c r="E15886" s="27" t="s">
        <v>37</v>
      </c>
      <c r="F15886" s="29"/>
      <c r="G15886" s="30">
        <v>104.13</v>
      </c>
    </row>
    <row r="15887" spans="1:7" hidden="1" x14ac:dyDescent="0.25">
      <c r="A15887" s="28">
        <v>44835</v>
      </c>
      <c r="B15887" s="27" t="s">
        <v>2</v>
      </c>
      <c r="C15887" s="27" t="s">
        <v>50</v>
      </c>
      <c r="D15887" s="27" t="s">
        <v>7</v>
      </c>
      <c r="E15887" s="27" t="s">
        <v>8</v>
      </c>
      <c r="F15887" s="29"/>
      <c r="G15887" s="30">
        <v>1712.98</v>
      </c>
    </row>
    <row r="15888" spans="1:7" hidden="1" x14ac:dyDescent="0.25">
      <c r="A15888" s="28">
        <v>44835</v>
      </c>
      <c r="B15888" s="27" t="s">
        <v>2</v>
      </c>
      <c r="C15888" s="27" t="s">
        <v>50</v>
      </c>
      <c r="D15888" s="27" t="s">
        <v>7</v>
      </c>
      <c r="E15888" s="27" t="s">
        <v>9</v>
      </c>
      <c r="F15888" s="29"/>
      <c r="G15888" s="30">
        <v>502.10000000000065</v>
      </c>
    </row>
    <row r="15889" spans="1:7" hidden="1" x14ac:dyDescent="0.25">
      <c r="A15889" s="28">
        <v>44835</v>
      </c>
      <c r="B15889" s="27" t="s">
        <v>2</v>
      </c>
      <c r="C15889" s="27" t="s">
        <v>50</v>
      </c>
      <c r="D15889" s="27" t="s">
        <v>7</v>
      </c>
      <c r="E15889" s="27" t="s">
        <v>22</v>
      </c>
      <c r="F15889" s="29"/>
      <c r="G15889" s="30">
        <v>769.3300000000005</v>
      </c>
    </row>
    <row r="15890" spans="1:7" hidden="1" x14ac:dyDescent="0.25">
      <c r="A15890" s="28">
        <v>44835</v>
      </c>
      <c r="B15890" s="27" t="s">
        <v>2</v>
      </c>
      <c r="C15890" s="27" t="s">
        <v>50</v>
      </c>
      <c r="D15890" s="27" t="s">
        <v>7</v>
      </c>
      <c r="E15890" s="27" t="s">
        <v>39</v>
      </c>
      <c r="F15890" s="29"/>
      <c r="G15890" s="30">
        <v>116.4</v>
      </c>
    </row>
    <row r="15891" spans="1:7" hidden="1" x14ac:dyDescent="0.25">
      <c r="A15891" s="28">
        <v>44835</v>
      </c>
      <c r="B15891" s="27" t="s">
        <v>2</v>
      </c>
      <c r="C15891" s="27" t="s">
        <v>50</v>
      </c>
      <c r="D15891" s="27" t="s">
        <v>7</v>
      </c>
      <c r="E15891" s="27" t="s">
        <v>64</v>
      </c>
      <c r="F15891" s="29"/>
      <c r="G15891" s="30">
        <v>593.39000000000044</v>
      </c>
    </row>
    <row r="15892" spans="1:7" hidden="1" x14ac:dyDescent="0.25">
      <c r="A15892" s="28">
        <v>44835</v>
      </c>
      <c r="B15892" s="27" t="s">
        <v>2</v>
      </c>
      <c r="C15892" s="27" t="s">
        <v>50</v>
      </c>
      <c r="D15892" s="27" t="s">
        <v>7</v>
      </c>
      <c r="E15892" s="27" t="s">
        <v>21</v>
      </c>
      <c r="F15892" s="29"/>
      <c r="G15892" s="30">
        <v>1074.98</v>
      </c>
    </row>
    <row r="15893" spans="1:7" hidden="1" x14ac:dyDescent="0.25">
      <c r="A15893" s="28">
        <v>44835</v>
      </c>
      <c r="B15893" s="27" t="s">
        <v>2</v>
      </c>
      <c r="C15893" s="27" t="s">
        <v>50</v>
      </c>
      <c r="D15893" s="27" t="s">
        <v>7</v>
      </c>
      <c r="E15893" s="27" t="s">
        <v>41</v>
      </c>
      <c r="F15893" s="29"/>
      <c r="G15893" s="30">
        <v>424.95999999999975</v>
      </c>
    </row>
    <row r="15894" spans="1:7" hidden="1" x14ac:dyDescent="0.25">
      <c r="A15894" s="28">
        <v>44835</v>
      </c>
      <c r="B15894" s="27" t="s">
        <v>2</v>
      </c>
      <c r="C15894" s="27" t="s">
        <v>50</v>
      </c>
      <c r="D15894" s="27" t="s">
        <v>7</v>
      </c>
      <c r="E15894" s="27" t="s">
        <v>10</v>
      </c>
      <c r="F15894" s="29"/>
      <c r="G15894" s="30">
        <v>826.1000000000007</v>
      </c>
    </row>
    <row r="15895" spans="1:7" hidden="1" x14ac:dyDescent="0.25">
      <c r="A15895" s="28">
        <v>44835</v>
      </c>
      <c r="B15895" s="27" t="s">
        <v>2</v>
      </c>
      <c r="C15895" s="27" t="s">
        <v>50</v>
      </c>
      <c r="D15895" s="27" t="s">
        <v>7</v>
      </c>
      <c r="E15895" s="27" t="s">
        <v>11</v>
      </c>
      <c r="F15895" s="29"/>
      <c r="G15895" s="30">
        <v>172.18</v>
      </c>
    </row>
    <row r="15896" spans="1:7" hidden="1" x14ac:dyDescent="0.25">
      <c r="A15896" s="28">
        <v>44835</v>
      </c>
      <c r="B15896" s="27" t="s">
        <v>2</v>
      </c>
      <c r="C15896" s="27" t="s">
        <v>50</v>
      </c>
      <c r="D15896" s="27" t="s">
        <v>7</v>
      </c>
      <c r="E15896" s="27" t="s">
        <v>12</v>
      </c>
      <c r="F15896" s="29"/>
      <c r="G15896" s="30">
        <v>164.40000000000006</v>
      </c>
    </row>
    <row r="15897" spans="1:7" hidden="1" x14ac:dyDescent="0.25">
      <c r="A15897" s="28">
        <v>44835</v>
      </c>
      <c r="B15897" s="27" t="s">
        <v>2</v>
      </c>
      <c r="C15897" s="27" t="s">
        <v>50</v>
      </c>
      <c r="D15897" s="27" t="s">
        <v>7</v>
      </c>
      <c r="E15897" s="27" t="s">
        <v>13</v>
      </c>
      <c r="F15897" s="29"/>
      <c r="G15897" s="30">
        <v>1346.6100000000006</v>
      </c>
    </row>
    <row r="15898" spans="1:7" hidden="1" x14ac:dyDescent="0.25">
      <c r="A15898" s="28">
        <v>44835</v>
      </c>
      <c r="B15898" s="27" t="s">
        <v>2</v>
      </c>
      <c r="C15898" s="27" t="s">
        <v>50</v>
      </c>
      <c r="D15898" s="27" t="s">
        <v>7</v>
      </c>
      <c r="E15898" s="27" t="s">
        <v>14</v>
      </c>
      <c r="F15898" s="29"/>
      <c r="G15898" s="30">
        <v>375.32999999999964</v>
      </c>
    </row>
    <row r="15899" spans="1:7" hidden="1" x14ac:dyDescent="0.25">
      <c r="A15899" s="28">
        <v>44835</v>
      </c>
      <c r="B15899" s="27" t="s">
        <v>2</v>
      </c>
      <c r="C15899" s="27" t="s">
        <v>50</v>
      </c>
      <c r="D15899" s="27" t="s">
        <v>7</v>
      </c>
      <c r="E15899" s="27" t="s">
        <v>15</v>
      </c>
      <c r="F15899" s="29"/>
      <c r="G15899" s="30">
        <v>272.8</v>
      </c>
    </row>
    <row r="15900" spans="1:7" hidden="1" x14ac:dyDescent="0.25">
      <c r="A15900" s="28">
        <v>44835</v>
      </c>
      <c r="B15900" s="27" t="s">
        <v>2</v>
      </c>
      <c r="C15900" s="27" t="s">
        <v>50</v>
      </c>
      <c r="D15900" s="27" t="s">
        <v>7</v>
      </c>
      <c r="E15900" s="27" t="s">
        <v>17</v>
      </c>
      <c r="F15900" s="29"/>
      <c r="G15900" s="30">
        <v>854.05000000000064</v>
      </c>
    </row>
    <row r="15901" spans="1:7" hidden="1" x14ac:dyDescent="0.25">
      <c r="A15901" s="28">
        <v>44835</v>
      </c>
      <c r="B15901" s="27" t="s">
        <v>2</v>
      </c>
      <c r="C15901" s="27" t="s">
        <v>50</v>
      </c>
      <c r="D15901" s="27" t="s">
        <v>7</v>
      </c>
      <c r="E15901" s="27" t="s">
        <v>19</v>
      </c>
      <c r="F15901" s="29"/>
      <c r="G15901" s="30">
        <v>499.35999999999927</v>
      </c>
    </row>
    <row r="15902" spans="1:7" hidden="1" x14ac:dyDescent="0.25">
      <c r="A15902" s="28">
        <v>44835</v>
      </c>
      <c r="B15902" s="27" t="s">
        <v>2</v>
      </c>
      <c r="C15902" s="27" t="s">
        <v>50</v>
      </c>
      <c r="D15902" s="27" t="s">
        <v>7</v>
      </c>
      <c r="E15902" s="27" t="s">
        <v>20</v>
      </c>
      <c r="F15902" s="29"/>
      <c r="G15902" s="30">
        <v>267.09999999999991</v>
      </c>
    </row>
    <row r="15903" spans="1:7" hidden="1" x14ac:dyDescent="0.25">
      <c r="A15903" s="28">
        <v>44835</v>
      </c>
      <c r="B15903" s="27" t="s">
        <v>2</v>
      </c>
      <c r="C15903" s="27" t="s">
        <v>50</v>
      </c>
      <c r="D15903" s="27" t="s">
        <v>7</v>
      </c>
      <c r="E15903" s="27" t="s">
        <v>23</v>
      </c>
      <c r="F15903" s="29"/>
      <c r="G15903" s="30">
        <v>1119.6700000000003</v>
      </c>
    </row>
    <row r="15904" spans="1:7" hidden="1" x14ac:dyDescent="0.25">
      <c r="A15904" s="28">
        <v>44835</v>
      </c>
      <c r="B15904" s="27" t="s">
        <v>2</v>
      </c>
      <c r="C15904" s="27" t="s">
        <v>50</v>
      </c>
      <c r="D15904" s="27" t="s">
        <v>7</v>
      </c>
      <c r="E15904" s="27" t="s">
        <v>40</v>
      </c>
      <c r="F15904" s="29"/>
      <c r="G15904" s="30">
        <v>617.90000000000009</v>
      </c>
    </row>
    <row r="15905" spans="1:7" hidden="1" x14ac:dyDescent="0.25">
      <c r="A15905" s="28">
        <v>44835</v>
      </c>
      <c r="B15905" s="27" t="s">
        <v>2</v>
      </c>
      <c r="C15905" s="27" t="s">
        <v>50</v>
      </c>
      <c r="D15905" s="27" t="s">
        <v>7</v>
      </c>
      <c r="E15905" s="27" t="s">
        <v>42</v>
      </c>
      <c r="F15905" s="29"/>
      <c r="G15905" s="30">
        <v>223.78000000000009</v>
      </c>
    </row>
    <row r="15906" spans="1:7" hidden="1" x14ac:dyDescent="0.25">
      <c r="A15906" s="28">
        <v>44835</v>
      </c>
      <c r="B15906" s="27" t="s">
        <v>2</v>
      </c>
      <c r="C15906" s="27" t="s">
        <v>50</v>
      </c>
      <c r="D15906" s="27" t="s">
        <v>7</v>
      </c>
      <c r="E15906" s="27" t="s">
        <v>43</v>
      </c>
      <c r="F15906" s="29"/>
      <c r="G15906" s="30">
        <v>383.69999999999965</v>
      </c>
    </row>
    <row r="15907" spans="1:7" hidden="1" x14ac:dyDescent="0.25">
      <c r="A15907" s="28">
        <v>44835</v>
      </c>
      <c r="B15907" s="27" t="s">
        <v>2</v>
      </c>
      <c r="C15907" s="27" t="s">
        <v>50</v>
      </c>
      <c r="D15907" s="27" t="s">
        <v>7</v>
      </c>
      <c r="E15907" s="27" t="s">
        <v>72</v>
      </c>
      <c r="F15907" s="29"/>
      <c r="G15907" s="30">
        <v>442.09999999999968</v>
      </c>
    </row>
    <row r="15908" spans="1:7" hidden="1" x14ac:dyDescent="0.25">
      <c r="A15908" s="28">
        <v>44835</v>
      </c>
      <c r="B15908" s="27" t="s">
        <v>2</v>
      </c>
      <c r="C15908" s="27" t="s">
        <v>50</v>
      </c>
      <c r="D15908" s="27" t="s">
        <v>7</v>
      </c>
      <c r="E15908" s="27" t="s">
        <v>206</v>
      </c>
      <c r="F15908" s="29"/>
      <c r="G15908" s="30">
        <v>1339.3999999999999</v>
      </c>
    </row>
    <row r="15909" spans="1:7" hidden="1" x14ac:dyDescent="0.25">
      <c r="A15909" s="28">
        <v>44835</v>
      </c>
      <c r="B15909" s="27" t="s">
        <v>2</v>
      </c>
      <c r="C15909" s="27" t="s">
        <v>50</v>
      </c>
      <c r="D15909" s="27" t="s">
        <v>7</v>
      </c>
      <c r="E15909" s="27" t="s">
        <v>67</v>
      </c>
      <c r="F15909" s="29"/>
      <c r="G15909" s="30">
        <v>417.4800000000003</v>
      </c>
    </row>
    <row r="15910" spans="1:7" hidden="1" x14ac:dyDescent="0.25">
      <c r="A15910" s="28">
        <v>44835</v>
      </c>
      <c r="B15910" s="27" t="s">
        <v>2</v>
      </c>
      <c r="C15910" s="27" t="s">
        <v>50</v>
      </c>
      <c r="D15910" s="27" t="s">
        <v>7</v>
      </c>
      <c r="E15910" s="27" t="s">
        <v>68</v>
      </c>
      <c r="F15910" s="29"/>
      <c r="G15910" s="30">
        <v>2720.6799999999989</v>
      </c>
    </row>
    <row r="15911" spans="1:7" hidden="1" x14ac:dyDescent="0.25">
      <c r="A15911" s="28">
        <v>44835</v>
      </c>
      <c r="B15911" s="27" t="s">
        <v>2</v>
      </c>
      <c r="C15911" s="27" t="s">
        <v>50</v>
      </c>
      <c r="D15911" s="27" t="s">
        <v>7</v>
      </c>
      <c r="E15911" s="27" t="s">
        <v>74</v>
      </c>
      <c r="F15911" s="29"/>
      <c r="G15911" s="30">
        <v>279.57999999999987</v>
      </c>
    </row>
    <row r="15912" spans="1:7" hidden="1" x14ac:dyDescent="0.25">
      <c r="A15912" s="28">
        <v>44835</v>
      </c>
      <c r="B15912" s="27" t="s">
        <v>2</v>
      </c>
      <c r="C15912" s="27" t="s">
        <v>50</v>
      </c>
      <c r="D15912" s="27" t="s">
        <v>7</v>
      </c>
      <c r="E15912" s="27" t="s">
        <v>37</v>
      </c>
      <c r="F15912" s="29"/>
      <c r="G15912" s="30">
        <v>1863.8</v>
      </c>
    </row>
    <row r="15913" spans="1:7" hidden="1" x14ac:dyDescent="0.25">
      <c r="A15913" s="28">
        <v>44835</v>
      </c>
      <c r="B15913" s="27" t="s">
        <v>36</v>
      </c>
      <c r="C15913" s="27" t="s">
        <v>50</v>
      </c>
      <c r="D15913" s="27" t="s">
        <v>6</v>
      </c>
      <c r="E15913" s="27" t="s">
        <v>8</v>
      </c>
      <c r="F15913" s="29"/>
      <c r="G15913" s="30">
        <v>472.3067857142857</v>
      </c>
    </row>
    <row r="15914" spans="1:7" hidden="1" x14ac:dyDescent="0.25">
      <c r="A15914" s="28">
        <v>44835</v>
      </c>
      <c r="B15914" s="27" t="s">
        <v>36</v>
      </c>
      <c r="C15914" s="27" t="s">
        <v>50</v>
      </c>
      <c r="D15914" s="27" t="s">
        <v>6</v>
      </c>
      <c r="E15914" s="27" t="s">
        <v>9</v>
      </c>
      <c r="F15914" s="29"/>
      <c r="G15914" s="30">
        <v>472.3067857142857</v>
      </c>
    </row>
    <row r="15915" spans="1:7" hidden="1" x14ac:dyDescent="0.25">
      <c r="A15915" s="28">
        <v>44835</v>
      </c>
      <c r="B15915" s="27" t="s">
        <v>36</v>
      </c>
      <c r="C15915" s="27" t="s">
        <v>50</v>
      </c>
      <c r="D15915" s="27" t="s">
        <v>6</v>
      </c>
      <c r="E15915" s="27" t="s">
        <v>22</v>
      </c>
      <c r="F15915" s="29"/>
      <c r="G15915" s="30">
        <v>472.3067857142857</v>
      </c>
    </row>
    <row r="15916" spans="1:7" hidden="1" x14ac:dyDescent="0.25">
      <c r="A15916" s="28">
        <v>44835</v>
      </c>
      <c r="B15916" s="27" t="s">
        <v>36</v>
      </c>
      <c r="C15916" s="27" t="s">
        <v>50</v>
      </c>
      <c r="D15916" s="27" t="s">
        <v>6</v>
      </c>
      <c r="E15916" s="27" t="s">
        <v>39</v>
      </c>
      <c r="F15916" s="29"/>
      <c r="G15916" s="30">
        <v>472.3067857142857</v>
      </c>
    </row>
    <row r="15917" spans="1:7" hidden="1" x14ac:dyDescent="0.25">
      <c r="A15917" s="28">
        <v>44835</v>
      </c>
      <c r="B15917" s="27" t="s">
        <v>36</v>
      </c>
      <c r="C15917" s="27" t="s">
        <v>50</v>
      </c>
      <c r="D15917" s="27" t="s">
        <v>6</v>
      </c>
      <c r="E15917" s="27" t="s">
        <v>64</v>
      </c>
      <c r="F15917" s="29"/>
      <c r="G15917" s="30">
        <v>472.3067857142857</v>
      </c>
    </row>
    <row r="15918" spans="1:7" hidden="1" x14ac:dyDescent="0.25">
      <c r="A15918" s="28">
        <v>44835</v>
      </c>
      <c r="B15918" s="27" t="s">
        <v>36</v>
      </c>
      <c r="C15918" s="27" t="s">
        <v>50</v>
      </c>
      <c r="D15918" s="27" t="s">
        <v>6</v>
      </c>
      <c r="E15918" s="27" t="s">
        <v>21</v>
      </c>
      <c r="F15918" s="29"/>
      <c r="G15918" s="30">
        <v>472.3067857142857</v>
      </c>
    </row>
    <row r="15919" spans="1:7" hidden="1" x14ac:dyDescent="0.25">
      <c r="A15919" s="28">
        <v>44835</v>
      </c>
      <c r="B15919" s="27" t="s">
        <v>36</v>
      </c>
      <c r="C15919" s="27" t="s">
        <v>50</v>
      </c>
      <c r="D15919" s="27" t="s">
        <v>6</v>
      </c>
      <c r="E15919" s="27" t="s">
        <v>41</v>
      </c>
      <c r="F15919" s="29"/>
      <c r="G15919" s="30">
        <v>472.3067857142857</v>
      </c>
    </row>
    <row r="15920" spans="1:7" hidden="1" x14ac:dyDescent="0.25">
      <c r="A15920" s="28">
        <v>44835</v>
      </c>
      <c r="B15920" s="27" t="s">
        <v>36</v>
      </c>
      <c r="C15920" s="27" t="s">
        <v>50</v>
      </c>
      <c r="D15920" s="27" t="s">
        <v>6</v>
      </c>
      <c r="E15920" s="27" t="s">
        <v>10</v>
      </c>
      <c r="F15920" s="29"/>
      <c r="G15920" s="30">
        <v>472.3067857142857</v>
      </c>
    </row>
    <row r="15921" spans="1:7" hidden="1" x14ac:dyDescent="0.25">
      <c r="A15921" s="28">
        <v>44835</v>
      </c>
      <c r="B15921" s="27" t="s">
        <v>36</v>
      </c>
      <c r="C15921" s="27" t="s">
        <v>50</v>
      </c>
      <c r="D15921" s="27" t="s">
        <v>6</v>
      </c>
      <c r="E15921" s="27" t="s">
        <v>11</v>
      </c>
      <c r="F15921" s="29"/>
      <c r="G15921" s="30">
        <v>472.3067857142857</v>
      </c>
    </row>
    <row r="15922" spans="1:7" hidden="1" x14ac:dyDescent="0.25">
      <c r="A15922" s="28">
        <v>44835</v>
      </c>
      <c r="B15922" s="27" t="s">
        <v>36</v>
      </c>
      <c r="C15922" s="27" t="s">
        <v>50</v>
      </c>
      <c r="D15922" s="27" t="s">
        <v>6</v>
      </c>
      <c r="E15922" s="27" t="s">
        <v>12</v>
      </c>
      <c r="F15922" s="29"/>
      <c r="G15922" s="30">
        <v>472.3067857142857</v>
      </c>
    </row>
    <row r="15923" spans="1:7" hidden="1" x14ac:dyDescent="0.25">
      <c r="A15923" s="28">
        <v>44835</v>
      </c>
      <c r="B15923" s="27" t="s">
        <v>36</v>
      </c>
      <c r="C15923" s="27" t="s">
        <v>50</v>
      </c>
      <c r="D15923" s="27" t="s">
        <v>6</v>
      </c>
      <c r="E15923" s="27" t="s">
        <v>13</v>
      </c>
      <c r="F15923" s="29"/>
      <c r="G15923" s="30">
        <v>472.3067857142857</v>
      </c>
    </row>
    <row r="15924" spans="1:7" hidden="1" x14ac:dyDescent="0.25">
      <c r="A15924" s="28">
        <v>44835</v>
      </c>
      <c r="B15924" s="27" t="s">
        <v>36</v>
      </c>
      <c r="C15924" s="27" t="s">
        <v>50</v>
      </c>
      <c r="D15924" s="27" t="s">
        <v>6</v>
      </c>
      <c r="E15924" s="27" t="s">
        <v>14</v>
      </c>
      <c r="F15924" s="29"/>
      <c r="G15924" s="30">
        <v>472.3067857142857</v>
      </c>
    </row>
    <row r="15925" spans="1:7" hidden="1" x14ac:dyDescent="0.25">
      <c r="A15925" s="28">
        <v>44835</v>
      </c>
      <c r="B15925" s="27" t="s">
        <v>36</v>
      </c>
      <c r="C15925" s="27" t="s">
        <v>50</v>
      </c>
      <c r="D15925" s="27" t="s">
        <v>6</v>
      </c>
      <c r="E15925" s="27" t="s">
        <v>15</v>
      </c>
      <c r="F15925" s="29"/>
      <c r="G15925" s="30">
        <v>472.3067857142857</v>
      </c>
    </row>
    <row r="15926" spans="1:7" hidden="1" x14ac:dyDescent="0.25">
      <c r="A15926" s="28">
        <v>44835</v>
      </c>
      <c r="B15926" s="27" t="s">
        <v>36</v>
      </c>
      <c r="C15926" s="27" t="s">
        <v>50</v>
      </c>
      <c r="D15926" s="27" t="s">
        <v>6</v>
      </c>
      <c r="E15926" s="27" t="s">
        <v>16</v>
      </c>
      <c r="F15926" s="29"/>
      <c r="G15926" s="30">
        <v>472.3067857142857</v>
      </c>
    </row>
    <row r="15927" spans="1:7" hidden="1" x14ac:dyDescent="0.25">
      <c r="A15927" s="28">
        <v>44835</v>
      </c>
      <c r="B15927" s="27" t="s">
        <v>36</v>
      </c>
      <c r="C15927" s="27" t="s">
        <v>50</v>
      </c>
      <c r="D15927" s="27" t="s">
        <v>6</v>
      </c>
      <c r="E15927" s="27" t="s">
        <v>17</v>
      </c>
      <c r="F15927" s="29"/>
      <c r="G15927" s="30">
        <v>472.3067857142857</v>
      </c>
    </row>
    <row r="15928" spans="1:7" hidden="1" x14ac:dyDescent="0.25">
      <c r="A15928" s="28">
        <v>44835</v>
      </c>
      <c r="B15928" s="27" t="s">
        <v>36</v>
      </c>
      <c r="C15928" s="27" t="s">
        <v>50</v>
      </c>
      <c r="D15928" s="27" t="s">
        <v>6</v>
      </c>
      <c r="E15928" s="27" t="s">
        <v>18</v>
      </c>
      <c r="F15928" s="29"/>
      <c r="G15928" s="30">
        <v>472.3067857142857</v>
      </c>
    </row>
    <row r="15929" spans="1:7" hidden="1" x14ac:dyDescent="0.25">
      <c r="A15929" s="28">
        <v>44835</v>
      </c>
      <c r="B15929" s="27" t="s">
        <v>36</v>
      </c>
      <c r="C15929" s="27" t="s">
        <v>50</v>
      </c>
      <c r="D15929" s="27" t="s">
        <v>6</v>
      </c>
      <c r="E15929" s="27" t="s">
        <v>19</v>
      </c>
      <c r="F15929" s="29"/>
      <c r="G15929" s="30">
        <v>472.3067857142857</v>
      </c>
    </row>
    <row r="15930" spans="1:7" hidden="1" x14ac:dyDescent="0.25">
      <c r="A15930" s="28">
        <v>44835</v>
      </c>
      <c r="B15930" s="27" t="s">
        <v>36</v>
      </c>
      <c r="C15930" s="27" t="s">
        <v>50</v>
      </c>
      <c r="D15930" s="27" t="s">
        <v>6</v>
      </c>
      <c r="E15930" s="27" t="s">
        <v>20</v>
      </c>
      <c r="F15930" s="29"/>
      <c r="G15930" s="30">
        <v>472.3067857142857</v>
      </c>
    </row>
    <row r="15931" spans="1:7" hidden="1" x14ac:dyDescent="0.25">
      <c r="A15931" s="28">
        <v>44835</v>
      </c>
      <c r="B15931" s="27" t="s">
        <v>36</v>
      </c>
      <c r="C15931" s="27" t="s">
        <v>50</v>
      </c>
      <c r="D15931" s="27" t="s">
        <v>6</v>
      </c>
      <c r="E15931" s="27" t="s">
        <v>38</v>
      </c>
      <c r="F15931" s="29"/>
      <c r="G15931" s="30">
        <v>472.3067857142857</v>
      </c>
    </row>
    <row r="15932" spans="1:7" hidden="1" x14ac:dyDescent="0.25">
      <c r="A15932" s="28">
        <v>44835</v>
      </c>
      <c r="B15932" s="27" t="s">
        <v>36</v>
      </c>
      <c r="C15932" s="27" t="s">
        <v>50</v>
      </c>
      <c r="D15932" s="27" t="s">
        <v>6</v>
      </c>
      <c r="E15932" s="27" t="s">
        <v>23</v>
      </c>
      <c r="F15932" s="29"/>
      <c r="G15932" s="30">
        <v>472.3067857142857</v>
      </c>
    </row>
    <row r="15933" spans="1:7" hidden="1" x14ac:dyDescent="0.25">
      <c r="A15933" s="28">
        <v>44835</v>
      </c>
      <c r="B15933" s="27" t="s">
        <v>36</v>
      </c>
      <c r="C15933" s="27" t="s">
        <v>50</v>
      </c>
      <c r="D15933" s="27" t="s">
        <v>6</v>
      </c>
      <c r="E15933" s="27" t="s">
        <v>40</v>
      </c>
      <c r="F15933" s="29"/>
      <c r="G15933" s="30">
        <v>472.3067857142857</v>
      </c>
    </row>
    <row r="15934" spans="1:7" hidden="1" x14ac:dyDescent="0.25">
      <c r="A15934" s="28">
        <v>44835</v>
      </c>
      <c r="B15934" s="27" t="s">
        <v>36</v>
      </c>
      <c r="C15934" s="27" t="s">
        <v>50</v>
      </c>
      <c r="D15934" s="27" t="s">
        <v>6</v>
      </c>
      <c r="E15934" s="27" t="s">
        <v>42</v>
      </c>
      <c r="F15934" s="29"/>
      <c r="G15934" s="30">
        <v>472.3067857142857</v>
      </c>
    </row>
    <row r="15935" spans="1:7" hidden="1" x14ac:dyDescent="0.25">
      <c r="A15935" s="28">
        <v>44835</v>
      </c>
      <c r="B15935" s="27" t="s">
        <v>36</v>
      </c>
      <c r="C15935" s="27" t="s">
        <v>50</v>
      </c>
      <c r="D15935" s="27" t="s">
        <v>6</v>
      </c>
      <c r="E15935" s="27" t="s">
        <v>43</v>
      </c>
      <c r="F15935" s="29"/>
      <c r="G15935" s="30">
        <v>472.3067857142857</v>
      </c>
    </row>
    <row r="15936" spans="1:7" hidden="1" x14ac:dyDescent="0.25">
      <c r="A15936" s="28">
        <v>44835</v>
      </c>
      <c r="B15936" s="27" t="s">
        <v>36</v>
      </c>
      <c r="C15936" s="27" t="s">
        <v>50</v>
      </c>
      <c r="D15936" s="27" t="s">
        <v>6</v>
      </c>
      <c r="E15936" s="27" t="s">
        <v>72</v>
      </c>
      <c r="F15936" s="29"/>
      <c r="G15936" s="30">
        <v>472.3067857142857</v>
      </c>
    </row>
    <row r="15937" spans="1:7" hidden="1" x14ac:dyDescent="0.25">
      <c r="A15937" s="28">
        <v>44835</v>
      </c>
      <c r="B15937" s="27" t="s">
        <v>36</v>
      </c>
      <c r="C15937" s="27" t="s">
        <v>50</v>
      </c>
      <c r="D15937" s="27" t="s">
        <v>6</v>
      </c>
      <c r="E15937" s="27" t="s">
        <v>206</v>
      </c>
      <c r="F15937" s="29"/>
      <c r="G15937" s="30">
        <v>472.3067857142857</v>
      </c>
    </row>
    <row r="15938" spans="1:7" hidden="1" x14ac:dyDescent="0.25">
      <c r="A15938" s="28">
        <v>44835</v>
      </c>
      <c r="B15938" s="27" t="s">
        <v>36</v>
      </c>
      <c r="C15938" s="27" t="s">
        <v>50</v>
      </c>
      <c r="D15938" s="27" t="s">
        <v>6</v>
      </c>
      <c r="E15938" s="27" t="s">
        <v>67</v>
      </c>
      <c r="F15938" s="29"/>
      <c r="G15938" s="30">
        <v>472.3067857142857</v>
      </c>
    </row>
    <row r="15939" spans="1:7" hidden="1" x14ac:dyDescent="0.25">
      <c r="A15939" s="28">
        <v>44835</v>
      </c>
      <c r="B15939" s="27" t="s">
        <v>36</v>
      </c>
      <c r="C15939" s="27" t="s">
        <v>50</v>
      </c>
      <c r="D15939" s="27" t="s">
        <v>6</v>
      </c>
      <c r="E15939" s="27" t="s">
        <v>68</v>
      </c>
      <c r="F15939" s="29"/>
      <c r="G15939" s="30">
        <v>472.3067857142857</v>
      </c>
    </row>
    <row r="15940" spans="1:7" hidden="1" x14ac:dyDescent="0.25">
      <c r="A15940" s="28">
        <v>44835</v>
      </c>
      <c r="B15940" s="27" t="s">
        <v>36</v>
      </c>
      <c r="C15940" s="27" t="s">
        <v>50</v>
      </c>
      <c r="D15940" s="27" t="s">
        <v>6</v>
      </c>
      <c r="E15940" s="27" t="s">
        <v>74</v>
      </c>
      <c r="F15940" s="29"/>
      <c r="G15940" s="30">
        <v>472.3067857142857</v>
      </c>
    </row>
    <row r="15941" spans="1:7" hidden="1" x14ac:dyDescent="0.25">
      <c r="A15941" s="28">
        <v>44835</v>
      </c>
      <c r="B15941" s="27" t="s">
        <v>200</v>
      </c>
      <c r="C15941" s="27" t="s">
        <v>53</v>
      </c>
      <c r="D15941" s="27" t="s">
        <v>6</v>
      </c>
      <c r="E15941" s="27" t="s">
        <v>8</v>
      </c>
      <c r="F15941" s="29"/>
      <c r="G15941" s="30">
        <f t="shared" ref="G15941:G15964" si="274">2328.95819444444/24</f>
        <v>97.039924768518333</v>
      </c>
    </row>
    <row r="15942" spans="1:7" hidden="1" x14ac:dyDescent="0.25">
      <c r="A15942" s="28">
        <v>44835</v>
      </c>
      <c r="B15942" s="27" t="s">
        <v>200</v>
      </c>
      <c r="C15942" s="27" t="s">
        <v>53</v>
      </c>
      <c r="D15942" s="27" t="s">
        <v>6</v>
      </c>
      <c r="E15942" s="27" t="s">
        <v>9</v>
      </c>
      <c r="F15942" s="29"/>
      <c r="G15942" s="30">
        <f t="shared" si="274"/>
        <v>97.039924768518333</v>
      </c>
    </row>
    <row r="15943" spans="1:7" hidden="1" x14ac:dyDescent="0.25">
      <c r="A15943" s="28">
        <v>44835</v>
      </c>
      <c r="B15943" s="27" t="s">
        <v>200</v>
      </c>
      <c r="C15943" s="27" t="s">
        <v>53</v>
      </c>
      <c r="D15943" s="27" t="s">
        <v>6</v>
      </c>
      <c r="E15943" s="27" t="s">
        <v>22</v>
      </c>
      <c r="F15943" s="29"/>
      <c r="G15943" s="30">
        <f t="shared" si="274"/>
        <v>97.039924768518333</v>
      </c>
    </row>
    <row r="15944" spans="1:7" hidden="1" x14ac:dyDescent="0.25">
      <c r="A15944" s="28">
        <v>44835</v>
      </c>
      <c r="B15944" s="27" t="s">
        <v>200</v>
      </c>
      <c r="C15944" s="27" t="s">
        <v>53</v>
      </c>
      <c r="D15944" s="27" t="s">
        <v>6</v>
      </c>
      <c r="E15944" s="27" t="s">
        <v>39</v>
      </c>
      <c r="F15944" s="29"/>
      <c r="G15944" s="30">
        <f t="shared" si="274"/>
        <v>97.039924768518333</v>
      </c>
    </row>
    <row r="15945" spans="1:7" hidden="1" x14ac:dyDescent="0.25">
      <c r="A15945" s="28">
        <v>44835</v>
      </c>
      <c r="B15945" s="27" t="s">
        <v>200</v>
      </c>
      <c r="C15945" s="27" t="s">
        <v>53</v>
      </c>
      <c r="D15945" s="27" t="s">
        <v>6</v>
      </c>
      <c r="E15945" s="27" t="s">
        <v>64</v>
      </c>
      <c r="F15945" s="29"/>
      <c r="G15945" s="30">
        <f t="shared" si="274"/>
        <v>97.039924768518333</v>
      </c>
    </row>
    <row r="15946" spans="1:7" hidden="1" x14ac:dyDescent="0.25">
      <c r="A15946" s="28">
        <v>44835</v>
      </c>
      <c r="B15946" s="27" t="s">
        <v>200</v>
      </c>
      <c r="C15946" s="27" t="s">
        <v>53</v>
      </c>
      <c r="D15946" s="27" t="s">
        <v>6</v>
      </c>
      <c r="E15946" s="27" t="s">
        <v>21</v>
      </c>
      <c r="F15946" s="29"/>
      <c r="G15946" s="30">
        <f t="shared" si="274"/>
        <v>97.039924768518333</v>
      </c>
    </row>
    <row r="15947" spans="1:7" hidden="1" x14ac:dyDescent="0.25">
      <c r="A15947" s="28">
        <v>44835</v>
      </c>
      <c r="B15947" s="27" t="s">
        <v>200</v>
      </c>
      <c r="C15947" s="27" t="s">
        <v>53</v>
      </c>
      <c r="D15947" s="27" t="s">
        <v>6</v>
      </c>
      <c r="E15947" s="27" t="s">
        <v>41</v>
      </c>
      <c r="F15947" s="29"/>
      <c r="G15947" s="30">
        <f t="shared" si="274"/>
        <v>97.039924768518333</v>
      </c>
    </row>
    <row r="15948" spans="1:7" hidden="1" x14ac:dyDescent="0.25">
      <c r="A15948" s="28">
        <v>44835</v>
      </c>
      <c r="B15948" s="27" t="s">
        <v>200</v>
      </c>
      <c r="C15948" s="27" t="s">
        <v>53</v>
      </c>
      <c r="D15948" s="27" t="s">
        <v>6</v>
      </c>
      <c r="E15948" s="27" t="s">
        <v>10</v>
      </c>
      <c r="F15948" s="29"/>
      <c r="G15948" s="30">
        <f t="shared" si="274"/>
        <v>97.039924768518333</v>
      </c>
    </row>
    <row r="15949" spans="1:7" hidden="1" x14ac:dyDescent="0.25">
      <c r="A15949" s="28">
        <v>44835</v>
      </c>
      <c r="B15949" s="27" t="s">
        <v>200</v>
      </c>
      <c r="C15949" s="27" t="s">
        <v>53</v>
      </c>
      <c r="D15949" s="27" t="s">
        <v>6</v>
      </c>
      <c r="E15949" s="27" t="s">
        <v>11</v>
      </c>
      <c r="F15949" s="29"/>
      <c r="G15949" s="30">
        <f t="shared" si="274"/>
        <v>97.039924768518333</v>
      </c>
    </row>
    <row r="15950" spans="1:7" hidden="1" x14ac:dyDescent="0.25">
      <c r="A15950" s="28">
        <v>44835</v>
      </c>
      <c r="B15950" s="27" t="s">
        <v>200</v>
      </c>
      <c r="C15950" s="27" t="s">
        <v>53</v>
      </c>
      <c r="D15950" s="27" t="s">
        <v>6</v>
      </c>
      <c r="E15950" s="27" t="s">
        <v>12</v>
      </c>
      <c r="F15950" s="29"/>
      <c r="G15950" s="30">
        <f t="shared" si="274"/>
        <v>97.039924768518333</v>
      </c>
    </row>
    <row r="15951" spans="1:7" hidden="1" x14ac:dyDescent="0.25">
      <c r="A15951" s="28">
        <v>44835</v>
      </c>
      <c r="B15951" s="27" t="s">
        <v>200</v>
      </c>
      <c r="C15951" s="27" t="s">
        <v>53</v>
      </c>
      <c r="D15951" s="27" t="s">
        <v>6</v>
      </c>
      <c r="E15951" s="27" t="s">
        <v>13</v>
      </c>
      <c r="F15951" s="29"/>
      <c r="G15951" s="30">
        <f t="shared" si="274"/>
        <v>97.039924768518333</v>
      </c>
    </row>
    <row r="15952" spans="1:7" hidden="1" x14ac:dyDescent="0.25">
      <c r="A15952" s="28">
        <v>44835</v>
      </c>
      <c r="B15952" s="27" t="s">
        <v>200</v>
      </c>
      <c r="C15952" s="27" t="s">
        <v>53</v>
      </c>
      <c r="D15952" s="27" t="s">
        <v>6</v>
      </c>
      <c r="E15952" s="27" t="s">
        <v>14</v>
      </c>
      <c r="F15952" s="29"/>
      <c r="G15952" s="30">
        <f t="shared" si="274"/>
        <v>97.039924768518333</v>
      </c>
    </row>
    <row r="15953" spans="1:7" hidden="1" x14ac:dyDescent="0.25">
      <c r="A15953" s="28">
        <v>44835</v>
      </c>
      <c r="B15953" s="27" t="s">
        <v>200</v>
      </c>
      <c r="C15953" s="27" t="s">
        <v>53</v>
      </c>
      <c r="D15953" s="27" t="s">
        <v>6</v>
      </c>
      <c r="E15953" s="27" t="s">
        <v>15</v>
      </c>
      <c r="F15953" s="29"/>
      <c r="G15953" s="30">
        <f t="shared" si="274"/>
        <v>97.039924768518333</v>
      </c>
    </row>
    <row r="15954" spans="1:7" hidden="1" x14ac:dyDescent="0.25">
      <c r="A15954" s="28">
        <v>44835</v>
      </c>
      <c r="B15954" s="27" t="s">
        <v>200</v>
      </c>
      <c r="C15954" s="27" t="s">
        <v>53</v>
      </c>
      <c r="D15954" s="27" t="s">
        <v>6</v>
      </c>
      <c r="E15954" s="27" t="s">
        <v>16</v>
      </c>
      <c r="F15954" s="29"/>
      <c r="G15954" s="30">
        <f t="shared" si="274"/>
        <v>97.039924768518333</v>
      </c>
    </row>
    <row r="15955" spans="1:7" hidden="1" x14ac:dyDescent="0.25">
      <c r="A15955" s="28">
        <v>44835</v>
      </c>
      <c r="B15955" s="27" t="s">
        <v>200</v>
      </c>
      <c r="C15955" s="27" t="s">
        <v>53</v>
      </c>
      <c r="D15955" s="27" t="s">
        <v>6</v>
      </c>
      <c r="E15955" s="27" t="s">
        <v>17</v>
      </c>
      <c r="F15955" s="29"/>
      <c r="G15955" s="30">
        <f t="shared" si="274"/>
        <v>97.039924768518333</v>
      </c>
    </row>
    <row r="15956" spans="1:7" hidden="1" x14ac:dyDescent="0.25">
      <c r="A15956" s="28">
        <v>44835</v>
      </c>
      <c r="B15956" s="27" t="s">
        <v>200</v>
      </c>
      <c r="C15956" s="27" t="s">
        <v>53</v>
      </c>
      <c r="D15956" s="27" t="s">
        <v>6</v>
      </c>
      <c r="E15956" s="27" t="s">
        <v>18</v>
      </c>
      <c r="F15956" s="29"/>
      <c r="G15956" s="30">
        <f t="shared" si="274"/>
        <v>97.039924768518333</v>
      </c>
    </row>
    <row r="15957" spans="1:7" hidden="1" x14ac:dyDescent="0.25">
      <c r="A15957" s="28">
        <v>44835</v>
      </c>
      <c r="B15957" s="27" t="s">
        <v>200</v>
      </c>
      <c r="C15957" s="27" t="s">
        <v>53</v>
      </c>
      <c r="D15957" s="27" t="s">
        <v>6</v>
      </c>
      <c r="E15957" s="27" t="s">
        <v>19</v>
      </c>
      <c r="F15957" s="29"/>
      <c r="G15957" s="30">
        <f t="shared" si="274"/>
        <v>97.039924768518333</v>
      </c>
    </row>
    <row r="15958" spans="1:7" hidden="1" x14ac:dyDescent="0.25">
      <c r="A15958" s="28">
        <v>44835</v>
      </c>
      <c r="B15958" s="27" t="s">
        <v>200</v>
      </c>
      <c r="C15958" s="27" t="s">
        <v>53</v>
      </c>
      <c r="D15958" s="27" t="s">
        <v>6</v>
      </c>
      <c r="E15958" s="27" t="s">
        <v>20</v>
      </c>
      <c r="F15958" s="29"/>
      <c r="G15958" s="30">
        <f t="shared" si="274"/>
        <v>97.039924768518333</v>
      </c>
    </row>
    <row r="15959" spans="1:7" hidden="1" x14ac:dyDescent="0.25">
      <c r="A15959" s="28">
        <v>44835</v>
      </c>
      <c r="B15959" s="27" t="s">
        <v>200</v>
      </c>
      <c r="C15959" s="27" t="s">
        <v>53</v>
      </c>
      <c r="D15959" s="27" t="s">
        <v>6</v>
      </c>
      <c r="E15959" s="27" t="s">
        <v>38</v>
      </c>
      <c r="F15959" s="29"/>
      <c r="G15959" s="30">
        <f t="shared" si="274"/>
        <v>97.039924768518333</v>
      </c>
    </row>
    <row r="15960" spans="1:7" hidden="1" x14ac:dyDescent="0.25">
      <c r="A15960" s="28">
        <v>44835</v>
      </c>
      <c r="B15960" s="27" t="s">
        <v>200</v>
      </c>
      <c r="C15960" s="27" t="s">
        <v>53</v>
      </c>
      <c r="D15960" s="27" t="s">
        <v>6</v>
      </c>
      <c r="E15960" s="27" t="s">
        <v>23</v>
      </c>
      <c r="F15960" s="29"/>
      <c r="G15960" s="30">
        <f t="shared" si="274"/>
        <v>97.039924768518333</v>
      </c>
    </row>
    <row r="15961" spans="1:7" hidden="1" x14ac:dyDescent="0.25">
      <c r="A15961" s="28">
        <v>44835</v>
      </c>
      <c r="B15961" s="27" t="s">
        <v>200</v>
      </c>
      <c r="C15961" s="27" t="s">
        <v>53</v>
      </c>
      <c r="D15961" s="27" t="s">
        <v>6</v>
      </c>
      <c r="E15961" s="27" t="s">
        <v>40</v>
      </c>
      <c r="F15961" s="29"/>
      <c r="G15961" s="30">
        <f t="shared" si="274"/>
        <v>97.039924768518333</v>
      </c>
    </row>
    <row r="15962" spans="1:7" hidden="1" x14ac:dyDescent="0.25">
      <c r="A15962" s="28">
        <v>44835</v>
      </c>
      <c r="B15962" s="27" t="s">
        <v>200</v>
      </c>
      <c r="C15962" s="27" t="s">
        <v>53</v>
      </c>
      <c r="D15962" s="27" t="s">
        <v>6</v>
      </c>
      <c r="E15962" s="27" t="s">
        <v>42</v>
      </c>
      <c r="F15962" s="29"/>
      <c r="G15962" s="30">
        <f t="shared" si="274"/>
        <v>97.039924768518333</v>
      </c>
    </row>
    <row r="15963" spans="1:7" hidden="1" x14ac:dyDescent="0.25">
      <c r="A15963" s="28">
        <v>44835</v>
      </c>
      <c r="B15963" s="27" t="s">
        <v>200</v>
      </c>
      <c r="C15963" s="27" t="s">
        <v>53</v>
      </c>
      <c r="D15963" s="27" t="s">
        <v>6</v>
      </c>
      <c r="E15963" s="27" t="s">
        <v>72</v>
      </c>
      <c r="F15963" s="29"/>
      <c r="G15963" s="30">
        <f t="shared" si="274"/>
        <v>97.039924768518333</v>
      </c>
    </row>
    <row r="15964" spans="1:7" hidden="1" x14ac:dyDescent="0.25">
      <c r="A15964" s="28">
        <v>44835</v>
      </c>
      <c r="B15964" s="27" t="s">
        <v>200</v>
      </c>
      <c r="C15964" s="27" t="s">
        <v>53</v>
      </c>
      <c r="D15964" s="27" t="s">
        <v>6</v>
      </c>
      <c r="E15964" s="27" t="s">
        <v>12</v>
      </c>
      <c r="F15964" s="29"/>
      <c r="G15964" s="30">
        <f t="shared" si="274"/>
        <v>97.039924768518333</v>
      </c>
    </row>
    <row r="15965" spans="1:7" hidden="1" x14ac:dyDescent="0.25">
      <c r="A15965" s="28">
        <v>44835</v>
      </c>
      <c r="B15965" s="27" t="s">
        <v>200</v>
      </c>
      <c r="C15965" s="27" t="s">
        <v>54</v>
      </c>
      <c r="D15965" s="27" t="s">
        <v>7</v>
      </c>
      <c r="E15965" s="27" t="s">
        <v>8</v>
      </c>
      <c r="F15965" s="29"/>
      <c r="G15965" s="30">
        <f t="shared" ref="G15965:G15992" si="275">1830.92/28</f>
        <v>65.39</v>
      </c>
    </row>
    <row r="15966" spans="1:7" hidden="1" x14ac:dyDescent="0.25">
      <c r="A15966" s="28">
        <v>44835</v>
      </c>
      <c r="B15966" s="27" t="s">
        <v>200</v>
      </c>
      <c r="C15966" s="27" t="s">
        <v>54</v>
      </c>
      <c r="D15966" s="27" t="s">
        <v>7</v>
      </c>
      <c r="E15966" s="27" t="s">
        <v>9</v>
      </c>
      <c r="F15966" s="29"/>
      <c r="G15966" s="30">
        <f t="shared" si="275"/>
        <v>65.39</v>
      </c>
    </row>
    <row r="15967" spans="1:7" hidden="1" x14ac:dyDescent="0.25">
      <c r="A15967" s="28">
        <v>44835</v>
      </c>
      <c r="B15967" s="27" t="s">
        <v>200</v>
      </c>
      <c r="C15967" s="27" t="s">
        <v>54</v>
      </c>
      <c r="D15967" s="27" t="s">
        <v>7</v>
      </c>
      <c r="E15967" s="27" t="s">
        <v>22</v>
      </c>
      <c r="F15967" s="29"/>
      <c r="G15967" s="30">
        <f t="shared" si="275"/>
        <v>65.39</v>
      </c>
    </row>
    <row r="15968" spans="1:7" hidden="1" x14ac:dyDescent="0.25">
      <c r="A15968" s="28">
        <v>44835</v>
      </c>
      <c r="B15968" s="27" t="s">
        <v>200</v>
      </c>
      <c r="C15968" s="27" t="s">
        <v>54</v>
      </c>
      <c r="D15968" s="27" t="s">
        <v>7</v>
      </c>
      <c r="E15968" s="27" t="s">
        <v>39</v>
      </c>
      <c r="F15968" s="29"/>
      <c r="G15968" s="30">
        <f t="shared" si="275"/>
        <v>65.39</v>
      </c>
    </row>
    <row r="15969" spans="1:7" hidden="1" x14ac:dyDescent="0.25">
      <c r="A15969" s="28">
        <v>44835</v>
      </c>
      <c r="B15969" s="27" t="s">
        <v>200</v>
      </c>
      <c r="C15969" s="27" t="s">
        <v>54</v>
      </c>
      <c r="D15969" s="27" t="s">
        <v>7</v>
      </c>
      <c r="E15969" s="27" t="s">
        <v>64</v>
      </c>
      <c r="F15969" s="29"/>
      <c r="G15969" s="30">
        <f t="shared" si="275"/>
        <v>65.39</v>
      </c>
    </row>
    <row r="15970" spans="1:7" hidden="1" x14ac:dyDescent="0.25">
      <c r="A15970" s="28">
        <v>44835</v>
      </c>
      <c r="B15970" s="27" t="s">
        <v>200</v>
      </c>
      <c r="C15970" s="27" t="s">
        <v>54</v>
      </c>
      <c r="D15970" s="27" t="s">
        <v>7</v>
      </c>
      <c r="E15970" s="27" t="s">
        <v>21</v>
      </c>
      <c r="F15970" s="29"/>
      <c r="G15970" s="30">
        <f t="shared" si="275"/>
        <v>65.39</v>
      </c>
    </row>
    <row r="15971" spans="1:7" hidden="1" x14ac:dyDescent="0.25">
      <c r="A15971" s="28">
        <v>44835</v>
      </c>
      <c r="B15971" s="27" t="s">
        <v>200</v>
      </c>
      <c r="C15971" s="27" t="s">
        <v>54</v>
      </c>
      <c r="D15971" s="27" t="s">
        <v>7</v>
      </c>
      <c r="E15971" s="27" t="s">
        <v>41</v>
      </c>
      <c r="F15971" s="29"/>
      <c r="G15971" s="30">
        <f t="shared" si="275"/>
        <v>65.39</v>
      </c>
    </row>
    <row r="15972" spans="1:7" hidden="1" x14ac:dyDescent="0.25">
      <c r="A15972" s="28">
        <v>44835</v>
      </c>
      <c r="B15972" s="27" t="s">
        <v>200</v>
      </c>
      <c r="C15972" s="27" t="s">
        <v>54</v>
      </c>
      <c r="D15972" s="27" t="s">
        <v>7</v>
      </c>
      <c r="E15972" s="27" t="s">
        <v>10</v>
      </c>
      <c r="F15972" s="29"/>
      <c r="G15972" s="30">
        <f t="shared" si="275"/>
        <v>65.39</v>
      </c>
    </row>
    <row r="15973" spans="1:7" hidden="1" x14ac:dyDescent="0.25">
      <c r="A15973" s="28">
        <v>44835</v>
      </c>
      <c r="B15973" s="27" t="s">
        <v>200</v>
      </c>
      <c r="C15973" s="27" t="s">
        <v>54</v>
      </c>
      <c r="D15973" s="27" t="s">
        <v>7</v>
      </c>
      <c r="E15973" s="27" t="s">
        <v>11</v>
      </c>
      <c r="F15973" s="29"/>
      <c r="G15973" s="30">
        <f t="shared" si="275"/>
        <v>65.39</v>
      </c>
    </row>
    <row r="15974" spans="1:7" hidden="1" x14ac:dyDescent="0.25">
      <c r="A15974" s="28">
        <v>44835</v>
      </c>
      <c r="B15974" s="27" t="s">
        <v>200</v>
      </c>
      <c r="C15974" s="27" t="s">
        <v>54</v>
      </c>
      <c r="D15974" s="27" t="s">
        <v>7</v>
      </c>
      <c r="E15974" s="27" t="s">
        <v>12</v>
      </c>
      <c r="F15974" s="29"/>
      <c r="G15974" s="30">
        <f t="shared" si="275"/>
        <v>65.39</v>
      </c>
    </row>
    <row r="15975" spans="1:7" hidden="1" x14ac:dyDescent="0.25">
      <c r="A15975" s="28">
        <v>44835</v>
      </c>
      <c r="B15975" s="27" t="s">
        <v>200</v>
      </c>
      <c r="C15975" s="27" t="s">
        <v>54</v>
      </c>
      <c r="D15975" s="27" t="s">
        <v>7</v>
      </c>
      <c r="E15975" s="27" t="s">
        <v>13</v>
      </c>
      <c r="F15975" s="29"/>
      <c r="G15975" s="30">
        <f t="shared" si="275"/>
        <v>65.39</v>
      </c>
    </row>
    <row r="15976" spans="1:7" hidden="1" x14ac:dyDescent="0.25">
      <c r="A15976" s="28">
        <v>44835</v>
      </c>
      <c r="B15976" s="27" t="s">
        <v>200</v>
      </c>
      <c r="C15976" s="27" t="s">
        <v>54</v>
      </c>
      <c r="D15976" s="27" t="s">
        <v>7</v>
      </c>
      <c r="E15976" s="27" t="s">
        <v>14</v>
      </c>
      <c r="F15976" s="29"/>
      <c r="G15976" s="30">
        <f t="shared" si="275"/>
        <v>65.39</v>
      </c>
    </row>
    <row r="15977" spans="1:7" hidden="1" x14ac:dyDescent="0.25">
      <c r="A15977" s="28">
        <v>44835</v>
      </c>
      <c r="B15977" s="27" t="s">
        <v>200</v>
      </c>
      <c r="C15977" s="27" t="s">
        <v>54</v>
      </c>
      <c r="D15977" s="27" t="s">
        <v>7</v>
      </c>
      <c r="E15977" s="27" t="s">
        <v>15</v>
      </c>
      <c r="F15977" s="29"/>
      <c r="G15977" s="30">
        <f t="shared" si="275"/>
        <v>65.39</v>
      </c>
    </row>
    <row r="15978" spans="1:7" hidden="1" x14ac:dyDescent="0.25">
      <c r="A15978" s="28">
        <v>44835</v>
      </c>
      <c r="B15978" s="27" t="s">
        <v>200</v>
      </c>
      <c r="C15978" s="27" t="s">
        <v>54</v>
      </c>
      <c r="D15978" s="27" t="s">
        <v>7</v>
      </c>
      <c r="E15978" s="27" t="s">
        <v>16</v>
      </c>
      <c r="F15978" s="29"/>
      <c r="G15978" s="30">
        <f t="shared" si="275"/>
        <v>65.39</v>
      </c>
    </row>
    <row r="15979" spans="1:7" hidden="1" x14ac:dyDescent="0.25">
      <c r="A15979" s="28">
        <v>44835</v>
      </c>
      <c r="B15979" s="27" t="s">
        <v>200</v>
      </c>
      <c r="C15979" s="27" t="s">
        <v>54</v>
      </c>
      <c r="D15979" s="27" t="s">
        <v>7</v>
      </c>
      <c r="E15979" s="27" t="s">
        <v>17</v>
      </c>
      <c r="F15979" s="29"/>
      <c r="G15979" s="30">
        <f t="shared" si="275"/>
        <v>65.39</v>
      </c>
    </row>
    <row r="15980" spans="1:7" hidden="1" x14ac:dyDescent="0.25">
      <c r="A15980" s="28">
        <v>44835</v>
      </c>
      <c r="B15980" s="27" t="s">
        <v>200</v>
      </c>
      <c r="C15980" s="27" t="s">
        <v>54</v>
      </c>
      <c r="D15980" s="27" t="s">
        <v>7</v>
      </c>
      <c r="E15980" s="27" t="s">
        <v>18</v>
      </c>
      <c r="F15980" s="29"/>
      <c r="G15980" s="30">
        <f t="shared" si="275"/>
        <v>65.39</v>
      </c>
    </row>
    <row r="15981" spans="1:7" hidden="1" x14ac:dyDescent="0.25">
      <c r="A15981" s="28">
        <v>44835</v>
      </c>
      <c r="B15981" s="27" t="s">
        <v>200</v>
      </c>
      <c r="C15981" s="27" t="s">
        <v>54</v>
      </c>
      <c r="D15981" s="27" t="s">
        <v>7</v>
      </c>
      <c r="E15981" s="27" t="s">
        <v>19</v>
      </c>
      <c r="F15981" s="29"/>
      <c r="G15981" s="30">
        <f t="shared" si="275"/>
        <v>65.39</v>
      </c>
    </row>
    <row r="15982" spans="1:7" hidden="1" x14ac:dyDescent="0.25">
      <c r="A15982" s="28">
        <v>44835</v>
      </c>
      <c r="B15982" s="27" t="s">
        <v>200</v>
      </c>
      <c r="C15982" s="27" t="s">
        <v>54</v>
      </c>
      <c r="D15982" s="27" t="s">
        <v>7</v>
      </c>
      <c r="E15982" s="27" t="s">
        <v>20</v>
      </c>
      <c r="F15982" s="29"/>
      <c r="G15982" s="30">
        <f t="shared" si="275"/>
        <v>65.39</v>
      </c>
    </row>
    <row r="15983" spans="1:7" hidden="1" x14ac:dyDescent="0.25">
      <c r="A15983" s="28">
        <v>44835</v>
      </c>
      <c r="B15983" s="27" t="s">
        <v>200</v>
      </c>
      <c r="C15983" s="27" t="s">
        <v>54</v>
      </c>
      <c r="D15983" s="27" t="s">
        <v>7</v>
      </c>
      <c r="E15983" s="27" t="s">
        <v>38</v>
      </c>
      <c r="F15983" s="29"/>
      <c r="G15983" s="30">
        <f t="shared" si="275"/>
        <v>65.39</v>
      </c>
    </row>
    <row r="15984" spans="1:7" hidden="1" x14ac:dyDescent="0.25">
      <c r="A15984" s="28">
        <v>44835</v>
      </c>
      <c r="B15984" s="27" t="s">
        <v>200</v>
      </c>
      <c r="C15984" s="27" t="s">
        <v>54</v>
      </c>
      <c r="D15984" s="27" t="s">
        <v>7</v>
      </c>
      <c r="E15984" s="27" t="s">
        <v>23</v>
      </c>
      <c r="F15984" s="29"/>
      <c r="G15984" s="30">
        <f t="shared" si="275"/>
        <v>65.39</v>
      </c>
    </row>
    <row r="15985" spans="1:7" hidden="1" x14ac:dyDescent="0.25">
      <c r="A15985" s="28">
        <v>44835</v>
      </c>
      <c r="B15985" s="27" t="s">
        <v>200</v>
      </c>
      <c r="C15985" s="27" t="s">
        <v>54</v>
      </c>
      <c r="D15985" s="27" t="s">
        <v>7</v>
      </c>
      <c r="E15985" s="27" t="s">
        <v>40</v>
      </c>
      <c r="F15985" s="29"/>
      <c r="G15985" s="30">
        <f t="shared" si="275"/>
        <v>65.39</v>
      </c>
    </row>
    <row r="15986" spans="1:7" hidden="1" x14ac:dyDescent="0.25">
      <c r="A15986" s="28">
        <v>44835</v>
      </c>
      <c r="B15986" s="27" t="s">
        <v>200</v>
      </c>
      <c r="C15986" s="27" t="s">
        <v>54</v>
      </c>
      <c r="D15986" s="27" t="s">
        <v>7</v>
      </c>
      <c r="E15986" s="27" t="s">
        <v>42</v>
      </c>
      <c r="F15986" s="29"/>
      <c r="G15986" s="30">
        <f t="shared" si="275"/>
        <v>65.39</v>
      </c>
    </row>
    <row r="15987" spans="1:7" hidden="1" x14ac:dyDescent="0.25">
      <c r="A15987" s="28">
        <v>44835</v>
      </c>
      <c r="B15987" s="27" t="s">
        <v>200</v>
      </c>
      <c r="C15987" s="27" t="s">
        <v>54</v>
      </c>
      <c r="D15987" s="27" t="s">
        <v>7</v>
      </c>
      <c r="E15987" s="27" t="s">
        <v>43</v>
      </c>
      <c r="F15987" s="29"/>
      <c r="G15987" s="30">
        <f t="shared" si="275"/>
        <v>65.39</v>
      </c>
    </row>
    <row r="15988" spans="1:7" hidden="1" x14ac:dyDescent="0.25">
      <c r="A15988" s="28">
        <v>44835</v>
      </c>
      <c r="B15988" s="27" t="s">
        <v>200</v>
      </c>
      <c r="C15988" s="27" t="s">
        <v>54</v>
      </c>
      <c r="D15988" s="27" t="s">
        <v>7</v>
      </c>
      <c r="E15988" s="27" t="s">
        <v>72</v>
      </c>
      <c r="F15988" s="29"/>
      <c r="G15988" s="30">
        <f t="shared" si="275"/>
        <v>65.39</v>
      </c>
    </row>
    <row r="15989" spans="1:7" hidden="1" x14ac:dyDescent="0.25">
      <c r="A15989" s="28">
        <v>44835</v>
      </c>
      <c r="B15989" s="27" t="s">
        <v>200</v>
      </c>
      <c r="C15989" s="27" t="s">
        <v>54</v>
      </c>
      <c r="D15989" s="27" t="s">
        <v>7</v>
      </c>
      <c r="E15989" s="27" t="s">
        <v>206</v>
      </c>
      <c r="F15989" s="29"/>
      <c r="G15989" s="30">
        <f t="shared" si="275"/>
        <v>65.39</v>
      </c>
    </row>
    <row r="15990" spans="1:7" hidden="1" x14ac:dyDescent="0.25">
      <c r="A15990" s="28">
        <v>44835</v>
      </c>
      <c r="B15990" s="27" t="s">
        <v>200</v>
      </c>
      <c r="C15990" s="27" t="s">
        <v>54</v>
      </c>
      <c r="D15990" s="27" t="s">
        <v>7</v>
      </c>
      <c r="E15990" s="27" t="s">
        <v>67</v>
      </c>
      <c r="F15990" s="29"/>
      <c r="G15990" s="30">
        <f t="shared" si="275"/>
        <v>65.39</v>
      </c>
    </row>
    <row r="15991" spans="1:7" hidden="1" x14ac:dyDescent="0.25">
      <c r="A15991" s="28">
        <v>44835</v>
      </c>
      <c r="B15991" s="27" t="s">
        <v>200</v>
      </c>
      <c r="C15991" s="27" t="s">
        <v>54</v>
      </c>
      <c r="D15991" s="27" t="s">
        <v>7</v>
      </c>
      <c r="E15991" s="27" t="s">
        <v>68</v>
      </c>
      <c r="F15991" s="29"/>
      <c r="G15991" s="30">
        <f t="shared" si="275"/>
        <v>65.39</v>
      </c>
    </row>
    <row r="15992" spans="1:7" hidden="1" x14ac:dyDescent="0.25">
      <c r="A15992" s="28">
        <v>44835</v>
      </c>
      <c r="B15992" s="27" t="s">
        <v>200</v>
      </c>
      <c r="C15992" s="27" t="s">
        <v>54</v>
      </c>
      <c r="D15992" s="27" t="s">
        <v>7</v>
      </c>
      <c r="E15992" s="27" t="s">
        <v>74</v>
      </c>
      <c r="F15992" s="29"/>
      <c r="G15992" s="30">
        <f t="shared" si="275"/>
        <v>65.39</v>
      </c>
    </row>
    <row r="15993" spans="1:7" hidden="1" x14ac:dyDescent="0.25">
      <c r="A15993" s="28">
        <v>44835</v>
      </c>
      <c r="B15993" s="27" t="s">
        <v>200</v>
      </c>
      <c r="C15993" s="27" t="s">
        <v>55</v>
      </c>
      <c r="D15993" s="27" t="s">
        <v>6</v>
      </c>
      <c r="E15993" s="27" t="s">
        <v>8</v>
      </c>
      <c r="F15993" s="29"/>
      <c r="G15993" s="30">
        <f t="shared" ref="G15993:G16016" si="276">26647.8576/24</f>
        <v>1110.3273999999999</v>
      </c>
    </row>
    <row r="15994" spans="1:7" hidden="1" x14ac:dyDescent="0.25">
      <c r="A15994" s="28">
        <v>44835</v>
      </c>
      <c r="B15994" s="27" t="s">
        <v>200</v>
      </c>
      <c r="C15994" s="27" t="s">
        <v>55</v>
      </c>
      <c r="D15994" s="27" t="s">
        <v>6</v>
      </c>
      <c r="E15994" s="27" t="s">
        <v>9</v>
      </c>
      <c r="F15994" s="29"/>
      <c r="G15994" s="30">
        <f t="shared" si="276"/>
        <v>1110.3273999999999</v>
      </c>
    </row>
    <row r="15995" spans="1:7" hidden="1" x14ac:dyDescent="0.25">
      <c r="A15995" s="28">
        <v>44835</v>
      </c>
      <c r="B15995" s="27" t="s">
        <v>200</v>
      </c>
      <c r="C15995" s="27" t="s">
        <v>55</v>
      </c>
      <c r="D15995" s="27" t="s">
        <v>6</v>
      </c>
      <c r="E15995" s="27" t="s">
        <v>22</v>
      </c>
      <c r="F15995" s="29"/>
      <c r="G15995" s="30">
        <f t="shared" si="276"/>
        <v>1110.3273999999999</v>
      </c>
    </row>
    <row r="15996" spans="1:7" hidden="1" x14ac:dyDescent="0.25">
      <c r="A15996" s="28">
        <v>44835</v>
      </c>
      <c r="B15996" s="27" t="s">
        <v>200</v>
      </c>
      <c r="C15996" s="27" t="s">
        <v>55</v>
      </c>
      <c r="D15996" s="27" t="s">
        <v>6</v>
      </c>
      <c r="E15996" s="27" t="s">
        <v>39</v>
      </c>
      <c r="F15996" s="29"/>
      <c r="G15996" s="30">
        <f t="shared" si="276"/>
        <v>1110.3273999999999</v>
      </c>
    </row>
    <row r="15997" spans="1:7" hidden="1" x14ac:dyDescent="0.25">
      <c r="A15997" s="28">
        <v>44835</v>
      </c>
      <c r="B15997" s="27" t="s">
        <v>200</v>
      </c>
      <c r="C15997" s="27" t="s">
        <v>55</v>
      </c>
      <c r="D15997" s="27" t="s">
        <v>6</v>
      </c>
      <c r="E15997" s="27" t="s">
        <v>64</v>
      </c>
      <c r="F15997" s="29"/>
      <c r="G15997" s="30">
        <f t="shared" si="276"/>
        <v>1110.3273999999999</v>
      </c>
    </row>
    <row r="15998" spans="1:7" hidden="1" x14ac:dyDescent="0.25">
      <c r="A15998" s="28">
        <v>44835</v>
      </c>
      <c r="B15998" s="27" t="s">
        <v>200</v>
      </c>
      <c r="C15998" s="27" t="s">
        <v>55</v>
      </c>
      <c r="D15998" s="27" t="s">
        <v>6</v>
      </c>
      <c r="E15998" s="27" t="s">
        <v>21</v>
      </c>
      <c r="F15998" s="29"/>
      <c r="G15998" s="30">
        <f t="shared" si="276"/>
        <v>1110.3273999999999</v>
      </c>
    </row>
    <row r="15999" spans="1:7" hidden="1" x14ac:dyDescent="0.25">
      <c r="A15999" s="28">
        <v>44835</v>
      </c>
      <c r="B15999" s="27" t="s">
        <v>200</v>
      </c>
      <c r="C15999" s="27" t="s">
        <v>55</v>
      </c>
      <c r="D15999" s="27" t="s">
        <v>6</v>
      </c>
      <c r="E15999" s="27" t="s">
        <v>41</v>
      </c>
      <c r="F15999" s="29"/>
      <c r="G15999" s="30">
        <f t="shared" si="276"/>
        <v>1110.3273999999999</v>
      </c>
    </row>
    <row r="16000" spans="1:7" hidden="1" x14ac:dyDescent="0.25">
      <c r="A16000" s="28">
        <v>44835</v>
      </c>
      <c r="B16000" s="27" t="s">
        <v>200</v>
      </c>
      <c r="C16000" s="27" t="s">
        <v>55</v>
      </c>
      <c r="D16000" s="27" t="s">
        <v>6</v>
      </c>
      <c r="E16000" s="27" t="s">
        <v>10</v>
      </c>
      <c r="F16000" s="29"/>
      <c r="G16000" s="30">
        <f t="shared" si="276"/>
        <v>1110.3273999999999</v>
      </c>
    </row>
    <row r="16001" spans="1:7" hidden="1" x14ac:dyDescent="0.25">
      <c r="A16001" s="28">
        <v>44835</v>
      </c>
      <c r="B16001" s="27" t="s">
        <v>200</v>
      </c>
      <c r="C16001" s="27" t="s">
        <v>55</v>
      </c>
      <c r="D16001" s="27" t="s">
        <v>6</v>
      </c>
      <c r="E16001" s="27" t="s">
        <v>11</v>
      </c>
      <c r="F16001" s="29"/>
      <c r="G16001" s="30">
        <f t="shared" si="276"/>
        <v>1110.3273999999999</v>
      </c>
    </row>
    <row r="16002" spans="1:7" hidden="1" x14ac:dyDescent="0.25">
      <c r="A16002" s="28">
        <v>44835</v>
      </c>
      <c r="B16002" s="27" t="s">
        <v>200</v>
      </c>
      <c r="C16002" s="27" t="s">
        <v>55</v>
      </c>
      <c r="D16002" s="27" t="s">
        <v>6</v>
      </c>
      <c r="E16002" s="27" t="s">
        <v>12</v>
      </c>
      <c r="F16002" s="29"/>
      <c r="G16002" s="30">
        <f t="shared" si="276"/>
        <v>1110.3273999999999</v>
      </c>
    </row>
    <row r="16003" spans="1:7" hidden="1" x14ac:dyDescent="0.25">
      <c r="A16003" s="28">
        <v>44835</v>
      </c>
      <c r="B16003" s="27" t="s">
        <v>200</v>
      </c>
      <c r="C16003" s="27" t="s">
        <v>55</v>
      </c>
      <c r="D16003" s="27" t="s">
        <v>6</v>
      </c>
      <c r="E16003" s="27" t="s">
        <v>13</v>
      </c>
      <c r="F16003" s="29"/>
      <c r="G16003" s="30">
        <f t="shared" si="276"/>
        <v>1110.3273999999999</v>
      </c>
    </row>
    <row r="16004" spans="1:7" hidden="1" x14ac:dyDescent="0.25">
      <c r="A16004" s="28">
        <v>44835</v>
      </c>
      <c r="B16004" s="27" t="s">
        <v>200</v>
      </c>
      <c r="C16004" s="27" t="s">
        <v>55</v>
      </c>
      <c r="D16004" s="27" t="s">
        <v>6</v>
      </c>
      <c r="E16004" s="27" t="s">
        <v>14</v>
      </c>
      <c r="F16004" s="29"/>
      <c r="G16004" s="30">
        <f t="shared" si="276"/>
        <v>1110.3273999999999</v>
      </c>
    </row>
    <row r="16005" spans="1:7" hidden="1" x14ac:dyDescent="0.25">
      <c r="A16005" s="28">
        <v>44835</v>
      </c>
      <c r="B16005" s="27" t="s">
        <v>200</v>
      </c>
      <c r="C16005" s="27" t="s">
        <v>55</v>
      </c>
      <c r="D16005" s="27" t="s">
        <v>6</v>
      </c>
      <c r="E16005" s="27" t="s">
        <v>15</v>
      </c>
      <c r="F16005" s="29"/>
      <c r="G16005" s="30">
        <f t="shared" si="276"/>
        <v>1110.3273999999999</v>
      </c>
    </row>
    <row r="16006" spans="1:7" hidden="1" x14ac:dyDescent="0.25">
      <c r="A16006" s="28">
        <v>44835</v>
      </c>
      <c r="B16006" s="27" t="s">
        <v>200</v>
      </c>
      <c r="C16006" s="27" t="s">
        <v>55</v>
      </c>
      <c r="D16006" s="27" t="s">
        <v>6</v>
      </c>
      <c r="E16006" s="27" t="s">
        <v>16</v>
      </c>
      <c r="F16006" s="29"/>
      <c r="G16006" s="30">
        <f t="shared" si="276"/>
        <v>1110.3273999999999</v>
      </c>
    </row>
    <row r="16007" spans="1:7" hidden="1" x14ac:dyDescent="0.25">
      <c r="A16007" s="28">
        <v>44835</v>
      </c>
      <c r="B16007" s="27" t="s">
        <v>200</v>
      </c>
      <c r="C16007" s="27" t="s">
        <v>55</v>
      </c>
      <c r="D16007" s="27" t="s">
        <v>6</v>
      </c>
      <c r="E16007" s="27" t="s">
        <v>17</v>
      </c>
      <c r="F16007" s="29"/>
      <c r="G16007" s="30">
        <f t="shared" si="276"/>
        <v>1110.3273999999999</v>
      </c>
    </row>
    <row r="16008" spans="1:7" hidden="1" x14ac:dyDescent="0.25">
      <c r="A16008" s="28">
        <v>44835</v>
      </c>
      <c r="B16008" s="27" t="s">
        <v>200</v>
      </c>
      <c r="C16008" s="27" t="s">
        <v>55</v>
      </c>
      <c r="D16008" s="27" t="s">
        <v>6</v>
      </c>
      <c r="E16008" s="27" t="s">
        <v>18</v>
      </c>
      <c r="F16008" s="29"/>
      <c r="G16008" s="30">
        <f t="shared" si="276"/>
        <v>1110.3273999999999</v>
      </c>
    </row>
    <row r="16009" spans="1:7" hidden="1" x14ac:dyDescent="0.25">
      <c r="A16009" s="28">
        <v>44835</v>
      </c>
      <c r="B16009" s="27" t="s">
        <v>200</v>
      </c>
      <c r="C16009" s="27" t="s">
        <v>55</v>
      </c>
      <c r="D16009" s="27" t="s">
        <v>6</v>
      </c>
      <c r="E16009" s="27" t="s">
        <v>19</v>
      </c>
      <c r="F16009" s="29"/>
      <c r="G16009" s="30">
        <f t="shared" si="276"/>
        <v>1110.3273999999999</v>
      </c>
    </row>
    <row r="16010" spans="1:7" hidden="1" x14ac:dyDescent="0.25">
      <c r="A16010" s="28">
        <v>44835</v>
      </c>
      <c r="B16010" s="27" t="s">
        <v>200</v>
      </c>
      <c r="C16010" s="27" t="s">
        <v>55</v>
      </c>
      <c r="D16010" s="27" t="s">
        <v>6</v>
      </c>
      <c r="E16010" s="27" t="s">
        <v>20</v>
      </c>
      <c r="F16010" s="29"/>
      <c r="G16010" s="30">
        <f t="shared" si="276"/>
        <v>1110.3273999999999</v>
      </c>
    </row>
    <row r="16011" spans="1:7" hidden="1" x14ac:dyDescent="0.25">
      <c r="A16011" s="28">
        <v>44835</v>
      </c>
      <c r="B16011" s="27" t="s">
        <v>200</v>
      </c>
      <c r="C16011" s="27" t="s">
        <v>55</v>
      </c>
      <c r="D16011" s="27" t="s">
        <v>6</v>
      </c>
      <c r="E16011" s="27" t="s">
        <v>38</v>
      </c>
      <c r="F16011" s="29"/>
      <c r="G16011" s="30">
        <f t="shared" si="276"/>
        <v>1110.3273999999999</v>
      </c>
    </row>
    <row r="16012" spans="1:7" hidden="1" x14ac:dyDescent="0.25">
      <c r="A16012" s="28">
        <v>44835</v>
      </c>
      <c r="B16012" s="27" t="s">
        <v>200</v>
      </c>
      <c r="C16012" s="27" t="s">
        <v>55</v>
      </c>
      <c r="D16012" s="27" t="s">
        <v>6</v>
      </c>
      <c r="E16012" s="27" t="s">
        <v>23</v>
      </c>
      <c r="F16012" s="29"/>
      <c r="G16012" s="30">
        <f t="shared" si="276"/>
        <v>1110.3273999999999</v>
      </c>
    </row>
    <row r="16013" spans="1:7" hidden="1" x14ac:dyDescent="0.25">
      <c r="A16013" s="28">
        <v>44835</v>
      </c>
      <c r="B16013" s="27" t="s">
        <v>200</v>
      </c>
      <c r="C16013" s="27" t="s">
        <v>55</v>
      </c>
      <c r="D16013" s="27" t="s">
        <v>6</v>
      </c>
      <c r="E16013" s="27" t="s">
        <v>40</v>
      </c>
      <c r="F16013" s="29"/>
      <c r="G16013" s="30">
        <f t="shared" si="276"/>
        <v>1110.3273999999999</v>
      </c>
    </row>
    <row r="16014" spans="1:7" hidden="1" x14ac:dyDescent="0.25">
      <c r="A16014" s="28">
        <v>44835</v>
      </c>
      <c r="B16014" s="27" t="s">
        <v>200</v>
      </c>
      <c r="C16014" s="27" t="s">
        <v>55</v>
      </c>
      <c r="D16014" s="27" t="s">
        <v>6</v>
      </c>
      <c r="E16014" s="27" t="s">
        <v>42</v>
      </c>
      <c r="F16014" s="29"/>
      <c r="G16014" s="30">
        <f t="shared" si="276"/>
        <v>1110.3273999999999</v>
      </c>
    </row>
    <row r="16015" spans="1:7" hidden="1" x14ac:dyDescent="0.25">
      <c r="A16015" s="28">
        <v>44835</v>
      </c>
      <c r="B16015" s="27" t="s">
        <v>200</v>
      </c>
      <c r="C16015" s="27" t="s">
        <v>55</v>
      </c>
      <c r="D16015" s="27" t="s">
        <v>6</v>
      </c>
      <c r="E16015" s="27" t="s">
        <v>72</v>
      </c>
      <c r="F16015" s="29"/>
      <c r="G16015" s="30">
        <f t="shared" si="276"/>
        <v>1110.3273999999999</v>
      </c>
    </row>
    <row r="16016" spans="1:7" hidden="1" x14ac:dyDescent="0.25">
      <c r="A16016" s="28">
        <v>44835</v>
      </c>
      <c r="B16016" s="27" t="s">
        <v>200</v>
      </c>
      <c r="C16016" s="27" t="s">
        <v>55</v>
      </c>
      <c r="D16016" s="27" t="s">
        <v>6</v>
      </c>
      <c r="E16016" s="27" t="s">
        <v>12</v>
      </c>
      <c r="F16016" s="29"/>
      <c r="G16016" s="30">
        <f t="shared" si="276"/>
        <v>1110.3273999999999</v>
      </c>
    </row>
    <row r="16017" spans="1:7" hidden="1" x14ac:dyDescent="0.25">
      <c r="A16017" s="28">
        <v>44835</v>
      </c>
      <c r="B16017" s="27" t="s">
        <v>200</v>
      </c>
      <c r="C16017" s="27" t="s">
        <v>183</v>
      </c>
      <c r="D16017" s="27" t="s">
        <v>7</v>
      </c>
      <c r="E16017" s="27" t="s">
        <v>8</v>
      </c>
      <c r="F16017" s="29"/>
      <c r="G16017" s="30">
        <f t="shared" ref="G16017:G16044" si="277">9022.78/28</f>
        <v>322.24214285714288</v>
      </c>
    </row>
    <row r="16018" spans="1:7" hidden="1" x14ac:dyDescent="0.25">
      <c r="A16018" s="28">
        <v>44835</v>
      </c>
      <c r="B16018" s="27" t="s">
        <v>200</v>
      </c>
      <c r="C16018" s="27" t="s">
        <v>183</v>
      </c>
      <c r="D16018" s="27" t="s">
        <v>7</v>
      </c>
      <c r="E16018" s="27" t="s">
        <v>9</v>
      </c>
      <c r="F16018" s="29"/>
      <c r="G16018" s="30">
        <f t="shared" si="277"/>
        <v>322.24214285714288</v>
      </c>
    </row>
    <row r="16019" spans="1:7" hidden="1" x14ac:dyDescent="0.25">
      <c r="A16019" s="28">
        <v>44835</v>
      </c>
      <c r="B16019" s="27" t="s">
        <v>200</v>
      </c>
      <c r="C16019" s="27" t="s">
        <v>183</v>
      </c>
      <c r="D16019" s="27" t="s">
        <v>7</v>
      </c>
      <c r="E16019" s="27" t="s">
        <v>22</v>
      </c>
      <c r="F16019" s="29"/>
      <c r="G16019" s="30">
        <f t="shared" si="277"/>
        <v>322.24214285714288</v>
      </c>
    </row>
    <row r="16020" spans="1:7" hidden="1" x14ac:dyDescent="0.25">
      <c r="A16020" s="28">
        <v>44835</v>
      </c>
      <c r="B16020" s="27" t="s">
        <v>200</v>
      </c>
      <c r="C16020" s="27" t="s">
        <v>183</v>
      </c>
      <c r="D16020" s="27" t="s">
        <v>7</v>
      </c>
      <c r="E16020" s="27" t="s">
        <v>39</v>
      </c>
      <c r="F16020" s="29"/>
      <c r="G16020" s="30">
        <f t="shared" si="277"/>
        <v>322.24214285714288</v>
      </c>
    </row>
    <row r="16021" spans="1:7" hidden="1" x14ac:dyDescent="0.25">
      <c r="A16021" s="28">
        <v>44835</v>
      </c>
      <c r="B16021" s="27" t="s">
        <v>200</v>
      </c>
      <c r="C16021" s="27" t="s">
        <v>183</v>
      </c>
      <c r="D16021" s="27" t="s">
        <v>7</v>
      </c>
      <c r="E16021" s="27" t="s">
        <v>64</v>
      </c>
      <c r="F16021" s="29"/>
      <c r="G16021" s="30">
        <f t="shared" si="277"/>
        <v>322.24214285714288</v>
      </c>
    </row>
    <row r="16022" spans="1:7" hidden="1" x14ac:dyDescent="0.25">
      <c r="A16022" s="28">
        <v>44835</v>
      </c>
      <c r="B16022" s="27" t="s">
        <v>200</v>
      </c>
      <c r="C16022" s="27" t="s">
        <v>183</v>
      </c>
      <c r="D16022" s="27" t="s">
        <v>7</v>
      </c>
      <c r="E16022" s="27" t="s">
        <v>21</v>
      </c>
      <c r="F16022" s="29"/>
      <c r="G16022" s="30">
        <f t="shared" si="277"/>
        <v>322.24214285714288</v>
      </c>
    </row>
    <row r="16023" spans="1:7" hidden="1" x14ac:dyDescent="0.25">
      <c r="A16023" s="28">
        <v>44835</v>
      </c>
      <c r="B16023" s="27" t="s">
        <v>200</v>
      </c>
      <c r="C16023" s="27" t="s">
        <v>183</v>
      </c>
      <c r="D16023" s="27" t="s">
        <v>7</v>
      </c>
      <c r="E16023" s="27" t="s">
        <v>41</v>
      </c>
      <c r="F16023" s="29"/>
      <c r="G16023" s="30">
        <f t="shared" si="277"/>
        <v>322.24214285714288</v>
      </c>
    </row>
    <row r="16024" spans="1:7" hidden="1" x14ac:dyDescent="0.25">
      <c r="A16024" s="28">
        <v>44835</v>
      </c>
      <c r="B16024" s="27" t="s">
        <v>200</v>
      </c>
      <c r="C16024" s="27" t="s">
        <v>183</v>
      </c>
      <c r="D16024" s="27" t="s">
        <v>7</v>
      </c>
      <c r="E16024" s="27" t="s">
        <v>10</v>
      </c>
      <c r="F16024" s="29"/>
      <c r="G16024" s="30">
        <f t="shared" si="277"/>
        <v>322.24214285714288</v>
      </c>
    </row>
    <row r="16025" spans="1:7" hidden="1" x14ac:dyDescent="0.25">
      <c r="A16025" s="28">
        <v>44835</v>
      </c>
      <c r="B16025" s="27" t="s">
        <v>200</v>
      </c>
      <c r="C16025" s="27" t="s">
        <v>183</v>
      </c>
      <c r="D16025" s="27" t="s">
        <v>7</v>
      </c>
      <c r="E16025" s="27" t="s">
        <v>11</v>
      </c>
      <c r="F16025" s="29"/>
      <c r="G16025" s="30">
        <f t="shared" si="277"/>
        <v>322.24214285714288</v>
      </c>
    </row>
    <row r="16026" spans="1:7" hidden="1" x14ac:dyDescent="0.25">
      <c r="A16026" s="28">
        <v>44835</v>
      </c>
      <c r="B16026" s="27" t="s">
        <v>200</v>
      </c>
      <c r="C16026" s="27" t="s">
        <v>183</v>
      </c>
      <c r="D16026" s="27" t="s">
        <v>7</v>
      </c>
      <c r="E16026" s="27" t="s">
        <v>12</v>
      </c>
      <c r="F16026" s="29"/>
      <c r="G16026" s="30">
        <f t="shared" si="277"/>
        <v>322.24214285714288</v>
      </c>
    </row>
    <row r="16027" spans="1:7" hidden="1" x14ac:dyDescent="0.25">
      <c r="A16027" s="28">
        <v>44835</v>
      </c>
      <c r="B16027" s="27" t="s">
        <v>200</v>
      </c>
      <c r="C16027" s="27" t="s">
        <v>183</v>
      </c>
      <c r="D16027" s="27" t="s">
        <v>7</v>
      </c>
      <c r="E16027" s="27" t="s">
        <v>13</v>
      </c>
      <c r="F16027" s="29"/>
      <c r="G16027" s="30">
        <f t="shared" si="277"/>
        <v>322.24214285714288</v>
      </c>
    </row>
    <row r="16028" spans="1:7" hidden="1" x14ac:dyDescent="0.25">
      <c r="A16028" s="28">
        <v>44835</v>
      </c>
      <c r="B16028" s="27" t="s">
        <v>200</v>
      </c>
      <c r="C16028" s="27" t="s">
        <v>183</v>
      </c>
      <c r="D16028" s="27" t="s">
        <v>7</v>
      </c>
      <c r="E16028" s="27" t="s">
        <v>14</v>
      </c>
      <c r="F16028" s="29"/>
      <c r="G16028" s="30">
        <f t="shared" si="277"/>
        <v>322.24214285714288</v>
      </c>
    </row>
    <row r="16029" spans="1:7" hidden="1" x14ac:dyDescent="0.25">
      <c r="A16029" s="28">
        <v>44835</v>
      </c>
      <c r="B16029" s="27" t="s">
        <v>200</v>
      </c>
      <c r="C16029" s="27" t="s">
        <v>183</v>
      </c>
      <c r="D16029" s="27" t="s">
        <v>7</v>
      </c>
      <c r="E16029" s="27" t="s">
        <v>15</v>
      </c>
      <c r="F16029" s="29"/>
      <c r="G16029" s="30">
        <f t="shared" si="277"/>
        <v>322.24214285714288</v>
      </c>
    </row>
    <row r="16030" spans="1:7" hidden="1" x14ac:dyDescent="0.25">
      <c r="A16030" s="28">
        <v>44835</v>
      </c>
      <c r="B16030" s="27" t="s">
        <v>200</v>
      </c>
      <c r="C16030" s="27" t="s">
        <v>183</v>
      </c>
      <c r="D16030" s="27" t="s">
        <v>7</v>
      </c>
      <c r="E16030" s="27" t="s">
        <v>16</v>
      </c>
      <c r="F16030" s="29"/>
      <c r="G16030" s="30">
        <f t="shared" si="277"/>
        <v>322.24214285714288</v>
      </c>
    </row>
    <row r="16031" spans="1:7" hidden="1" x14ac:dyDescent="0.25">
      <c r="A16031" s="28">
        <v>44835</v>
      </c>
      <c r="B16031" s="27" t="s">
        <v>200</v>
      </c>
      <c r="C16031" s="27" t="s">
        <v>183</v>
      </c>
      <c r="D16031" s="27" t="s">
        <v>7</v>
      </c>
      <c r="E16031" s="27" t="s">
        <v>17</v>
      </c>
      <c r="F16031" s="29"/>
      <c r="G16031" s="30">
        <f t="shared" si="277"/>
        <v>322.24214285714288</v>
      </c>
    </row>
    <row r="16032" spans="1:7" hidden="1" x14ac:dyDescent="0.25">
      <c r="A16032" s="28">
        <v>44835</v>
      </c>
      <c r="B16032" s="27" t="s">
        <v>200</v>
      </c>
      <c r="C16032" s="27" t="s">
        <v>183</v>
      </c>
      <c r="D16032" s="27" t="s">
        <v>7</v>
      </c>
      <c r="E16032" s="27" t="s">
        <v>18</v>
      </c>
      <c r="F16032" s="29"/>
      <c r="G16032" s="30">
        <f t="shared" si="277"/>
        <v>322.24214285714288</v>
      </c>
    </row>
    <row r="16033" spans="1:7" hidden="1" x14ac:dyDescent="0.25">
      <c r="A16033" s="28">
        <v>44835</v>
      </c>
      <c r="B16033" s="27" t="s">
        <v>200</v>
      </c>
      <c r="C16033" s="27" t="s">
        <v>183</v>
      </c>
      <c r="D16033" s="27" t="s">
        <v>7</v>
      </c>
      <c r="E16033" s="27" t="s">
        <v>19</v>
      </c>
      <c r="F16033" s="29"/>
      <c r="G16033" s="30">
        <f t="shared" si="277"/>
        <v>322.24214285714288</v>
      </c>
    </row>
    <row r="16034" spans="1:7" hidden="1" x14ac:dyDescent="0.25">
      <c r="A16034" s="28">
        <v>44835</v>
      </c>
      <c r="B16034" s="27" t="s">
        <v>200</v>
      </c>
      <c r="C16034" s="27" t="s">
        <v>183</v>
      </c>
      <c r="D16034" s="27" t="s">
        <v>7</v>
      </c>
      <c r="E16034" s="27" t="s">
        <v>20</v>
      </c>
      <c r="F16034" s="29"/>
      <c r="G16034" s="30">
        <f t="shared" si="277"/>
        <v>322.24214285714288</v>
      </c>
    </row>
    <row r="16035" spans="1:7" hidden="1" x14ac:dyDescent="0.25">
      <c r="A16035" s="28">
        <v>44835</v>
      </c>
      <c r="B16035" s="27" t="s">
        <v>200</v>
      </c>
      <c r="C16035" s="27" t="s">
        <v>183</v>
      </c>
      <c r="D16035" s="27" t="s">
        <v>7</v>
      </c>
      <c r="E16035" s="27" t="s">
        <v>38</v>
      </c>
      <c r="F16035" s="29"/>
      <c r="G16035" s="30">
        <f t="shared" si="277"/>
        <v>322.24214285714288</v>
      </c>
    </row>
    <row r="16036" spans="1:7" hidden="1" x14ac:dyDescent="0.25">
      <c r="A16036" s="28">
        <v>44835</v>
      </c>
      <c r="B16036" s="27" t="s">
        <v>200</v>
      </c>
      <c r="C16036" s="27" t="s">
        <v>183</v>
      </c>
      <c r="D16036" s="27" t="s">
        <v>7</v>
      </c>
      <c r="E16036" s="27" t="s">
        <v>23</v>
      </c>
      <c r="F16036" s="29"/>
      <c r="G16036" s="30">
        <f t="shared" si="277"/>
        <v>322.24214285714288</v>
      </c>
    </row>
    <row r="16037" spans="1:7" hidden="1" x14ac:dyDescent="0.25">
      <c r="A16037" s="28">
        <v>44835</v>
      </c>
      <c r="B16037" s="27" t="s">
        <v>200</v>
      </c>
      <c r="C16037" s="27" t="s">
        <v>183</v>
      </c>
      <c r="D16037" s="27" t="s">
        <v>7</v>
      </c>
      <c r="E16037" s="27" t="s">
        <v>40</v>
      </c>
      <c r="F16037" s="29"/>
      <c r="G16037" s="30">
        <f t="shared" si="277"/>
        <v>322.24214285714288</v>
      </c>
    </row>
    <row r="16038" spans="1:7" hidden="1" x14ac:dyDescent="0.25">
      <c r="A16038" s="28">
        <v>44835</v>
      </c>
      <c r="B16038" s="27" t="s">
        <v>200</v>
      </c>
      <c r="C16038" s="27" t="s">
        <v>183</v>
      </c>
      <c r="D16038" s="27" t="s">
        <v>7</v>
      </c>
      <c r="E16038" s="27" t="s">
        <v>42</v>
      </c>
      <c r="F16038" s="29"/>
      <c r="G16038" s="30">
        <f t="shared" si="277"/>
        <v>322.24214285714288</v>
      </c>
    </row>
    <row r="16039" spans="1:7" hidden="1" x14ac:dyDescent="0.25">
      <c r="A16039" s="28">
        <v>44835</v>
      </c>
      <c r="B16039" s="27" t="s">
        <v>200</v>
      </c>
      <c r="C16039" s="27" t="s">
        <v>183</v>
      </c>
      <c r="D16039" s="27" t="s">
        <v>7</v>
      </c>
      <c r="E16039" s="27" t="s">
        <v>43</v>
      </c>
      <c r="F16039" s="29"/>
      <c r="G16039" s="30">
        <f t="shared" si="277"/>
        <v>322.24214285714288</v>
      </c>
    </row>
    <row r="16040" spans="1:7" hidden="1" x14ac:dyDescent="0.25">
      <c r="A16040" s="28">
        <v>44835</v>
      </c>
      <c r="B16040" s="27" t="s">
        <v>200</v>
      </c>
      <c r="C16040" s="27" t="s">
        <v>183</v>
      </c>
      <c r="D16040" s="27" t="s">
        <v>7</v>
      </c>
      <c r="E16040" s="27" t="s">
        <v>72</v>
      </c>
      <c r="F16040" s="29"/>
      <c r="G16040" s="30">
        <f t="shared" si="277"/>
        <v>322.24214285714288</v>
      </c>
    </row>
    <row r="16041" spans="1:7" hidden="1" x14ac:dyDescent="0.25">
      <c r="A16041" s="28">
        <v>44835</v>
      </c>
      <c r="B16041" s="27" t="s">
        <v>200</v>
      </c>
      <c r="C16041" s="27" t="s">
        <v>183</v>
      </c>
      <c r="D16041" s="27" t="s">
        <v>7</v>
      </c>
      <c r="E16041" s="27" t="s">
        <v>206</v>
      </c>
      <c r="F16041" s="29"/>
      <c r="G16041" s="30">
        <f t="shared" si="277"/>
        <v>322.24214285714288</v>
      </c>
    </row>
    <row r="16042" spans="1:7" hidden="1" x14ac:dyDescent="0.25">
      <c r="A16042" s="28">
        <v>44835</v>
      </c>
      <c r="B16042" s="27" t="s">
        <v>200</v>
      </c>
      <c r="C16042" s="27" t="s">
        <v>183</v>
      </c>
      <c r="D16042" s="27" t="s">
        <v>7</v>
      </c>
      <c r="E16042" s="27" t="s">
        <v>67</v>
      </c>
      <c r="F16042" s="29"/>
      <c r="G16042" s="30">
        <f t="shared" si="277"/>
        <v>322.24214285714288</v>
      </c>
    </row>
    <row r="16043" spans="1:7" hidden="1" x14ac:dyDescent="0.25">
      <c r="A16043" s="28">
        <v>44835</v>
      </c>
      <c r="B16043" s="27" t="s">
        <v>200</v>
      </c>
      <c r="C16043" s="27" t="s">
        <v>183</v>
      </c>
      <c r="D16043" s="27" t="s">
        <v>7</v>
      </c>
      <c r="E16043" s="27" t="s">
        <v>68</v>
      </c>
      <c r="F16043" s="29"/>
      <c r="G16043" s="30">
        <f t="shared" si="277"/>
        <v>322.24214285714288</v>
      </c>
    </row>
    <row r="16044" spans="1:7" hidden="1" x14ac:dyDescent="0.25">
      <c r="A16044" s="28">
        <v>44835</v>
      </c>
      <c r="B16044" s="27" t="s">
        <v>200</v>
      </c>
      <c r="C16044" s="27" t="s">
        <v>183</v>
      </c>
      <c r="D16044" s="27" t="s">
        <v>7</v>
      </c>
      <c r="E16044" s="27" t="s">
        <v>74</v>
      </c>
      <c r="F16044" s="29"/>
      <c r="G16044" s="30">
        <f t="shared" si="277"/>
        <v>322.24214285714288</v>
      </c>
    </row>
    <row r="16045" spans="1:7" hidden="1" x14ac:dyDescent="0.25">
      <c r="A16045" s="28">
        <v>44835</v>
      </c>
      <c r="B16045" s="27" t="s">
        <v>200</v>
      </c>
      <c r="C16045" s="27" t="s">
        <v>56</v>
      </c>
      <c r="D16045" s="27" t="s">
        <v>6</v>
      </c>
      <c r="E16045" s="27" t="s">
        <v>8</v>
      </c>
      <c r="F16045" s="29"/>
      <c r="G16045" s="30">
        <f t="shared" ref="G16045:G16068" si="278">56833.7220444445/24</f>
        <v>2368.0717518518541</v>
      </c>
    </row>
    <row r="16046" spans="1:7" hidden="1" x14ac:dyDescent="0.25">
      <c r="A16046" s="28">
        <v>44835</v>
      </c>
      <c r="B16046" s="27" t="s">
        <v>200</v>
      </c>
      <c r="C16046" s="27" t="s">
        <v>56</v>
      </c>
      <c r="D16046" s="27" t="s">
        <v>6</v>
      </c>
      <c r="E16046" s="27" t="s">
        <v>9</v>
      </c>
      <c r="F16046" s="29"/>
      <c r="G16046" s="30">
        <f t="shared" si="278"/>
        <v>2368.0717518518541</v>
      </c>
    </row>
    <row r="16047" spans="1:7" hidden="1" x14ac:dyDescent="0.25">
      <c r="A16047" s="28">
        <v>44835</v>
      </c>
      <c r="B16047" s="27" t="s">
        <v>200</v>
      </c>
      <c r="C16047" s="27" t="s">
        <v>56</v>
      </c>
      <c r="D16047" s="27" t="s">
        <v>6</v>
      </c>
      <c r="E16047" s="27" t="s">
        <v>22</v>
      </c>
      <c r="F16047" s="29"/>
      <c r="G16047" s="30">
        <f t="shared" si="278"/>
        <v>2368.0717518518541</v>
      </c>
    </row>
    <row r="16048" spans="1:7" hidden="1" x14ac:dyDescent="0.25">
      <c r="A16048" s="28">
        <v>44835</v>
      </c>
      <c r="B16048" s="27" t="s">
        <v>200</v>
      </c>
      <c r="C16048" s="27" t="s">
        <v>56</v>
      </c>
      <c r="D16048" s="27" t="s">
        <v>6</v>
      </c>
      <c r="E16048" s="27" t="s">
        <v>39</v>
      </c>
      <c r="F16048" s="29"/>
      <c r="G16048" s="30">
        <f t="shared" si="278"/>
        <v>2368.0717518518541</v>
      </c>
    </row>
    <row r="16049" spans="1:7" hidden="1" x14ac:dyDescent="0.25">
      <c r="A16049" s="28">
        <v>44835</v>
      </c>
      <c r="B16049" s="27" t="s">
        <v>200</v>
      </c>
      <c r="C16049" s="27" t="s">
        <v>56</v>
      </c>
      <c r="D16049" s="27" t="s">
        <v>6</v>
      </c>
      <c r="E16049" s="27" t="s">
        <v>64</v>
      </c>
      <c r="F16049" s="29"/>
      <c r="G16049" s="30">
        <f t="shared" si="278"/>
        <v>2368.0717518518541</v>
      </c>
    </row>
    <row r="16050" spans="1:7" hidden="1" x14ac:dyDescent="0.25">
      <c r="A16050" s="28">
        <v>44835</v>
      </c>
      <c r="B16050" s="27" t="s">
        <v>200</v>
      </c>
      <c r="C16050" s="27" t="s">
        <v>56</v>
      </c>
      <c r="D16050" s="27" t="s">
        <v>6</v>
      </c>
      <c r="E16050" s="27" t="s">
        <v>21</v>
      </c>
      <c r="F16050" s="29"/>
      <c r="G16050" s="30">
        <f t="shared" si="278"/>
        <v>2368.0717518518541</v>
      </c>
    </row>
    <row r="16051" spans="1:7" hidden="1" x14ac:dyDescent="0.25">
      <c r="A16051" s="28">
        <v>44835</v>
      </c>
      <c r="B16051" s="27" t="s">
        <v>200</v>
      </c>
      <c r="C16051" s="27" t="s">
        <v>56</v>
      </c>
      <c r="D16051" s="27" t="s">
        <v>6</v>
      </c>
      <c r="E16051" s="27" t="s">
        <v>41</v>
      </c>
      <c r="F16051" s="29"/>
      <c r="G16051" s="30">
        <f t="shared" si="278"/>
        <v>2368.0717518518541</v>
      </c>
    </row>
    <row r="16052" spans="1:7" hidden="1" x14ac:dyDescent="0.25">
      <c r="A16052" s="28">
        <v>44835</v>
      </c>
      <c r="B16052" s="27" t="s">
        <v>200</v>
      </c>
      <c r="C16052" s="27" t="s">
        <v>56</v>
      </c>
      <c r="D16052" s="27" t="s">
        <v>6</v>
      </c>
      <c r="E16052" s="27" t="s">
        <v>10</v>
      </c>
      <c r="F16052" s="29"/>
      <c r="G16052" s="30">
        <f t="shared" si="278"/>
        <v>2368.0717518518541</v>
      </c>
    </row>
    <row r="16053" spans="1:7" hidden="1" x14ac:dyDescent="0.25">
      <c r="A16053" s="28">
        <v>44835</v>
      </c>
      <c r="B16053" s="27" t="s">
        <v>200</v>
      </c>
      <c r="C16053" s="27" t="s">
        <v>56</v>
      </c>
      <c r="D16053" s="27" t="s">
        <v>6</v>
      </c>
      <c r="E16053" s="27" t="s">
        <v>11</v>
      </c>
      <c r="F16053" s="29"/>
      <c r="G16053" s="30">
        <f t="shared" si="278"/>
        <v>2368.0717518518541</v>
      </c>
    </row>
    <row r="16054" spans="1:7" hidden="1" x14ac:dyDescent="0.25">
      <c r="A16054" s="28">
        <v>44835</v>
      </c>
      <c r="B16054" s="27" t="s">
        <v>200</v>
      </c>
      <c r="C16054" s="27" t="s">
        <v>56</v>
      </c>
      <c r="D16054" s="27" t="s">
        <v>6</v>
      </c>
      <c r="E16054" s="27" t="s">
        <v>12</v>
      </c>
      <c r="F16054" s="29"/>
      <c r="G16054" s="30">
        <f t="shared" si="278"/>
        <v>2368.0717518518541</v>
      </c>
    </row>
    <row r="16055" spans="1:7" hidden="1" x14ac:dyDescent="0.25">
      <c r="A16055" s="28">
        <v>44835</v>
      </c>
      <c r="B16055" s="27" t="s">
        <v>200</v>
      </c>
      <c r="C16055" s="27" t="s">
        <v>56</v>
      </c>
      <c r="D16055" s="27" t="s">
        <v>6</v>
      </c>
      <c r="E16055" s="27" t="s">
        <v>13</v>
      </c>
      <c r="F16055" s="29"/>
      <c r="G16055" s="30">
        <f t="shared" si="278"/>
        <v>2368.0717518518541</v>
      </c>
    </row>
    <row r="16056" spans="1:7" hidden="1" x14ac:dyDescent="0.25">
      <c r="A16056" s="28">
        <v>44835</v>
      </c>
      <c r="B16056" s="27" t="s">
        <v>200</v>
      </c>
      <c r="C16056" s="27" t="s">
        <v>56</v>
      </c>
      <c r="D16056" s="27" t="s">
        <v>6</v>
      </c>
      <c r="E16056" s="27" t="s">
        <v>14</v>
      </c>
      <c r="F16056" s="29"/>
      <c r="G16056" s="30">
        <f t="shared" si="278"/>
        <v>2368.0717518518541</v>
      </c>
    </row>
    <row r="16057" spans="1:7" hidden="1" x14ac:dyDescent="0.25">
      <c r="A16057" s="28">
        <v>44835</v>
      </c>
      <c r="B16057" s="27" t="s">
        <v>200</v>
      </c>
      <c r="C16057" s="27" t="s">
        <v>56</v>
      </c>
      <c r="D16057" s="27" t="s">
        <v>6</v>
      </c>
      <c r="E16057" s="27" t="s">
        <v>15</v>
      </c>
      <c r="F16057" s="29"/>
      <c r="G16057" s="30">
        <f t="shared" si="278"/>
        <v>2368.0717518518541</v>
      </c>
    </row>
    <row r="16058" spans="1:7" hidden="1" x14ac:dyDescent="0.25">
      <c r="A16058" s="28">
        <v>44835</v>
      </c>
      <c r="B16058" s="27" t="s">
        <v>200</v>
      </c>
      <c r="C16058" s="27" t="s">
        <v>56</v>
      </c>
      <c r="D16058" s="27" t="s">
        <v>6</v>
      </c>
      <c r="E16058" s="27" t="s">
        <v>16</v>
      </c>
      <c r="F16058" s="29"/>
      <c r="G16058" s="30">
        <f t="shared" si="278"/>
        <v>2368.0717518518541</v>
      </c>
    </row>
    <row r="16059" spans="1:7" hidden="1" x14ac:dyDescent="0.25">
      <c r="A16059" s="28">
        <v>44835</v>
      </c>
      <c r="B16059" s="27" t="s">
        <v>200</v>
      </c>
      <c r="C16059" s="27" t="s">
        <v>56</v>
      </c>
      <c r="D16059" s="27" t="s">
        <v>6</v>
      </c>
      <c r="E16059" s="27" t="s">
        <v>17</v>
      </c>
      <c r="F16059" s="29"/>
      <c r="G16059" s="30">
        <f t="shared" si="278"/>
        <v>2368.0717518518541</v>
      </c>
    </row>
    <row r="16060" spans="1:7" hidden="1" x14ac:dyDescent="0.25">
      <c r="A16060" s="28">
        <v>44835</v>
      </c>
      <c r="B16060" s="27" t="s">
        <v>200</v>
      </c>
      <c r="C16060" s="27" t="s">
        <v>56</v>
      </c>
      <c r="D16060" s="27" t="s">
        <v>6</v>
      </c>
      <c r="E16060" s="27" t="s">
        <v>18</v>
      </c>
      <c r="F16060" s="29"/>
      <c r="G16060" s="30">
        <f t="shared" si="278"/>
        <v>2368.0717518518541</v>
      </c>
    </row>
    <row r="16061" spans="1:7" hidden="1" x14ac:dyDescent="0.25">
      <c r="A16061" s="28">
        <v>44835</v>
      </c>
      <c r="B16061" s="27" t="s">
        <v>200</v>
      </c>
      <c r="C16061" s="27" t="s">
        <v>56</v>
      </c>
      <c r="D16061" s="27" t="s">
        <v>6</v>
      </c>
      <c r="E16061" s="27" t="s">
        <v>19</v>
      </c>
      <c r="F16061" s="29"/>
      <c r="G16061" s="30">
        <f t="shared" si="278"/>
        <v>2368.0717518518541</v>
      </c>
    </row>
    <row r="16062" spans="1:7" hidden="1" x14ac:dyDescent="0.25">
      <c r="A16062" s="28">
        <v>44835</v>
      </c>
      <c r="B16062" s="27" t="s">
        <v>200</v>
      </c>
      <c r="C16062" s="27" t="s">
        <v>56</v>
      </c>
      <c r="D16062" s="27" t="s">
        <v>6</v>
      </c>
      <c r="E16062" s="27" t="s">
        <v>20</v>
      </c>
      <c r="F16062" s="29"/>
      <c r="G16062" s="30">
        <f t="shared" si="278"/>
        <v>2368.0717518518541</v>
      </c>
    </row>
    <row r="16063" spans="1:7" hidden="1" x14ac:dyDescent="0.25">
      <c r="A16063" s="28">
        <v>44835</v>
      </c>
      <c r="B16063" s="27" t="s">
        <v>200</v>
      </c>
      <c r="C16063" s="27" t="s">
        <v>56</v>
      </c>
      <c r="D16063" s="27" t="s">
        <v>6</v>
      </c>
      <c r="E16063" s="27" t="s">
        <v>38</v>
      </c>
      <c r="F16063" s="29"/>
      <c r="G16063" s="30">
        <f t="shared" si="278"/>
        <v>2368.0717518518541</v>
      </c>
    </row>
    <row r="16064" spans="1:7" hidden="1" x14ac:dyDescent="0.25">
      <c r="A16064" s="28">
        <v>44835</v>
      </c>
      <c r="B16064" s="27" t="s">
        <v>200</v>
      </c>
      <c r="C16064" s="27" t="s">
        <v>56</v>
      </c>
      <c r="D16064" s="27" t="s">
        <v>6</v>
      </c>
      <c r="E16064" s="27" t="s">
        <v>23</v>
      </c>
      <c r="F16064" s="29"/>
      <c r="G16064" s="30">
        <f t="shared" si="278"/>
        <v>2368.0717518518541</v>
      </c>
    </row>
    <row r="16065" spans="1:7" hidden="1" x14ac:dyDescent="0.25">
      <c r="A16065" s="28">
        <v>44835</v>
      </c>
      <c r="B16065" s="27" t="s">
        <v>200</v>
      </c>
      <c r="C16065" s="27" t="s">
        <v>56</v>
      </c>
      <c r="D16065" s="27" t="s">
        <v>6</v>
      </c>
      <c r="E16065" s="27" t="s">
        <v>40</v>
      </c>
      <c r="F16065" s="29"/>
      <c r="G16065" s="30">
        <f t="shared" si="278"/>
        <v>2368.0717518518541</v>
      </c>
    </row>
    <row r="16066" spans="1:7" hidden="1" x14ac:dyDescent="0.25">
      <c r="A16066" s="28">
        <v>44835</v>
      </c>
      <c r="B16066" s="27" t="s">
        <v>200</v>
      </c>
      <c r="C16066" s="27" t="s">
        <v>56</v>
      </c>
      <c r="D16066" s="27" t="s">
        <v>6</v>
      </c>
      <c r="E16066" s="27" t="s">
        <v>42</v>
      </c>
      <c r="F16066" s="29"/>
      <c r="G16066" s="30">
        <f t="shared" si="278"/>
        <v>2368.0717518518541</v>
      </c>
    </row>
    <row r="16067" spans="1:7" hidden="1" x14ac:dyDescent="0.25">
      <c r="A16067" s="28">
        <v>44835</v>
      </c>
      <c r="B16067" s="27" t="s">
        <v>200</v>
      </c>
      <c r="C16067" s="27" t="s">
        <v>56</v>
      </c>
      <c r="D16067" s="27" t="s">
        <v>6</v>
      </c>
      <c r="E16067" s="27" t="s">
        <v>72</v>
      </c>
      <c r="F16067" s="29"/>
      <c r="G16067" s="30">
        <f t="shared" si="278"/>
        <v>2368.0717518518541</v>
      </c>
    </row>
    <row r="16068" spans="1:7" hidden="1" x14ac:dyDescent="0.25">
      <c r="A16068" s="28">
        <v>44835</v>
      </c>
      <c r="B16068" s="27" t="s">
        <v>200</v>
      </c>
      <c r="C16068" s="27" t="s">
        <v>56</v>
      </c>
      <c r="D16068" s="27" t="s">
        <v>6</v>
      </c>
      <c r="E16068" s="27" t="s">
        <v>12</v>
      </c>
      <c r="F16068" s="29"/>
      <c r="G16068" s="30">
        <f t="shared" si="278"/>
        <v>2368.0717518518541</v>
      </c>
    </row>
    <row r="16069" spans="1:7" hidden="1" x14ac:dyDescent="0.25">
      <c r="A16069" s="28">
        <v>44835</v>
      </c>
      <c r="B16069" s="27" t="s">
        <v>200</v>
      </c>
      <c r="C16069" s="27" t="s">
        <v>182</v>
      </c>
      <c r="D16069" s="27" t="s">
        <v>7</v>
      </c>
      <c r="E16069" s="27" t="s">
        <v>8</v>
      </c>
      <c r="F16069" s="29"/>
      <c r="G16069" s="30">
        <f t="shared" ref="G16069:G16093" si="279">9395.02/25</f>
        <v>375.80080000000004</v>
      </c>
    </row>
    <row r="16070" spans="1:7" hidden="1" x14ac:dyDescent="0.25">
      <c r="A16070" s="28">
        <v>44835</v>
      </c>
      <c r="B16070" s="27" t="s">
        <v>200</v>
      </c>
      <c r="C16070" s="27" t="s">
        <v>182</v>
      </c>
      <c r="D16070" s="27" t="s">
        <v>7</v>
      </c>
      <c r="E16070" s="27" t="s">
        <v>9</v>
      </c>
      <c r="F16070" s="29"/>
      <c r="G16070" s="30">
        <f t="shared" si="279"/>
        <v>375.80080000000004</v>
      </c>
    </row>
    <row r="16071" spans="1:7" hidden="1" x14ac:dyDescent="0.25">
      <c r="A16071" s="28">
        <v>44835</v>
      </c>
      <c r="B16071" s="27" t="s">
        <v>200</v>
      </c>
      <c r="C16071" s="27" t="s">
        <v>182</v>
      </c>
      <c r="D16071" s="27" t="s">
        <v>7</v>
      </c>
      <c r="E16071" s="27" t="s">
        <v>22</v>
      </c>
      <c r="F16071" s="29"/>
      <c r="G16071" s="30">
        <f t="shared" si="279"/>
        <v>375.80080000000004</v>
      </c>
    </row>
    <row r="16072" spans="1:7" hidden="1" x14ac:dyDescent="0.25">
      <c r="A16072" s="28">
        <v>44835</v>
      </c>
      <c r="B16072" s="27" t="s">
        <v>200</v>
      </c>
      <c r="C16072" s="27" t="s">
        <v>182</v>
      </c>
      <c r="D16072" s="27" t="s">
        <v>7</v>
      </c>
      <c r="E16072" s="27" t="s">
        <v>39</v>
      </c>
      <c r="F16072" s="29"/>
      <c r="G16072" s="30">
        <f t="shared" si="279"/>
        <v>375.80080000000004</v>
      </c>
    </row>
    <row r="16073" spans="1:7" hidden="1" x14ac:dyDescent="0.25">
      <c r="A16073" s="28">
        <v>44835</v>
      </c>
      <c r="B16073" s="27" t="s">
        <v>200</v>
      </c>
      <c r="C16073" s="27" t="s">
        <v>182</v>
      </c>
      <c r="D16073" s="27" t="s">
        <v>7</v>
      </c>
      <c r="E16073" s="27" t="s">
        <v>64</v>
      </c>
      <c r="F16073" s="29"/>
      <c r="G16073" s="30">
        <f t="shared" si="279"/>
        <v>375.80080000000004</v>
      </c>
    </row>
    <row r="16074" spans="1:7" hidden="1" x14ac:dyDescent="0.25">
      <c r="A16074" s="28">
        <v>44835</v>
      </c>
      <c r="B16074" s="27" t="s">
        <v>200</v>
      </c>
      <c r="C16074" s="27" t="s">
        <v>182</v>
      </c>
      <c r="D16074" s="27" t="s">
        <v>7</v>
      </c>
      <c r="E16074" s="27" t="s">
        <v>21</v>
      </c>
      <c r="F16074" s="29"/>
      <c r="G16074" s="30">
        <f t="shared" si="279"/>
        <v>375.80080000000004</v>
      </c>
    </row>
    <row r="16075" spans="1:7" hidden="1" x14ac:dyDescent="0.25">
      <c r="A16075" s="28">
        <v>44835</v>
      </c>
      <c r="B16075" s="27" t="s">
        <v>200</v>
      </c>
      <c r="C16075" s="27" t="s">
        <v>182</v>
      </c>
      <c r="D16075" s="27" t="s">
        <v>7</v>
      </c>
      <c r="E16075" s="27" t="s">
        <v>41</v>
      </c>
      <c r="F16075" s="29"/>
      <c r="G16075" s="30">
        <f t="shared" si="279"/>
        <v>375.80080000000004</v>
      </c>
    </row>
    <row r="16076" spans="1:7" hidden="1" x14ac:dyDescent="0.25">
      <c r="A16076" s="28">
        <v>44835</v>
      </c>
      <c r="B16076" s="27" t="s">
        <v>200</v>
      </c>
      <c r="C16076" s="27" t="s">
        <v>182</v>
      </c>
      <c r="D16076" s="27" t="s">
        <v>7</v>
      </c>
      <c r="E16076" s="27" t="s">
        <v>10</v>
      </c>
      <c r="F16076" s="29"/>
      <c r="G16076" s="30">
        <f t="shared" si="279"/>
        <v>375.80080000000004</v>
      </c>
    </row>
    <row r="16077" spans="1:7" hidden="1" x14ac:dyDescent="0.25">
      <c r="A16077" s="28">
        <v>44835</v>
      </c>
      <c r="B16077" s="27" t="s">
        <v>200</v>
      </c>
      <c r="C16077" s="27" t="s">
        <v>182</v>
      </c>
      <c r="D16077" s="27" t="s">
        <v>7</v>
      </c>
      <c r="E16077" s="27" t="s">
        <v>11</v>
      </c>
      <c r="F16077" s="29"/>
      <c r="G16077" s="30">
        <f t="shared" si="279"/>
        <v>375.80080000000004</v>
      </c>
    </row>
    <row r="16078" spans="1:7" hidden="1" x14ac:dyDescent="0.25">
      <c r="A16078" s="28">
        <v>44835</v>
      </c>
      <c r="B16078" s="27" t="s">
        <v>200</v>
      </c>
      <c r="C16078" s="27" t="s">
        <v>182</v>
      </c>
      <c r="D16078" s="27" t="s">
        <v>7</v>
      </c>
      <c r="E16078" s="27" t="s">
        <v>12</v>
      </c>
      <c r="F16078" s="29"/>
      <c r="G16078" s="30">
        <f t="shared" si="279"/>
        <v>375.80080000000004</v>
      </c>
    </row>
    <row r="16079" spans="1:7" hidden="1" x14ac:dyDescent="0.25">
      <c r="A16079" s="28">
        <v>44835</v>
      </c>
      <c r="B16079" s="27" t="s">
        <v>200</v>
      </c>
      <c r="C16079" s="27" t="s">
        <v>182</v>
      </c>
      <c r="D16079" s="27" t="s">
        <v>7</v>
      </c>
      <c r="E16079" s="27" t="s">
        <v>13</v>
      </c>
      <c r="F16079" s="29"/>
      <c r="G16079" s="30">
        <f t="shared" si="279"/>
        <v>375.80080000000004</v>
      </c>
    </row>
    <row r="16080" spans="1:7" hidden="1" x14ac:dyDescent="0.25">
      <c r="A16080" s="28">
        <v>44835</v>
      </c>
      <c r="B16080" s="27" t="s">
        <v>200</v>
      </c>
      <c r="C16080" s="27" t="s">
        <v>182</v>
      </c>
      <c r="D16080" s="27" t="s">
        <v>7</v>
      </c>
      <c r="E16080" s="27" t="s">
        <v>14</v>
      </c>
      <c r="F16080" s="29"/>
      <c r="G16080" s="30">
        <f t="shared" si="279"/>
        <v>375.80080000000004</v>
      </c>
    </row>
    <row r="16081" spans="1:7" hidden="1" x14ac:dyDescent="0.25">
      <c r="A16081" s="28">
        <v>44835</v>
      </c>
      <c r="B16081" s="27" t="s">
        <v>200</v>
      </c>
      <c r="C16081" s="27" t="s">
        <v>182</v>
      </c>
      <c r="D16081" s="27" t="s">
        <v>7</v>
      </c>
      <c r="E16081" s="27" t="s">
        <v>15</v>
      </c>
      <c r="F16081" s="29"/>
      <c r="G16081" s="30">
        <f t="shared" si="279"/>
        <v>375.80080000000004</v>
      </c>
    </row>
    <row r="16082" spans="1:7" hidden="1" x14ac:dyDescent="0.25">
      <c r="A16082" s="28">
        <v>44835</v>
      </c>
      <c r="B16082" s="27" t="s">
        <v>200</v>
      </c>
      <c r="C16082" s="27" t="s">
        <v>182</v>
      </c>
      <c r="D16082" s="27" t="s">
        <v>7</v>
      </c>
      <c r="E16082" s="27" t="s">
        <v>16</v>
      </c>
      <c r="F16082" s="29"/>
      <c r="G16082" s="30">
        <f t="shared" si="279"/>
        <v>375.80080000000004</v>
      </c>
    </row>
    <row r="16083" spans="1:7" hidden="1" x14ac:dyDescent="0.25">
      <c r="A16083" s="28">
        <v>44835</v>
      </c>
      <c r="B16083" s="27" t="s">
        <v>200</v>
      </c>
      <c r="C16083" s="27" t="s">
        <v>182</v>
      </c>
      <c r="D16083" s="27" t="s">
        <v>7</v>
      </c>
      <c r="E16083" s="27" t="s">
        <v>17</v>
      </c>
      <c r="F16083" s="29"/>
      <c r="G16083" s="30">
        <f t="shared" si="279"/>
        <v>375.80080000000004</v>
      </c>
    </row>
    <row r="16084" spans="1:7" hidden="1" x14ac:dyDescent="0.25">
      <c r="A16084" s="28">
        <v>44835</v>
      </c>
      <c r="B16084" s="27" t="s">
        <v>200</v>
      </c>
      <c r="C16084" s="27" t="s">
        <v>182</v>
      </c>
      <c r="D16084" s="27" t="s">
        <v>7</v>
      </c>
      <c r="E16084" s="27" t="s">
        <v>18</v>
      </c>
      <c r="F16084" s="29"/>
      <c r="G16084" s="30">
        <f t="shared" si="279"/>
        <v>375.80080000000004</v>
      </c>
    </row>
    <row r="16085" spans="1:7" hidden="1" x14ac:dyDescent="0.25">
      <c r="A16085" s="28">
        <v>44835</v>
      </c>
      <c r="B16085" s="27" t="s">
        <v>200</v>
      </c>
      <c r="C16085" s="27" t="s">
        <v>182</v>
      </c>
      <c r="D16085" s="27" t="s">
        <v>7</v>
      </c>
      <c r="E16085" s="27" t="s">
        <v>19</v>
      </c>
      <c r="F16085" s="29"/>
      <c r="G16085" s="30">
        <f t="shared" si="279"/>
        <v>375.80080000000004</v>
      </c>
    </row>
    <row r="16086" spans="1:7" hidden="1" x14ac:dyDescent="0.25">
      <c r="A16086" s="28">
        <v>44835</v>
      </c>
      <c r="B16086" s="27" t="s">
        <v>200</v>
      </c>
      <c r="C16086" s="27" t="s">
        <v>182</v>
      </c>
      <c r="D16086" s="27" t="s">
        <v>7</v>
      </c>
      <c r="E16086" s="27" t="s">
        <v>20</v>
      </c>
      <c r="F16086" s="29"/>
      <c r="G16086" s="30">
        <f t="shared" si="279"/>
        <v>375.80080000000004</v>
      </c>
    </row>
    <row r="16087" spans="1:7" hidden="1" x14ac:dyDescent="0.25">
      <c r="A16087" s="28">
        <v>44835</v>
      </c>
      <c r="B16087" s="27" t="s">
        <v>200</v>
      </c>
      <c r="C16087" s="27" t="s">
        <v>182</v>
      </c>
      <c r="D16087" s="27" t="s">
        <v>7</v>
      </c>
      <c r="E16087" s="27" t="s">
        <v>38</v>
      </c>
      <c r="F16087" s="29"/>
      <c r="G16087" s="30">
        <f t="shared" si="279"/>
        <v>375.80080000000004</v>
      </c>
    </row>
    <row r="16088" spans="1:7" hidden="1" x14ac:dyDescent="0.25">
      <c r="A16088" s="28">
        <v>44835</v>
      </c>
      <c r="B16088" s="27" t="s">
        <v>200</v>
      </c>
      <c r="C16088" s="27" t="s">
        <v>182</v>
      </c>
      <c r="D16088" s="27" t="s">
        <v>7</v>
      </c>
      <c r="E16088" s="27" t="s">
        <v>23</v>
      </c>
      <c r="F16088" s="29"/>
      <c r="G16088" s="30">
        <f t="shared" si="279"/>
        <v>375.80080000000004</v>
      </c>
    </row>
    <row r="16089" spans="1:7" hidden="1" x14ac:dyDescent="0.25">
      <c r="A16089" s="28">
        <v>44835</v>
      </c>
      <c r="B16089" s="27" t="s">
        <v>200</v>
      </c>
      <c r="C16089" s="27" t="s">
        <v>182</v>
      </c>
      <c r="D16089" s="27" t="s">
        <v>7</v>
      </c>
      <c r="E16089" s="27" t="s">
        <v>40</v>
      </c>
      <c r="F16089" s="29"/>
      <c r="G16089" s="30">
        <f t="shared" si="279"/>
        <v>375.80080000000004</v>
      </c>
    </row>
    <row r="16090" spans="1:7" hidden="1" x14ac:dyDescent="0.25">
      <c r="A16090" s="28">
        <v>44835</v>
      </c>
      <c r="B16090" s="27" t="s">
        <v>200</v>
      </c>
      <c r="C16090" s="27" t="s">
        <v>182</v>
      </c>
      <c r="D16090" s="27" t="s">
        <v>7</v>
      </c>
      <c r="E16090" s="27" t="s">
        <v>42</v>
      </c>
      <c r="F16090" s="29"/>
      <c r="G16090" s="30">
        <f t="shared" si="279"/>
        <v>375.80080000000004</v>
      </c>
    </row>
    <row r="16091" spans="1:7" hidden="1" x14ac:dyDescent="0.25">
      <c r="A16091" s="28">
        <v>44835</v>
      </c>
      <c r="B16091" s="27" t="s">
        <v>200</v>
      </c>
      <c r="C16091" s="27" t="s">
        <v>182</v>
      </c>
      <c r="D16091" s="27" t="s">
        <v>7</v>
      </c>
      <c r="E16091" s="27" t="s">
        <v>43</v>
      </c>
      <c r="F16091" s="29"/>
      <c r="G16091" s="30">
        <f t="shared" si="279"/>
        <v>375.80080000000004</v>
      </c>
    </row>
    <row r="16092" spans="1:7" hidden="1" x14ac:dyDescent="0.25">
      <c r="A16092" s="28">
        <v>44835</v>
      </c>
      <c r="B16092" s="27" t="s">
        <v>200</v>
      </c>
      <c r="C16092" s="27" t="s">
        <v>182</v>
      </c>
      <c r="D16092" s="27" t="s">
        <v>7</v>
      </c>
      <c r="E16092" s="27" t="s">
        <v>72</v>
      </c>
      <c r="F16092" s="29"/>
      <c r="G16092" s="30">
        <f t="shared" si="279"/>
        <v>375.80080000000004</v>
      </c>
    </row>
    <row r="16093" spans="1:7" hidden="1" x14ac:dyDescent="0.25">
      <c r="A16093" s="28">
        <v>44835</v>
      </c>
      <c r="B16093" s="27" t="s">
        <v>200</v>
      </c>
      <c r="C16093" s="27" t="s">
        <v>182</v>
      </c>
      <c r="D16093" s="27" t="s">
        <v>7</v>
      </c>
      <c r="E16093" s="27" t="s">
        <v>206</v>
      </c>
      <c r="F16093" s="29"/>
      <c r="G16093" s="30">
        <f t="shared" si="279"/>
        <v>375.80080000000004</v>
      </c>
    </row>
    <row r="16094" spans="1:7" hidden="1" x14ac:dyDescent="0.25">
      <c r="A16094" s="28">
        <v>44835</v>
      </c>
      <c r="B16094" s="27" t="s">
        <v>35</v>
      </c>
      <c r="C16094" s="27" t="s">
        <v>50</v>
      </c>
      <c r="D16094" s="27" t="s">
        <v>7</v>
      </c>
      <c r="E16094" s="27" t="s">
        <v>8</v>
      </c>
      <c r="F16094" s="29"/>
      <c r="G16094" s="30">
        <v>785.7007142857143</v>
      </c>
    </row>
    <row r="16095" spans="1:7" hidden="1" x14ac:dyDescent="0.25">
      <c r="A16095" s="28">
        <v>44835</v>
      </c>
      <c r="B16095" s="27" t="s">
        <v>35</v>
      </c>
      <c r="C16095" s="27" t="s">
        <v>50</v>
      </c>
      <c r="D16095" s="27" t="s">
        <v>7</v>
      </c>
      <c r="E16095" s="27" t="s">
        <v>9</v>
      </c>
      <c r="F16095" s="29"/>
      <c r="G16095" s="30">
        <v>785.7007142857143</v>
      </c>
    </row>
    <row r="16096" spans="1:7" hidden="1" x14ac:dyDescent="0.25">
      <c r="A16096" s="28">
        <v>44835</v>
      </c>
      <c r="B16096" s="27" t="s">
        <v>35</v>
      </c>
      <c r="C16096" s="27" t="s">
        <v>50</v>
      </c>
      <c r="D16096" s="27" t="s">
        <v>7</v>
      </c>
      <c r="E16096" s="27" t="s">
        <v>22</v>
      </c>
      <c r="F16096" s="29"/>
      <c r="G16096" s="30">
        <v>785.7007142857143</v>
      </c>
    </row>
    <row r="16097" spans="1:7" hidden="1" x14ac:dyDescent="0.25">
      <c r="A16097" s="28">
        <v>44835</v>
      </c>
      <c r="B16097" s="27" t="s">
        <v>35</v>
      </c>
      <c r="C16097" s="27" t="s">
        <v>50</v>
      </c>
      <c r="D16097" s="27" t="s">
        <v>7</v>
      </c>
      <c r="E16097" s="27" t="s">
        <v>39</v>
      </c>
      <c r="F16097" s="29"/>
      <c r="G16097" s="30">
        <v>785.7007142857143</v>
      </c>
    </row>
    <row r="16098" spans="1:7" hidden="1" x14ac:dyDescent="0.25">
      <c r="A16098" s="28">
        <v>44835</v>
      </c>
      <c r="B16098" s="27" t="s">
        <v>35</v>
      </c>
      <c r="C16098" s="27" t="s">
        <v>50</v>
      </c>
      <c r="D16098" s="27" t="s">
        <v>7</v>
      </c>
      <c r="E16098" s="27" t="s">
        <v>64</v>
      </c>
      <c r="F16098" s="29"/>
      <c r="G16098" s="30">
        <v>785.7007142857143</v>
      </c>
    </row>
    <row r="16099" spans="1:7" hidden="1" x14ac:dyDescent="0.25">
      <c r="A16099" s="28">
        <v>44835</v>
      </c>
      <c r="B16099" s="27" t="s">
        <v>35</v>
      </c>
      <c r="C16099" s="27" t="s">
        <v>50</v>
      </c>
      <c r="D16099" s="27" t="s">
        <v>7</v>
      </c>
      <c r="E16099" s="27" t="s">
        <v>21</v>
      </c>
      <c r="F16099" s="29"/>
      <c r="G16099" s="30">
        <v>785.7007142857143</v>
      </c>
    </row>
    <row r="16100" spans="1:7" hidden="1" x14ac:dyDescent="0.25">
      <c r="A16100" s="28">
        <v>44835</v>
      </c>
      <c r="B16100" s="27" t="s">
        <v>35</v>
      </c>
      <c r="C16100" s="27" t="s">
        <v>50</v>
      </c>
      <c r="D16100" s="27" t="s">
        <v>7</v>
      </c>
      <c r="E16100" s="27" t="s">
        <v>41</v>
      </c>
      <c r="F16100" s="29"/>
      <c r="G16100" s="30">
        <v>785.7007142857143</v>
      </c>
    </row>
    <row r="16101" spans="1:7" hidden="1" x14ac:dyDescent="0.25">
      <c r="A16101" s="28">
        <v>44835</v>
      </c>
      <c r="B16101" s="27" t="s">
        <v>35</v>
      </c>
      <c r="C16101" s="27" t="s">
        <v>50</v>
      </c>
      <c r="D16101" s="27" t="s">
        <v>7</v>
      </c>
      <c r="E16101" s="27" t="s">
        <v>10</v>
      </c>
      <c r="F16101" s="29"/>
      <c r="G16101" s="30">
        <v>785.7007142857143</v>
      </c>
    </row>
    <row r="16102" spans="1:7" hidden="1" x14ac:dyDescent="0.25">
      <c r="A16102" s="28">
        <v>44835</v>
      </c>
      <c r="B16102" s="27" t="s">
        <v>35</v>
      </c>
      <c r="C16102" s="27" t="s">
        <v>50</v>
      </c>
      <c r="D16102" s="27" t="s">
        <v>7</v>
      </c>
      <c r="E16102" s="27" t="s">
        <v>11</v>
      </c>
      <c r="F16102" s="29"/>
      <c r="G16102" s="30">
        <v>785.7007142857143</v>
      </c>
    </row>
    <row r="16103" spans="1:7" hidden="1" x14ac:dyDescent="0.25">
      <c r="A16103" s="28">
        <v>44835</v>
      </c>
      <c r="B16103" s="27" t="s">
        <v>35</v>
      </c>
      <c r="C16103" s="27" t="s">
        <v>50</v>
      </c>
      <c r="D16103" s="27" t="s">
        <v>7</v>
      </c>
      <c r="E16103" s="27" t="s">
        <v>12</v>
      </c>
      <c r="F16103" s="29"/>
      <c r="G16103" s="30">
        <v>785.7007142857143</v>
      </c>
    </row>
    <row r="16104" spans="1:7" hidden="1" x14ac:dyDescent="0.25">
      <c r="A16104" s="28">
        <v>44835</v>
      </c>
      <c r="B16104" s="27" t="s">
        <v>35</v>
      </c>
      <c r="C16104" s="27" t="s">
        <v>50</v>
      </c>
      <c r="D16104" s="27" t="s">
        <v>7</v>
      </c>
      <c r="E16104" s="27" t="s">
        <v>13</v>
      </c>
      <c r="F16104" s="29"/>
      <c r="G16104" s="30">
        <v>785.7007142857143</v>
      </c>
    </row>
    <row r="16105" spans="1:7" hidden="1" x14ac:dyDescent="0.25">
      <c r="A16105" s="28">
        <v>44835</v>
      </c>
      <c r="B16105" s="27" t="s">
        <v>35</v>
      </c>
      <c r="C16105" s="27" t="s">
        <v>50</v>
      </c>
      <c r="D16105" s="27" t="s">
        <v>7</v>
      </c>
      <c r="E16105" s="27" t="s">
        <v>14</v>
      </c>
      <c r="F16105" s="29"/>
      <c r="G16105" s="30">
        <v>785.7007142857143</v>
      </c>
    </row>
    <row r="16106" spans="1:7" hidden="1" x14ac:dyDescent="0.25">
      <c r="A16106" s="28">
        <v>44835</v>
      </c>
      <c r="B16106" s="27" t="s">
        <v>35</v>
      </c>
      <c r="C16106" s="27" t="s">
        <v>50</v>
      </c>
      <c r="D16106" s="27" t="s">
        <v>7</v>
      </c>
      <c r="E16106" s="27" t="s">
        <v>15</v>
      </c>
      <c r="F16106" s="29"/>
      <c r="G16106" s="30">
        <v>785.7007142857143</v>
      </c>
    </row>
    <row r="16107" spans="1:7" hidden="1" x14ac:dyDescent="0.25">
      <c r="A16107" s="28">
        <v>44835</v>
      </c>
      <c r="B16107" s="27" t="s">
        <v>35</v>
      </c>
      <c r="C16107" s="27" t="s">
        <v>50</v>
      </c>
      <c r="D16107" s="27" t="s">
        <v>7</v>
      </c>
      <c r="E16107" s="27" t="s">
        <v>16</v>
      </c>
      <c r="F16107" s="29"/>
      <c r="G16107" s="30">
        <v>785.7007142857143</v>
      </c>
    </row>
    <row r="16108" spans="1:7" hidden="1" x14ac:dyDescent="0.25">
      <c r="A16108" s="28">
        <v>44835</v>
      </c>
      <c r="B16108" s="27" t="s">
        <v>35</v>
      </c>
      <c r="C16108" s="27" t="s">
        <v>50</v>
      </c>
      <c r="D16108" s="27" t="s">
        <v>7</v>
      </c>
      <c r="E16108" s="27" t="s">
        <v>17</v>
      </c>
      <c r="F16108" s="29"/>
      <c r="G16108" s="30">
        <v>785.7007142857143</v>
      </c>
    </row>
    <row r="16109" spans="1:7" hidden="1" x14ac:dyDescent="0.25">
      <c r="A16109" s="28">
        <v>44835</v>
      </c>
      <c r="B16109" s="27" t="s">
        <v>35</v>
      </c>
      <c r="C16109" s="27" t="s">
        <v>50</v>
      </c>
      <c r="D16109" s="27" t="s">
        <v>7</v>
      </c>
      <c r="E16109" s="27" t="s">
        <v>18</v>
      </c>
      <c r="F16109" s="29"/>
      <c r="G16109" s="30">
        <v>785.7007142857143</v>
      </c>
    </row>
    <row r="16110" spans="1:7" hidden="1" x14ac:dyDescent="0.25">
      <c r="A16110" s="28">
        <v>44835</v>
      </c>
      <c r="B16110" s="27" t="s">
        <v>35</v>
      </c>
      <c r="C16110" s="27" t="s">
        <v>50</v>
      </c>
      <c r="D16110" s="27" t="s">
        <v>7</v>
      </c>
      <c r="E16110" s="27" t="s">
        <v>19</v>
      </c>
      <c r="F16110" s="29"/>
      <c r="G16110" s="30">
        <v>785.7007142857143</v>
      </c>
    </row>
    <row r="16111" spans="1:7" hidden="1" x14ac:dyDescent="0.25">
      <c r="A16111" s="28">
        <v>44835</v>
      </c>
      <c r="B16111" s="27" t="s">
        <v>35</v>
      </c>
      <c r="C16111" s="27" t="s">
        <v>50</v>
      </c>
      <c r="D16111" s="27" t="s">
        <v>7</v>
      </c>
      <c r="E16111" s="27" t="s">
        <v>20</v>
      </c>
      <c r="F16111" s="29"/>
      <c r="G16111" s="30">
        <v>785.7007142857143</v>
      </c>
    </row>
    <row r="16112" spans="1:7" hidden="1" x14ac:dyDescent="0.25">
      <c r="A16112" s="28">
        <v>44835</v>
      </c>
      <c r="B16112" s="27" t="s">
        <v>35</v>
      </c>
      <c r="C16112" s="27" t="s">
        <v>50</v>
      </c>
      <c r="D16112" s="27" t="s">
        <v>7</v>
      </c>
      <c r="E16112" s="27" t="s">
        <v>38</v>
      </c>
      <c r="F16112" s="29"/>
      <c r="G16112" s="30">
        <v>785.7007142857143</v>
      </c>
    </row>
    <row r="16113" spans="1:7" hidden="1" x14ac:dyDescent="0.25">
      <c r="A16113" s="28">
        <v>44835</v>
      </c>
      <c r="B16113" s="27" t="s">
        <v>35</v>
      </c>
      <c r="C16113" s="27" t="s">
        <v>50</v>
      </c>
      <c r="D16113" s="27" t="s">
        <v>7</v>
      </c>
      <c r="E16113" s="27" t="s">
        <v>23</v>
      </c>
      <c r="F16113" s="29"/>
      <c r="G16113" s="30">
        <v>785.7007142857143</v>
      </c>
    </row>
    <row r="16114" spans="1:7" hidden="1" x14ac:dyDescent="0.25">
      <c r="A16114" s="28">
        <v>44835</v>
      </c>
      <c r="B16114" s="27" t="s">
        <v>35</v>
      </c>
      <c r="C16114" s="27" t="s">
        <v>50</v>
      </c>
      <c r="D16114" s="27" t="s">
        <v>7</v>
      </c>
      <c r="E16114" s="27" t="s">
        <v>40</v>
      </c>
      <c r="F16114" s="29"/>
      <c r="G16114" s="30">
        <v>785.7007142857143</v>
      </c>
    </row>
    <row r="16115" spans="1:7" hidden="1" x14ac:dyDescent="0.25">
      <c r="A16115" s="28">
        <v>44835</v>
      </c>
      <c r="B16115" s="27" t="s">
        <v>35</v>
      </c>
      <c r="C16115" s="27" t="s">
        <v>50</v>
      </c>
      <c r="D16115" s="27" t="s">
        <v>7</v>
      </c>
      <c r="E16115" s="27" t="s">
        <v>42</v>
      </c>
      <c r="F16115" s="29"/>
      <c r="G16115" s="30">
        <v>785.7007142857143</v>
      </c>
    </row>
    <row r="16116" spans="1:7" hidden="1" x14ac:dyDescent="0.25">
      <c r="A16116" s="28">
        <v>44835</v>
      </c>
      <c r="B16116" s="27" t="s">
        <v>35</v>
      </c>
      <c r="C16116" s="27" t="s">
        <v>50</v>
      </c>
      <c r="D16116" s="27" t="s">
        <v>7</v>
      </c>
      <c r="E16116" s="27" t="s">
        <v>43</v>
      </c>
      <c r="F16116" s="29"/>
      <c r="G16116" s="30">
        <v>785.7007142857143</v>
      </c>
    </row>
    <row r="16117" spans="1:7" hidden="1" x14ac:dyDescent="0.25">
      <c r="A16117" s="28">
        <v>44835</v>
      </c>
      <c r="B16117" s="27" t="s">
        <v>35</v>
      </c>
      <c r="C16117" s="27" t="s">
        <v>50</v>
      </c>
      <c r="D16117" s="27" t="s">
        <v>7</v>
      </c>
      <c r="E16117" s="27" t="s">
        <v>72</v>
      </c>
      <c r="F16117" s="29"/>
      <c r="G16117" s="30">
        <v>785.7007142857143</v>
      </c>
    </row>
    <row r="16118" spans="1:7" hidden="1" x14ac:dyDescent="0.25">
      <c r="A16118" s="28">
        <v>44835</v>
      </c>
      <c r="B16118" s="27" t="s">
        <v>35</v>
      </c>
      <c r="C16118" s="27" t="s">
        <v>50</v>
      </c>
      <c r="D16118" s="27" t="s">
        <v>7</v>
      </c>
      <c r="E16118" s="27" t="s">
        <v>206</v>
      </c>
      <c r="F16118" s="29"/>
      <c r="G16118" s="30">
        <v>785.7007142857143</v>
      </c>
    </row>
    <row r="16119" spans="1:7" hidden="1" x14ac:dyDescent="0.25">
      <c r="A16119" s="28">
        <v>44835</v>
      </c>
      <c r="B16119" s="27" t="s">
        <v>35</v>
      </c>
      <c r="C16119" s="27" t="s">
        <v>50</v>
      </c>
      <c r="D16119" s="27" t="s">
        <v>7</v>
      </c>
      <c r="E16119" s="27" t="s">
        <v>67</v>
      </c>
      <c r="F16119" s="29"/>
      <c r="G16119" s="30">
        <v>785.7007142857143</v>
      </c>
    </row>
    <row r="16120" spans="1:7" hidden="1" x14ac:dyDescent="0.25">
      <c r="A16120" s="28">
        <v>44835</v>
      </c>
      <c r="B16120" s="27" t="s">
        <v>35</v>
      </c>
      <c r="C16120" s="27" t="s">
        <v>50</v>
      </c>
      <c r="D16120" s="27" t="s">
        <v>7</v>
      </c>
      <c r="E16120" s="27" t="s">
        <v>68</v>
      </c>
      <c r="F16120" s="29"/>
      <c r="G16120" s="30">
        <v>785.7007142857143</v>
      </c>
    </row>
    <row r="16121" spans="1:7" hidden="1" x14ac:dyDescent="0.25">
      <c r="A16121" s="28">
        <v>44835</v>
      </c>
      <c r="B16121" s="27" t="s">
        <v>35</v>
      </c>
      <c r="C16121" s="27" t="s">
        <v>50</v>
      </c>
      <c r="D16121" s="27" t="s">
        <v>7</v>
      </c>
      <c r="E16121" s="27" t="s">
        <v>74</v>
      </c>
      <c r="F16121" s="29"/>
      <c r="G16121" s="30">
        <v>785.7007142857143</v>
      </c>
    </row>
    <row r="16122" spans="1:7" hidden="1" x14ac:dyDescent="0.25">
      <c r="A16122" s="28">
        <v>44835</v>
      </c>
      <c r="B16122" s="27" t="s">
        <v>34</v>
      </c>
      <c r="C16122" s="27" t="s">
        <v>50</v>
      </c>
      <c r="D16122" s="27" t="s">
        <v>6</v>
      </c>
      <c r="E16122" s="27" t="s">
        <v>8</v>
      </c>
      <c r="F16122" s="29"/>
      <c r="G16122" s="30">
        <v>273.50799999999998</v>
      </c>
    </row>
    <row r="16123" spans="1:7" hidden="1" x14ac:dyDescent="0.25">
      <c r="A16123" s="28">
        <v>44835</v>
      </c>
      <c r="B16123" s="27" t="s">
        <v>34</v>
      </c>
      <c r="C16123" s="27" t="s">
        <v>50</v>
      </c>
      <c r="D16123" s="27" t="s">
        <v>6</v>
      </c>
      <c r="E16123" s="27" t="s">
        <v>9</v>
      </c>
      <c r="F16123" s="29"/>
      <c r="G16123" s="30">
        <v>273.50799999999998</v>
      </c>
    </row>
    <row r="16124" spans="1:7" hidden="1" x14ac:dyDescent="0.25">
      <c r="A16124" s="28">
        <v>44835</v>
      </c>
      <c r="B16124" s="27" t="s">
        <v>34</v>
      </c>
      <c r="C16124" s="27" t="s">
        <v>50</v>
      </c>
      <c r="D16124" s="27" t="s">
        <v>6</v>
      </c>
      <c r="E16124" s="27" t="s">
        <v>22</v>
      </c>
      <c r="F16124" s="29"/>
      <c r="G16124" s="30">
        <v>273.50799999999998</v>
      </c>
    </row>
    <row r="16125" spans="1:7" hidden="1" x14ac:dyDescent="0.25">
      <c r="A16125" s="28">
        <v>44835</v>
      </c>
      <c r="B16125" s="27" t="s">
        <v>34</v>
      </c>
      <c r="C16125" s="27" t="s">
        <v>50</v>
      </c>
      <c r="D16125" s="27" t="s">
        <v>6</v>
      </c>
      <c r="E16125" s="27" t="s">
        <v>39</v>
      </c>
      <c r="F16125" s="29"/>
      <c r="G16125" s="30">
        <v>273.50799999999998</v>
      </c>
    </row>
    <row r="16126" spans="1:7" hidden="1" x14ac:dyDescent="0.25">
      <c r="A16126" s="28">
        <v>44835</v>
      </c>
      <c r="B16126" s="27" t="s">
        <v>34</v>
      </c>
      <c r="C16126" s="27" t="s">
        <v>50</v>
      </c>
      <c r="D16126" s="27" t="s">
        <v>6</v>
      </c>
      <c r="E16126" s="27" t="s">
        <v>64</v>
      </c>
      <c r="F16126" s="29"/>
      <c r="G16126" s="30">
        <v>273.50799999999998</v>
      </c>
    </row>
    <row r="16127" spans="1:7" hidden="1" x14ac:dyDescent="0.25">
      <c r="A16127" s="28">
        <v>44835</v>
      </c>
      <c r="B16127" s="27" t="s">
        <v>34</v>
      </c>
      <c r="C16127" s="27" t="s">
        <v>50</v>
      </c>
      <c r="D16127" s="27" t="s">
        <v>6</v>
      </c>
      <c r="E16127" s="27" t="s">
        <v>21</v>
      </c>
      <c r="F16127" s="29"/>
      <c r="G16127" s="30">
        <v>273.50799999999998</v>
      </c>
    </row>
    <row r="16128" spans="1:7" hidden="1" x14ac:dyDescent="0.25">
      <c r="A16128" s="28">
        <v>44835</v>
      </c>
      <c r="B16128" s="27" t="s">
        <v>34</v>
      </c>
      <c r="C16128" s="27" t="s">
        <v>50</v>
      </c>
      <c r="D16128" s="27" t="s">
        <v>6</v>
      </c>
      <c r="E16128" s="27" t="s">
        <v>41</v>
      </c>
      <c r="F16128" s="29"/>
      <c r="G16128" s="30">
        <v>273.50799999999998</v>
      </c>
    </row>
    <row r="16129" spans="1:7" hidden="1" x14ac:dyDescent="0.25">
      <c r="A16129" s="28">
        <v>44835</v>
      </c>
      <c r="B16129" s="27" t="s">
        <v>34</v>
      </c>
      <c r="C16129" s="27" t="s">
        <v>50</v>
      </c>
      <c r="D16129" s="27" t="s">
        <v>6</v>
      </c>
      <c r="E16129" s="27" t="s">
        <v>10</v>
      </c>
      <c r="F16129" s="29"/>
      <c r="G16129" s="30">
        <v>273.50799999999998</v>
      </c>
    </row>
    <row r="16130" spans="1:7" hidden="1" x14ac:dyDescent="0.25">
      <c r="A16130" s="28">
        <v>44835</v>
      </c>
      <c r="B16130" s="27" t="s">
        <v>34</v>
      </c>
      <c r="C16130" s="27" t="s">
        <v>50</v>
      </c>
      <c r="D16130" s="27" t="s">
        <v>6</v>
      </c>
      <c r="E16130" s="27" t="s">
        <v>11</v>
      </c>
      <c r="F16130" s="29"/>
      <c r="G16130" s="30">
        <v>273.50799999999998</v>
      </c>
    </row>
    <row r="16131" spans="1:7" hidden="1" x14ac:dyDescent="0.25">
      <c r="A16131" s="28">
        <v>44835</v>
      </c>
      <c r="B16131" s="27" t="s">
        <v>34</v>
      </c>
      <c r="C16131" s="27" t="s">
        <v>50</v>
      </c>
      <c r="D16131" s="27" t="s">
        <v>6</v>
      </c>
      <c r="E16131" s="27" t="s">
        <v>12</v>
      </c>
      <c r="F16131" s="29"/>
      <c r="G16131" s="30">
        <v>273.50799999999998</v>
      </c>
    </row>
    <row r="16132" spans="1:7" hidden="1" x14ac:dyDescent="0.25">
      <c r="A16132" s="28">
        <v>44835</v>
      </c>
      <c r="B16132" s="27" t="s">
        <v>34</v>
      </c>
      <c r="C16132" s="27" t="s">
        <v>50</v>
      </c>
      <c r="D16132" s="27" t="s">
        <v>6</v>
      </c>
      <c r="E16132" s="27" t="s">
        <v>13</v>
      </c>
      <c r="F16132" s="29"/>
      <c r="G16132" s="30">
        <v>273.50799999999998</v>
      </c>
    </row>
    <row r="16133" spans="1:7" hidden="1" x14ac:dyDescent="0.25">
      <c r="A16133" s="28">
        <v>44835</v>
      </c>
      <c r="B16133" s="27" t="s">
        <v>34</v>
      </c>
      <c r="C16133" s="27" t="s">
        <v>50</v>
      </c>
      <c r="D16133" s="27" t="s">
        <v>6</v>
      </c>
      <c r="E16133" s="27" t="s">
        <v>14</v>
      </c>
      <c r="F16133" s="29"/>
      <c r="G16133" s="30">
        <v>273.50799999999998</v>
      </c>
    </row>
    <row r="16134" spans="1:7" hidden="1" x14ac:dyDescent="0.25">
      <c r="A16134" s="28">
        <v>44835</v>
      </c>
      <c r="B16134" s="27" t="s">
        <v>34</v>
      </c>
      <c r="C16134" s="27" t="s">
        <v>50</v>
      </c>
      <c r="D16134" s="27" t="s">
        <v>6</v>
      </c>
      <c r="E16134" s="27" t="s">
        <v>15</v>
      </c>
      <c r="F16134" s="29"/>
      <c r="G16134" s="30">
        <v>273.50799999999998</v>
      </c>
    </row>
    <row r="16135" spans="1:7" hidden="1" x14ac:dyDescent="0.25">
      <c r="A16135" s="28">
        <v>44835</v>
      </c>
      <c r="B16135" s="27" t="s">
        <v>34</v>
      </c>
      <c r="C16135" s="27" t="s">
        <v>50</v>
      </c>
      <c r="D16135" s="27" t="s">
        <v>6</v>
      </c>
      <c r="E16135" s="27" t="s">
        <v>16</v>
      </c>
      <c r="F16135" s="29"/>
      <c r="G16135" s="30">
        <v>273.50799999999998</v>
      </c>
    </row>
    <row r="16136" spans="1:7" hidden="1" x14ac:dyDescent="0.25">
      <c r="A16136" s="28">
        <v>44835</v>
      </c>
      <c r="B16136" s="27" t="s">
        <v>34</v>
      </c>
      <c r="C16136" s="27" t="s">
        <v>50</v>
      </c>
      <c r="D16136" s="27" t="s">
        <v>6</v>
      </c>
      <c r="E16136" s="27" t="s">
        <v>17</v>
      </c>
      <c r="F16136" s="29"/>
      <c r="G16136" s="30">
        <v>273.50799999999998</v>
      </c>
    </row>
    <row r="16137" spans="1:7" hidden="1" x14ac:dyDescent="0.25">
      <c r="A16137" s="28">
        <v>44835</v>
      </c>
      <c r="B16137" s="27" t="s">
        <v>34</v>
      </c>
      <c r="C16137" s="27" t="s">
        <v>50</v>
      </c>
      <c r="D16137" s="27" t="s">
        <v>6</v>
      </c>
      <c r="E16137" s="27" t="s">
        <v>18</v>
      </c>
      <c r="F16137" s="29"/>
      <c r="G16137" s="30">
        <v>273.50799999999998</v>
      </c>
    </row>
    <row r="16138" spans="1:7" hidden="1" x14ac:dyDescent="0.25">
      <c r="A16138" s="28">
        <v>44835</v>
      </c>
      <c r="B16138" s="27" t="s">
        <v>34</v>
      </c>
      <c r="C16138" s="27" t="s">
        <v>50</v>
      </c>
      <c r="D16138" s="27" t="s">
        <v>6</v>
      </c>
      <c r="E16138" s="27" t="s">
        <v>19</v>
      </c>
      <c r="F16138" s="29"/>
      <c r="G16138" s="30">
        <v>273.50799999999998</v>
      </c>
    </row>
    <row r="16139" spans="1:7" hidden="1" x14ac:dyDescent="0.25">
      <c r="A16139" s="28">
        <v>44835</v>
      </c>
      <c r="B16139" s="27" t="s">
        <v>34</v>
      </c>
      <c r="C16139" s="27" t="s">
        <v>50</v>
      </c>
      <c r="D16139" s="27" t="s">
        <v>6</v>
      </c>
      <c r="E16139" s="27" t="s">
        <v>20</v>
      </c>
      <c r="F16139" s="29"/>
      <c r="G16139" s="30">
        <v>273.50799999999998</v>
      </c>
    </row>
    <row r="16140" spans="1:7" hidden="1" x14ac:dyDescent="0.25">
      <c r="A16140" s="28">
        <v>44835</v>
      </c>
      <c r="B16140" s="27" t="s">
        <v>34</v>
      </c>
      <c r="C16140" s="27" t="s">
        <v>50</v>
      </c>
      <c r="D16140" s="27" t="s">
        <v>6</v>
      </c>
      <c r="E16140" s="27" t="s">
        <v>38</v>
      </c>
      <c r="F16140" s="29"/>
      <c r="G16140" s="30">
        <v>273.50799999999998</v>
      </c>
    </row>
    <row r="16141" spans="1:7" hidden="1" x14ac:dyDescent="0.25">
      <c r="A16141" s="28">
        <v>44835</v>
      </c>
      <c r="B16141" s="27" t="s">
        <v>34</v>
      </c>
      <c r="C16141" s="27" t="s">
        <v>50</v>
      </c>
      <c r="D16141" s="27" t="s">
        <v>6</v>
      </c>
      <c r="E16141" s="27" t="s">
        <v>23</v>
      </c>
      <c r="F16141" s="29"/>
      <c r="G16141" s="30">
        <v>273.50799999999998</v>
      </c>
    </row>
    <row r="16142" spans="1:7" hidden="1" x14ac:dyDescent="0.25">
      <c r="A16142" s="28">
        <v>44835</v>
      </c>
      <c r="B16142" s="27" t="s">
        <v>34</v>
      </c>
      <c r="C16142" s="27" t="s">
        <v>50</v>
      </c>
      <c r="D16142" s="27" t="s">
        <v>6</v>
      </c>
      <c r="E16142" s="27" t="s">
        <v>40</v>
      </c>
      <c r="F16142" s="29"/>
      <c r="G16142" s="30">
        <v>273.50799999999998</v>
      </c>
    </row>
    <row r="16143" spans="1:7" hidden="1" x14ac:dyDescent="0.25">
      <c r="A16143" s="28">
        <v>44835</v>
      </c>
      <c r="B16143" s="27" t="s">
        <v>34</v>
      </c>
      <c r="C16143" s="27" t="s">
        <v>50</v>
      </c>
      <c r="D16143" s="27" t="s">
        <v>6</v>
      </c>
      <c r="E16143" s="27" t="s">
        <v>42</v>
      </c>
      <c r="F16143" s="29"/>
      <c r="G16143" s="30">
        <v>273.50799999999998</v>
      </c>
    </row>
    <row r="16144" spans="1:7" hidden="1" x14ac:dyDescent="0.25">
      <c r="A16144" s="28">
        <v>44835</v>
      </c>
      <c r="B16144" s="27" t="s">
        <v>34</v>
      </c>
      <c r="C16144" s="27" t="s">
        <v>50</v>
      </c>
      <c r="D16144" s="27" t="s">
        <v>6</v>
      </c>
      <c r="E16144" s="27" t="s">
        <v>43</v>
      </c>
      <c r="F16144" s="29"/>
      <c r="G16144" s="30">
        <v>273.50799999999998</v>
      </c>
    </row>
    <row r="16145" spans="1:7" hidden="1" x14ac:dyDescent="0.25">
      <c r="A16145" s="28">
        <v>44835</v>
      </c>
      <c r="B16145" s="27" t="s">
        <v>34</v>
      </c>
      <c r="C16145" s="27" t="s">
        <v>50</v>
      </c>
      <c r="D16145" s="27" t="s">
        <v>6</v>
      </c>
      <c r="E16145" s="27" t="s">
        <v>72</v>
      </c>
      <c r="F16145" s="29"/>
      <c r="G16145" s="30">
        <v>273.50799999999998</v>
      </c>
    </row>
    <row r="16146" spans="1:7" hidden="1" x14ac:dyDescent="0.25">
      <c r="A16146" s="28">
        <v>44835</v>
      </c>
      <c r="B16146" s="27" t="s">
        <v>34</v>
      </c>
      <c r="C16146" s="27" t="s">
        <v>50</v>
      </c>
      <c r="D16146" s="27" t="s">
        <v>6</v>
      </c>
      <c r="E16146" s="27" t="s">
        <v>206</v>
      </c>
      <c r="F16146" s="29"/>
      <c r="G16146" s="30">
        <v>273.50799999999998</v>
      </c>
    </row>
    <row r="16147" spans="1:7" hidden="1" x14ac:dyDescent="0.25">
      <c r="A16147" s="28">
        <v>44866</v>
      </c>
      <c r="B16147" s="27" t="s">
        <v>33</v>
      </c>
      <c r="C16147" s="27" t="s">
        <v>50</v>
      </c>
      <c r="D16147" s="27" t="s">
        <v>7</v>
      </c>
      <c r="E16147" s="27" t="s">
        <v>8</v>
      </c>
      <c r="F16147" s="29"/>
      <c r="G16147" s="30">
        <v>2746.9689285714289</v>
      </c>
    </row>
    <row r="16148" spans="1:7" hidden="1" x14ac:dyDescent="0.25">
      <c r="A16148" s="28">
        <v>44866</v>
      </c>
      <c r="B16148" s="27" t="s">
        <v>33</v>
      </c>
      <c r="C16148" s="27" t="s">
        <v>50</v>
      </c>
      <c r="D16148" s="27" t="s">
        <v>7</v>
      </c>
      <c r="E16148" s="27" t="s">
        <v>9</v>
      </c>
      <c r="F16148" s="29"/>
      <c r="G16148" s="30">
        <v>2746.9689285714289</v>
      </c>
    </row>
    <row r="16149" spans="1:7" hidden="1" x14ac:dyDescent="0.25">
      <c r="A16149" s="28">
        <v>44866</v>
      </c>
      <c r="B16149" s="27" t="s">
        <v>33</v>
      </c>
      <c r="C16149" s="27" t="s">
        <v>50</v>
      </c>
      <c r="D16149" s="27" t="s">
        <v>7</v>
      </c>
      <c r="E16149" s="27" t="s">
        <v>22</v>
      </c>
      <c r="F16149" s="29"/>
      <c r="G16149" s="30">
        <v>2746.9689285714289</v>
      </c>
    </row>
    <row r="16150" spans="1:7" hidden="1" x14ac:dyDescent="0.25">
      <c r="A16150" s="28">
        <v>44866</v>
      </c>
      <c r="B16150" s="27" t="s">
        <v>33</v>
      </c>
      <c r="C16150" s="27" t="s">
        <v>50</v>
      </c>
      <c r="D16150" s="27" t="s">
        <v>7</v>
      </c>
      <c r="E16150" s="27" t="s">
        <v>39</v>
      </c>
      <c r="F16150" s="29"/>
      <c r="G16150" s="30">
        <v>2746.9689285714289</v>
      </c>
    </row>
    <row r="16151" spans="1:7" hidden="1" x14ac:dyDescent="0.25">
      <c r="A16151" s="28">
        <v>44866</v>
      </c>
      <c r="B16151" s="27" t="s">
        <v>33</v>
      </c>
      <c r="C16151" s="27" t="s">
        <v>50</v>
      </c>
      <c r="D16151" s="27" t="s">
        <v>7</v>
      </c>
      <c r="E16151" s="27" t="s">
        <v>64</v>
      </c>
      <c r="F16151" s="29"/>
      <c r="G16151" s="30">
        <v>2746.9689285714289</v>
      </c>
    </row>
    <row r="16152" spans="1:7" hidden="1" x14ac:dyDescent="0.25">
      <c r="A16152" s="28">
        <v>44866</v>
      </c>
      <c r="B16152" s="27" t="s">
        <v>33</v>
      </c>
      <c r="C16152" s="27" t="s">
        <v>50</v>
      </c>
      <c r="D16152" s="27" t="s">
        <v>7</v>
      </c>
      <c r="E16152" s="27" t="s">
        <v>21</v>
      </c>
      <c r="F16152" s="29"/>
      <c r="G16152" s="30">
        <v>2746.9689285714289</v>
      </c>
    </row>
    <row r="16153" spans="1:7" hidden="1" x14ac:dyDescent="0.25">
      <c r="A16153" s="28">
        <v>44866</v>
      </c>
      <c r="B16153" s="27" t="s">
        <v>33</v>
      </c>
      <c r="C16153" s="27" t="s">
        <v>50</v>
      </c>
      <c r="D16153" s="27" t="s">
        <v>7</v>
      </c>
      <c r="E16153" s="27" t="s">
        <v>41</v>
      </c>
      <c r="F16153" s="29"/>
      <c r="G16153" s="30">
        <v>2746.9689285714289</v>
      </c>
    </row>
    <row r="16154" spans="1:7" hidden="1" x14ac:dyDescent="0.25">
      <c r="A16154" s="28">
        <v>44866</v>
      </c>
      <c r="B16154" s="27" t="s">
        <v>33</v>
      </c>
      <c r="C16154" s="27" t="s">
        <v>50</v>
      </c>
      <c r="D16154" s="27" t="s">
        <v>7</v>
      </c>
      <c r="E16154" s="27" t="s">
        <v>10</v>
      </c>
      <c r="F16154" s="29"/>
      <c r="G16154" s="30">
        <v>2746.9689285714289</v>
      </c>
    </row>
    <row r="16155" spans="1:7" hidden="1" x14ac:dyDescent="0.25">
      <c r="A16155" s="28">
        <v>44866</v>
      </c>
      <c r="B16155" s="27" t="s">
        <v>33</v>
      </c>
      <c r="C16155" s="27" t="s">
        <v>50</v>
      </c>
      <c r="D16155" s="27" t="s">
        <v>7</v>
      </c>
      <c r="E16155" s="27" t="s">
        <v>11</v>
      </c>
      <c r="F16155" s="29"/>
      <c r="G16155" s="30">
        <v>2746.9689285714289</v>
      </c>
    </row>
    <row r="16156" spans="1:7" hidden="1" x14ac:dyDescent="0.25">
      <c r="A16156" s="28">
        <v>44866</v>
      </c>
      <c r="B16156" s="27" t="s">
        <v>33</v>
      </c>
      <c r="C16156" s="27" t="s">
        <v>50</v>
      </c>
      <c r="D16156" s="27" t="s">
        <v>7</v>
      </c>
      <c r="E16156" s="27" t="s">
        <v>12</v>
      </c>
      <c r="F16156" s="29"/>
      <c r="G16156" s="30">
        <v>2746.9689285714289</v>
      </c>
    </row>
    <row r="16157" spans="1:7" hidden="1" x14ac:dyDescent="0.25">
      <c r="A16157" s="28">
        <v>44866</v>
      </c>
      <c r="B16157" s="27" t="s">
        <v>33</v>
      </c>
      <c r="C16157" s="27" t="s">
        <v>50</v>
      </c>
      <c r="D16157" s="27" t="s">
        <v>7</v>
      </c>
      <c r="E16157" s="27" t="s">
        <v>13</v>
      </c>
      <c r="F16157" s="29"/>
      <c r="G16157" s="30">
        <v>2746.9689285714289</v>
      </c>
    </row>
    <row r="16158" spans="1:7" hidden="1" x14ac:dyDescent="0.25">
      <c r="A16158" s="28">
        <v>44866</v>
      </c>
      <c r="B16158" s="27" t="s">
        <v>33</v>
      </c>
      <c r="C16158" s="27" t="s">
        <v>50</v>
      </c>
      <c r="D16158" s="27" t="s">
        <v>7</v>
      </c>
      <c r="E16158" s="27" t="s">
        <v>14</v>
      </c>
      <c r="F16158" s="29"/>
      <c r="G16158" s="30">
        <v>2746.9689285714289</v>
      </c>
    </row>
    <row r="16159" spans="1:7" hidden="1" x14ac:dyDescent="0.25">
      <c r="A16159" s="28">
        <v>44866</v>
      </c>
      <c r="B16159" s="27" t="s">
        <v>33</v>
      </c>
      <c r="C16159" s="27" t="s">
        <v>50</v>
      </c>
      <c r="D16159" s="27" t="s">
        <v>7</v>
      </c>
      <c r="E16159" s="27" t="s">
        <v>15</v>
      </c>
      <c r="F16159" s="29"/>
      <c r="G16159" s="30">
        <v>2746.9689285714289</v>
      </c>
    </row>
    <row r="16160" spans="1:7" hidden="1" x14ac:dyDescent="0.25">
      <c r="A16160" s="28">
        <v>44866</v>
      </c>
      <c r="B16160" s="27" t="s">
        <v>33</v>
      </c>
      <c r="C16160" s="27" t="s">
        <v>50</v>
      </c>
      <c r="D16160" s="27" t="s">
        <v>7</v>
      </c>
      <c r="E16160" s="27" t="s">
        <v>16</v>
      </c>
      <c r="F16160" s="29"/>
      <c r="G16160" s="30">
        <v>2746.9689285714289</v>
      </c>
    </row>
    <row r="16161" spans="1:7" hidden="1" x14ac:dyDescent="0.25">
      <c r="A16161" s="28">
        <v>44866</v>
      </c>
      <c r="B16161" s="27" t="s">
        <v>33</v>
      </c>
      <c r="C16161" s="27" t="s">
        <v>50</v>
      </c>
      <c r="D16161" s="27" t="s">
        <v>7</v>
      </c>
      <c r="E16161" s="27" t="s">
        <v>17</v>
      </c>
      <c r="F16161" s="29"/>
      <c r="G16161" s="30">
        <v>2746.9689285714289</v>
      </c>
    </row>
    <row r="16162" spans="1:7" hidden="1" x14ac:dyDescent="0.25">
      <c r="A16162" s="28">
        <v>44866</v>
      </c>
      <c r="B16162" s="27" t="s">
        <v>33</v>
      </c>
      <c r="C16162" s="27" t="s">
        <v>50</v>
      </c>
      <c r="D16162" s="27" t="s">
        <v>7</v>
      </c>
      <c r="E16162" s="27" t="s">
        <v>18</v>
      </c>
      <c r="F16162" s="29"/>
      <c r="G16162" s="30">
        <v>2746.9689285714289</v>
      </c>
    </row>
    <row r="16163" spans="1:7" hidden="1" x14ac:dyDescent="0.25">
      <c r="A16163" s="28">
        <v>44866</v>
      </c>
      <c r="B16163" s="27" t="s">
        <v>33</v>
      </c>
      <c r="C16163" s="27" t="s">
        <v>50</v>
      </c>
      <c r="D16163" s="27" t="s">
        <v>7</v>
      </c>
      <c r="E16163" s="27" t="s">
        <v>19</v>
      </c>
      <c r="F16163" s="29"/>
      <c r="G16163" s="30">
        <v>2746.9689285714289</v>
      </c>
    </row>
    <row r="16164" spans="1:7" hidden="1" x14ac:dyDescent="0.25">
      <c r="A16164" s="28">
        <v>44866</v>
      </c>
      <c r="B16164" s="27" t="s">
        <v>33</v>
      </c>
      <c r="C16164" s="27" t="s">
        <v>50</v>
      </c>
      <c r="D16164" s="27" t="s">
        <v>7</v>
      </c>
      <c r="E16164" s="27" t="s">
        <v>20</v>
      </c>
      <c r="F16164" s="29"/>
      <c r="G16164" s="30">
        <v>2746.9689285714289</v>
      </c>
    </row>
    <row r="16165" spans="1:7" hidden="1" x14ac:dyDescent="0.25">
      <c r="A16165" s="28">
        <v>44866</v>
      </c>
      <c r="B16165" s="27" t="s">
        <v>33</v>
      </c>
      <c r="C16165" s="27" t="s">
        <v>50</v>
      </c>
      <c r="D16165" s="27" t="s">
        <v>7</v>
      </c>
      <c r="E16165" s="27" t="s">
        <v>38</v>
      </c>
      <c r="F16165" s="29"/>
      <c r="G16165" s="30">
        <v>2746.9689285714289</v>
      </c>
    </row>
    <row r="16166" spans="1:7" hidden="1" x14ac:dyDescent="0.25">
      <c r="A16166" s="28">
        <v>44866</v>
      </c>
      <c r="B16166" s="27" t="s">
        <v>33</v>
      </c>
      <c r="C16166" s="27" t="s">
        <v>50</v>
      </c>
      <c r="D16166" s="27" t="s">
        <v>7</v>
      </c>
      <c r="E16166" s="27" t="s">
        <v>23</v>
      </c>
      <c r="F16166" s="29"/>
      <c r="G16166" s="30">
        <v>2746.9689285714289</v>
      </c>
    </row>
    <row r="16167" spans="1:7" hidden="1" x14ac:dyDescent="0.25">
      <c r="A16167" s="28">
        <v>44866</v>
      </c>
      <c r="B16167" s="27" t="s">
        <v>33</v>
      </c>
      <c r="C16167" s="27" t="s">
        <v>50</v>
      </c>
      <c r="D16167" s="27" t="s">
        <v>7</v>
      </c>
      <c r="E16167" s="27" t="s">
        <v>40</v>
      </c>
      <c r="F16167" s="29"/>
      <c r="G16167" s="30">
        <v>2746.9689285714289</v>
      </c>
    </row>
    <row r="16168" spans="1:7" hidden="1" x14ac:dyDescent="0.25">
      <c r="A16168" s="28">
        <v>44866</v>
      </c>
      <c r="B16168" s="27" t="s">
        <v>33</v>
      </c>
      <c r="C16168" s="27" t="s">
        <v>50</v>
      </c>
      <c r="D16168" s="27" t="s">
        <v>7</v>
      </c>
      <c r="E16168" s="27" t="s">
        <v>42</v>
      </c>
      <c r="F16168" s="29"/>
      <c r="G16168" s="30">
        <v>2746.9689285714289</v>
      </c>
    </row>
    <row r="16169" spans="1:7" hidden="1" x14ac:dyDescent="0.25">
      <c r="A16169" s="28">
        <v>44866</v>
      </c>
      <c r="B16169" s="27" t="s">
        <v>33</v>
      </c>
      <c r="C16169" s="27" t="s">
        <v>50</v>
      </c>
      <c r="D16169" s="27" t="s">
        <v>7</v>
      </c>
      <c r="E16169" s="27" t="s">
        <v>43</v>
      </c>
      <c r="F16169" s="29"/>
      <c r="G16169" s="30">
        <v>2746.9689285714289</v>
      </c>
    </row>
    <row r="16170" spans="1:7" hidden="1" x14ac:dyDescent="0.25">
      <c r="A16170" s="28">
        <v>44866</v>
      </c>
      <c r="B16170" s="27" t="s">
        <v>33</v>
      </c>
      <c r="C16170" s="27" t="s">
        <v>50</v>
      </c>
      <c r="D16170" s="27" t="s">
        <v>7</v>
      </c>
      <c r="E16170" s="27" t="s">
        <v>72</v>
      </c>
      <c r="F16170" s="29"/>
      <c r="G16170" s="30">
        <v>2746.9689285714289</v>
      </c>
    </row>
    <row r="16171" spans="1:7" hidden="1" x14ac:dyDescent="0.25">
      <c r="A16171" s="28">
        <v>44866</v>
      </c>
      <c r="B16171" s="27" t="s">
        <v>33</v>
      </c>
      <c r="C16171" s="27" t="s">
        <v>50</v>
      </c>
      <c r="D16171" s="27" t="s">
        <v>7</v>
      </c>
      <c r="E16171" s="27" t="s">
        <v>206</v>
      </c>
      <c r="F16171" s="29"/>
      <c r="G16171" s="30">
        <v>2746.9689285714289</v>
      </c>
    </row>
    <row r="16172" spans="1:7" hidden="1" x14ac:dyDescent="0.25">
      <c r="A16172" s="28">
        <v>44866</v>
      </c>
      <c r="B16172" s="27" t="s">
        <v>33</v>
      </c>
      <c r="C16172" s="27" t="s">
        <v>50</v>
      </c>
      <c r="D16172" s="27" t="s">
        <v>7</v>
      </c>
      <c r="E16172" s="27" t="s">
        <v>67</v>
      </c>
      <c r="F16172" s="29"/>
      <c r="G16172" s="30">
        <v>2746.9689285714289</v>
      </c>
    </row>
    <row r="16173" spans="1:7" hidden="1" x14ac:dyDescent="0.25">
      <c r="A16173" s="28">
        <v>44866</v>
      </c>
      <c r="B16173" s="27" t="s">
        <v>33</v>
      </c>
      <c r="C16173" s="27" t="s">
        <v>50</v>
      </c>
      <c r="D16173" s="27" t="s">
        <v>7</v>
      </c>
      <c r="E16173" s="27" t="s">
        <v>68</v>
      </c>
      <c r="F16173" s="29"/>
      <c r="G16173" s="30">
        <v>2746.9689285714289</v>
      </c>
    </row>
    <row r="16174" spans="1:7" hidden="1" x14ac:dyDescent="0.25">
      <c r="A16174" s="28">
        <v>44866</v>
      </c>
      <c r="B16174" s="27" t="s">
        <v>33</v>
      </c>
      <c r="C16174" s="27" t="s">
        <v>50</v>
      </c>
      <c r="D16174" s="27" t="s">
        <v>7</v>
      </c>
      <c r="E16174" s="27" t="s">
        <v>74</v>
      </c>
      <c r="F16174" s="29"/>
      <c r="G16174" s="30">
        <v>2746.9689285714289</v>
      </c>
    </row>
    <row r="16175" spans="1:7" hidden="1" x14ac:dyDescent="0.25">
      <c r="A16175" s="28">
        <v>44866</v>
      </c>
      <c r="B16175" s="27" t="s">
        <v>4</v>
      </c>
      <c r="C16175" s="27" t="s">
        <v>50</v>
      </c>
      <c r="D16175" s="27" t="s">
        <v>7</v>
      </c>
      <c r="E16175" s="27" t="s">
        <v>8</v>
      </c>
      <c r="F16175" s="29"/>
      <c r="G16175" s="30">
        <v>1382.63</v>
      </c>
    </row>
    <row r="16176" spans="1:7" hidden="1" x14ac:dyDescent="0.25">
      <c r="A16176" s="28">
        <v>44866</v>
      </c>
      <c r="B16176" s="27" t="s">
        <v>4</v>
      </c>
      <c r="C16176" s="27" t="s">
        <v>50</v>
      </c>
      <c r="D16176" s="27" t="s">
        <v>7</v>
      </c>
      <c r="E16176" s="27" t="s">
        <v>9</v>
      </c>
      <c r="F16176" s="29"/>
      <c r="G16176" s="30">
        <f>172294.6/15</f>
        <v>11486.306666666667</v>
      </c>
    </row>
    <row r="16177" spans="1:7" hidden="1" x14ac:dyDescent="0.25">
      <c r="A16177" s="28">
        <v>44866</v>
      </c>
      <c r="B16177" s="27" t="s">
        <v>4</v>
      </c>
      <c r="C16177" s="27" t="s">
        <v>50</v>
      </c>
      <c r="D16177" s="27" t="s">
        <v>7</v>
      </c>
      <c r="E16177" s="27" t="s">
        <v>22</v>
      </c>
      <c r="F16177" s="29"/>
      <c r="G16177" s="30">
        <f>172294.6/15</f>
        <v>11486.306666666667</v>
      </c>
    </row>
    <row r="16178" spans="1:7" hidden="1" x14ac:dyDescent="0.25">
      <c r="A16178" s="28">
        <v>44866</v>
      </c>
      <c r="B16178" s="27" t="s">
        <v>4</v>
      </c>
      <c r="C16178" s="27" t="s">
        <v>50</v>
      </c>
      <c r="D16178" s="27" t="s">
        <v>7</v>
      </c>
      <c r="E16178" s="27" t="s">
        <v>39</v>
      </c>
      <c r="F16178" s="29"/>
      <c r="G16178" s="30">
        <f>172294.6/15</f>
        <v>11486.306666666667</v>
      </c>
    </row>
    <row r="16179" spans="1:7" hidden="1" x14ac:dyDescent="0.25">
      <c r="A16179" s="28">
        <v>44866</v>
      </c>
      <c r="B16179" s="27" t="s">
        <v>4</v>
      </c>
      <c r="C16179" s="27" t="s">
        <v>50</v>
      </c>
      <c r="D16179" s="27" t="s">
        <v>7</v>
      </c>
      <c r="E16179" s="27" t="s">
        <v>64</v>
      </c>
      <c r="F16179" s="29"/>
      <c r="G16179" s="30">
        <f>172294.6/15</f>
        <v>11486.306666666667</v>
      </c>
    </row>
    <row r="16180" spans="1:7" hidden="1" x14ac:dyDescent="0.25">
      <c r="A16180" s="28">
        <v>44866</v>
      </c>
      <c r="B16180" s="27" t="s">
        <v>4</v>
      </c>
      <c r="C16180" s="27" t="s">
        <v>50</v>
      </c>
      <c r="D16180" s="27" t="s">
        <v>7</v>
      </c>
      <c r="E16180" s="27" t="s">
        <v>21</v>
      </c>
      <c r="F16180" s="29"/>
      <c r="G16180" s="30">
        <v>848.36</v>
      </c>
    </row>
    <row r="16181" spans="1:7" hidden="1" x14ac:dyDescent="0.25">
      <c r="A16181" s="28">
        <v>44866</v>
      </c>
      <c r="B16181" s="27" t="s">
        <v>4</v>
      </c>
      <c r="C16181" s="27" t="s">
        <v>50</v>
      </c>
      <c r="D16181" s="27" t="s">
        <v>7</v>
      </c>
      <c r="E16181" s="27" t="s">
        <v>41</v>
      </c>
      <c r="F16181" s="29"/>
      <c r="G16181" s="30">
        <v>1638.69</v>
      </c>
    </row>
    <row r="16182" spans="1:7" hidden="1" x14ac:dyDescent="0.25">
      <c r="A16182" s="28">
        <v>44866</v>
      </c>
      <c r="B16182" s="27" t="s">
        <v>4</v>
      </c>
      <c r="C16182" s="27" t="s">
        <v>50</v>
      </c>
      <c r="D16182" s="27" t="s">
        <v>7</v>
      </c>
      <c r="E16182" s="27" t="s">
        <v>10</v>
      </c>
      <c r="F16182" s="29"/>
      <c r="G16182" s="30">
        <v>5710.67</v>
      </c>
    </row>
    <row r="16183" spans="1:7" hidden="1" x14ac:dyDescent="0.25">
      <c r="A16183" s="28">
        <v>44866</v>
      </c>
      <c r="B16183" s="27" t="s">
        <v>4</v>
      </c>
      <c r="C16183" s="27" t="s">
        <v>50</v>
      </c>
      <c r="D16183" s="27" t="s">
        <v>7</v>
      </c>
      <c r="E16183" s="27" t="s">
        <v>11</v>
      </c>
      <c r="F16183" s="29"/>
      <c r="G16183" s="30">
        <v>400</v>
      </c>
    </row>
    <row r="16184" spans="1:7" hidden="1" x14ac:dyDescent="0.25">
      <c r="A16184" s="28">
        <v>44866</v>
      </c>
      <c r="B16184" s="27" t="s">
        <v>4</v>
      </c>
      <c r="C16184" s="27" t="s">
        <v>50</v>
      </c>
      <c r="D16184" s="27" t="s">
        <v>7</v>
      </c>
      <c r="E16184" s="27" t="s">
        <v>12</v>
      </c>
      <c r="F16184" s="29"/>
      <c r="G16184" s="30">
        <f>172294.6/15</f>
        <v>11486.306666666667</v>
      </c>
    </row>
    <row r="16185" spans="1:7" hidden="1" x14ac:dyDescent="0.25">
      <c r="A16185" s="28">
        <v>44866</v>
      </c>
      <c r="B16185" s="27" t="s">
        <v>4</v>
      </c>
      <c r="C16185" s="27" t="s">
        <v>50</v>
      </c>
      <c r="D16185" s="27" t="s">
        <v>7</v>
      </c>
      <c r="E16185" s="27" t="s">
        <v>13</v>
      </c>
      <c r="F16185" s="29"/>
      <c r="G16185" s="30">
        <v>14282.13</v>
      </c>
    </row>
    <row r="16186" spans="1:7" hidden="1" x14ac:dyDescent="0.25">
      <c r="A16186" s="28">
        <v>44866</v>
      </c>
      <c r="B16186" s="27" t="s">
        <v>4</v>
      </c>
      <c r="C16186" s="27" t="s">
        <v>50</v>
      </c>
      <c r="D16186" s="27" t="s">
        <v>7</v>
      </c>
      <c r="E16186" s="27" t="s">
        <v>14</v>
      </c>
      <c r="F16186" s="29"/>
      <c r="G16186" s="30">
        <f>172294.6/15</f>
        <v>11486.306666666667</v>
      </c>
    </row>
    <row r="16187" spans="1:7" hidden="1" x14ac:dyDescent="0.25">
      <c r="A16187" s="28">
        <v>44866</v>
      </c>
      <c r="B16187" s="27" t="s">
        <v>4</v>
      </c>
      <c r="C16187" s="27" t="s">
        <v>50</v>
      </c>
      <c r="D16187" s="27" t="s">
        <v>7</v>
      </c>
      <c r="E16187" s="27" t="s">
        <v>15</v>
      </c>
      <c r="F16187" s="29"/>
      <c r="G16187" s="30">
        <v>649.67999999999995</v>
      </c>
    </row>
    <row r="16188" spans="1:7" hidden="1" x14ac:dyDescent="0.25">
      <c r="A16188" s="28">
        <v>44866</v>
      </c>
      <c r="B16188" s="27" t="s">
        <v>4</v>
      </c>
      <c r="C16188" s="27" t="s">
        <v>50</v>
      </c>
      <c r="D16188" s="27" t="s">
        <v>7</v>
      </c>
      <c r="E16188" s="27" t="s">
        <v>16</v>
      </c>
      <c r="F16188" s="29"/>
      <c r="G16188" s="30">
        <f>172294.6/15</f>
        <v>11486.306666666667</v>
      </c>
    </row>
    <row r="16189" spans="1:7" hidden="1" x14ac:dyDescent="0.25">
      <c r="A16189" s="28">
        <v>44866</v>
      </c>
      <c r="B16189" s="27" t="s">
        <v>4</v>
      </c>
      <c r="C16189" s="27" t="s">
        <v>50</v>
      </c>
      <c r="D16189" s="27" t="s">
        <v>7</v>
      </c>
      <c r="E16189" s="27" t="s">
        <v>17</v>
      </c>
      <c r="F16189" s="29"/>
      <c r="G16189" s="30">
        <v>1650.15</v>
      </c>
    </row>
    <row r="16190" spans="1:7" hidden="1" x14ac:dyDescent="0.25">
      <c r="A16190" s="28">
        <v>44866</v>
      </c>
      <c r="B16190" s="27" t="s">
        <v>4</v>
      </c>
      <c r="C16190" s="27" t="s">
        <v>50</v>
      </c>
      <c r="D16190" s="27" t="s">
        <v>7</v>
      </c>
      <c r="E16190" s="27" t="s">
        <v>18</v>
      </c>
      <c r="F16190" s="29"/>
      <c r="G16190" s="30">
        <f>172294.6/15</f>
        <v>11486.306666666667</v>
      </c>
    </row>
    <row r="16191" spans="1:7" hidden="1" x14ac:dyDescent="0.25">
      <c r="A16191" s="28">
        <v>44866</v>
      </c>
      <c r="B16191" s="27" t="s">
        <v>4</v>
      </c>
      <c r="C16191" s="27" t="s">
        <v>50</v>
      </c>
      <c r="D16191" s="27" t="s">
        <v>7</v>
      </c>
      <c r="E16191" s="27" t="s">
        <v>19</v>
      </c>
      <c r="F16191" s="29"/>
      <c r="G16191" s="30">
        <v>2841.66</v>
      </c>
    </row>
    <row r="16192" spans="1:7" hidden="1" x14ac:dyDescent="0.25">
      <c r="A16192" s="28">
        <v>44866</v>
      </c>
      <c r="B16192" s="27" t="s">
        <v>4</v>
      </c>
      <c r="C16192" s="27" t="s">
        <v>50</v>
      </c>
      <c r="D16192" s="27" t="s">
        <v>7</v>
      </c>
      <c r="E16192" s="27" t="s">
        <v>20</v>
      </c>
      <c r="F16192" s="29"/>
      <c r="G16192" s="30">
        <v>2076.5</v>
      </c>
    </row>
    <row r="16193" spans="1:7" hidden="1" x14ac:dyDescent="0.25">
      <c r="A16193" s="28">
        <v>44866</v>
      </c>
      <c r="B16193" s="27" t="s">
        <v>4</v>
      </c>
      <c r="C16193" s="27" t="s">
        <v>50</v>
      </c>
      <c r="D16193" s="27" t="s">
        <v>7</v>
      </c>
      <c r="E16193" s="27" t="s">
        <v>38</v>
      </c>
      <c r="F16193" s="29"/>
      <c r="G16193" s="30">
        <f>172294.6/15</f>
        <v>11486.306666666667</v>
      </c>
    </row>
    <row r="16194" spans="1:7" hidden="1" x14ac:dyDescent="0.25">
      <c r="A16194" s="28">
        <v>44866</v>
      </c>
      <c r="B16194" s="27" t="s">
        <v>4</v>
      </c>
      <c r="C16194" s="27" t="s">
        <v>50</v>
      </c>
      <c r="D16194" s="27" t="s">
        <v>7</v>
      </c>
      <c r="E16194" s="27" t="s">
        <v>23</v>
      </c>
      <c r="F16194" s="29"/>
      <c r="G16194" s="30">
        <v>619.16</v>
      </c>
    </row>
    <row r="16195" spans="1:7" hidden="1" x14ac:dyDescent="0.25">
      <c r="A16195" s="28">
        <v>44866</v>
      </c>
      <c r="B16195" s="27" t="s">
        <v>4</v>
      </c>
      <c r="C16195" s="27" t="s">
        <v>50</v>
      </c>
      <c r="D16195" s="27" t="s">
        <v>7</v>
      </c>
      <c r="E16195" s="27" t="s">
        <v>40</v>
      </c>
      <c r="F16195" s="29"/>
      <c r="G16195" s="30">
        <v>1474.61</v>
      </c>
    </row>
    <row r="16196" spans="1:7" hidden="1" x14ac:dyDescent="0.25">
      <c r="A16196" s="28">
        <v>44866</v>
      </c>
      <c r="B16196" s="27" t="s">
        <v>4</v>
      </c>
      <c r="C16196" s="27" t="s">
        <v>50</v>
      </c>
      <c r="D16196" s="27" t="s">
        <v>7</v>
      </c>
      <c r="E16196" s="27" t="s">
        <v>42</v>
      </c>
      <c r="F16196" s="29"/>
      <c r="G16196" s="30">
        <f t="shared" ref="G16196:G16201" si="280">172294.6/15</f>
        <v>11486.306666666667</v>
      </c>
    </row>
    <row r="16197" spans="1:7" hidden="1" x14ac:dyDescent="0.25">
      <c r="A16197" s="28">
        <v>44866</v>
      </c>
      <c r="B16197" s="27" t="s">
        <v>4</v>
      </c>
      <c r="C16197" s="27" t="s">
        <v>50</v>
      </c>
      <c r="D16197" s="27" t="s">
        <v>7</v>
      </c>
      <c r="E16197" s="27" t="s">
        <v>43</v>
      </c>
      <c r="F16197" s="29"/>
      <c r="G16197" s="30">
        <f t="shared" si="280"/>
        <v>11486.306666666667</v>
      </c>
    </row>
    <row r="16198" spans="1:7" hidden="1" x14ac:dyDescent="0.25">
      <c r="A16198" s="28">
        <v>44866</v>
      </c>
      <c r="B16198" s="27" t="s">
        <v>4</v>
      </c>
      <c r="C16198" s="27" t="s">
        <v>50</v>
      </c>
      <c r="D16198" s="27" t="s">
        <v>7</v>
      </c>
      <c r="E16198" s="27" t="s">
        <v>72</v>
      </c>
      <c r="F16198" s="29"/>
      <c r="G16198" s="30">
        <f t="shared" si="280"/>
        <v>11486.306666666667</v>
      </c>
    </row>
    <row r="16199" spans="1:7" hidden="1" x14ac:dyDescent="0.25">
      <c r="A16199" s="28">
        <v>44866</v>
      </c>
      <c r="B16199" s="27" t="s">
        <v>4</v>
      </c>
      <c r="C16199" s="27" t="s">
        <v>50</v>
      </c>
      <c r="D16199" s="27" t="s">
        <v>7</v>
      </c>
      <c r="E16199" s="27" t="s">
        <v>206</v>
      </c>
      <c r="F16199" s="29"/>
      <c r="G16199" s="30">
        <f t="shared" si="280"/>
        <v>11486.306666666667</v>
      </c>
    </row>
    <row r="16200" spans="1:7" hidden="1" x14ac:dyDescent="0.25">
      <c r="A16200" s="28">
        <v>44866</v>
      </c>
      <c r="B16200" s="27" t="s">
        <v>4</v>
      </c>
      <c r="C16200" s="27" t="s">
        <v>50</v>
      </c>
      <c r="D16200" s="27" t="s">
        <v>7</v>
      </c>
      <c r="E16200" s="27" t="s">
        <v>67</v>
      </c>
      <c r="F16200" s="29"/>
      <c r="G16200" s="30">
        <f t="shared" si="280"/>
        <v>11486.306666666667</v>
      </c>
    </row>
    <row r="16201" spans="1:7" hidden="1" x14ac:dyDescent="0.25">
      <c r="A16201" s="28">
        <v>44866</v>
      </c>
      <c r="B16201" s="27" t="s">
        <v>4</v>
      </c>
      <c r="C16201" s="27" t="s">
        <v>50</v>
      </c>
      <c r="D16201" s="27" t="s">
        <v>7</v>
      </c>
      <c r="E16201" s="27" t="s">
        <v>68</v>
      </c>
      <c r="F16201" s="29"/>
      <c r="G16201" s="30">
        <f t="shared" si="280"/>
        <v>11486.306666666667</v>
      </c>
    </row>
    <row r="16202" spans="1:7" hidden="1" x14ac:dyDescent="0.25">
      <c r="A16202" s="28">
        <v>44866</v>
      </c>
      <c r="B16202" s="27" t="s">
        <v>4</v>
      </c>
      <c r="C16202" s="27" t="s">
        <v>50</v>
      </c>
      <c r="D16202" s="27" t="s">
        <v>7</v>
      </c>
      <c r="E16202" s="27" t="s">
        <v>74</v>
      </c>
      <c r="F16202" s="29"/>
      <c r="G16202" s="30">
        <v>881.43</v>
      </c>
    </row>
    <row r="16203" spans="1:7" hidden="1" x14ac:dyDescent="0.25">
      <c r="A16203" s="28">
        <v>44866</v>
      </c>
      <c r="B16203" s="27" t="s">
        <v>26</v>
      </c>
      <c r="C16203" s="27" t="s">
        <v>50</v>
      </c>
      <c r="D16203" s="27" t="s">
        <v>6</v>
      </c>
      <c r="E16203" s="27" t="s">
        <v>8</v>
      </c>
      <c r="F16203" s="29"/>
      <c r="G16203" s="30">
        <v>719.18234681218985</v>
      </c>
    </row>
    <row r="16204" spans="1:7" hidden="1" x14ac:dyDescent="0.25">
      <c r="A16204" s="28">
        <v>44866</v>
      </c>
      <c r="B16204" s="27" t="s">
        <v>26</v>
      </c>
      <c r="C16204" s="27" t="s">
        <v>50</v>
      </c>
      <c r="D16204" s="27" t="s">
        <v>6</v>
      </c>
      <c r="E16204" s="27" t="s">
        <v>9</v>
      </c>
      <c r="F16204" s="29"/>
      <c r="G16204" s="30">
        <v>1595.1320615825009</v>
      </c>
    </row>
    <row r="16205" spans="1:7" hidden="1" x14ac:dyDescent="0.25">
      <c r="A16205" s="28">
        <v>44866</v>
      </c>
      <c r="B16205" s="27" t="s">
        <v>26</v>
      </c>
      <c r="C16205" s="27" t="s">
        <v>50</v>
      </c>
      <c r="D16205" s="27" t="s">
        <v>6</v>
      </c>
      <c r="E16205" s="27" t="s">
        <v>22</v>
      </c>
      <c r="F16205" s="29"/>
      <c r="G16205" s="30">
        <v>2121.8036778000037</v>
      </c>
    </row>
    <row r="16206" spans="1:7" hidden="1" x14ac:dyDescent="0.25">
      <c r="A16206" s="28">
        <v>44866</v>
      </c>
      <c r="B16206" s="27" t="s">
        <v>26</v>
      </c>
      <c r="C16206" s="27" t="s">
        <v>50</v>
      </c>
      <c r="D16206" s="27" t="s">
        <v>6</v>
      </c>
      <c r="E16206" s="27" t="s">
        <v>39</v>
      </c>
      <c r="F16206" s="29"/>
      <c r="G16206" s="30">
        <v>1858.2521149872089</v>
      </c>
    </row>
    <row r="16207" spans="1:7" hidden="1" x14ac:dyDescent="0.25">
      <c r="A16207" s="28">
        <v>44866</v>
      </c>
      <c r="B16207" s="27" t="s">
        <v>26</v>
      </c>
      <c r="C16207" s="27" t="s">
        <v>50</v>
      </c>
      <c r="D16207" s="27" t="s">
        <v>6</v>
      </c>
      <c r="E16207" s="27" t="s">
        <v>64</v>
      </c>
      <c r="F16207" s="29"/>
      <c r="G16207" s="30">
        <v>1276.3329108875935</v>
      </c>
    </row>
    <row r="16208" spans="1:7" hidden="1" x14ac:dyDescent="0.25">
      <c r="A16208" s="28">
        <v>44866</v>
      </c>
      <c r="B16208" s="27" t="s">
        <v>26</v>
      </c>
      <c r="C16208" s="27" t="s">
        <v>50</v>
      </c>
      <c r="D16208" s="27" t="s">
        <v>6</v>
      </c>
      <c r="E16208" s="27" t="s">
        <v>21</v>
      </c>
      <c r="F16208" s="29"/>
      <c r="G16208" s="30">
        <v>1372.0704648952321</v>
      </c>
    </row>
    <row r="16209" spans="1:7" hidden="1" x14ac:dyDescent="0.25">
      <c r="A16209" s="28">
        <v>44866</v>
      </c>
      <c r="B16209" s="27" t="s">
        <v>26</v>
      </c>
      <c r="C16209" s="27" t="s">
        <v>50</v>
      </c>
      <c r="D16209" s="27" t="s">
        <v>6</v>
      </c>
      <c r="E16209" s="27" t="s">
        <v>41</v>
      </c>
      <c r="F16209" s="29"/>
      <c r="G16209" s="30">
        <v>1581.4819806400055</v>
      </c>
    </row>
    <row r="16210" spans="1:7" hidden="1" x14ac:dyDescent="0.25">
      <c r="A16210" s="28">
        <v>44866</v>
      </c>
      <c r="B16210" s="27" t="s">
        <v>26</v>
      </c>
      <c r="C16210" s="27" t="s">
        <v>50</v>
      </c>
      <c r="D16210" s="27" t="s">
        <v>6</v>
      </c>
      <c r="E16210" s="27" t="s">
        <v>10</v>
      </c>
      <c r="F16210" s="29"/>
      <c r="G16210" s="30">
        <v>2188.8314725228997</v>
      </c>
    </row>
    <row r="16211" spans="1:7" hidden="1" x14ac:dyDescent="0.25">
      <c r="A16211" s="28">
        <v>44866</v>
      </c>
      <c r="B16211" s="27" t="s">
        <v>26</v>
      </c>
      <c r="C16211" s="27" t="s">
        <v>50</v>
      </c>
      <c r="D16211" s="27" t="s">
        <v>6</v>
      </c>
      <c r="E16211" s="27" t="s">
        <v>11</v>
      </c>
      <c r="F16211" s="29"/>
      <c r="G16211" s="30">
        <v>1627.7110218930932</v>
      </c>
    </row>
    <row r="16212" spans="1:7" hidden="1" x14ac:dyDescent="0.25">
      <c r="A16212" s="28">
        <v>44866</v>
      </c>
      <c r="B16212" s="27" t="s">
        <v>26</v>
      </c>
      <c r="C16212" s="27" t="s">
        <v>50</v>
      </c>
      <c r="D16212" s="27" t="s">
        <v>6</v>
      </c>
      <c r="E16212" s="27" t="s">
        <v>12</v>
      </c>
      <c r="F16212" s="29"/>
      <c r="G16212" s="30">
        <v>1714.4875638594519</v>
      </c>
    </row>
    <row r="16213" spans="1:7" hidden="1" x14ac:dyDescent="0.25">
      <c r="A16213" s="28">
        <v>44866</v>
      </c>
      <c r="B16213" s="27" t="s">
        <v>26</v>
      </c>
      <c r="C16213" s="27" t="s">
        <v>50</v>
      </c>
      <c r="D16213" s="27" t="s">
        <v>6</v>
      </c>
      <c r="E16213" s="27" t="s">
        <v>13</v>
      </c>
      <c r="F16213" s="29"/>
      <c r="G16213" s="30">
        <v>1743.4562287890469</v>
      </c>
    </row>
    <row r="16214" spans="1:7" hidden="1" x14ac:dyDescent="0.25">
      <c r="A16214" s="28">
        <v>44866</v>
      </c>
      <c r="B16214" s="27" t="s">
        <v>26</v>
      </c>
      <c r="C16214" s="27" t="s">
        <v>50</v>
      </c>
      <c r="D16214" s="27" t="s">
        <v>6</v>
      </c>
      <c r="E16214" s="27" t="s">
        <v>14</v>
      </c>
      <c r="F16214" s="29"/>
      <c r="G16214" s="30">
        <v>561.68141286032039</v>
      </c>
    </row>
    <row r="16215" spans="1:7" hidden="1" x14ac:dyDescent="0.25">
      <c r="A16215" s="28">
        <v>44866</v>
      </c>
      <c r="B16215" s="27" t="s">
        <v>26</v>
      </c>
      <c r="C16215" s="27" t="s">
        <v>50</v>
      </c>
      <c r="D16215" s="27" t="s">
        <v>6</v>
      </c>
      <c r="E16215" s="27" t="s">
        <v>15</v>
      </c>
      <c r="F16215" s="29"/>
      <c r="G16215" s="30">
        <v>1903.4886846016955</v>
      </c>
    </row>
    <row r="16216" spans="1:7" hidden="1" x14ac:dyDescent="0.25">
      <c r="A16216" s="28">
        <v>44866</v>
      </c>
      <c r="B16216" s="27" t="s">
        <v>26</v>
      </c>
      <c r="C16216" s="27" t="s">
        <v>50</v>
      </c>
      <c r="D16216" s="27" t="s">
        <v>6</v>
      </c>
      <c r="E16216" s="27" t="s">
        <v>16</v>
      </c>
      <c r="F16216" s="29"/>
      <c r="G16216" s="30">
        <v>2154.0949651718715</v>
      </c>
    </row>
    <row r="16217" spans="1:7" hidden="1" x14ac:dyDescent="0.25">
      <c r="A16217" s="28">
        <v>44866</v>
      </c>
      <c r="B16217" s="27" t="s">
        <v>26</v>
      </c>
      <c r="C16217" s="27" t="s">
        <v>50</v>
      </c>
      <c r="D16217" s="27" t="s">
        <v>6</v>
      </c>
      <c r="E16217" s="27" t="s">
        <v>17</v>
      </c>
      <c r="F16217" s="29"/>
      <c r="G16217" s="30">
        <v>3135.6350321011482</v>
      </c>
    </row>
    <row r="16218" spans="1:7" hidden="1" x14ac:dyDescent="0.25">
      <c r="A16218" s="28">
        <v>44866</v>
      </c>
      <c r="B16218" s="27" t="s">
        <v>26</v>
      </c>
      <c r="C16218" s="27" t="s">
        <v>50</v>
      </c>
      <c r="D16218" s="27" t="s">
        <v>6</v>
      </c>
      <c r="E16218" s="27" t="s">
        <v>18</v>
      </c>
      <c r="F16218" s="29"/>
      <c r="G16218" s="30">
        <v>1603.690331509566</v>
      </c>
    </row>
    <row r="16219" spans="1:7" hidden="1" x14ac:dyDescent="0.25">
      <c r="A16219" s="28">
        <v>44866</v>
      </c>
      <c r="B16219" s="27" t="s">
        <v>26</v>
      </c>
      <c r="C16219" s="27" t="s">
        <v>50</v>
      </c>
      <c r="D16219" s="27" t="s">
        <v>6</v>
      </c>
      <c r="E16219" s="27" t="s">
        <v>19</v>
      </c>
      <c r="F16219" s="29"/>
      <c r="G16219" s="30">
        <v>2421.1417541901737</v>
      </c>
    </row>
    <row r="16220" spans="1:7" hidden="1" x14ac:dyDescent="0.25">
      <c r="A16220" s="28">
        <v>44866</v>
      </c>
      <c r="B16220" s="27" t="s">
        <v>26</v>
      </c>
      <c r="C16220" s="27" t="s">
        <v>50</v>
      </c>
      <c r="D16220" s="27" t="s">
        <v>6</v>
      </c>
      <c r="E16220" s="27" t="s">
        <v>20</v>
      </c>
      <c r="F16220" s="29"/>
      <c r="G16220" s="30">
        <v>1946.4814052941281</v>
      </c>
    </row>
    <row r="16221" spans="1:7" hidden="1" x14ac:dyDescent="0.25">
      <c r="A16221" s="28">
        <v>44866</v>
      </c>
      <c r="B16221" s="27" t="s">
        <v>26</v>
      </c>
      <c r="C16221" s="27" t="s">
        <v>50</v>
      </c>
      <c r="D16221" s="27" t="s">
        <v>6</v>
      </c>
      <c r="E16221" s="27" t="s">
        <v>38</v>
      </c>
      <c r="F16221" s="29"/>
      <c r="G16221" s="30">
        <v>760.63601728244464</v>
      </c>
    </row>
    <row r="16222" spans="1:7" hidden="1" x14ac:dyDescent="0.25">
      <c r="A16222" s="28">
        <v>44866</v>
      </c>
      <c r="B16222" s="27" t="s">
        <v>26</v>
      </c>
      <c r="C16222" s="27" t="s">
        <v>50</v>
      </c>
      <c r="D16222" s="27" t="s">
        <v>6</v>
      </c>
      <c r="E16222" s="27" t="s">
        <v>23</v>
      </c>
      <c r="F16222" s="29"/>
      <c r="G16222" s="30">
        <v>2589.0564485238838</v>
      </c>
    </row>
    <row r="16223" spans="1:7" hidden="1" x14ac:dyDescent="0.25">
      <c r="A16223" s="28">
        <v>44866</v>
      </c>
      <c r="B16223" s="27" t="s">
        <v>26</v>
      </c>
      <c r="C16223" s="27" t="s">
        <v>50</v>
      </c>
      <c r="D16223" s="27" t="s">
        <v>6</v>
      </c>
      <c r="E16223" s="27" t="s">
        <v>40</v>
      </c>
      <c r="F16223" s="29"/>
      <c r="G16223" s="30">
        <v>834.25152230214019</v>
      </c>
    </row>
    <row r="16224" spans="1:7" hidden="1" x14ac:dyDescent="0.25">
      <c r="A16224" s="28">
        <v>44866</v>
      </c>
      <c r="B16224" s="27" t="s">
        <v>26</v>
      </c>
      <c r="C16224" s="27" t="s">
        <v>50</v>
      </c>
      <c r="D16224" s="27" t="s">
        <v>6</v>
      </c>
      <c r="E16224" s="27" t="s">
        <v>42</v>
      </c>
      <c r="F16224" s="29"/>
      <c r="G16224" s="30">
        <v>770.09371289428304</v>
      </c>
    </row>
    <row r="16225" spans="1:7" hidden="1" x14ac:dyDescent="0.25">
      <c r="A16225" s="28">
        <v>44866</v>
      </c>
      <c r="B16225" s="27" t="s">
        <v>26</v>
      </c>
      <c r="C16225" s="27" t="s">
        <v>50</v>
      </c>
      <c r="D16225" s="27" t="s">
        <v>6</v>
      </c>
      <c r="E16225" s="27" t="s">
        <v>43</v>
      </c>
      <c r="F16225" s="29"/>
      <c r="G16225" s="30">
        <v>715.10130483040575</v>
      </c>
    </row>
    <row r="16226" spans="1:7" hidden="1" x14ac:dyDescent="0.25">
      <c r="A16226" s="28">
        <v>44866</v>
      </c>
      <c r="B16226" s="27" t="s">
        <v>26</v>
      </c>
      <c r="C16226" s="27" t="s">
        <v>50</v>
      </c>
      <c r="D16226" s="27" t="s">
        <v>6</v>
      </c>
      <c r="E16226" s="27" t="s">
        <v>72</v>
      </c>
      <c r="F16226" s="29"/>
      <c r="G16226" s="30">
        <v>667.44121784171193</v>
      </c>
    </row>
    <row r="16227" spans="1:7" hidden="1" x14ac:dyDescent="0.25">
      <c r="A16227" s="28">
        <v>44866</v>
      </c>
      <c r="B16227" s="27" t="s">
        <v>26</v>
      </c>
      <c r="C16227" s="27" t="s">
        <v>50</v>
      </c>
      <c r="D16227" s="27" t="s">
        <v>6</v>
      </c>
      <c r="E16227" s="27" t="s">
        <v>206</v>
      </c>
      <c r="F16227" s="29"/>
      <c r="G16227" s="30">
        <v>625.73864172660501</v>
      </c>
    </row>
    <row r="16228" spans="1:7" hidden="1" x14ac:dyDescent="0.25">
      <c r="A16228" s="28">
        <v>44866</v>
      </c>
      <c r="B16228" s="27" t="s">
        <v>26</v>
      </c>
      <c r="C16228" s="27" t="s">
        <v>50</v>
      </c>
      <c r="D16228" s="27" t="s">
        <v>6</v>
      </c>
      <c r="E16228" s="27" t="s">
        <v>67</v>
      </c>
      <c r="F16228" s="29"/>
      <c r="G16228" s="30">
        <v>588.94225103680481</v>
      </c>
    </row>
    <row r="16229" spans="1:7" hidden="1" x14ac:dyDescent="0.25">
      <c r="A16229" s="28">
        <v>44866</v>
      </c>
      <c r="B16229" s="27" t="s">
        <v>26</v>
      </c>
      <c r="C16229" s="27" t="s">
        <v>50</v>
      </c>
      <c r="D16229" s="27" t="s">
        <v>6</v>
      </c>
      <c r="E16229" s="27" t="s">
        <v>68</v>
      </c>
      <c r="F16229" s="29"/>
      <c r="G16229" s="30">
        <v>556.23434820142666</v>
      </c>
    </row>
    <row r="16230" spans="1:7" hidden="1" x14ac:dyDescent="0.25">
      <c r="A16230" s="28">
        <v>44866</v>
      </c>
      <c r="B16230" s="27" t="s">
        <v>26</v>
      </c>
      <c r="C16230" s="27" t="s">
        <v>50</v>
      </c>
      <c r="D16230" s="27" t="s">
        <v>6</v>
      </c>
      <c r="E16230" s="27" t="s">
        <v>74</v>
      </c>
      <c r="F16230" s="29"/>
      <c r="G16230" s="30">
        <v>1778.7894736842106</v>
      </c>
    </row>
    <row r="16231" spans="1:7" hidden="1" x14ac:dyDescent="0.25">
      <c r="A16231" s="28">
        <v>44866</v>
      </c>
      <c r="B16231" s="27" t="s">
        <v>26</v>
      </c>
      <c r="C16231" s="27" t="s">
        <v>50</v>
      </c>
      <c r="D16231" s="27" t="s">
        <v>6</v>
      </c>
      <c r="E16231" s="27" t="s">
        <v>37</v>
      </c>
      <c r="F16231" s="29"/>
      <c r="G16231" s="30">
        <v>791.10058149340887</v>
      </c>
    </row>
    <row r="16232" spans="1:7" hidden="1" x14ac:dyDescent="0.25">
      <c r="A16232" s="28">
        <v>44866</v>
      </c>
      <c r="B16232" s="27" t="s">
        <v>3</v>
      </c>
      <c r="C16232" s="27" t="s">
        <v>50</v>
      </c>
      <c r="D16232" s="27" t="s">
        <v>7</v>
      </c>
      <c r="E16232" s="27" t="s">
        <v>8</v>
      </c>
      <c r="F16232" s="29"/>
      <c r="G16232" s="30">
        <v>1038.1371428571429</v>
      </c>
    </row>
    <row r="16233" spans="1:7" hidden="1" x14ac:dyDescent="0.25">
      <c r="A16233" s="28">
        <v>44866</v>
      </c>
      <c r="B16233" s="27" t="s">
        <v>3</v>
      </c>
      <c r="C16233" s="27" t="s">
        <v>50</v>
      </c>
      <c r="D16233" s="27" t="s">
        <v>7</v>
      </c>
      <c r="E16233" s="27" t="s">
        <v>9</v>
      </c>
      <c r="F16233" s="29"/>
      <c r="G16233" s="30">
        <v>1038.1371428571429</v>
      </c>
    </row>
    <row r="16234" spans="1:7" hidden="1" x14ac:dyDescent="0.25">
      <c r="A16234" s="28">
        <v>44866</v>
      </c>
      <c r="B16234" s="27" t="s">
        <v>3</v>
      </c>
      <c r="C16234" s="27" t="s">
        <v>50</v>
      </c>
      <c r="D16234" s="27" t="s">
        <v>7</v>
      </c>
      <c r="E16234" s="27" t="s">
        <v>22</v>
      </c>
      <c r="F16234" s="29"/>
      <c r="G16234" s="30">
        <v>1038.1371428571429</v>
      </c>
    </row>
    <row r="16235" spans="1:7" hidden="1" x14ac:dyDescent="0.25">
      <c r="A16235" s="28">
        <v>44866</v>
      </c>
      <c r="B16235" s="27" t="s">
        <v>3</v>
      </c>
      <c r="C16235" s="27" t="s">
        <v>50</v>
      </c>
      <c r="D16235" s="27" t="s">
        <v>7</v>
      </c>
      <c r="E16235" s="27" t="s">
        <v>39</v>
      </c>
      <c r="F16235" s="29"/>
      <c r="G16235" s="30">
        <v>1038.1371428571429</v>
      </c>
    </row>
    <row r="16236" spans="1:7" hidden="1" x14ac:dyDescent="0.25">
      <c r="A16236" s="28">
        <v>44866</v>
      </c>
      <c r="B16236" s="27" t="s">
        <v>3</v>
      </c>
      <c r="C16236" s="27" t="s">
        <v>50</v>
      </c>
      <c r="D16236" s="27" t="s">
        <v>7</v>
      </c>
      <c r="E16236" s="27" t="s">
        <v>64</v>
      </c>
      <c r="F16236" s="29"/>
      <c r="G16236" s="30">
        <v>1038.1371428571429</v>
      </c>
    </row>
    <row r="16237" spans="1:7" hidden="1" x14ac:dyDescent="0.25">
      <c r="A16237" s="28">
        <v>44866</v>
      </c>
      <c r="B16237" s="27" t="s">
        <v>3</v>
      </c>
      <c r="C16237" s="27" t="s">
        <v>50</v>
      </c>
      <c r="D16237" s="27" t="s">
        <v>7</v>
      </c>
      <c r="E16237" s="27" t="s">
        <v>21</v>
      </c>
      <c r="F16237" s="29"/>
      <c r="G16237" s="30">
        <v>1038.1371428571429</v>
      </c>
    </row>
    <row r="16238" spans="1:7" hidden="1" x14ac:dyDescent="0.25">
      <c r="A16238" s="28">
        <v>44866</v>
      </c>
      <c r="B16238" s="27" t="s">
        <v>3</v>
      </c>
      <c r="C16238" s="27" t="s">
        <v>50</v>
      </c>
      <c r="D16238" s="27" t="s">
        <v>7</v>
      </c>
      <c r="E16238" s="27" t="s">
        <v>41</v>
      </c>
      <c r="F16238" s="29"/>
      <c r="G16238" s="30">
        <v>1038.1371428571429</v>
      </c>
    </row>
    <row r="16239" spans="1:7" hidden="1" x14ac:dyDescent="0.25">
      <c r="A16239" s="28">
        <v>44866</v>
      </c>
      <c r="B16239" s="27" t="s">
        <v>3</v>
      </c>
      <c r="C16239" s="27" t="s">
        <v>50</v>
      </c>
      <c r="D16239" s="27" t="s">
        <v>7</v>
      </c>
      <c r="E16239" s="27" t="s">
        <v>10</v>
      </c>
      <c r="F16239" s="29"/>
      <c r="G16239" s="30">
        <v>1038.1371428571429</v>
      </c>
    </row>
    <row r="16240" spans="1:7" hidden="1" x14ac:dyDescent="0.25">
      <c r="A16240" s="28">
        <v>44866</v>
      </c>
      <c r="B16240" s="27" t="s">
        <v>3</v>
      </c>
      <c r="C16240" s="27" t="s">
        <v>50</v>
      </c>
      <c r="D16240" s="27" t="s">
        <v>7</v>
      </c>
      <c r="E16240" s="27" t="s">
        <v>11</v>
      </c>
      <c r="F16240" s="29"/>
      <c r="G16240" s="30">
        <v>1038.1371428571429</v>
      </c>
    </row>
    <row r="16241" spans="1:7" hidden="1" x14ac:dyDescent="0.25">
      <c r="A16241" s="28">
        <v>44866</v>
      </c>
      <c r="B16241" s="27" t="s">
        <v>3</v>
      </c>
      <c r="C16241" s="27" t="s">
        <v>50</v>
      </c>
      <c r="D16241" s="27" t="s">
        <v>7</v>
      </c>
      <c r="E16241" s="27" t="s">
        <v>12</v>
      </c>
      <c r="F16241" s="29"/>
      <c r="G16241" s="30">
        <v>1038.1371428571429</v>
      </c>
    </row>
    <row r="16242" spans="1:7" hidden="1" x14ac:dyDescent="0.25">
      <c r="A16242" s="28">
        <v>44866</v>
      </c>
      <c r="B16242" s="27" t="s">
        <v>3</v>
      </c>
      <c r="C16242" s="27" t="s">
        <v>50</v>
      </c>
      <c r="D16242" s="27" t="s">
        <v>7</v>
      </c>
      <c r="E16242" s="27" t="s">
        <v>13</v>
      </c>
      <c r="F16242" s="29"/>
      <c r="G16242" s="30">
        <v>1038.1371428571429</v>
      </c>
    </row>
    <row r="16243" spans="1:7" hidden="1" x14ac:dyDescent="0.25">
      <c r="A16243" s="28">
        <v>44866</v>
      </c>
      <c r="B16243" s="27" t="s">
        <v>3</v>
      </c>
      <c r="C16243" s="27" t="s">
        <v>50</v>
      </c>
      <c r="D16243" s="27" t="s">
        <v>7</v>
      </c>
      <c r="E16243" s="27" t="s">
        <v>14</v>
      </c>
      <c r="F16243" s="29"/>
      <c r="G16243" s="30">
        <v>1038.1371428571429</v>
      </c>
    </row>
    <row r="16244" spans="1:7" hidden="1" x14ac:dyDescent="0.25">
      <c r="A16244" s="28">
        <v>44866</v>
      </c>
      <c r="B16244" s="27" t="s">
        <v>3</v>
      </c>
      <c r="C16244" s="27" t="s">
        <v>50</v>
      </c>
      <c r="D16244" s="27" t="s">
        <v>7</v>
      </c>
      <c r="E16244" s="27" t="s">
        <v>15</v>
      </c>
      <c r="F16244" s="29"/>
      <c r="G16244" s="30">
        <v>1038.1371428571429</v>
      </c>
    </row>
    <row r="16245" spans="1:7" hidden="1" x14ac:dyDescent="0.25">
      <c r="A16245" s="28">
        <v>44866</v>
      </c>
      <c r="B16245" s="27" t="s">
        <v>3</v>
      </c>
      <c r="C16245" s="27" t="s">
        <v>50</v>
      </c>
      <c r="D16245" s="27" t="s">
        <v>7</v>
      </c>
      <c r="E16245" s="27" t="s">
        <v>16</v>
      </c>
      <c r="F16245" s="29"/>
      <c r="G16245" s="30">
        <v>1038.1371428571429</v>
      </c>
    </row>
    <row r="16246" spans="1:7" hidden="1" x14ac:dyDescent="0.25">
      <c r="A16246" s="28">
        <v>44866</v>
      </c>
      <c r="B16246" s="27" t="s">
        <v>3</v>
      </c>
      <c r="C16246" s="27" t="s">
        <v>50</v>
      </c>
      <c r="D16246" s="27" t="s">
        <v>7</v>
      </c>
      <c r="E16246" s="27" t="s">
        <v>17</v>
      </c>
      <c r="F16246" s="29"/>
      <c r="G16246" s="30">
        <v>1038.1371428571429</v>
      </c>
    </row>
    <row r="16247" spans="1:7" hidden="1" x14ac:dyDescent="0.25">
      <c r="A16247" s="28">
        <v>44866</v>
      </c>
      <c r="B16247" s="27" t="s">
        <v>3</v>
      </c>
      <c r="C16247" s="27" t="s">
        <v>50</v>
      </c>
      <c r="D16247" s="27" t="s">
        <v>7</v>
      </c>
      <c r="E16247" s="27" t="s">
        <v>18</v>
      </c>
      <c r="F16247" s="29"/>
      <c r="G16247" s="30">
        <v>1038.1371428571429</v>
      </c>
    </row>
    <row r="16248" spans="1:7" hidden="1" x14ac:dyDescent="0.25">
      <c r="A16248" s="28">
        <v>44866</v>
      </c>
      <c r="B16248" s="27" t="s">
        <v>3</v>
      </c>
      <c r="C16248" s="27" t="s">
        <v>50</v>
      </c>
      <c r="D16248" s="27" t="s">
        <v>7</v>
      </c>
      <c r="E16248" s="27" t="s">
        <v>19</v>
      </c>
      <c r="F16248" s="29"/>
      <c r="G16248" s="30">
        <v>1038.1371428571429</v>
      </c>
    </row>
    <row r="16249" spans="1:7" hidden="1" x14ac:dyDescent="0.25">
      <c r="A16249" s="28">
        <v>44866</v>
      </c>
      <c r="B16249" s="27" t="s">
        <v>3</v>
      </c>
      <c r="C16249" s="27" t="s">
        <v>50</v>
      </c>
      <c r="D16249" s="27" t="s">
        <v>7</v>
      </c>
      <c r="E16249" s="27" t="s">
        <v>20</v>
      </c>
      <c r="F16249" s="29"/>
      <c r="G16249" s="30">
        <v>1038.1371428571429</v>
      </c>
    </row>
    <row r="16250" spans="1:7" hidden="1" x14ac:dyDescent="0.25">
      <c r="A16250" s="28">
        <v>44866</v>
      </c>
      <c r="B16250" s="27" t="s">
        <v>3</v>
      </c>
      <c r="C16250" s="27" t="s">
        <v>50</v>
      </c>
      <c r="D16250" s="27" t="s">
        <v>7</v>
      </c>
      <c r="E16250" s="27" t="s">
        <v>38</v>
      </c>
      <c r="F16250" s="29"/>
      <c r="G16250" s="30">
        <v>1038.1371428571429</v>
      </c>
    </row>
    <row r="16251" spans="1:7" hidden="1" x14ac:dyDescent="0.25">
      <c r="A16251" s="28">
        <v>44866</v>
      </c>
      <c r="B16251" s="27" t="s">
        <v>3</v>
      </c>
      <c r="C16251" s="27" t="s">
        <v>50</v>
      </c>
      <c r="D16251" s="27" t="s">
        <v>7</v>
      </c>
      <c r="E16251" s="27" t="s">
        <v>23</v>
      </c>
      <c r="F16251" s="29"/>
      <c r="G16251" s="30">
        <v>1038.1371428571429</v>
      </c>
    </row>
    <row r="16252" spans="1:7" hidden="1" x14ac:dyDescent="0.25">
      <c r="A16252" s="28">
        <v>44866</v>
      </c>
      <c r="B16252" s="27" t="s">
        <v>3</v>
      </c>
      <c r="C16252" s="27" t="s">
        <v>50</v>
      </c>
      <c r="D16252" s="27" t="s">
        <v>7</v>
      </c>
      <c r="E16252" s="27" t="s">
        <v>40</v>
      </c>
      <c r="F16252" s="29"/>
      <c r="G16252" s="30">
        <v>1038.1371428571429</v>
      </c>
    </row>
    <row r="16253" spans="1:7" hidden="1" x14ac:dyDescent="0.25">
      <c r="A16253" s="28">
        <v>44866</v>
      </c>
      <c r="B16253" s="27" t="s">
        <v>3</v>
      </c>
      <c r="C16253" s="27" t="s">
        <v>50</v>
      </c>
      <c r="D16253" s="27" t="s">
        <v>7</v>
      </c>
      <c r="E16253" s="27" t="s">
        <v>42</v>
      </c>
      <c r="F16253" s="29"/>
      <c r="G16253" s="30">
        <v>1038.1371428571429</v>
      </c>
    </row>
    <row r="16254" spans="1:7" hidden="1" x14ac:dyDescent="0.25">
      <c r="A16254" s="28">
        <v>44866</v>
      </c>
      <c r="B16254" s="27" t="s">
        <v>3</v>
      </c>
      <c r="C16254" s="27" t="s">
        <v>50</v>
      </c>
      <c r="D16254" s="27" t="s">
        <v>7</v>
      </c>
      <c r="E16254" s="27" t="s">
        <v>43</v>
      </c>
      <c r="F16254" s="29"/>
      <c r="G16254" s="30">
        <v>1038.1371428571429</v>
      </c>
    </row>
    <row r="16255" spans="1:7" hidden="1" x14ac:dyDescent="0.25">
      <c r="A16255" s="28">
        <v>44866</v>
      </c>
      <c r="B16255" s="27" t="s">
        <v>3</v>
      </c>
      <c r="C16255" s="27" t="s">
        <v>50</v>
      </c>
      <c r="D16255" s="27" t="s">
        <v>7</v>
      </c>
      <c r="E16255" s="27" t="s">
        <v>72</v>
      </c>
      <c r="F16255" s="29"/>
      <c r="G16255" s="30">
        <v>1038.1371428571429</v>
      </c>
    </row>
    <row r="16256" spans="1:7" hidden="1" x14ac:dyDescent="0.25">
      <c r="A16256" s="28">
        <v>44866</v>
      </c>
      <c r="B16256" s="27" t="s">
        <v>3</v>
      </c>
      <c r="C16256" s="27" t="s">
        <v>50</v>
      </c>
      <c r="D16256" s="27" t="s">
        <v>7</v>
      </c>
      <c r="E16256" s="27" t="s">
        <v>206</v>
      </c>
      <c r="F16256" s="29"/>
      <c r="G16256" s="30">
        <v>1038.1371428571429</v>
      </c>
    </row>
    <row r="16257" spans="1:7" hidden="1" x14ac:dyDescent="0.25">
      <c r="A16257" s="28">
        <v>44866</v>
      </c>
      <c r="B16257" s="27" t="s">
        <v>3</v>
      </c>
      <c r="C16257" s="27" t="s">
        <v>50</v>
      </c>
      <c r="D16257" s="27" t="s">
        <v>7</v>
      </c>
      <c r="E16257" s="27" t="s">
        <v>67</v>
      </c>
      <c r="F16257" s="29"/>
      <c r="G16257" s="30">
        <v>1038.1371428571429</v>
      </c>
    </row>
    <row r="16258" spans="1:7" hidden="1" x14ac:dyDescent="0.25">
      <c r="A16258" s="28">
        <v>44866</v>
      </c>
      <c r="B16258" s="27" t="s">
        <v>3</v>
      </c>
      <c r="C16258" s="27" t="s">
        <v>50</v>
      </c>
      <c r="D16258" s="27" t="s">
        <v>7</v>
      </c>
      <c r="E16258" s="27" t="s">
        <v>68</v>
      </c>
      <c r="F16258" s="29"/>
      <c r="G16258" s="30">
        <v>1038.1371428571429</v>
      </c>
    </row>
    <row r="16259" spans="1:7" hidden="1" x14ac:dyDescent="0.25">
      <c r="A16259" s="28">
        <v>44866</v>
      </c>
      <c r="B16259" s="27" t="s">
        <v>3</v>
      </c>
      <c r="C16259" s="27" t="s">
        <v>50</v>
      </c>
      <c r="D16259" s="27" t="s">
        <v>7</v>
      </c>
      <c r="E16259" s="27" t="s">
        <v>74</v>
      </c>
      <c r="F16259" s="29"/>
      <c r="G16259" s="30">
        <v>1038.1371428571429</v>
      </c>
    </row>
    <row r="16260" spans="1:7" hidden="1" x14ac:dyDescent="0.25">
      <c r="A16260" s="28">
        <v>44866</v>
      </c>
      <c r="B16260" s="27" t="s">
        <v>32</v>
      </c>
      <c r="C16260" s="27" t="s">
        <v>50</v>
      </c>
      <c r="D16260" s="27" t="s">
        <v>7</v>
      </c>
      <c r="E16260" s="27" t="s">
        <v>17</v>
      </c>
      <c r="F16260" s="29"/>
      <c r="G16260" s="30">
        <v>75</v>
      </c>
    </row>
    <row r="16261" spans="1:7" hidden="1" x14ac:dyDescent="0.25">
      <c r="A16261" s="28">
        <v>44866</v>
      </c>
      <c r="B16261" s="27" t="s">
        <v>5</v>
      </c>
      <c r="C16261" s="27" t="s">
        <v>51</v>
      </c>
      <c r="D16261" s="27" t="s">
        <v>51</v>
      </c>
      <c r="E16261" s="27" t="s">
        <v>8</v>
      </c>
      <c r="F16261" s="29">
        <v>5164</v>
      </c>
      <c r="G16261" s="30">
        <v>3.6979981882712676</v>
      </c>
    </row>
    <row r="16262" spans="1:7" hidden="1" x14ac:dyDescent="0.25">
      <c r="A16262" s="28">
        <v>44866</v>
      </c>
      <c r="B16262" s="27" t="s">
        <v>5</v>
      </c>
      <c r="C16262" s="27" t="s">
        <v>51</v>
      </c>
      <c r="D16262" s="27" t="s">
        <v>51</v>
      </c>
      <c r="E16262" s="27" t="s">
        <v>9</v>
      </c>
      <c r="F16262" s="29">
        <v>4677</v>
      </c>
      <c r="G16262" s="30">
        <v>3.3748079578202601</v>
      </c>
    </row>
    <row r="16263" spans="1:7" hidden="1" x14ac:dyDescent="0.25">
      <c r="A16263" s="28">
        <v>44866</v>
      </c>
      <c r="B16263" s="27" t="s">
        <v>5</v>
      </c>
      <c r="C16263" s="27" t="s">
        <v>51</v>
      </c>
      <c r="D16263" s="27" t="s">
        <v>51</v>
      </c>
      <c r="E16263" s="27" t="s">
        <v>22</v>
      </c>
      <c r="F16263" s="29">
        <v>2543</v>
      </c>
      <c r="G16263" s="30">
        <v>6.1616155858996695</v>
      </c>
    </row>
    <row r="16264" spans="1:7" hidden="1" x14ac:dyDescent="0.25">
      <c r="A16264" s="28">
        <v>44866</v>
      </c>
      <c r="B16264" s="27" t="s">
        <v>5</v>
      </c>
      <c r="C16264" s="27" t="s">
        <v>51</v>
      </c>
      <c r="D16264" s="27" t="s">
        <v>51</v>
      </c>
      <c r="E16264" s="27" t="s">
        <v>64</v>
      </c>
      <c r="F16264" s="29">
        <v>5368</v>
      </c>
      <c r="G16264" s="30">
        <v>3.1735364641317112</v>
      </c>
    </row>
    <row r="16265" spans="1:7" hidden="1" x14ac:dyDescent="0.25">
      <c r="A16265" s="28">
        <v>44866</v>
      </c>
      <c r="B16265" s="27" t="s">
        <v>5</v>
      </c>
      <c r="C16265" s="27" t="s">
        <v>51</v>
      </c>
      <c r="D16265" s="27" t="s">
        <v>51</v>
      </c>
      <c r="E16265" s="27" t="s">
        <v>21</v>
      </c>
      <c r="F16265" s="29">
        <v>3416</v>
      </c>
      <c r="G16265" s="30">
        <v>4.3732597254209864</v>
      </c>
    </row>
    <row r="16266" spans="1:7" hidden="1" x14ac:dyDescent="0.25">
      <c r="A16266" s="28">
        <v>44866</v>
      </c>
      <c r="B16266" s="27" t="s">
        <v>5</v>
      </c>
      <c r="C16266" s="27" t="s">
        <v>51</v>
      </c>
      <c r="D16266" s="27" t="s">
        <v>51</v>
      </c>
      <c r="E16266" s="27" t="s">
        <v>41</v>
      </c>
      <c r="F16266" s="29">
        <v>4167</v>
      </c>
      <c r="G16266" s="30">
        <v>3.8993080724220932</v>
      </c>
    </row>
    <row r="16267" spans="1:7" hidden="1" x14ac:dyDescent="0.25">
      <c r="A16267" s="28">
        <v>44866</v>
      </c>
      <c r="B16267" s="27" t="s">
        <v>5</v>
      </c>
      <c r="C16267" s="27" t="s">
        <v>51</v>
      </c>
      <c r="D16267" s="27" t="s">
        <v>51</v>
      </c>
      <c r="E16267" s="27" t="s">
        <v>10</v>
      </c>
      <c r="F16267" s="29">
        <v>7935</v>
      </c>
      <c r="G16267" s="30">
        <v>2.2344023063760963</v>
      </c>
    </row>
    <row r="16268" spans="1:7" hidden="1" x14ac:dyDescent="0.25">
      <c r="A16268" s="28">
        <v>44866</v>
      </c>
      <c r="B16268" s="27" t="s">
        <v>5</v>
      </c>
      <c r="C16268" s="27" t="s">
        <v>51</v>
      </c>
      <c r="D16268" s="27" t="s">
        <v>51</v>
      </c>
      <c r="E16268" s="27" t="s">
        <v>13</v>
      </c>
      <c r="F16268" s="29">
        <v>6836</v>
      </c>
      <c r="G16268" s="30">
        <v>2.6320314595319592</v>
      </c>
    </row>
    <row r="16269" spans="1:7" hidden="1" x14ac:dyDescent="0.25">
      <c r="A16269" s="28">
        <v>44866</v>
      </c>
      <c r="B16269" s="27" t="s">
        <v>5</v>
      </c>
      <c r="C16269" s="27" t="s">
        <v>51</v>
      </c>
      <c r="D16269" s="27" t="s">
        <v>51</v>
      </c>
      <c r="E16269" s="27" t="s">
        <v>14</v>
      </c>
      <c r="F16269" s="29">
        <v>4993</v>
      </c>
      <c r="G16269" s="30">
        <v>3.0676952215965851</v>
      </c>
    </row>
    <row r="16270" spans="1:7" hidden="1" x14ac:dyDescent="0.25">
      <c r="A16270" s="28">
        <v>44866</v>
      </c>
      <c r="B16270" s="27" t="s">
        <v>5</v>
      </c>
      <c r="C16270" s="27" t="s">
        <v>51</v>
      </c>
      <c r="D16270" s="27" t="s">
        <v>51</v>
      </c>
      <c r="E16270" s="27" t="s">
        <v>15</v>
      </c>
      <c r="F16270" s="29">
        <v>5216</v>
      </c>
      <c r="G16270" s="30">
        <v>3.1348376997209648</v>
      </c>
    </row>
    <row r="16271" spans="1:7" hidden="1" x14ac:dyDescent="0.25">
      <c r="A16271" s="28">
        <v>44866</v>
      </c>
      <c r="B16271" s="27" t="s">
        <v>5</v>
      </c>
      <c r="C16271" s="27" t="s">
        <v>51</v>
      </c>
      <c r="D16271" s="27" t="s">
        <v>51</v>
      </c>
      <c r="E16271" s="27" t="s">
        <v>17</v>
      </c>
      <c r="F16271" s="29">
        <v>2772</v>
      </c>
      <c r="G16271" s="30">
        <v>6.1041196930894683</v>
      </c>
    </row>
    <row r="16272" spans="1:7" hidden="1" x14ac:dyDescent="0.25">
      <c r="A16272" s="28">
        <v>44866</v>
      </c>
      <c r="B16272" s="27" t="s">
        <v>5</v>
      </c>
      <c r="C16272" s="27" t="s">
        <v>51</v>
      </c>
      <c r="D16272" s="27" t="s">
        <v>51</v>
      </c>
      <c r="E16272" s="27" t="s">
        <v>18</v>
      </c>
      <c r="F16272" s="29">
        <v>4487</v>
      </c>
      <c r="G16272" s="30">
        <v>3.302668840796172</v>
      </c>
    </row>
    <row r="16273" spans="1:7" hidden="1" x14ac:dyDescent="0.25">
      <c r="A16273" s="28">
        <v>44866</v>
      </c>
      <c r="B16273" s="27" t="s">
        <v>5</v>
      </c>
      <c r="C16273" s="27" t="s">
        <v>51</v>
      </c>
      <c r="D16273" s="27" t="s">
        <v>51</v>
      </c>
      <c r="E16273" s="27" t="s">
        <v>19</v>
      </c>
      <c r="F16273" s="29">
        <v>4032</v>
      </c>
      <c r="G16273" s="30">
        <v>4.352218876818708</v>
      </c>
    </row>
    <row r="16274" spans="1:7" hidden="1" x14ac:dyDescent="0.25">
      <c r="A16274" s="28">
        <v>44866</v>
      </c>
      <c r="B16274" s="27" t="s">
        <v>5</v>
      </c>
      <c r="C16274" s="27" t="s">
        <v>51</v>
      </c>
      <c r="D16274" s="27" t="s">
        <v>51</v>
      </c>
      <c r="E16274" s="27" t="s">
        <v>20</v>
      </c>
      <c r="F16274" s="29">
        <v>5187</v>
      </c>
      <c r="G16274" s="30">
        <v>3.0365502530242887</v>
      </c>
    </row>
    <row r="16275" spans="1:7" hidden="1" x14ac:dyDescent="0.25">
      <c r="A16275" s="28">
        <v>44866</v>
      </c>
      <c r="B16275" s="27" t="s">
        <v>5</v>
      </c>
      <c r="C16275" s="27" t="s">
        <v>51</v>
      </c>
      <c r="D16275" s="27" t="s">
        <v>51</v>
      </c>
      <c r="E16275" s="27" t="s">
        <v>23</v>
      </c>
      <c r="F16275" s="29">
        <v>6244</v>
      </c>
      <c r="G16275" s="30">
        <v>2.6407897510677034</v>
      </c>
    </row>
    <row r="16276" spans="1:7" hidden="1" x14ac:dyDescent="0.25">
      <c r="A16276" s="28">
        <v>44866</v>
      </c>
      <c r="B16276" s="27" t="s">
        <v>5</v>
      </c>
      <c r="C16276" s="27" t="s">
        <v>51</v>
      </c>
      <c r="D16276" s="27" t="s">
        <v>51</v>
      </c>
      <c r="E16276" s="27" t="s">
        <v>40</v>
      </c>
      <c r="F16276" s="29">
        <v>6111</v>
      </c>
      <c r="G16276" s="30">
        <v>2.3733327245041722</v>
      </c>
    </row>
    <row r="16277" spans="1:7" hidden="1" x14ac:dyDescent="0.25">
      <c r="A16277" s="28">
        <v>44866</v>
      </c>
      <c r="B16277" s="27" t="s">
        <v>5</v>
      </c>
      <c r="C16277" s="27" t="s">
        <v>51</v>
      </c>
      <c r="D16277" s="27" t="s">
        <v>51</v>
      </c>
      <c r="E16277" s="27" t="s">
        <v>42</v>
      </c>
      <c r="F16277" s="29">
        <v>1548</v>
      </c>
      <c r="G16277" s="30">
        <v>13.50605844317645</v>
      </c>
    </row>
    <row r="16278" spans="1:7" hidden="1" x14ac:dyDescent="0.25">
      <c r="A16278" s="28">
        <v>44866</v>
      </c>
      <c r="B16278" s="27" t="s">
        <v>5</v>
      </c>
      <c r="C16278" s="27" t="s">
        <v>51</v>
      </c>
      <c r="D16278" s="27" t="s">
        <v>51</v>
      </c>
      <c r="E16278" s="27" t="s">
        <v>43</v>
      </c>
      <c r="F16278" s="29">
        <v>5490</v>
      </c>
      <c r="G16278" s="30">
        <v>2.6972287908876615</v>
      </c>
    </row>
    <row r="16279" spans="1:7" hidden="1" x14ac:dyDescent="0.25">
      <c r="A16279" s="28">
        <v>44866</v>
      </c>
      <c r="B16279" s="27" t="s">
        <v>5</v>
      </c>
      <c r="C16279" s="27" t="s">
        <v>51</v>
      </c>
      <c r="D16279" s="27" t="s">
        <v>51</v>
      </c>
      <c r="E16279" s="27" t="s">
        <v>72</v>
      </c>
      <c r="F16279" s="29">
        <v>2391</v>
      </c>
      <c r="G16279" s="30">
        <v>6.6319891154264194</v>
      </c>
    </row>
    <row r="16280" spans="1:7" hidden="1" x14ac:dyDescent="0.25">
      <c r="A16280" s="28">
        <v>44866</v>
      </c>
      <c r="B16280" s="27" t="s">
        <v>5</v>
      </c>
      <c r="C16280" s="27" t="s">
        <v>51</v>
      </c>
      <c r="D16280" s="27" t="s">
        <v>51</v>
      </c>
      <c r="E16280" s="27" t="s">
        <v>67</v>
      </c>
      <c r="F16280" s="29">
        <v>3024</v>
      </c>
      <c r="G16280" s="30">
        <v>5.0252665020686633</v>
      </c>
    </row>
    <row r="16281" spans="1:7" hidden="1" x14ac:dyDescent="0.25">
      <c r="A16281" s="28">
        <v>44866</v>
      </c>
      <c r="B16281" s="27" t="s">
        <v>5</v>
      </c>
      <c r="C16281" s="27" t="s">
        <v>51</v>
      </c>
      <c r="D16281" s="27" t="s">
        <v>51</v>
      </c>
      <c r="E16281" s="27" t="s">
        <v>68</v>
      </c>
      <c r="F16281" s="29">
        <v>9485</v>
      </c>
      <c r="G16281" s="30">
        <f>26329.64/Tabela16[[#This Row],[KM RODADO]]</f>
        <v>2.775924090669478</v>
      </c>
    </row>
    <row r="16282" spans="1:7" hidden="1" x14ac:dyDescent="0.25">
      <c r="A16282" s="28">
        <v>44866</v>
      </c>
      <c r="B16282" s="27" t="s">
        <v>5</v>
      </c>
      <c r="C16282" s="27" t="s">
        <v>51</v>
      </c>
      <c r="D16282" s="27" t="s">
        <v>51</v>
      </c>
      <c r="E16282" s="27" t="s">
        <v>74</v>
      </c>
      <c r="F16282" s="29">
        <v>3813</v>
      </c>
      <c r="G16282" s="30">
        <f>14718.31/Tabela16[[#This Row],[KM RODADO]]</f>
        <v>3.8600340938893258</v>
      </c>
    </row>
    <row r="16283" spans="1:7" hidden="1" x14ac:dyDescent="0.25">
      <c r="A16283" s="28">
        <v>44866</v>
      </c>
      <c r="B16283" s="27" t="s">
        <v>180</v>
      </c>
      <c r="C16283" s="27" t="s">
        <v>50</v>
      </c>
      <c r="D16283" s="27" t="s">
        <v>7</v>
      </c>
      <c r="E16283" s="27" t="s">
        <v>8</v>
      </c>
      <c r="F16283" s="29"/>
      <c r="G16283" s="30">
        <v>350.5</v>
      </c>
    </row>
    <row r="16284" spans="1:7" hidden="1" x14ac:dyDescent="0.25">
      <c r="A16284" s="28">
        <v>44866</v>
      </c>
      <c r="B16284" s="27" t="s">
        <v>180</v>
      </c>
      <c r="C16284" s="27" t="s">
        <v>50</v>
      </c>
      <c r="D16284" s="27" t="s">
        <v>7</v>
      </c>
      <c r="E16284" s="27" t="s">
        <v>9</v>
      </c>
      <c r="F16284" s="29"/>
      <c r="G16284" s="30">
        <v>316.55</v>
      </c>
    </row>
    <row r="16285" spans="1:7" hidden="1" x14ac:dyDescent="0.25">
      <c r="A16285" s="28">
        <v>44866</v>
      </c>
      <c r="B16285" s="27" t="s">
        <v>180</v>
      </c>
      <c r="C16285" s="27" t="s">
        <v>50</v>
      </c>
      <c r="D16285" s="27" t="s">
        <v>7</v>
      </c>
      <c r="E16285" s="27" t="s">
        <v>13</v>
      </c>
      <c r="F16285" s="29"/>
      <c r="G16285" s="30">
        <v>715</v>
      </c>
    </row>
    <row r="16286" spans="1:7" hidden="1" x14ac:dyDescent="0.25">
      <c r="A16286" s="28">
        <v>44866</v>
      </c>
      <c r="B16286" s="27" t="s">
        <v>180</v>
      </c>
      <c r="C16286" s="27" t="s">
        <v>50</v>
      </c>
      <c r="D16286" s="27" t="s">
        <v>7</v>
      </c>
      <c r="E16286" s="27" t="s">
        <v>42</v>
      </c>
      <c r="F16286" s="29"/>
      <c r="G16286" s="30">
        <v>6540</v>
      </c>
    </row>
    <row r="16287" spans="1:7" hidden="1" x14ac:dyDescent="0.25">
      <c r="A16287" s="28">
        <v>44866</v>
      </c>
      <c r="B16287" s="27" t="s">
        <v>180</v>
      </c>
      <c r="C16287" s="27" t="s">
        <v>50</v>
      </c>
      <c r="D16287" s="27" t="s">
        <v>7</v>
      </c>
      <c r="E16287" s="27" t="s">
        <v>43</v>
      </c>
      <c r="F16287" s="29"/>
      <c r="G16287" s="30">
        <v>520</v>
      </c>
    </row>
    <row r="16288" spans="1:7" hidden="1" x14ac:dyDescent="0.25">
      <c r="A16288" s="28">
        <v>44866</v>
      </c>
      <c r="B16288" s="27" t="s">
        <v>180</v>
      </c>
      <c r="C16288" s="27" t="s">
        <v>50</v>
      </c>
      <c r="D16288" s="27" t="s">
        <v>7</v>
      </c>
      <c r="E16288" s="27" t="s">
        <v>72</v>
      </c>
      <c r="F16288" s="29"/>
      <c r="G16288" s="30">
        <v>395.4</v>
      </c>
    </row>
    <row r="16289" spans="1:7" hidden="1" x14ac:dyDescent="0.25">
      <c r="A16289" s="28">
        <v>44866</v>
      </c>
      <c r="B16289" s="27" t="s">
        <v>180</v>
      </c>
      <c r="C16289" s="27" t="s">
        <v>50</v>
      </c>
      <c r="D16289" s="27" t="s">
        <v>7</v>
      </c>
      <c r="E16289" s="27" t="s">
        <v>206</v>
      </c>
      <c r="F16289" s="29"/>
      <c r="G16289" s="30">
        <v>18077.27</v>
      </c>
    </row>
    <row r="16290" spans="1:7" hidden="1" x14ac:dyDescent="0.25">
      <c r="A16290" s="28">
        <v>44866</v>
      </c>
      <c r="B16290" s="27" t="s">
        <v>180</v>
      </c>
      <c r="C16290" s="27" t="s">
        <v>50</v>
      </c>
      <c r="D16290" s="27" t="s">
        <v>7</v>
      </c>
      <c r="E16290" s="27" t="s">
        <v>68</v>
      </c>
      <c r="F16290" s="29"/>
      <c r="G16290" s="30">
        <v>760</v>
      </c>
    </row>
    <row r="16291" spans="1:7" hidden="1" x14ac:dyDescent="0.25">
      <c r="A16291" s="28">
        <v>44866</v>
      </c>
      <c r="B16291" s="27" t="s">
        <v>180</v>
      </c>
      <c r="C16291" s="27" t="s">
        <v>50</v>
      </c>
      <c r="D16291" s="27" t="s">
        <v>7</v>
      </c>
      <c r="E16291" s="27" t="s">
        <v>37</v>
      </c>
      <c r="F16291" s="29"/>
      <c r="G16291" s="30">
        <v>18209.32</v>
      </c>
    </row>
    <row r="16292" spans="1:7" hidden="1" x14ac:dyDescent="0.25">
      <c r="A16292" s="28">
        <v>44866</v>
      </c>
      <c r="B16292" s="27" t="s">
        <v>181</v>
      </c>
      <c r="C16292" s="27" t="s">
        <v>50</v>
      </c>
      <c r="D16292" s="27" t="s">
        <v>6</v>
      </c>
      <c r="E16292" s="27" t="s">
        <v>9</v>
      </c>
      <c r="F16292" s="29"/>
      <c r="G16292" s="30">
        <v>1870</v>
      </c>
    </row>
    <row r="16293" spans="1:7" hidden="1" x14ac:dyDescent="0.25">
      <c r="A16293" s="28">
        <v>44866</v>
      </c>
      <c r="B16293" s="27" t="s">
        <v>181</v>
      </c>
      <c r="C16293" s="27" t="s">
        <v>50</v>
      </c>
      <c r="D16293" s="27" t="s">
        <v>6</v>
      </c>
      <c r="E16293" s="27" t="s">
        <v>64</v>
      </c>
      <c r="F16293" s="29"/>
      <c r="G16293" s="30">
        <v>1147</v>
      </c>
    </row>
    <row r="16294" spans="1:7" hidden="1" x14ac:dyDescent="0.25">
      <c r="A16294" s="28">
        <v>44866</v>
      </c>
      <c r="B16294" s="27" t="s">
        <v>181</v>
      </c>
      <c r="C16294" s="27" t="s">
        <v>50</v>
      </c>
      <c r="D16294" s="27" t="s">
        <v>6</v>
      </c>
      <c r="E16294" s="27" t="s">
        <v>41</v>
      </c>
      <c r="F16294" s="29"/>
      <c r="G16294" s="30">
        <v>801</v>
      </c>
    </row>
    <row r="16295" spans="1:7" hidden="1" x14ac:dyDescent="0.25">
      <c r="A16295" s="28">
        <v>44866</v>
      </c>
      <c r="B16295" s="27" t="s">
        <v>181</v>
      </c>
      <c r="C16295" s="27" t="s">
        <v>50</v>
      </c>
      <c r="D16295" s="27" t="s">
        <v>6</v>
      </c>
      <c r="E16295" s="27" t="s">
        <v>12</v>
      </c>
      <c r="F16295" s="29"/>
      <c r="G16295" s="30">
        <v>484.9</v>
      </c>
    </row>
    <row r="16296" spans="1:7" hidden="1" x14ac:dyDescent="0.25">
      <c r="A16296" s="28">
        <v>44866</v>
      </c>
      <c r="B16296" s="27" t="s">
        <v>181</v>
      </c>
      <c r="C16296" s="27" t="s">
        <v>50</v>
      </c>
      <c r="D16296" s="27" t="s">
        <v>6</v>
      </c>
      <c r="E16296" s="27" t="s">
        <v>19</v>
      </c>
      <c r="F16296" s="29"/>
      <c r="G16296" s="30">
        <v>969.81</v>
      </c>
    </row>
    <row r="16297" spans="1:7" hidden="1" x14ac:dyDescent="0.25">
      <c r="A16297" s="28">
        <v>44866</v>
      </c>
      <c r="B16297" s="27" t="s">
        <v>181</v>
      </c>
      <c r="C16297" s="27" t="s">
        <v>50</v>
      </c>
      <c r="D16297" s="27" t="s">
        <v>6</v>
      </c>
      <c r="E16297" s="27" t="s">
        <v>23</v>
      </c>
      <c r="F16297" s="29"/>
      <c r="G16297" s="30">
        <v>40</v>
      </c>
    </row>
    <row r="16298" spans="1:7" hidden="1" x14ac:dyDescent="0.25">
      <c r="A16298" s="28">
        <v>44866</v>
      </c>
      <c r="B16298" s="27" t="s">
        <v>181</v>
      </c>
      <c r="C16298" s="27" t="s">
        <v>50</v>
      </c>
      <c r="D16298" s="27" t="s">
        <v>6</v>
      </c>
      <c r="E16298" s="27" t="s">
        <v>42</v>
      </c>
      <c r="F16298" s="29"/>
      <c r="G16298" s="30">
        <v>150</v>
      </c>
    </row>
    <row r="16299" spans="1:7" hidden="1" x14ac:dyDescent="0.25">
      <c r="A16299" s="28">
        <v>44866</v>
      </c>
      <c r="B16299" s="27" t="s">
        <v>181</v>
      </c>
      <c r="C16299" s="27" t="s">
        <v>50</v>
      </c>
      <c r="D16299" s="27" t="s">
        <v>6</v>
      </c>
      <c r="E16299" s="27" t="s">
        <v>72</v>
      </c>
      <c r="F16299" s="29"/>
      <c r="G16299" s="30">
        <v>310</v>
      </c>
    </row>
    <row r="16300" spans="1:7" hidden="1" x14ac:dyDescent="0.25">
      <c r="A16300" s="28">
        <v>44866</v>
      </c>
      <c r="B16300" s="27" t="s">
        <v>181</v>
      </c>
      <c r="C16300" s="27" t="s">
        <v>50</v>
      </c>
      <c r="D16300" s="27" t="s">
        <v>6</v>
      </c>
      <c r="E16300" s="27" t="s">
        <v>37</v>
      </c>
      <c r="F16300" s="29"/>
      <c r="G16300" s="30">
        <v>2950</v>
      </c>
    </row>
    <row r="16301" spans="1:7" hidden="1" x14ac:dyDescent="0.25">
      <c r="A16301" s="28">
        <v>44866</v>
      </c>
      <c r="B16301" s="27" t="s">
        <v>25</v>
      </c>
      <c r="C16301" s="27" t="s">
        <v>50</v>
      </c>
      <c r="D16301" s="27" t="s">
        <v>7</v>
      </c>
      <c r="E16301" s="27" t="s">
        <v>10</v>
      </c>
      <c r="F16301" s="29"/>
      <c r="G16301" s="30">
        <v>156.19</v>
      </c>
    </row>
    <row r="16302" spans="1:7" hidden="1" x14ac:dyDescent="0.25">
      <c r="A16302" s="28">
        <v>44866</v>
      </c>
      <c r="B16302" s="27" t="s">
        <v>25</v>
      </c>
      <c r="C16302" s="27" t="s">
        <v>50</v>
      </c>
      <c r="D16302" s="27" t="s">
        <v>7</v>
      </c>
      <c r="E16302" s="27" t="s">
        <v>11</v>
      </c>
      <c r="F16302" s="29"/>
      <c r="G16302" s="30">
        <v>443.04</v>
      </c>
    </row>
    <row r="16303" spans="1:7" hidden="1" x14ac:dyDescent="0.25">
      <c r="A16303" s="28">
        <v>44866</v>
      </c>
      <c r="B16303" s="27" t="s">
        <v>25</v>
      </c>
      <c r="C16303" s="27" t="s">
        <v>50</v>
      </c>
      <c r="D16303" s="27" t="s">
        <v>7</v>
      </c>
      <c r="E16303" s="27" t="s">
        <v>12</v>
      </c>
      <c r="F16303" s="29"/>
      <c r="G16303" s="30">
        <v>364.45</v>
      </c>
    </row>
    <row r="16304" spans="1:7" hidden="1" x14ac:dyDescent="0.25">
      <c r="A16304" s="28">
        <v>44866</v>
      </c>
      <c r="B16304" s="27" t="s">
        <v>25</v>
      </c>
      <c r="C16304" s="27" t="s">
        <v>50</v>
      </c>
      <c r="D16304" s="27" t="s">
        <v>7</v>
      </c>
      <c r="E16304" s="27" t="s">
        <v>13</v>
      </c>
      <c r="F16304" s="29"/>
      <c r="G16304" s="30">
        <v>104.13</v>
      </c>
    </row>
    <row r="16305" spans="1:7" hidden="1" x14ac:dyDescent="0.25">
      <c r="A16305" s="28">
        <v>44866</v>
      </c>
      <c r="B16305" s="27" t="s">
        <v>25</v>
      </c>
      <c r="C16305" s="27" t="s">
        <v>50</v>
      </c>
      <c r="D16305" s="27" t="s">
        <v>7</v>
      </c>
      <c r="E16305" s="27" t="s">
        <v>14</v>
      </c>
      <c r="F16305" s="29"/>
      <c r="G16305" s="30">
        <v>416.51</v>
      </c>
    </row>
    <row r="16306" spans="1:7" hidden="1" x14ac:dyDescent="0.25">
      <c r="A16306" s="28">
        <v>44866</v>
      </c>
      <c r="B16306" s="27" t="s">
        <v>25</v>
      </c>
      <c r="C16306" s="27" t="s">
        <v>50</v>
      </c>
      <c r="D16306" s="27" t="s">
        <v>7</v>
      </c>
      <c r="E16306" s="27" t="s">
        <v>15</v>
      </c>
      <c r="F16306" s="29"/>
      <c r="G16306" s="30">
        <v>416.5</v>
      </c>
    </row>
    <row r="16307" spans="1:7" hidden="1" x14ac:dyDescent="0.25">
      <c r="A16307" s="28">
        <v>44866</v>
      </c>
      <c r="B16307" s="27" t="s">
        <v>25</v>
      </c>
      <c r="C16307" s="27" t="s">
        <v>50</v>
      </c>
      <c r="D16307" s="27" t="s">
        <v>7</v>
      </c>
      <c r="E16307" s="27" t="s">
        <v>19</v>
      </c>
      <c r="F16307" s="29"/>
      <c r="G16307" s="30">
        <v>416.51</v>
      </c>
    </row>
    <row r="16308" spans="1:7" hidden="1" x14ac:dyDescent="0.25">
      <c r="A16308" s="28">
        <v>44866</v>
      </c>
      <c r="B16308" s="27" t="s">
        <v>25</v>
      </c>
      <c r="C16308" s="27" t="s">
        <v>50</v>
      </c>
      <c r="D16308" s="27" t="s">
        <v>7</v>
      </c>
      <c r="E16308" s="27" t="s">
        <v>20</v>
      </c>
      <c r="F16308" s="29"/>
      <c r="G16308" s="30">
        <v>143.94</v>
      </c>
    </row>
    <row r="16309" spans="1:7" hidden="1" x14ac:dyDescent="0.25">
      <c r="A16309" s="28">
        <v>44866</v>
      </c>
      <c r="B16309" s="27" t="s">
        <v>25</v>
      </c>
      <c r="C16309" s="27" t="s">
        <v>50</v>
      </c>
      <c r="D16309" s="27" t="s">
        <v>7</v>
      </c>
      <c r="E16309" s="27" t="s">
        <v>72</v>
      </c>
      <c r="F16309" s="29"/>
      <c r="G16309" s="30">
        <v>208.26</v>
      </c>
    </row>
    <row r="16310" spans="1:7" hidden="1" x14ac:dyDescent="0.25">
      <c r="A16310" s="28">
        <v>44866</v>
      </c>
      <c r="B16310" s="27" t="s">
        <v>25</v>
      </c>
      <c r="C16310" s="27" t="s">
        <v>50</v>
      </c>
      <c r="D16310" s="27" t="s">
        <v>7</v>
      </c>
      <c r="E16310" s="27" t="s">
        <v>37</v>
      </c>
      <c r="F16310" s="29"/>
      <c r="G16310" s="30">
        <v>738.04</v>
      </c>
    </row>
    <row r="16311" spans="1:7" hidden="1" x14ac:dyDescent="0.25">
      <c r="A16311" s="28">
        <v>44866</v>
      </c>
      <c r="B16311" s="27" t="s">
        <v>2</v>
      </c>
      <c r="C16311" s="27" t="s">
        <v>50</v>
      </c>
      <c r="D16311" s="27" t="s">
        <v>7</v>
      </c>
      <c r="E16311" s="27" t="s">
        <v>8</v>
      </c>
      <c r="F16311" s="29"/>
      <c r="G16311" s="30">
        <v>1461.9999999999993</v>
      </c>
    </row>
    <row r="16312" spans="1:7" hidden="1" x14ac:dyDescent="0.25">
      <c r="A16312" s="28">
        <v>44866</v>
      </c>
      <c r="B16312" s="27" t="s">
        <v>2</v>
      </c>
      <c r="C16312" s="27" t="s">
        <v>50</v>
      </c>
      <c r="D16312" s="27" t="s">
        <v>7</v>
      </c>
      <c r="E16312" s="27" t="s">
        <v>9</v>
      </c>
      <c r="F16312" s="29"/>
      <c r="G16312" s="30">
        <v>506.91000000000042</v>
      </c>
    </row>
    <row r="16313" spans="1:7" hidden="1" x14ac:dyDescent="0.25">
      <c r="A16313" s="28">
        <v>44866</v>
      </c>
      <c r="B16313" s="27" t="s">
        <v>2</v>
      </c>
      <c r="C16313" s="27" t="s">
        <v>50</v>
      </c>
      <c r="D16313" s="27" t="s">
        <v>7</v>
      </c>
      <c r="E16313" s="27" t="s">
        <v>22</v>
      </c>
      <c r="F16313" s="29"/>
      <c r="G16313" s="30">
        <v>331.80000000000013</v>
      </c>
    </row>
    <row r="16314" spans="1:7" hidden="1" x14ac:dyDescent="0.25">
      <c r="A16314" s="28">
        <v>44866</v>
      </c>
      <c r="B16314" s="27" t="s">
        <v>2</v>
      </c>
      <c r="C16314" s="27" t="s">
        <v>50</v>
      </c>
      <c r="D16314" s="27" t="s">
        <v>7</v>
      </c>
      <c r="E16314" s="27" t="s">
        <v>39</v>
      </c>
      <c r="F16314" s="29"/>
      <c r="G16314" s="30">
        <v>253.66000000000005</v>
      </c>
    </row>
    <row r="16315" spans="1:7" hidden="1" x14ac:dyDescent="0.25">
      <c r="A16315" s="28">
        <v>44866</v>
      </c>
      <c r="B16315" s="27" t="s">
        <v>2</v>
      </c>
      <c r="C16315" s="27" t="s">
        <v>50</v>
      </c>
      <c r="D16315" s="27" t="s">
        <v>7</v>
      </c>
      <c r="E16315" s="27" t="s">
        <v>64</v>
      </c>
      <c r="F16315" s="29"/>
      <c r="G16315" s="30">
        <v>670.40000000000066</v>
      </c>
    </row>
    <row r="16316" spans="1:7" hidden="1" x14ac:dyDescent="0.25">
      <c r="A16316" s="28">
        <v>44866</v>
      </c>
      <c r="B16316" s="27" t="s">
        <v>2</v>
      </c>
      <c r="C16316" s="27" t="s">
        <v>50</v>
      </c>
      <c r="D16316" s="27" t="s">
        <v>7</v>
      </c>
      <c r="E16316" s="27" t="s">
        <v>21</v>
      </c>
      <c r="F16316" s="29"/>
      <c r="G16316" s="30">
        <v>351.59999999999985</v>
      </c>
    </row>
    <row r="16317" spans="1:7" hidden="1" x14ac:dyDescent="0.25">
      <c r="A16317" s="28">
        <v>44866</v>
      </c>
      <c r="B16317" s="27" t="s">
        <v>2</v>
      </c>
      <c r="C16317" s="27" t="s">
        <v>50</v>
      </c>
      <c r="D16317" s="27" t="s">
        <v>7</v>
      </c>
      <c r="E16317" s="27" t="s">
        <v>41</v>
      </c>
      <c r="F16317" s="29"/>
      <c r="G16317" s="30">
        <v>650.54999999999961</v>
      </c>
    </row>
    <row r="16318" spans="1:7" hidden="1" x14ac:dyDescent="0.25">
      <c r="A16318" s="28">
        <v>44866</v>
      </c>
      <c r="B16318" s="27" t="s">
        <v>2</v>
      </c>
      <c r="C16318" s="27" t="s">
        <v>50</v>
      </c>
      <c r="D16318" s="27" t="s">
        <v>7</v>
      </c>
      <c r="E16318" s="27" t="s">
        <v>10</v>
      </c>
      <c r="F16318" s="29"/>
      <c r="G16318" s="30">
        <v>1443.1499999999985</v>
      </c>
    </row>
    <row r="16319" spans="1:7" hidden="1" x14ac:dyDescent="0.25">
      <c r="A16319" s="28">
        <v>44866</v>
      </c>
      <c r="B16319" s="27" t="s">
        <v>2</v>
      </c>
      <c r="C16319" s="27" t="s">
        <v>50</v>
      </c>
      <c r="D16319" s="27" t="s">
        <v>7</v>
      </c>
      <c r="E16319" s="27" t="s">
        <v>11</v>
      </c>
      <c r="F16319" s="29"/>
      <c r="G16319" s="30">
        <v>56.66</v>
      </c>
    </row>
    <row r="16320" spans="1:7" hidden="1" x14ac:dyDescent="0.25">
      <c r="A16320" s="28">
        <v>44866</v>
      </c>
      <c r="B16320" s="27" t="s">
        <v>2</v>
      </c>
      <c r="C16320" s="27" t="s">
        <v>50</v>
      </c>
      <c r="D16320" s="27" t="s">
        <v>7</v>
      </c>
      <c r="E16320" s="27" t="s">
        <v>12</v>
      </c>
      <c r="F16320" s="29"/>
      <c r="G16320" s="30">
        <v>131.97999999999999</v>
      </c>
    </row>
    <row r="16321" spans="1:7" hidden="1" x14ac:dyDescent="0.25">
      <c r="A16321" s="28">
        <v>44866</v>
      </c>
      <c r="B16321" s="27" t="s">
        <v>2</v>
      </c>
      <c r="C16321" s="27" t="s">
        <v>50</v>
      </c>
      <c r="D16321" s="27" t="s">
        <v>7</v>
      </c>
      <c r="E16321" s="27" t="s">
        <v>13</v>
      </c>
      <c r="F16321" s="29"/>
      <c r="G16321" s="30">
        <v>1488.1700000000005</v>
      </c>
    </row>
    <row r="16322" spans="1:7" hidden="1" x14ac:dyDescent="0.25">
      <c r="A16322" s="28">
        <v>44866</v>
      </c>
      <c r="B16322" s="27" t="s">
        <v>2</v>
      </c>
      <c r="C16322" s="27" t="s">
        <v>50</v>
      </c>
      <c r="D16322" s="27" t="s">
        <v>7</v>
      </c>
      <c r="E16322" s="27" t="s">
        <v>14</v>
      </c>
      <c r="F16322" s="29"/>
      <c r="G16322" s="30">
        <v>396.99999999999983</v>
      </c>
    </row>
    <row r="16323" spans="1:7" hidden="1" x14ac:dyDescent="0.25">
      <c r="A16323" s="28">
        <v>44866</v>
      </c>
      <c r="B16323" s="27" t="s">
        <v>2</v>
      </c>
      <c r="C16323" s="27" t="s">
        <v>50</v>
      </c>
      <c r="D16323" s="27" t="s">
        <v>7</v>
      </c>
      <c r="E16323" s="27" t="s">
        <v>15</v>
      </c>
      <c r="F16323" s="29"/>
      <c r="G16323" s="30">
        <v>815.93999999999994</v>
      </c>
    </row>
    <row r="16324" spans="1:7" hidden="1" x14ac:dyDescent="0.25">
      <c r="A16324" s="28">
        <v>44866</v>
      </c>
      <c r="B16324" s="27" t="s">
        <v>2</v>
      </c>
      <c r="C16324" s="27" t="s">
        <v>50</v>
      </c>
      <c r="D16324" s="27" t="s">
        <v>7</v>
      </c>
      <c r="E16324" s="27" t="s">
        <v>17</v>
      </c>
      <c r="F16324" s="29"/>
      <c r="G16324" s="30">
        <v>494.60000000000036</v>
      </c>
    </row>
    <row r="16325" spans="1:7" hidden="1" x14ac:dyDescent="0.25">
      <c r="A16325" s="28">
        <v>44866</v>
      </c>
      <c r="B16325" s="27" t="s">
        <v>2</v>
      </c>
      <c r="C16325" s="27" t="s">
        <v>50</v>
      </c>
      <c r="D16325" s="27" t="s">
        <v>7</v>
      </c>
      <c r="E16325" s="27" t="s">
        <v>19</v>
      </c>
      <c r="F16325" s="29"/>
      <c r="G16325" s="30">
        <v>525.29999999999995</v>
      </c>
    </row>
    <row r="16326" spans="1:7" hidden="1" x14ac:dyDescent="0.25">
      <c r="A16326" s="28">
        <v>44866</v>
      </c>
      <c r="B16326" s="27" t="s">
        <v>2</v>
      </c>
      <c r="C16326" s="27" t="s">
        <v>50</v>
      </c>
      <c r="D16326" s="27" t="s">
        <v>7</v>
      </c>
      <c r="E16326" s="27" t="s">
        <v>20</v>
      </c>
      <c r="F16326" s="29"/>
      <c r="G16326" s="30">
        <v>444.77999999999986</v>
      </c>
    </row>
    <row r="16327" spans="1:7" hidden="1" x14ac:dyDescent="0.25">
      <c r="A16327" s="28">
        <v>44866</v>
      </c>
      <c r="B16327" s="27" t="s">
        <v>2</v>
      </c>
      <c r="C16327" s="27" t="s">
        <v>50</v>
      </c>
      <c r="D16327" s="27" t="s">
        <v>7</v>
      </c>
      <c r="E16327" s="27" t="s">
        <v>23</v>
      </c>
      <c r="F16327" s="29"/>
      <c r="G16327" s="30">
        <v>644.64999999999918</v>
      </c>
    </row>
    <row r="16328" spans="1:7" hidden="1" x14ac:dyDescent="0.25">
      <c r="A16328" s="28">
        <v>44866</v>
      </c>
      <c r="B16328" s="27" t="s">
        <v>2</v>
      </c>
      <c r="C16328" s="27" t="s">
        <v>50</v>
      </c>
      <c r="D16328" s="27" t="s">
        <v>7</v>
      </c>
      <c r="E16328" s="27" t="s">
        <v>40</v>
      </c>
      <c r="F16328" s="29"/>
      <c r="G16328" s="30">
        <v>453.79999999999978</v>
      </c>
    </row>
    <row r="16329" spans="1:7" hidden="1" x14ac:dyDescent="0.25">
      <c r="A16329" s="28">
        <v>44866</v>
      </c>
      <c r="B16329" s="27" t="s">
        <v>2</v>
      </c>
      <c r="C16329" s="27" t="s">
        <v>50</v>
      </c>
      <c r="D16329" s="27" t="s">
        <v>7</v>
      </c>
      <c r="E16329" s="27" t="s">
        <v>42</v>
      </c>
      <c r="F16329" s="29"/>
      <c r="G16329" s="30">
        <v>231.90000000000009</v>
      </c>
    </row>
    <row r="16330" spans="1:7" hidden="1" x14ac:dyDescent="0.25">
      <c r="A16330" s="28">
        <v>44866</v>
      </c>
      <c r="B16330" s="27" t="s">
        <v>2</v>
      </c>
      <c r="C16330" s="27" t="s">
        <v>50</v>
      </c>
      <c r="D16330" s="27" t="s">
        <v>7</v>
      </c>
      <c r="E16330" s="27" t="s">
        <v>43</v>
      </c>
      <c r="F16330" s="29"/>
      <c r="G16330" s="30">
        <v>357.29999999999973</v>
      </c>
    </row>
    <row r="16331" spans="1:7" hidden="1" x14ac:dyDescent="0.25">
      <c r="A16331" s="28">
        <v>44866</v>
      </c>
      <c r="B16331" s="27" t="s">
        <v>2</v>
      </c>
      <c r="C16331" s="27" t="s">
        <v>50</v>
      </c>
      <c r="D16331" s="27" t="s">
        <v>7</v>
      </c>
      <c r="E16331" s="27" t="s">
        <v>72</v>
      </c>
      <c r="F16331" s="29"/>
      <c r="G16331" s="30">
        <v>1060.5999999999999</v>
      </c>
    </row>
    <row r="16332" spans="1:7" hidden="1" x14ac:dyDescent="0.25">
      <c r="A16332" s="28">
        <v>44866</v>
      </c>
      <c r="B16332" s="27" t="s">
        <v>2</v>
      </c>
      <c r="C16332" s="27" t="s">
        <v>50</v>
      </c>
      <c r="D16332" s="27" t="s">
        <v>7</v>
      </c>
      <c r="E16332" s="27" t="s">
        <v>67</v>
      </c>
      <c r="F16332" s="29"/>
      <c r="G16332" s="30">
        <v>535.50000000000023</v>
      </c>
    </row>
    <row r="16333" spans="1:7" hidden="1" x14ac:dyDescent="0.25">
      <c r="A16333" s="28">
        <v>44866</v>
      </c>
      <c r="B16333" s="27" t="s">
        <v>2</v>
      </c>
      <c r="C16333" s="27" t="s">
        <v>50</v>
      </c>
      <c r="D16333" s="27" t="s">
        <v>7</v>
      </c>
      <c r="E16333" s="27" t="s">
        <v>68</v>
      </c>
      <c r="F16333" s="29"/>
      <c r="G16333" s="30">
        <v>3072.9600000000005</v>
      </c>
    </row>
    <row r="16334" spans="1:7" hidden="1" x14ac:dyDescent="0.25">
      <c r="A16334" s="28">
        <v>44866</v>
      </c>
      <c r="B16334" s="27" t="s">
        <v>2</v>
      </c>
      <c r="C16334" s="27" t="s">
        <v>50</v>
      </c>
      <c r="D16334" s="27" t="s">
        <v>7</v>
      </c>
      <c r="E16334" s="27" t="s">
        <v>74</v>
      </c>
      <c r="F16334" s="29"/>
      <c r="G16334" s="30">
        <v>347.27999999999992</v>
      </c>
    </row>
    <row r="16335" spans="1:7" hidden="1" x14ac:dyDescent="0.25">
      <c r="A16335" s="28">
        <v>44866</v>
      </c>
      <c r="B16335" s="27" t="s">
        <v>2</v>
      </c>
      <c r="C16335" s="27" t="s">
        <v>50</v>
      </c>
      <c r="D16335" s="27" t="s">
        <v>7</v>
      </c>
      <c r="E16335" s="27" t="s">
        <v>37</v>
      </c>
      <c r="F16335" s="29"/>
      <c r="G16335" s="30">
        <v>6405.29</v>
      </c>
    </row>
    <row r="16336" spans="1:7" hidden="1" x14ac:dyDescent="0.25">
      <c r="A16336" s="28">
        <v>44866</v>
      </c>
      <c r="B16336" s="27" t="s">
        <v>36</v>
      </c>
      <c r="C16336" s="27" t="s">
        <v>50</v>
      </c>
      <c r="D16336" s="27" t="s">
        <v>6</v>
      </c>
      <c r="E16336" s="27" t="s">
        <v>8</v>
      </c>
      <c r="F16336" s="29"/>
      <c r="G16336" s="30">
        <v>448.44</v>
      </c>
    </row>
    <row r="16337" spans="1:7" hidden="1" x14ac:dyDescent="0.25">
      <c r="A16337" s="28">
        <v>44866</v>
      </c>
      <c r="B16337" s="27" t="s">
        <v>36</v>
      </c>
      <c r="C16337" s="27" t="s">
        <v>50</v>
      </c>
      <c r="D16337" s="27" t="s">
        <v>6</v>
      </c>
      <c r="E16337" s="27" t="s">
        <v>9</v>
      </c>
      <c r="F16337" s="29"/>
      <c r="G16337" s="30">
        <v>448.44</v>
      </c>
    </row>
    <row r="16338" spans="1:7" hidden="1" x14ac:dyDescent="0.25">
      <c r="A16338" s="28">
        <v>44866</v>
      </c>
      <c r="B16338" s="27" t="s">
        <v>36</v>
      </c>
      <c r="C16338" s="27" t="s">
        <v>50</v>
      </c>
      <c r="D16338" s="27" t="s">
        <v>6</v>
      </c>
      <c r="E16338" s="27" t="s">
        <v>22</v>
      </c>
      <c r="F16338" s="29"/>
      <c r="G16338" s="30">
        <v>448.44</v>
      </c>
    </row>
    <row r="16339" spans="1:7" hidden="1" x14ac:dyDescent="0.25">
      <c r="A16339" s="28">
        <v>44866</v>
      </c>
      <c r="B16339" s="27" t="s">
        <v>36</v>
      </c>
      <c r="C16339" s="27" t="s">
        <v>50</v>
      </c>
      <c r="D16339" s="27" t="s">
        <v>6</v>
      </c>
      <c r="E16339" s="27" t="s">
        <v>39</v>
      </c>
      <c r="F16339" s="29"/>
      <c r="G16339" s="30">
        <v>448.44</v>
      </c>
    </row>
    <row r="16340" spans="1:7" hidden="1" x14ac:dyDescent="0.25">
      <c r="A16340" s="28">
        <v>44866</v>
      </c>
      <c r="B16340" s="27" t="s">
        <v>36</v>
      </c>
      <c r="C16340" s="27" t="s">
        <v>50</v>
      </c>
      <c r="D16340" s="27" t="s">
        <v>6</v>
      </c>
      <c r="E16340" s="27" t="s">
        <v>64</v>
      </c>
      <c r="F16340" s="29"/>
      <c r="G16340" s="30">
        <v>448.44</v>
      </c>
    </row>
    <row r="16341" spans="1:7" hidden="1" x14ac:dyDescent="0.25">
      <c r="A16341" s="28">
        <v>44866</v>
      </c>
      <c r="B16341" s="27" t="s">
        <v>36</v>
      </c>
      <c r="C16341" s="27" t="s">
        <v>50</v>
      </c>
      <c r="D16341" s="27" t="s">
        <v>6</v>
      </c>
      <c r="E16341" s="27" t="s">
        <v>21</v>
      </c>
      <c r="F16341" s="29"/>
      <c r="G16341" s="30">
        <v>448.44</v>
      </c>
    </row>
    <row r="16342" spans="1:7" hidden="1" x14ac:dyDescent="0.25">
      <c r="A16342" s="28">
        <v>44866</v>
      </c>
      <c r="B16342" s="27" t="s">
        <v>36</v>
      </c>
      <c r="C16342" s="27" t="s">
        <v>50</v>
      </c>
      <c r="D16342" s="27" t="s">
        <v>6</v>
      </c>
      <c r="E16342" s="27" t="s">
        <v>41</v>
      </c>
      <c r="F16342" s="29"/>
      <c r="G16342" s="30">
        <v>448.44</v>
      </c>
    </row>
    <row r="16343" spans="1:7" hidden="1" x14ac:dyDescent="0.25">
      <c r="A16343" s="28">
        <v>44866</v>
      </c>
      <c r="B16343" s="27" t="s">
        <v>36</v>
      </c>
      <c r="C16343" s="27" t="s">
        <v>50</v>
      </c>
      <c r="D16343" s="27" t="s">
        <v>6</v>
      </c>
      <c r="E16343" s="27" t="s">
        <v>10</v>
      </c>
      <c r="F16343" s="29"/>
      <c r="G16343" s="30">
        <v>448.44</v>
      </c>
    </row>
    <row r="16344" spans="1:7" hidden="1" x14ac:dyDescent="0.25">
      <c r="A16344" s="28">
        <v>44866</v>
      </c>
      <c r="B16344" s="27" t="s">
        <v>36</v>
      </c>
      <c r="C16344" s="27" t="s">
        <v>50</v>
      </c>
      <c r="D16344" s="27" t="s">
        <v>6</v>
      </c>
      <c r="E16344" s="27" t="s">
        <v>11</v>
      </c>
      <c r="F16344" s="29"/>
      <c r="G16344" s="30">
        <v>448.44</v>
      </c>
    </row>
    <row r="16345" spans="1:7" hidden="1" x14ac:dyDescent="0.25">
      <c r="A16345" s="28">
        <v>44866</v>
      </c>
      <c r="B16345" s="27" t="s">
        <v>36</v>
      </c>
      <c r="C16345" s="27" t="s">
        <v>50</v>
      </c>
      <c r="D16345" s="27" t="s">
        <v>6</v>
      </c>
      <c r="E16345" s="27" t="s">
        <v>12</v>
      </c>
      <c r="F16345" s="29"/>
      <c r="G16345" s="30">
        <v>448.44</v>
      </c>
    </row>
    <row r="16346" spans="1:7" hidden="1" x14ac:dyDescent="0.25">
      <c r="A16346" s="28">
        <v>44866</v>
      </c>
      <c r="B16346" s="27" t="s">
        <v>36</v>
      </c>
      <c r="C16346" s="27" t="s">
        <v>50</v>
      </c>
      <c r="D16346" s="27" t="s">
        <v>6</v>
      </c>
      <c r="E16346" s="27" t="s">
        <v>13</v>
      </c>
      <c r="F16346" s="29"/>
      <c r="G16346" s="30">
        <v>448.44</v>
      </c>
    </row>
    <row r="16347" spans="1:7" hidden="1" x14ac:dyDescent="0.25">
      <c r="A16347" s="28">
        <v>44866</v>
      </c>
      <c r="B16347" s="27" t="s">
        <v>36</v>
      </c>
      <c r="C16347" s="27" t="s">
        <v>50</v>
      </c>
      <c r="D16347" s="27" t="s">
        <v>6</v>
      </c>
      <c r="E16347" s="27" t="s">
        <v>14</v>
      </c>
      <c r="F16347" s="29"/>
      <c r="G16347" s="30">
        <v>448.44</v>
      </c>
    </row>
    <row r="16348" spans="1:7" hidden="1" x14ac:dyDescent="0.25">
      <c r="A16348" s="28">
        <v>44866</v>
      </c>
      <c r="B16348" s="27" t="s">
        <v>36</v>
      </c>
      <c r="C16348" s="27" t="s">
        <v>50</v>
      </c>
      <c r="D16348" s="27" t="s">
        <v>6</v>
      </c>
      <c r="E16348" s="27" t="s">
        <v>15</v>
      </c>
      <c r="F16348" s="29"/>
      <c r="G16348" s="30">
        <v>448.44</v>
      </c>
    </row>
    <row r="16349" spans="1:7" hidden="1" x14ac:dyDescent="0.25">
      <c r="A16349" s="28">
        <v>44866</v>
      </c>
      <c r="B16349" s="27" t="s">
        <v>36</v>
      </c>
      <c r="C16349" s="27" t="s">
        <v>50</v>
      </c>
      <c r="D16349" s="27" t="s">
        <v>6</v>
      </c>
      <c r="E16349" s="27" t="s">
        <v>16</v>
      </c>
      <c r="F16349" s="29"/>
      <c r="G16349" s="30">
        <v>448.44</v>
      </c>
    </row>
    <row r="16350" spans="1:7" hidden="1" x14ac:dyDescent="0.25">
      <c r="A16350" s="28">
        <v>44866</v>
      </c>
      <c r="B16350" s="27" t="s">
        <v>36</v>
      </c>
      <c r="C16350" s="27" t="s">
        <v>50</v>
      </c>
      <c r="D16350" s="27" t="s">
        <v>6</v>
      </c>
      <c r="E16350" s="27" t="s">
        <v>17</v>
      </c>
      <c r="F16350" s="29"/>
      <c r="G16350" s="30">
        <v>448.44</v>
      </c>
    </row>
    <row r="16351" spans="1:7" hidden="1" x14ac:dyDescent="0.25">
      <c r="A16351" s="28">
        <v>44866</v>
      </c>
      <c r="B16351" s="27" t="s">
        <v>36</v>
      </c>
      <c r="C16351" s="27" t="s">
        <v>50</v>
      </c>
      <c r="D16351" s="27" t="s">
        <v>6</v>
      </c>
      <c r="E16351" s="27" t="s">
        <v>18</v>
      </c>
      <c r="F16351" s="29"/>
      <c r="G16351" s="30">
        <v>448.44</v>
      </c>
    </row>
    <row r="16352" spans="1:7" hidden="1" x14ac:dyDescent="0.25">
      <c r="A16352" s="28">
        <v>44866</v>
      </c>
      <c r="B16352" s="27" t="s">
        <v>36</v>
      </c>
      <c r="C16352" s="27" t="s">
        <v>50</v>
      </c>
      <c r="D16352" s="27" t="s">
        <v>6</v>
      </c>
      <c r="E16352" s="27" t="s">
        <v>19</v>
      </c>
      <c r="F16352" s="29"/>
      <c r="G16352" s="30">
        <v>448.44</v>
      </c>
    </row>
    <row r="16353" spans="1:7" hidden="1" x14ac:dyDescent="0.25">
      <c r="A16353" s="28">
        <v>44866</v>
      </c>
      <c r="B16353" s="27" t="s">
        <v>36</v>
      </c>
      <c r="C16353" s="27" t="s">
        <v>50</v>
      </c>
      <c r="D16353" s="27" t="s">
        <v>6</v>
      </c>
      <c r="E16353" s="27" t="s">
        <v>20</v>
      </c>
      <c r="F16353" s="29"/>
      <c r="G16353" s="30">
        <v>448.44</v>
      </c>
    </row>
    <row r="16354" spans="1:7" hidden="1" x14ac:dyDescent="0.25">
      <c r="A16354" s="28">
        <v>44866</v>
      </c>
      <c r="B16354" s="27" t="s">
        <v>36</v>
      </c>
      <c r="C16354" s="27" t="s">
        <v>50</v>
      </c>
      <c r="D16354" s="27" t="s">
        <v>6</v>
      </c>
      <c r="E16354" s="27" t="s">
        <v>38</v>
      </c>
      <c r="F16354" s="29"/>
      <c r="G16354" s="30">
        <v>448.44</v>
      </c>
    </row>
    <row r="16355" spans="1:7" hidden="1" x14ac:dyDescent="0.25">
      <c r="A16355" s="28">
        <v>44866</v>
      </c>
      <c r="B16355" s="27" t="s">
        <v>36</v>
      </c>
      <c r="C16355" s="27" t="s">
        <v>50</v>
      </c>
      <c r="D16355" s="27" t="s">
        <v>6</v>
      </c>
      <c r="E16355" s="27" t="s">
        <v>23</v>
      </c>
      <c r="F16355" s="29"/>
      <c r="G16355" s="30">
        <v>448.44</v>
      </c>
    </row>
    <row r="16356" spans="1:7" hidden="1" x14ac:dyDescent="0.25">
      <c r="A16356" s="28">
        <v>44866</v>
      </c>
      <c r="B16356" s="27" t="s">
        <v>36</v>
      </c>
      <c r="C16356" s="27" t="s">
        <v>50</v>
      </c>
      <c r="D16356" s="27" t="s">
        <v>6</v>
      </c>
      <c r="E16356" s="27" t="s">
        <v>40</v>
      </c>
      <c r="F16356" s="29"/>
      <c r="G16356" s="30">
        <v>448.44</v>
      </c>
    </row>
    <row r="16357" spans="1:7" hidden="1" x14ac:dyDescent="0.25">
      <c r="A16357" s="28">
        <v>44866</v>
      </c>
      <c r="B16357" s="27" t="s">
        <v>36</v>
      </c>
      <c r="C16357" s="27" t="s">
        <v>50</v>
      </c>
      <c r="D16357" s="27" t="s">
        <v>6</v>
      </c>
      <c r="E16357" s="27" t="s">
        <v>42</v>
      </c>
      <c r="F16357" s="29"/>
      <c r="G16357" s="30">
        <v>448.44</v>
      </c>
    </row>
    <row r="16358" spans="1:7" hidden="1" x14ac:dyDescent="0.25">
      <c r="A16358" s="28">
        <v>44866</v>
      </c>
      <c r="B16358" s="27" t="s">
        <v>36</v>
      </c>
      <c r="C16358" s="27" t="s">
        <v>50</v>
      </c>
      <c r="D16358" s="27" t="s">
        <v>6</v>
      </c>
      <c r="E16358" s="27" t="s">
        <v>43</v>
      </c>
      <c r="F16358" s="29"/>
      <c r="G16358" s="30">
        <v>448.44</v>
      </c>
    </row>
    <row r="16359" spans="1:7" hidden="1" x14ac:dyDescent="0.25">
      <c r="A16359" s="28">
        <v>44866</v>
      </c>
      <c r="B16359" s="27" t="s">
        <v>36</v>
      </c>
      <c r="C16359" s="27" t="s">
        <v>50</v>
      </c>
      <c r="D16359" s="27" t="s">
        <v>6</v>
      </c>
      <c r="E16359" s="27" t="s">
        <v>72</v>
      </c>
      <c r="F16359" s="29"/>
      <c r="G16359" s="30">
        <v>448.44</v>
      </c>
    </row>
    <row r="16360" spans="1:7" hidden="1" x14ac:dyDescent="0.25">
      <c r="A16360" s="28">
        <v>44866</v>
      </c>
      <c r="B16360" s="27" t="s">
        <v>36</v>
      </c>
      <c r="C16360" s="27" t="s">
        <v>50</v>
      </c>
      <c r="D16360" s="27" t="s">
        <v>6</v>
      </c>
      <c r="E16360" s="27" t="s">
        <v>206</v>
      </c>
      <c r="F16360" s="29"/>
      <c r="G16360" s="30">
        <v>448.44</v>
      </c>
    </row>
    <row r="16361" spans="1:7" hidden="1" x14ac:dyDescent="0.25">
      <c r="A16361" s="28">
        <v>44866</v>
      </c>
      <c r="B16361" s="27" t="s">
        <v>36</v>
      </c>
      <c r="C16361" s="27" t="s">
        <v>50</v>
      </c>
      <c r="D16361" s="27" t="s">
        <v>6</v>
      </c>
      <c r="E16361" s="27" t="s">
        <v>67</v>
      </c>
      <c r="F16361" s="29"/>
      <c r="G16361" s="30">
        <v>448.44</v>
      </c>
    </row>
    <row r="16362" spans="1:7" hidden="1" x14ac:dyDescent="0.25">
      <c r="A16362" s="28">
        <v>44866</v>
      </c>
      <c r="B16362" s="27" t="s">
        <v>36</v>
      </c>
      <c r="C16362" s="27" t="s">
        <v>50</v>
      </c>
      <c r="D16362" s="27" t="s">
        <v>6</v>
      </c>
      <c r="E16362" s="27" t="s">
        <v>68</v>
      </c>
      <c r="F16362" s="29"/>
      <c r="G16362" s="30">
        <v>448.44</v>
      </c>
    </row>
    <row r="16363" spans="1:7" hidden="1" x14ac:dyDescent="0.25">
      <c r="A16363" s="28">
        <v>44866</v>
      </c>
      <c r="B16363" s="27" t="s">
        <v>36</v>
      </c>
      <c r="C16363" s="27" t="s">
        <v>50</v>
      </c>
      <c r="D16363" s="27" t="s">
        <v>6</v>
      </c>
      <c r="E16363" s="27" t="s">
        <v>74</v>
      </c>
      <c r="F16363" s="29"/>
      <c r="G16363" s="30">
        <v>448.44</v>
      </c>
    </row>
    <row r="16364" spans="1:7" hidden="1" x14ac:dyDescent="0.25">
      <c r="A16364" s="28">
        <v>44866</v>
      </c>
      <c r="B16364" s="27" t="s">
        <v>200</v>
      </c>
      <c r="C16364" s="27" t="s">
        <v>53</v>
      </c>
      <c r="D16364" s="27" t="s">
        <v>6</v>
      </c>
      <c r="E16364" s="27" t="s">
        <v>8</v>
      </c>
      <c r="F16364" s="29"/>
      <c r="G16364" s="30">
        <f t="shared" ref="G16364:G16387" si="281">2328.95819444444/24</f>
        <v>97.039924768518333</v>
      </c>
    </row>
    <row r="16365" spans="1:7" hidden="1" x14ac:dyDescent="0.25">
      <c r="A16365" s="28">
        <v>44866</v>
      </c>
      <c r="B16365" s="27" t="s">
        <v>200</v>
      </c>
      <c r="C16365" s="27" t="s">
        <v>53</v>
      </c>
      <c r="D16365" s="27" t="s">
        <v>6</v>
      </c>
      <c r="E16365" s="27" t="s">
        <v>9</v>
      </c>
      <c r="F16365" s="29"/>
      <c r="G16365" s="30">
        <f t="shared" si="281"/>
        <v>97.039924768518333</v>
      </c>
    </row>
    <row r="16366" spans="1:7" hidden="1" x14ac:dyDescent="0.25">
      <c r="A16366" s="28">
        <v>44866</v>
      </c>
      <c r="B16366" s="27" t="s">
        <v>200</v>
      </c>
      <c r="C16366" s="27" t="s">
        <v>53</v>
      </c>
      <c r="D16366" s="27" t="s">
        <v>6</v>
      </c>
      <c r="E16366" s="27" t="s">
        <v>22</v>
      </c>
      <c r="F16366" s="29"/>
      <c r="G16366" s="30">
        <f t="shared" si="281"/>
        <v>97.039924768518333</v>
      </c>
    </row>
    <row r="16367" spans="1:7" hidden="1" x14ac:dyDescent="0.25">
      <c r="A16367" s="28">
        <v>44866</v>
      </c>
      <c r="B16367" s="27" t="s">
        <v>200</v>
      </c>
      <c r="C16367" s="27" t="s">
        <v>53</v>
      </c>
      <c r="D16367" s="27" t="s">
        <v>6</v>
      </c>
      <c r="E16367" s="27" t="s">
        <v>39</v>
      </c>
      <c r="F16367" s="29"/>
      <c r="G16367" s="30">
        <f t="shared" si="281"/>
        <v>97.039924768518333</v>
      </c>
    </row>
    <row r="16368" spans="1:7" hidden="1" x14ac:dyDescent="0.25">
      <c r="A16368" s="28">
        <v>44866</v>
      </c>
      <c r="B16368" s="27" t="s">
        <v>200</v>
      </c>
      <c r="C16368" s="27" t="s">
        <v>53</v>
      </c>
      <c r="D16368" s="27" t="s">
        <v>6</v>
      </c>
      <c r="E16368" s="27" t="s">
        <v>64</v>
      </c>
      <c r="F16368" s="29"/>
      <c r="G16368" s="30">
        <f t="shared" si="281"/>
        <v>97.039924768518333</v>
      </c>
    </row>
    <row r="16369" spans="1:7" hidden="1" x14ac:dyDescent="0.25">
      <c r="A16369" s="28">
        <v>44866</v>
      </c>
      <c r="B16369" s="27" t="s">
        <v>200</v>
      </c>
      <c r="C16369" s="27" t="s">
        <v>53</v>
      </c>
      <c r="D16369" s="27" t="s">
        <v>6</v>
      </c>
      <c r="E16369" s="27" t="s">
        <v>21</v>
      </c>
      <c r="F16369" s="29"/>
      <c r="G16369" s="30">
        <f t="shared" si="281"/>
        <v>97.039924768518333</v>
      </c>
    </row>
    <row r="16370" spans="1:7" hidden="1" x14ac:dyDescent="0.25">
      <c r="A16370" s="28">
        <v>44866</v>
      </c>
      <c r="B16370" s="27" t="s">
        <v>200</v>
      </c>
      <c r="C16370" s="27" t="s">
        <v>53</v>
      </c>
      <c r="D16370" s="27" t="s">
        <v>6</v>
      </c>
      <c r="E16370" s="27" t="s">
        <v>41</v>
      </c>
      <c r="F16370" s="29"/>
      <c r="G16370" s="30">
        <f t="shared" si="281"/>
        <v>97.039924768518333</v>
      </c>
    </row>
    <row r="16371" spans="1:7" hidden="1" x14ac:dyDescent="0.25">
      <c r="A16371" s="28">
        <v>44866</v>
      </c>
      <c r="B16371" s="27" t="s">
        <v>200</v>
      </c>
      <c r="C16371" s="27" t="s">
        <v>53</v>
      </c>
      <c r="D16371" s="27" t="s">
        <v>6</v>
      </c>
      <c r="E16371" s="27" t="s">
        <v>10</v>
      </c>
      <c r="F16371" s="29"/>
      <c r="G16371" s="30">
        <f t="shared" si="281"/>
        <v>97.039924768518333</v>
      </c>
    </row>
    <row r="16372" spans="1:7" hidden="1" x14ac:dyDescent="0.25">
      <c r="A16372" s="28">
        <v>44866</v>
      </c>
      <c r="B16372" s="27" t="s">
        <v>200</v>
      </c>
      <c r="C16372" s="27" t="s">
        <v>53</v>
      </c>
      <c r="D16372" s="27" t="s">
        <v>6</v>
      </c>
      <c r="E16372" s="27" t="s">
        <v>11</v>
      </c>
      <c r="F16372" s="29"/>
      <c r="G16372" s="30">
        <f t="shared" si="281"/>
        <v>97.039924768518333</v>
      </c>
    </row>
    <row r="16373" spans="1:7" hidden="1" x14ac:dyDescent="0.25">
      <c r="A16373" s="28">
        <v>44866</v>
      </c>
      <c r="B16373" s="27" t="s">
        <v>200</v>
      </c>
      <c r="C16373" s="27" t="s">
        <v>53</v>
      </c>
      <c r="D16373" s="27" t="s">
        <v>6</v>
      </c>
      <c r="E16373" s="27" t="s">
        <v>12</v>
      </c>
      <c r="F16373" s="29"/>
      <c r="G16373" s="30">
        <f t="shared" si="281"/>
        <v>97.039924768518333</v>
      </c>
    </row>
    <row r="16374" spans="1:7" hidden="1" x14ac:dyDescent="0.25">
      <c r="A16374" s="28">
        <v>44866</v>
      </c>
      <c r="B16374" s="27" t="s">
        <v>200</v>
      </c>
      <c r="C16374" s="27" t="s">
        <v>53</v>
      </c>
      <c r="D16374" s="27" t="s">
        <v>6</v>
      </c>
      <c r="E16374" s="27" t="s">
        <v>13</v>
      </c>
      <c r="F16374" s="29"/>
      <c r="G16374" s="30">
        <f t="shared" si="281"/>
        <v>97.039924768518333</v>
      </c>
    </row>
    <row r="16375" spans="1:7" hidden="1" x14ac:dyDescent="0.25">
      <c r="A16375" s="28">
        <v>44866</v>
      </c>
      <c r="B16375" s="27" t="s">
        <v>200</v>
      </c>
      <c r="C16375" s="27" t="s">
        <v>53</v>
      </c>
      <c r="D16375" s="27" t="s">
        <v>6</v>
      </c>
      <c r="E16375" s="27" t="s">
        <v>14</v>
      </c>
      <c r="F16375" s="29"/>
      <c r="G16375" s="30">
        <f t="shared" si="281"/>
        <v>97.039924768518333</v>
      </c>
    </row>
    <row r="16376" spans="1:7" hidden="1" x14ac:dyDescent="0.25">
      <c r="A16376" s="28">
        <v>44866</v>
      </c>
      <c r="B16376" s="27" t="s">
        <v>200</v>
      </c>
      <c r="C16376" s="27" t="s">
        <v>53</v>
      </c>
      <c r="D16376" s="27" t="s">
        <v>6</v>
      </c>
      <c r="E16376" s="27" t="s">
        <v>15</v>
      </c>
      <c r="F16376" s="29"/>
      <c r="G16376" s="30">
        <f t="shared" si="281"/>
        <v>97.039924768518333</v>
      </c>
    </row>
    <row r="16377" spans="1:7" hidden="1" x14ac:dyDescent="0.25">
      <c r="A16377" s="28">
        <v>44866</v>
      </c>
      <c r="B16377" s="27" t="s">
        <v>200</v>
      </c>
      <c r="C16377" s="27" t="s">
        <v>53</v>
      </c>
      <c r="D16377" s="27" t="s">
        <v>6</v>
      </c>
      <c r="E16377" s="27" t="s">
        <v>16</v>
      </c>
      <c r="F16377" s="29"/>
      <c r="G16377" s="30">
        <f t="shared" si="281"/>
        <v>97.039924768518333</v>
      </c>
    </row>
    <row r="16378" spans="1:7" hidden="1" x14ac:dyDescent="0.25">
      <c r="A16378" s="28">
        <v>44866</v>
      </c>
      <c r="B16378" s="27" t="s">
        <v>200</v>
      </c>
      <c r="C16378" s="27" t="s">
        <v>53</v>
      </c>
      <c r="D16378" s="27" t="s">
        <v>6</v>
      </c>
      <c r="E16378" s="27" t="s">
        <v>17</v>
      </c>
      <c r="F16378" s="29"/>
      <c r="G16378" s="30">
        <f t="shared" si="281"/>
        <v>97.039924768518333</v>
      </c>
    </row>
    <row r="16379" spans="1:7" hidden="1" x14ac:dyDescent="0.25">
      <c r="A16379" s="28">
        <v>44866</v>
      </c>
      <c r="B16379" s="27" t="s">
        <v>200</v>
      </c>
      <c r="C16379" s="27" t="s">
        <v>53</v>
      </c>
      <c r="D16379" s="27" t="s">
        <v>6</v>
      </c>
      <c r="E16379" s="27" t="s">
        <v>18</v>
      </c>
      <c r="F16379" s="29"/>
      <c r="G16379" s="30">
        <f t="shared" si="281"/>
        <v>97.039924768518333</v>
      </c>
    </row>
    <row r="16380" spans="1:7" hidden="1" x14ac:dyDescent="0.25">
      <c r="A16380" s="28">
        <v>44866</v>
      </c>
      <c r="B16380" s="27" t="s">
        <v>200</v>
      </c>
      <c r="C16380" s="27" t="s">
        <v>53</v>
      </c>
      <c r="D16380" s="27" t="s">
        <v>6</v>
      </c>
      <c r="E16380" s="27" t="s">
        <v>19</v>
      </c>
      <c r="F16380" s="29"/>
      <c r="G16380" s="30">
        <f t="shared" si="281"/>
        <v>97.039924768518333</v>
      </c>
    </row>
    <row r="16381" spans="1:7" hidden="1" x14ac:dyDescent="0.25">
      <c r="A16381" s="28">
        <v>44866</v>
      </c>
      <c r="B16381" s="27" t="s">
        <v>200</v>
      </c>
      <c r="C16381" s="27" t="s">
        <v>53</v>
      </c>
      <c r="D16381" s="27" t="s">
        <v>6</v>
      </c>
      <c r="E16381" s="27" t="s">
        <v>20</v>
      </c>
      <c r="F16381" s="29"/>
      <c r="G16381" s="30">
        <f t="shared" si="281"/>
        <v>97.039924768518333</v>
      </c>
    </row>
    <row r="16382" spans="1:7" hidden="1" x14ac:dyDescent="0.25">
      <c r="A16382" s="28">
        <v>44866</v>
      </c>
      <c r="B16382" s="27" t="s">
        <v>200</v>
      </c>
      <c r="C16382" s="27" t="s">
        <v>53</v>
      </c>
      <c r="D16382" s="27" t="s">
        <v>6</v>
      </c>
      <c r="E16382" s="27" t="s">
        <v>38</v>
      </c>
      <c r="F16382" s="29"/>
      <c r="G16382" s="30">
        <f t="shared" si="281"/>
        <v>97.039924768518333</v>
      </c>
    </row>
    <row r="16383" spans="1:7" hidden="1" x14ac:dyDescent="0.25">
      <c r="A16383" s="28">
        <v>44866</v>
      </c>
      <c r="B16383" s="27" t="s">
        <v>200</v>
      </c>
      <c r="C16383" s="27" t="s">
        <v>53</v>
      </c>
      <c r="D16383" s="27" t="s">
        <v>6</v>
      </c>
      <c r="E16383" s="27" t="s">
        <v>23</v>
      </c>
      <c r="F16383" s="29"/>
      <c r="G16383" s="30">
        <f t="shared" si="281"/>
        <v>97.039924768518333</v>
      </c>
    </row>
    <row r="16384" spans="1:7" hidden="1" x14ac:dyDescent="0.25">
      <c r="A16384" s="28">
        <v>44866</v>
      </c>
      <c r="B16384" s="27" t="s">
        <v>200</v>
      </c>
      <c r="C16384" s="27" t="s">
        <v>53</v>
      </c>
      <c r="D16384" s="27" t="s">
        <v>6</v>
      </c>
      <c r="E16384" s="27" t="s">
        <v>40</v>
      </c>
      <c r="F16384" s="29"/>
      <c r="G16384" s="30">
        <f t="shared" si="281"/>
        <v>97.039924768518333</v>
      </c>
    </row>
    <row r="16385" spans="1:7" hidden="1" x14ac:dyDescent="0.25">
      <c r="A16385" s="28">
        <v>44866</v>
      </c>
      <c r="B16385" s="27" t="s">
        <v>200</v>
      </c>
      <c r="C16385" s="27" t="s">
        <v>53</v>
      </c>
      <c r="D16385" s="27" t="s">
        <v>6</v>
      </c>
      <c r="E16385" s="27" t="s">
        <v>42</v>
      </c>
      <c r="F16385" s="29"/>
      <c r="G16385" s="30">
        <f t="shared" si="281"/>
        <v>97.039924768518333</v>
      </c>
    </row>
    <row r="16386" spans="1:7" hidden="1" x14ac:dyDescent="0.25">
      <c r="A16386" s="28">
        <v>44866</v>
      </c>
      <c r="B16386" s="27" t="s">
        <v>200</v>
      </c>
      <c r="C16386" s="27" t="s">
        <v>53</v>
      </c>
      <c r="D16386" s="27" t="s">
        <v>6</v>
      </c>
      <c r="E16386" s="27" t="s">
        <v>72</v>
      </c>
      <c r="F16386" s="29"/>
      <c r="G16386" s="30">
        <f t="shared" si="281"/>
        <v>97.039924768518333</v>
      </c>
    </row>
    <row r="16387" spans="1:7" hidden="1" x14ac:dyDescent="0.25">
      <c r="A16387" s="28">
        <v>44866</v>
      </c>
      <c r="B16387" s="27" t="s">
        <v>200</v>
      </c>
      <c r="C16387" s="27" t="s">
        <v>53</v>
      </c>
      <c r="D16387" s="27" t="s">
        <v>6</v>
      </c>
      <c r="E16387" s="27" t="s">
        <v>12</v>
      </c>
      <c r="F16387" s="29"/>
      <c r="G16387" s="30">
        <f t="shared" si="281"/>
        <v>97.039924768518333</v>
      </c>
    </row>
    <row r="16388" spans="1:7" hidden="1" x14ac:dyDescent="0.25">
      <c r="A16388" s="28">
        <v>44866</v>
      </c>
      <c r="B16388" s="27" t="s">
        <v>200</v>
      </c>
      <c r="C16388" s="27" t="s">
        <v>54</v>
      </c>
      <c r="D16388" s="27" t="s">
        <v>7</v>
      </c>
      <c r="E16388" s="27" t="s">
        <v>8</v>
      </c>
      <c r="F16388" s="29"/>
      <c r="G16388" s="30">
        <f t="shared" ref="G16388:G16415" si="282">1383.46/28</f>
        <v>49.409285714285716</v>
      </c>
    </row>
    <row r="16389" spans="1:7" hidden="1" x14ac:dyDescent="0.25">
      <c r="A16389" s="28">
        <v>44866</v>
      </c>
      <c r="B16389" s="27" t="s">
        <v>200</v>
      </c>
      <c r="C16389" s="27" t="s">
        <v>54</v>
      </c>
      <c r="D16389" s="27" t="s">
        <v>7</v>
      </c>
      <c r="E16389" s="27" t="s">
        <v>9</v>
      </c>
      <c r="F16389" s="29"/>
      <c r="G16389" s="30">
        <f t="shared" si="282"/>
        <v>49.409285714285716</v>
      </c>
    </row>
    <row r="16390" spans="1:7" hidden="1" x14ac:dyDescent="0.25">
      <c r="A16390" s="28">
        <v>44866</v>
      </c>
      <c r="B16390" s="27" t="s">
        <v>200</v>
      </c>
      <c r="C16390" s="27" t="s">
        <v>54</v>
      </c>
      <c r="D16390" s="27" t="s">
        <v>7</v>
      </c>
      <c r="E16390" s="27" t="s">
        <v>22</v>
      </c>
      <c r="F16390" s="29"/>
      <c r="G16390" s="30">
        <f t="shared" si="282"/>
        <v>49.409285714285716</v>
      </c>
    </row>
    <row r="16391" spans="1:7" hidden="1" x14ac:dyDescent="0.25">
      <c r="A16391" s="28">
        <v>44866</v>
      </c>
      <c r="B16391" s="27" t="s">
        <v>200</v>
      </c>
      <c r="C16391" s="27" t="s">
        <v>54</v>
      </c>
      <c r="D16391" s="27" t="s">
        <v>7</v>
      </c>
      <c r="E16391" s="27" t="s">
        <v>39</v>
      </c>
      <c r="F16391" s="29"/>
      <c r="G16391" s="30">
        <f t="shared" si="282"/>
        <v>49.409285714285716</v>
      </c>
    </row>
    <row r="16392" spans="1:7" hidden="1" x14ac:dyDescent="0.25">
      <c r="A16392" s="28">
        <v>44866</v>
      </c>
      <c r="B16392" s="27" t="s">
        <v>200</v>
      </c>
      <c r="C16392" s="27" t="s">
        <v>54</v>
      </c>
      <c r="D16392" s="27" t="s">
        <v>7</v>
      </c>
      <c r="E16392" s="27" t="s">
        <v>64</v>
      </c>
      <c r="F16392" s="29"/>
      <c r="G16392" s="30">
        <f t="shared" si="282"/>
        <v>49.409285714285716</v>
      </c>
    </row>
    <row r="16393" spans="1:7" hidden="1" x14ac:dyDescent="0.25">
      <c r="A16393" s="28">
        <v>44866</v>
      </c>
      <c r="B16393" s="27" t="s">
        <v>200</v>
      </c>
      <c r="C16393" s="27" t="s">
        <v>54</v>
      </c>
      <c r="D16393" s="27" t="s">
        <v>7</v>
      </c>
      <c r="E16393" s="27" t="s">
        <v>21</v>
      </c>
      <c r="F16393" s="29"/>
      <c r="G16393" s="30">
        <f t="shared" si="282"/>
        <v>49.409285714285716</v>
      </c>
    </row>
    <row r="16394" spans="1:7" hidden="1" x14ac:dyDescent="0.25">
      <c r="A16394" s="28">
        <v>44866</v>
      </c>
      <c r="B16394" s="27" t="s">
        <v>200</v>
      </c>
      <c r="C16394" s="27" t="s">
        <v>54</v>
      </c>
      <c r="D16394" s="27" t="s">
        <v>7</v>
      </c>
      <c r="E16394" s="27" t="s">
        <v>41</v>
      </c>
      <c r="F16394" s="29"/>
      <c r="G16394" s="30">
        <f t="shared" si="282"/>
        <v>49.409285714285716</v>
      </c>
    </row>
    <row r="16395" spans="1:7" hidden="1" x14ac:dyDescent="0.25">
      <c r="A16395" s="28">
        <v>44866</v>
      </c>
      <c r="B16395" s="27" t="s">
        <v>200</v>
      </c>
      <c r="C16395" s="27" t="s">
        <v>54</v>
      </c>
      <c r="D16395" s="27" t="s">
        <v>7</v>
      </c>
      <c r="E16395" s="27" t="s">
        <v>10</v>
      </c>
      <c r="F16395" s="29"/>
      <c r="G16395" s="30">
        <f t="shared" si="282"/>
        <v>49.409285714285716</v>
      </c>
    </row>
    <row r="16396" spans="1:7" hidden="1" x14ac:dyDescent="0.25">
      <c r="A16396" s="28">
        <v>44866</v>
      </c>
      <c r="B16396" s="27" t="s">
        <v>200</v>
      </c>
      <c r="C16396" s="27" t="s">
        <v>54</v>
      </c>
      <c r="D16396" s="27" t="s">
        <v>7</v>
      </c>
      <c r="E16396" s="27" t="s">
        <v>11</v>
      </c>
      <c r="F16396" s="29"/>
      <c r="G16396" s="30">
        <f t="shared" si="282"/>
        <v>49.409285714285716</v>
      </c>
    </row>
    <row r="16397" spans="1:7" hidden="1" x14ac:dyDescent="0.25">
      <c r="A16397" s="28">
        <v>44866</v>
      </c>
      <c r="B16397" s="27" t="s">
        <v>200</v>
      </c>
      <c r="C16397" s="27" t="s">
        <v>54</v>
      </c>
      <c r="D16397" s="27" t="s">
        <v>7</v>
      </c>
      <c r="E16397" s="27" t="s">
        <v>12</v>
      </c>
      <c r="F16397" s="29"/>
      <c r="G16397" s="30">
        <f t="shared" si="282"/>
        <v>49.409285714285716</v>
      </c>
    </row>
    <row r="16398" spans="1:7" hidden="1" x14ac:dyDescent="0.25">
      <c r="A16398" s="28">
        <v>44866</v>
      </c>
      <c r="B16398" s="27" t="s">
        <v>200</v>
      </c>
      <c r="C16398" s="27" t="s">
        <v>54</v>
      </c>
      <c r="D16398" s="27" t="s">
        <v>7</v>
      </c>
      <c r="E16398" s="27" t="s">
        <v>13</v>
      </c>
      <c r="F16398" s="29"/>
      <c r="G16398" s="30">
        <f t="shared" si="282"/>
        <v>49.409285714285716</v>
      </c>
    </row>
    <row r="16399" spans="1:7" hidden="1" x14ac:dyDescent="0.25">
      <c r="A16399" s="28">
        <v>44866</v>
      </c>
      <c r="B16399" s="27" t="s">
        <v>200</v>
      </c>
      <c r="C16399" s="27" t="s">
        <v>54</v>
      </c>
      <c r="D16399" s="27" t="s">
        <v>7</v>
      </c>
      <c r="E16399" s="27" t="s">
        <v>14</v>
      </c>
      <c r="F16399" s="29"/>
      <c r="G16399" s="30">
        <f t="shared" si="282"/>
        <v>49.409285714285716</v>
      </c>
    </row>
    <row r="16400" spans="1:7" hidden="1" x14ac:dyDescent="0.25">
      <c r="A16400" s="28">
        <v>44866</v>
      </c>
      <c r="B16400" s="27" t="s">
        <v>200</v>
      </c>
      <c r="C16400" s="27" t="s">
        <v>54</v>
      </c>
      <c r="D16400" s="27" t="s">
        <v>7</v>
      </c>
      <c r="E16400" s="27" t="s">
        <v>15</v>
      </c>
      <c r="F16400" s="29"/>
      <c r="G16400" s="30">
        <f t="shared" si="282"/>
        <v>49.409285714285716</v>
      </c>
    </row>
    <row r="16401" spans="1:7" hidden="1" x14ac:dyDescent="0.25">
      <c r="A16401" s="28">
        <v>44866</v>
      </c>
      <c r="B16401" s="27" t="s">
        <v>200</v>
      </c>
      <c r="C16401" s="27" t="s">
        <v>54</v>
      </c>
      <c r="D16401" s="27" t="s">
        <v>7</v>
      </c>
      <c r="E16401" s="27" t="s">
        <v>16</v>
      </c>
      <c r="F16401" s="29"/>
      <c r="G16401" s="30">
        <f t="shared" si="282"/>
        <v>49.409285714285716</v>
      </c>
    </row>
    <row r="16402" spans="1:7" hidden="1" x14ac:dyDescent="0.25">
      <c r="A16402" s="28">
        <v>44866</v>
      </c>
      <c r="B16402" s="27" t="s">
        <v>200</v>
      </c>
      <c r="C16402" s="27" t="s">
        <v>54</v>
      </c>
      <c r="D16402" s="27" t="s">
        <v>7</v>
      </c>
      <c r="E16402" s="27" t="s">
        <v>17</v>
      </c>
      <c r="F16402" s="29"/>
      <c r="G16402" s="30">
        <f t="shared" si="282"/>
        <v>49.409285714285716</v>
      </c>
    </row>
    <row r="16403" spans="1:7" hidden="1" x14ac:dyDescent="0.25">
      <c r="A16403" s="28">
        <v>44866</v>
      </c>
      <c r="B16403" s="27" t="s">
        <v>200</v>
      </c>
      <c r="C16403" s="27" t="s">
        <v>54</v>
      </c>
      <c r="D16403" s="27" t="s">
        <v>7</v>
      </c>
      <c r="E16403" s="27" t="s">
        <v>18</v>
      </c>
      <c r="F16403" s="29"/>
      <c r="G16403" s="30">
        <f t="shared" si="282"/>
        <v>49.409285714285716</v>
      </c>
    </row>
    <row r="16404" spans="1:7" hidden="1" x14ac:dyDescent="0.25">
      <c r="A16404" s="28">
        <v>44866</v>
      </c>
      <c r="B16404" s="27" t="s">
        <v>200</v>
      </c>
      <c r="C16404" s="27" t="s">
        <v>54</v>
      </c>
      <c r="D16404" s="27" t="s">
        <v>7</v>
      </c>
      <c r="E16404" s="27" t="s">
        <v>19</v>
      </c>
      <c r="F16404" s="29"/>
      <c r="G16404" s="30">
        <f t="shared" si="282"/>
        <v>49.409285714285716</v>
      </c>
    </row>
    <row r="16405" spans="1:7" hidden="1" x14ac:dyDescent="0.25">
      <c r="A16405" s="28">
        <v>44866</v>
      </c>
      <c r="B16405" s="27" t="s">
        <v>200</v>
      </c>
      <c r="C16405" s="27" t="s">
        <v>54</v>
      </c>
      <c r="D16405" s="27" t="s">
        <v>7</v>
      </c>
      <c r="E16405" s="27" t="s">
        <v>20</v>
      </c>
      <c r="F16405" s="29"/>
      <c r="G16405" s="30">
        <f t="shared" si="282"/>
        <v>49.409285714285716</v>
      </c>
    </row>
    <row r="16406" spans="1:7" hidden="1" x14ac:dyDescent="0.25">
      <c r="A16406" s="28">
        <v>44866</v>
      </c>
      <c r="B16406" s="27" t="s">
        <v>200</v>
      </c>
      <c r="C16406" s="27" t="s">
        <v>54</v>
      </c>
      <c r="D16406" s="27" t="s">
        <v>7</v>
      </c>
      <c r="E16406" s="27" t="s">
        <v>38</v>
      </c>
      <c r="F16406" s="29"/>
      <c r="G16406" s="30">
        <f t="shared" si="282"/>
        <v>49.409285714285716</v>
      </c>
    </row>
    <row r="16407" spans="1:7" hidden="1" x14ac:dyDescent="0.25">
      <c r="A16407" s="28">
        <v>44866</v>
      </c>
      <c r="B16407" s="27" t="s">
        <v>200</v>
      </c>
      <c r="C16407" s="27" t="s">
        <v>54</v>
      </c>
      <c r="D16407" s="27" t="s">
        <v>7</v>
      </c>
      <c r="E16407" s="27" t="s">
        <v>23</v>
      </c>
      <c r="F16407" s="29"/>
      <c r="G16407" s="30">
        <f t="shared" si="282"/>
        <v>49.409285714285716</v>
      </c>
    </row>
    <row r="16408" spans="1:7" hidden="1" x14ac:dyDescent="0.25">
      <c r="A16408" s="28">
        <v>44866</v>
      </c>
      <c r="B16408" s="27" t="s">
        <v>200</v>
      </c>
      <c r="C16408" s="27" t="s">
        <v>54</v>
      </c>
      <c r="D16408" s="27" t="s">
        <v>7</v>
      </c>
      <c r="E16408" s="27" t="s">
        <v>40</v>
      </c>
      <c r="F16408" s="29"/>
      <c r="G16408" s="30">
        <f t="shared" si="282"/>
        <v>49.409285714285716</v>
      </c>
    </row>
    <row r="16409" spans="1:7" hidden="1" x14ac:dyDescent="0.25">
      <c r="A16409" s="28">
        <v>44866</v>
      </c>
      <c r="B16409" s="27" t="s">
        <v>200</v>
      </c>
      <c r="C16409" s="27" t="s">
        <v>54</v>
      </c>
      <c r="D16409" s="27" t="s">
        <v>7</v>
      </c>
      <c r="E16409" s="27" t="s">
        <v>42</v>
      </c>
      <c r="F16409" s="29"/>
      <c r="G16409" s="30">
        <f t="shared" si="282"/>
        <v>49.409285714285716</v>
      </c>
    </row>
    <row r="16410" spans="1:7" hidden="1" x14ac:dyDescent="0.25">
      <c r="A16410" s="28">
        <v>44866</v>
      </c>
      <c r="B16410" s="27" t="s">
        <v>200</v>
      </c>
      <c r="C16410" s="27" t="s">
        <v>54</v>
      </c>
      <c r="D16410" s="27" t="s">
        <v>7</v>
      </c>
      <c r="E16410" s="27" t="s">
        <v>43</v>
      </c>
      <c r="F16410" s="29"/>
      <c r="G16410" s="30">
        <f t="shared" si="282"/>
        <v>49.409285714285716</v>
      </c>
    </row>
    <row r="16411" spans="1:7" hidden="1" x14ac:dyDescent="0.25">
      <c r="A16411" s="28">
        <v>44866</v>
      </c>
      <c r="B16411" s="27" t="s">
        <v>200</v>
      </c>
      <c r="C16411" s="27" t="s">
        <v>54</v>
      </c>
      <c r="D16411" s="27" t="s">
        <v>7</v>
      </c>
      <c r="E16411" s="27" t="s">
        <v>72</v>
      </c>
      <c r="F16411" s="29"/>
      <c r="G16411" s="30">
        <f t="shared" si="282"/>
        <v>49.409285714285716</v>
      </c>
    </row>
    <row r="16412" spans="1:7" hidden="1" x14ac:dyDescent="0.25">
      <c r="A16412" s="28">
        <v>44866</v>
      </c>
      <c r="B16412" s="27" t="s">
        <v>200</v>
      </c>
      <c r="C16412" s="27" t="s">
        <v>54</v>
      </c>
      <c r="D16412" s="27" t="s">
        <v>7</v>
      </c>
      <c r="E16412" s="27" t="s">
        <v>206</v>
      </c>
      <c r="F16412" s="29"/>
      <c r="G16412" s="30">
        <f t="shared" si="282"/>
        <v>49.409285714285716</v>
      </c>
    </row>
    <row r="16413" spans="1:7" hidden="1" x14ac:dyDescent="0.25">
      <c r="A16413" s="28">
        <v>44866</v>
      </c>
      <c r="B16413" s="27" t="s">
        <v>200</v>
      </c>
      <c r="C16413" s="27" t="s">
        <v>54</v>
      </c>
      <c r="D16413" s="27" t="s">
        <v>7</v>
      </c>
      <c r="E16413" s="27" t="s">
        <v>67</v>
      </c>
      <c r="F16413" s="29"/>
      <c r="G16413" s="30">
        <f t="shared" si="282"/>
        <v>49.409285714285716</v>
      </c>
    </row>
    <row r="16414" spans="1:7" hidden="1" x14ac:dyDescent="0.25">
      <c r="A16414" s="28">
        <v>44866</v>
      </c>
      <c r="B16414" s="27" t="s">
        <v>200</v>
      </c>
      <c r="C16414" s="27" t="s">
        <v>54</v>
      </c>
      <c r="D16414" s="27" t="s">
        <v>7</v>
      </c>
      <c r="E16414" s="27" t="s">
        <v>68</v>
      </c>
      <c r="F16414" s="29"/>
      <c r="G16414" s="30">
        <f t="shared" si="282"/>
        <v>49.409285714285716</v>
      </c>
    </row>
    <row r="16415" spans="1:7" hidden="1" x14ac:dyDescent="0.25">
      <c r="A16415" s="28">
        <v>44866</v>
      </c>
      <c r="B16415" s="27" t="s">
        <v>200</v>
      </c>
      <c r="C16415" s="27" t="s">
        <v>54</v>
      </c>
      <c r="D16415" s="27" t="s">
        <v>7</v>
      </c>
      <c r="E16415" s="27" t="s">
        <v>74</v>
      </c>
      <c r="F16415" s="29"/>
      <c r="G16415" s="30">
        <f t="shared" si="282"/>
        <v>49.409285714285716</v>
      </c>
    </row>
    <row r="16416" spans="1:7" hidden="1" x14ac:dyDescent="0.25">
      <c r="A16416" s="28">
        <v>44866</v>
      </c>
      <c r="B16416" s="27" t="s">
        <v>200</v>
      </c>
      <c r="C16416" s="27" t="s">
        <v>55</v>
      </c>
      <c r="D16416" s="27" t="s">
        <v>6</v>
      </c>
      <c r="E16416" s="27" t="s">
        <v>8</v>
      </c>
      <c r="F16416" s="29"/>
      <c r="G16416" s="30">
        <f t="shared" ref="G16416:G16439" si="283">40538.5604/24</f>
        <v>1689.1066833333334</v>
      </c>
    </row>
    <row r="16417" spans="1:7" hidden="1" x14ac:dyDescent="0.25">
      <c r="A16417" s="28">
        <v>44866</v>
      </c>
      <c r="B16417" s="27" t="s">
        <v>200</v>
      </c>
      <c r="C16417" s="27" t="s">
        <v>55</v>
      </c>
      <c r="D16417" s="27" t="s">
        <v>6</v>
      </c>
      <c r="E16417" s="27" t="s">
        <v>9</v>
      </c>
      <c r="F16417" s="29"/>
      <c r="G16417" s="30">
        <f t="shared" si="283"/>
        <v>1689.1066833333334</v>
      </c>
    </row>
    <row r="16418" spans="1:7" hidden="1" x14ac:dyDescent="0.25">
      <c r="A16418" s="28">
        <v>44866</v>
      </c>
      <c r="B16418" s="27" t="s">
        <v>200</v>
      </c>
      <c r="C16418" s="27" t="s">
        <v>55</v>
      </c>
      <c r="D16418" s="27" t="s">
        <v>6</v>
      </c>
      <c r="E16418" s="27" t="s">
        <v>22</v>
      </c>
      <c r="F16418" s="29"/>
      <c r="G16418" s="30">
        <f t="shared" si="283"/>
        <v>1689.1066833333334</v>
      </c>
    </row>
    <row r="16419" spans="1:7" hidden="1" x14ac:dyDescent="0.25">
      <c r="A16419" s="28">
        <v>44866</v>
      </c>
      <c r="B16419" s="27" t="s">
        <v>200</v>
      </c>
      <c r="C16419" s="27" t="s">
        <v>55</v>
      </c>
      <c r="D16419" s="27" t="s">
        <v>6</v>
      </c>
      <c r="E16419" s="27" t="s">
        <v>39</v>
      </c>
      <c r="F16419" s="29"/>
      <c r="G16419" s="30">
        <f t="shared" si="283"/>
        <v>1689.1066833333334</v>
      </c>
    </row>
    <row r="16420" spans="1:7" hidden="1" x14ac:dyDescent="0.25">
      <c r="A16420" s="28">
        <v>44866</v>
      </c>
      <c r="B16420" s="27" t="s">
        <v>200</v>
      </c>
      <c r="C16420" s="27" t="s">
        <v>55</v>
      </c>
      <c r="D16420" s="27" t="s">
        <v>6</v>
      </c>
      <c r="E16420" s="27" t="s">
        <v>64</v>
      </c>
      <c r="F16420" s="29"/>
      <c r="G16420" s="30">
        <f t="shared" si="283"/>
        <v>1689.1066833333334</v>
      </c>
    </row>
    <row r="16421" spans="1:7" hidden="1" x14ac:dyDescent="0.25">
      <c r="A16421" s="28">
        <v>44866</v>
      </c>
      <c r="B16421" s="27" t="s">
        <v>200</v>
      </c>
      <c r="C16421" s="27" t="s">
        <v>55</v>
      </c>
      <c r="D16421" s="27" t="s">
        <v>6</v>
      </c>
      <c r="E16421" s="27" t="s">
        <v>21</v>
      </c>
      <c r="F16421" s="29"/>
      <c r="G16421" s="30">
        <f t="shared" si="283"/>
        <v>1689.1066833333334</v>
      </c>
    </row>
    <row r="16422" spans="1:7" hidden="1" x14ac:dyDescent="0.25">
      <c r="A16422" s="28">
        <v>44866</v>
      </c>
      <c r="B16422" s="27" t="s">
        <v>200</v>
      </c>
      <c r="C16422" s="27" t="s">
        <v>55</v>
      </c>
      <c r="D16422" s="27" t="s">
        <v>6</v>
      </c>
      <c r="E16422" s="27" t="s">
        <v>41</v>
      </c>
      <c r="F16422" s="29"/>
      <c r="G16422" s="30">
        <f t="shared" si="283"/>
        <v>1689.1066833333334</v>
      </c>
    </row>
    <row r="16423" spans="1:7" hidden="1" x14ac:dyDescent="0.25">
      <c r="A16423" s="28">
        <v>44866</v>
      </c>
      <c r="B16423" s="27" t="s">
        <v>200</v>
      </c>
      <c r="C16423" s="27" t="s">
        <v>55</v>
      </c>
      <c r="D16423" s="27" t="s">
        <v>6</v>
      </c>
      <c r="E16423" s="27" t="s">
        <v>10</v>
      </c>
      <c r="F16423" s="29"/>
      <c r="G16423" s="30">
        <f t="shared" si="283"/>
        <v>1689.1066833333334</v>
      </c>
    </row>
    <row r="16424" spans="1:7" hidden="1" x14ac:dyDescent="0.25">
      <c r="A16424" s="28">
        <v>44866</v>
      </c>
      <c r="B16424" s="27" t="s">
        <v>200</v>
      </c>
      <c r="C16424" s="27" t="s">
        <v>55</v>
      </c>
      <c r="D16424" s="27" t="s">
        <v>6</v>
      </c>
      <c r="E16424" s="27" t="s">
        <v>11</v>
      </c>
      <c r="F16424" s="29"/>
      <c r="G16424" s="30">
        <f t="shared" si="283"/>
        <v>1689.1066833333334</v>
      </c>
    </row>
    <row r="16425" spans="1:7" hidden="1" x14ac:dyDescent="0.25">
      <c r="A16425" s="28">
        <v>44866</v>
      </c>
      <c r="B16425" s="27" t="s">
        <v>200</v>
      </c>
      <c r="C16425" s="27" t="s">
        <v>55</v>
      </c>
      <c r="D16425" s="27" t="s">
        <v>6</v>
      </c>
      <c r="E16425" s="27" t="s">
        <v>12</v>
      </c>
      <c r="F16425" s="29"/>
      <c r="G16425" s="30">
        <f t="shared" si="283"/>
        <v>1689.1066833333334</v>
      </c>
    </row>
    <row r="16426" spans="1:7" hidden="1" x14ac:dyDescent="0.25">
      <c r="A16426" s="28">
        <v>44866</v>
      </c>
      <c r="B16426" s="27" t="s">
        <v>200</v>
      </c>
      <c r="C16426" s="27" t="s">
        <v>55</v>
      </c>
      <c r="D16426" s="27" t="s">
        <v>6</v>
      </c>
      <c r="E16426" s="27" t="s">
        <v>13</v>
      </c>
      <c r="F16426" s="29"/>
      <c r="G16426" s="30">
        <f t="shared" si="283"/>
        <v>1689.1066833333334</v>
      </c>
    </row>
    <row r="16427" spans="1:7" hidden="1" x14ac:dyDescent="0.25">
      <c r="A16427" s="28">
        <v>44866</v>
      </c>
      <c r="B16427" s="27" t="s">
        <v>200</v>
      </c>
      <c r="C16427" s="27" t="s">
        <v>55</v>
      </c>
      <c r="D16427" s="27" t="s">
        <v>6</v>
      </c>
      <c r="E16427" s="27" t="s">
        <v>14</v>
      </c>
      <c r="F16427" s="29"/>
      <c r="G16427" s="30">
        <f t="shared" si="283"/>
        <v>1689.1066833333334</v>
      </c>
    </row>
    <row r="16428" spans="1:7" hidden="1" x14ac:dyDescent="0.25">
      <c r="A16428" s="28">
        <v>44866</v>
      </c>
      <c r="B16428" s="27" t="s">
        <v>200</v>
      </c>
      <c r="C16428" s="27" t="s">
        <v>55</v>
      </c>
      <c r="D16428" s="27" t="s">
        <v>6</v>
      </c>
      <c r="E16428" s="27" t="s">
        <v>15</v>
      </c>
      <c r="F16428" s="29"/>
      <c r="G16428" s="30">
        <f t="shared" si="283"/>
        <v>1689.1066833333334</v>
      </c>
    </row>
    <row r="16429" spans="1:7" hidden="1" x14ac:dyDescent="0.25">
      <c r="A16429" s="28">
        <v>44866</v>
      </c>
      <c r="B16429" s="27" t="s">
        <v>200</v>
      </c>
      <c r="C16429" s="27" t="s">
        <v>55</v>
      </c>
      <c r="D16429" s="27" t="s">
        <v>6</v>
      </c>
      <c r="E16429" s="27" t="s">
        <v>16</v>
      </c>
      <c r="F16429" s="29"/>
      <c r="G16429" s="30">
        <f t="shared" si="283"/>
        <v>1689.1066833333334</v>
      </c>
    </row>
    <row r="16430" spans="1:7" hidden="1" x14ac:dyDescent="0.25">
      <c r="A16430" s="28">
        <v>44866</v>
      </c>
      <c r="B16430" s="27" t="s">
        <v>200</v>
      </c>
      <c r="C16430" s="27" t="s">
        <v>55</v>
      </c>
      <c r="D16430" s="27" t="s">
        <v>6</v>
      </c>
      <c r="E16430" s="27" t="s">
        <v>17</v>
      </c>
      <c r="F16430" s="29"/>
      <c r="G16430" s="30">
        <f t="shared" si="283"/>
        <v>1689.1066833333334</v>
      </c>
    </row>
    <row r="16431" spans="1:7" hidden="1" x14ac:dyDescent="0.25">
      <c r="A16431" s="28">
        <v>44866</v>
      </c>
      <c r="B16431" s="27" t="s">
        <v>200</v>
      </c>
      <c r="C16431" s="27" t="s">
        <v>55</v>
      </c>
      <c r="D16431" s="27" t="s">
        <v>6</v>
      </c>
      <c r="E16431" s="27" t="s">
        <v>18</v>
      </c>
      <c r="F16431" s="29"/>
      <c r="G16431" s="30">
        <f t="shared" si="283"/>
        <v>1689.1066833333334</v>
      </c>
    </row>
    <row r="16432" spans="1:7" hidden="1" x14ac:dyDescent="0.25">
      <c r="A16432" s="28">
        <v>44866</v>
      </c>
      <c r="B16432" s="27" t="s">
        <v>200</v>
      </c>
      <c r="C16432" s="27" t="s">
        <v>55</v>
      </c>
      <c r="D16432" s="27" t="s">
        <v>6</v>
      </c>
      <c r="E16432" s="27" t="s">
        <v>19</v>
      </c>
      <c r="F16432" s="29"/>
      <c r="G16432" s="30">
        <f t="shared" si="283"/>
        <v>1689.1066833333334</v>
      </c>
    </row>
    <row r="16433" spans="1:7" hidden="1" x14ac:dyDescent="0.25">
      <c r="A16433" s="28">
        <v>44866</v>
      </c>
      <c r="B16433" s="27" t="s">
        <v>200</v>
      </c>
      <c r="C16433" s="27" t="s">
        <v>55</v>
      </c>
      <c r="D16433" s="27" t="s">
        <v>6</v>
      </c>
      <c r="E16433" s="27" t="s">
        <v>20</v>
      </c>
      <c r="F16433" s="29"/>
      <c r="G16433" s="30">
        <f t="shared" si="283"/>
        <v>1689.1066833333334</v>
      </c>
    </row>
    <row r="16434" spans="1:7" hidden="1" x14ac:dyDescent="0.25">
      <c r="A16434" s="28">
        <v>44866</v>
      </c>
      <c r="B16434" s="27" t="s">
        <v>200</v>
      </c>
      <c r="C16434" s="27" t="s">
        <v>55</v>
      </c>
      <c r="D16434" s="27" t="s">
        <v>6</v>
      </c>
      <c r="E16434" s="27" t="s">
        <v>38</v>
      </c>
      <c r="F16434" s="29"/>
      <c r="G16434" s="30">
        <f t="shared" si="283"/>
        <v>1689.1066833333334</v>
      </c>
    </row>
    <row r="16435" spans="1:7" hidden="1" x14ac:dyDescent="0.25">
      <c r="A16435" s="28">
        <v>44866</v>
      </c>
      <c r="B16435" s="27" t="s">
        <v>200</v>
      </c>
      <c r="C16435" s="27" t="s">
        <v>55</v>
      </c>
      <c r="D16435" s="27" t="s">
        <v>6</v>
      </c>
      <c r="E16435" s="27" t="s">
        <v>23</v>
      </c>
      <c r="F16435" s="29"/>
      <c r="G16435" s="30">
        <f t="shared" si="283"/>
        <v>1689.1066833333334</v>
      </c>
    </row>
    <row r="16436" spans="1:7" hidden="1" x14ac:dyDescent="0.25">
      <c r="A16436" s="28">
        <v>44866</v>
      </c>
      <c r="B16436" s="27" t="s">
        <v>200</v>
      </c>
      <c r="C16436" s="27" t="s">
        <v>55</v>
      </c>
      <c r="D16436" s="27" t="s">
        <v>6</v>
      </c>
      <c r="E16436" s="27" t="s">
        <v>40</v>
      </c>
      <c r="F16436" s="29"/>
      <c r="G16436" s="30">
        <f t="shared" si="283"/>
        <v>1689.1066833333334</v>
      </c>
    </row>
    <row r="16437" spans="1:7" hidden="1" x14ac:dyDescent="0.25">
      <c r="A16437" s="28">
        <v>44866</v>
      </c>
      <c r="B16437" s="27" t="s">
        <v>200</v>
      </c>
      <c r="C16437" s="27" t="s">
        <v>55</v>
      </c>
      <c r="D16437" s="27" t="s">
        <v>6</v>
      </c>
      <c r="E16437" s="27" t="s">
        <v>42</v>
      </c>
      <c r="F16437" s="29"/>
      <c r="G16437" s="30">
        <f t="shared" si="283"/>
        <v>1689.1066833333334</v>
      </c>
    </row>
    <row r="16438" spans="1:7" hidden="1" x14ac:dyDescent="0.25">
      <c r="A16438" s="28">
        <v>44866</v>
      </c>
      <c r="B16438" s="27" t="s">
        <v>200</v>
      </c>
      <c r="C16438" s="27" t="s">
        <v>55</v>
      </c>
      <c r="D16438" s="27" t="s">
        <v>6</v>
      </c>
      <c r="E16438" s="27" t="s">
        <v>72</v>
      </c>
      <c r="F16438" s="29"/>
      <c r="G16438" s="30">
        <f t="shared" si="283"/>
        <v>1689.1066833333334</v>
      </c>
    </row>
    <row r="16439" spans="1:7" hidden="1" x14ac:dyDescent="0.25">
      <c r="A16439" s="28">
        <v>44866</v>
      </c>
      <c r="B16439" s="27" t="s">
        <v>200</v>
      </c>
      <c r="C16439" s="27" t="s">
        <v>55</v>
      </c>
      <c r="D16439" s="27" t="s">
        <v>6</v>
      </c>
      <c r="E16439" s="27" t="s">
        <v>12</v>
      </c>
      <c r="F16439" s="29"/>
      <c r="G16439" s="30">
        <f t="shared" si="283"/>
        <v>1689.1066833333334</v>
      </c>
    </row>
    <row r="16440" spans="1:7" hidden="1" x14ac:dyDescent="0.25">
      <c r="A16440" s="28">
        <v>44866</v>
      </c>
      <c r="B16440" s="27" t="s">
        <v>200</v>
      </c>
      <c r="C16440" s="27" t="s">
        <v>183</v>
      </c>
      <c r="D16440" s="27" t="s">
        <v>7</v>
      </c>
      <c r="E16440" s="27" t="s">
        <v>8</v>
      </c>
      <c r="F16440" s="29"/>
      <c r="G16440" s="30">
        <f t="shared" ref="G16440:G16467" si="284">8325.89/28</f>
        <v>297.35321428571427</v>
      </c>
    </row>
    <row r="16441" spans="1:7" hidden="1" x14ac:dyDescent="0.25">
      <c r="A16441" s="28">
        <v>44866</v>
      </c>
      <c r="B16441" s="27" t="s">
        <v>200</v>
      </c>
      <c r="C16441" s="27" t="s">
        <v>183</v>
      </c>
      <c r="D16441" s="27" t="s">
        <v>7</v>
      </c>
      <c r="E16441" s="27" t="s">
        <v>9</v>
      </c>
      <c r="F16441" s="29"/>
      <c r="G16441" s="30">
        <f t="shared" si="284"/>
        <v>297.35321428571427</v>
      </c>
    </row>
    <row r="16442" spans="1:7" hidden="1" x14ac:dyDescent="0.25">
      <c r="A16442" s="28">
        <v>44866</v>
      </c>
      <c r="B16442" s="27" t="s">
        <v>200</v>
      </c>
      <c r="C16442" s="27" t="s">
        <v>183</v>
      </c>
      <c r="D16442" s="27" t="s">
        <v>7</v>
      </c>
      <c r="E16442" s="27" t="s">
        <v>22</v>
      </c>
      <c r="F16442" s="29"/>
      <c r="G16442" s="30">
        <f t="shared" si="284"/>
        <v>297.35321428571427</v>
      </c>
    </row>
    <row r="16443" spans="1:7" hidden="1" x14ac:dyDescent="0.25">
      <c r="A16443" s="28">
        <v>44866</v>
      </c>
      <c r="B16443" s="27" t="s">
        <v>200</v>
      </c>
      <c r="C16443" s="27" t="s">
        <v>183</v>
      </c>
      <c r="D16443" s="27" t="s">
        <v>7</v>
      </c>
      <c r="E16443" s="27" t="s">
        <v>39</v>
      </c>
      <c r="F16443" s="29"/>
      <c r="G16443" s="30">
        <f t="shared" si="284"/>
        <v>297.35321428571427</v>
      </c>
    </row>
    <row r="16444" spans="1:7" hidden="1" x14ac:dyDescent="0.25">
      <c r="A16444" s="28">
        <v>44866</v>
      </c>
      <c r="B16444" s="27" t="s">
        <v>200</v>
      </c>
      <c r="C16444" s="27" t="s">
        <v>183</v>
      </c>
      <c r="D16444" s="27" t="s">
        <v>7</v>
      </c>
      <c r="E16444" s="27" t="s">
        <v>64</v>
      </c>
      <c r="F16444" s="29"/>
      <c r="G16444" s="30">
        <f t="shared" si="284"/>
        <v>297.35321428571427</v>
      </c>
    </row>
    <row r="16445" spans="1:7" hidden="1" x14ac:dyDescent="0.25">
      <c r="A16445" s="28">
        <v>44866</v>
      </c>
      <c r="B16445" s="27" t="s">
        <v>200</v>
      </c>
      <c r="C16445" s="27" t="s">
        <v>183</v>
      </c>
      <c r="D16445" s="27" t="s">
        <v>7</v>
      </c>
      <c r="E16445" s="27" t="s">
        <v>21</v>
      </c>
      <c r="F16445" s="29"/>
      <c r="G16445" s="30">
        <f t="shared" si="284"/>
        <v>297.35321428571427</v>
      </c>
    </row>
    <row r="16446" spans="1:7" hidden="1" x14ac:dyDescent="0.25">
      <c r="A16446" s="28">
        <v>44866</v>
      </c>
      <c r="B16446" s="27" t="s">
        <v>200</v>
      </c>
      <c r="C16446" s="27" t="s">
        <v>183</v>
      </c>
      <c r="D16446" s="27" t="s">
        <v>7</v>
      </c>
      <c r="E16446" s="27" t="s">
        <v>41</v>
      </c>
      <c r="F16446" s="29"/>
      <c r="G16446" s="30">
        <f t="shared" si="284"/>
        <v>297.35321428571427</v>
      </c>
    </row>
    <row r="16447" spans="1:7" hidden="1" x14ac:dyDescent="0.25">
      <c r="A16447" s="28">
        <v>44866</v>
      </c>
      <c r="B16447" s="27" t="s">
        <v>200</v>
      </c>
      <c r="C16447" s="27" t="s">
        <v>183</v>
      </c>
      <c r="D16447" s="27" t="s">
        <v>7</v>
      </c>
      <c r="E16447" s="27" t="s">
        <v>10</v>
      </c>
      <c r="F16447" s="29"/>
      <c r="G16447" s="30">
        <f t="shared" si="284"/>
        <v>297.35321428571427</v>
      </c>
    </row>
    <row r="16448" spans="1:7" hidden="1" x14ac:dyDescent="0.25">
      <c r="A16448" s="28">
        <v>44866</v>
      </c>
      <c r="B16448" s="27" t="s">
        <v>200</v>
      </c>
      <c r="C16448" s="27" t="s">
        <v>183</v>
      </c>
      <c r="D16448" s="27" t="s">
        <v>7</v>
      </c>
      <c r="E16448" s="27" t="s">
        <v>11</v>
      </c>
      <c r="F16448" s="29"/>
      <c r="G16448" s="30">
        <f t="shared" si="284"/>
        <v>297.35321428571427</v>
      </c>
    </row>
    <row r="16449" spans="1:7" hidden="1" x14ac:dyDescent="0.25">
      <c r="A16449" s="28">
        <v>44866</v>
      </c>
      <c r="B16449" s="27" t="s">
        <v>200</v>
      </c>
      <c r="C16449" s="27" t="s">
        <v>183</v>
      </c>
      <c r="D16449" s="27" t="s">
        <v>7</v>
      </c>
      <c r="E16449" s="27" t="s">
        <v>12</v>
      </c>
      <c r="F16449" s="29"/>
      <c r="G16449" s="30">
        <f t="shared" si="284"/>
        <v>297.35321428571427</v>
      </c>
    </row>
    <row r="16450" spans="1:7" hidden="1" x14ac:dyDescent="0.25">
      <c r="A16450" s="28">
        <v>44866</v>
      </c>
      <c r="B16450" s="27" t="s">
        <v>200</v>
      </c>
      <c r="C16450" s="27" t="s">
        <v>183</v>
      </c>
      <c r="D16450" s="27" t="s">
        <v>7</v>
      </c>
      <c r="E16450" s="27" t="s">
        <v>13</v>
      </c>
      <c r="F16450" s="29"/>
      <c r="G16450" s="30">
        <f t="shared" si="284"/>
        <v>297.35321428571427</v>
      </c>
    </row>
    <row r="16451" spans="1:7" hidden="1" x14ac:dyDescent="0.25">
      <c r="A16451" s="28">
        <v>44866</v>
      </c>
      <c r="B16451" s="27" t="s">
        <v>200</v>
      </c>
      <c r="C16451" s="27" t="s">
        <v>183</v>
      </c>
      <c r="D16451" s="27" t="s">
        <v>7</v>
      </c>
      <c r="E16451" s="27" t="s">
        <v>14</v>
      </c>
      <c r="F16451" s="29"/>
      <c r="G16451" s="30">
        <f t="shared" si="284"/>
        <v>297.35321428571427</v>
      </c>
    </row>
    <row r="16452" spans="1:7" hidden="1" x14ac:dyDescent="0.25">
      <c r="A16452" s="28">
        <v>44866</v>
      </c>
      <c r="B16452" s="27" t="s">
        <v>200</v>
      </c>
      <c r="C16452" s="27" t="s">
        <v>183</v>
      </c>
      <c r="D16452" s="27" t="s">
        <v>7</v>
      </c>
      <c r="E16452" s="27" t="s">
        <v>15</v>
      </c>
      <c r="F16452" s="29"/>
      <c r="G16452" s="30">
        <f t="shared" si="284"/>
        <v>297.35321428571427</v>
      </c>
    </row>
    <row r="16453" spans="1:7" hidden="1" x14ac:dyDescent="0.25">
      <c r="A16453" s="28">
        <v>44866</v>
      </c>
      <c r="B16453" s="27" t="s">
        <v>200</v>
      </c>
      <c r="C16453" s="27" t="s">
        <v>183</v>
      </c>
      <c r="D16453" s="27" t="s">
        <v>7</v>
      </c>
      <c r="E16453" s="27" t="s">
        <v>16</v>
      </c>
      <c r="F16453" s="29"/>
      <c r="G16453" s="30">
        <f t="shared" si="284"/>
        <v>297.35321428571427</v>
      </c>
    </row>
    <row r="16454" spans="1:7" hidden="1" x14ac:dyDescent="0.25">
      <c r="A16454" s="28">
        <v>44866</v>
      </c>
      <c r="B16454" s="27" t="s">
        <v>200</v>
      </c>
      <c r="C16454" s="27" t="s">
        <v>183</v>
      </c>
      <c r="D16454" s="27" t="s">
        <v>7</v>
      </c>
      <c r="E16454" s="27" t="s">
        <v>17</v>
      </c>
      <c r="F16454" s="29"/>
      <c r="G16454" s="30">
        <f t="shared" si="284"/>
        <v>297.35321428571427</v>
      </c>
    </row>
    <row r="16455" spans="1:7" hidden="1" x14ac:dyDescent="0.25">
      <c r="A16455" s="28">
        <v>44866</v>
      </c>
      <c r="B16455" s="27" t="s">
        <v>200</v>
      </c>
      <c r="C16455" s="27" t="s">
        <v>183</v>
      </c>
      <c r="D16455" s="27" t="s">
        <v>7</v>
      </c>
      <c r="E16455" s="27" t="s">
        <v>18</v>
      </c>
      <c r="F16455" s="29"/>
      <c r="G16455" s="30">
        <f t="shared" si="284"/>
        <v>297.35321428571427</v>
      </c>
    </row>
    <row r="16456" spans="1:7" hidden="1" x14ac:dyDescent="0.25">
      <c r="A16456" s="28">
        <v>44866</v>
      </c>
      <c r="B16456" s="27" t="s">
        <v>200</v>
      </c>
      <c r="C16456" s="27" t="s">
        <v>183</v>
      </c>
      <c r="D16456" s="27" t="s">
        <v>7</v>
      </c>
      <c r="E16456" s="27" t="s">
        <v>19</v>
      </c>
      <c r="F16456" s="29"/>
      <c r="G16456" s="30">
        <f t="shared" si="284"/>
        <v>297.35321428571427</v>
      </c>
    </row>
    <row r="16457" spans="1:7" hidden="1" x14ac:dyDescent="0.25">
      <c r="A16457" s="28">
        <v>44866</v>
      </c>
      <c r="B16457" s="27" t="s">
        <v>200</v>
      </c>
      <c r="C16457" s="27" t="s">
        <v>183</v>
      </c>
      <c r="D16457" s="27" t="s">
        <v>7</v>
      </c>
      <c r="E16457" s="27" t="s">
        <v>20</v>
      </c>
      <c r="F16457" s="29"/>
      <c r="G16457" s="30">
        <f t="shared" si="284"/>
        <v>297.35321428571427</v>
      </c>
    </row>
    <row r="16458" spans="1:7" hidden="1" x14ac:dyDescent="0.25">
      <c r="A16458" s="28">
        <v>44866</v>
      </c>
      <c r="B16458" s="27" t="s">
        <v>200</v>
      </c>
      <c r="C16458" s="27" t="s">
        <v>183</v>
      </c>
      <c r="D16458" s="27" t="s">
        <v>7</v>
      </c>
      <c r="E16458" s="27" t="s">
        <v>38</v>
      </c>
      <c r="F16458" s="29"/>
      <c r="G16458" s="30">
        <f t="shared" si="284"/>
        <v>297.35321428571427</v>
      </c>
    </row>
    <row r="16459" spans="1:7" hidden="1" x14ac:dyDescent="0.25">
      <c r="A16459" s="28">
        <v>44866</v>
      </c>
      <c r="B16459" s="27" t="s">
        <v>200</v>
      </c>
      <c r="C16459" s="27" t="s">
        <v>183</v>
      </c>
      <c r="D16459" s="27" t="s">
        <v>7</v>
      </c>
      <c r="E16459" s="27" t="s">
        <v>23</v>
      </c>
      <c r="F16459" s="29"/>
      <c r="G16459" s="30">
        <f t="shared" si="284"/>
        <v>297.35321428571427</v>
      </c>
    </row>
    <row r="16460" spans="1:7" hidden="1" x14ac:dyDescent="0.25">
      <c r="A16460" s="28">
        <v>44866</v>
      </c>
      <c r="B16460" s="27" t="s">
        <v>200</v>
      </c>
      <c r="C16460" s="27" t="s">
        <v>183</v>
      </c>
      <c r="D16460" s="27" t="s">
        <v>7</v>
      </c>
      <c r="E16460" s="27" t="s">
        <v>40</v>
      </c>
      <c r="F16460" s="29"/>
      <c r="G16460" s="30">
        <f t="shared" si="284"/>
        <v>297.35321428571427</v>
      </c>
    </row>
    <row r="16461" spans="1:7" hidden="1" x14ac:dyDescent="0.25">
      <c r="A16461" s="28">
        <v>44866</v>
      </c>
      <c r="B16461" s="27" t="s">
        <v>200</v>
      </c>
      <c r="C16461" s="27" t="s">
        <v>183</v>
      </c>
      <c r="D16461" s="27" t="s">
        <v>7</v>
      </c>
      <c r="E16461" s="27" t="s">
        <v>42</v>
      </c>
      <c r="F16461" s="29"/>
      <c r="G16461" s="30">
        <f t="shared" si="284"/>
        <v>297.35321428571427</v>
      </c>
    </row>
    <row r="16462" spans="1:7" hidden="1" x14ac:dyDescent="0.25">
      <c r="A16462" s="28">
        <v>44866</v>
      </c>
      <c r="B16462" s="27" t="s">
        <v>200</v>
      </c>
      <c r="C16462" s="27" t="s">
        <v>183</v>
      </c>
      <c r="D16462" s="27" t="s">
        <v>7</v>
      </c>
      <c r="E16462" s="27" t="s">
        <v>43</v>
      </c>
      <c r="F16462" s="29"/>
      <c r="G16462" s="30">
        <f t="shared" si="284"/>
        <v>297.35321428571427</v>
      </c>
    </row>
    <row r="16463" spans="1:7" hidden="1" x14ac:dyDescent="0.25">
      <c r="A16463" s="28">
        <v>44866</v>
      </c>
      <c r="B16463" s="27" t="s">
        <v>200</v>
      </c>
      <c r="C16463" s="27" t="s">
        <v>183</v>
      </c>
      <c r="D16463" s="27" t="s">
        <v>7</v>
      </c>
      <c r="E16463" s="27" t="s">
        <v>72</v>
      </c>
      <c r="F16463" s="29"/>
      <c r="G16463" s="30">
        <f t="shared" si="284"/>
        <v>297.35321428571427</v>
      </c>
    </row>
    <row r="16464" spans="1:7" hidden="1" x14ac:dyDescent="0.25">
      <c r="A16464" s="28">
        <v>44866</v>
      </c>
      <c r="B16464" s="27" t="s">
        <v>200</v>
      </c>
      <c r="C16464" s="27" t="s">
        <v>183</v>
      </c>
      <c r="D16464" s="27" t="s">
        <v>7</v>
      </c>
      <c r="E16464" s="27" t="s">
        <v>206</v>
      </c>
      <c r="F16464" s="29"/>
      <c r="G16464" s="30">
        <f t="shared" si="284"/>
        <v>297.35321428571427</v>
      </c>
    </row>
    <row r="16465" spans="1:7" hidden="1" x14ac:dyDescent="0.25">
      <c r="A16465" s="28">
        <v>44866</v>
      </c>
      <c r="B16465" s="27" t="s">
        <v>200</v>
      </c>
      <c r="C16465" s="27" t="s">
        <v>183</v>
      </c>
      <c r="D16465" s="27" t="s">
        <v>7</v>
      </c>
      <c r="E16465" s="27" t="s">
        <v>67</v>
      </c>
      <c r="F16465" s="29"/>
      <c r="G16465" s="30">
        <f t="shared" si="284"/>
        <v>297.35321428571427</v>
      </c>
    </row>
    <row r="16466" spans="1:7" hidden="1" x14ac:dyDescent="0.25">
      <c r="A16466" s="28">
        <v>44866</v>
      </c>
      <c r="B16466" s="27" t="s">
        <v>200</v>
      </c>
      <c r="C16466" s="27" t="s">
        <v>183</v>
      </c>
      <c r="D16466" s="27" t="s">
        <v>7</v>
      </c>
      <c r="E16466" s="27" t="s">
        <v>68</v>
      </c>
      <c r="F16466" s="29"/>
      <c r="G16466" s="30">
        <f t="shared" si="284"/>
        <v>297.35321428571427</v>
      </c>
    </row>
    <row r="16467" spans="1:7" hidden="1" x14ac:dyDescent="0.25">
      <c r="A16467" s="28">
        <v>44866</v>
      </c>
      <c r="B16467" s="27" t="s">
        <v>200</v>
      </c>
      <c r="C16467" s="27" t="s">
        <v>183</v>
      </c>
      <c r="D16467" s="27" t="s">
        <v>7</v>
      </c>
      <c r="E16467" s="27" t="s">
        <v>74</v>
      </c>
      <c r="F16467" s="29"/>
      <c r="G16467" s="30">
        <f t="shared" si="284"/>
        <v>297.35321428571427</v>
      </c>
    </row>
    <row r="16468" spans="1:7" hidden="1" x14ac:dyDescent="0.25">
      <c r="A16468" s="28">
        <v>44866</v>
      </c>
      <c r="B16468" s="27" t="s">
        <v>200</v>
      </c>
      <c r="C16468" s="27" t="s">
        <v>56</v>
      </c>
      <c r="D16468" s="27" t="s">
        <v>6</v>
      </c>
      <c r="E16468" s="27" t="s">
        <v>8</v>
      </c>
      <c r="F16468" s="29"/>
      <c r="G16468" s="30">
        <f t="shared" ref="G16468:G16491" si="285">50915.5565333333/24</f>
        <v>2121.481522222221</v>
      </c>
    </row>
    <row r="16469" spans="1:7" hidden="1" x14ac:dyDescent="0.25">
      <c r="A16469" s="28">
        <v>44866</v>
      </c>
      <c r="B16469" s="27" t="s">
        <v>200</v>
      </c>
      <c r="C16469" s="27" t="s">
        <v>56</v>
      </c>
      <c r="D16469" s="27" t="s">
        <v>6</v>
      </c>
      <c r="E16469" s="27" t="s">
        <v>9</v>
      </c>
      <c r="F16469" s="29"/>
      <c r="G16469" s="30">
        <f t="shared" si="285"/>
        <v>2121.481522222221</v>
      </c>
    </row>
    <row r="16470" spans="1:7" hidden="1" x14ac:dyDescent="0.25">
      <c r="A16470" s="28">
        <v>44866</v>
      </c>
      <c r="B16470" s="27" t="s">
        <v>200</v>
      </c>
      <c r="C16470" s="27" t="s">
        <v>56</v>
      </c>
      <c r="D16470" s="27" t="s">
        <v>6</v>
      </c>
      <c r="E16470" s="27" t="s">
        <v>22</v>
      </c>
      <c r="F16470" s="29"/>
      <c r="G16470" s="30">
        <f t="shared" si="285"/>
        <v>2121.481522222221</v>
      </c>
    </row>
    <row r="16471" spans="1:7" hidden="1" x14ac:dyDescent="0.25">
      <c r="A16471" s="28">
        <v>44866</v>
      </c>
      <c r="B16471" s="27" t="s">
        <v>200</v>
      </c>
      <c r="C16471" s="27" t="s">
        <v>56</v>
      </c>
      <c r="D16471" s="27" t="s">
        <v>6</v>
      </c>
      <c r="E16471" s="27" t="s">
        <v>39</v>
      </c>
      <c r="F16471" s="29"/>
      <c r="G16471" s="30">
        <f t="shared" si="285"/>
        <v>2121.481522222221</v>
      </c>
    </row>
    <row r="16472" spans="1:7" hidden="1" x14ac:dyDescent="0.25">
      <c r="A16472" s="28">
        <v>44866</v>
      </c>
      <c r="B16472" s="27" t="s">
        <v>200</v>
      </c>
      <c r="C16472" s="27" t="s">
        <v>56</v>
      </c>
      <c r="D16472" s="27" t="s">
        <v>6</v>
      </c>
      <c r="E16472" s="27" t="s">
        <v>64</v>
      </c>
      <c r="F16472" s="29"/>
      <c r="G16472" s="30">
        <f t="shared" si="285"/>
        <v>2121.481522222221</v>
      </c>
    </row>
    <row r="16473" spans="1:7" hidden="1" x14ac:dyDescent="0.25">
      <c r="A16473" s="28">
        <v>44866</v>
      </c>
      <c r="B16473" s="27" t="s">
        <v>200</v>
      </c>
      <c r="C16473" s="27" t="s">
        <v>56</v>
      </c>
      <c r="D16473" s="27" t="s">
        <v>6</v>
      </c>
      <c r="E16473" s="27" t="s">
        <v>21</v>
      </c>
      <c r="F16473" s="29"/>
      <c r="G16473" s="30">
        <f t="shared" si="285"/>
        <v>2121.481522222221</v>
      </c>
    </row>
    <row r="16474" spans="1:7" hidden="1" x14ac:dyDescent="0.25">
      <c r="A16474" s="28">
        <v>44866</v>
      </c>
      <c r="B16474" s="27" t="s">
        <v>200</v>
      </c>
      <c r="C16474" s="27" t="s">
        <v>56</v>
      </c>
      <c r="D16474" s="27" t="s">
        <v>6</v>
      </c>
      <c r="E16474" s="27" t="s">
        <v>41</v>
      </c>
      <c r="F16474" s="29"/>
      <c r="G16474" s="30">
        <f t="shared" si="285"/>
        <v>2121.481522222221</v>
      </c>
    </row>
    <row r="16475" spans="1:7" hidden="1" x14ac:dyDescent="0.25">
      <c r="A16475" s="28">
        <v>44866</v>
      </c>
      <c r="B16475" s="27" t="s">
        <v>200</v>
      </c>
      <c r="C16475" s="27" t="s">
        <v>56</v>
      </c>
      <c r="D16475" s="27" t="s">
        <v>6</v>
      </c>
      <c r="E16475" s="27" t="s">
        <v>10</v>
      </c>
      <c r="F16475" s="29"/>
      <c r="G16475" s="30">
        <f t="shared" si="285"/>
        <v>2121.481522222221</v>
      </c>
    </row>
    <row r="16476" spans="1:7" hidden="1" x14ac:dyDescent="0.25">
      <c r="A16476" s="28">
        <v>44866</v>
      </c>
      <c r="B16476" s="27" t="s">
        <v>200</v>
      </c>
      <c r="C16476" s="27" t="s">
        <v>56</v>
      </c>
      <c r="D16476" s="27" t="s">
        <v>6</v>
      </c>
      <c r="E16476" s="27" t="s">
        <v>11</v>
      </c>
      <c r="F16476" s="29"/>
      <c r="G16476" s="30">
        <f t="shared" si="285"/>
        <v>2121.481522222221</v>
      </c>
    </row>
    <row r="16477" spans="1:7" hidden="1" x14ac:dyDescent="0.25">
      <c r="A16477" s="28">
        <v>44866</v>
      </c>
      <c r="B16477" s="27" t="s">
        <v>200</v>
      </c>
      <c r="C16477" s="27" t="s">
        <v>56</v>
      </c>
      <c r="D16477" s="27" t="s">
        <v>6</v>
      </c>
      <c r="E16477" s="27" t="s">
        <v>12</v>
      </c>
      <c r="F16477" s="29"/>
      <c r="G16477" s="30">
        <f t="shared" si="285"/>
        <v>2121.481522222221</v>
      </c>
    </row>
    <row r="16478" spans="1:7" hidden="1" x14ac:dyDescent="0.25">
      <c r="A16478" s="28">
        <v>44866</v>
      </c>
      <c r="B16478" s="27" t="s">
        <v>200</v>
      </c>
      <c r="C16478" s="27" t="s">
        <v>56</v>
      </c>
      <c r="D16478" s="27" t="s">
        <v>6</v>
      </c>
      <c r="E16478" s="27" t="s">
        <v>13</v>
      </c>
      <c r="F16478" s="29"/>
      <c r="G16478" s="30">
        <f t="shared" si="285"/>
        <v>2121.481522222221</v>
      </c>
    </row>
    <row r="16479" spans="1:7" hidden="1" x14ac:dyDescent="0.25">
      <c r="A16479" s="28">
        <v>44866</v>
      </c>
      <c r="B16479" s="27" t="s">
        <v>200</v>
      </c>
      <c r="C16479" s="27" t="s">
        <v>56</v>
      </c>
      <c r="D16479" s="27" t="s">
        <v>6</v>
      </c>
      <c r="E16479" s="27" t="s">
        <v>14</v>
      </c>
      <c r="F16479" s="29"/>
      <c r="G16479" s="30">
        <f t="shared" si="285"/>
        <v>2121.481522222221</v>
      </c>
    </row>
    <row r="16480" spans="1:7" hidden="1" x14ac:dyDescent="0.25">
      <c r="A16480" s="28">
        <v>44866</v>
      </c>
      <c r="B16480" s="27" t="s">
        <v>200</v>
      </c>
      <c r="C16480" s="27" t="s">
        <v>56</v>
      </c>
      <c r="D16480" s="27" t="s">
        <v>6</v>
      </c>
      <c r="E16480" s="27" t="s">
        <v>15</v>
      </c>
      <c r="F16480" s="29"/>
      <c r="G16480" s="30">
        <f t="shared" si="285"/>
        <v>2121.481522222221</v>
      </c>
    </row>
    <row r="16481" spans="1:7" hidden="1" x14ac:dyDescent="0.25">
      <c r="A16481" s="28">
        <v>44866</v>
      </c>
      <c r="B16481" s="27" t="s">
        <v>200</v>
      </c>
      <c r="C16481" s="27" t="s">
        <v>56</v>
      </c>
      <c r="D16481" s="27" t="s">
        <v>6</v>
      </c>
      <c r="E16481" s="27" t="s">
        <v>16</v>
      </c>
      <c r="F16481" s="29"/>
      <c r="G16481" s="30">
        <f t="shared" si="285"/>
        <v>2121.481522222221</v>
      </c>
    </row>
    <row r="16482" spans="1:7" hidden="1" x14ac:dyDescent="0.25">
      <c r="A16482" s="28">
        <v>44866</v>
      </c>
      <c r="B16482" s="27" t="s">
        <v>200</v>
      </c>
      <c r="C16482" s="27" t="s">
        <v>56</v>
      </c>
      <c r="D16482" s="27" t="s">
        <v>6</v>
      </c>
      <c r="E16482" s="27" t="s">
        <v>17</v>
      </c>
      <c r="F16482" s="29"/>
      <c r="G16482" s="30">
        <f t="shared" si="285"/>
        <v>2121.481522222221</v>
      </c>
    </row>
    <row r="16483" spans="1:7" hidden="1" x14ac:dyDescent="0.25">
      <c r="A16483" s="28">
        <v>44866</v>
      </c>
      <c r="B16483" s="27" t="s">
        <v>200</v>
      </c>
      <c r="C16483" s="27" t="s">
        <v>56</v>
      </c>
      <c r="D16483" s="27" t="s">
        <v>6</v>
      </c>
      <c r="E16483" s="27" t="s">
        <v>18</v>
      </c>
      <c r="F16483" s="29"/>
      <c r="G16483" s="30">
        <f t="shared" si="285"/>
        <v>2121.481522222221</v>
      </c>
    </row>
    <row r="16484" spans="1:7" hidden="1" x14ac:dyDescent="0.25">
      <c r="A16484" s="28">
        <v>44866</v>
      </c>
      <c r="B16484" s="27" t="s">
        <v>200</v>
      </c>
      <c r="C16484" s="27" t="s">
        <v>56</v>
      </c>
      <c r="D16484" s="27" t="s">
        <v>6</v>
      </c>
      <c r="E16484" s="27" t="s">
        <v>19</v>
      </c>
      <c r="F16484" s="29"/>
      <c r="G16484" s="30">
        <f t="shared" si="285"/>
        <v>2121.481522222221</v>
      </c>
    </row>
    <row r="16485" spans="1:7" hidden="1" x14ac:dyDescent="0.25">
      <c r="A16485" s="28">
        <v>44866</v>
      </c>
      <c r="B16485" s="27" t="s">
        <v>200</v>
      </c>
      <c r="C16485" s="27" t="s">
        <v>56</v>
      </c>
      <c r="D16485" s="27" t="s">
        <v>6</v>
      </c>
      <c r="E16485" s="27" t="s">
        <v>20</v>
      </c>
      <c r="F16485" s="29"/>
      <c r="G16485" s="30">
        <f t="shared" si="285"/>
        <v>2121.481522222221</v>
      </c>
    </row>
    <row r="16486" spans="1:7" hidden="1" x14ac:dyDescent="0.25">
      <c r="A16486" s="28">
        <v>44866</v>
      </c>
      <c r="B16486" s="27" t="s">
        <v>200</v>
      </c>
      <c r="C16486" s="27" t="s">
        <v>56</v>
      </c>
      <c r="D16486" s="27" t="s">
        <v>6</v>
      </c>
      <c r="E16486" s="27" t="s">
        <v>38</v>
      </c>
      <c r="F16486" s="29"/>
      <c r="G16486" s="30">
        <f t="shared" si="285"/>
        <v>2121.481522222221</v>
      </c>
    </row>
    <row r="16487" spans="1:7" hidden="1" x14ac:dyDescent="0.25">
      <c r="A16487" s="28">
        <v>44866</v>
      </c>
      <c r="B16487" s="27" t="s">
        <v>200</v>
      </c>
      <c r="C16487" s="27" t="s">
        <v>56</v>
      </c>
      <c r="D16487" s="27" t="s">
        <v>6</v>
      </c>
      <c r="E16487" s="27" t="s">
        <v>23</v>
      </c>
      <c r="F16487" s="29"/>
      <c r="G16487" s="30">
        <f t="shared" si="285"/>
        <v>2121.481522222221</v>
      </c>
    </row>
    <row r="16488" spans="1:7" hidden="1" x14ac:dyDescent="0.25">
      <c r="A16488" s="28">
        <v>44866</v>
      </c>
      <c r="B16488" s="27" t="s">
        <v>200</v>
      </c>
      <c r="C16488" s="27" t="s">
        <v>56</v>
      </c>
      <c r="D16488" s="27" t="s">
        <v>6</v>
      </c>
      <c r="E16488" s="27" t="s">
        <v>40</v>
      </c>
      <c r="F16488" s="29"/>
      <c r="G16488" s="30">
        <f t="shared" si="285"/>
        <v>2121.481522222221</v>
      </c>
    </row>
    <row r="16489" spans="1:7" hidden="1" x14ac:dyDescent="0.25">
      <c r="A16489" s="28">
        <v>44866</v>
      </c>
      <c r="B16489" s="27" t="s">
        <v>200</v>
      </c>
      <c r="C16489" s="27" t="s">
        <v>56</v>
      </c>
      <c r="D16489" s="27" t="s">
        <v>6</v>
      </c>
      <c r="E16489" s="27" t="s">
        <v>42</v>
      </c>
      <c r="F16489" s="29"/>
      <c r="G16489" s="30">
        <f t="shared" si="285"/>
        <v>2121.481522222221</v>
      </c>
    </row>
    <row r="16490" spans="1:7" hidden="1" x14ac:dyDescent="0.25">
      <c r="A16490" s="28">
        <v>44866</v>
      </c>
      <c r="B16490" s="27" t="s">
        <v>200</v>
      </c>
      <c r="C16490" s="27" t="s">
        <v>56</v>
      </c>
      <c r="D16490" s="27" t="s">
        <v>6</v>
      </c>
      <c r="E16490" s="27" t="s">
        <v>72</v>
      </c>
      <c r="F16490" s="29"/>
      <c r="G16490" s="30">
        <f t="shared" si="285"/>
        <v>2121.481522222221</v>
      </c>
    </row>
    <row r="16491" spans="1:7" hidden="1" x14ac:dyDescent="0.25">
      <c r="A16491" s="28">
        <v>44866</v>
      </c>
      <c r="B16491" s="27" t="s">
        <v>200</v>
      </c>
      <c r="C16491" s="27" t="s">
        <v>56</v>
      </c>
      <c r="D16491" s="27" t="s">
        <v>6</v>
      </c>
      <c r="E16491" s="27" t="s">
        <v>12</v>
      </c>
      <c r="F16491" s="29"/>
      <c r="G16491" s="30">
        <f t="shared" si="285"/>
        <v>2121.481522222221</v>
      </c>
    </row>
    <row r="16492" spans="1:7" hidden="1" x14ac:dyDescent="0.25">
      <c r="A16492" s="28">
        <v>44866</v>
      </c>
      <c r="B16492" s="27" t="s">
        <v>200</v>
      </c>
      <c r="C16492" s="27" t="s">
        <v>182</v>
      </c>
      <c r="D16492" s="27" t="s">
        <v>7</v>
      </c>
      <c r="E16492" s="27" t="s">
        <v>8</v>
      </c>
      <c r="F16492" s="29"/>
      <c r="G16492" s="30">
        <f t="shared" ref="G16492:G16516" si="286">10189.15/25</f>
        <v>407.56599999999997</v>
      </c>
    </row>
    <row r="16493" spans="1:7" hidden="1" x14ac:dyDescent="0.25">
      <c r="A16493" s="28">
        <v>44866</v>
      </c>
      <c r="B16493" s="27" t="s">
        <v>200</v>
      </c>
      <c r="C16493" s="27" t="s">
        <v>182</v>
      </c>
      <c r="D16493" s="27" t="s">
        <v>7</v>
      </c>
      <c r="E16493" s="27" t="s">
        <v>9</v>
      </c>
      <c r="F16493" s="29"/>
      <c r="G16493" s="30">
        <f t="shared" si="286"/>
        <v>407.56599999999997</v>
      </c>
    </row>
    <row r="16494" spans="1:7" hidden="1" x14ac:dyDescent="0.25">
      <c r="A16494" s="28">
        <v>44866</v>
      </c>
      <c r="B16494" s="27" t="s">
        <v>200</v>
      </c>
      <c r="C16494" s="27" t="s">
        <v>182</v>
      </c>
      <c r="D16494" s="27" t="s">
        <v>7</v>
      </c>
      <c r="E16494" s="27" t="s">
        <v>22</v>
      </c>
      <c r="F16494" s="29"/>
      <c r="G16494" s="30">
        <f t="shared" si="286"/>
        <v>407.56599999999997</v>
      </c>
    </row>
    <row r="16495" spans="1:7" hidden="1" x14ac:dyDescent="0.25">
      <c r="A16495" s="28">
        <v>44866</v>
      </c>
      <c r="B16495" s="27" t="s">
        <v>200</v>
      </c>
      <c r="C16495" s="27" t="s">
        <v>182</v>
      </c>
      <c r="D16495" s="27" t="s">
        <v>7</v>
      </c>
      <c r="E16495" s="27" t="s">
        <v>39</v>
      </c>
      <c r="F16495" s="29"/>
      <c r="G16495" s="30">
        <f t="shared" si="286"/>
        <v>407.56599999999997</v>
      </c>
    </row>
    <row r="16496" spans="1:7" hidden="1" x14ac:dyDescent="0.25">
      <c r="A16496" s="28">
        <v>44866</v>
      </c>
      <c r="B16496" s="27" t="s">
        <v>200</v>
      </c>
      <c r="C16496" s="27" t="s">
        <v>182</v>
      </c>
      <c r="D16496" s="27" t="s">
        <v>7</v>
      </c>
      <c r="E16496" s="27" t="s">
        <v>64</v>
      </c>
      <c r="F16496" s="29"/>
      <c r="G16496" s="30">
        <f t="shared" si="286"/>
        <v>407.56599999999997</v>
      </c>
    </row>
    <row r="16497" spans="1:7" hidden="1" x14ac:dyDescent="0.25">
      <c r="A16497" s="28">
        <v>44866</v>
      </c>
      <c r="B16497" s="27" t="s">
        <v>200</v>
      </c>
      <c r="C16497" s="27" t="s">
        <v>182</v>
      </c>
      <c r="D16497" s="27" t="s">
        <v>7</v>
      </c>
      <c r="E16497" s="27" t="s">
        <v>21</v>
      </c>
      <c r="F16497" s="29"/>
      <c r="G16497" s="30">
        <f t="shared" si="286"/>
        <v>407.56599999999997</v>
      </c>
    </row>
    <row r="16498" spans="1:7" hidden="1" x14ac:dyDescent="0.25">
      <c r="A16498" s="28">
        <v>44866</v>
      </c>
      <c r="B16498" s="27" t="s">
        <v>200</v>
      </c>
      <c r="C16498" s="27" t="s">
        <v>182</v>
      </c>
      <c r="D16498" s="27" t="s">
        <v>7</v>
      </c>
      <c r="E16498" s="27" t="s">
        <v>41</v>
      </c>
      <c r="F16498" s="29"/>
      <c r="G16498" s="30">
        <f t="shared" si="286"/>
        <v>407.56599999999997</v>
      </c>
    </row>
    <row r="16499" spans="1:7" hidden="1" x14ac:dyDescent="0.25">
      <c r="A16499" s="28">
        <v>44866</v>
      </c>
      <c r="B16499" s="27" t="s">
        <v>200</v>
      </c>
      <c r="C16499" s="27" t="s">
        <v>182</v>
      </c>
      <c r="D16499" s="27" t="s">
        <v>7</v>
      </c>
      <c r="E16499" s="27" t="s">
        <v>10</v>
      </c>
      <c r="F16499" s="29"/>
      <c r="G16499" s="30">
        <f t="shared" si="286"/>
        <v>407.56599999999997</v>
      </c>
    </row>
    <row r="16500" spans="1:7" hidden="1" x14ac:dyDescent="0.25">
      <c r="A16500" s="28">
        <v>44866</v>
      </c>
      <c r="B16500" s="27" t="s">
        <v>200</v>
      </c>
      <c r="C16500" s="27" t="s">
        <v>182</v>
      </c>
      <c r="D16500" s="27" t="s">
        <v>7</v>
      </c>
      <c r="E16500" s="27" t="s">
        <v>11</v>
      </c>
      <c r="F16500" s="29"/>
      <c r="G16500" s="30">
        <f t="shared" si="286"/>
        <v>407.56599999999997</v>
      </c>
    </row>
    <row r="16501" spans="1:7" hidden="1" x14ac:dyDescent="0.25">
      <c r="A16501" s="28">
        <v>44866</v>
      </c>
      <c r="B16501" s="27" t="s">
        <v>200</v>
      </c>
      <c r="C16501" s="27" t="s">
        <v>182</v>
      </c>
      <c r="D16501" s="27" t="s">
        <v>7</v>
      </c>
      <c r="E16501" s="27" t="s">
        <v>12</v>
      </c>
      <c r="F16501" s="29"/>
      <c r="G16501" s="30">
        <f t="shared" si="286"/>
        <v>407.56599999999997</v>
      </c>
    </row>
    <row r="16502" spans="1:7" hidden="1" x14ac:dyDescent="0.25">
      <c r="A16502" s="28">
        <v>44866</v>
      </c>
      <c r="B16502" s="27" t="s">
        <v>200</v>
      </c>
      <c r="C16502" s="27" t="s">
        <v>182</v>
      </c>
      <c r="D16502" s="27" t="s">
        <v>7</v>
      </c>
      <c r="E16502" s="27" t="s">
        <v>13</v>
      </c>
      <c r="F16502" s="29"/>
      <c r="G16502" s="30">
        <f t="shared" si="286"/>
        <v>407.56599999999997</v>
      </c>
    </row>
    <row r="16503" spans="1:7" hidden="1" x14ac:dyDescent="0.25">
      <c r="A16503" s="28">
        <v>44866</v>
      </c>
      <c r="B16503" s="27" t="s">
        <v>200</v>
      </c>
      <c r="C16503" s="27" t="s">
        <v>182</v>
      </c>
      <c r="D16503" s="27" t="s">
        <v>7</v>
      </c>
      <c r="E16503" s="27" t="s">
        <v>14</v>
      </c>
      <c r="F16503" s="29"/>
      <c r="G16503" s="30">
        <f t="shared" si="286"/>
        <v>407.56599999999997</v>
      </c>
    </row>
    <row r="16504" spans="1:7" hidden="1" x14ac:dyDescent="0.25">
      <c r="A16504" s="28">
        <v>44866</v>
      </c>
      <c r="B16504" s="27" t="s">
        <v>200</v>
      </c>
      <c r="C16504" s="27" t="s">
        <v>182</v>
      </c>
      <c r="D16504" s="27" t="s">
        <v>7</v>
      </c>
      <c r="E16504" s="27" t="s">
        <v>15</v>
      </c>
      <c r="F16504" s="29"/>
      <c r="G16504" s="30">
        <f t="shared" si="286"/>
        <v>407.56599999999997</v>
      </c>
    </row>
    <row r="16505" spans="1:7" hidden="1" x14ac:dyDescent="0.25">
      <c r="A16505" s="28">
        <v>44866</v>
      </c>
      <c r="B16505" s="27" t="s">
        <v>200</v>
      </c>
      <c r="C16505" s="27" t="s">
        <v>182</v>
      </c>
      <c r="D16505" s="27" t="s">
        <v>7</v>
      </c>
      <c r="E16505" s="27" t="s">
        <v>16</v>
      </c>
      <c r="F16505" s="29"/>
      <c r="G16505" s="30">
        <f t="shared" si="286"/>
        <v>407.56599999999997</v>
      </c>
    </row>
    <row r="16506" spans="1:7" hidden="1" x14ac:dyDescent="0.25">
      <c r="A16506" s="28">
        <v>44866</v>
      </c>
      <c r="B16506" s="27" t="s">
        <v>200</v>
      </c>
      <c r="C16506" s="27" t="s">
        <v>182</v>
      </c>
      <c r="D16506" s="27" t="s">
        <v>7</v>
      </c>
      <c r="E16506" s="27" t="s">
        <v>17</v>
      </c>
      <c r="F16506" s="29"/>
      <c r="G16506" s="30">
        <f t="shared" si="286"/>
        <v>407.56599999999997</v>
      </c>
    </row>
    <row r="16507" spans="1:7" hidden="1" x14ac:dyDescent="0.25">
      <c r="A16507" s="28">
        <v>44866</v>
      </c>
      <c r="B16507" s="27" t="s">
        <v>200</v>
      </c>
      <c r="C16507" s="27" t="s">
        <v>182</v>
      </c>
      <c r="D16507" s="27" t="s">
        <v>7</v>
      </c>
      <c r="E16507" s="27" t="s">
        <v>18</v>
      </c>
      <c r="F16507" s="29"/>
      <c r="G16507" s="30">
        <f t="shared" si="286"/>
        <v>407.56599999999997</v>
      </c>
    </row>
    <row r="16508" spans="1:7" hidden="1" x14ac:dyDescent="0.25">
      <c r="A16508" s="28">
        <v>44866</v>
      </c>
      <c r="B16508" s="27" t="s">
        <v>200</v>
      </c>
      <c r="C16508" s="27" t="s">
        <v>182</v>
      </c>
      <c r="D16508" s="27" t="s">
        <v>7</v>
      </c>
      <c r="E16508" s="27" t="s">
        <v>19</v>
      </c>
      <c r="F16508" s="29"/>
      <c r="G16508" s="30">
        <f t="shared" si="286"/>
        <v>407.56599999999997</v>
      </c>
    </row>
    <row r="16509" spans="1:7" hidden="1" x14ac:dyDescent="0.25">
      <c r="A16509" s="28">
        <v>44866</v>
      </c>
      <c r="B16509" s="27" t="s">
        <v>200</v>
      </c>
      <c r="C16509" s="27" t="s">
        <v>182</v>
      </c>
      <c r="D16509" s="27" t="s">
        <v>7</v>
      </c>
      <c r="E16509" s="27" t="s">
        <v>20</v>
      </c>
      <c r="F16509" s="29"/>
      <c r="G16509" s="30">
        <f t="shared" si="286"/>
        <v>407.56599999999997</v>
      </c>
    </row>
    <row r="16510" spans="1:7" hidden="1" x14ac:dyDescent="0.25">
      <c r="A16510" s="28">
        <v>44866</v>
      </c>
      <c r="B16510" s="27" t="s">
        <v>200</v>
      </c>
      <c r="C16510" s="27" t="s">
        <v>182</v>
      </c>
      <c r="D16510" s="27" t="s">
        <v>7</v>
      </c>
      <c r="E16510" s="27" t="s">
        <v>38</v>
      </c>
      <c r="F16510" s="29"/>
      <c r="G16510" s="30">
        <f t="shared" si="286"/>
        <v>407.56599999999997</v>
      </c>
    </row>
    <row r="16511" spans="1:7" hidden="1" x14ac:dyDescent="0.25">
      <c r="A16511" s="28">
        <v>44866</v>
      </c>
      <c r="B16511" s="27" t="s">
        <v>200</v>
      </c>
      <c r="C16511" s="27" t="s">
        <v>182</v>
      </c>
      <c r="D16511" s="27" t="s">
        <v>7</v>
      </c>
      <c r="E16511" s="27" t="s">
        <v>23</v>
      </c>
      <c r="F16511" s="29"/>
      <c r="G16511" s="30">
        <f t="shared" si="286"/>
        <v>407.56599999999997</v>
      </c>
    </row>
    <row r="16512" spans="1:7" hidden="1" x14ac:dyDescent="0.25">
      <c r="A16512" s="28">
        <v>44866</v>
      </c>
      <c r="B16512" s="27" t="s">
        <v>200</v>
      </c>
      <c r="C16512" s="27" t="s">
        <v>182</v>
      </c>
      <c r="D16512" s="27" t="s">
        <v>7</v>
      </c>
      <c r="E16512" s="27" t="s">
        <v>40</v>
      </c>
      <c r="F16512" s="29"/>
      <c r="G16512" s="30">
        <f t="shared" si="286"/>
        <v>407.56599999999997</v>
      </c>
    </row>
    <row r="16513" spans="1:7" hidden="1" x14ac:dyDescent="0.25">
      <c r="A16513" s="28">
        <v>44866</v>
      </c>
      <c r="B16513" s="27" t="s">
        <v>200</v>
      </c>
      <c r="C16513" s="27" t="s">
        <v>182</v>
      </c>
      <c r="D16513" s="27" t="s">
        <v>7</v>
      </c>
      <c r="E16513" s="27" t="s">
        <v>42</v>
      </c>
      <c r="F16513" s="29"/>
      <c r="G16513" s="30">
        <f t="shared" si="286"/>
        <v>407.56599999999997</v>
      </c>
    </row>
    <row r="16514" spans="1:7" hidden="1" x14ac:dyDescent="0.25">
      <c r="A16514" s="28">
        <v>44866</v>
      </c>
      <c r="B16514" s="27" t="s">
        <v>200</v>
      </c>
      <c r="C16514" s="27" t="s">
        <v>182</v>
      </c>
      <c r="D16514" s="27" t="s">
        <v>7</v>
      </c>
      <c r="E16514" s="27" t="s">
        <v>43</v>
      </c>
      <c r="F16514" s="29"/>
      <c r="G16514" s="30">
        <f t="shared" si="286"/>
        <v>407.56599999999997</v>
      </c>
    </row>
    <row r="16515" spans="1:7" hidden="1" x14ac:dyDescent="0.25">
      <c r="A16515" s="28">
        <v>44866</v>
      </c>
      <c r="B16515" s="27" t="s">
        <v>200</v>
      </c>
      <c r="C16515" s="27" t="s">
        <v>182</v>
      </c>
      <c r="D16515" s="27" t="s">
        <v>7</v>
      </c>
      <c r="E16515" s="27" t="s">
        <v>72</v>
      </c>
      <c r="F16515" s="29"/>
      <c r="G16515" s="30">
        <f t="shared" si="286"/>
        <v>407.56599999999997</v>
      </c>
    </row>
    <row r="16516" spans="1:7" hidden="1" x14ac:dyDescent="0.25">
      <c r="A16516" s="28">
        <v>44866</v>
      </c>
      <c r="B16516" s="27" t="s">
        <v>200</v>
      </c>
      <c r="C16516" s="27" t="s">
        <v>182</v>
      </c>
      <c r="D16516" s="27" t="s">
        <v>7</v>
      </c>
      <c r="E16516" s="27" t="s">
        <v>206</v>
      </c>
      <c r="F16516" s="29"/>
      <c r="G16516" s="30">
        <f t="shared" si="286"/>
        <v>407.56599999999997</v>
      </c>
    </row>
    <row r="16517" spans="1:7" hidden="1" x14ac:dyDescent="0.25">
      <c r="A16517" s="28">
        <v>44866</v>
      </c>
      <c r="B16517" s="27" t="s">
        <v>35</v>
      </c>
      <c r="C16517" s="27" t="s">
        <v>50</v>
      </c>
      <c r="D16517" s="27" t="s">
        <v>7</v>
      </c>
      <c r="E16517" s="27" t="s">
        <v>8</v>
      </c>
      <c r="F16517" s="29"/>
      <c r="G16517" s="30">
        <v>726.42607142857139</v>
      </c>
    </row>
    <row r="16518" spans="1:7" hidden="1" x14ac:dyDescent="0.25">
      <c r="A16518" s="28">
        <v>44866</v>
      </c>
      <c r="B16518" s="27" t="s">
        <v>35</v>
      </c>
      <c r="C16518" s="27" t="s">
        <v>50</v>
      </c>
      <c r="D16518" s="27" t="s">
        <v>7</v>
      </c>
      <c r="E16518" s="27" t="s">
        <v>9</v>
      </c>
      <c r="F16518" s="29"/>
      <c r="G16518" s="30">
        <v>726.42607142857139</v>
      </c>
    </row>
    <row r="16519" spans="1:7" hidden="1" x14ac:dyDescent="0.25">
      <c r="A16519" s="28">
        <v>44866</v>
      </c>
      <c r="B16519" s="27" t="s">
        <v>35</v>
      </c>
      <c r="C16519" s="27" t="s">
        <v>50</v>
      </c>
      <c r="D16519" s="27" t="s">
        <v>7</v>
      </c>
      <c r="E16519" s="27" t="s">
        <v>22</v>
      </c>
      <c r="F16519" s="29"/>
      <c r="G16519" s="30">
        <v>726.42607142857139</v>
      </c>
    </row>
    <row r="16520" spans="1:7" hidden="1" x14ac:dyDescent="0.25">
      <c r="A16520" s="28">
        <v>44866</v>
      </c>
      <c r="B16520" s="27" t="s">
        <v>35</v>
      </c>
      <c r="C16520" s="27" t="s">
        <v>50</v>
      </c>
      <c r="D16520" s="27" t="s">
        <v>7</v>
      </c>
      <c r="E16520" s="27" t="s">
        <v>39</v>
      </c>
      <c r="F16520" s="29"/>
      <c r="G16520" s="30">
        <v>726.42607142857139</v>
      </c>
    </row>
    <row r="16521" spans="1:7" hidden="1" x14ac:dyDescent="0.25">
      <c r="A16521" s="28">
        <v>44866</v>
      </c>
      <c r="B16521" s="27" t="s">
        <v>35</v>
      </c>
      <c r="C16521" s="27" t="s">
        <v>50</v>
      </c>
      <c r="D16521" s="27" t="s">
        <v>7</v>
      </c>
      <c r="E16521" s="27" t="s">
        <v>64</v>
      </c>
      <c r="F16521" s="29"/>
      <c r="G16521" s="30">
        <v>726.42607142857139</v>
      </c>
    </row>
    <row r="16522" spans="1:7" hidden="1" x14ac:dyDescent="0.25">
      <c r="A16522" s="28">
        <v>44866</v>
      </c>
      <c r="B16522" s="27" t="s">
        <v>35</v>
      </c>
      <c r="C16522" s="27" t="s">
        <v>50</v>
      </c>
      <c r="D16522" s="27" t="s">
        <v>7</v>
      </c>
      <c r="E16522" s="27" t="s">
        <v>21</v>
      </c>
      <c r="F16522" s="29"/>
      <c r="G16522" s="30">
        <v>726.42607142857139</v>
      </c>
    </row>
    <row r="16523" spans="1:7" hidden="1" x14ac:dyDescent="0.25">
      <c r="A16523" s="28">
        <v>44866</v>
      </c>
      <c r="B16523" s="27" t="s">
        <v>35</v>
      </c>
      <c r="C16523" s="27" t="s">
        <v>50</v>
      </c>
      <c r="D16523" s="27" t="s">
        <v>7</v>
      </c>
      <c r="E16523" s="27" t="s">
        <v>41</v>
      </c>
      <c r="F16523" s="29"/>
      <c r="G16523" s="30">
        <v>726.42607142857139</v>
      </c>
    </row>
    <row r="16524" spans="1:7" hidden="1" x14ac:dyDescent="0.25">
      <c r="A16524" s="28">
        <v>44866</v>
      </c>
      <c r="B16524" s="27" t="s">
        <v>35</v>
      </c>
      <c r="C16524" s="27" t="s">
        <v>50</v>
      </c>
      <c r="D16524" s="27" t="s">
        <v>7</v>
      </c>
      <c r="E16524" s="27" t="s">
        <v>10</v>
      </c>
      <c r="F16524" s="29"/>
      <c r="G16524" s="30">
        <v>726.42607142857139</v>
      </c>
    </row>
    <row r="16525" spans="1:7" hidden="1" x14ac:dyDescent="0.25">
      <c r="A16525" s="28">
        <v>44866</v>
      </c>
      <c r="B16525" s="27" t="s">
        <v>35</v>
      </c>
      <c r="C16525" s="27" t="s">
        <v>50</v>
      </c>
      <c r="D16525" s="27" t="s">
        <v>7</v>
      </c>
      <c r="E16525" s="27" t="s">
        <v>11</v>
      </c>
      <c r="F16525" s="29"/>
      <c r="G16525" s="30">
        <v>726.42607142857139</v>
      </c>
    </row>
    <row r="16526" spans="1:7" hidden="1" x14ac:dyDescent="0.25">
      <c r="A16526" s="28">
        <v>44866</v>
      </c>
      <c r="B16526" s="27" t="s">
        <v>35</v>
      </c>
      <c r="C16526" s="27" t="s">
        <v>50</v>
      </c>
      <c r="D16526" s="27" t="s">
        <v>7</v>
      </c>
      <c r="E16526" s="27" t="s">
        <v>12</v>
      </c>
      <c r="F16526" s="29"/>
      <c r="G16526" s="30">
        <v>726.42607142857139</v>
      </c>
    </row>
    <row r="16527" spans="1:7" hidden="1" x14ac:dyDescent="0.25">
      <c r="A16527" s="28">
        <v>44866</v>
      </c>
      <c r="B16527" s="27" t="s">
        <v>35</v>
      </c>
      <c r="C16527" s="27" t="s">
        <v>50</v>
      </c>
      <c r="D16527" s="27" t="s">
        <v>7</v>
      </c>
      <c r="E16527" s="27" t="s">
        <v>13</v>
      </c>
      <c r="F16527" s="29"/>
      <c r="G16527" s="30">
        <v>726.42607142857139</v>
      </c>
    </row>
    <row r="16528" spans="1:7" hidden="1" x14ac:dyDescent="0.25">
      <c r="A16528" s="28">
        <v>44866</v>
      </c>
      <c r="B16528" s="27" t="s">
        <v>35</v>
      </c>
      <c r="C16528" s="27" t="s">
        <v>50</v>
      </c>
      <c r="D16528" s="27" t="s">
        <v>7</v>
      </c>
      <c r="E16528" s="27" t="s">
        <v>14</v>
      </c>
      <c r="F16528" s="29"/>
      <c r="G16528" s="30">
        <v>726.42607142857139</v>
      </c>
    </row>
    <row r="16529" spans="1:7" hidden="1" x14ac:dyDescent="0.25">
      <c r="A16529" s="28">
        <v>44866</v>
      </c>
      <c r="B16529" s="27" t="s">
        <v>35</v>
      </c>
      <c r="C16529" s="27" t="s">
        <v>50</v>
      </c>
      <c r="D16529" s="27" t="s">
        <v>7</v>
      </c>
      <c r="E16529" s="27" t="s">
        <v>15</v>
      </c>
      <c r="F16529" s="29"/>
      <c r="G16529" s="30">
        <v>726.42607142857139</v>
      </c>
    </row>
    <row r="16530" spans="1:7" hidden="1" x14ac:dyDescent="0.25">
      <c r="A16530" s="28">
        <v>44866</v>
      </c>
      <c r="B16530" s="27" t="s">
        <v>35</v>
      </c>
      <c r="C16530" s="27" t="s">
        <v>50</v>
      </c>
      <c r="D16530" s="27" t="s">
        <v>7</v>
      </c>
      <c r="E16530" s="27" t="s">
        <v>16</v>
      </c>
      <c r="F16530" s="29"/>
      <c r="G16530" s="30">
        <v>726.42607142857139</v>
      </c>
    </row>
    <row r="16531" spans="1:7" hidden="1" x14ac:dyDescent="0.25">
      <c r="A16531" s="28">
        <v>44866</v>
      </c>
      <c r="B16531" s="27" t="s">
        <v>35</v>
      </c>
      <c r="C16531" s="27" t="s">
        <v>50</v>
      </c>
      <c r="D16531" s="27" t="s">
        <v>7</v>
      </c>
      <c r="E16531" s="27" t="s">
        <v>17</v>
      </c>
      <c r="F16531" s="29"/>
      <c r="G16531" s="30">
        <v>726.42607142857139</v>
      </c>
    </row>
    <row r="16532" spans="1:7" hidden="1" x14ac:dyDescent="0.25">
      <c r="A16532" s="28">
        <v>44866</v>
      </c>
      <c r="B16532" s="27" t="s">
        <v>35</v>
      </c>
      <c r="C16532" s="27" t="s">
        <v>50</v>
      </c>
      <c r="D16532" s="27" t="s">
        <v>7</v>
      </c>
      <c r="E16532" s="27" t="s">
        <v>18</v>
      </c>
      <c r="F16532" s="29"/>
      <c r="G16532" s="30">
        <v>726.42607142857139</v>
      </c>
    </row>
    <row r="16533" spans="1:7" hidden="1" x14ac:dyDescent="0.25">
      <c r="A16533" s="28">
        <v>44866</v>
      </c>
      <c r="B16533" s="27" t="s">
        <v>35</v>
      </c>
      <c r="C16533" s="27" t="s">
        <v>50</v>
      </c>
      <c r="D16533" s="27" t="s">
        <v>7</v>
      </c>
      <c r="E16533" s="27" t="s">
        <v>19</v>
      </c>
      <c r="F16533" s="29"/>
      <c r="G16533" s="30">
        <v>726.42607142857139</v>
      </c>
    </row>
    <row r="16534" spans="1:7" hidden="1" x14ac:dyDescent="0.25">
      <c r="A16534" s="28">
        <v>44866</v>
      </c>
      <c r="B16534" s="27" t="s">
        <v>35</v>
      </c>
      <c r="C16534" s="27" t="s">
        <v>50</v>
      </c>
      <c r="D16534" s="27" t="s">
        <v>7</v>
      </c>
      <c r="E16534" s="27" t="s">
        <v>20</v>
      </c>
      <c r="F16534" s="29"/>
      <c r="G16534" s="30">
        <v>726.42607142857139</v>
      </c>
    </row>
    <row r="16535" spans="1:7" hidden="1" x14ac:dyDescent="0.25">
      <c r="A16535" s="28">
        <v>44866</v>
      </c>
      <c r="B16535" s="27" t="s">
        <v>35</v>
      </c>
      <c r="C16535" s="27" t="s">
        <v>50</v>
      </c>
      <c r="D16535" s="27" t="s">
        <v>7</v>
      </c>
      <c r="E16535" s="27" t="s">
        <v>38</v>
      </c>
      <c r="F16535" s="29"/>
      <c r="G16535" s="30">
        <v>726.42607142857139</v>
      </c>
    </row>
    <row r="16536" spans="1:7" hidden="1" x14ac:dyDescent="0.25">
      <c r="A16536" s="28">
        <v>44866</v>
      </c>
      <c r="B16536" s="27" t="s">
        <v>35</v>
      </c>
      <c r="C16536" s="27" t="s">
        <v>50</v>
      </c>
      <c r="D16536" s="27" t="s">
        <v>7</v>
      </c>
      <c r="E16536" s="27" t="s">
        <v>23</v>
      </c>
      <c r="F16536" s="29"/>
      <c r="G16536" s="30">
        <v>726.42607142857139</v>
      </c>
    </row>
    <row r="16537" spans="1:7" hidden="1" x14ac:dyDescent="0.25">
      <c r="A16537" s="28">
        <v>44866</v>
      </c>
      <c r="B16537" s="27" t="s">
        <v>35</v>
      </c>
      <c r="C16537" s="27" t="s">
        <v>50</v>
      </c>
      <c r="D16537" s="27" t="s">
        <v>7</v>
      </c>
      <c r="E16537" s="27" t="s">
        <v>40</v>
      </c>
      <c r="F16537" s="29"/>
      <c r="G16537" s="30">
        <v>726.42607142857139</v>
      </c>
    </row>
    <row r="16538" spans="1:7" hidden="1" x14ac:dyDescent="0.25">
      <c r="A16538" s="28">
        <v>44866</v>
      </c>
      <c r="B16538" s="27" t="s">
        <v>35</v>
      </c>
      <c r="C16538" s="27" t="s">
        <v>50</v>
      </c>
      <c r="D16538" s="27" t="s">
        <v>7</v>
      </c>
      <c r="E16538" s="27" t="s">
        <v>42</v>
      </c>
      <c r="F16538" s="29"/>
      <c r="G16538" s="30">
        <v>726.42607142857139</v>
      </c>
    </row>
    <row r="16539" spans="1:7" hidden="1" x14ac:dyDescent="0.25">
      <c r="A16539" s="28">
        <v>44866</v>
      </c>
      <c r="B16539" s="27" t="s">
        <v>35</v>
      </c>
      <c r="C16539" s="27" t="s">
        <v>50</v>
      </c>
      <c r="D16539" s="27" t="s">
        <v>7</v>
      </c>
      <c r="E16539" s="27" t="s">
        <v>43</v>
      </c>
      <c r="F16539" s="29"/>
      <c r="G16539" s="30">
        <v>726.42607142857139</v>
      </c>
    </row>
    <row r="16540" spans="1:7" hidden="1" x14ac:dyDescent="0.25">
      <c r="A16540" s="28">
        <v>44866</v>
      </c>
      <c r="B16540" s="27" t="s">
        <v>35</v>
      </c>
      <c r="C16540" s="27" t="s">
        <v>50</v>
      </c>
      <c r="D16540" s="27" t="s">
        <v>7</v>
      </c>
      <c r="E16540" s="27" t="s">
        <v>72</v>
      </c>
      <c r="F16540" s="29"/>
      <c r="G16540" s="30">
        <v>726.42607142857139</v>
      </c>
    </row>
    <row r="16541" spans="1:7" hidden="1" x14ac:dyDescent="0.25">
      <c r="A16541" s="28">
        <v>44866</v>
      </c>
      <c r="B16541" s="27" t="s">
        <v>35</v>
      </c>
      <c r="C16541" s="27" t="s">
        <v>50</v>
      </c>
      <c r="D16541" s="27" t="s">
        <v>7</v>
      </c>
      <c r="E16541" s="27" t="s">
        <v>206</v>
      </c>
      <c r="F16541" s="29"/>
      <c r="G16541" s="30">
        <v>726.42607142857139</v>
      </c>
    </row>
    <row r="16542" spans="1:7" hidden="1" x14ac:dyDescent="0.25">
      <c r="A16542" s="28">
        <v>44866</v>
      </c>
      <c r="B16542" s="27" t="s">
        <v>35</v>
      </c>
      <c r="C16542" s="27" t="s">
        <v>50</v>
      </c>
      <c r="D16542" s="27" t="s">
        <v>7</v>
      </c>
      <c r="E16542" s="27" t="s">
        <v>67</v>
      </c>
      <c r="F16542" s="29"/>
      <c r="G16542" s="30">
        <v>726.42607142857139</v>
      </c>
    </row>
    <row r="16543" spans="1:7" hidden="1" x14ac:dyDescent="0.25">
      <c r="A16543" s="28">
        <v>44866</v>
      </c>
      <c r="B16543" s="27" t="s">
        <v>35</v>
      </c>
      <c r="C16543" s="27" t="s">
        <v>50</v>
      </c>
      <c r="D16543" s="27" t="s">
        <v>7</v>
      </c>
      <c r="E16543" s="27" t="s">
        <v>68</v>
      </c>
      <c r="F16543" s="29"/>
      <c r="G16543" s="30">
        <v>726.42607142857139</v>
      </c>
    </row>
    <row r="16544" spans="1:7" hidden="1" x14ac:dyDescent="0.25">
      <c r="A16544" s="28">
        <v>44866</v>
      </c>
      <c r="B16544" s="27" t="s">
        <v>35</v>
      </c>
      <c r="C16544" s="27" t="s">
        <v>50</v>
      </c>
      <c r="D16544" s="27" t="s">
        <v>7</v>
      </c>
      <c r="E16544" s="27" t="s">
        <v>74</v>
      </c>
      <c r="F16544" s="29"/>
      <c r="G16544" s="30">
        <v>726.42607142857139</v>
      </c>
    </row>
    <row r="16545" spans="1:7" hidden="1" x14ac:dyDescent="0.25">
      <c r="A16545" s="28">
        <v>44866</v>
      </c>
      <c r="B16545" s="27" t="s">
        <v>34</v>
      </c>
      <c r="C16545" s="27" t="s">
        <v>50</v>
      </c>
      <c r="D16545" s="27" t="s">
        <v>6</v>
      </c>
      <c r="E16545" s="27" t="s">
        <v>8</v>
      </c>
      <c r="F16545" s="29"/>
      <c r="G16545" s="30">
        <v>871.47440000000006</v>
      </c>
    </row>
    <row r="16546" spans="1:7" hidden="1" x14ac:dyDescent="0.25">
      <c r="A16546" s="28">
        <v>44866</v>
      </c>
      <c r="B16546" s="27" t="s">
        <v>34</v>
      </c>
      <c r="C16546" s="27" t="s">
        <v>50</v>
      </c>
      <c r="D16546" s="27" t="s">
        <v>6</v>
      </c>
      <c r="E16546" s="27" t="s">
        <v>9</v>
      </c>
      <c r="F16546" s="29"/>
      <c r="G16546" s="30">
        <v>871.47440000000006</v>
      </c>
    </row>
    <row r="16547" spans="1:7" hidden="1" x14ac:dyDescent="0.25">
      <c r="A16547" s="28">
        <v>44866</v>
      </c>
      <c r="B16547" s="27" t="s">
        <v>34</v>
      </c>
      <c r="C16547" s="27" t="s">
        <v>50</v>
      </c>
      <c r="D16547" s="27" t="s">
        <v>6</v>
      </c>
      <c r="E16547" s="27" t="s">
        <v>22</v>
      </c>
      <c r="F16547" s="29"/>
      <c r="G16547" s="30">
        <v>871.47440000000006</v>
      </c>
    </row>
    <row r="16548" spans="1:7" hidden="1" x14ac:dyDescent="0.25">
      <c r="A16548" s="28">
        <v>44866</v>
      </c>
      <c r="B16548" s="27" t="s">
        <v>34</v>
      </c>
      <c r="C16548" s="27" t="s">
        <v>50</v>
      </c>
      <c r="D16548" s="27" t="s">
        <v>6</v>
      </c>
      <c r="E16548" s="27" t="s">
        <v>39</v>
      </c>
      <c r="F16548" s="29"/>
      <c r="G16548" s="30">
        <v>871.47440000000006</v>
      </c>
    </row>
    <row r="16549" spans="1:7" hidden="1" x14ac:dyDescent="0.25">
      <c r="A16549" s="28">
        <v>44866</v>
      </c>
      <c r="B16549" s="27" t="s">
        <v>34</v>
      </c>
      <c r="C16549" s="27" t="s">
        <v>50</v>
      </c>
      <c r="D16549" s="27" t="s">
        <v>6</v>
      </c>
      <c r="E16549" s="27" t="s">
        <v>64</v>
      </c>
      <c r="F16549" s="29"/>
      <c r="G16549" s="30">
        <v>871.47440000000006</v>
      </c>
    </row>
    <row r="16550" spans="1:7" hidden="1" x14ac:dyDescent="0.25">
      <c r="A16550" s="28">
        <v>44866</v>
      </c>
      <c r="B16550" s="27" t="s">
        <v>34</v>
      </c>
      <c r="C16550" s="27" t="s">
        <v>50</v>
      </c>
      <c r="D16550" s="27" t="s">
        <v>6</v>
      </c>
      <c r="E16550" s="27" t="s">
        <v>21</v>
      </c>
      <c r="F16550" s="29"/>
      <c r="G16550" s="30">
        <v>871.47440000000006</v>
      </c>
    </row>
    <row r="16551" spans="1:7" hidden="1" x14ac:dyDescent="0.25">
      <c r="A16551" s="28">
        <v>44866</v>
      </c>
      <c r="B16551" s="27" t="s">
        <v>34</v>
      </c>
      <c r="C16551" s="27" t="s">
        <v>50</v>
      </c>
      <c r="D16551" s="27" t="s">
        <v>6</v>
      </c>
      <c r="E16551" s="27" t="s">
        <v>41</v>
      </c>
      <c r="F16551" s="29"/>
      <c r="G16551" s="30">
        <v>871.47440000000006</v>
      </c>
    </row>
    <row r="16552" spans="1:7" hidden="1" x14ac:dyDescent="0.25">
      <c r="A16552" s="28">
        <v>44866</v>
      </c>
      <c r="B16552" s="27" t="s">
        <v>34</v>
      </c>
      <c r="C16552" s="27" t="s">
        <v>50</v>
      </c>
      <c r="D16552" s="27" t="s">
        <v>6</v>
      </c>
      <c r="E16552" s="27" t="s">
        <v>10</v>
      </c>
      <c r="F16552" s="29"/>
      <c r="G16552" s="30">
        <v>871.47440000000006</v>
      </c>
    </row>
    <row r="16553" spans="1:7" hidden="1" x14ac:dyDescent="0.25">
      <c r="A16553" s="28">
        <v>44866</v>
      </c>
      <c r="B16553" s="27" t="s">
        <v>34</v>
      </c>
      <c r="C16553" s="27" t="s">
        <v>50</v>
      </c>
      <c r="D16553" s="27" t="s">
        <v>6</v>
      </c>
      <c r="E16553" s="27" t="s">
        <v>11</v>
      </c>
      <c r="F16553" s="29"/>
      <c r="G16553" s="30">
        <v>871.47440000000006</v>
      </c>
    </row>
    <row r="16554" spans="1:7" hidden="1" x14ac:dyDescent="0.25">
      <c r="A16554" s="28">
        <v>44866</v>
      </c>
      <c r="B16554" s="27" t="s">
        <v>34</v>
      </c>
      <c r="C16554" s="27" t="s">
        <v>50</v>
      </c>
      <c r="D16554" s="27" t="s">
        <v>6</v>
      </c>
      <c r="E16554" s="27" t="s">
        <v>12</v>
      </c>
      <c r="F16554" s="29"/>
      <c r="G16554" s="30">
        <v>871.47440000000006</v>
      </c>
    </row>
    <row r="16555" spans="1:7" hidden="1" x14ac:dyDescent="0.25">
      <c r="A16555" s="28">
        <v>44866</v>
      </c>
      <c r="B16555" s="27" t="s">
        <v>34</v>
      </c>
      <c r="C16555" s="27" t="s">
        <v>50</v>
      </c>
      <c r="D16555" s="27" t="s">
        <v>6</v>
      </c>
      <c r="E16555" s="27" t="s">
        <v>13</v>
      </c>
      <c r="F16555" s="29"/>
      <c r="G16555" s="30">
        <v>871.47440000000006</v>
      </c>
    </row>
    <row r="16556" spans="1:7" hidden="1" x14ac:dyDescent="0.25">
      <c r="A16556" s="28">
        <v>44866</v>
      </c>
      <c r="B16556" s="27" t="s">
        <v>34</v>
      </c>
      <c r="C16556" s="27" t="s">
        <v>50</v>
      </c>
      <c r="D16556" s="27" t="s">
        <v>6</v>
      </c>
      <c r="E16556" s="27" t="s">
        <v>14</v>
      </c>
      <c r="F16556" s="29"/>
      <c r="G16556" s="30">
        <v>871.47440000000006</v>
      </c>
    </row>
    <row r="16557" spans="1:7" hidden="1" x14ac:dyDescent="0.25">
      <c r="A16557" s="28">
        <v>44866</v>
      </c>
      <c r="B16557" s="27" t="s">
        <v>34</v>
      </c>
      <c r="C16557" s="27" t="s">
        <v>50</v>
      </c>
      <c r="D16557" s="27" t="s">
        <v>6</v>
      </c>
      <c r="E16557" s="27" t="s">
        <v>15</v>
      </c>
      <c r="F16557" s="29"/>
      <c r="G16557" s="30">
        <v>871.47440000000006</v>
      </c>
    </row>
    <row r="16558" spans="1:7" hidden="1" x14ac:dyDescent="0.25">
      <c r="A16558" s="28">
        <v>44866</v>
      </c>
      <c r="B16558" s="27" t="s">
        <v>34</v>
      </c>
      <c r="C16558" s="27" t="s">
        <v>50</v>
      </c>
      <c r="D16558" s="27" t="s">
        <v>6</v>
      </c>
      <c r="E16558" s="27" t="s">
        <v>16</v>
      </c>
      <c r="F16558" s="29"/>
      <c r="G16558" s="30">
        <v>871.47440000000006</v>
      </c>
    </row>
    <row r="16559" spans="1:7" hidden="1" x14ac:dyDescent="0.25">
      <c r="A16559" s="28">
        <v>44866</v>
      </c>
      <c r="B16559" s="27" t="s">
        <v>34</v>
      </c>
      <c r="C16559" s="27" t="s">
        <v>50</v>
      </c>
      <c r="D16559" s="27" t="s">
        <v>6</v>
      </c>
      <c r="E16559" s="27" t="s">
        <v>17</v>
      </c>
      <c r="F16559" s="29"/>
      <c r="G16559" s="30">
        <v>871.47440000000006</v>
      </c>
    </row>
    <row r="16560" spans="1:7" hidden="1" x14ac:dyDescent="0.25">
      <c r="A16560" s="28">
        <v>44866</v>
      </c>
      <c r="B16560" s="27" t="s">
        <v>34</v>
      </c>
      <c r="C16560" s="27" t="s">
        <v>50</v>
      </c>
      <c r="D16560" s="27" t="s">
        <v>6</v>
      </c>
      <c r="E16560" s="27" t="s">
        <v>18</v>
      </c>
      <c r="F16560" s="29"/>
      <c r="G16560" s="30">
        <v>871.47440000000006</v>
      </c>
    </row>
    <row r="16561" spans="1:7" hidden="1" x14ac:dyDescent="0.25">
      <c r="A16561" s="28">
        <v>44866</v>
      </c>
      <c r="B16561" s="27" t="s">
        <v>34</v>
      </c>
      <c r="C16561" s="27" t="s">
        <v>50</v>
      </c>
      <c r="D16561" s="27" t="s">
        <v>6</v>
      </c>
      <c r="E16561" s="27" t="s">
        <v>19</v>
      </c>
      <c r="F16561" s="29"/>
      <c r="G16561" s="30">
        <v>871.47440000000006</v>
      </c>
    </row>
    <row r="16562" spans="1:7" hidden="1" x14ac:dyDescent="0.25">
      <c r="A16562" s="28">
        <v>44866</v>
      </c>
      <c r="B16562" s="27" t="s">
        <v>34</v>
      </c>
      <c r="C16562" s="27" t="s">
        <v>50</v>
      </c>
      <c r="D16562" s="27" t="s">
        <v>6</v>
      </c>
      <c r="E16562" s="27" t="s">
        <v>20</v>
      </c>
      <c r="F16562" s="29"/>
      <c r="G16562" s="30">
        <v>871.47440000000006</v>
      </c>
    </row>
    <row r="16563" spans="1:7" hidden="1" x14ac:dyDescent="0.25">
      <c r="A16563" s="28">
        <v>44866</v>
      </c>
      <c r="B16563" s="27" t="s">
        <v>34</v>
      </c>
      <c r="C16563" s="27" t="s">
        <v>50</v>
      </c>
      <c r="D16563" s="27" t="s">
        <v>6</v>
      </c>
      <c r="E16563" s="27" t="s">
        <v>38</v>
      </c>
      <c r="F16563" s="29"/>
      <c r="G16563" s="30">
        <v>871.47440000000006</v>
      </c>
    </row>
    <row r="16564" spans="1:7" hidden="1" x14ac:dyDescent="0.25">
      <c r="A16564" s="28">
        <v>44866</v>
      </c>
      <c r="B16564" s="27" t="s">
        <v>34</v>
      </c>
      <c r="C16564" s="27" t="s">
        <v>50</v>
      </c>
      <c r="D16564" s="27" t="s">
        <v>6</v>
      </c>
      <c r="E16564" s="27" t="s">
        <v>23</v>
      </c>
      <c r="F16564" s="29"/>
      <c r="G16564" s="30">
        <v>871.47440000000006</v>
      </c>
    </row>
    <row r="16565" spans="1:7" hidden="1" x14ac:dyDescent="0.25">
      <c r="A16565" s="28">
        <v>44866</v>
      </c>
      <c r="B16565" s="27" t="s">
        <v>34</v>
      </c>
      <c r="C16565" s="27" t="s">
        <v>50</v>
      </c>
      <c r="D16565" s="27" t="s">
        <v>6</v>
      </c>
      <c r="E16565" s="27" t="s">
        <v>40</v>
      </c>
      <c r="F16565" s="29"/>
      <c r="G16565" s="30">
        <v>871.47440000000006</v>
      </c>
    </row>
    <row r="16566" spans="1:7" hidden="1" x14ac:dyDescent="0.25">
      <c r="A16566" s="28">
        <v>44866</v>
      </c>
      <c r="B16566" s="27" t="s">
        <v>34</v>
      </c>
      <c r="C16566" s="27" t="s">
        <v>50</v>
      </c>
      <c r="D16566" s="27" t="s">
        <v>6</v>
      </c>
      <c r="E16566" s="27" t="s">
        <v>42</v>
      </c>
      <c r="F16566" s="29"/>
      <c r="G16566" s="30">
        <v>871.47440000000006</v>
      </c>
    </row>
    <row r="16567" spans="1:7" hidden="1" x14ac:dyDescent="0.25">
      <c r="A16567" s="28">
        <v>44866</v>
      </c>
      <c r="B16567" s="27" t="s">
        <v>34</v>
      </c>
      <c r="C16567" s="27" t="s">
        <v>50</v>
      </c>
      <c r="D16567" s="27" t="s">
        <v>6</v>
      </c>
      <c r="E16567" s="27" t="s">
        <v>43</v>
      </c>
      <c r="F16567" s="29"/>
      <c r="G16567" s="30">
        <v>871.47440000000006</v>
      </c>
    </row>
    <row r="16568" spans="1:7" hidden="1" x14ac:dyDescent="0.25">
      <c r="A16568" s="28">
        <v>44866</v>
      </c>
      <c r="B16568" s="27" t="s">
        <v>34</v>
      </c>
      <c r="C16568" s="27" t="s">
        <v>50</v>
      </c>
      <c r="D16568" s="27" t="s">
        <v>6</v>
      </c>
      <c r="E16568" s="27" t="s">
        <v>72</v>
      </c>
      <c r="F16568" s="29"/>
      <c r="G16568" s="30">
        <v>871.47440000000006</v>
      </c>
    </row>
    <row r="16569" spans="1:7" hidden="1" x14ac:dyDescent="0.25">
      <c r="A16569" s="28">
        <v>44866</v>
      </c>
      <c r="B16569" s="27" t="s">
        <v>34</v>
      </c>
      <c r="C16569" s="27" t="s">
        <v>50</v>
      </c>
      <c r="D16569" s="27" t="s">
        <v>6</v>
      </c>
      <c r="E16569" s="27" t="s">
        <v>206</v>
      </c>
      <c r="F16569" s="29"/>
      <c r="G16569" s="30">
        <v>871.47440000000006</v>
      </c>
    </row>
    <row r="16570" spans="1:7" hidden="1" x14ac:dyDescent="0.25">
      <c r="A16570" s="28">
        <v>44896</v>
      </c>
      <c r="B16570" s="27" t="s">
        <v>33</v>
      </c>
      <c r="C16570" s="27" t="s">
        <v>50</v>
      </c>
      <c r="D16570" s="27" t="s">
        <v>7</v>
      </c>
      <c r="E16570" s="27" t="s">
        <v>8</v>
      </c>
      <c r="F16570" s="29"/>
      <c r="G16570" s="30">
        <v>4046.0982142857142</v>
      </c>
    </row>
    <row r="16571" spans="1:7" hidden="1" x14ac:dyDescent="0.25">
      <c r="A16571" s="28">
        <v>44896</v>
      </c>
      <c r="B16571" s="27" t="s">
        <v>33</v>
      </c>
      <c r="C16571" s="27" t="s">
        <v>50</v>
      </c>
      <c r="D16571" s="27" t="s">
        <v>7</v>
      </c>
      <c r="E16571" s="27" t="s">
        <v>9</v>
      </c>
      <c r="F16571" s="29"/>
      <c r="G16571" s="30">
        <v>4046.0982142857142</v>
      </c>
    </row>
    <row r="16572" spans="1:7" hidden="1" x14ac:dyDescent="0.25">
      <c r="A16572" s="28">
        <v>44896</v>
      </c>
      <c r="B16572" s="27" t="s">
        <v>33</v>
      </c>
      <c r="C16572" s="27" t="s">
        <v>50</v>
      </c>
      <c r="D16572" s="27" t="s">
        <v>7</v>
      </c>
      <c r="E16572" s="27" t="s">
        <v>22</v>
      </c>
      <c r="F16572" s="29"/>
      <c r="G16572" s="30">
        <v>4046.0982142857142</v>
      </c>
    </row>
    <row r="16573" spans="1:7" hidden="1" x14ac:dyDescent="0.25">
      <c r="A16573" s="28">
        <v>44896</v>
      </c>
      <c r="B16573" s="27" t="s">
        <v>33</v>
      </c>
      <c r="C16573" s="27" t="s">
        <v>50</v>
      </c>
      <c r="D16573" s="27" t="s">
        <v>7</v>
      </c>
      <c r="E16573" s="27" t="s">
        <v>39</v>
      </c>
      <c r="F16573" s="29"/>
      <c r="G16573" s="30">
        <v>4046.0982142857142</v>
      </c>
    </row>
    <row r="16574" spans="1:7" hidden="1" x14ac:dyDescent="0.25">
      <c r="A16574" s="28">
        <v>44896</v>
      </c>
      <c r="B16574" s="27" t="s">
        <v>33</v>
      </c>
      <c r="C16574" s="27" t="s">
        <v>50</v>
      </c>
      <c r="D16574" s="27" t="s">
        <v>7</v>
      </c>
      <c r="E16574" s="27" t="s">
        <v>64</v>
      </c>
      <c r="F16574" s="29"/>
      <c r="G16574" s="30">
        <v>4046.0982142857142</v>
      </c>
    </row>
    <row r="16575" spans="1:7" hidden="1" x14ac:dyDescent="0.25">
      <c r="A16575" s="28">
        <v>44896</v>
      </c>
      <c r="B16575" s="27" t="s">
        <v>33</v>
      </c>
      <c r="C16575" s="27" t="s">
        <v>50</v>
      </c>
      <c r="D16575" s="27" t="s">
        <v>7</v>
      </c>
      <c r="E16575" s="27" t="s">
        <v>21</v>
      </c>
      <c r="F16575" s="29"/>
      <c r="G16575" s="30">
        <v>4046.0982142857142</v>
      </c>
    </row>
    <row r="16576" spans="1:7" hidden="1" x14ac:dyDescent="0.25">
      <c r="A16576" s="28">
        <v>44896</v>
      </c>
      <c r="B16576" s="27" t="s">
        <v>33</v>
      </c>
      <c r="C16576" s="27" t="s">
        <v>50</v>
      </c>
      <c r="D16576" s="27" t="s">
        <v>7</v>
      </c>
      <c r="E16576" s="27" t="s">
        <v>41</v>
      </c>
      <c r="F16576" s="29"/>
      <c r="G16576" s="30">
        <v>4046.0982142857142</v>
      </c>
    </row>
    <row r="16577" spans="1:7" hidden="1" x14ac:dyDescent="0.25">
      <c r="A16577" s="28">
        <v>44896</v>
      </c>
      <c r="B16577" s="27" t="s">
        <v>33</v>
      </c>
      <c r="C16577" s="27" t="s">
        <v>50</v>
      </c>
      <c r="D16577" s="27" t="s">
        <v>7</v>
      </c>
      <c r="E16577" s="27" t="s">
        <v>10</v>
      </c>
      <c r="F16577" s="29"/>
      <c r="G16577" s="30">
        <v>4046.0982142857142</v>
      </c>
    </row>
    <row r="16578" spans="1:7" hidden="1" x14ac:dyDescent="0.25">
      <c r="A16578" s="28">
        <v>44896</v>
      </c>
      <c r="B16578" s="27" t="s">
        <v>33</v>
      </c>
      <c r="C16578" s="27" t="s">
        <v>50</v>
      </c>
      <c r="D16578" s="27" t="s">
        <v>7</v>
      </c>
      <c r="E16578" s="27" t="s">
        <v>11</v>
      </c>
      <c r="F16578" s="29"/>
      <c r="G16578" s="30">
        <v>4046.0982142857142</v>
      </c>
    </row>
    <row r="16579" spans="1:7" hidden="1" x14ac:dyDescent="0.25">
      <c r="A16579" s="28">
        <v>44896</v>
      </c>
      <c r="B16579" s="27" t="s">
        <v>33</v>
      </c>
      <c r="C16579" s="27" t="s">
        <v>50</v>
      </c>
      <c r="D16579" s="27" t="s">
        <v>7</v>
      </c>
      <c r="E16579" s="27" t="s">
        <v>12</v>
      </c>
      <c r="F16579" s="29"/>
      <c r="G16579" s="30">
        <v>4046.0982142857142</v>
      </c>
    </row>
    <row r="16580" spans="1:7" hidden="1" x14ac:dyDescent="0.25">
      <c r="A16580" s="28">
        <v>44896</v>
      </c>
      <c r="B16580" s="27" t="s">
        <v>33</v>
      </c>
      <c r="C16580" s="27" t="s">
        <v>50</v>
      </c>
      <c r="D16580" s="27" t="s">
        <v>7</v>
      </c>
      <c r="E16580" s="27" t="s">
        <v>13</v>
      </c>
      <c r="F16580" s="29"/>
      <c r="G16580" s="30">
        <v>4046.0982142857142</v>
      </c>
    </row>
    <row r="16581" spans="1:7" hidden="1" x14ac:dyDescent="0.25">
      <c r="A16581" s="28">
        <v>44896</v>
      </c>
      <c r="B16581" s="27" t="s">
        <v>33</v>
      </c>
      <c r="C16581" s="27" t="s">
        <v>50</v>
      </c>
      <c r="D16581" s="27" t="s">
        <v>7</v>
      </c>
      <c r="E16581" s="27" t="s">
        <v>14</v>
      </c>
      <c r="F16581" s="29"/>
      <c r="G16581" s="30">
        <v>4046.0982142857142</v>
      </c>
    </row>
    <row r="16582" spans="1:7" hidden="1" x14ac:dyDescent="0.25">
      <c r="A16582" s="28">
        <v>44896</v>
      </c>
      <c r="B16582" s="27" t="s">
        <v>33</v>
      </c>
      <c r="C16582" s="27" t="s">
        <v>50</v>
      </c>
      <c r="D16582" s="27" t="s">
        <v>7</v>
      </c>
      <c r="E16582" s="27" t="s">
        <v>15</v>
      </c>
      <c r="F16582" s="29"/>
      <c r="G16582" s="30">
        <v>4046.0982142857142</v>
      </c>
    </row>
    <row r="16583" spans="1:7" hidden="1" x14ac:dyDescent="0.25">
      <c r="A16583" s="28">
        <v>44896</v>
      </c>
      <c r="B16583" s="27" t="s">
        <v>33</v>
      </c>
      <c r="C16583" s="27" t="s">
        <v>50</v>
      </c>
      <c r="D16583" s="27" t="s">
        <v>7</v>
      </c>
      <c r="E16583" s="27" t="s">
        <v>16</v>
      </c>
      <c r="F16583" s="29"/>
      <c r="G16583" s="30">
        <v>4046.0982142857142</v>
      </c>
    </row>
    <row r="16584" spans="1:7" hidden="1" x14ac:dyDescent="0.25">
      <c r="A16584" s="28">
        <v>44896</v>
      </c>
      <c r="B16584" s="27" t="s">
        <v>33</v>
      </c>
      <c r="C16584" s="27" t="s">
        <v>50</v>
      </c>
      <c r="D16584" s="27" t="s">
        <v>7</v>
      </c>
      <c r="E16584" s="27" t="s">
        <v>17</v>
      </c>
      <c r="F16584" s="29"/>
      <c r="G16584" s="30">
        <v>4046.0982142857142</v>
      </c>
    </row>
    <row r="16585" spans="1:7" hidden="1" x14ac:dyDescent="0.25">
      <c r="A16585" s="28">
        <v>44896</v>
      </c>
      <c r="B16585" s="27" t="s">
        <v>33</v>
      </c>
      <c r="C16585" s="27" t="s">
        <v>50</v>
      </c>
      <c r="D16585" s="27" t="s">
        <v>7</v>
      </c>
      <c r="E16585" s="27" t="s">
        <v>18</v>
      </c>
      <c r="F16585" s="29"/>
      <c r="G16585" s="30">
        <v>4046.0982142857142</v>
      </c>
    </row>
    <row r="16586" spans="1:7" hidden="1" x14ac:dyDescent="0.25">
      <c r="A16586" s="28">
        <v>44896</v>
      </c>
      <c r="B16586" s="27" t="s">
        <v>33</v>
      </c>
      <c r="C16586" s="27" t="s">
        <v>50</v>
      </c>
      <c r="D16586" s="27" t="s">
        <v>7</v>
      </c>
      <c r="E16586" s="27" t="s">
        <v>19</v>
      </c>
      <c r="F16586" s="29"/>
      <c r="G16586" s="30">
        <v>4046.0982142857142</v>
      </c>
    </row>
    <row r="16587" spans="1:7" hidden="1" x14ac:dyDescent="0.25">
      <c r="A16587" s="28">
        <v>44896</v>
      </c>
      <c r="B16587" s="27" t="s">
        <v>33</v>
      </c>
      <c r="C16587" s="27" t="s">
        <v>50</v>
      </c>
      <c r="D16587" s="27" t="s">
        <v>7</v>
      </c>
      <c r="E16587" s="27" t="s">
        <v>20</v>
      </c>
      <c r="F16587" s="29"/>
      <c r="G16587" s="30">
        <v>4046.0982142857142</v>
      </c>
    </row>
    <row r="16588" spans="1:7" hidden="1" x14ac:dyDescent="0.25">
      <c r="A16588" s="28">
        <v>44896</v>
      </c>
      <c r="B16588" s="27" t="s">
        <v>33</v>
      </c>
      <c r="C16588" s="27" t="s">
        <v>50</v>
      </c>
      <c r="D16588" s="27" t="s">
        <v>7</v>
      </c>
      <c r="E16588" s="27" t="s">
        <v>38</v>
      </c>
      <c r="F16588" s="29"/>
      <c r="G16588" s="30">
        <v>4046.0982142857142</v>
      </c>
    </row>
    <row r="16589" spans="1:7" hidden="1" x14ac:dyDescent="0.25">
      <c r="A16589" s="28">
        <v>44896</v>
      </c>
      <c r="B16589" s="27" t="s">
        <v>33</v>
      </c>
      <c r="C16589" s="27" t="s">
        <v>50</v>
      </c>
      <c r="D16589" s="27" t="s">
        <v>7</v>
      </c>
      <c r="E16589" s="27" t="s">
        <v>23</v>
      </c>
      <c r="F16589" s="29"/>
      <c r="G16589" s="30">
        <v>4046.0982142857142</v>
      </c>
    </row>
    <row r="16590" spans="1:7" hidden="1" x14ac:dyDescent="0.25">
      <c r="A16590" s="28">
        <v>44896</v>
      </c>
      <c r="B16590" s="27" t="s">
        <v>33</v>
      </c>
      <c r="C16590" s="27" t="s">
        <v>50</v>
      </c>
      <c r="D16590" s="27" t="s">
        <v>7</v>
      </c>
      <c r="E16590" s="27" t="s">
        <v>40</v>
      </c>
      <c r="F16590" s="29"/>
      <c r="G16590" s="30">
        <v>4046.0982142857142</v>
      </c>
    </row>
    <row r="16591" spans="1:7" hidden="1" x14ac:dyDescent="0.25">
      <c r="A16591" s="28">
        <v>44896</v>
      </c>
      <c r="B16591" s="27" t="s">
        <v>33</v>
      </c>
      <c r="C16591" s="27" t="s">
        <v>50</v>
      </c>
      <c r="D16591" s="27" t="s">
        <v>7</v>
      </c>
      <c r="E16591" s="27" t="s">
        <v>42</v>
      </c>
      <c r="F16591" s="29"/>
      <c r="G16591" s="30">
        <v>4046.0982142857142</v>
      </c>
    </row>
    <row r="16592" spans="1:7" hidden="1" x14ac:dyDescent="0.25">
      <c r="A16592" s="28">
        <v>44896</v>
      </c>
      <c r="B16592" s="27" t="s">
        <v>33</v>
      </c>
      <c r="C16592" s="27" t="s">
        <v>50</v>
      </c>
      <c r="D16592" s="27" t="s">
        <v>7</v>
      </c>
      <c r="E16592" s="27" t="s">
        <v>43</v>
      </c>
      <c r="F16592" s="29"/>
      <c r="G16592" s="30">
        <v>4046.0982142857142</v>
      </c>
    </row>
    <row r="16593" spans="1:7" hidden="1" x14ac:dyDescent="0.25">
      <c r="A16593" s="28">
        <v>44896</v>
      </c>
      <c r="B16593" s="27" t="s">
        <v>33</v>
      </c>
      <c r="C16593" s="27" t="s">
        <v>50</v>
      </c>
      <c r="D16593" s="27" t="s">
        <v>7</v>
      </c>
      <c r="E16593" s="27" t="s">
        <v>72</v>
      </c>
      <c r="F16593" s="29"/>
      <c r="G16593" s="30">
        <v>4046.0982142857142</v>
      </c>
    </row>
    <row r="16594" spans="1:7" hidden="1" x14ac:dyDescent="0.25">
      <c r="A16594" s="28">
        <v>44896</v>
      </c>
      <c r="B16594" s="27" t="s">
        <v>33</v>
      </c>
      <c r="C16594" s="27" t="s">
        <v>50</v>
      </c>
      <c r="D16594" s="27" t="s">
        <v>7</v>
      </c>
      <c r="E16594" s="27" t="s">
        <v>206</v>
      </c>
      <c r="F16594" s="29"/>
      <c r="G16594" s="30">
        <v>4046.0982142857142</v>
      </c>
    </row>
    <row r="16595" spans="1:7" hidden="1" x14ac:dyDescent="0.25">
      <c r="A16595" s="28">
        <v>44896</v>
      </c>
      <c r="B16595" s="27" t="s">
        <v>33</v>
      </c>
      <c r="C16595" s="27" t="s">
        <v>50</v>
      </c>
      <c r="D16595" s="27" t="s">
        <v>7</v>
      </c>
      <c r="E16595" s="27" t="s">
        <v>67</v>
      </c>
      <c r="F16595" s="29"/>
      <c r="G16595" s="30">
        <v>4046.0982142857142</v>
      </c>
    </row>
    <row r="16596" spans="1:7" hidden="1" x14ac:dyDescent="0.25">
      <c r="A16596" s="28">
        <v>44896</v>
      </c>
      <c r="B16596" s="27" t="s">
        <v>33</v>
      </c>
      <c r="C16596" s="27" t="s">
        <v>50</v>
      </c>
      <c r="D16596" s="27" t="s">
        <v>7</v>
      </c>
      <c r="E16596" s="27" t="s">
        <v>68</v>
      </c>
      <c r="F16596" s="29"/>
      <c r="G16596" s="30">
        <v>4046.0982142857142</v>
      </c>
    </row>
    <row r="16597" spans="1:7" hidden="1" x14ac:dyDescent="0.25">
      <c r="A16597" s="28">
        <v>44896</v>
      </c>
      <c r="B16597" s="27" t="s">
        <v>33</v>
      </c>
      <c r="C16597" s="27" t="s">
        <v>50</v>
      </c>
      <c r="D16597" s="27" t="s">
        <v>7</v>
      </c>
      <c r="E16597" s="27" t="s">
        <v>74</v>
      </c>
      <c r="F16597" s="29"/>
      <c r="G16597" s="30">
        <v>4046.0982142857142</v>
      </c>
    </row>
    <row r="16598" spans="1:7" hidden="1" x14ac:dyDescent="0.25">
      <c r="A16598" s="28">
        <v>44896</v>
      </c>
      <c r="B16598" s="27" t="s">
        <v>4</v>
      </c>
      <c r="C16598" s="27" t="s">
        <v>50</v>
      </c>
      <c r="D16598" s="27" t="s">
        <v>7</v>
      </c>
      <c r="E16598" s="27" t="s">
        <v>8</v>
      </c>
      <c r="F16598" s="29"/>
      <c r="G16598" s="30">
        <f>181340.74/21</f>
        <v>8635.2733333333326</v>
      </c>
    </row>
    <row r="16599" spans="1:7" hidden="1" x14ac:dyDescent="0.25">
      <c r="A16599" s="28">
        <v>44896</v>
      </c>
      <c r="B16599" s="27" t="s">
        <v>4</v>
      </c>
      <c r="C16599" s="27" t="s">
        <v>50</v>
      </c>
      <c r="D16599" s="27" t="s">
        <v>7</v>
      </c>
      <c r="E16599" s="27" t="s">
        <v>9</v>
      </c>
      <c r="F16599" s="29"/>
      <c r="G16599" s="30">
        <f>181340.74/21</f>
        <v>8635.2733333333326</v>
      </c>
    </row>
    <row r="16600" spans="1:7" hidden="1" x14ac:dyDescent="0.25">
      <c r="A16600" s="28">
        <v>44896</v>
      </c>
      <c r="B16600" s="27" t="s">
        <v>4</v>
      </c>
      <c r="C16600" s="27" t="s">
        <v>50</v>
      </c>
      <c r="D16600" s="27" t="s">
        <v>7</v>
      </c>
      <c r="E16600" s="27" t="s">
        <v>22</v>
      </c>
      <c r="F16600" s="29"/>
      <c r="G16600" s="30">
        <v>515.84</v>
      </c>
    </row>
    <row r="16601" spans="1:7" hidden="1" x14ac:dyDescent="0.25">
      <c r="A16601" s="28">
        <v>44896</v>
      </c>
      <c r="B16601" s="27" t="s">
        <v>4</v>
      </c>
      <c r="C16601" s="27" t="s">
        <v>50</v>
      </c>
      <c r="D16601" s="27" t="s">
        <v>7</v>
      </c>
      <c r="E16601" s="27" t="s">
        <v>39</v>
      </c>
      <c r="F16601" s="29"/>
      <c r="G16601" s="30">
        <f t="shared" ref="G16601:G16607" si="287">181340.74/21</f>
        <v>8635.2733333333326</v>
      </c>
    </row>
    <row r="16602" spans="1:7" hidden="1" x14ac:dyDescent="0.25">
      <c r="A16602" s="28">
        <v>44896</v>
      </c>
      <c r="B16602" s="27" t="s">
        <v>4</v>
      </c>
      <c r="C16602" s="27" t="s">
        <v>50</v>
      </c>
      <c r="D16602" s="27" t="s">
        <v>7</v>
      </c>
      <c r="E16602" s="27" t="s">
        <v>64</v>
      </c>
      <c r="F16602" s="29"/>
      <c r="G16602" s="30">
        <f t="shared" si="287"/>
        <v>8635.2733333333326</v>
      </c>
    </row>
    <row r="16603" spans="1:7" hidden="1" x14ac:dyDescent="0.25">
      <c r="A16603" s="28">
        <v>44896</v>
      </c>
      <c r="B16603" s="27" t="s">
        <v>4</v>
      </c>
      <c r="C16603" s="27" t="s">
        <v>50</v>
      </c>
      <c r="D16603" s="27" t="s">
        <v>7</v>
      </c>
      <c r="E16603" s="27" t="s">
        <v>21</v>
      </c>
      <c r="F16603" s="29"/>
      <c r="G16603" s="30">
        <f t="shared" si="287"/>
        <v>8635.2733333333326</v>
      </c>
    </row>
    <row r="16604" spans="1:7" hidden="1" x14ac:dyDescent="0.25">
      <c r="A16604" s="28">
        <v>44896</v>
      </c>
      <c r="B16604" s="27" t="s">
        <v>4</v>
      </c>
      <c r="C16604" s="27" t="s">
        <v>50</v>
      </c>
      <c r="D16604" s="27" t="s">
        <v>7</v>
      </c>
      <c r="E16604" s="27" t="s">
        <v>41</v>
      </c>
      <c r="F16604" s="29"/>
      <c r="G16604" s="30">
        <f t="shared" si="287"/>
        <v>8635.2733333333326</v>
      </c>
    </row>
    <row r="16605" spans="1:7" hidden="1" x14ac:dyDescent="0.25">
      <c r="A16605" s="28">
        <v>44896</v>
      </c>
      <c r="B16605" s="27" t="s">
        <v>4</v>
      </c>
      <c r="C16605" s="27" t="s">
        <v>50</v>
      </c>
      <c r="D16605" s="27" t="s">
        <v>7</v>
      </c>
      <c r="E16605" s="27" t="s">
        <v>10</v>
      </c>
      <c r="F16605" s="29"/>
      <c r="G16605" s="30">
        <f t="shared" si="287"/>
        <v>8635.2733333333326</v>
      </c>
    </row>
    <row r="16606" spans="1:7" hidden="1" x14ac:dyDescent="0.25">
      <c r="A16606" s="28">
        <v>44896</v>
      </c>
      <c r="B16606" s="27" t="s">
        <v>4</v>
      </c>
      <c r="C16606" s="27" t="s">
        <v>50</v>
      </c>
      <c r="D16606" s="27" t="s">
        <v>7</v>
      </c>
      <c r="E16606" s="27" t="s">
        <v>11</v>
      </c>
      <c r="F16606" s="29"/>
      <c r="G16606" s="30">
        <f t="shared" si="287"/>
        <v>8635.2733333333326</v>
      </c>
    </row>
    <row r="16607" spans="1:7" hidden="1" x14ac:dyDescent="0.25">
      <c r="A16607" s="28">
        <v>44896</v>
      </c>
      <c r="B16607" s="27" t="s">
        <v>4</v>
      </c>
      <c r="C16607" s="27" t="s">
        <v>50</v>
      </c>
      <c r="D16607" s="27" t="s">
        <v>7</v>
      </c>
      <c r="E16607" s="27" t="s">
        <v>12</v>
      </c>
      <c r="F16607" s="29"/>
      <c r="G16607" s="30">
        <f t="shared" si="287"/>
        <v>8635.2733333333326</v>
      </c>
    </row>
    <row r="16608" spans="1:7" hidden="1" x14ac:dyDescent="0.25">
      <c r="A16608" s="28">
        <v>44896</v>
      </c>
      <c r="B16608" s="27" t="s">
        <v>4</v>
      </c>
      <c r="C16608" s="27" t="s">
        <v>50</v>
      </c>
      <c r="D16608" s="27" t="s">
        <v>7</v>
      </c>
      <c r="E16608" s="27" t="s">
        <v>13</v>
      </c>
      <c r="F16608" s="29"/>
      <c r="G16608" s="30">
        <v>4830.57</v>
      </c>
    </row>
    <row r="16609" spans="1:7" hidden="1" x14ac:dyDescent="0.25">
      <c r="A16609" s="28">
        <v>44896</v>
      </c>
      <c r="B16609" s="27" t="s">
        <v>4</v>
      </c>
      <c r="C16609" s="27" t="s">
        <v>50</v>
      </c>
      <c r="D16609" s="27" t="s">
        <v>7</v>
      </c>
      <c r="E16609" s="27" t="s">
        <v>14</v>
      </c>
      <c r="F16609" s="29"/>
      <c r="G16609" s="30">
        <f>181340.74/21</f>
        <v>8635.2733333333326</v>
      </c>
    </row>
    <row r="16610" spans="1:7" hidden="1" x14ac:dyDescent="0.25">
      <c r="A16610" s="28">
        <v>44896</v>
      </c>
      <c r="B16610" s="27" t="s">
        <v>4</v>
      </c>
      <c r="C16610" s="27" t="s">
        <v>50</v>
      </c>
      <c r="D16610" s="27" t="s">
        <v>7</v>
      </c>
      <c r="E16610" s="27" t="s">
        <v>15</v>
      </c>
      <c r="F16610" s="29"/>
      <c r="G16610" s="30">
        <f>181340.74/21</f>
        <v>8635.2733333333326</v>
      </c>
    </row>
    <row r="16611" spans="1:7" hidden="1" x14ac:dyDescent="0.25">
      <c r="A16611" s="28">
        <v>44896</v>
      </c>
      <c r="B16611" s="27" t="s">
        <v>4</v>
      </c>
      <c r="C16611" s="27" t="s">
        <v>50</v>
      </c>
      <c r="D16611" s="27" t="s">
        <v>7</v>
      </c>
      <c r="E16611" s="27" t="s">
        <v>16</v>
      </c>
      <c r="F16611" s="29"/>
      <c r="G16611" s="30">
        <f>181340.74/21</f>
        <v>8635.2733333333326</v>
      </c>
    </row>
    <row r="16612" spans="1:7" hidden="1" x14ac:dyDescent="0.25">
      <c r="A16612" s="28">
        <v>44896</v>
      </c>
      <c r="B16612" s="27" t="s">
        <v>4</v>
      </c>
      <c r="C16612" s="27" t="s">
        <v>50</v>
      </c>
      <c r="D16612" s="27" t="s">
        <v>7</v>
      </c>
      <c r="E16612" s="27" t="s">
        <v>17</v>
      </c>
      <c r="F16612" s="29"/>
      <c r="G16612" s="30">
        <v>113.13</v>
      </c>
    </row>
    <row r="16613" spans="1:7" hidden="1" x14ac:dyDescent="0.25">
      <c r="A16613" s="28">
        <v>44896</v>
      </c>
      <c r="B16613" s="27" t="s">
        <v>4</v>
      </c>
      <c r="C16613" s="27" t="s">
        <v>50</v>
      </c>
      <c r="D16613" s="27" t="s">
        <v>7</v>
      </c>
      <c r="E16613" s="27" t="s">
        <v>18</v>
      </c>
      <c r="F16613" s="29"/>
      <c r="G16613" s="30">
        <f>181340.74/21</f>
        <v>8635.2733333333326</v>
      </c>
    </row>
    <row r="16614" spans="1:7" hidden="1" x14ac:dyDescent="0.25">
      <c r="A16614" s="28">
        <v>44896</v>
      </c>
      <c r="B16614" s="27" t="s">
        <v>4</v>
      </c>
      <c r="C16614" s="27" t="s">
        <v>50</v>
      </c>
      <c r="D16614" s="27" t="s">
        <v>7</v>
      </c>
      <c r="E16614" s="27" t="s">
        <v>19</v>
      </c>
      <c r="F16614" s="29"/>
      <c r="G16614" s="30">
        <v>3826.74</v>
      </c>
    </row>
    <row r="16615" spans="1:7" hidden="1" x14ac:dyDescent="0.25">
      <c r="A16615" s="28">
        <v>44896</v>
      </c>
      <c r="B16615" s="27" t="s">
        <v>4</v>
      </c>
      <c r="C16615" s="27" t="s">
        <v>50</v>
      </c>
      <c r="D16615" s="27" t="s">
        <v>7</v>
      </c>
      <c r="E16615" s="27" t="s">
        <v>20</v>
      </c>
      <c r="F16615" s="29"/>
      <c r="G16615" s="30">
        <f>181340.74/21</f>
        <v>8635.2733333333326</v>
      </c>
    </row>
    <row r="16616" spans="1:7" hidden="1" x14ac:dyDescent="0.25">
      <c r="A16616" s="28">
        <v>44896</v>
      </c>
      <c r="B16616" s="27" t="s">
        <v>4</v>
      </c>
      <c r="C16616" s="27" t="s">
        <v>50</v>
      </c>
      <c r="D16616" s="27" t="s">
        <v>7</v>
      </c>
      <c r="E16616" s="27" t="s">
        <v>38</v>
      </c>
      <c r="F16616" s="29"/>
      <c r="G16616" s="30">
        <f>181340.74/21</f>
        <v>8635.2733333333326</v>
      </c>
    </row>
    <row r="16617" spans="1:7" hidden="1" x14ac:dyDescent="0.25">
      <c r="A16617" s="28">
        <v>44896</v>
      </c>
      <c r="B16617" s="27" t="s">
        <v>4</v>
      </c>
      <c r="C16617" s="27" t="s">
        <v>50</v>
      </c>
      <c r="D16617" s="27" t="s">
        <v>7</v>
      </c>
      <c r="E16617" s="27" t="s">
        <v>23</v>
      </c>
      <c r="F16617" s="29"/>
      <c r="G16617" s="30">
        <v>1217.94</v>
      </c>
    </row>
    <row r="16618" spans="1:7" hidden="1" x14ac:dyDescent="0.25">
      <c r="A16618" s="28">
        <v>44896</v>
      </c>
      <c r="B16618" s="27" t="s">
        <v>4</v>
      </c>
      <c r="C16618" s="27" t="s">
        <v>50</v>
      </c>
      <c r="D16618" s="27" t="s">
        <v>7</v>
      </c>
      <c r="E16618" s="27" t="s">
        <v>40</v>
      </c>
      <c r="F16618" s="29"/>
      <c r="G16618" s="30">
        <v>323.08</v>
      </c>
    </row>
    <row r="16619" spans="1:7" hidden="1" x14ac:dyDescent="0.25">
      <c r="A16619" s="28">
        <v>44896</v>
      </c>
      <c r="B16619" s="27" t="s">
        <v>4</v>
      </c>
      <c r="C16619" s="27" t="s">
        <v>50</v>
      </c>
      <c r="D16619" s="27" t="s">
        <v>7</v>
      </c>
      <c r="E16619" s="27" t="s">
        <v>42</v>
      </c>
      <c r="F16619" s="29"/>
      <c r="G16619" s="30">
        <f t="shared" ref="G16619:G16624" si="288">181340.74/21</f>
        <v>8635.2733333333326</v>
      </c>
    </row>
    <row r="16620" spans="1:7" hidden="1" x14ac:dyDescent="0.25">
      <c r="A16620" s="28">
        <v>44896</v>
      </c>
      <c r="B16620" s="27" t="s">
        <v>4</v>
      </c>
      <c r="C16620" s="27" t="s">
        <v>50</v>
      </c>
      <c r="D16620" s="27" t="s">
        <v>7</v>
      </c>
      <c r="E16620" s="27" t="s">
        <v>43</v>
      </c>
      <c r="F16620" s="29"/>
      <c r="G16620" s="30">
        <f t="shared" si="288"/>
        <v>8635.2733333333326</v>
      </c>
    </row>
    <row r="16621" spans="1:7" hidden="1" x14ac:dyDescent="0.25">
      <c r="A16621" s="28">
        <v>44896</v>
      </c>
      <c r="B16621" s="27" t="s">
        <v>4</v>
      </c>
      <c r="C16621" s="27" t="s">
        <v>50</v>
      </c>
      <c r="D16621" s="27" t="s">
        <v>7</v>
      </c>
      <c r="E16621" s="27" t="s">
        <v>72</v>
      </c>
      <c r="F16621" s="29"/>
      <c r="G16621" s="30">
        <f t="shared" si="288"/>
        <v>8635.2733333333326</v>
      </c>
    </row>
    <row r="16622" spans="1:7" hidden="1" x14ac:dyDescent="0.25">
      <c r="A16622" s="28">
        <v>44896</v>
      </c>
      <c r="B16622" s="27" t="s">
        <v>4</v>
      </c>
      <c r="C16622" s="27" t="s">
        <v>50</v>
      </c>
      <c r="D16622" s="27" t="s">
        <v>7</v>
      </c>
      <c r="E16622" s="27" t="s">
        <v>206</v>
      </c>
      <c r="F16622" s="29"/>
      <c r="G16622" s="30">
        <f t="shared" si="288"/>
        <v>8635.2733333333326</v>
      </c>
    </row>
    <row r="16623" spans="1:7" hidden="1" x14ac:dyDescent="0.25">
      <c r="A16623" s="28">
        <v>44896</v>
      </c>
      <c r="B16623" s="27" t="s">
        <v>4</v>
      </c>
      <c r="C16623" s="27" t="s">
        <v>50</v>
      </c>
      <c r="D16623" s="27" t="s">
        <v>7</v>
      </c>
      <c r="E16623" s="27" t="s">
        <v>67</v>
      </c>
      <c r="F16623" s="29"/>
      <c r="G16623" s="30">
        <f t="shared" si="288"/>
        <v>8635.2733333333326</v>
      </c>
    </row>
    <row r="16624" spans="1:7" hidden="1" x14ac:dyDescent="0.25">
      <c r="A16624" s="28">
        <v>44896</v>
      </c>
      <c r="B16624" s="27" t="s">
        <v>4</v>
      </c>
      <c r="C16624" s="27" t="s">
        <v>50</v>
      </c>
      <c r="D16624" s="27" t="s">
        <v>7</v>
      </c>
      <c r="E16624" s="27" t="s">
        <v>68</v>
      </c>
      <c r="F16624" s="29"/>
      <c r="G16624" s="30">
        <f t="shared" si="288"/>
        <v>8635.2733333333326</v>
      </c>
    </row>
    <row r="16625" spans="1:7" hidden="1" x14ac:dyDescent="0.25">
      <c r="A16625" s="28">
        <v>44896</v>
      </c>
      <c r="B16625" s="27" t="s">
        <v>4</v>
      </c>
      <c r="C16625" s="27" t="s">
        <v>50</v>
      </c>
      <c r="D16625" s="27" t="s">
        <v>7</v>
      </c>
      <c r="E16625" s="27" t="s">
        <v>74</v>
      </c>
      <c r="F16625" s="29"/>
      <c r="G16625" s="30">
        <v>308.19</v>
      </c>
    </row>
    <row r="16626" spans="1:7" hidden="1" x14ac:dyDescent="0.25">
      <c r="A16626" s="28">
        <v>44896</v>
      </c>
      <c r="B16626" s="27" t="s">
        <v>26</v>
      </c>
      <c r="C16626" s="27" t="s">
        <v>50</v>
      </c>
      <c r="D16626" s="27" t="s">
        <v>6</v>
      </c>
      <c r="E16626" s="27" t="s">
        <v>8</v>
      </c>
      <c r="F16626" s="29"/>
      <c r="G16626" s="30">
        <v>719.18234681218985</v>
      </c>
    </row>
    <row r="16627" spans="1:7" hidden="1" x14ac:dyDescent="0.25">
      <c r="A16627" s="28">
        <v>44896</v>
      </c>
      <c r="B16627" s="27" t="s">
        <v>26</v>
      </c>
      <c r="C16627" s="27" t="s">
        <v>50</v>
      </c>
      <c r="D16627" s="27" t="s">
        <v>6</v>
      </c>
      <c r="E16627" s="27" t="s">
        <v>9</v>
      </c>
      <c r="F16627" s="29"/>
      <c r="G16627" s="30">
        <v>1595.1320615825009</v>
      </c>
    </row>
    <row r="16628" spans="1:7" hidden="1" x14ac:dyDescent="0.25">
      <c r="A16628" s="28">
        <v>44896</v>
      </c>
      <c r="B16628" s="27" t="s">
        <v>26</v>
      </c>
      <c r="C16628" s="27" t="s">
        <v>50</v>
      </c>
      <c r="D16628" s="27" t="s">
        <v>6</v>
      </c>
      <c r="E16628" s="27" t="s">
        <v>22</v>
      </c>
      <c r="F16628" s="29"/>
      <c r="G16628" s="30">
        <v>2121.8036778000037</v>
      </c>
    </row>
    <row r="16629" spans="1:7" hidden="1" x14ac:dyDescent="0.25">
      <c r="A16629" s="28">
        <v>44896</v>
      </c>
      <c r="B16629" s="27" t="s">
        <v>26</v>
      </c>
      <c r="C16629" s="27" t="s">
        <v>50</v>
      </c>
      <c r="D16629" s="27" t="s">
        <v>6</v>
      </c>
      <c r="E16629" s="27" t="s">
        <v>39</v>
      </c>
      <c r="F16629" s="29"/>
      <c r="G16629" s="30">
        <v>1858.2521149872089</v>
      </c>
    </row>
    <row r="16630" spans="1:7" hidden="1" x14ac:dyDescent="0.25">
      <c r="A16630" s="28">
        <v>44896</v>
      </c>
      <c r="B16630" s="27" t="s">
        <v>26</v>
      </c>
      <c r="C16630" s="27" t="s">
        <v>50</v>
      </c>
      <c r="D16630" s="27" t="s">
        <v>6</v>
      </c>
      <c r="E16630" s="27" t="s">
        <v>64</v>
      </c>
      <c r="F16630" s="29"/>
      <c r="G16630" s="30">
        <v>1276.3329108875935</v>
      </c>
    </row>
    <row r="16631" spans="1:7" hidden="1" x14ac:dyDescent="0.25">
      <c r="A16631" s="28">
        <v>44896</v>
      </c>
      <c r="B16631" s="27" t="s">
        <v>26</v>
      </c>
      <c r="C16631" s="27" t="s">
        <v>50</v>
      </c>
      <c r="D16631" s="27" t="s">
        <v>6</v>
      </c>
      <c r="E16631" s="27" t="s">
        <v>21</v>
      </c>
      <c r="F16631" s="29"/>
      <c r="G16631" s="30">
        <v>1372.0704648952321</v>
      </c>
    </row>
    <row r="16632" spans="1:7" hidden="1" x14ac:dyDescent="0.25">
      <c r="A16632" s="28">
        <v>44896</v>
      </c>
      <c r="B16632" s="27" t="s">
        <v>26</v>
      </c>
      <c r="C16632" s="27" t="s">
        <v>50</v>
      </c>
      <c r="D16632" s="27" t="s">
        <v>6</v>
      </c>
      <c r="E16632" s="27" t="s">
        <v>41</v>
      </c>
      <c r="F16632" s="29"/>
      <c r="G16632" s="30">
        <v>1581.4819806400055</v>
      </c>
    </row>
    <row r="16633" spans="1:7" hidden="1" x14ac:dyDescent="0.25">
      <c r="A16633" s="28">
        <v>44896</v>
      </c>
      <c r="B16633" s="27" t="s">
        <v>26</v>
      </c>
      <c r="C16633" s="27" t="s">
        <v>50</v>
      </c>
      <c r="D16633" s="27" t="s">
        <v>6</v>
      </c>
      <c r="E16633" s="27" t="s">
        <v>10</v>
      </c>
      <c r="F16633" s="29"/>
      <c r="G16633" s="30">
        <v>2188.8314725228997</v>
      </c>
    </row>
    <row r="16634" spans="1:7" hidden="1" x14ac:dyDescent="0.25">
      <c r="A16634" s="28">
        <v>44896</v>
      </c>
      <c r="B16634" s="27" t="s">
        <v>26</v>
      </c>
      <c r="C16634" s="27" t="s">
        <v>50</v>
      </c>
      <c r="D16634" s="27" t="s">
        <v>6</v>
      </c>
      <c r="E16634" s="27" t="s">
        <v>11</v>
      </c>
      <c r="F16634" s="29"/>
      <c r="G16634" s="30">
        <v>1627.7110218930932</v>
      </c>
    </row>
    <row r="16635" spans="1:7" hidden="1" x14ac:dyDescent="0.25">
      <c r="A16635" s="28">
        <v>44896</v>
      </c>
      <c r="B16635" s="27" t="s">
        <v>26</v>
      </c>
      <c r="C16635" s="27" t="s">
        <v>50</v>
      </c>
      <c r="D16635" s="27" t="s">
        <v>6</v>
      </c>
      <c r="E16635" s="27" t="s">
        <v>12</v>
      </c>
      <c r="F16635" s="29"/>
      <c r="G16635" s="30">
        <v>1714.4875638594519</v>
      </c>
    </row>
    <row r="16636" spans="1:7" hidden="1" x14ac:dyDescent="0.25">
      <c r="A16636" s="28">
        <v>44896</v>
      </c>
      <c r="B16636" s="27" t="s">
        <v>26</v>
      </c>
      <c r="C16636" s="27" t="s">
        <v>50</v>
      </c>
      <c r="D16636" s="27" t="s">
        <v>6</v>
      </c>
      <c r="E16636" s="27" t="s">
        <v>13</v>
      </c>
      <c r="F16636" s="29"/>
      <c r="G16636" s="30">
        <v>1743.4562287890469</v>
      </c>
    </row>
    <row r="16637" spans="1:7" hidden="1" x14ac:dyDescent="0.25">
      <c r="A16637" s="28">
        <v>44896</v>
      </c>
      <c r="B16637" s="27" t="s">
        <v>26</v>
      </c>
      <c r="C16637" s="27" t="s">
        <v>50</v>
      </c>
      <c r="D16637" s="27" t="s">
        <v>6</v>
      </c>
      <c r="E16637" s="27" t="s">
        <v>14</v>
      </c>
      <c r="F16637" s="29"/>
      <c r="G16637" s="30">
        <v>561.68141286032039</v>
      </c>
    </row>
    <row r="16638" spans="1:7" hidden="1" x14ac:dyDescent="0.25">
      <c r="A16638" s="28">
        <v>44896</v>
      </c>
      <c r="B16638" s="27" t="s">
        <v>26</v>
      </c>
      <c r="C16638" s="27" t="s">
        <v>50</v>
      </c>
      <c r="D16638" s="27" t="s">
        <v>6</v>
      </c>
      <c r="E16638" s="27" t="s">
        <v>15</v>
      </c>
      <c r="F16638" s="29"/>
      <c r="G16638" s="30">
        <v>1903.4886846016955</v>
      </c>
    </row>
    <row r="16639" spans="1:7" hidden="1" x14ac:dyDescent="0.25">
      <c r="A16639" s="28">
        <v>44896</v>
      </c>
      <c r="B16639" s="27" t="s">
        <v>26</v>
      </c>
      <c r="C16639" s="27" t="s">
        <v>50</v>
      </c>
      <c r="D16639" s="27" t="s">
        <v>6</v>
      </c>
      <c r="E16639" s="27" t="s">
        <v>16</v>
      </c>
      <c r="F16639" s="29"/>
      <c r="G16639" s="30">
        <v>2154.0949651718715</v>
      </c>
    </row>
    <row r="16640" spans="1:7" hidden="1" x14ac:dyDescent="0.25">
      <c r="A16640" s="28">
        <v>44896</v>
      </c>
      <c r="B16640" s="27" t="s">
        <v>26</v>
      </c>
      <c r="C16640" s="27" t="s">
        <v>50</v>
      </c>
      <c r="D16640" s="27" t="s">
        <v>6</v>
      </c>
      <c r="E16640" s="27" t="s">
        <v>17</v>
      </c>
      <c r="F16640" s="29"/>
      <c r="G16640" s="30">
        <v>3135.6350321011482</v>
      </c>
    </row>
    <row r="16641" spans="1:7" hidden="1" x14ac:dyDescent="0.25">
      <c r="A16641" s="28">
        <v>44896</v>
      </c>
      <c r="B16641" s="27" t="s">
        <v>26</v>
      </c>
      <c r="C16641" s="27" t="s">
        <v>50</v>
      </c>
      <c r="D16641" s="27" t="s">
        <v>6</v>
      </c>
      <c r="E16641" s="27" t="s">
        <v>18</v>
      </c>
      <c r="F16641" s="29"/>
      <c r="G16641" s="30">
        <v>1603.690331509566</v>
      </c>
    </row>
    <row r="16642" spans="1:7" hidden="1" x14ac:dyDescent="0.25">
      <c r="A16642" s="28">
        <v>44896</v>
      </c>
      <c r="B16642" s="27" t="s">
        <v>26</v>
      </c>
      <c r="C16642" s="27" t="s">
        <v>50</v>
      </c>
      <c r="D16642" s="27" t="s">
        <v>6</v>
      </c>
      <c r="E16642" s="27" t="s">
        <v>19</v>
      </c>
      <c r="F16642" s="29"/>
      <c r="G16642" s="30">
        <v>2421.1417541901737</v>
      </c>
    </row>
    <row r="16643" spans="1:7" hidden="1" x14ac:dyDescent="0.25">
      <c r="A16643" s="28">
        <v>44896</v>
      </c>
      <c r="B16643" s="27" t="s">
        <v>26</v>
      </c>
      <c r="C16643" s="27" t="s">
        <v>50</v>
      </c>
      <c r="D16643" s="27" t="s">
        <v>6</v>
      </c>
      <c r="E16643" s="27" t="s">
        <v>20</v>
      </c>
      <c r="F16643" s="29"/>
      <c r="G16643" s="30">
        <v>1946.4814052941281</v>
      </c>
    </row>
    <row r="16644" spans="1:7" hidden="1" x14ac:dyDescent="0.25">
      <c r="A16644" s="28">
        <v>44896</v>
      </c>
      <c r="B16644" s="27" t="s">
        <v>26</v>
      </c>
      <c r="C16644" s="27" t="s">
        <v>50</v>
      </c>
      <c r="D16644" s="27" t="s">
        <v>6</v>
      </c>
      <c r="E16644" s="27" t="s">
        <v>38</v>
      </c>
      <c r="F16644" s="29"/>
      <c r="G16644" s="30">
        <v>760.63601728244464</v>
      </c>
    </row>
    <row r="16645" spans="1:7" hidden="1" x14ac:dyDescent="0.25">
      <c r="A16645" s="28">
        <v>44896</v>
      </c>
      <c r="B16645" s="27" t="s">
        <v>26</v>
      </c>
      <c r="C16645" s="27" t="s">
        <v>50</v>
      </c>
      <c r="D16645" s="27" t="s">
        <v>6</v>
      </c>
      <c r="E16645" s="27" t="s">
        <v>23</v>
      </c>
      <c r="F16645" s="29"/>
      <c r="G16645" s="30">
        <v>2589.0564485238838</v>
      </c>
    </row>
    <row r="16646" spans="1:7" hidden="1" x14ac:dyDescent="0.25">
      <c r="A16646" s="28">
        <v>44896</v>
      </c>
      <c r="B16646" s="27" t="s">
        <v>26</v>
      </c>
      <c r="C16646" s="27" t="s">
        <v>50</v>
      </c>
      <c r="D16646" s="27" t="s">
        <v>6</v>
      </c>
      <c r="E16646" s="27" t="s">
        <v>40</v>
      </c>
      <c r="F16646" s="29"/>
      <c r="G16646" s="30">
        <v>834.25152230214019</v>
      </c>
    </row>
    <row r="16647" spans="1:7" hidden="1" x14ac:dyDescent="0.25">
      <c r="A16647" s="28">
        <v>44896</v>
      </c>
      <c r="B16647" s="27" t="s">
        <v>26</v>
      </c>
      <c r="C16647" s="27" t="s">
        <v>50</v>
      </c>
      <c r="D16647" s="27" t="s">
        <v>6</v>
      </c>
      <c r="E16647" s="27" t="s">
        <v>42</v>
      </c>
      <c r="F16647" s="29"/>
      <c r="G16647" s="30">
        <v>770.09371289428304</v>
      </c>
    </row>
    <row r="16648" spans="1:7" hidden="1" x14ac:dyDescent="0.25">
      <c r="A16648" s="28">
        <v>44896</v>
      </c>
      <c r="B16648" s="27" t="s">
        <v>26</v>
      </c>
      <c r="C16648" s="27" t="s">
        <v>50</v>
      </c>
      <c r="D16648" s="27" t="s">
        <v>6</v>
      </c>
      <c r="E16648" s="27" t="s">
        <v>43</v>
      </c>
      <c r="F16648" s="29"/>
      <c r="G16648" s="30">
        <v>715.10130483040575</v>
      </c>
    </row>
    <row r="16649" spans="1:7" hidden="1" x14ac:dyDescent="0.25">
      <c r="A16649" s="28">
        <v>44896</v>
      </c>
      <c r="B16649" s="27" t="s">
        <v>26</v>
      </c>
      <c r="C16649" s="27" t="s">
        <v>50</v>
      </c>
      <c r="D16649" s="27" t="s">
        <v>6</v>
      </c>
      <c r="E16649" s="27" t="s">
        <v>72</v>
      </c>
      <c r="F16649" s="29"/>
      <c r="G16649" s="30">
        <v>667.44121784171193</v>
      </c>
    </row>
    <row r="16650" spans="1:7" hidden="1" x14ac:dyDescent="0.25">
      <c r="A16650" s="28">
        <v>44896</v>
      </c>
      <c r="B16650" s="27" t="s">
        <v>26</v>
      </c>
      <c r="C16650" s="27" t="s">
        <v>50</v>
      </c>
      <c r="D16650" s="27" t="s">
        <v>6</v>
      </c>
      <c r="E16650" s="27" t="s">
        <v>206</v>
      </c>
      <c r="F16650" s="29"/>
      <c r="G16650" s="30">
        <v>625.73864172660501</v>
      </c>
    </row>
    <row r="16651" spans="1:7" hidden="1" x14ac:dyDescent="0.25">
      <c r="A16651" s="28">
        <v>44896</v>
      </c>
      <c r="B16651" s="27" t="s">
        <v>26</v>
      </c>
      <c r="C16651" s="27" t="s">
        <v>50</v>
      </c>
      <c r="D16651" s="27" t="s">
        <v>6</v>
      </c>
      <c r="E16651" s="27" t="s">
        <v>67</v>
      </c>
      <c r="F16651" s="29"/>
      <c r="G16651" s="30">
        <v>588.94225103680481</v>
      </c>
    </row>
    <row r="16652" spans="1:7" hidden="1" x14ac:dyDescent="0.25">
      <c r="A16652" s="28">
        <v>44896</v>
      </c>
      <c r="B16652" s="27" t="s">
        <v>26</v>
      </c>
      <c r="C16652" s="27" t="s">
        <v>50</v>
      </c>
      <c r="D16652" s="27" t="s">
        <v>6</v>
      </c>
      <c r="E16652" s="27" t="s">
        <v>68</v>
      </c>
      <c r="F16652" s="29"/>
      <c r="G16652" s="30">
        <v>556.23434820142666</v>
      </c>
    </row>
    <row r="16653" spans="1:7" hidden="1" x14ac:dyDescent="0.25">
      <c r="A16653" s="28">
        <v>44896</v>
      </c>
      <c r="B16653" s="27" t="s">
        <v>26</v>
      </c>
      <c r="C16653" s="27" t="s">
        <v>50</v>
      </c>
      <c r="D16653" s="27" t="s">
        <v>6</v>
      </c>
      <c r="E16653" s="27" t="s">
        <v>74</v>
      </c>
      <c r="F16653" s="29"/>
      <c r="G16653" s="30">
        <v>1778.7894736842106</v>
      </c>
    </row>
    <row r="16654" spans="1:7" hidden="1" x14ac:dyDescent="0.25">
      <c r="A16654" s="28">
        <v>44896</v>
      </c>
      <c r="B16654" s="27" t="s">
        <v>26</v>
      </c>
      <c r="C16654" s="27" t="s">
        <v>50</v>
      </c>
      <c r="D16654" s="27" t="s">
        <v>6</v>
      </c>
      <c r="E16654" s="27" t="s">
        <v>37</v>
      </c>
      <c r="F16654" s="29"/>
      <c r="G16654" s="30">
        <v>791.10058149340887</v>
      </c>
    </row>
    <row r="16655" spans="1:7" hidden="1" x14ac:dyDescent="0.25">
      <c r="A16655" s="28">
        <v>44896</v>
      </c>
      <c r="B16655" s="27" t="s">
        <v>3</v>
      </c>
      <c r="C16655" s="27" t="s">
        <v>50</v>
      </c>
      <c r="D16655" s="27" t="s">
        <v>7</v>
      </c>
      <c r="E16655" s="27" t="s">
        <v>8</v>
      </c>
      <c r="F16655" s="29"/>
      <c r="G16655" s="30">
        <v>1121.3214285714287</v>
      </c>
    </row>
    <row r="16656" spans="1:7" hidden="1" x14ac:dyDescent="0.25">
      <c r="A16656" s="28">
        <v>44896</v>
      </c>
      <c r="B16656" s="27" t="s">
        <v>3</v>
      </c>
      <c r="C16656" s="27" t="s">
        <v>50</v>
      </c>
      <c r="D16656" s="27" t="s">
        <v>7</v>
      </c>
      <c r="E16656" s="27" t="s">
        <v>9</v>
      </c>
      <c r="F16656" s="29"/>
      <c r="G16656" s="30">
        <v>1121.3214285714287</v>
      </c>
    </row>
    <row r="16657" spans="1:7" hidden="1" x14ac:dyDescent="0.25">
      <c r="A16657" s="28">
        <v>44896</v>
      </c>
      <c r="B16657" s="27" t="s">
        <v>3</v>
      </c>
      <c r="C16657" s="27" t="s">
        <v>50</v>
      </c>
      <c r="D16657" s="27" t="s">
        <v>7</v>
      </c>
      <c r="E16657" s="27" t="s">
        <v>22</v>
      </c>
      <c r="F16657" s="29"/>
      <c r="G16657" s="30">
        <v>1121.3214285714287</v>
      </c>
    </row>
    <row r="16658" spans="1:7" hidden="1" x14ac:dyDescent="0.25">
      <c r="A16658" s="28">
        <v>44896</v>
      </c>
      <c r="B16658" s="27" t="s">
        <v>3</v>
      </c>
      <c r="C16658" s="27" t="s">
        <v>50</v>
      </c>
      <c r="D16658" s="27" t="s">
        <v>7</v>
      </c>
      <c r="E16658" s="27" t="s">
        <v>39</v>
      </c>
      <c r="F16658" s="29"/>
      <c r="G16658" s="30">
        <v>1121.3214285714287</v>
      </c>
    </row>
    <row r="16659" spans="1:7" hidden="1" x14ac:dyDescent="0.25">
      <c r="A16659" s="28">
        <v>44896</v>
      </c>
      <c r="B16659" s="27" t="s">
        <v>3</v>
      </c>
      <c r="C16659" s="27" t="s">
        <v>50</v>
      </c>
      <c r="D16659" s="27" t="s">
        <v>7</v>
      </c>
      <c r="E16659" s="27" t="s">
        <v>64</v>
      </c>
      <c r="F16659" s="29"/>
      <c r="G16659" s="30">
        <v>1121.3214285714287</v>
      </c>
    </row>
    <row r="16660" spans="1:7" hidden="1" x14ac:dyDescent="0.25">
      <c r="A16660" s="28">
        <v>44896</v>
      </c>
      <c r="B16660" s="27" t="s">
        <v>3</v>
      </c>
      <c r="C16660" s="27" t="s">
        <v>50</v>
      </c>
      <c r="D16660" s="27" t="s">
        <v>7</v>
      </c>
      <c r="E16660" s="27" t="s">
        <v>21</v>
      </c>
      <c r="F16660" s="29"/>
      <c r="G16660" s="30">
        <v>1121.3214285714287</v>
      </c>
    </row>
    <row r="16661" spans="1:7" hidden="1" x14ac:dyDescent="0.25">
      <c r="A16661" s="28">
        <v>44896</v>
      </c>
      <c r="B16661" s="27" t="s">
        <v>3</v>
      </c>
      <c r="C16661" s="27" t="s">
        <v>50</v>
      </c>
      <c r="D16661" s="27" t="s">
        <v>7</v>
      </c>
      <c r="E16661" s="27" t="s">
        <v>41</v>
      </c>
      <c r="F16661" s="29"/>
      <c r="G16661" s="30">
        <v>1121.3214285714287</v>
      </c>
    </row>
    <row r="16662" spans="1:7" hidden="1" x14ac:dyDescent="0.25">
      <c r="A16662" s="28">
        <v>44896</v>
      </c>
      <c r="B16662" s="27" t="s">
        <v>3</v>
      </c>
      <c r="C16662" s="27" t="s">
        <v>50</v>
      </c>
      <c r="D16662" s="27" t="s">
        <v>7</v>
      </c>
      <c r="E16662" s="27" t="s">
        <v>10</v>
      </c>
      <c r="F16662" s="29"/>
      <c r="G16662" s="30">
        <v>1121.3214285714287</v>
      </c>
    </row>
    <row r="16663" spans="1:7" hidden="1" x14ac:dyDescent="0.25">
      <c r="A16663" s="28">
        <v>44896</v>
      </c>
      <c r="B16663" s="27" t="s">
        <v>3</v>
      </c>
      <c r="C16663" s="27" t="s">
        <v>50</v>
      </c>
      <c r="D16663" s="27" t="s">
        <v>7</v>
      </c>
      <c r="E16663" s="27" t="s">
        <v>11</v>
      </c>
      <c r="F16663" s="29"/>
      <c r="G16663" s="30">
        <v>1121.3214285714287</v>
      </c>
    </row>
    <row r="16664" spans="1:7" hidden="1" x14ac:dyDescent="0.25">
      <c r="A16664" s="28">
        <v>44896</v>
      </c>
      <c r="B16664" s="27" t="s">
        <v>3</v>
      </c>
      <c r="C16664" s="27" t="s">
        <v>50</v>
      </c>
      <c r="D16664" s="27" t="s">
        <v>7</v>
      </c>
      <c r="E16664" s="27" t="s">
        <v>12</v>
      </c>
      <c r="F16664" s="29"/>
      <c r="G16664" s="30">
        <v>1121.3214285714287</v>
      </c>
    </row>
    <row r="16665" spans="1:7" hidden="1" x14ac:dyDescent="0.25">
      <c r="A16665" s="28">
        <v>44896</v>
      </c>
      <c r="B16665" s="27" t="s">
        <v>3</v>
      </c>
      <c r="C16665" s="27" t="s">
        <v>50</v>
      </c>
      <c r="D16665" s="27" t="s">
        <v>7</v>
      </c>
      <c r="E16665" s="27" t="s">
        <v>13</v>
      </c>
      <c r="F16665" s="29"/>
      <c r="G16665" s="30">
        <v>1121.3214285714287</v>
      </c>
    </row>
    <row r="16666" spans="1:7" hidden="1" x14ac:dyDescent="0.25">
      <c r="A16666" s="28">
        <v>44896</v>
      </c>
      <c r="B16666" s="27" t="s">
        <v>3</v>
      </c>
      <c r="C16666" s="27" t="s">
        <v>50</v>
      </c>
      <c r="D16666" s="27" t="s">
        <v>7</v>
      </c>
      <c r="E16666" s="27" t="s">
        <v>14</v>
      </c>
      <c r="F16666" s="29"/>
      <c r="G16666" s="30">
        <v>1121.3214285714287</v>
      </c>
    </row>
    <row r="16667" spans="1:7" hidden="1" x14ac:dyDescent="0.25">
      <c r="A16667" s="28">
        <v>44896</v>
      </c>
      <c r="B16667" s="27" t="s">
        <v>3</v>
      </c>
      <c r="C16667" s="27" t="s">
        <v>50</v>
      </c>
      <c r="D16667" s="27" t="s">
        <v>7</v>
      </c>
      <c r="E16667" s="27" t="s">
        <v>15</v>
      </c>
      <c r="F16667" s="29"/>
      <c r="G16667" s="30">
        <v>1121.3214285714287</v>
      </c>
    </row>
    <row r="16668" spans="1:7" hidden="1" x14ac:dyDescent="0.25">
      <c r="A16668" s="28">
        <v>44896</v>
      </c>
      <c r="B16668" s="27" t="s">
        <v>3</v>
      </c>
      <c r="C16668" s="27" t="s">
        <v>50</v>
      </c>
      <c r="D16668" s="27" t="s">
        <v>7</v>
      </c>
      <c r="E16668" s="27" t="s">
        <v>16</v>
      </c>
      <c r="F16668" s="29"/>
      <c r="G16668" s="30">
        <v>1121.3214285714287</v>
      </c>
    </row>
    <row r="16669" spans="1:7" hidden="1" x14ac:dyDescent="0.25">
      <c r="A16669" s="28">
        <v>44896</v>
      </c>
      <c r="B16669" s="27" t="s">
        <v>3</v>
      </c>
      <c r="C16669" s="27" t="s">
        <v>50</v>
      </c>
      <c r="D16669" s="27" t="s">
        <v>7</v>
      </c>
      <c r="E16669" s="27" t="s">
        <v>17</v>
      </c>
      <c r="F16669" s="29"/>
      <c r="G16669" s="30">
        <v>1121.3214285714287</v>
      </c>
    </row>
    <row r="16670" spans="1:7" hidden="1" x14ac:dyDescent="0.25">
      <c r="A16670" s="28">
        <v>44896</v>
      </c>
      <c r="B16670" s="27" t="s">
        <v>3</v>
      </c>
      <c r="C16670" s="27" t="s">
        <v>50</v>
      </c>
      <c r="D16670" s="27" t="s">
        <v>7</v>
      </c>
      <c r="E16670" s="27" t="s">
        <v>18</v>
      </c>
      <c r="F16670" s="29"/>
      <c r="G16670" s="30">
        <v>1121.3214285714287</v>
      </c>
    </row>
    <row r="16671" spans="1:7" hidden="1" x14ac:dyDescent="0.25">
      <c r="A16671" s="28">
        <v>44896</v>
      </c>
      <c r="B16671" s="27" t="s">
        <v>3</v>
      </c>
      <c r="C16671" s="27" t="s">
        <v>50</v>
      </c>
      <c r="D16671" s="27" t="s">
        <v>7</v>
      </c>
      <c r="E16671" s="27" t="s">
        <v>19</v>
      </c>
      <c r="F16671" s="29"/>
      <c r="G16671" s="30">
        <v>1121.3214285714287</v>
      </c>
    </row>
    <row r="16672" spans="1:7" hidden="1" x14ac:dyDescent="0.25">
      <c r="A16672" s="28">
        <v>44896</v>
      </c>
      <c r="B16672" s="27" t="s">
        <v>3</v>
      </c>
      <c r="C16672" s="27" t="s">
        <v>50</v>
      </c>
      <c r="D16672" s="27" t="s">
        <v>7</v>
      </c>
      <c r="E16672" s="27" t="s">
        <v>20</v>
      </c>
      <c r="F16672" s="29"/>
      <c r="G16672" s="30">
        <v>1121.3214285714287</v>
      </c>
    </row>
    <row r="16673" spans="1:7" hidden="1" x14ac:dyDescent="0.25">
      <c r="A16673" s="28">
        <v>44896</v>
      </c>
      <c r="B16673" s="27" t="s">
        <v>3</v>
      </c>
      <c r="C16673" s="27" t="s">
        <v>50</v>
      </c>
      <c r="D16673" s="27" t="s">
        <v>7</v>
      </c>
      <c r="E16673" s="27" t="s">
        <v>38</v>
      </c>
      <c r="F16673" s="29"/>
      <c r="G16673" s="30">
        <v>1121.3214285714287</v>
      </c>
    </row>
    <row r="16674" spans="1:7" hidden="1" x14ac:dyDescent="0.25">
      <c r="A16674" s="28">
        <v>44896</v>
      </c>
      <c r="B16674" s="27" t="s">
        <v>3</v>
      </c>
      <c r="C16674" s="27" t="s">
        <v>50</v>
      </c>
      <c r="D16674" s="27" t="s">
        <v>7</v>
      </c>
      <c r="E16674" s="27" t="s">
        <v>23</v>
      </c>
      <c r="F16674" s="29"/>
      <c r="G16674" s="30">
        <v>1121.3214285714287</v>
      </c>
    </row>
    <row r="16675" spans="1:7" hidden="1" x14ac:dyDescent="0.25">
      <c r="A16675" s="28">
        <v>44896</v>
      </c>
      <c r="B16675" s="27" t="s">
        <v>3</v>
      </c>
      <c r="C16675" s="27" t="s">
        <v>50</v>
      </c>
      <c r="D16675" s="27" t="s">
        <v>7</v>
      </c>
      <c r="E16675" s="27" t="s">
        <v>40</v>
      </c>
      <c r="F16675" s="29"/>
      <c r="G16675" s="30">
        <v>1121.3214285714287</v>
      </c>
    </row>
    <row r="16676" spans="1:7" hidden="1" x14ac:dyDescent="0.25">
      <c r="A16676" s="28">
        <v>44896</v>
      </c>
      <c r="B16676" s="27" t="s">
        <v>3</v>
      </c>
      <c r="C16676" s="27" t="s">
        <v>50</v>
      </c>
      <c r="D16676" s="27" t="s">
        <v>7</v>
      </c>
      <c r="E16676" s="27" t="s">
        <v>42</v>
      </c>
      <c r="F16676" s="29"/>
      <c r="G16676" s="30">
        <v>1121.3214285714287</v>
      </c>
    </row>
    <row r="16677" spans="1:7" hidden="1" x14ac:dyDescent="0.25">
      <c r="A16677" s="28">
        <v>44896</v>
      </c>
      <c r="B16677" s="27" t="s">
        <v>3</v>
      </c>
      <c r="C16677" s="27" t="s">
        <v>50</v>
      </c>
      <c r="D16677" s="27" t="s">
        <v>7</v>
      </c>
      <c r="E16677" s="27" t="s">
        <v>43</v>
      </c>
      <c r="F16677" s="29"/>
      <c r="G16677" s="30">
        <v>1121.3214285714287</v>
      </c>
    </row>
    <row r="16678" spans="1:7" hidden="1" x14ac:dyDescent="0.25">
      <c r="A16678" s="28">
        <v>44896</v>
      </c>
      <c r="B16678" s="27" t="s">
        <v>3</v>
      </c>
      <c r="C16678" s="27" t="s">
        <v>50</v>
      </c>
      <c r="D16678" s="27" t="s">
        <v>7</v>
      </c>
      <c r="E16678" s="27" t="s">
        <v>72</v>
      </c>
      <c r="F16678" s="29"/>
      <c r="G16678" s="30">
        <v>1121.3214285714287</v>
      </c>
    </row>
    <row r="16679" spans="1:7" hidden="1" x14ac:dyDescent="0.25">
      <c r="A16679" s="28">
        <v>44896</v>
      </c>
      <c r="B16679" s="27" t="s">
        <v>3</v>
      </c>
      <c r="C16679" s="27" t="s">
        <v>50</v>
      </c>
      <c r="D16679" s="27" t="s">
        <v>7</v>
      </c>
      <c r="E16679" s="27" t="s">
        <v>206</v>
      </c>
      <c r="F16679" s="29"/>
      <c r="G16679" s="30">
        <v>1121.3214285714287</v>
      </c>
    </row>
    <row r="16680" spans="1:7" hidden="1" x14ac:dyDescent="0.25">
      <c r="A16680" s="28">
        <v>44896</v>
      </c>
      <c r="B16680" s="27" t="s">
        <v>3</v>
      </c>
      <c r="C16680" s="27" t="s">
        <v>50</v>
      </c>
      <c r="D16680" s="27" t="s">
        <v>7</v>
      </c>
      <c r="E16680" s="27" t="s">
        <v>67</v>
      </c>
      <c r="F16680" s="29"/>
      <c r="G16680" s="30">
        <v>1121.3214285714287</v>
      </c>
    </row>
    <row r="16681" spans="1:7" hidden="1" x14ac:dyDescent="0.25">
      <c r="A16681" s="28">
        <v>44896</v>
      </c>
      <c r="B16681" s="27" t="s">
        <v>3</v>
      </c>
      <c r="C16681" s="27" t="s">
        <v>50</v>
      </c>
      <c r="D16681" s="27" t="s">
        <v>7</v>
      </c>
      <c r="E16681" s="27" t="s">
        <v>68</v>
      </c>
      <c r="F16681" s="29"/>
      <c r="G16681" s="30">
        <v>1121.3214285714287</v>
      </c>
    </row>
    <row r="16682" spans="1:7" hidden="1" x14ac:dyDescent="0.25">
      <c r="A16682" s="28">
        <v>44896</v>
      </c>
      <c r="B16682" s="27" t="s">
        <v>3</v>
      </c>
      <c r="C16682" s="27" t="s">
        <v>50</v>
      </c>
      <c r="D16682" s="27" t="s">
        <v>7</v>
      </c>
      <c r="E16682" s="27" t="s">
        <v>74</v>
      </c>
      <c r="F16682" s="29"/>
      <c r="G16682" s="30">
        <v>1121.3214285714287</v>
      </c>
    </row>
    <row r="16683" spans="1:7" hidden="1" x14ac:dyDescent="0.25">
      <c r="A16683" s="28">
        <v>44896</v>
      </c>
      <c r="B16683" s="27" t="s">
        <v>32</v>
      </c>
      <c r="C16683" s="27" t="s">
        <v>50</v>
      </c>
      <c r="D16683" s="27" t="s">
        <v>7</v>
      </c>
      <c r="E16683" s="27" t="s">
        <v>17</v>
      </c>
      <c r="F16683" s="29"/>
      <c r="G16683" s="30">
        <v>75</v>
      </c>
    </row>
    <row r="16684" spans="1:7" hidden="1" x14ac:dyDescent="0.25">
      <c r="A16684" s="28">
        <v>44896</v>
      </c>
      <c r="B16684" s="27" t="s">
        <v>5</v>
      </c>
      <c r="C16684" s="27" t="s">
        <v>51</v>
      </c>
      <c r="D16684" s="27" t="s">
        <v>51</v>
      </c>
      <c r="E16684" s="27" t="s">
        <v>8</v>
      </c>
      <c r="F16684" s="29">
        <v>4072</v>
      </c>
      <c r="G16684" s="30">
        <v>4.5098388249082699</v>
      </c>
    </row>
    <row r="16685" spans="1:7" hidden="1" x14ac:dyDescent="0.25">
      <c r="A16685" s="28">
        <v>44896</v>
      </c>
      <c r="B16685" s="27" t="s">
        <v>5</v>
      </c>
      <c r="C16685" s="27" t="s">
        <v>51</v>
      </c>
      <c r="D16685" s="27" t="s">
        <v>51</v>
      </c>
      <c r="E16685" s="27" t="s">
        <v>9</v>
      </c>
      <c r="F16685" s="29">
        <v>4919</v>
      </c>
      <c r="G16685" s="30">
        <v>3.1606944771317491</v>
      </c>
    </row>
    <row r="16686" spans="1:7" hidden="1" x14ac:dyDescent="0.25">
      <c r="A16686" s="28">
        <v>44896</v>
      </c>
      <c r="B16686" s="27" t="s">
        <v>5</v>
      </c>
      <c r="C16686" s="27" t="s">
        <v>51</v>
      </c>
      <c r="D16686" s="27" t="s">
        <v>51</v>
      </c>
      <c r="E16686" s="27" t="s">
        <v>22</v>
      </c>
      <c r="F16686" s="29">
        <v>3502</v>
      </c>
      <c r="G16686" s="30">
        <v>4.7195167759076462</v>
      </c>
    </row>
    <row r="16687" spans="1:7" hidden="1" x14ac:dyDescent="0.25">
      <c r="A16687" s="28">
        <v>44896</v>
      </c>
      <c r="B16687" s="27" t="s">
        <v>5</v>
      </c>
      <c r="C16687" s="27" t="s">
        <v>51</v>
      </c>
      <c r="D16687" s="27" t="s">
        <v>51</v>
      </c>
      <c r="E16687" s="27" t="s">
        <v>64</v>
      </c>
      <c r="F16687" s="29">
        <v>4173</v>
      </c>
      <c r="G16687" s="30">
        <v>4.0822680283527832</v>
      </c>
    </row>
    <row r="16688" spans="1:7" hidden="1" x14ac:dyDescent="0.25">
      <c r="A16688" s="28">
        <v>44896</v>
      </c>
      <c r="B16688" s="27" t="s">
        <v>5</v>
      </c>
      <c r="C16688" s="27" t="s">
        <v>51</v>
      </c>
      <c r="D16688" s="27" t="s">
        <v>51</v>
      </c>
      <c r="E16688" s="27" t="s">
        <v>21</v>
      </c>
      <c r="F16688" s="29">
        <v>4344</v>
      </c>
      <c r="G16688" s="30">
        <v>3.5526552800008755</v>
      </c>
    </row>
    <row r="16689" spans="1:7" hidden="1" x14ac:dyDescent="0.25">
      <c r="A16689" s="28">
        <v>44896</v>
      </c>
      <c r="B16689" s="27" t="s">
        <v>5</v>
      </c>
      <c r="C16689" s="27" t="s">
        <v>51</v>
      </c>
      <c r="D16689" s="27" t="s">
        <v>51</v>
      </c>
      <c r="E16689" s="27" t="s">
        <v>41</v>
      </c>
      <c r="F16689" s="29">
        <v>4905</v>
      </c>
      <c r="G16689" s="30">
        <v>3.3165170340608725</v>
      </c>
    </row>
    <row r="16690" spans="1:7" hidden="1" x14ac:dyDescent="0.25">
      <c r="A16690" s="28">
        <v>44896</v>
      </c>
      <c r="B16690" s="27" t="s">
        <v>5</v>
      </c>
      <c r="C16690" s="27" t="s">
        <v>51</v>
      </c>
      <c r="D16690" s="27" t="s">
        <v>51</v>
      </c>
      <c r="E16690" s="27" t="s">
        <v>10</v>
      </c>
      <c r="F16690" s="29">
        <v>1593</v>
      </c>
      <c r="G16690" s="30">
        <v>12.323159475173554</v>
      </c>
    </row>
    <row r="16691" spans="1:7" hidden="1" x14ac:dyDescent="0.25">
      <c r="A16691" s="28">
        <v>44896</v>
      </c>
      <c r="B16691" s="27" t="s">
        <v>5</v>
      </c>
      <c r="C16691" s="27" t="s">
        <v>51</v>
      </c>
      <c r="D16691" s="27" t="s">
        <v>51</v>
      </c>
      <c r="E16691" s="27" t="s">
        <v>12</v>
      </c>
      <c r="F16691" s="29">
        <v>740</v>
      </c>
      <c r="G16691" s="30">
        <v>21.907431263902733</v>
      </c>
    </row>
    <row r="16692" spans="1:7" hidden="1" x14ac:dyDescent="0.25">
      <c r="A16692" s="28">
        <v>44896</v>
      </c>
      <c r="B16692" s="27" t="s">
        <v>5</v>
      </c>
      <c r="C16692" s="27" t="s">
        <v>51</v>
      </c>
      <c r="D16692" s="27" t="s">
        <v>51</v>
      </c>
      <c r="E16692" s="27" t="s">
        <v>13</v>
      </c>
      <c r="F16692" s="29">
        <v>5460</v>
      </c>
      <c r="G16692" s="30">
        <v>3.1733952015050586</v>
      </c>
    </row>
    <row r="16693" spans="1:7" hidden="1" x14ac:dyDescent="0.25">
      <c r="A16693" s="28">
        <v>44896</v>
      </c>
      <c r="B16693" s="27" t="s">
        <v>5</v>
      </c>
      <c r="C16693" s="27" t="s">
        <v>51</v>
      </c>
      <c r="D16693" s="27" t="s">
        <v>51</v>
      </c>
      <c r="E16693" s="27" t="s">
        <v>14</v>
      </c>
      <c r="F16693" s="29">
        <v>5551</v>
      </c>
      <c r="G16693" s="30">
        <v>2.7860553025200669</v>
      </c>
    </row>
    <row r="16694" spans="1:7" hidden="1" x14ac:dyDescent="0.25">
      <c r="A16694" s="28">
        <v>44896</v>
      </c>
      <c r="B16694" s="27" t="s">
        <v>5</v>
      </c>
      <c r="C16694" s="27" t="s">
        <v>51</v>
      </c>
      <c r="D16694" s="27" t="s">
        <v>51</v>
      </c>
      <c r="E16694" s="27" t="s">
        <v>15</v>
      </c>
      <c r="F16694" s="29">
        <v>2490</v>
      </c>
      <c r="G16694" s="30">
        <v>6.26695291406838</v>
      </c>
    </row>
    <row r="16695" spans="1:7" hidden="1" x14ac:dyDescent="0.25">
      <c r="A16695" s="28">
        <v>44896</v>
      </c>
      <c r="B16695" s="27" t="s">
        <v>5</v>
      </c>
      <c r="C16695" s="27" t="s">
        <v>51</v>
      </c>
      <c r="D16695" s="27" t="s">
        <v>51</v>
      </c>
      <c r="E16695" s="27" t="s">
        <v>17</v>
      </c>
      <c r="F16695" s="29">
        <v>7645</v>
      </c>
      <c r="G16695" s="30">
        <v>2.4944354615473801</v>
      </c>
    </row>
    <row r="16696" spans="1:7" hidden="1" x14ac:dyDescent="0.25">
      <c r="A16696" s="28">
        <v>44896</v>
      </c>
      <c r="B16696" s="27" t="s">
        <v>5</v>
      </c>
      <c r="C16696" s="27" t="s">
        <v>51</v>
      </c>
      <c r="D16696" s="27" t="s">
        <v>51</v>
      </c>
      <c r="E16696" s="27" t="s">
        <v>18</v>
      </c>
      <c r="F16696" s="29">
        <v>4737</v>
      </c>
      <c r="G16696" s="30">
        <v>3.1830513833519394</v>
      </c>
    </row>
    <row r="16697" spans="1:7" hidden="1" x14ac:dyDescent="0.25">
      <c r="A16697" s="28">
        <v>44896</v>
      </c>
      <c r="B16697" s="27" t="s">
        <v>5</v>
      </c>
      <c r="C16697" s="27" t="s">
        <v>51</v>
      </c>
      <c r="D16697" s="27" t="s">
        <v>51</v>
      </c>
      <c r="E16697" s="27" t="s">
        <v>19</v>
      </c>
      <c r="F16697" s="29">
        <v>3768</v>
      </c>
      <c r="G16697" s="30">
        <v>4.5074006968202616</v>
      </c>
    </row>
    <row r="16698" spans="1:7" hidden="1" x14ac:dyDescent="0.25">
      <c r="A16698" s="28">
        <v>44896</v>
      </c>
      <c r="B16698" s="27" t="s">
        <v>5</v>
      </c>
      <c r="C16698" s="27" t="s">
        <v>51</v>
      </c>
      <c r="D16698" s="27" t="s">
        <v>51</v>
      </c>
      <c r="E16698" s="27" t="s">
        <v>20</v>
      </c>
      <c r="F16698" s="29">
        <v>4095</v>
      </c>
      <c r="G16698" s="30">
        <v>3.8738548172705003</v>
      </c>
    </row>
    <row r="16699" spans="1:7" hidden="1" x14ac:dyDescent="0.25">
      <c r="A16699" s="28">
        <v>44896</v>
      </c>
      <c r="B16699" s="27" t="s">
        <v>5</v>
      </c>
      <c r="C16699" s="27" t="s">
        <v>51</v>
      </c>
      <c r="D16699" s="27" t="s">
        <v>51</v>
      </c>
      <c r="E16699" s="27" t="s">
        <v>23</v>
      </c>
      <c r="F16699" s="29">
        <v>4880</v>
      </c>
      <c r="G16699" s="30">
        <v>3.7064099426132082</v>
      </c>
    </row>
    <row r="16700" spans="1:7" hidden="1" x14ac:dyDescent="0.25">
      <c r="A16700" s="28">
        <v>44896</v>
      </c>
      <c r="B16700" s="27" t="s">
        <v>5</v>
      </c>
      <c r="C16700" s="27" t="s">
        <v>51</v>
      </c>
      <c r="D16700" s="27" t="s">
        <v>51</v>
      </c>
      <c r="E16700" s="27" t="s">
        <v>40</v>
      </c>
      <c r="F16700" s="29">
        <v>3793</v>
      </c>
      <c r="G16700" s="30">
        <v>3.8623663574296629</v>
      </c>
    </row>
    <row r="16701" spans="1:7" hidden="1" x14ac:dyDescent="0.25">
      <c r="A16701" s="28">
        <v>44896</v>
      </c>
      <c r="B16701" s="27" t="s">
        <v>5</v>
      </c>
      <c r="C16701" s="27" t="s">
        <v>51</v>
      </c>
      <c r="D16701" s="27" t="s">
        <v>51</v>
      </c>
      <c r="E16701" s="27" t="s">
        <v>42</v>
      </c>
      <c r="F16701" s="29">
        <v>811</v>
      </c>
      <c r="G16701" s="30">
        <v>20.331415270435084</v>
      </c>
    </row>
    <row r="16702" spans="1:7" hidden="1" x14ac:dyDescent="0.25">
      <c r="A16702" s="28">
        <v>44896</v>
      </c>
      <c r="B16702" s="27" t="s">
        <v>5</v>
      </c>
      <c r="C16702" s="27" t="s">
        <v>51</v>
      </c>
      <c r="D16702" s="27" t="s">
        <v>51</v>
      </c>
      <c r="E16702" s="27" t="s">
        <v>43</v>
      </c>
      <c r="F16702" s="29">
        <v>3547</v>
      </c>
      <c r="G16702" s="30">
        <v>4.4524796662697996</v>
      </c>
    </row>
    <row r="16703" spans="1:7" hidden="1" x14ac:dyDescent="0.25">
      <c r="A16703" s="28">
        <v>44896</v>
      </c>
      <c r="B16703" s="27" t="s">
        <v>5</v>
      </c>
      <c r="C16703" s="27" t="s">
        <v>51</v>
      </c>
      <c r="D16703" s="27" t="s">
        <v>51</v>
      </c>
      <c r="E16703" s="27" t="s">
        <v>72</v>
      </c>
      <c r="F16703" s="29">
        <v>3458</v>
      </c>
      <c r="G16703" s="30">
        <v>4.9630032646819799</v>
      </c>
    </row>
    <row r="16704" spans="1:7" hidden="1" x14ac:dyDescent="0.25">
      <c r="A16704" s="28">
        <v>44896</v>
      </c>
      <c r="B16704" s="27" t="s">
        <v>5</v>
      </c>
      <c r="C16704" s="27" t="s">
        <v>51</v>
      </c>
      <c r="D16704" s="27" t="s">
        <v>51</v>
      </c>
      <c r="E16704" s="27" t="s">
        <v>206</v>
      </c>
      <c r="F16704" s="29">
        <v>3906</v>
      </c>
      <c r="G16704" s="30">
        <v>4.5601690782462878</v>
      </c>
    </row>
    <row r="16705" spans="1:7" hidden="1" x14ac:dyDescent="0.25">
      <c r="A16705" s="28">
        <v>44896</v>
      </c>
      <c r="B16705" s="27" t="s">
        <v>5</v>
      </c>
      <c r="C16705" s="27" t="s">
        <v>51</v>
      </c>
      <c r="D16705" s="27" t="s">
        <v>51</v>
      </c>
      <c r="E16705" s="27" t="s">
        <v>67</v>
      </c>
      <c r="F16705" s="29">
        <v>2335</v>
      </c>
      <c r="G16705" s="30">
        <v>6.9236458437313839</v>
      </c>
    </row>
    <row r="16706" spans="1:7" hidden="1" x14ac:dyDescent="0.25">
      <c r="A16706" s="28">
        <v>44896</v>
      </c>
      <c r="B16706" s="27" t="s">
        <v>5</v>
      </c>
      <c r="C16706" s="27" t="s">
        <v>51</v>
      </c>
      <c r="D16706" s="27" t="s">
        <v>51</v>
      </c>
      <c r="E16706" s="27" t="s">
        <v>68</v>
      </c>
      <c r="F16706" s="29">
        <v>6757</v>
      </c>
      <c r="G16706" s="30">
        <f>17812.02/Tabela16[[#This Row],[KM RODADO]]</f>
        <v>2.636084060973805</v>
      </c>
    </row>
    <row r="16707" spans="1:7" hidden="1" x14ac:dyDescent="0.25">
      <c r="A16707" s="28">
        <v>44896</v>
      </c>
      <c r="B16707" s="27" t="s">
        <v>5</v>
      </c>
      <c r="C16707" s="27" t="s">
        <v>51</v>
      </c>
      <c r="D16707" s="27" t="s">
        <v>51</v>
      </c>
      <c r="E16707" s="27" t="s">
        <v>74</v>
      </c>
      <c r="F16707" s="29">
        <v>4132</v>
      </c>
      <c r="G16707" s="30">
        <f>14718.31/Tabela16[[#This Row],[KM RODADO]]</f>
        <v>3.5620304937076477</v>
      </c>
    </row>
    <row r="16708" spans="1:7" hidden="1" x14ac:dyDescent="0.25">
      <c r="A16708" s="28">
        <v>44896</v>
      </c>
      <c r="B16708" s="27" t="s">
        <v>5</v>
      </c>
      <c r="C16708" s="27" t="s">
        <v>51</v>
      </c>
      <c r="D16708" s="27" t="s">
        <v>51</v>
      </c>
      <c r="E16708" s="27" t="s">
        <v>39</v>
      </c>
      <c r="F16708" s="29">
        <v>489</v>
      </c>
      <c r="G16708" s="30">
        <v>33.214895064244949</v>
      </c>
    </row>
    <row r="16709" spans="1:7" hidden="1" x14ac:dyDescent="0.25">
      <c r="A16709" s="28">
        <v>44896</v>
      </c>
      <c r="B16709" s="27" t="s">
        <v>180</v>
      </c>
      <c r="C16709" s="27" t="s">
        <v>50</v>
      </c>
      <c r="D16709" s="27" t="s">
        <v>7</v>
      </c>
      <c r="E16709" s="27" t="s">
        <v>64</v>
      </c>
      <c r="F16709" s="29"/>
      <c r="G16709" s="30">
        <v>935.93</v>
      </c>
    </row>
    <row r="16710" spans="1:7" hidden="1" x14ac:dyDescent="0.25">
      <c r="A16710" s="28">
        <v>44896</v>
      </c>
      <c r="B16710" s="27" t="s">
        <v>180</v>
      </c>
      <c r="C16710" s="27" t="s">
        <v>50</v>
      </c>
      <c r="D16710" s="27" t="s">
        <v>7</v>
      </c>
      <c r="E16710" s="27" t="s">
        <v>41</v>
      </c>
      <c r="F16710" s="29"/>
      <c r="G16710" s="30">
        <v>150</v>
      </c>
    </row>
    <row r="16711" spans="1:7" hidden="1" x14ac:dyDescent="0.25">
      <c r="A16711" s="28">
        <v>44896</v>
      </c>
      <c r="B16711" s="27" t="s">
        <v>180</v>
      </c>
      <c r="C16711" s="27" t="s">
        <v>50</v>
      </c>
      <c r="D16711" s="27" t="s">
        <v>7</v>
      </c>
      <c r="E16711" s="27" t="s">
        <v>10</v>
      </c>
      <c r="F16711" s="29"/>
      <c r="G16711" s="30">
        <v>2230</v>
      </c>
    </row>
    <row r="16712" spans="1:7" hidden="1" x14ac:dyDescent="0.25">
      <c r="A16712" s="28">
        <v>44896</v>
      </c>
      <c r="B16712" s="27" t="s">
        <v>180</v>
      </c>
      <c r="C16712" s="27" t="s">
        <v>50</v>
      </c>
      <c r="D16712" s="27" t="s">
        <v>7</v>
      </c>
      <c r="E16712" s="27" t="s">
        <v>11</v>
      </c>
      <c r="F16712" s="29"/>
      <c r="G16712" s="30">
        <v>2680.34</v>
      </c>
    </row>
    <row r="16713" spans="1:7" hidden="1" x14ac:dyDescent="0.25">
      <c r="A16713" s="28">
        <v>44896</v>
      </c>
      <c r="B16713" s="27" t="s">
        <v>180</v>
      </c>
      <c r="C16713" s="27" t="s">
        <v>50</v>
      </c>
      <c r="D16713" s="27" t="s">
        <v>7</v>
      </c>
      <c r="E16713" s="27" t="s">
        <v>16</v>
      </c>
      <c r="F16713" s="29"/>
      <c r="G16713" s="30">
        <v>1269.79</v>
      </c>
    </row>
    <row r="16714" spans="1:7" hidden="1" x14ac:dyDescent="0.25">
      <c r="A16714" s="28">
        <v>44896</v>
      </c>
      <c r="B16714" s="27" t="s">
        <v>180</v>
      </c>
      <c r="C16714" s="27" t="s">
        <v>50</v>
      </c>
      <c r="D16714" s="27" t="s">
        <v>7</v>
      </c>
      <c r="E16714" s="27" t="s">
        <v>17</v>
      </c>
      <c r="F16714" s="29"/>
      <c r="G16714" s="30">
        <v>775</v>
      </c>
    </row>
    <row r="16715" spans="1:7" hidden="1" x14ac:dyDescent="0.25">
      <c r="A16715" s="28">
        <v>44896</v>
      </c>
      <c r="B16715" s="27" t="s">
        <v>180</v>
      </c>
      <c r="C16715" s="27" t="s">
        <v>50</v>
      </c>
      <c r="D16715" s="27" t="s">
        <v>7</v>
      </c>
      <c r="E16715" s="27" t="s">
        <v>23</v>
      </c>
      <c r="F16715" s="29"/>
      <c r="G16715" s="30">
        <v>1470</v>
      </c>
    </row>
    <row r="16716" spans="1:7" hidden="1" x14ac:dyDescent="0.25">
      <c r="A16716" s="28">
        <v>44896</v>
      </c>
      <c r="B16716" s="27" t="s">
        <v>180</v>
      </c>
      <c r="C16716" s="27" t="s">
        <v>50</v>
      </c>
      <c r="D16716" s="27" t="s">
        <v>7</v>
      </c>
      <c r="E16716" s="27" t="s">
        <v>42</v>
      </c>
      <c r="F16716" s="29"/>
      <c r="G16716" s="30">
        <v>1850</v>
      </c>
    </row>
    <row r="16717" spans="1:7" hidden="1" x14ac:dyDescent="0.25">
      <c r="A16717" s="28">
        <v>44896</v>
      </c>
      <c r="B16717" s="27" t="s">
        <v>180</v>
      </c>
      <c r="C16717" s="27" t="s">
        <v>50</v>
      </c>
      <c r="D16717" s="27" t="s">
        <v>7</v>
      </c>
      <c r="E16717" s="27" t="s">
        <v>43</v>
      </c>
      <c r="F16717" s="29"/>
      <c r="G16717" s="30">
        <v>1280.02</v>
      </c>
    </row>
    <row r="16718" spans="1:7" hidden="1" x14ac:dyDescent="0.25">
      <c r="A16718" s="28">
        <v>44896</v>
      </c>
      <c r="B16718" s="27" t="s">
        <v>180</v>
      </c>
      <c r="C16718" s="27" t="s">
        <v>50</v>
      </c>
      <c r="D16718" s="27" t="s">
        <v>7</v>
      </c>
      <c r="E16718" s="27" t="s">
        <v>72</v>
      </c>
      <c r="F16718" s="29"/>
      <c r="G16718" s="30">
        <v>860</v>
      </c>
    </row>
    <row r="16719" spans="1:7" hidden="1" x14ac:dyDescent="0.25">
      <c r="A16719" s="28">
        <v>44896</v>
      </c>
      <c r="B16719" s="27" t="s">
        <v>180</v>
      </c>
      <c r="C16719" s="27" t="s">
        <v>50</v>
      </c>
      <c r="D16719" s="27" t="s">
        <v>7</v>
      </c>
      <c r="E16719" s="27" t="s">
        <v>206</v>
      </c>
      <c r="F16719" s="29"/>
      <c r="G16719" s="30">
        <v>18000.02</v>
      </c>
    </row>
    <row r="16720" spans="1:7" hidden="1" x14ac:dyDescent="0.25">
      <c r="A16720" s="28">
        <v>44896</v>
      </c>
      <c r="B16720" s="27" t="s">
        <v>180</v>
      </c>
      <c r="C16720" s="27" t="s">
        <v>50</v>
      </c>
      <c r="D16720" s="27" t="s">
        <v>7</v>
      </c>
      <c r="E16720" s="27" t="s">
        <v>68</v>
      </c>
      <c r="F16720" s="29"/>
      <c r="G16720" s="30">
        <v>1461.5</v>
      </c>
    </row>
    <row r="16721" spans="1:7" hidden="1" x14ac:dyDescent="0.25">
      <c r="A16721" s="28">
        <v>44896</v>
      </c>
      <c r="B16721" s="27" t="s">
        <v>180</v>
      </c>
      <c r="C16721" s="27" t="s">
        <v>50</v>
      </c>
      <c r="D16721" s="27" t="s">
        <v>7</v>
      </c>
      <c r="E16721" s="27" t="s">
        <v>37</v>
      </c>
      <c r="F16721" s="29"/>
      <c r="G16721" s="30">
        <v>22222.3</v>
      </c>
    </row>
    <row r="16722" spans="1:7" hidden="1" x14ac:dyDescent="0.25">
      <c r="A16722" s="28">
        <v>44896</v>
      </c>
      <c r="B16722" s="27" t="s">
        <v>181</v>
      </c>
      <c r="C16722" s="27" t="s">
        <v>50</v>
      </c>
      <c r="D16722" s="27" t="s">
        <v>6</v>
      </c>
      <c r="E16722" s="27" t="s">
        <v>10</v>
      </c>
      <c r="F16722" s="29"/>
      <c r="G16722" s="30">
        <v>450</v>
      </c>
    </row>
    <row r="16723" spans="1:7" hidden="1" x14ac:dyDescent="0.25">
      <c r="A16723" s="28">
        <v>44896</v>
      </c>
      <c r="B16723" s="27" t="s">
        <v>181</v>
      </c>
      <c r="C16723" s="27" t="s">
        <v>50</v>
      </c>
      <c r="D16723" s="27" t="s">
        <v>6</v>
      </c>
      <c r="E16723" s="27" t="s">
        <v>13</v>
      </c>
      <c r="F16723" s="29"/>
      <c r="G16723" s="30">
        <v>240</v>
      </c>
    </row>
    <row r="16724" spans="1:7" hidden="1" x14ac:dyDescent="0.25">
      <c r="A16724" s="28">
        <v>44896</v>
      </c>
      <c r="B16724" s="27" t="s">
        <v>181</v>
      </c>
      <c r="C16724" s="27" t="s">
        <v>50</v>
      </c>
      <c r="D16724" s="27" t="s">
        <v>6</v>
      </c>
      <c r="E16724" s="27" t="s">
        <v>14</v>
      </c>
      <c r="F16724" s="29"/>
      <c r="G16724" s="30">
        <v>220</v>
      </c>
    </row>
    <row r="16725" spans="1:7" hidden="1" x14ac:dyDescent="0.25">
      <c r="A16725" s="28">
        <v>44896</v>
      </c>
      <c r="B16725" s="27" t="s">
        <v>181</v>
      </c>
      <c r="C16725" s="27" t="s">
        <v>50</v>
      </c>
      <c r="D16725" s="27" t="s">
        <v>6</v>
      </c>
      <c r="E16725" s="27" t="s">
        <v>19</v>
      </c>
      <c r="F16725" s="29"/>
      <c r="G16725" s="30">
        <v>673.3</v>
      </c>
    </row>
    <row r="16726" spans="1:7" hidden="1" x14ac:dyDescent="0.25">
      <c r="A16726" s="28">
        <v>44896</v>
      </c>
      <c r="B16726" s="27" t="s">
        <v>181</v>
      </c>
      <c r="C16726" s="27" t="s">
        <v>50</v>
      </c>
      <c r="D16726" s="27" t="s">
        <v>6</v>
      </c>
      <c r="E16726" s="27" t="s">
        <v>20</v>
      </c>
      <c r="F16726" s="29"/>
      <c r="G16726" s="30">
        <v>120</v>
      </c>
    </row>
    <row r="16727" spans="1:7" hidden="1" x14ac:dyDescent="0.25">
      <c r="A16727" s="28">
        <v>44896</v>
      </c>
      <c r="B16727" s="27" t="s">
        <v>181</v>
      </c>
      <c r="C16727" s="27" t="s">
        <v>50</v>
      </c>
      <c r="D16727" s="27" t="s">
        <v>6</v>
      </c>
      <c r="E16727" s="27" t="s">
        <v>72</v>
      </c>
      <c r="F16727" s="29"/>
      <c r="G16727" s="30">
        <v>630</v>
      </c>
    </row>
    <row r="16728" spans="1:7" hidden="1" x14ac:dyDescent="0.25">
      <c r="A16728" s="28">
        <v>44896</v>
      </c>
      <c r="B16728" s="27" t="s">
        <v>181</v>
      </c>
      <c r="C16728" s="27" t="s">
        <v>50</v>
      </c>
      <c r="D16728" s="27" t="s">
        <v>6</v>
      </c>
      <c r="E16728" s="27" t="s">
        <v>68</v>
      </c>
      <c r="F16728" s="29"/>
      <c r="G16728" s="30">
        <v>786.44</v>
      </c>
    </row>
    <row r="16729" spans="1:7" hidden="1" x14ac:dyDescent="0.25">
      <c r="A16729" s="28">
        <v>44896</v>
      </c>
      <c r="B16729" s="27" t="s">
        <v>181</v>
      </c>
      <c r="C16729" s="27" t="s">
        <v>50</v>
      </c>
      <c r="D16729" s="27" t="s">
        <v>6</v>
      </c>
      <c r="E16729" s="27" t="s">
        <v>37</v>
      </c>
      <c r="F16729" s="29"/>
      <c r="G16729" s="30">
        <v>5676.22</v>
      </c>
    </row>
    <row r="16730" spans="1:7" hidden="1" x14ac:dyDescent="0.25">
      <c r="A16730" s="28">
        <v>44896</v>
      </c>
      <c r="B16730" s="27" t="s">
        <v>25</v>
      </c>
      <c r="C16730" s="27" t="s">
        <v>50</v>
      </c>
      <c r="D16730" s="27" t="s">
        <v>7</v>
      </c>
      <c r="E16730" s="27" t="s">
        <v>8</v>
      </c>
      <c r="F16730" s="29"/>
      <c r="G16730" s="30">
        <v>208.26</v>
      </c>
    </row>
    <row r="16731" spans="1:7" hidden="1" x14ac:dyDescent="0.25">
      <c r="A16731" s="28">
        <v>44896</v>
      </c>
      <c r="B16731" s="27" t="s">
        <v>25</v>
      </c>
      <c r="C16731" s="27" t="s">
        <v>50</v>
      </c>
      <c r="D16731" s="27" t="s">
        <v>7</v>
      </c>
      <c r="E16731" s="27" t="s">
        <v>10</v>
      </c>
      <c r="F16731" s="29"/>
      <c r="G16731" s="30">
        <v>104.13</v>
      </c>
    </row>
    <row r="16732" spans="1:7" hidden="1" x14ac:dyDescent="0.25">
      <c r="A16732" s="28">
        <v>44896</v>
      </c>
      <c r="B16732" s="27" t="s">
        <v>25</v>
      </c>
      <c r="C16732" s="27" t="s">
        <v>50</v>
      </c>
      <c r="D16732" s="27" t="s">
        <v>7</v>
      </c>
      <c r="E16732" s="27" t="s">
        <v>11</v>
      </c>
      <c r="F16732" s="29"/>
      <c r="G16732" s="30">
        <v>827.88</v>
      </c>
    </row>
    <row r="16733" spans="1:7" hidden="1" x14ac:dyDescent="0.25">
      <c r="A16733" s="28">
        <v>44896</v>
      </c>
      <c r="B16733" s="27" t="s">
        <v>25</v>
      </c>
      <c r="C16733" s="27" t="s">
        <v>50</v>
      </c>
      <c r="D16733" s="27" t="s">
        <v>7</v>
      </c>
      <c r="E16733" s="27" t="s">
        <v>42</v>
      </c>
      <c r="F16733" s="29"/>
      <c r="G16733" s="30">
        <v>208.26</v>
      </c>
    </row>
    <row r="16734" spans="1:7" hidden="1" x14ac:dyDescent="0.25">
      <c r="A16734" s="28">
        <v>44896</v>
      </c>
      <c r="B16734" s="27" t="s">
        <v>25</v>
      </c>
      <c r="C16734" s="27" t="s">
        <v>50</v>
      </c>
      <c r="D16734" s="27" t="s">
        <v>7</v>
      </c>
      <c r="E16734" s="27" t="s">
        <v>37</v>
      </c>
      <c r="F16734" s="29"/>
      <c r="G16734" s="30">
        <v>130.16</v>
      </c>
    </row>
    <row r="16735" spans="1:7" hidden="1" x14ac:dyDescent="0.25">
      <c r="A16735" s="28">
        <v>44896</v>
      </c>
      <c r="B16735" s="27" t="s">
        <v>2</v>
      </c>
      <c r="C16735" s="27" t="s">
        <v>50</v>
      </c>
      <c r="D16735" s="27" t="s">
        <v>7</v>
      </c>
      <c r="E16735" s="27" t="s">
        <v>8</v>
      </c>
      <c r="F16735" s="29"/>
      <c r="G16735" s="30">
        <v>782.00000000000068</v>
      </c>
    </row>
    <row r="16736" spans="1:7" hidden="1" x14ac:dyDescent="0.25">
      <c r="A16736" s="28">
        <v>44896</v>
      </c>
      <c r="B16736" s="27" t="s">
        <v>2</v>
      </c>
      <c r="C16736" s="27" t="s">
        <v>50</v>
      </c>
      <c r="D16736" s="27" t="s">
        <v>7</v>
      </c>
      <c r="E16736" s="27" t="s">
        <v>9</v>
      </c>
      <c r="F16736" s="29"/>
      <c r="G16736" s="30">
        <v>483.30000000000052</v>
      </c>
    </row>
    <row r="16737" spans="1:7" hidden="1" x14ac:dyDescent="0.25">
      <c r="A16737" s="28">
        <v>44896</v>
      </c>
      <c r="B16737" s="27" t="s">
        <v>2</v>
      </c>
      <c r="C16737" s="27" t="s">
        <v>50</v>
      </c>
      <c r="D16737" s="27" t="s">
        <v>7</v>
      </c>
      <c r="E16737" s="27" t="s">
        <v>22</v>
      </c>
      <c r="F16737" s="29"/>
      <c r="G16737" s="30">
        <v>936.9200000000003</v>
      </c>
    </row>
    <row r="16738" spans="1:7" hidden="1" x14ac:dyDescent="0.25">
      <c r="A16738" s="28">
        <v>44896</v>
      </c>
      <c r="B16738" s="27" t="s">
        <v>2</v>
      </c>
      <c r="C16738" s="27" t="s">
        <v>50</v>
      </c>
      <c r="D16738" s="27" t="s">
        <v>7</v>
      </c>
      <c r="E16738" s="27" t="s">
        <v>39</v>
      </c>
      <c r="F16738" s="29"/>
      <c r="G16738" s="30">
        <v>174.79999999999998</v>
      </c>
    </row>
    <row r="16739" spans="1:7" hidden="1" x14ac:dyDescent="0.25">
      <c r="A16739" s="28">
        <v>44896</v>
      </c>
      <c r="B16739" s="27" t="s">
        <v>2</v>
      </c>
      <c r="C16739" s="27" t="s">
        <v>50</v>
      </c>
      <c r="D16739" s="27" t="s">
        <v>7</v>
      </c>
      <c r="E16739" s="27" t="s">
        <v>64</v>
      </c>
      <c r="F16739" s="29"/>
      <c r="G16739" s="30">
        <v>614.01000000000079</v>
      </c>
    </row>
    <row r="16740" spans="1:7" hidden="1" x14ac:dyDescent="0.25">
      <c r="A16740" s="28">
        <v>44896</v>
      </c>
      <c r="B16740" s="27" t="s">
        <v>2</v>
      </c>
      <c r="C16740" s="27" t="s">
        <v>50</v>
      </c>
      <c r="D16740" s="27" t="s">
        <v>7</v>
      </c>
      <c r="E16740" s="27" t="s">
        <v>21</v>
      </c>
      <c r="F16740" s="29"/>
      <c r="G16740" s="30">
        <v>591.63999999999953</v>
      </c>
    </row>
    <row r="16741" spans="1:7" hidden="1" x14ac:dyDescent="0.25">
      <c r="A16741" s="28">
        <v>44896</v>
      </c>
      <c r="B16741" s="27" t="s">
        <v>2</v>
      </c>
      <c r="C16741" s="27" t="s">
        <v>50</v>
      </c>
      <c r="D16741" s="27" t="s">
        <v>7</v>
      </c>
      <c r="E16741" s="27" t="s">
        <v>41</v>
      </c>
      <c r="F16741" s="29"/>
      <c r="G16741" s="30">
        <v>1067.0099999999998</v>
      </c>
    </row>
    <row r="16742" spans="1:7" hidden="1" x14ac:dyDescent="0.25">
      <c r="A16742" s="28">
        <v>44896</v>
      </c>
      <c r="B16742" s="27" t="s">
        <v>2</v>
      </c>
      <c r="C16742" s="27" t="s">
        <v>50</v>
      </c>
      <c r="D16742" s="27" t="s">
        <v>7</v>
      </c>
      <c r="E16742" s="27" t="s">
        <v>10</v>
      </c>
      <c r="F16742" s="29"/>
      <c r="G16742" s="30">
        <v>448.8000000000003</v>
      </c>
    </row>
    <row r="16743" spans="1:7" hidden="1" x14ac:dyDescent="0.25">
      <c r="A16743" s="28">
        <v>44896</v>
      </c>
      <c r="B16743" s="27" t="s">
        <v>2</v>
      </c>
      <c r="C16743" s="27" t="s">
        <v>50</v>
      </c>
      <c r="D16743" s="27" t="s">
        <v>7</v>
      </c>
      <c r="E16743" s="27" t="s">
        <v>11</v>
      </c>
      <c r="F16743" s="29"/>
      <c r="G16743" s="30">
        <v>110.89999999999999</v>
      </c>
    </row>
    <row r="16744" spans="1:7" hidden="1" x14ac:dyDescent="0.25">
      <c r="A16744" s="28">
        <v>44896</v>
      </c>
      <c r="B16744" s="27" t="s">
        <v>2</v>
      </c>
      <c r="C16744" s="27" t="s">
        <v>50</v>
      </c>
      <c r="D16744" s="27" t="s">
        <v>7</v>
      </c>
      <c r="E16744" s="27" t="s">
        <v>12</v>
      </c>
      <c r="F16744" s="29"/>
      <c r="G16744" s="30">
        <v>287.97999999999996</v>
      </c>
    </row>
    <row r="16745" spans="1:7" hidden="1" x14ac:dyDescent="0.25">
      <c r="A16745" s="28">
        <v>44896</v>
      </c>
      <c r="B16745" s="27" t="s">
        <v>2</v>
      </c>
      <c r="C16745" s="27" t="s">
        <v>50</v>
      </c>
      <c r="D16745" s="27" t="s">
        <v>7</v>
      </c>
      <c r="E16745" s="27" t="s">
        <v>13</v>
      </c>
      <c r="F16745" s="29"/>
      <c r="G16745" s="30">
        <v>1134.2499999999998</v>
      </c>
    </row>
    <row r="16746" spans="1:7" hidden="1" x14ac:dyDescent="0.25">
      <c r="A16746" s="28">
        <v>44896</v>
      </c>
      <c r="B16746" s="27" t="s">
        <v>2</v>
      </c>
      <c r="C16746" s="27" t="s">
        <v>50</v>
      </c>
      <c r="D16746" s="27" t="s">
        <v>7</v>
      </c>
      <c r="E16746" s="27" t="s">
        <v>14</v>
      </c>
      <c r="F16746" s="29"/>
      <c r="G16746" s="30">
        <v>474.67999999999955</v>
      </c>
    </row>
    <row r="16747" spans="1:7" hidden="1" x14ac:dyDescent="0.25">
      <c r="A16747" s="28">
        <v>44896</v>
      </c>
      <c r="B16747" s="27" t="s">
        <v>2</v>
      </c>
      <c r="C16747" s="27" t="s">
        <v>50</v>
      </c>
      <c r="D16747" s="27" t="s">
        <v>7</v>
      </c>
      <c r="E16747" s="27" t="s">
        <v>15</v>
      </c>
      <c r="F16747" s="29"/>
      <c r="G16747" s="30">
        <v>232.20000000000016</v>
      </c>
    </row>
    <row r="16748" spans="1:7" hidden="1" x14ac:dyDescent="0.25">
      <c r="A16748" s="28">
        <v>44896</v>
      </c>
      <c r="B16748" s="27" t="s">
        <v>2</v>
      </c>
      <c r="C16748" s="27" t="s">
        <v>50</v>
      </c>
      <c r="D16748" s="27" t="s">
        <v>7</v>
      </c>
      <c r="E16748" s="27" t="s">
        <v>17</v>
      </c>
      <c r="F16748" s="29"/>
      <c r="G16748" s="30">
        <v>1615.3</v>
      </c>
    </row>
    <row r="16749" spans="1:7" hidden="1" x14ac:dyDescent="0.25">
      <c r="A16749" s="28">
        <v>44896</v>
      </c>
      <c r="B16749" s="27" t="s">
        <v>2</v>
      </c>
      <c r="C16749" s="27" t="s">
        <v>50</v>
      </c>
      <c r="D16749" s="27" t="s">
        <v>7</v>
      </c>
      <c r="E16749" s="27" t="s">
        <v>18</v>
      </c>
      <c r="F16749" s="29"/>
      <c r="G16749" s="30">
        <v>5.4</v>
      </c>
    </row>
    <row r="16750" spans="1:7" hidden="1" x14ac:dyDescent="0.25">
      <c r="A16750" s="28">
        <v>44896</v>
      </c>
      <c r="B16750" s="27" t="s">
        <v>2</v>
      </c>
      <c r="C16750" s="27" t="s">
        <v>50</v>
      </c>
      <c r="D16750" s="27" t="s">
        <v>7</v>
      </c>
      <c r="E16750" s="27" t="s">
        <v>19</v>
      </c>
      <c r="F16750" s="29"/>
      <c r="G16750" s="30">
        <v>420.41999999999945</v>
      </c>
    </row>
    <row r="16751" spans="1:7" hidden="1" x14ac:dyDescent="0.25">
      <c r="A16751" s="28">
        <v>44896</v>
      </c>
      <c r="B16751" s="27" t="s">
        <v>2</v>
      </c>
      <c r="C16751" s="27" t="s">
        <v>50</v>
      </c>
      <c r="D16751" s="27" t="s">
        <v>7</v>
      </c>
      <c r="E16751" s="27" t="s">
        <v>20</v>
      </c>
      <c r="F16751" s="29"/>
      <c r="G16751" s="30">
        <v>327.92999999999961</v>
      </c>
    </row>
    <row r="16752" spans="1:7" hidden="1" x14ac:dyDescent="0.25">
      <c r="A16752" s="28">
        <v>44896</v>
      </c>
      <c r="B16752" s="27" t="s">
        <v>2</v>
      </c>
      <c r="C16752" s="27" t="s">
        <v>50</v>
      </c>
      <c r="D16752" s="27" t="s">
        <v>7</v>
      </c>
      <c r="E16752" s="27" t="s">
        <v>23</v>
      </c>
      <c r="F16752" s="29"/>
      <c r="G16752" s="30">
        <v>559.19999999999925</v>
      </c>
    </row>
    <row r="16753" spans="1:7" hidden="1" x14ac:dyDescent="0.25">
      <c r="A16753" s="28">
        <v>44896</v>
      </c>
      <c r="B16753" s="27" t="s">
        <v>2</v>
      </c>
      <c r="C16753" s="27" t="s">
        <v>50</v>
      </c>
      <c r="D16753" s="27" t="s">
        <v>7</v>
      </c>
      <c r="E16753" s="27" t="s">
        <v>40</v>
      </c>
      <c r="F16753" s="29"/>
      <c r="G16753" s="30">
        <v>346.68</v>
      </c>
    </row>
    <row r="16754" spans="1:7" hidden="1" x14ac:dyDescent="0.25">
      <c r="A16754" s="28">
        <v>44896</v>
      </c>
      <c r="B16754" s="27" t="s">
        <v>2</v>
      </c>
      <c r="C16754" s="27" t="s">
        <v>50</v>
      </c>
      <c r="D16754" s="27" t="s">
        <v>7</v>
      </c>
      <c r="E16754" s="27" t="s">
        <v>42</v>
      </c>
      <c r="F16754" s="29"/>
      <c r="G16754" s="30">
        <v>191.40000000000006</v>
      </c>
    </row>
    <row r="16755" spans="1:7" hidden="1" x14ac:dyDescent="0.25">
      <c r="A16755" s="28">
        <v>44896</v>
      </c>
      <c r="B16755" s="27" t="s">
        <v>2</v>
      </c>
      <c r="C16755" s="27" t="s">
        <v>50</v>
      </c>
      <c r="D16755" s="27" t="s">
        <v>7</v>
      </c>
      <c r="E16755" s="27" t="s">
        <v>43</v>
      </c>
      <c r="F16755" s="29"/>
      <c r="G16755" s="30">
        <v>328.79999999999984</v>
      </c>
    </row>
    <row r="16756" spans="1:7" hidden="1" x14ac:dyDescent="0.25">
      <c r="A16756" s="28">
        <v>44896</v>
      </c>
      <c r="B16756" s="27" t="s">
        <v>2</v>
      </c>
      <c r="C16756" s="27" t="s">
        <v>50</v>
      </c>
      <c r="D16756" s="27" t="s">
        <v>7</v>
      </c>
      <c r="E16756" s="27" t="s">
        <v>72</v>
      </c>
      <c r="F16756" s="29"/>
      <c r="G16756" s="30">
        <v>1535.6</v>
      </c>
    </row>
    <row r="16757" spans="1:7" hidden="1" x14ac:dyDescent="0.25">
      <c r="A16757" s="28">
        <v>44896</v>
      </c>
      <c r="B16757" s="27" t="s">
        <v>2</v>
      </c>
      <c r="C16757" s="27" t="s">
        <v>50</v>
      </c>
      <c r="D16757" s="27" t="s">
        <v>7</v>
      </c>
      <c r="E16757" s="27" t="s">
        <v>206</v>
      </c>
      <c r="F16757" s="29"/>
      <c r="G16757" s="30">
        <v>1159</v>
      </c>
    </row>
    <row r="16758" spans="1:7" hidden="1" x14ac:dyDescent="0.25">
      <c r="A16758" s="28">
        <v>44896</v>
      </c>
      <c r="B16758" s="27" t="s">
        <v>2</v>
      </c>
      <c r="C16758" s="27" t="s">
        <v>50</v>
      </c>
      <c r="D16758" s="27" t="s">
        <v>7</v>
      </c>
      <c r="E16758" s="27" t="s">
        <v>67</v>
      </c>
      <c r="F16758" s="29"/>
      <c r="G16758" s="30">
        <v>580.05000000000064</v>
      </c>
    </row>
    <row r="16759" spans="1:7" hidden="1" x14ac:dyDescent="0.25">
      <c r="A16759" s="28">
        <v>44896</v>
      </c>
      <c r="B16759" s="27" t="s">
        <v>2</v>
      </c>
      <c r="C16759" s="27" t="s">
        <v>50</v>
      </c>
      <c r="D16759" s="27" t="s">
        <v>7</v>
      </c>
      <c r="E16759" s="27" t="s">
        <v>68</v>
      </c>
      <c r="F16759" s="29"/>
      <c r="G16759" s="30">
        <v>1812.33</v>
      </c>
    </row>
    <row r="16760" spans="1:7" hidden="1" x14ac:dyDescent="0.25">
      <c r="A16760" s="28">
        <v>44896</v>
      </c>
      <c r="B16760" s="27" t="s">
        <v>2</v>
      </c>
      <c r="C16760" s="27" t="s">
        <v>50</v>
      </c>
      <c r="D16760" s="27" t="s">
        <v>7</v>
      </c>
      <c r="E16760" s="27" t="s">
        <v>74</v>
      </c>
      <c r="F16760" s="29"/>
      <c r="G16760" s="30">
        <v>452.39999999999986</v>
      </c>
    </row>
    <row r="16761" spans="1:7" hidden="1" x14ac:dyDescent="0.25">
      <c r="A16761" s="28">
        <v>44896</v>
      </c>
      <c r="B16761" s="27" t="s">
        <v>2</v>
      </c>
      <c r="C16761" s="27" t="s">
        <v>50</v>
      </c>
      <c r="D16761" s="27" t="s">
        <v>7</v>
      </c>
      <c r="E16761" s="27" t="s">
        <v>37</v>
      </c>
      <c r="F16761" s="29"/>
      <c r="G16761" s="30">
        <v>4273.84</v>
      </c>
    </row>
    <row r="16762" spans="1:7" hidden="1" x14ac:dyDescent="0.25">
      <c r="A16762" s="28">
        <v>44896</v>
      </c>
      <c r="B16762" s="27" t="s">
        <v>36</v>
      </c>
      <c r="C16762" s="27" t="s">
        <v>50</v>
      </c>
      <c r="D16762" s="27" t="s">
        <v>6</v>
      </c>
      <c r="E16762" s="27" t="s">
        <v>8</v>
      </c>
      <c r="F16762" s="29"/>
      <c r="G16762" s="30">
        <v>413.93785714285713</v>
      </c>
    </row>
    <row r="16763" spans="1:7" hidden="1" x14ac:dyDescent="0.25">
      <c r="A16763" s="28">
        <v>44896</v>
      </c>
      <c r="B16763" s="27" t="s">
        <v>36</v>
      </c>
      <c r="C16763" s="27" t="s">
        <v>50</v>
      </c>
      <c r="D16763" s="27" t="s">
        <v>6</v>
      </c>
      <c r="E16763" s="27" t="s">
        <v>9</v>
      </c>
      <c r="F16763" s="29"/>
      <c r="G16763" s="30">
        <v>413.93785714285713</v>
      </c>
    </row>
    <row r="16764" spans="1:7" hidden="1" x14ac:dyDescent="0.25">
      <c r="A16764" s="28">
        <v>44896</v>
      </c>
      <c r="B16764" s="27" t="s">
        <v>36</v>
      </c>
      <c r="C16764" s="27" t="s">
        <v>50</v>
      </c>
      <c r="D16764" s="27" t="s">
        <v>6</v>
      </c>
      <c r="E16764" s="27" t="s">
        <v>22</v>
      </c>
      <c r="F16764" s="29"/>
      <c r="G16764" s="30">
        <v>413.93785714285713</v>
      </c>
    </row>
    <row r="16765" spans="1:7" hidden="1" x14ac:dyDescent="0.25">
      <c r="A16765" s="28">
        <v>44896</v>
      </c>
      <c r="B16765" s="27" t="s">
        <v>36</v>
      </c>
      <c r="C16765" s="27" t="s">
        <v>50</v>
      </c>
      <c r="D16765" s="27" t="s">
        <v>6</v>
      </c>
      <c r="E16765" s="27" t="s">
        <v>39</v>
      </c>
      <c r="F16765" s="29"/>
      <c r="G16765" s="30">
        <v>413.93785714285713</v>
      </c>
    </row>
    <row r="16766" spans="1:7" hidden="1" x14ac:dyDescent="0.25">
      <c r="A16766" s="28">
        <v>44896</v>
      </c>
      <c r="B16766" s="27" t="s">
        <v>36</v>
      </c>
      <c r="C16766" s="27" t="s">
        <v>50</v>
      </c>
      <c r="D16766" s="27" t="s">
        <v>6</v>
      </c>
      <c r="E16766" s="27" t="s">
        <v>64</v>
      </c>
      <c r="F16766" s="29"/>
      <c r="G16766" s="30">
        <v>413.93785714285713</v>
      </c>
    </row>
    <row r="16767" spans="1:7" hidden="1" x14ac:dyDescent="0.25">
      <c r="A16767" s="28">
        <v>44896</v>
      </c>
      <c r="B16767" s="27" t="s">
        <v>36</v>
      </c>
      <c r="C16767" s="27" t="s">
        <v>50</v>
      </c>
      <c r="D16767" s="27" t="s">
        <v>6</v>
      </c>
      <c r="E16767" s="27" t="s">
        <v>21</v>
      </c>
      <c r="F16767" s="29"/>
      <c r="G16767" s="30">
        <v>413.93785714285713</v>
      </c>
    </row>
    <row r="16768" spans="1:7" hidden="1" x14ac:dyDescent="0.25">
      <c r="A16768" s="28">
        <v>44896</v>
      </c>
      <c r="B16768" s="27" t="s">
        <v>36</v>
      </c>
      <c r="C16768" s="27" t="s">
        <v>50</v>
      </c>
      <c r="D16768" s="27" t="s">
        <v>6</v>
      </c>
      <c r="E16768" s="27" t="s">
        <v>41</v>
      </c>
      <c r="F16768" s="29"/>
      <c r="G16768" s="30">
        <v>413.93785714285713</v>
      </c>
    </row>
    <row r="16769" spans="1:7" hidden="1" x14ac:dyDescent="0.25">
      <c r="A16769" s="28">
        <v>44896</v>
      </c>
      <c r="B16769" s="27" t="s">
        <v>36</v>
      </c>
      <c r="C16769" s="27" t="s">
        <v>50</v>
      </c>
      <c r="D16769" s="27" t="s">
        <v>6</v>
      </c>
      <c r="E16769" s="27" t="s">
        <v>10</v>
      </c>
      <c r="F16769" s="29"/>
      <c r="G16769" s="30">
        <v>413.93785714285713</v>
      </c>
    </row>
    <row r="16770" spans="1:7" hidden="1" x14ac:dyDescent="0.25">
      <c r="A16770" s="28">
        <v>44896</v>
      </c>
      <c r="B16770" s="27" t="s">
        <v>36</v>
      </c>
      <c r="C16770" s="27" t="s">
        <v>50</v>
      </c>
      <c r="D16770" s="27" t="s">
        <v>6</v>
      </c>
      <c r="E16770" s="27" t="s">
        <v>11</v>
      </c>
      <c r="F16770" s="29"/>
      <c r="G16770" s="30">
        <v>413.93785714285713</v>
      </c>
    </row>
    <row r="16771" spans="1:7" hidden="1" x14ac:dyDescent="0.25">
      <c r="A16771" s="28">
        <v>44896</v>
      </c>
      <c r="B16771" s="27" t="s">
        <v>36</v>
      </c>
      <c r="C16771" s="27" t="s">
        <v>50</v>
      </c>
      <c r="D16771" s="27" t="s">
        <v>6</v>
      </c>
      <c r="E16771" s="27" t="s">
        <v>12</v>
      </c>
      <c r="F16771" s="29"/>
      <c r="G16771" s="30">
        <v>413.93785714285713</v>
      </c>
    </row>
    <row r="16772" spans="1:7" hidden="1" x14ac:dyDescent="0.25">
      <c r="A16772" s="28">
        <v>44896</v>
      </c>
      <c r="B16772" s="27" t="s">
        <v>36</v>
      </c>
      <c r="C16772" s="27" t="s">
        <v>50</v>
      </c>
      <c r="D16772" s="27" t="s">
        <v>6</v>
      </c>
      <c r="E16772" s="27" t="s">
        <v>13</v>
      </c>
      <c r="F16772" s="29"/>
      <c r="G16772" s="30">
        <v>413.93785714285713</v>
      </c>
    </row>
    <row r="16773" spans="1:7" hidden="1" x14ac:dyDescent="0.25">
      <c r="A16773" s="28">
        <v>44896</v>
      </c>
      <c r="B16773" s="27" t="s">
        <v>36</v>
      </c>
      <c r="C16773" s="27" t="s">
        <v>50</v>
      </c>
      <c r="D16773" s="27" t="s">
        <v>6</v>
      </c>
      <c r="E16773" s="27" t="s">
        <v>14</v>
      </c>
      <c r="F16773" s="29"/>
      <c r="G16773" s="30">
        <v>413.93785714285713</v>
      </c>
    </row>
    <row r="16774" spans="1:7" hidden="1" x14ac:dyDescent="0.25">
      <c r="A16774" s="28">
        <v>44896</v>
      </c>
      <c r="B16774" s="27" t="s">
        <v>36</v>
      </c>
      <c r="C16774" s="27" t="s">
        <v>50</v>
      </c>
      <c r="D16774" s="27" t="s">
        <v>6</v>
      </c>
      <c r="E16774" s="27" t="s">
        <v>15</v>
      </c>
      <c r="F16774" s="29"/>
      <c r="G16774" s="30">
        <v>413.93785714285713</v>
      </c>
    </row>
    <row r="16775" spans="1:7" hidden="1" x14ac:dyDescent="0.25">
      <c r="A16775" s="28">
        <v>44896</v>
      </c>
      <c r="B16775" s="27" t="s">
        <v>36</v>
      </c>
      <c r="C16775" s="27" t="s">
        <v>50</v>
      </c>
      <c r="D16775" s="27" t="s">
        <v>6</v>
      </c>
      <c r="E16775" s="27" t="s">
        <v>16</v>
      </c>
      <c r="F16775" s="29"/>
      <c r="G16775" s="30">
        <v>413.93785714285713</v>
      </c>
    </row>
    <row r="16776" spans="1:7" hidden="1" x14ac:dyDescent="0.25">
      <c r="A16776" s="28">
        <v>44896</v>
      </c>
      <c r="B16776" s="27" t="s">
        <v>36</v>
      </c>
      <c r="C16776" s="27" t="s">
        <v>50</v>
      </c>
      <c r="D16776" s="27" t="s">
        <v>6</v>
      </c>
      <c r="E16776" s="27" t="s">
        <v>17</v>
      </c>
      <c r="F16776" s="29"/>
      <c r="G16776" s="30">
        <v>413.93785714285713</v>
      </c>
    </row>
    <row r="16777" spans="1:7" hidden="1" x14ac:dyDescent="0.25">
      <c r="A16777" s="28">
        <v>44896</v>
      </c>
      <c r="B16777" s="27" t="s">
        <v>36</v>
      </c>
      <c r="C16777" s="27" t="s">
        <v>50</v>
      </c>
      <c r="D16777" s="27" t="s">
        <v>6</v>
      </c>
      <c r="E16777" s="27" t="s">
        <v>18</v>
      </c>
      <c r="F16777" s="29"/>
      <c r="G16777" s="30">
        <v>413.93785714285713</v>
      </c>
    </row>
    <row r="16778" spans="1:7" hidden="1" x14ac:dyDescent="0.25">
      <c r="A16778" s="28">
        <v>44896</v>
      </c>
      <c r="B16778" s="27" t="s">
        <v>36</v>
      </c>
      <c r="C16778" s="27" t="s">
        <v>50</v>
      </c>
      <c r="D16778" s="27" t="s">
        <v>6</v>
      </c>
      <c r="E16778" s="27" t="s">
        <v>19</v>
      </c>
      <c r="F16778" s="29"/>
      <c r="G16778" s="30">
        <v>413.93785714285713</v>
      </c>
    </row>
    <row r="16779" spans="1:7" hidden="1" x14ac:dyDescent="0.25">
      <c r="A16779" s="28">
        <v>44896</v>
      </c>
      <c r="B16779" s="27" t="s">
        <v>36</v>
      </c>
      <c r="C16779" s="27" t="s">
        <v>50</v>
      </c>
      <c r="D16779" s="27" t="s">
        <v>6</v>
      </c>
      <c r="E16779" s="27" t="s">
        <v>20</v>
      </c>
      <c r="F16779" s="29"/>
      <c r="G16779" s="30">
        <v>413.93785714285713</v>
      </c>
    </row>
    <row r="16780" spans="1:7" hidden="1" x14ac:dyDescent="0.25">
      <c r="A16780" s="28">
        <v>44896</v>
      </c>
      <c r="B16780" s="27" t="s">
        <v>36</v>
      </c>
      <c r="C16780" s="27" t="s">
        <v>50</v>
      </c>
      <c r="D16780" s="27" t="s">
        <v>6</v>
      </c>
      <c r="E16780" s="27" t="s">
        <v>38</v>
      </c>
      <c r="F16780" s="29"/>
      <c r="G16780" s="30">
        <v>413.93785714285713</v>
      </c>
    </row>
    <row r="16781" spans="1:7" hidden="1" x14ac:dyDescent="0.25">
      <c r="A16781" s="28">
        <v>44896</v>
      </c>
      <c r="B16781" s="27" t="s">
        <v>36</v>
      </c>
      <c r="C16781" s="27" t="s">
        <v>50</v>
      </c>
      <c r="D16781" s="27" t="s">
        <v>6</v>
      </c>
      <c r="E16781" s="27" t="s">
        <v>23</v>
      </c>
      <c r="F16781" s="29"/>
      <c r="G16781" s="30">
        <v>413.93785714285713</v>
      </c>
    </row>
    <row r="16782" spans="1:7" hidden="1" x14ac:dyDescent="0.25">
      <c r="A16782" s="28">
        <v>44896</v>
      </c>
      <c r="B16782" s="27" t="s">
        <v>36</v>
      </c>
      <c r="C16782" s="27" t="s">
        <v>50</v>
      </c>
      <c r="D16782" s="27" t="s">
        <v>6</v>
      </c>
      <c r="E16782" s="27" t="s">
        <v>40</v>
      </c>
      <c r="F16782" s="29"/>
      <c r="G16782" s="30">
        <v>413.93785714285713</v>
      </c>
    </row>
    <row r="16783" spans="1:7" hidden="1" x14ac:dyDescent="0.25">
      <c r="A16783" s="28">
        <v>44896</v>
      </c>
      <c r="B16783" s="27" t="s">
        <v>36</v>
      </c>
      <c r="C16783" s="27" t="s">
        <v>50</v>
      </c>
      <c r="D16783" s="27" t="s">
        <v>6</v>
      </c>
      <c r="E16783" s="27" t="s">
        <v>42</v>
      </c>
      <c r="F16783" s="29"/>
      <c r="G16783" s="30">
        <v>413.93785714285713</v>
      </c>
    </row>
    <row r="16784" spans="1:7" hidden="1" x14ac:dyDescent="0.25">
      <c r="A16784" s="28">
        <v>44896</v>
      </c>
      <c r="B16784" s="27" t="s">
        <v>36</v>
      </c>
      <c r="C16784" s="27" t="s">
        <v>50</v>
      </c>
      <c r="D16784" s="27" t="s">
        <v>6</v>
      </c>
      <c r="E16784" s="27" t="s">
        <v>43</v>
      </c>
      <c r="F16784" s="29"/>
      <c r="G16784" s="30">
        <v>413.93785714285713</v>
      </c>
    </row>
    <row r="16785" spans="1:7" hidden="1" x14ac:dyDescent="0.25">
      <c r="A16785" s="28">
        <v>44896</v>
      </c>
      <c r="B16785" s="27" t="s">
        <v>36</v>
      </c>
      <c r="C16785" s="27" t="s">
        <v>50</v>
      </c>
      <c r="D16785" s="27" t="s">
        <v>6</v>
      </c>
      <c r="E16785" s="27" t="s">
        <v>72</v>
      </c>
      <c r="F16785" s="29"/>
      <c r="G16785" s="30">
        <v>413.93785714285713</v>
      </c>
    </row>
    <row r="16786" spans="1:7" hidden="1" x14ac:dyDescent="0.25">
      <c r="A16786" s="28">
        <v>44896</v>
      </c>
      <c r="B16786" s="27" t="s">
        <v>36</v>
      </c>
      <c r="C16786" s="27" t="s">
        <v>50</v>
      </c>
      <c r="D16786" s="27" t="s">
        <v>6</v>
      </c>
      <c r="E16786" s="27" t="s">
        <v>206</v>
      </c>
      <c r="F16786" s="29"/>
      <c r="G16786" s="30">
        <v>413.93785714285713</v>
      </c>
    </row>
    <row r="16787" spans="1:7" hidden="1" x14ac:dyDescent="0.25">
      <c r="A16787" s="28">
        <v>44896</v>
      </c>
      <c r="B16787" s="27" t="s">
        <v>36</v>
      </c>
      <c r="C16787" s="27" t="s">
        <v>50</v>
      </c>
      <c r="D16787" s="27" t="s">
        <v>6</v>
      </c>
      <c r="E16787" s="27" t="s">
        <v>67</v>
      </c>
      <c r="F16787" s="29"/>
      <c r="G16787" s="30">
        <v>413.93785714285713</v>
      </c>
    </row>
    <row r="16788" spans="1:7" hidden="1" x14ac:dyDescent="0.25">
      <c r="A16788" s="28">
        <v>44896</v>
      </c>
      <c r="B16788" s="27" t="s">
        <v>36</v>
      </c>
      <c r="C16788" s="27" t="s">
        <v>50</v>
      </c>
      <c r="D16788" s="27" t="s">
        <v>6</v>
      </c>
      <c r="E16788" s="27" t="s">
        <v>68</v>
      </c>
      <c r="F16788" s="29"/>
      <c r="G16788" s="30">
        <v>413.93785714285713</v>
      </c>
    </row>
    <row r="16789" spans="1:7" hidden="1" x14ac:dyDescent="0.25">
      <c r="A16789" s="28">
        <v>44896</v>
      </c>
      <c r="B16789" s="27" t="s">
        <v>36</v>
      </c>
      <c r="C16789" s="27" t="s">
        <v>50</v>
      </c>
      <c r="D16789" s="27" t="s">
        <v>6</v>
      </c>
      <c r="E16789" s="27" t="s">
        <v>74</v>
      </c>
      <c r="F16789" s="29"/>
      <c r="G16789" s="30">
        <v>413.93785714285713</v>
      </c>
    </row>
    <row r="16790" spans="1:7" hidden="1" x14ac:dyDescent="0.25">
      <c r="A16790" s="28">
        <v>44896</v>
      </c>
      <c r="B16790" s="27" t="s">
        <v>200</v>
      </c>
      <c r="C16790" s="27" t="s">
        <v>53</v>
      </c>
      <c r="D16790" s="27" t="s">
        <v>6</v>
      </c>
      <c r="E16790" s="27" t="s">
        <v>8</v>
      </c>
      <c r="F16790" s="29"/>
      <c r="G16790" s="30">
        <f t="shared" ref="G16790:G16813" si="289">2328.95819444444/24</f>
        <v>97.039924768518333</v>
      </c>
    </row>
    <row r="16791" spans="1:7" hidden="1" x14ac:dyDescent="0.25">
      <c r="A16791" s="28">
        <v>44896</v>
      </c>
      <c r="B16791" s="27" t="s">
        <v>200</v>
      </c>
      <c r="C16791" s="27" t="s">
        <v>53</v>
      </c>
      <c r="D16791" s="27" t="s">
        <v>6</v>
      </c>
      <c r="E16791" s="27" t="s">
        <v>9</v>
      </c>
      <c r="F16791" s="29"/>
      <c r="G16791" s="30">
        <f t="shared" si="289"/>
        <v>97.039924768518333</v>
      </c>
    </row>
    <row r="16792" spans="1:7" hidden="1" x14ac:dyDescent="0.25">
      <c r="A16792" s="28">
        <v>44896</v>
      </c>
      <c r="B16792" s="27" t="s">
        <v>200</v>
      </c>
      <c r="C16792" s="27" t="s">
        <v>53</v>
      </c>
      <c r="D16792" s="27" t="s">
        <v>6</v>
      </c>
      <c r="E16792" s="27" t="s">
        <v>22</v>
      </c>
      <c r="F16792" s="29"/>
      <c r="G16792" s="30">
        <f t="shared" si="289"/>
        <v>97.039924768518333</v>
      </c>
    </row>
    <row r="16793" spans="1:7" hidden="1" x14ac:dyDescent="0.25">
      <c r="A16793" s="28">
        <v>44896</v>
      </c>
      <c r="B16793" s="27" t="s">
        <v>200</v>
      </c>
      <c r="C16793" s="27" t="s">
        <v>53</v>
      </c>
      <c r="D16793" s="27" t="s">
        <v>6</v>
      </c>
      <c r="E16793" s="27" t="s">
        <v>39</v>
      </c>
      <c r="F16793" s="29"/>
      <c r="G16793" s="30">
        <f t="shared" si="289"/>
        <v>97.039924768518333</v>
      </c>
    </row>
    <row r="16794" spans="1:7" hidden="1" x14ac:dyDescent="0.25">
      <c r="A16794" s="28">
        <v>44896</v>
      </c>
      <c r="B16794" s="27" t="s">
        <v>200</v>
      </c>
      <c r="C16794" s="27" t="s">
        <v>53</v>
      </c>
      <c r="D16794" s="27" t="s">
        <v>6</v>
      </c>
      <c r="E16794" s="27" t="s">
        <v>64</v>
      </c>
      <c r="F16794" s="29"/>
      <c r="G16794" s="30">
        <f t="shared" si="289"/>
        <v>97.039924768518333</v>
      </c>
    </row>
    <row r="16795" spans="1:7" hidden="1" x14ac:dyDescent="0.25">
      <c r="A16795" s="28">
        <v>44896</v>
      </c>
      <c r="B16795" s="27" t="s">
        <v>200</v>
      </c>
      <c r="C16795" s="27" t="s">
        <v>53</v>
      </c>
      <c r="D16795" s="27" t="s">
        <v>6</v>
      </c>
      <c r="E16795" s="27" t="s">
        <v>21</v>
      </c>
      <c r="F16795" s="29"/>
      <c r="G16795" s="30">
        <f t="shared" si="289"/>
        <v>97.039924768518333</v>
      </c>
    </row>
    <row r="16796" spans="1:7" hidden="1" x14ac:dyDescent="0.25">
      <c r="A16796" s="28">
        <v>44896</v>
      </c>
      <c r="B16796" s="27" t="s">
        <v>200</v>
      </c>
      <c r="C16796" s="27" t="s">
        <v>53</v>
      </c>
      <c r="D16796" s="27" t="s">
        <v>6</v>
      </c>
      <c r="E16796" s="27" t="s">
        <v>41</v>
      </c>
      <c r="F16796" s="29"/>
      <c r="G16796" s="30">
        <f t="shared" si="289"/>
        <v>97.039924768518333</v>
      </c>
    </row>
    <row r="16797" spans="1:7" hidden="1" x14ac:dyDescent="0.25">
      <c r="A16797" s="28">
        <v>44896</v>
      </c>
      <c r="B16797" s="27" t="s">
        <v>200</v>
      </c>
      <c r="C16797" s="27" t="s">
        <v>53</v>
      </c>
      <c r="D16797" s="27" t="s">
        <v>6</v>
      </c>
      <c r="E16797" s="27" t="s">
        <v>10</v>
      </c>
      <c r="F16797" s="29"/>
      <c r="G16797" s="30">
        <f t="shared" si="289"/>
        <v>97.039924768518333</v>
      </c>
    </row>
    <row r="16798" spans="1:7" hidden="1" x14ac:dyDescent="0.25">
      <c r="A16798" s="28">
        <v>44896</v>
      </c>
      <c r="B16798" s="27" t="s">
        <v>200</v>
      </c>
      <c r="C16798" s="27" t="s">
        <v>53</v>
      </c>
      <c r="D16798" s="27" t="s">
        <v>6</v>
      </c>
      <c r="E16798" s="27" t="s">
        <v>11</v>
      </c>
      <c r="F16798" s="29"/>
      <c r="G16798" s="30">
        <f t="shared" si="289"/>
        <v>97.039924768518333</v>
      </c>
    </row>
    <row r="16799" spans="1:7" hidden="1" x14ac:dyDescent="0.25">
      <c r="A16799" s="28">
        <v>44896</v>
      </c>
      <c r="B16799" s="27" t="s">
        <v>200</v>
      </c>
      <c r="C16799" s="27" t="s">
        <v>53</v>
      </c>
      <c r="D16799" s="27" t="s">
        <v>6</v>
      </c>
      <c r="E16799" s="27" t="s">
        <v>12</v>
      </c>
      <c r="F16799" s="29"/>
      <c r="G16799" s="30">
        <f t="shared" si="289"/>
        <v>97.039924768518333</v>
      </c>
    </row>
    <row r="16800" spans="1:7" hidden="1" x14ac:dyDescent="0.25">
      <c r="A16800" s="28">
        <v>44896</v>
      </c>
      <c r="B16800" s="27" t="s">
        <v>200</v>
      </c>
      <c r="C16800" s="27" t="s">
        <v>53</v>
      </c>
      <c r="D16800" s="27" t="s">
        <v>6</v>
      </c>
      <c r="E16800" s="27" t="s">
        <v>13</v>
      </c>
      <c r="F16800" s="29"/>
      <c r="G16800" s="30">
        <f t="shared" si="289"/>
        <v>97.039924768518333</v>
      </c>
    </row>
    <row r="16801" spans="1:7" hidden="1" x14ac:dyDescent="0.25">
      <c r="A16801" s="28">
        <v>44896</v>
      </c>
      <c r="B16801" s="27" t="s">
        <v>200</v>
      </c>
      <c r="C16801" s="27" t="s">
        <v>53</v>
      </c>
      <c r="D16801" s="27" t="s">
        <v>6</v>
      </c>
      <c r="E16801" s="27" t="s">
        <v>14</v>
      </c>
      <c r="F16801" s="29"/>
      <c r="G16801" s="30">
        <f t="shared" si="289"/>
        <v>97.039924768518333</v>
      </c>
    </row>
    <row r="16802" spans="1:7" hidden="1" x14ac:dyDescent="0.25">
      <c r="A16802" s="28">
        <v>44896</v>
      </c>
      <c r="B16802" s="27" t="s">
        <v>200</v>
      </c>
      <c r="C16802" s="27" t="s">
        <v>53</v>
      </c>
      <c r="D16802" s="27" t="s">
        <v>6</v>
      </c>
      <c r="E16802" s="27" t="s">
        <v>15</v>
      </c>
      <c r="F16802" s="29"/>
      <c r="G16802" s="30">
        <f t="shared" si="289"/>
        <v>97.039924768518333</v>
      </c>
    </row>
    <row r="16803" spans="1:7" hidden="1" x14ac:dyDescent="0.25">
      <c r="A16803" s="28">
        <v>44896</v>
      </c>
      <c r="B16803" s="27" t="s">
        <v>200</v>
      </c>
      <c r="C16803" s="27" t="s">
        <v>53</v>
      </c>
      <c r="D16803" s="27" t="s">
        <v>6</v>
      </c>
      <c r="E16803" s="27" t="s">
        <v>16</v>
      </c>
      <c r="F16803" s="29"/>
      <c r="G16803" s="30">
        <f t="shared" si="289"/>
        <v>97.039924768518333</v>
      </c>
    </row>
    <row r="16804" spans="1:7" hidden="1" x14ac:dyDescent="0.25">
      <c r="A16804" s="28">
        <v>44896</v>
      </c>
      <c r="B16804" s="27" t="s">
        <v>200</v>
      </c>
      <c r="C16804" s="27" t="s">
        <v>53</v>
      </c>
      <c r="D16804" s="27" t="s">
        <v>6</v>
      </c>
      <c r="E16804" s="27" t="s">
        <v>17</v>
      </c>
      <c r="F16804" s="29"/>
      <c r="G16804" s="30">
        <f t="shared" si="289"/>
        <v>97.039924768518333</v>
      </c>
    </row>
    <row r="16805" spans="1:7" hidden="1" x14ac:dyDescent="0.25">
      <c r="A16805" s="28">
        <v>44896</v>
      </c>
      <c r="B16805" s="27" t="s">
        <v>200</v>
      </c>
      <c r="C16805" s="27" t="s">
        <v>53</v>
      </c>
      <c r="D16805" s="27" t="s">
        <v>6</v>
      </c>
      <c r="E16805" s="27" t="s">
        <v>18</v>
      </c>
      <c r="F16805" s="29"/>
      <c r="G16805" s="30">
        <f t="shared" si="289"/>
        <v>97.039924768518333</v>
      </c>
    </row>
    <row r="16806" spans="1:7" hidden="1" x14ac:dyDescent="0.25">
      <c r="A16806" s="28">
        <v>44896</v>
      </c>
      <c r="B16806" s="27" t="s">
        <v>200</v>
      </c>
      <c r="C16806" s="27" t="s">
        <v>53</v>
      </c>
      <c r="D16806" s="27" t="s">
        <v>6</v>
      </c>
      <c r="E16806" s="27" t="s">
        <v>19</v>
      </c>
      <c r="F16806" s="29"/>
      <c r="G16806" s="30">
        <f t="shared" si="289"/>
        <v>97.039924768518333</v>
      </c>
    </row>
    <row r="16807" spans="1:7" hidden="1" x14ac:dyDescent="0.25">
      <c r="A16807" s="28">
        <v>44896</v>
      </c>
      <c r="B16807" s="27" t="s">
        <v>200</v>
      </c>
      <c r="C16807" s="27" t="s">
        <v>53</v>
      </c>
      <c r="D16807" s="27" t="s">
        <v>6</v>
      </c>
      <c r="E16807" s="27" t="s">
        <v>20</v>
      </c>
      <c r="F16807" s="29"/>
      <c r="G16807" s="30">
        <f t="shared" si="289"/>
        <v>97.039924768518333</v>
      </c>
    </row>
    <row r="16808" spans="1:7" hidden="1" x14ac:dyDescent="0.25">
      <c r="A16808" s="28">
        <v>44896</v>
      </c>
      <c r="B16808" s="27" t="s">
        <v>200</v>
      </c>
      <c r="C16808" s="27" t="s">
        <v>53</v>
      </c>
      <c r="D16808" s="27" t="s">
        <v>6</v>
      </c>
      <c r="E16808" s="27" t="s">
        <v>38</v>
      </c>
      <c r="F16808" s="29"/>
      <c r="G16808" s="30">
        <f t="shared" si="289"/>
        <v>97.039924768518333</v>
      </c>
    </row>
    <row r="16809" spans="1:7" hidden="1" x14ac:dyDescent="0.25">
      <c r="A16809" s="28">
        <v>44896</v>
      </c>
      <c r="B16809" s="27" t="s">
        <v>200</v>
      </c>
      <c r="C16809" s="27" t="s">
        <v>53</v>
      </c>
      <c r="D16809" s="27" t="s">
        <v>6</v>
      </c>
      <c r="E16809" s="27" t="s">
        <v>23</v>
      </c>
      <c r="F16809" s="29"/>
      <c r="G16809" s="30">
        <f t="shared" si="289"/>
        <v>97.039924768518333</v>
      </c>
    </row>
    <row r="16810" spans="1:7" hidden="1" x14ac:dyDescent="0.25">
      <c r="A16810" s="28">
        <v>44896</v>
      </c>
      <c r="B16810" s="27" t="s">
        <v>200</v>
      </c>
      <c r="C16810" s="27" t="s">
        <v>53</v>
      </c>
      <c r="D16810" s="27" t="s">
        <v>6</v>
      </c>
      <c r="E16810" s="27" t="s">
        <v>40</v>
      </c>
      <c r="F16810" s="29"/>
      <c r="G16810" s="30">
        <f t="shared" si="289"/>
        <v>97.039924768518333</v>
      </c>
    </row>
    <row r="16811" spans="1:7" hidden="1" x14ac:dyDescent="0.25">
      <c r="A16811" s="28">
        <v>44896</v>
      </c>
      <c r="B16811" s="27" t="s">
        <v>200</v>
      </c>
      <c r="C16811" s="27" t="s">
        <v>53</v>
      </c>
      <c r="D16811" s="27" t="s">
        <v>6</v>
      </c>
      <c r="E16811" s="27" t="s">
        <v>42</v>
      </c>
      <c r="F16811" s="29"/>
      <c r="G16811" s="30">
        <f t="shared" si="289"/>
        <v>97.039924768518333</v>
      </c>
    </row>
    <row r="16812" spans="1:7" hidden="1" x14ac:dyDescent="0.25">
      <c r="A16812" s="28">
        <v>44896</v>
      </c>
      <c r="B16812" s="27" t="s">
        <v>200</v>
      </c>
      <c r="C16812" s="27" t="s">
        <v>53</v>
      </c>
      <c r="D16812" s="27" t="s">
        <v>6</v>
      </c>
      <c r="E16812" s="27" t="s">
        <v>72</v>
      </c>
      <c r="F16812" s="29"/>
      <c r="G16812" s="30">
        <f t="shared" si="289"/>
        <v>97.039924768518333</v>
      </c>
    </row>
    <row r="16813" spans="1:7" hidden="1" x14ac:dyDescent="0.25">
      <c r="A16813" s="28">
        <v>44896</v>
      </c>
      <c r="B16813" s="27" t="s">
        <v>200</v>
      </c>
      <c r="C16813" s="27" t="s">
        <v>53</v>
      </c>
      <c r="D16813" s="27" t="s">
        <v>6</v>
      </c>
      <c r="E16813" s="27" t="s">
        <v>12</v>
      </c>
      <c r="F16813" s="29"/>
      <c r="G16813" s="30">
        <f t="shared" si="289"/>
        <v>97.039924768518333</v>
      </c>
    </row>
    <row r="16814" spans="1:7" hidden="1" x14ac:dyDescent="0.25">
      <c r="A16814" s="28">
        <v>44896</v>
      </c>
      <c r="B16814" s="27" t="s">
        <v>200</v>
      </c>
      <c r="C16814" s="27" t="s">
        <v>54</v>
      </c>
      <c r="D16814" s="27" t="s">
        <v>7</v>
      </c>
      <c r="E16814" s="27" t="s">
        <v>8</v>
      </c>
      <c r="F16814" s="29"/>
      <c r="G16814" s="30">
        <f t="shared" ref="G16814:G16841" si="290">1862.23/28</f>
        <v>66.508214285714288</v>
      </c>
    </row>
    <row r="16815" spans="1:7" hidden="1" x14ac:dyDescent="0.25">
      <c r="A16815" s="28">
        <v>44896</v>
      </c>
      <c r="B16815" s="27" t="s">
        <v>200</v>
      </c>
      <c r="C16815" s="27" t="s">
        <v>54</v>
      </c>
      <c r="D16815" s="27" t="s">
        <v>7</v>
      </c>
      <c r="E16815" s="27" t="s">
        <v>9</v>
      </c>
      <c r="F16815" s="29"/>
      <c r="G16815" s="30">
        <f t="shared" si="290"/>
        <v>66.508214285714288</v>
      </c>
    </row>
    <row r="16816" spans="1:7" hidden="1" x14ac:dyDescent="0.25">
      <c r="A16816" s="28">
        <v>44896</v>
      </c>
      <c r="B16816" s="27" t="s">
        <v>200</v>
      </c>
      <c r="C16816" s="27" t="s">
        <v>54</v>
      </c>
      <c r="D16816" s="27" t="s">
        <v>7</v>
      </c>
      <c r="E16816" s="27" t="s">
        <v>22</v>
      </c>
      <c r="F16816" s="29"/>
      <c r="G16816" s="30">
        <f t="shared" si="290"/>
        <v>66.508214285714288</v>
      </c>
    </row>
    <row r="16817" spans="1:7" hidden="1" x14ac:dyDescent="0.25">
      <c r="A16817" s="28">
        <v>44896</v>
      </c>
      <c r="B16817" s="27" t="s">
        <v>200</v>
      </c>
      <c r="C16817" s="27" t="s">
        <v>54</v>
      </c>
      <c r="D16817" s="27" t="s">
        <v>7</v>
      </c>
      <c r="E16817" s="27" t="s">
        <v>39</v>
      </c>
      <c r="F16817" s="29"/>
      <c r="G16817" s="30">
        <f t="shared" si="290"/>
        <v>66.508214285714288</v>
      </c>
    </row>
    <row r="16818" spans="1:7" hidden="1" x14ac:dyDescent="0.25">
      <c r="A16818" s="28">
        <v>44896</v>
      </c>
      <c r="B16818" s="27" t="s">
        <v>200</v>
      </c>
      <c r="C16818" s="27" t="s">
        <v>54</v>
      </c>
      <c r="D16818" s="27" t="s">
        <v>7</v>
      </c>
      <c r="E16818" s="27" t="s">
        <v>64</v>
      </c>
      <c r="F16818" s="29"/>
      <c r="G16818" s="30">
        <f t="shared" si="290"/>
        <v>66.508214285714288</v>
      </c>
    </row>
    <row r="16819" spans="1:7" hidden="1" x14ac:dyDescent="0.25">
      <c r="A16819" s="28">
        <v>44896</v>
      </c>
      <c r="B16819" s="27" t="s">
        <v>200</v>
      </c>
      <c r="C16819" s="27" t="s">
        <v>54</v>
      </c>
      <c r="D16819" s="27" t="s">
        <v>7</v>
      </c>
      <c r="E16819" s="27" t="s">
        <v>21</v>
      </c>
      <c r="F16819" s="29"/>
      <c r="G16819" s="30">
        <f t="shared" si="290"/>
        <v>66.508214285714288</v>
      </c>
    </row>
    <row r="16820" spans="1:7" hidden="1" x14ac:dyDescent="0.25">
      <c r="A16820" s="28">
        <v>44896</v>
      </c>
      <c r="B16820" s="27" t="s">
        <v>200</v>
      </c>
      <c r="C16820" s="27" t="s">
        <v>54</v>
      </c>
      <c r="D16820" s="27" t="s">
        <v>7</v>
      </c>
      <c r="E16820" s="27" t="s">
        <v>41</v>
      </c>
      <c r="F16820" s="29"/>
      <c r="G16820" s="30">
        <f t="shared" si="290"/>
        <v>66.508214285714288</v>
      </c>
    </row>
    <row r="16821" spans="1:7" hidden="1" x14ac:dyDescent="0.25">
      <c r="A16821" s="28">
        <v>44896</v>
      </c>
      <c r="B16821" s="27" t="s">
        <v>200</v>
      </c>
      <c r="C16821" s="27" t="s">
        <v>54</v>
      </c>
      <c r="D16821" s="27" t="s">
        <v>7</v>
      </c>
      <c r="E16821" s="27" t="s">
        <v>10</v>
      </c>
      <c r="F16821" s="29"/>
      <c r="G16821" s="30">
        <f t="shared" si="290"/>
        <v>66.508214285714288</v>
      </c>
    </row>
    <row r="16822" spans="1:7" hidden="1" x14ac:dyDescent="0.25">
      <c r="A16822" s="28">
        <v>44896</v>
      </c>
      <c r="B16822" s="27" t="s">
        <v>200</v>
      </c>
      <c r="C16822" s="27" t="s">
        <v>54</v>
      </c>
      <c r="D16822" s="27" t="s">
        <v>7</v>
      </c>
      <c r="E16822" s="27" t="s">
        <v>11</v>
      </c>
      <c r="F16822" s="29"/>
      <c r="G16822" s="30">
        <f t="shared" si="290"/>
        <v>66.508214285714288</v>
      </c>
    </row>
    <row r="16823" spans="1:7" hidden="1" x14ac:dyDescent="0.25">
      <c r="A16823" s="28">
        <v>44896</v>
      </c>
      <c r="B16823" s="27" t="s">
        <v>200</v>
      </c>
      <c r="C16823" s="27" t="s">
        <v>54</v>
      </c>
      <c r="D16823" s="27" t="s">
        <v>7</v>
      </c>
      <c r="E16823" s="27" t="s">
        <v>12</v>
      </c>
      <c r="F16823" s="29"/>
      <c r="G16823" s="30">
        <f t="shared" si="290"/>
        <v>66.508214285714288</v>
      </c>
    </row>
    <row r="16824" spans="1:7" hidden="1" x14ac:dyDescent="0.25">
      <c r="A16824" s="28">
        <v>44896</v>
      </c>
      <c r="B16824" s="27" t="s">
        <v>200</v>
      </c>
      <c r="C16824" s="27" t="s">
        <v>54</v>
      </c>
      <c r="D16824" s="27" t="s">
        <v>7</v>
      </c>
      <c r="E16824" s="27" t="s">
        <v>13</v>
      </c>
      <c r="F16824" s="29"/>
      <c r="G16824" s="30">
        <f t="shared" si="290"/>
        <v>66.508214285714288</v>
      </c>
    </row>
    <row r="16825" spans="1:7" hidden="1" x14ac:dyDescent="0.25">
      <c r="A16825" s="28">
        <v>44896</v>
      </c>
      <c r="B16825" s="27" t="s">
        <v>200</v>
      </c>
      <c r="C16825" s="27" t="s">
        <v>54</v>
      </c>
      <c r="D16825" s="27" t="s">
        <v>7</v>
      </c>
      <c r="E16825" s="27" t="s">
        <v>14</v>
      </c>
      <c r="F16825" s="29"/>
      <c r="G16825" s="30">
        <f t="shared" si="290"/>
        <v>66.508214285714288</v>
      </c>
    </row>
    <row r="16826" spans="1:7" hidden="1" x14ac:dyDescent="0.25">
      <c r="A16826" s="28">
        <v>44896</v>
      </c>
      <c r="B16826" s="27" t="s">
        <v>200</v>
      </c>
      <c r="C16826" s="27" t="s">
        <v>54</v>
      </c>
      <c r="D16826" s="27" t="s">
        <v>7</v>
      </c>
      <c r="E16826" s="27" t="s">
        <v>15</v>
      </c>
      <c r="F16826" s="29"/>
      <c r="G16826" s="30">
        <f t="shared" si="290"/>
        <v>66.508214285714288</v>
      </c>
    </row>
    <row r="16827" spans="1:7" hidden="1" x14ac:dyDescent="0.25">
      <c r="A16827" s="28">
        <v>44896</v>
      </c>
      <c r="B16827" s="27" t="s">
        <v>200</v>
      </c>
      <c r="C16827" s="27" t="s">
        <v>54</v>
      </c>
      <c r="D16827" s="27" t="s">
        <v>7</v>
      </c>
      <c r="E16827" s="27" t="s">
        <v>16</v>
      </c>
      <c r="F16827" s="29"/>
      <c r="G16827" s="30">
        <f t="shared" si="290"/>
        <v>66.508214285714288</v>
      </c>
    </row>
    <row r="16828" spans="1:7" hidden="1" x14ac:dyDescent="0.25">
      <c r="A16828" s="28">
        <v>44896</v>
      </c>
      <c r="B16828" s="27" t="s">
        <v>200</v>
      </c>
      <c r="C16828" s="27" t="s">
        <v>54</v>
      </c>
      <c r="D16828" s="27" t="s">
        <v>7</v>
      </c>
      <c r="E16828" s="27" t="s">
        <v>17</v>
      </c>
      <c r="F16828" s="29"/>
      <c r="G16828" s="30">
        <f t="shared" si="290"/>
        <v>66.508214285714288</v>
      </c>
    </row>
    <row r="16829" spans="1:7" hidden="1" x14ac:dyDescent="0.25">
      <c r="A16829" s="28">
        <v>44896</v>
      </c>
      <c r="B16829" s="27" t="s">
        <v>200</v>
      </c>
      <c r="C16829" s="27" t="s">
        <v>54</v>
      </c>
      <c r="D16829" s="27" t="s">
        <v>7</v>
      </c>
      <c r="E16829" s="27" t="s">
        <v>18</v>
      </c>
      <c r="F16829" s="29"/>
      <c r="G16829" s="30">
        <f t="shared" si="290"/>
        <v>66.508214285714288</v>
      </c>
    </row>
    <row r="16830" spans="1:7" hidden="1" x14ac:dyDescent="0.25">
      <c r="A16830" s="28">
        <v>44896</v>
      </c>
      <c r="B16830" s="27" t="s">
        <v>200</v>
      </c>
      <c r="C16830" s="27" t="s">
        <v>54</v>
      </c>
      <c r="D16830" s="27" t="s">
        <v>7</v>
      </c>
      <c r="E16830" s="27" t="s">
        <v>19</v>
      </c>
      <c r="F16830" s="29"/>
      <c r="G16830" s="30">
        <f t="shared" si="290"/>
        <v>66.508214285714288</v>
      </c>
    </row>
    <row r="16831" spans="1:7" hidden="1" x14ac:dyDescent="0.25">
      <c r="A16831" s="28">
        <v>44896</v>
      </c>
      <c r="B16831" s="27" t="s">
        <v>200</v>
      </c>
      <c r="C16831" s="27" t="s">
        <v>54</v>
      </c>
      <c r="D16831" s="27" t="s">
        <v>7</v>
      </c>
      <c r="E16831" s="27" t="s">
        <v>20</v>
      </c>
      <c r="F16831" s="29"/>
      <c r="G16831" s="30">
        <f t="shared" si="290"/>
        <v>66.508214285714288</v>
      </c>
    </row>
    <row r="16832" spans="1:7" hidden="1" x14ac:dyDescent="0.25">
      <c r="A16832" s="28">
        <v>44896</v>
      </c>
      <c r="B16832" s="27" t="s">
        <v>200</v>
      </c>
      <c r="C16832" s="27" t="s">
        <v>54</v>
      </c>
      <c r="D16832" s="27" t="s">
        <v>7</v>
      </c>
      <c r="E16832" s="27" t="s">
        <v>38</v>
      </c>
      <c r="F16832" s="29"/>
      <c r="G16832" s="30">
        <f t="shared" si="290"/>
        <v>66.508214285714288</v>
      </c>
    </row>
    <row r="16833" spans="1:7" hidden="1" x14ac:dyDescent="0.25">
      <c r="A16833" s="28">
        <v>44896</v>
      </c>
      <c r="B16833" s="27" t="s">
        <v>200</v>
      </c>
      <c r="C16833" s="27" t="s">
        <v>54</v>
      </c>
      <c r="D16833" s="27" t="s">
        <v>7</v>
      </c>
      <c r="E16833" s="27" t="s">
        <v>23</v>
      </c>
      <c r="F16833" s="29"/>
      <c r="G16833" s="30">
        <f t="shared" si="290"/>
        <v>66.508214285714288</v>
      </c>
    </row>
    <row r="16834" spans="1:7" hidden="1" x14ac:dyDescent="0.25">
      <c r="A16834" s="28">
        <v>44896</v>
      </c>
      <c r="B16834" s="27" t="s">
        <v>200</v>
      </c>
      <c r="C16834" s="27" t="s">
        <v>54</v>
      </c>
      <c r="D16834" s="27" t="s">
        <v>7</v>
      </c>
      <c r="E16834" s="27" t="s">
        <v>40</v>
      </c>
      <c r="F16834" s="29"/>
      <c r="G16834" s="30">
        <f t="shared" si="290"/>
        <v>66.508214285714288</v>
      </c>
    </row>
    <row r="16835" spans="1:7" hidden="1" x14ac:dyDescent="0.25">
      <c r="A16835" s="28">
        <v>44896</v>
      </c>
      <c r="B16835" s="27" t="s">
        <v>200</v>
      </c>
      <c r="C16835" s="27" t="s">
        <v>54</v>
      </c>
      <c r="D16835" s="27" t="s">
        <v>7</v>
      </c>
      <c r="E16835" s="27" t="s">
        <v>42</v>
      </c>
      <c r="F16835" s="29"/>
      <c r="G16835" s="30">
        <f t="shared" si="290"/>
        <v>66.508214285714288</v>
      </c>
    </row>
    <row r="16836" spans="1:7" hidden="1" x14ac:dyDescent="0.25">
      <c r="A16836" s="28">
        <v>44896</v>
      </c>
      <c r="B16836" s="27" t="s">
        <v>200</v>
      </c>
      <c r="C16836" s="27" t="s">
        <v>54</v>
      </c>
      <c r="D16836" s="27" t="s">
        <v>7</v>
      </c>
      <c r="E16836" s="27" t="s">
        <v>43</v>
      </c>
      <c r="F16836" s="29"/>
      <c r="G16836" s="30">
        <f t="shared" si="290"/>
        <v>66.508214285714288</v>
      </c>
    </row>
    <row r="16837" spans="1:7" hidden="1" x14ac:dyDescent="0.25">
      <c r="A16837" s="28">
        <v>44896</v>
      </c>
      <c r="B16837" s="27" t="s">
        <v>200</v>
      </c>
      <c r="C16837" s="27" t="s">
        <v>54</v>
      </c>
      <c r="D16837" s="27" t="s">
        <v>7</v>
      </c>
      <c r="E16837" s="27" t="s">
        <v>72</v>
      </c>
      <c r="F16837" s="29"/>
      <c r="G16837" s="30">
        <f t="shared" si="290"/>
        <v>66.508214285714288</v>
      </c>
    </row>
    <row r="16838" spans="1:7" hidden="1" x14ac:dyDescent="0.25">
      <c r="A16838" s="28">
        <v>44896</v>
      </c>
      <c r="B16838" s="27" t="s">
        <v>200</v>
      </c>
      <c r="C16838" s="27" t="s">
        <v>54</v>
      </c>
      <c r="D16838" s="27" t="s">
        <v>7</v>
      </c>
      <c r="E16838" s="27" t="s">
        <v>206</v>
      </c>
      <c r="F16838" s="29"/>
      <c r="G16838" s="30">
        <f t="shared" si="290"/>
        <v>66.508214285714288</v>
      </c>
    </row>
    <row r="16839" spans="1:7" hidden="1" x14ac:dyDescent="0.25">
      <c r="A16839" s="28">
        <v>44896</v>
      </c>
      <c r="B16839" s="27" t="s">
        <v>200</v>
      </c>
      <c r="C16839" s="27" t="s">
        <v>54</v>
      </c>
      <c r="D16839" s="27" t="s">
        <v>7</v>
      </c>
      <c r="E16839" s="27" t="s">
        <v>67</v>
      </c>
      <c r="F16839" s="29"/>
      <c r="G16839" s="30">
        <f t="shared" si="290"/>
        <v>66.508214285714288</v>
      </c>
    </row>
    <row r="16840" spans="1:7" hidden="1" x14ac:dyDescent="0.25">
      <c r="A16840" s="28">
        <v>44896</v>
      </c>
      <c r="B16840" s="27" t="s">
        <v>200</v>
      </c>
      <c r="C16840" s="27" t="s">
        <v>54</v>
      </c>
      <c r="D16840" s="27" t="s">
        <v>7</v>
      </c>
      <c r="E16840" s="27" t="s">
        <v>68</v>
      </c>
      <c r="F16840" s="29"/>
      <c r="G16840" s="30">
        <f t="shared" si="290"/>
        <v>66.508214285714288</v>
      </c>
    </row>
    <row r="16841" spans="1:7" hidden="1" x14ac:dyDescent="0.25">
      <c r="A16841" s="28">
        <v>44896</v>
      </c>
      <c r="B16841" s="27" t="s">
        <v>200</v>
      </c>
      <c r="C16841" s="27" t="s">
        <v>54</v>
      </c>
      <c r="D16841" s="27" t="s">
        <v>7</v>
      </c>
      <c r="E16841" s="27" t="s">
        <v>74</v>
      </c>
      <c r="F16841" s="29"/>
      <c r="G16841" s="30">
        <f t="shared" si="290"/>
        <v>66.508214285714288</v>
      </c>
    </row>
    <row r="16842" spans="1:7" hidden="1" x14ac:dyDescent="0.25">
      <c r="A16842" s="28">
        <v>44896</v>
      </c>
      <c r="B16842" s="27" t="s">
        <v>200</v>
      </c>
      <c r="C16842" s="27" t="s">
        <v>55</v>
      </c>
      <c r="D16842" s="27" t="s">
        <v>6</v>
      </c>
      <c r="E16842" s="27" t="s">
        <v>8</v>
      </c>
      <c r="F16842" s="29"/>
      <c r="G16842" s="30">
        <f t="shared" ref="G16842:G16865" si="291">38006.7369333333/24</f>
        <v>1583.6140388888873</v>
      </c>
    </row>
    <row r="16843" spans="1:7" hidden="1" x14ac:dyDescent="0.25">
      <c r="A16843" s="28">
        <v>44896</v>
      </c>
      <c r="B16843" s="27" t="s">
        <v>200</v>
      </c>
      <c r="C16843" s="27" t="s">
        <v>55</v>
      </c>
      <c r="D16843" s="27" t="s">
        <v>6</v>
      </c>
      <c r="E16843" s="27" t="s">
        <v>9</v>
      </c>
      <c r="F16843" s="29"/>
      <c r="G16843" s="30">
        <f t="shared" si="291"/>
        <v>1583.6140388888873</v>
      </c>
    </row>
    <row r="16844" spans="1:7" hidden="1" x14ac:dyDescent="0.25">
      <c r="A16844" s="28">
        <v>44896</v>
      </c>
      <c r="B16844" s="27" t="s">
        <v>200</v>
      </c>
      <c r="C16844" s="27" t="s">
        <v>55</v>
      </c>
      <c r="D16844" s="27" t="s">
        <v>6</v>
      </c>
      <c r="E16844" s="27" t="s">
        <v>22</v>
      </c>
      <c r="F16844" s="29"/>
      <c r="G16844" s="30">
        <f t="shared" si="291"/>
        <v>1583.6140388888873</v>
      </c>
    </row>
    <row r="16845" spans="1:7" hidden="1" x14ac:dyDescent="0.25">
      <c r="A16845" s="28">
        <v>44896</v>
      </c>
      <c r="B16845" s="27" t="s">
        <v>200</v>
      </c>
      <c r="C16845" s="27" t="s">
        <v>55</v>
      </c>
      <c r="D16845" s="27" t="s">
        <v>6</v>
      </c>
      <c r="E16845" s="27" t="s">
        <v>39</v>
      </c>
      <c r="F16845" s="29"/>
      <c r="G16845" s="30">
        <f t="shared" si="291"/>
        <v>1583.6140388888873</v>
      </c>
    </row>
    <row r="16846" spans="1:7" hidden="1" x14ac:dyDescent="0.25">
      <c r="A16846" s="28">
        <v>44896</v>
      </c>
      <c r="B16846" s="27" t="s">
        <v>200</v>
      </c>
      <c r="C16846" s="27" t="s">
        <v>55</v>
      </c>
      <c r="D16846" s="27" t="s">
        <v>6</v>
      </c>
      <c r="E16846" s="27" t="s">
        <v>64</v>
      </c>
      <c r="F16846" s="29"/>
      <c r="G16846" s="30">
        <f t="shared" si="291"/>
        <v>1583.6140388888873</v>
      </c>
    </row>
    <row r="16847" spans="1:7" hidden="1" x14ac:dyDescent="0.25">
      <c r="A16847" s="28">
        <v>44896</v>
      </c>
      <c r="B16847" s="27" t="s">
        <v>200</v>
      </c>
      <c r="C16847" s="27" t="s">
        <v>55</v>
      </c>
      <c r="D16847" s="27" t="s">
        <v>6</v>
      </c>
      <c r="E16847" s="27" t="s">
        <v>21</v>
      </c>
      <c r="F16847" s="29"/>
      <c r="G16847" s="30">
        <f t="shared" si="291"/>
        <v>1583.6140388888873</v>
      </c>
    </row>
    <row r="16848" spans="1:7" hidden="1" x14ac:dyDescent="0.25">
      <c r="A16848" s="28">
        <v>44896</v>
      </c>
      <c r="B16848" s="27" t="s">
        <v>200</v>
      </c>
      <c r="C16848" s="27" t="s">
        <v>55</v>
      </c>
      <c r="D16848" s="27" t="s">
        <v>6</v>
      </c>
      <c r="E16848" s="27" t="s">
        <v>41</v>
      </c>
      <c r="F16848" s="29"/>
      <c r="G16848" s="30">
        <f t="shared" si="291"/>
        <v>1583.6140388888873</v>
      </c>
    </row>
    <row r="16849" spans="1:7" hidden="1" x14ac:dyDescent="0.25">
      <c r="A16849" s="28">
        <v>44896</v>
      </c>
      <c r="B16849" s="27" t="s">
        <v>200</v>
      </c>
      <c r="C16849" s="27" t="s">
        <v>55</v>
      </c>
      <c r="D16849" s="27" t="s">
        <v>6</v>
      </c>
      <c r="E16849" s="27" t="s">
        <v>10</v>
      </c>
      <c r="F16849" s="29"/>
      <c r="G16849" s="30">
        <f t="shared" si="291"/>
        <v>1583.6140388888873</v>
      </c>
    </row>
    <row r="16850" spans="1:7" hidden="1" x14ac:dyDescent="0.25">
      <c r="A16850" s="28">
        <v>44896</v>
      </c>
      <c r="B16850" s="27" t="s">
        <v>200</v>
      </c>
      <c r="C16850" s="27" t="s">
        <v>55</v>
      </c>
      <c r="D16850" s="27" t="s">
        <v>6</v>
      </c>
      <c r="E16850" s="27" t="s">
        <v>11</v>
      </c>
      <c r="F16850" s="29"/>
      <c r="G16850" s="30">
        <f t="shared" si="291"/>
        <v>1583.6140388888873</v>
      </c>
    </row>
    <row r="16851" spans="1:7" hidden="1" x14ac:dyDescent="0.25">
      <c r="A16851" s="28">
        <v>44896</v>
      </c>
      <c r="B16851" s="27" t="s">
        <v>200</v>
      </c>
      <c r="C16851" s="27" t="s">
        <v>55</v>
      </c>
      <c r="D16851" s="27" t="s">
        <v>6</v>
      </c>
      <c r="E16851" s="27" t="s">
        <v>12</v>
      </c>
      <c r="F16851" s="29"/>
      <c r="G16851" s="30">
        <f t="shared" si="291"/>
        <v>1583.6140388888873</v>
      </c>
    </row>
    <row r="16852" spans="1:7" hidden="1" x14ac:dyDescent="0.25">
      <c r="A16852" s="28">
        <v>44896</v>
      </c>
      <c r="B16852" s="27" t="s">
        <v>200</v>
      </c>
      <c r="C16852" s="27" t="s">
        <v>55</v>
      </c>
      <c r="D16852" s="27" t="s">
        <v>6</v>
      </c>
      <c r="E16852" s="27" t="s">
        <v>13</v>
      </c>
      <c r="F16852" s="29"/>
      <c r="G16852" s="30">
        <f t="shared" si="291"/>
        <v>1583.6140388888873</v>
      </c>
    </row>
    <row r="16853" spans="1:7" hidden="1" x14ac:dyDescent="0.25">
      <c r="A16853" s="28">
        <v>44896</v>
      </c>
      <c r="B16853" s="27" t="s">
        <v>200</v>
      </c>
      <c r="C16853" s="27" t="s">
        <v>55</v>
      </c>
      <c r="D16853" s="27" t="s">
        <v>6</v>
      </c>
      <c r="E16853" s="27" t="s">
        <v>14</v>
      </c>
      <c r="F16853" s="29"/>
      <c r="G16853" s="30">
        <f t="shared" si="291"/>
        <v>1583.6140388888873</v>
      </c>
    </row>
    <row r="16854" spans="1:7" hidden="1" x14ac:dyDescent="0.25">
      <c r="A16854" s="28">
        <v>44896</v>
      </c>
      <c r="B16854" s="27" t="s">
        <v>200</v>
      </c>
      <c r="C16854" s="27" t="s">
        <v>55</v>
      </c>
      <c r="D16854" s="27" t="s">
        <v>6</v>
      </c>
      <c r="E16854" s="27" t="s">
        <v>15</v>
      </c>
      <c r="F16854" s="29"/>
      <c r="G16854" s="30">
        <f t="shared" si="291"/>
        <v>1583.6140388888873</v>
      </c>
    </row>
    <row r="16855" spans="1:7" hidden="1" x14ac:dyDescent="0.25">
      <c r="A16855" s="28">
        <v>44896</v>
      </c>
      <c r="B16855" s="27" t="s">
        <v>200</v>
      </c>
      <c r="C16855" s="27" t="s">
        <v>55</v>
      </c>
      <c r="D16855" s="27" t="s">
        <v>6</v>
      </c>
      <c r="E16855" s="27" t="s">
        <v>16</v>
      </c>
      <c r="F16855" s="29"/>
      <c r="G16855" s="30">
        <f t="shared" si="291"/>
        <v>1583.6140388888873</v>
      </c>
    </row>
    <row r="16856" spans="1:7" hidden="1" x14ac:dyDescent="0.25">
      <c r="A16856" s="28">
        <v>44896</v>
      </c>
      <c r="B16856" s="27" t="s">
        <v>200</v>
      </c>
      <c r="C16856" s="27" t="s">
        <v>55</v>
      </c>
      <c r="D16856" s="27" t="s">
        <v>6</v>
      </c>
      <c r="E16856" s="27" t="s">
        <v>17</v>
      </c>
      <c r="F16856" s="29"/>
      <c r="G16856" s="30">
        <f t="shared" si="291"/>
        <v>1583.6140388888873</v>
      </c>
    </row>
    <row r="16857" spans="1:7" hidden="1" x14ac:dyDescent="0.25">
      <c r="A16857" s="28">
        <v>44896</v>
      </c>
      <c r="B16857" s="27" t="s">
        <v>200</v>
      </c>
      <c r="C16857" s="27" t="s">
        <v>55</v>
      </c>
      <c r="D16857" s="27" t="s">
        <v>6</v>
      </c>
      <c r="E16857" s="27" t="s">
        <v>18</v>
      </c>
      <c r="F16857" s="29"/>
      <c r="G16857" s="30">
        <f t="shared" si="291"/>
        <v>1583.6140388888873</v>
      </c>
    </row>
    <row r="16858" spans="1:7" hidden="1" x14ac:dyDescent="0.25">
      <c r="A16858" s="28">
        <v>44896</v>
      </c>
      <c r="B16858" s="27" t="s">
        <v>200</v>
      </c>
      <c r="C16858" s="27" t="s">
        <v>55</v>
      </c>
      <c r="D16858" s="27" t="s">
        <v>6</v>
      </c>
      <c r="E16858" s="27" t="s">
        <v>19</v>
      </c>
      <c r="F16858" s="29"/>
      <c r="G16858" s="30">
        <f t="shared" si="291"/>
        <v>1583.6140388888873</v>
      </c>
    </row>
    <row r="16859" spans="1:7" hidden="1" x14ac:dyDescent="0.25">
      <c r="A16859" s="28">
        <v>44896</v>
      </c>
      <c r="B16859" s="27" t="s">
        <v>200</v>
      </c>
      <c r="C16859" s="27" t="s">
        <v>55</v>
      </c>
      <c r="D16859" s="27" t="s">
        <v>6</v>
      </c>
      <c r="E16859" s="27" t="s">
        <v>20</v>
      </c>
      <c r="F16859" s="29"/>
      <c r="G16859" s="30">
        <f t="shared" si="291"/>
        <v>1583.6140388888873</v>
      </c>
    </row>
    <row r="16860" spans="1:7" hidden="1" x14ac:dyDescent="0.25">
      <c r="A16860" s="28">
        <v>44896</v>
      </c>
      <c r="B16860" s="27" t="s">
        <v>200</v>
      </c>
      <c r="C16860" s="27" t="s">
        <v>55</v>
      </c>
      <c r="D16860" s="27" t="s">
        <v>6</v>
      </c>
      <c r="E16860" s="27" t="s">
        <v>38</v>
      </c>
      <c r="F16860" s="29"/>
      <c r="G16860" s="30">
        <f t="shared" si="291"/>
        <v>1583.6140388888873</v>
      </c>
    </row>
    <row r="16861" spans="1:7" hidden="1" x14ac:dyDescent="0.25">
      <c r="A16861" s="28">
        <v>44896</v>
      </c>
      <c r="B16861" s="27" t="s">
        <v>200</v>
      </c>
      <c r="C16861" s="27" t="s">
        <v>55</v>
      </c>
      <c r="D16861" s="27" t="s">
        <v>6</v>
      </c>
      <c r="E16861" s="27" t="s">
        <v>23</v>
      </c>
      <c r="F16861" s="29"/>
      <c r="G16861" s="30">
        <f t="shared" si="291"/>
        <v>1583.6140388888873</v>
      </c>
    </row>
    <row r="16862" spans="1:7" hidden="1" x14ac:dyDescent="0.25">
      <c r="A16862" s="28">
        <v>44896</v>
      </c>
      <c r="B16862" s="27" t="s">
        <v>200</v>
      </c>
      <c r="C16862" s="27" t="s">
        <v>55</v>
      </c>
      <c r="D16862" s="27" t="s">
        <v>6</v>
      </c>
      <c r="E16862" s="27" t="s">
        <v>40</v>
      </c>
      <c r="F16862" s="29"/>
      <c r="G16862" s="30">
        <f t="shared" si="291"/>
        <v>1583.6140388888873</v>
      </c>
    </row>
    <row r="16863" spans="1:7" hidden="1" x14ac:dyDescent="0.25">
      <c r="A16863" s="28">
        <v>44896</v>
      </c>
      <c r="B16863" s="27" t="s">
        <v>200</v>
      </c>
      <c r="C16863" s="27" t="s">
        <v>55</v>
      </c>
      <c r="D16863" s="27" t="s">
        <v>6</v>
      </c>
      <c r="E16863" s="27" t="s">
        <v>42</v>
      </c>
      <c r="F16863" s="29"/>
      <c r="G16863" s="30">
        <f t="shared" si="291"/>
        <v>1583.6140388888873</v>
      </c>
    </row>
    <row r="16864" spans="1:7" hidden="1" x14ac:dyDescent="0.25">
      <c r="A16864" s="28">
        <v>44896</v>
      </c>
      <c r="B16864" s="27" t="s">
        <v>200</v>
      </c>
      <c r="C16864" s="27" t="s">
        <v>55</v>
      </c>
      <c r="D16864" s="27" t="s">
        <v>6</v>
      </c>
      <c r="E16864" s="27" t="s">
        <v>72</v>
      </c>
      <c r="F16864" s="29"/>
      <c r="G16864" s="30">
        <f t="shared" si="291"/>
        <v>1583.6140388888873</v>
      </c>
    </row>
    <row r="16865" spans="1:7" hidden="1" x14ac:dyDescent="0.25">
      <c r="A16865" s="28">
        <v>44896</v>
      </c>
      <c r="B16865" s="27" t="s">
        <v>200</v>
      </c>
      <c r="C16865" s="27" t="s">
        <v>55</v>
      </c>
      <c r="D16865" s="27" t="s">
        <v>6</v>
      </c>
      <c r="E16865" s="27" t="s">
        <v>12</v>
      </c>
      <c r="F16865" s="29"/>
      <c r="G16865" s="30">
        <f t="shared" si="291"/>
        <v>1583.6140388888873</v>
      </c>
    </row>
    <row r="16866" spans="1:7" hidden="1" x14ac:dyDescent="0.25">
      <c r="A16866" s="28">
        <v>44896</v>
      </c>
      <c r="B16866" s="27" t="s">
        <v>200</v>
      </c>
      <c r="C16866" s="27" t="s">
        <v>183</v>
      </c>
      <c r="D16866" s="27" t="s">
        <v>7</v>
      </c>
      <c r="E16866" s="27" t="s">
        <v>8</v>
      </c>
      <c r="F16866" s="29"/>
      <c r="G16866" s="30">
        <f t="shared" ref="G16866:G16893" si="292">3452.47/28</f>
        <v>123.30249999999999</v>
      </c>
    </row>
    <row r="16867" spans="1:7" hidden="1" x14ac:dyDescent="0.25">
      <c r="A16867" s="28">
        <v>44896</v>
      </c>
      <c r="B16867" s="27" t="s">
        <v>200</v>
      </c>
      <c r="C16867" s="27" t="s">
        <v>183</v>
      </c>
      <c r="D16867" s="27" t="s">
        <v>7</v>
      </c>
      <c r="E16867" s="27" t="s">
        <v>9</v>
      </c>
      <c r="F16867" s="29"/>
      <c r="G16867" s="30">
        <f t="shared" si="292"/>
        <v>123.30249999999999</v>
      </c>
    </row>
    <row r="16868" spans="1:7" hidden="1" x14ac:dyDescent="0.25">
      <c r="A16868" s="28">
        <v>44896</v>
      </c>
      <c r="B16868" s="27" t="s">
        <v>200</v>
      </c>
      <c r="C16868" s="27" t="s">
        <v>183</v>
      </c>
      <c r="D16868" s="27" t="s">
        <v>7</v>
      </c>
      <c r="E16868" s="27" t="s">
        <v>22</v>
      </c>
      <c r="F16868" s="29"/>
      <c r="G16868" s="30">
        <f t="shared" si="292"/>
        <v>123.30249999999999</v>
      </c>
    </row>
    <row r="16869" spans="1:7" hidden="1" x14ac:dyDescent="0.25">
      <c r="A16869" s="28">
        <v>44896</v>
      </c>
      <c r="B16869" s="27" t="s">
        <v>200</v>
      </c>
      <c r="C16869" s="27" t="s">
        <v>183</v>
      </c>
      <c r="D16869" s="27" t="s">
        <v>7</v>
      </c>
      <c r="E16869" s="27" t="s">
        <v>39</v>
      </c>
      <c r="F16869" s="29"/>
      <c r="G16869" s="30">
        <f t="shared" si="292"/>
        <v>123.30249999999999</v>
      </c>
    </row>
    <row r="16870" spans="1:7" hidden="1" x14ac:dyDescent="0.25">
      <c r="A16870" s="28">
        <v>44896</v>
      </c>
      <c r="B16870" s="27" t="s">
        <v>200</v>
      </c>
      <c r="C16870" s="27" t="s">
        <v>183</v>
      </c>
      <c r="D16870" s="27" t="s">
        <v>7</v>
      </c>
      <c r="E16870" s="27" t="s">
        <v>64</v>
      </c>
      <c r="F16870" s="29"/>
      <c r="G16870" s="30">
        <f t="shared" si="292"/>
        <v>123.30249999999999</v>
      </c>
    </row>
    <row r="16871" spans="1:7" hidden="1" x14ac:dyDescent="0.25">
      <c r="A16871" s="28">
        <v>44896</v>
      </c>
      <c r="B16871" s="27" t="s">
        <v>200</v>
      </c>
      <c r="C16871" s="27" t="s">
        <v>183</v>
      </c>
      <c r="D16871" s="27" t="s">
        <v>7</v>
      </c>
      <c r="E16871" s="27" t="s">
        <v>21</v>
      </c>
      <c r="F16871" s="29"/>
      <c r="G16871" s="30">
        <f t="shared" si="292"/>
        <v>123.30249999999999</v>
      </c>
    </row>
    <row r="16872" spans="1:7" hidden="1" x14ac:dyDescent="0.25">
      <c r="A16872" s="28">
        <v>44896</v>
      </c>
      <c r="B16872" s="27" t="s">
        <v>200</v>
      </c>
      <c r="C16872" s="27" t="s">
        <v>183</v>
      </c>
      <c r="D16872" s="27" t="s">
        <v>7</v>
      </c>
      <c r="E16872" s="27" t="s">
        <v>41</v>
      </c>
      <c r="F16872" s="29"/>
      <c r="G16872" s="30">
        <f t="shared" si="292"/>
        <v>123.30249999999999</v>
      </c>
    </row>
    <row r="16873" spans="1:7" hidden="1" x14ac:dyDescent="0.25">
      <c r="A16873" s="28">
        <v>44896</v>
      </c>
      <c r="B16873" s="27" t="s">
        <v>200</v>
      </c>
      <c r="C16873" s="27" t="s">
        <v>183</v>
      </c>
      <c r="D16873" s="27" t="s">
        <v>7</v>
      </c>
      <c r="E16873" s="27" t="s">
        <v>10</v>
      </c>
      <c r="F16873" s="29"/>
      <c r="G16873" s="30">
        <f t="shared" si="292"/>
        <v>123.30249999999999</v>
      </c>
    </row>
    <row r="16874" spans="1:7" hidden="1" x14ac:dyDescent="0.25">
      <c r="A16874" s="28">
        <v>44896</v>
      </c>
      <c r="B16874" s="27" t="s">
        <v>200</v>
      </c>
      <c r="C16874" s="27" t="s">
        <v>183</v>
      </c>
      <c r="D16874" s="27" t="s">
        <v>7</v>
      </c>
      <c r="E16874" s="27" t="s">
        <v>11</v>
      </c>
      <c r="F16874" s="29"/>
      <c r="G16874" s="30">
        <f t="shared" si="292"/>
        <v>123.30249999999999</v>
      </c>
    </row>
    <row r="16875" spans="1:7" hidden="1" x14ac:dyDescent="0.25">
      <c r="A16875" s="28">
        <v>44896</v>
      </c>
      <c r="B16875" s="27" t="s">
        <v>200</v>
      </c>
      <c r="C16875" s="27" t="s">
        <v>183</v>
      </c>
      <c r="D16875" s="27" t="s">
        <v>7</v>
      </c>
      <c r="E16875" s="27" t="s">
        <v>12</v>
      </c>
      <c r="F16875" s="29"/>
      <c r="G16875" s="30">
        <f t="shared" si="292"/>
        <v>123.30249999999999</v>
      </c>
    </row>
    <row r="16876" spans="1:7" hidden="1" x14ac:dyDescent="0.25">
      <c r="A16876" s="28">
        <v>44896</v>
      </c>
      <c r="B16876" s="27" t="s">
        <v>200</v>
      </c>
      <c r="C16876" s="27" t="s">
        <v>183</v>
      </c>
      <c r="D16876" s="27" t="s">
        <v>7</v>
      </c>
      <c r="E16876" s="27" t="s">
        <v>13</v>
      </c>
      <c r="F16876" s="29"/>
      <c r="G16876" s="30">
        <f t="shared" si="292"/>
        <v>123.30249999999999</v>
      </c>
    </row>
    <row r="16877" spans="1:7" hidden="1" x14ac:dyDescent="0.25">
      <c r="A16877" s="28">
        <v>44896</v>
      </c>
      <c r="B16877" s="27" t="s">
        <v>200</v>
      </c>
      <c r="C16877" s="27" t="s">
        <v>183</v>
      </c>
      <c r="D16877" s="27" t="s">
        <v>7</v>
      </c>
      <c r="E16877" s="27" t="s">
        <v>14</v>
      </c>
      <c r="F16877" s="29"/>
      <c r="G16877" s="30">
        <f t="shared" si="292"/>
        <v>123.30249999999999</v>
      </c>
    </row>
    <row r="16878" spans="1:7" hidden="1" x14ac:dyDescent="0.25">
      <c r="A16878" s="28">
        <v>44896</v>
      </c>
      <c r="B16878" s="27" t="s">
        <v>200</v>
      </c>
      <c r="C16878" s="27" t="s">
        <v>183</v>
      </c>
      <c r="D16878" s="27" t="s">
        <v>7</v>
      </c>
      <c r="E16878" s="27" t="s">
        <v>15</v>
      </c>
      <c r="F16878" s="29"/>
      <c r="G16878" s="30">
        <f t="shared" si="292"/>
        <v>123.30249999999999</v>
      </c>
    </row>
    <row r="16879" spans="1:7" hidden="1" x14ac:dyDescent="0.25">
      <c r="A16879" s="28">
        <v>44896</v>
      </c>
      <c r="B16879" s="27" t="s">
        <v>200</v>
      </c>
      <c r="C16879" s="27" t="s">
        <v>183</v>
      </c>
      <c r="D16879" s="27" t="s">
        <v>7</v>
      </c>
      <c r="E16879" s="27" t="s">
        <v>16</v>
      </c>
      <c r="F16879" s="29"/>
      <c r="G16879" s="30">
        <f t="shared" si="292"/>
        <v>123.30249999999999</v>
      </c>
    </row>
    <row r="16880" spans="1:7" hidden="1" x14ac:dyDescent="0.25">
      <c r="A16880" s="28">
        <v>44896</v>
      </c>
      <c r="B16880" s="27" t="s">
        <v>200</v>
      </c>
      <c r="C16880" s="27" t="s">
        <v>183</v>
      </c>
      <c r="D16880" s="27" t="s">
        <v>7</v>
      </c>
      <c r="E16880" s="27" t="s">
        <v>17</v>
      </c>
      <c r="F16880" s="29"/>
      <c r="G16880" s="30">
        <f t="shared" si="292"/>
        <v>123.30249999999999</v>
      </c>
    </row>
    <row r="16881" spans="1:7" hidden="1" x14ac:dyDescent="0.25">
      <c r="A16881" s="28">
        <v>44896</v>
      </c>
      <c r="B16881" s="27" t="s">
        <v>200</v>
      </c>
      <c r="C16881" s="27" t="s">
        <v>183</v>
      </c>
      <c r="D16881" s="27" t="s">
        <v>7</v>
      </c>
      <c r="E16881" s="27" t="s">
        <v>18</v>
      </c>
      <c r="F16881" s="29"/>
      <c r="G16881" s="30">
        <f t="shared" si="292"/>
        <v>123.30249999999999</v>
      </c>
    </row>
    <row r="16882" spans="1:7" hidden="1" x14ac:dyDescent="0.25">
      <c r="A16882" s="28">
        <v>44896</v>
      </c>
      <c r="B16882" s="27" t="s">
        <v>200</v>
      </c>
      <c r="C16882" s="27" t="s">
        <v>183</v>
      </c>
      <c r="D16882" s="27" t="s">
        <v>7</v>
      </c>
      <c r="E16882" s="27" t="s">
        <v>19</v>
      </c>
      <c r="F16882" s="29"/>
      <c r="G16882" s="30">
        <f t="shared" si="292"/>
        <v>123.30249999999999</v>
      </c>
    </row>
    <row r="16883" spans="1:7" hidden="1" x14ac:dyDescent="0.25">
      <c r="A16883" s="28">
        <v>44896</v>
      </c>
      <c r="B16883" s="27" t="s">
        <v>200</v>
      </c>
      <c r="C16883" s="27" t="s">
        <v>183</v>
      </c>
      <c r="D16883" s="27" t="s">
        <v>7</v>
      </c>
      <c r="E16883" s="27" t="s">
        <v>20</v>
      </c>
      <c r="F16883" s="29"/>
      <c r="G16883" s="30">
        <f t="shared" si="292"/>
        <v>123.30249999999999</v>
      </c>
    </row>
    <row r="16884" spans="1:7" hidden="1" x14ac:dyDescent="0.25">
      <c r="A16884" s="28">
        <v>44896</v>
      </c>
      <c r="B16884" s="27" t="s">
        <v>200</v>
      </c>
      <c r="C16884" s="27" t="s">
        <v>183</v>
      </c>
      <c r="D16884" s="27" t="s">
        <v>7</v>
      </c>
      <c r="E16884" s="27" t="s">
        <v>38</v>
      </c>
      <c r="F16884" s="29"/>
      <c r="G16884" s="30">
        <f t="shared" si="292"/>
        <v>123.30249999999999</v>
      </c>
    </row>
    <row r="16885" spans="1:7" hidden="1" x14ac:dyDescent="0.25">
      <c r="A16885" s="28">
        <v>44896</v>
      </c>
      <c r="B16885" s="27" t="s">
        <v>200</v>
      </c>
      <c r="C16885" s="27" t="s">
        <v>183</v>
      </c>
      <c r="D16885" s="27" t="s">
        <v>7</v>
      </c>
      <c r="E16885" s="27" t="s">
        <v>23</v>
      </c>
      <c r="F16885" s="29"/>
      <c r="G16885" s="30">
        <f t="shared" si="292"/>
        <v>123.30249999999999</v>
      </c>
    </row>
    <row r="16886" spans="1:7" hidden="1" x14ac:dyDescent="0.25">
      <c r="A16886" s="28">
        <v>44896</v>
      </c>
      <c r="B16886" s="27" t="s">
        <v>200</v>
      </c>
      <c r="C16886" s="27" t="s">
        <v>183</v>
      </c>
      <c r="D16886" s="27" t="s">
        <v>7</v>
      </c>
      <c r="E16886" s="27" t="s">
        <v>40</v>
      </c>
      <c r="F16886" s="29"/>
      <c r="G16886" s="30">
        <f t="shared" si="292"/>
        <v>123.30249999999999</v>
      </c>
    </row>
    <row r="16887" spans="1:7" hidden="1" x14ac:dyDescent="0.25">
      <c r="A16887" s="28">
        <v>44896</v>
      </c>
      <c r="B16887" s="27" t="s">
        <v>200</v>
      </c>
      <c r="C16887" s="27" t="s">
        <v>183</v>
      </c>
      <c r="D16887" s="27" t="s">
        <v>7</v>
      </c>
      <c r="E16887" s="27" t="s">
        <v>42</v>
      </c>
      <c r="F16887" s="29"/>
      <c r="G16887" s="30">
        <f t="shared" si="292"/>
        <v>123.30249999999999</v>
      </c>
    </row>
    <row r="16888" spans="1:7" hidden="1" x14ac:dyDescent="0.25">
      <c r="A16888" s="28">
        <v>44896</v>
      </c>
      <c r="B16888" s="27" t="s">
        <v>200</v>
      </c>
      <c r="C16888" s="27" t="s">
        <v>183</v>
      </c>
      <c r="D16888" s="27" t="s">
        <v>7</v>
      </c>
      <c r="E16888" s="27" t="s">
        <v>43</v>
      </c>
      <c r="F16888" s="29"/>
      <c r="G16888" s="30">
        <f t="shared" si="292"/>
        <v>123.30249999999999</v>
      </c>
    </row>
    <row r="16889" spans="1:7" hidden="1" x14ac:dyDescent="0.25">
      <c r="A16889" s="28">
        <v>44896</v>
      </c>
      <c r="B16889" s="27" t="s">
        <v>200</v>
      </c>
      <c r="C16889" s="27" t="s">
        <v>183</v>
      </c>
      <c r="D16889" s="27" t="s">
        <v>7</v>
      </c>
      <c r="E16889" s="27" t="s">
        <v>72</v>
      </c>
      <c r="F16889" s="29"/>
      <c r="G16889" s="30">
        <f t="shared" si="292"/>
        <v>123.30249999999999</v>
      </c>
    </row>
    <row r="16890" spans="1:7" hidden="1" x14ac:dyDescent="0.25">
      <c r="A16890" s="28">
        <v>44896</v>
      </c>
      <c r="B16890" s="27" t="s">
        <v>200</v>
      </c>
      <c r="C16890" s="27" t="s">
        <v>183</v>
      </c>
      <c r="D16890" s="27" t="s">
        <v>7</v>
      </c>
      <c r="E16890" s="27" t="s">
        <v>206</v>
      </c>
      <c r="F16890" s="29"/>
      <c r="G16890" s="30">
        <f t="shared" si="292"/>
        <v>123.30249999999999</v>
      </c>
    </row>
    <row r="16891" spans="1:7" hidden="1" x14ac:dyDescent="0.25">
      <c r="A16891" s="28">
        <v>44896</v>
      </c>
      <c r="B16891" s="27" t="s">
        <v>200</v>
      </c>
      <c r="C16891" s="27" t="s">
        <v>183</v>
      </c>
      <c r="D16891" s="27" t="s">
        <v>7</v>
      </c>
      <c r="E16891" s="27" t="s">
        <v>67</v>
      </c>
      <c r="F16891" s="29"/>
      <c r="G16891" s="30">
        <f t="shared" si="292"/>
        <v>123.30249999999999</v>
      </c>
    </row>
    <row r="16892" spans="1:7" hidden="1" x14ac:dyDescent="0.25">
      <c r="A16892" s="28">
        <v>44896</v>
      </c>
      <c r="B16892" s="27" t="s">
        <v>200</v>
      </c>
      <c r="C16892" s="27" t="s">
        <v>183</v>
      </c>
      <c r="D16892" s="27" t="s">
        <v>7</v>
      </c>
      <c r="E16892" s="27" t="s">
        <v>68</v>
      </c>
      <c r="F16892" s="29"/>
      <c r="G16892" s="30">
        <f t="shared" si="292"/>
        <v>123.30249999999999</v>
      </c>
    </row>
    <row r="16893" spans="1:7" hidden="1" x14ac:dyDescent="0.25">
      <c r="A16893" s="28">
        <v>44896</v>
      </c>
      <c r="B16893" s="27" t="s">
        <v>200</v>
      </c>
      <c r="C16893" s="27" t="s">
        <v>183</v>
      </c>
      <c r="D16893" s="27" t="s">
        <v>7</v>
      </c>
      <c r="E16893" s="27" t="s">
        <v>74</v>
      </c>
      <c r="F16893" s="29"/>
      <c r="G16893" s="30">
        <f t="shared" si="292"/>
        <v>123.30249999999999</v>
      </c>
    </row>
    <row r="16894" spans="1:7" hidden="1" x14ac:dyDescent="0.25">
      <c r="A16894" s="28">
        <v>44896</v>
      </c>
      <c r="B16894" s="27" t="s">
        <v>200</v>
      </c>
      <c r="C16894" s="27" t="s">
        <v>56</v>
      </c>
      <c r="D16894" s="27" t="s">
        <v>6</v>
      </c>
      <c r="E16894" s="27" t="s">
        <v>8</v>
      </c>
      <c r="F16894" s="29"/>
      <c r="G16894" s="30">
        <f t="shared" ref="G16894:G16917" si="293">48861.0286222222/24</f>
        <v>2035.8761925925917</v>
      </c>
    </row>
    <row r="16895" spans="1:7" hidden="1" x14ac:dyDescent="0.25">
      <c r="A16895" s="28">
        <v>44896</v>
      </c>
      <c r="B16895" s="27" t="s">
        <v>200</v>
      </c>
      <c r="C16895" s="27" t="s">
        <v>56</v>
      </c>
      <c r="D16895" s="27" t="s">
        <v>6</v>
      </c>
      <c r="E16895" s="27" t="s">
        <v>9</v>
      </c>
      <c r="F16895" s="29"/>
      <c r="G16895" s="30">
        <f t="shared" si="293"/>
        <v>2035.8761925925917</v>
      </c>
    </row>
    <row r="16896" spans="1:7" hidden="1" x14ac:dyDescent="0.25">
      <c r="A16896" s="28">
        <v>44896</v>
      </c>
      <c r="B16896" s="27" t="s">
        <v>200</v>
      </c>
      <c r="C16896" s="27" t="s">
        <v>56</v>
      </c>
      <c r="D16896" s="27" t="s">
        <v>6</v>
      </c>
      <c r="E16896" s="27" t="s">
        <v>22</v>
      </c>
      <c r="F16896" s="29"/>
      <c r="G16896" s="30">
        <f t="shared" si="293"/>
        <v>2035.8761925925917</v>
      </c>
    </row>
    <row r="16897" spans="1:7" hidden="1" x14ac:dyDescent="0.25">
      <c r="A16897" s="28">
        <v>44896</v>
      </c>
      <c r="B16897" s="27" t="s">
        <v>200</v>
      </c>
      <c r="C16897" s="27" t="s">
        <v>56</v>
      </c>
      <c r="D16897" s="27" t="s">
        <v>6</v>
      </c>
      <c r="E16897" s="27" t="s">
        <v>39</v>
      </c>
      <c r="F16897" s="29"/>
      <c r="G16897" s="30">
        <f t="shared" si="293"/>
        <v>2035.8761925925917</v>
      </c>
    </row>
    <row r="16898" spans="1:7" hidden="1" x14ac:dyDescent="0.25">
      <c r="A16898" s="28">
        <v>44896</v>
      </c>
      <c r="B16898" s="27" t="s">
        <v>200</v>
      </c>
      <c r="C16898" s="27" t="s">
        <v>56</v>
      </c>
      <c r="D16898" s="27" t="s">
        <v>6</v>
      </c>
      <c r="E16898" s="27" t="s">
        <v>64</v>
      </c>
      <c r="F16898" s="29"/>
      <c r="G16898" s="30">
        <f t="shared" si="293"/>
        <v>2035.8761925925917</v>
      </c>
    </row>
    <row r="16899" spans="1:7" hidden="1" x14ac:dyDescent="0.25">
      <c r="A16899" s="28">
        <v>44896</v>
      </c>
      <c r="B16899" s="27" t="s">
        <v>200</v>
      </c>
      <c r="C16899" s="27" t="s">
        <v>56</v>
      </c>
      <c r="D16899" s="27" t="s">
        <v>6</v>
      </c>
      <c r="E16899" s="27" t="s">
        <v>21</v>
      </c>
      <c r="F16899" s="29"/>
      <c r="G16899" s="30">
        <f t="shared" si="293"/>
        <v>2035.8761925925917</v>
      </c>
    </row>
    <row r="16900" spans="1:7" hidden="1" x14ac:dyDescent="0.25">
      <c r="A16900" s="28">
        <v>44896</v>
      </c>
      <c r="B16900" s="27" t="s">
        <v>200</v>
      </c>
      <c r="C16900" s="27" t="s">
        <v>56</v>
      </c>
      <c r="D16900" s="27" t="s">
        <v>6</v>
      </c>
      <c r="E16900" s="27" t="s">
        <v>41</v>
      </c>
      <c r="F16900" s="29"/>
      <c r="G16900" s="30">
        <f t="shared" si="293"/>
        <v>2035.8761925925917</v>
      </c>
    </row>
    <row r="16901" spans="1:7" hidden="1" x14ac:dyDescent="0.25">
      <c r="A16901" s="28">
        <v>44896</v>
      </c>
      <c r="B16901" s="27" t="s">
        <v>200</v>
      </c>
      <c r="C16901" s="27" t="s">
        <v>56</v>
      </c>
      <c r="D16901" s="27" t="s">
        <v>6</v>
      </c>
      <c r="E16901" s="27" t="s">
        <v>10</v>
      </c>
      <c r="F16901" s="29"/>
      <c r="G16901" s="30">
        <f t="shared" si="293"/>
        <v>2035.8761925925917</v>
      </c>
    </row>
    <row r="16902" spans="1:7" hidden="1" x14ac:dyDescent="0.25">
      <c r="A16902" s="28">
        <v>44896</v>
      </c>
      <c r="B16902" s="27" t="s">
        <v>200</v>
      </c>
      <c r="C16902" s="27" t="s">
        <v>56</v>
      </c>
      <c r="D16902" s="27" t="s">
        <v>6</v>
      </c>
      <c r="E16902" s="27" t="s">
        <v>11</v>
      </c>
      <c r="F16902" s="29"/>
      <c r="G16902" s="30">
        <f t="shared" si="293"/>
        <v>2035.8761925925917</v>
      </c>
    </row>
    <row r="16903" spans="1:7" hidden="1" x14ac:dyDescent="0.25">
      <c r="A16903" s="28">
        <v>44896</v>
      </c>
      <c r="B16903" s="27" t="s">
        <v>200</v>
      </c>
      <c r="C16903" s="27" t="s">
        <v>56</v>
      </c>
      <c r="D16903" s="27" t="s">
        <v>6</v>
      </c>
      <c r="E16903" s="27" t="s">
        <v>12</v>
      </c>
      <c r="F16903" s="29"/>
      <c r="G16903" s="30">
        <f t="shared" si="293"/>
        <v>2035.8761925925917</v>
      </c>
    </row>
    <row r="16904" spans="1:7" hidden="1" x14ac:dyDescent="0.25">
      <c r="A16904" s="28">
        <v>44896</v>
      </c>
      <c r="B16904" s="27" t="s">
        <v>200</v>
      </c>
      <c r="C16904" s="27" t="s">
        <v>56</v>
      </c>
      <c r="D16904" s="27" t="s">
        <v>6</v>
      </c>
      <c r="E16904" s="27" t="s">
        <v>13</v>
      </c>
      <c r="F16904" s="29"/>
      <c r="G16904" s="30">
        <f t="shared" si="293"/>
        <v>2035.8761925925917</v>
      </c>
    </row>
    <row r="16905" spans="1:7" hidden="1" x14ac:dyDescent="0.25">
      <c r="A16905" s="28">
        <v>44896</v>
      </c>
      <c r="B16905" s="27" t="s">
        <v>200</v>
      </c>
      <c r="C16905" s="27" t="s">
        <v>56</v>
      </c>
      <c r="D16905" s="27" t="s">
        <v>6</v>
      </c>
      <c r="E16905" s="27" t="s">
        <v>14</v>
      </c>
      <c r="F16905" s="29"/>
      <c r="G16905" s="30">
        <f t="shared" si="293"/>
        <v>2035.8761925925917</v>
      </c>
    </row>
    <row r="16906" spans="1:7" hidden="1" x14ac:dyDescent="0.25">
      <c r="A16906" s="28">
        <v>44896</v>
      </c>
      <c r="B16906" s="27" t="s">
        <v>200</v>
      </c>
      <c r="C16906" s="27" t="s">
        <v>56</v>
      </c>
      <c r="D16906" s="27" t="s">
        <v>6</v>
      </c>
      <c r="E16906" s="27" t="s">
        <v>15</v>
      </c>
      <c r="F16906" s="29"/>
      <c r="G16906" s="30">
        <f t="shared" si="293"/>
        <v>2035.8761925925917</v>
      </c>
    </row>
    <row r="16907" spans="1:7" hidden="1" x14ac:dyDescent="0.25">
      <c r="A16907" s="28">
        <v>44896</v>
      </c>
      <c r="B16907" s="27" t="s">
        <v>200</v>
      </c>
      <c r="C16907" s="27" t="s">
        <v>56</v>
      </c>
      <c r="D16907" s="27" t="s">
        <v>6</v>
      </c>
      <c r="E16907" s="27" t="s">
        <v>16</v>
      </c>
      <c r="F16907" s="29"/>
      <c r="G16907" s="30">
        <f t="shared" si="293"/>
        <v>2035.8761925925917</v>
      </c>
    </row>
    <row r="16908" spans="1:7" hidden="1" x14ac:dyDescent="0.25">
      <c r="A16908" s="28">
        <v>44896</v>
      </c>
      <c r="B16908" s="27" t="s">
        <v>200</v>
      </c>
      <c r="C16908" s="27" t="s">
        <v>56</v>
      </c>
      <c r="D16908" s="27" t="s">
        <v>6</v>
      </c>
      <c r="E16908" s="27" t="s">
        <v>17</v>
      </c>
      <c r="F16908" s="29"/>
      <c r="G16908" s="30">
        <f t="shared" si="293"/>
        <v>2035.8761925925917</v>
      </c>
    </row>
    <row r="16909" spans="1:7" hidden="1" x14ac:dyDescent="0.25">
      <c r="A16909" s="28">
        <v>44896</v>
      </c>
      <c r="B16909" s="27" t="s">
        <v>200</v>
      </c>
      <c r="C16909" s="27" t="s">
        <v>56</v>
      </c>
      <c r="D16909" s="27" t="s">
        <v>6</v>
      </c>
      <c r="E16909" s="27" t="s">
        <v>18</v>
      </c>
      <c r="F16909" s="29"/>
      <c r="G16909" s="30">
        <f t="shared" si="293"/>
        <v>2035.8761925925917</v>
      </c>
    </row>
    <row r="16910" spans="1:7" hidden="1" x14ac:dyDescent="0.25">
      <c r="A16910" s="28">
        <v>44896</v>
      </c>
      <c r="B16910" s="27" t="s">
        <v>200</v>
      </c>
      <c r="C16910" s="27" t="s">
        <v>56</v>
      </c>
      <c r="D16910" s="27" t="s">
        <v>6</v>
      </c>
      <c r="E16910" s="27" t="s">
        <v>19</v>
      </c>
      <c r="F16910" s="29"/>
      <c r="G16910" s="30">
        <f t="shared" si="293"/>
        <v>2035.8761925925917</v>
      </c>
    </row>
    <row r="16911" spans="1:7" hidden="1" x14ac:dyDescent="0.25">
      <c r="A16911" s="28">
        <v>44896</v>
      </c>
      <c r="B16911" s="27" t="s">
        <v>200</v>
      </c>
      <c r="C16911" s="27" t="s">
        <v>56</v>
      </c>
      <c r="D16911" s="27" t="s">
        <v>6</v>
      </c>
      <c r="E16911" s="27" t="s">
        <v>20</v>
      </c>
      <c r="F16911" s="29"/>
      <c r="G16911" s="30">
        <f t="shared" si="293"/>
        <v>2035.8761925925917</v>
      </c>
    </row>
    <row r="16912" spans="1:7" hidden="1" x14ac:dyDescent="0.25">
      <c r="A16912" s="28">
        <v>44896</v>
      </c>
      <c r="B16912" s="27" t="s">
        <v>200</v>
      </c>
      <c r="C16912" s="27" t="s">
        <v>56</v>
      </c>
      <c r="D16912" s="27" t="s">
        <v>6</v>
      </c>
      <c r="E16912" s="27" t="s">
        <v>38</v>
      </c>
      <c r="F16912" s="29"/>
      <c r="G16912" s="30">
        <f t="shared" si="293"/>
        <v>2035.8761925925917</v>
      </c>
    </row>
    <row r="16913" spans="1:7" hidden="1" x14ac:dyDescent="0.25">
      <c r="A16913" s="28">
        <v>44896</v>
      </c>
      <c r="B16913" s="27" t="s">
        <v>200</v>
      </c>
      <c r="C16913" s="27" t="s">
        <v>56</v>
      </c>
      <c r="D16913" s="27" t="s">
        <v>6</v>
      </c>
      <c r="E16913" s="27" t="s">
        <v>23</v>
      </c>
      <c r="F16913" s="29"/>
      <c r="G16913" s="30">
        <f t="shared" si="293"/>
        <v>2035.8761925925917</v>
      </c>
    </row>
    <row r="16914" spans="1:7" hidden="1" x14ac:dyDescent="0.25">
      <c r="A16914" s="28">
        <v>44896</v>
      </c>
      <c r="B16914" s="27" t="s">
        <v>200</v>
      </c>
      <c r="C16914" s="27" t="s">
        <v>56</v>
      </c>
      <c r="D16914" s="27" t="s">
        <v>6</v>
      </c>
      <c r="E16914" s="27" t="s">
        <v>40</v>
      </c>
      <c r="F16914" s="29"/>
      <c r="G16914" s="30">
        <f t="shared" si="293"/>
        <v>2035.8761925925917</v>
      </c>
    </row>
    <row r="16915" spans="1:7" hidden="1" x14ac:dyDescent="0.25">
      <c r="A16915" s="28">
        <v>44896</v>
      </c>
      <c r="B16915" s="27" t="s">
        <v>200</v>
      </c>
      <c r="C16915" s="27" t="s">
        <v>56</v>
      </c>
      <c r="D16915" s="27" t="s">
        <v>6</v>
      </c>
      <c r="E16915" s="27" t="s">
        <v>42</v>
      </c>
      <c r="F16915" s="29"/>
      <c r="G16915" s="30">
        <f t="shared" si="293"/>
        <v>2035.8761925925917</v>
      </c>
    </row>
    <row r="16916" spans="1:7" hidden="1" x14ac:dyDescent="0.25">
      <c r="A16916" s="28">
        <v>44896</v>
      </c>
      <c r="B16916" s="27" t="s">
        <v>200</v>
      </c>
      <c r="C16916" s="27" t="s">
        <v>56</v>
      </c>
      <c r="D16916" s="27" t="s">
        <v>6</v>
      </c>
      <c r="E16916" s="27" t="s">
        <v>72</v>
      </c>
      <c r="F16916" s="29"/>
      <c r="G16916" s="30">
        <f t="shared" si="293"/>
        <v>2035.8761925925917</v>
      </c>
    </row>
    <row r="16917" spans="1:7" hidden="1" x14ac:dyDescent="0.25">
      <c r="A16917" s="28">
        <v>44896</v>
      </c>
      <c r="B16917" s="27" t="s">
        <v>200</v>
      </c>
      <c r="C16917" s="27" t="s">
        <v>56</v>
      </c>
      <c r="D16917" s="27" t="s">
        <v>6</v>
      </c>
      <c r="E16917" s="27" t="s">
        <v>12</v>
      </c>
      <c r="F16917" s="29"/>
      <c r="G16917" s="30">
        <f t="shared" si="293"/>
        <v>2035.8761925925917</v>
      </c>
    </row>
    <row r="16918" spans="1:7" hidden="1" x14ac:dyDescent="0.25">
      <c r="A16918" s="28">
        <v>44896</v>
      </c>
      <c r="B16918" s="27" t="s">
        <v>200</v>
      </c>
      <c r="C16918" s="27" t="s">
        <v>182</v>
      </c>
      <c r="D16918" s="27" t="s">
        <v>7</v>
      </c>
      <c r="E16918" s="27" t="s">
        <v>8</v>
      </c>
      <c r="F16918" s="29"/>
      <c r="G16918" s="30">
        <f t="shared" ref="G16918:G16942" si="294">9257.06/25</f>
        <v>370.2824</v>
      </c>
    </row>
    <row r="16919" spans="1:7" hidden="1" x14ac:dyDescent="0.25">
      <c r="A16919" s="28">
        <v>44896</v>
      </c>
      <c r="B16919" s="27" t="s">
        <v>200</v>
      </c>
      <c r="C16919" s="27" t="s">
        <v>182</v>
      </c>
      <c r="D16919" s="27" t="s">
        <v>7</v>
      </c>
      <c r="E16919" s="27" t="s">
        <v>9</v>
      </c>
      <c r="F16919" s="29"/>
      <c r="G16919" s="30">
        <f t="shared" si="294"/>
        <v>370.2824</v>
      </c>
    </row>
    <row r="16920" spans="1:7" hidden="1" x14ac:dyDescent="0.25">
      <c r="A16920" s="28">
        <v>44896</v>
      </c>
      <c r="B16920" s="27" t="s">
        <v>200</v>
      </c>
      <c r="C16920" s="27" t="s">
        <v>182</v>
      </c>
      <c r="D16920" s="27" t="s">
        <v>7</v>
      </c>
      <c r="E16920" s="27" t="s">
        <v>22</v>
      </c>
      <c r="F16920" s="29"/>
      <c r="G16920" s="30">
        <f t="shared" si="294"/>
        <v>370.2824</v>
      </c>
    </row>
    <row r="16921" spans="1:7" hidden="1" x14ac:dyDescent="0.25">
      <c r="A16921" s="28">
        <v>44896</v>
      </c>
      <c r="B16921" s="27" t="s">
        <v>200</v>
      </c>
      <c r="C16921" s="27" t="s">
        <v>182</v>
      </c>
      <c r="D16921" s="27" t="s">
        <v>7</v>
      </c>
      <c r="E16921" s="27" t="s">
        <v>39</v>
      </c>
      <c r="F16921" s="29"/>
      <c r="G16921" s="30">
        <f t="shared" si="294"/>
        <v>370.2824</v>
      </c>
    </row>
    <row r="16922" spans="1:7" hidden="1" x14ac:dyDescent="0.25">
      <c r="A16922" s="28">
        <v>44896</v>
      </c>
      <c r="B16922" s="27" t="s">
        <v>200</v>
      </c>
      <c r="C16922" s="27" t="s">
        <v>182</v>
      </c>
      <c r="D16922" s="27" t="s">
        <v>7</v>
      </c>
      <c r="E16922" s="27" t="s">
        <v>64</v>
      </c>
      <c r="F16922" s="29"/>
      <c r="G16922" s="30">
        <f t="shared" si="294"/>
        <v>370.2824</v>
      </c>
    </row>
    <row r="16923" spans="1:7" hidden="1" x14ac:dyDescent="0.25">
      <c r="A16923" s="28">
        <v>44896</v>
      </c>
      <c r="B16923" s="27" t="s">
        <v>200</v>
      </c>
      <c r="C16923" s="27" t="s">
        <v>182</v>
      </c>
      <c r="D16923" s="27" t="s">
        <v>7</v>
      </c>
      <c r="E16923" s="27" t="s">
        <v>21</v>
      </c>
      <c r="F16923" s="29"/>
      <c r="G16923" s="30">
        <f t="shared" si="294"/>
        <v>370.2824</v>
      </c>
    </row>
    <row r="16924" spans="1:7" hidden="1" x14ac:dyDescent="0.25">
      <c r="A16924" s="28">
        <v>44896</v>
      </c>
      <c r="B16924" s="27" t="s">
        <v>200</v>
      </c>
      <c r="C16924" s="27" t="s">
        <v>182</v>
      </c>
      <c r="D16924" s="27" t="s">
        <v>7</v>
      </c>
      <c r="E16924" s="27" t="s">
        <v>41</v>
      </c>
      <c r="F16924" s="29"/>
      <c r="G16924" s="30">
        <f t="shared" si="294"/>
        <v>370.2824</v>
      </c>
    </row>
    <row r="16925" spans="1:7" hidden="1" x14ac:dyDescent="0.25">
      <c r="A16925" s="28">
        <v>44896</v>
      </c>
      <c r="B16925" s="27" t="s">
        <v>200</v>
      </c>
      <c r="C16925" s="27" t="s">
        <v>182</v>
      </c>
      <c r="D16925" s="27" t="s">
        <v>7</v>
      </c>
      <c r="E16925" s="27" t="s">
        <v>10</v>
      </c>
      <c r="F16925" s="29"/>
      <c r="G16925" s="30">
        <f t="shared" si="294"/>
        <v>370.2824</v>
      </c>
    </row>
    <row r="16926" spans="1:7" hidden="1" x14ac:dyDescent="0.25">
      <c r="A16926" s="28">
        <v>44896</v>
      </c>
      <c r="B16926" s="27" t="s">
        <v>200</v>
      </c>
      <c r="C16926" s="27" t="s">
        <v>182</v>
      </c>
      <c r="D16926" s="27" t="s">
        <v>7</v>
      </c>
      <c r="E16926" s="27" t="s">
        <v>11</v>
      </c>
      <c r="F16926" s="29"/>
      <c r="G16926" s="30">
        <f t="shared" si="294"/>
        <v>370.2824</v>
      </c>
    </row>
    <row r="16927" spans="1:7" hidden="1" x14ac:dyDescent="0.25">
      <c r="A16927" s="28">
        <v>44896</v>
      </c>
      <c r="B16927" s="27" t="s">
        <v>200</v>
      </c>
      <c r="C16927" s="27" t="s">
        <v>182</v>
      </c>
      <c r="D16927" s="27" t="s">
        <v>7</v>
      </c>
      <c r="E16927" s="27" t="s">
        <v>12</v>
      </c>
      <c r="F16927" s="29"/>
      <c r="G16927" s="30">
        <f t="shared" si="294"/>
        <v>370.2824</v>
      </c>
    </row>
    <row r="16928" spans="1:7" hidden="1" x14ac:dyDescent="0.25">
      <c r="A16928" s="28">
        <v>44896</v>
      </c>
      <c r="B16928" s="27" t="s">
        <v>200</v>
      </c>
      <c r="C16928" s="27" t="s">
        <v>182</v>
      </c>
      <c r="D16928" s="27" t="s">
        <v>7</v>
      </c>
      <c r="E16928" s="27" t="s">
        <v>13</v>
      </c>
      <c r="F16928" s="29"/>
      <c r="G16928" s="30">
        <f t="shared" si="294"/>
        <v>370.2824</v>
      </c>
    </row>
    <row r="16929" spans="1:7" hidden="1" x14ac:dyDescent="0.25">
      <c r="A16929" s="28">
        <v>44896</v>
      </c>
      <c r="B16929" s="27" t="s">
        <v>200</v>
      </c>
      <c r="C16929" s="27" t="s">
        <v>182</v>
      </c>
      <c r="D16929" s="27" t="s">
        <v>7</v>
      </c>
      <c r="E16929" s="27" t="s">
        <v>14</v>
      </c>
      <c r="F16929" s="29"/>
      <c r="G16929" s="30">
        <f t="shared" si="294"/>
        <v>370.2824</v>
      </c>
    </row>
    <row r="16930" spans="1:7" hidden="1" x14ac:dyDescent="0.25">
      <c r="A16930" s="28">
        <v>44896</v>
      </c>
      <c r="B16930" s="27" t="s">
        <v>200</v>
      </c>
      <c r="C16930" s="27" t="s">
        <v>182</v>
      </c>
      <c r="D16930" s="27" t="s">
        <v>7</v>
      </c>
      <c r="E16930" s="27" t="s">
        <v>15</v>
      </c>
      <c r="F16930" s="29"/>
      <c r="G16930" s="30">
        <f t="shared" si="294"/>
        <v>370.2824</v>
      </c>
    </row>
    <row r="16931" spans="1:7" hidden="1" x14ac:dyDescent="0.25">
      <c r="A16931" s="28">
        <v>44896</v>
      </c>
      <c r="B16931" s="27" t="s">
        <v>200</v>
      </c>
      <c r="C16931" s="27" t="s">
        <v>182</v>
      </c>
      <c r="D16931" s="27" t="s">
        <v>7</v>
      </c>
      <c r="E16931" s="27" t="s">
        <v>16</v>
      </c>
      <c r="F16931" s="29"/>
      <c r="G16931" s="30">
        <f t="shared" si="294"/>
        <v>370.2824</v>
      </c>
    </row>
    <row r="16932" spans="1:7" hidden="1" x14ac:dyDescent="0.25">
      <c r="A16932" s="28">
        <v>44896</v>
      </c>
      <c r="B16932" s="27" t="s">
        <v>200</v>
      </c>
      <c r="C16932" s="27" t="s">
        <v>182</v>
      </c>
      <c r="D16932" s="27" t="s">
        <v>7</v>
      </c>
      <c r="E16932" s="27" t="s">
        <v>17</v>
      </c>
      <c r="F16932" s="29"/>
      <c r="G16932" s="30">
        <f t="shared" si="294"/>
        <v>370.2824</v>
      </c>
    </row>
    <row r="16933" spans="1:7" hidden="1" x14ac:dyDescent="0.25">
      <c r="A16933" s="28">
        <v>44896</v>
      </c>
      <c r="B16933" s="27" t="s">
        <v>200</v>
      </c>
      <c r="C16933" s="27" t="s">
        <v>182</v>
      </c>
      <c r="D16933" s="27" t="s">
        <v>7</v>
      </c>
      <c r="E16933" s="27" t="s">
        <v>18</v>
      </c>
      <c r="F16933" s="29"/>
      <c r="G16933" s="30">
        <f t="shared" si="294"/>
        <v>370.2824</v>
      </c>
    </row>
    <row r="16934" spans="1:7" hidden="1" x14ac:dyDescent="0.25">
      <c r="A16934" s="28">
        <v>44896</v>
      </c>
      <c r="B16934" s="27" t="s">
        <v>200</v>
      </c>
      <c r="C16934" s="27" t="s">
        <v>182</v>
      </c>
      <c r="D16934" s="27" t="s">
        <v>7</v>
      </c>
      <c r="E16934" s="27" t="s">
        <v>19</v>
      </c>
      <c r="F16934" s="29"/>
      <c r="G16934" s="30">
        <f t="shared" si="294"/>
        <v>370.2824</v>
      </c>
    </row>
    <row r="16935" spans="1:7" hidden="1" x14ac:dyDescent="0.25">
      <c r="A16935" s="28">
        <v>44896</v>
      </c>
      <c r="B16935" s="27" t="s">
        <v>200</v>
      </c>
      <c r="C16935" s="27" t="s">
        <v>182</v>
      </c>
      <c r="D16935" s="27" t="s">
        <v>7</v>
      </c>
      <c r="E16935" s="27" t="s">
        <v>20</v>
      </c>
      <c r="F16935" s="29"/>
      <c r="G16935" s="30">
        <f t="shared" si="294"/>
        <v>370.2824</v>
      </c>
    </row>
    <row r="16936" spans="1:7" hidden="1" x14ac:dyDescent="0.25">
      <c r="A16936" s="28">
        <v>44896</v>
      </c>
      <c r="B16936" s="27" t="s">
        <v>200</v>
      </c>
      <c r="C16936" s="27" t="s">
        <v>182</v>
      </c>
      <c r="D16936" s="27" t="s">
        <v>7</v>
      </c>
      <c r="E16936" s="27" t="s">
        <v>38</v>
      </c>
      <c r="F16936" s="29"/>
      <c r="G16936" s="30">
        <f t="shared" si="294"/>
        <v>370.2824</v>
      </c>
    </row>
    <row r="16937" spans="1:7" hidden="1" x14ac:dyDescent="0.25">
      <c r="A16937" s="28">
        <v>44896</v>
      </c>
      <c r="B16937" s="27" t="s">
        <v>200</v>
      </c>
      <c r="C16937" s="27" t="s">
        <v>182</v>
      </c>
      <c r="D16937" s="27" t="s">
        <v>7</v>
      </c>
      <c r="E16937" s="27" t="s">
        <v>23</v>
      </c>
      <c r="F16937" s="29"/>
      <c r="G16937" s="30">
        <f t="shared" si="294"/>
        <v>370.2824</v>
      </c>
    </row>
    <row r="16938" spans="1:7" hidden="1" x14ac:dyDescent="0.25">
      <c r="A16938" s="28">
        <v>44896</v>
      </c>
      <c r="B16938" s="27" t="s">
        <v>200</v>
      </c>
      <c r="C16938" s="27" t="s">
        <v>182</v>
      </c>
      <c r="D16938" s="27" t="s">
        <v>7</v>
      </c>
      <c r="E16938" s="27" t="s">
        <v>40</v>
      </c>
      <c r="F16938" s="29"/>
      <c r="G16938" s="30">
        <f t="shared" si="294"/>
        <v>370.2824</v>
      </c>
    </row>
    <row r="16939" spans="1:7" hidden="1" x14ac:dyDescent="0.25">
      <c r="A16939" s="28">
        <v>44896</v>
      </c>
      <c r="B16939" s="27" t="s">
        <v>200</v>
      </c>
      <c r="C16939" s="27" t="s">
        <v>182</v>
      </c>
      <c r="D16939" s="27" t="s">
        <v>7</v>
      </c>
      <c r="E16939" s="27" t="s">
        <v>42</v>
      </c>
      <c r="F16939" s="29"/>
      <c r="G16939" s="30">
        <f t="shared" si="294"/>
        <v>370.2824</v>
      </c>
    </row>
    <row r="16940" spans="1:7" hidden="1" x14ac:dyDescent="0.25">
      <c r="A16940" s="28">
        <v>44896</v>
      </c>
      <c r="B16940" s="27" t="s">
        <v>200</v>
      </c>
      <c r="C16940" s="27" t="s">
        <v>182</v>
      </c>
      <c r="D16940" s="27" t="s">
        <v>7</v>
      </c>
      <c r="E16940" s="27" t="s">
        <v>43</v>
      </c>
      <c r="F16940" s="29"/>
      <c r="G16940" s="30">
        <f t="shared" si="294"/>
        <v>370.2824</v>
      </c>
    </row>
    <row r="16941" spans="1:7" hidden="1" x14ac:dyDescent="0.25">
      <c r="A16941" s="28">
        <v>44896</v>
      </c>
      <c r="B16941" s="27" t="s">
        <v>200</v>
      </c>
      <c r="C16941" s="27" t="s">
        <v>182</v>
      </c>
      <c r="D16941" s="27" t="s">
        <v>7</v>
      </c>
      <c r="E16941" s="27" t="s">
        <v>72</v>
      </c>
      <c r="F16941" s="29"/>
      <c r="G16941" s="30">
        <f t="shared" si="294"/>
        <v>370.2824</v>
      </c>
    </row>
    <row r="16942" spans="1:7" hidden="1" x14ac:dyDescent="0.25">
      <c r="A16942" s="28">
        <v>44896</v>
      </c>
      <c r="B16942" s="27" t="s">
        <v>200</v>
      </c>
      <c r="C16942" s="27" t="s">
        <v>182</v>
      </c>
      <c r="D16942" s="27" t="s">
        <v>7</v>
      </c>
      <c r="E16942" s="27" t="s">
        <v>206</v>
      </c>
      <c r="F16942" s="29"/>
      <c r="G16942" s="30">
        <f t="shared" si="294"/>
        <v>370.2824</v>
      </c>
    </row>
    <row r="16943" spans="1:7" hidden="1" x14ac:dyDescent="0.25">
      <c r="A16943" s="28">
        <v>44896</v>
      </c>
      <c r="B16943" s="27" t="s">
        <v>35</v>
      </c>
      <c r="C16943" s="27" t="s">
        <v>50</v>
      </c>
      <c r="D16943" s="27" t="s">
        <v>7</v>
      </c>
      <c r="E16943" s="27" t="s">
        <v>8</v>
      </c>
      <c r="F16943" s="29"/>
      <c r="G16943" s="30">
        <v>740.00749999999994</v>
      </c>
    </row>
    <row r="16944" spans="1:7" hidden="1" x14ac:dyDescent="0.25">
      <c r="A16944" s="28">
        <v>44896</v>
      </c>
      <c r="B16944" s="27" t="s">
        <v>35</v>
      </c>
      <c r="C16944" s="27" t="s">
        <v>50</v>
      </c>
      <c r="D16944" s="27" t="s">
        <v>7</v>
      </c>
      <c r="E16944" s="27" t="s">
        <v>9</v>
      </c>
      <c r="F16944" s="29"/>
      <c r="G16944" s="30">
        <v>740.00749999999994</v>
      </c>
    </row>
    <row r="16945" spans="1:7" hidden="1" x14ac:dyDescent="0.25">
      <c r="A16945" s="28">
        <v>44896</v>
      </c>
      <c r="B16945" s="27" t="s">
        <v>35</v>
      </c>
      <c r="C16945" s="27" t="s">
        <v>50</v>
      </c>
      <c r="D16945" s="27" t="s">
        <v>7</v>
      </c>
      <c r="E16945" s="27" t="s">
        <v>22</v>
      </c>
      <c r="F16945" s="29"/>
      <c r="G16945" s="30">
        <v>740.00749999999994</v>
      </c>
    </row>
    <row r="16946" spans="1:7" hidden="1" x14ac:dyDescent="0.25">
      <c r="A16946" s="28">
        <v>44896</v>
      </c>
      <c r="B16946" s="27" t="s">
        <v>35</v>
      </c>
      <c r="C16946" s="27" t="s">
        <v>50</v>
      </c>
      <c r="D16946" s="27" t="s">
        <v>7</v>
      </c>
      <c r="E16946" s="27" t="s">
        <v>39</v>
      </c>
      <c r="F16946" s="29"/>
      <c r="G16946" s="30">
        <v>740.00749999999994</v>
      </c>
    </row>
    <row r="16947" spans="1:7" hidden="1" x14ac:dyDescent="0.25">
      <c r="A16947" s="28">
        <v>44896</v>
      </c>
      <c r="B16947" s="27" t="s">
        <v>35</v>
      </c>
      <c r="C16947" s="27" t="s">
        <v>50</v>
      </c>
      <c r="D16947" s="27" t="s">
        <v>7</v>
      </c>
      <c r="E16947" s="27" t="s">
        <v>64</v>
      </c>
      <c r="F16947" s="29"/>
      <c r="G16947" s="30">
        <v>740.00749999999994</v>
      </c>
    </row>
    <row r="16948" spans="1:7" hidden="1" x14ac:dyDescent="0.25">
      <c r="A16948" s="28">
        <v>44896</v>
      </c>
      <c r="B16948" s="27" t="s">
        <v>35</v>
      </c>
      <c r="C16948" s="27" t="s">
        <v>50</v>
      </c>
      <c r="D16948" s="27" t="s">
        <v>7</v>
      </c>
      <c r="E16948" s="27" t="s">
        <v>21</v>
      </c>
      <c r="F16948" s="29"/>
      <c r="G16948" s="30">
        <v>740.00749999999994</v>
      </c>
    </row>
    <row r="16949" spans="1:7" hidden="1" x14ac:dyDescent="0.25">
      <c r="A16949" s="28">
        <v>44896</v>
      </c>
      <c r="B16949" s="27" t="s">
        <v>35</v>
      </c>
      <c r="C16949" s="27" t="s">
        <v>50</v>
      </c>
      <c r="D16949" s="27" t="s">
        <v>7</v>
      </c>
      <c r="E16949" s="27" t="s">
        <v>41</v>
      </c>
      <c r="F16949" s="29"/>
      <c r="G16949" s="30">
        <v>740.00749999999994</v>
      </c>
    </row>
    <row r="16950" spans="1:7" hidden="1" x14ac:dyDescent="0.25">
      <c r="A16950" s="28">
        <v>44896</v>
      </c>
      <c r="B16950" s="27" t="s">
        <v>35</v>
      </c>
      <c r="C16950" s="27" t="s">
        <v>50</v>
      </c>
      <c r="D16950" s="27" t="s">
        <v>7</v>
      </c>
      <c r="E16950" s="27" t="s">
        <v>10</v>
      </c>
      <c r="F16950" s="29"/>
      <c r="G16950" s="30">
        <v>740.00749999999994</v>
      </c>
    </row>
    <row r="16951" spans="1:7" hidden="1" x14ac:dyDescent="0.25">
      <c r="A16951" s="28">
        <v>44896</v>
      </c>
      <c r="B16951" s="27" t="s">
        <v>35</v>
      </c>
      <c r="C16951" s="27" t="s">
        <v>50</v>
      </c>
      <c r="D16951" s="27" t="s">
        <v>7</v>
      </c>
      <c r="E16951" s="27" t="s">
        <v>11</v>
      </c>
      <c r="F16951" s="29"/>
      <c r="G16951" s="30">
        <v>740.00749999999994</v>
      </c>
    </row>
    <row r="16952" spans="1:7" hidden="1" x14ac:dyDescent="0.25">
      <c r="A16952" s="28">
        <v>44896</v>
      </c>
      <c r="B16952" s="27" t="s">
        <v>35</v>
      </c>
      <c r="C16952" s="27" t="s">
        <v>50</v>
      </c>
      <c r="D16952" s="27" t="s">
        <v>7</v>
      </c>
      <c r="E16952" s="27" t="s">
        <v>12</v>
      </c>
      <c r="F16952" s="29"/>
      <c r="G16952" s="30">
        <v>740.00749999999994</v>
      </c>
    </row>
    <row r="16953" spans="1:7" hidden="1" x14ac:dyDescent="0.25">
      <c r="A16953" s="28">
        <v>44896</v>
      </c>
      <c r="B16953" s="27" t="s">
        <v>35</v>
      </c>
      <c r="C16953" s="27" t="s">
        <v>50</v>
      </c>
      <c r="D16953" s="27" t="s">
        <v>7</v>
      </c>
      <c r="E16953" s="27" t="s">
        <v>13</v>
      </c>
      <c r="F16953" s="29"/>
      <c r="G16953" s="30">
        <v>740.00749999999994</v>
      </c>
    </row>
    <row r="16954" spans="1:7" hidden="1" x14ac:dyDescent="0.25">
      <c r="A16954" s="28">
        <v>44896</v>
      </c>
      <c r="B16954" s="27" t="s">
        <v>35</v>
      </c>
      <c r="C16954" s="27" t="s">
        <v>50</v>
      </c>
      <c r="D16954" s="27" t="s">
        <v>7</v>
      </c>
      <c r="E16954" s="27" t="s">
        <v>14</v>
      </c>
      <c r="F16954" s="29"/>
      <c r="G16954" s="30">
        <v>740.00749999999994</v>
      </c>
    </row>
    <row r="16955" spans="1:7" hidden="1" x14ac:dyDescent="0.25">
      <c r="A16955" s="28">
        <v>44896</v>
      </c>
      <c r="B16955" s="27" t="s">
        <v>35</v>
      </c>
      <c r="C16955" s="27" t="s">
        <v>50</v>
      </c>
      <c r="D16955" s="27" t="s">
        <v>7</v>
      </c>
      <c r="E16955" s="27" t="s">
        <v>15</v>
      </c>
      <c r="F16955" s="29"/>
      <c r="G16955" s="30">
        <v>740.00749999999994</v>
      </c>
    </row>
    <row r="16956" spans="1:7" hidden="1" x14ac:dyDescent="0.25">
      <c r="A16956" s="28">
        <v>44896</v>
      </c>
      <c r="B16956" s="27" t="s">
        <v>35</v>
      </c>
      <c r="C16956" s="27" t="s">
        <v>50</v>
      </c>
      <c r="D16956" s="27" t="s">
        <v>7</v>
      </c>
      <c r="E16956" s="27" t="s">
        <v>16</v>
      </c>
      <c r="F16956" s="29"/>
      <c r="G16956" s="30">
        <v>740.00749999999994</v>
      </c>
    </row>
    <row r="16957" spans="1:7" hidden="1" x14ac:dyDescent="0.25">
      <c r="A16957" s="28">
        <v>44896</v>
      </c>
      <c r="B16957" s="27" t="s">
        <v>35</v>
      </c>
      <c r="C16957" s="27" t="s">
        <v>50</v>
      </c>
      <c r="D16957" s="27" t="s">
        <v>7</v>
      </c>
      <c r="E16957" s="27" t="s">
        <v>17</v>
      </c>
      <c r="F16957" s="29"/>
      <c r="G16957" s="30">
        <v>740.00749999999994</v>
      </c>
    </row>
    <row r="16958" spans="1:7" hidden="1" x14ac:dyDescent="0.25">
      <c r="A16958" s="28">
        <v>44896</v>
      </c>
      <c r="B16958" s="27" t="s">
        <v>35</v>
      </c>
      <c r="C16958" s="27" t="s">
        <v>50</v>
      </c>
      <c r="D16958" s="27" t="s">
        <v>7</v>
      </c>
      <c r="E16958" s="27" t="s">
        <v>18</v>
      </c>
      <c r="F16958" s="29"/>
      <c r="G16958" s="30">
        <v>740.00749999999994</v>
      </c>
    </row>
    <row r="16959" spans="1:7" hidden="1" x14ac:dyDescent="0.25">
      <c r="A16959" s="28">
        <v>44896</v>
      </c>
      <c r="B16959" s="27" t="s">
        <v>35</v>
      </c>
      <c r="C16959" s="27" t="s">
        <v>50</v>
      </c>
      <c r="D16959" s="27" t="s">
        <v>7</v>
      </c>
      <c r="E16959" s="27" t="s">
        <v>19</v>
      </c>
      <c r="F16959" s="29"/>
      <c r="G16959" s="30">
        <v>740.00749999999994</v>
      </c>
    </row>
    <row r="16960" spans="1:7" hidden="1" x14ac:dyDescent="0.25">
      <c r="A16960" s="28">
        <v>44896</v>
      </c>
      <c r="B16960" s="27" t="s">
        <v>35</v>
      </c>
      <c r="C16960" s="27" t="s">
        <v>50</v>
      </c>
      <c r="D16960" s="27" t="s">
        <v>7</v>
      </c>
      <c r="E16960" s="27" t="s">
        <v>20</v>
      </c>
      <c r="F16960" s="29"/>
      <c r="G16960" s="30">
        <v>740.00749999999994</v>
      </c>
    </row>
    <row r="16961" spans="1:7" hidden="1" x14ac:dyDescent="0.25">
      <c r="A16961" s="28">
        <v>44896</v>
      </c>
      <c r="B16961" s="27" t="s">
        <v>35</v>
      </c>
      <c r="C16961" s="27" t="s">
        <v>50</v>
      </c>
      <c r="D16961" s="27" t="s">
        <v>7</v>
      </c>
      <c r="E16961" s="27" t="s">
        <v>38</v>
      </c>
      <c r="F16961" s="29"/>
      <c r="G16961" s="30">
        <v>740.00749999999994</v>
      </c>
    </row>
    <row r="16962" spans="1:7" hidden="1" x14ac:dyDescent="0.25">
      <c r="A16962" s="28">
        <v>44896</v>
      </c>
      <c r="B16962" s="27" t="s">
        <v>35</v>
      </c>
      <c r="C16962" s="27" t="s">
        <v>50</v>
      </c>
      <c r="D16962" s="27" t="s">
        <v>7</v>
      </c>
      <c r="E16962" s="27" t="s">
        <v>23</v>
      </c>
      <c r="F16962" s="29"/>
      <c r="G16962" s="30">
        <v>740.00749999999994</v>
      </c>
    </row>
    <row r="16963" spans="1:7" hidden="1" x14ac:dyDescent="0.25">
      <c r="A16963" s="28">
        <v>44896</v>
      </c>
      <c r="B16963" s="27" t="s">
        <v>35</v>
      </c>
      <c r="C16963" s="27" t="s">
        <v>50</v>
      </c>
      <c r="D16963" s="27" t="s">
        <v>7</v>
      </c>
      <c r="E16963" s="27" t="s">
        <v>40</v>
      </c>
      <c r="F16963" s="29"/>
      <c r="G16963" s="30">
        <v>740.00749999999994</v>
      </c>
    </row>
    <row r="16964" spans="1:7" hidden="1" x14ac:dyDescent="0.25">
      <c r="A16964" s="28">
        <v>44896</v>
      </c>
      <c r="B16964" s="27" t="s">
        <v>35</v>
      </c>
      <c r="C16964" s="27" t="s">
        <v>50</v>
      </c>
      <c r="D16964" s="27" t="s">
        <v>7</v>
      </c>
      <c r="E16964" s="27" t="s">
        <v>42</v>
      </c>
      <c r="F16964" s="29"/>
      <c r="G16964" s="30">
        <v>740.00749999999994</v>
      </c>
    </row>
    <row r="16965" spans="1:7" hidden="1" x14ac:dyDescent="0.25">
      <c r="A16965" s="28">
        <v>44896</v>
      </c>
      <c r="B16965" s="27" t="s">
        <v>35</v>
      </c>
      <c r="C16965" s="27" t="s">
        <v>50</v>
      </c>
      <c r="D16965" s="27" t="s">
        <v>7</v>
      </c>
      <c r="E16965" s="27" t="s">
        <v>43</v>
      </c>
      <c r="F16965" s="29"/>
      <c r="G16965" s="30">
        <v>740.00749999999994</v>
      </c>
    </row>
    <row r="16966" spans="1:7" hidden="1" x14ac:dyDescent="0.25">
      <c r="A16966" s="28">
        <v>44896</v>
      </c>
      <c r="B16966" s="27" t="s">
        <v>35</v>
      </c>
      <c r="C16966" s="27" t="s">
        <v>50</v>
      </c>
      <c r="D16966" s="27" t="s">
        <v>7</v>
      </c>
      <c r="E16966" s="27" t="s">
        <v>72</v>
      </c>
      <c r="F16966" s="29"/>
      <c r="G16966" s="30">
        <v>740.00749999999994</v>
      </c>
    </row>
    <row r="16967" spans="1:7" hidden="1" x14ac:dyDescent="0.25">
      <c r="A16967" s="28">
        <v>44896</v>
      </c>
      <c r="B16967" s="27" t="s">
        <v>35</v>
      </c>
      <c r="C16967" s="27" t="s">
        <v>50</v>
      </c>
      <c r="D16967" s="27" t="s">
        <v>7</v>
      </c>
      <c r="E16967" s="27" t="s">
        <v>206</v>
      </c>
      <c r="F16967" s="29"/>
      <c r="G16967" s="30">
        <v>740.00749999999994</v>
      </c>
    </row>
    <row r="16968" spans="1:7" hidden="1" x14ac:dyDescent="0.25">
      <c r="A16968" s="28">
        <v>44896</v>
      </c>
      <c r="B16968" s="27" t="s">
        <v>35</v>
      </c>
      <c r="C16968" s="27" t="s">
        <v>50</v>
      </c>
      <c r="D16968" s="27" t="s">
        <v>7</v>
      </c>
      <c r="E16968" s="27" t="s">
        <v>67</v>
      </c>
      <c r="F16968" s="29"/>
      <c r="G16968" s="30">
        <v>740.00749999999994</v>
      </c>
    </row>
    <row r="16969" spans="1:7" hidden="1" x14ac:dyDescent="0.25">
      <c r="A16969" s="28">
        <v>44896</v>
      </c>
      <c r="B16969" s="27" t="s">
        <v>35</v>
      </c>
      <c r="C16969" s="27" t="s">
        <v>50</v>
      </c>
      <c r="D16969" s="27" t="s">
        <v>7</v>
      </c>
      <c r="E16969" s="27" t="s">
        <v>68</v>
      </c>
      <c r="F16969" s="29"/>
      <c r="G16969" s="30">
        <v>740.00749999999994</v>
      </c>
    </row>
    <row r="16970" spans="1:7" hidden="1" x14ac:dyDescent="0.25">
      <c r="A16970" s="28">
        <v>44896</v>
      </c>
      <c r="B16970" s="27" t="s">
        <v>35</v>
      </c>
      <c r="C16970" s="27" t="s">
        <v>50</v>
      </c>
      <c r="D16970" s="27" t="s">
        <v>7</v>
      </c>
      <c r="E16970" s="27" t="s">
        <v>74</v>
      </c>
      <c r="F16970" s="29"/>
      <c r="G16970" s="30">
        <v>740.00749999999994</v>
      </c>
    </row>
    <row r="16971" spans="1:7" hidden="1" x14ac:dyDescent="0.25">
      <c r="A16971" s="28">
        <v>44896</v>
      </c>
      <c r="B16971" s="27" t="s">
        <v>34</v>
      </c>
      <c r="C16971" s="27" t="s">
        <v>50</v>
      </c>
      <c r="D16971" s="27" t="s">
        <v>6</v>
      </c>
      <c r="E16971" s="27" t="s">
        <v>8</v>
      </c>
      <c r="F16971" s="29"/>
      <c r="G16971" s="30">
        <v>273.50799999999998</v>
      </c>
    </row>
    <row r="16972" spans="1:7" hidden="1" x14ac:dyDescent="0.25">
      <c r="A16972" s="28">
        <v>44896</v>
      </c>
      <c r="B16972" s="27" t="s">
        <v>34</v>
      </c>
      <c r="C16972" s="27" t="s">
        <v>50</v>
      </c>
      <c r="D16972" s="27" t="s">
        <v>6</v>
      </c>
      <c r="E16972" s="27" t="s">
        <v>9</v>
      </c>
      <c r="F16972" s="29"/>
      <c r="G16972" s="30">
        <v>273.50799999999998</v>
      </c>
    </row>
    <row r="16973" spans="1:7" hidden="1" x14ac:dyDescent="0.25">
      <c r="A16973" s="28">
        <v>44896</v>
      </c>
      <c r="B16973" s="27" t="s">
        <v>34</v>
      </c>
      <c r="C16973" s="27" t="s">
        <v>50</v>
      </c>
      <c r="D16973" s="27" t="s">
        <v>6</v>
      </c>
      <c r="E16973" s="27" t="s">
        <v>22</v>
      </c>
      <c r="F16973" s="29"/>
      <c r="G16973" s="30">
        <v>273.50799999999998</v>
      </c>
    </row>
    <row r="16974" spans="1:7" hidden="1" x14ac:dyDescent="0.25">
      <c r="A16974" s="28">
        <v>44896</v>
      </c>
      <c r="B16974" s="27" t="s">
        <v>34</v>
      </c>
      <c r="C16974" s="27" t="s">
        <v>50</v>
      </c>
      <c r="D16974" s="27" t="s">
        <v>6</v>
      </c>
      <c r="E16974" s="27" t="s">
        <v>39</v>
      </c>
      <c r="F16974" s="29"/>
      <c r="G16974" s="30">
        <v>273.50799999999998</v>
      </c>
    </row>
    <row r="16975" spans="1:7" hidden="1" x14ac:dyDescent="0.25">
      <c r="A16975" s="28">
        <v>44896</v>
      </c>
      <c r="B16975" s="27" t="s">
        <v>34</v>
      </c>
      <c r="C16975" s="27" t="s">
        <v>50</v>
      </c>
      <c r="D16975" s="27" t="s">
        <v>6</v>
      </c>
      <c r="E16975" s="27" t="s">
        <v>64</v>
      </c>
      <c r="F16975" s="29"/>
      <c r="G16975" s="30">
        <v>273.50799999999998</v>
      </c>
    </row>
    <row r="16976" spans="1:7" hidden="1" x14ac:dyDescent="0.25">
      <c r="A16976" s="28">
        <v>44896</v>
      </c>
      <c r="B16976" s="27" t="s">
        <v>34</v>
      </c>
      <c r="C16976" s="27" t="s">
        <v>50</v>
      </c>
      <c r="D16976" s="27" t="s">
        <v>6</v>
      </c>
      <c r="E16976" s="27" t="s">
        <v>21</v>
      </c>
      <c r="F16976" s="29"/>
      <c r="G16976" s="30">
        <v>273.50799999999998</v>
      </c>
    </row>
    <row r="16977" spans="1:7" hidden="1" x14ac:dyDescent="0.25">
      <c r="A16977" s="28">
        <v>44896</v>
      </c>
      <c r="B16977" s="27" t="s">
        <v>34</v>
      </c>
      <c r="C16977" s="27" t="s">
        <v>50</v>
      </c>
      <c r="D16977" s="27" t="s">
        <v>6</v>
      </c>
      <c r="E16977" s="27" t="s">
        <v>41</v>
      </c>
      <c r="F16977" s="29"/>
      <c r="G16977" s="30">
        <v>273.50799999999998</v>
      </c>
    </row>
    <row r="16978" spans="1:7" hidden="1" x14ac:dyDescent="0.25">
      <c r="A16978" s="28">
        <v>44896</v>
      </c>
      <c r="B16978" s="27" t="s">
        <v>34</v>
      </c>
      <c r="C16978" s="27" t="s">
        <v>50</v>
      </c>
      <c r="D16978" s="27" t="s">
        <v>6</v>
      </c>
      <c r="E16978" s="27" t="s">
        <v>10</v>
      </c>
      <c r="F16978" s="29"/>
      <c r="G16978" s="30">
        <v>273.50799999999998</v>
      </c>
    </row>
    <row r="16979" spans="1:7" hidden="1" x14ac:dyDescent="0.25">
      <c r="A16979" s="28">
        <v>44896</v>
      </c>
      <c r="B16979" s="27" t="s">
        <v>34</v>
      </c>
      <c r="C16979" s="27" t="s">
        <v>50</v>
      </c>
      <c r="D16979" s="27" t="s">
        <v>6</v>
      </c>
      <c r="E16979" s="27" t="s">
        <v>11</v>
      </c>
      <c r="F16979" s="29"/>
      <c r="G16979" s="30">
        <v>273.50799999999998</v>
      </c>
    </row>
    <row r="16980" spans="1:7" hidden="1" x14ac:dyDescent="0.25">
      <c r="A16980" s="28">
        <v>44896</v>
      </c>
      <c r="B16980" s="27" t="s">
        <v>34</v>
      </c>
      <c r="C16980" s="27" t="s">
        <v>50</v>
      </c>
      <c r="D16980" s="27" t="s">
        <v>6</v>
      </c>
      <c r="E16980" s="27" t="s">
        <v>12</v>
      </c>
      <c r="F16980" s="29"/>
      <c r="G16980" s="30">
        <v>273.50799999999998</v>
      </c>
    </row>
    <row r="16981" spans="1:7" hidden="1" x14ac:dyDescent="0.25">
      <c r="A16981" s="28">
        <v>44896</v>
      </c>
      <c r="B16981" s="27" t="s">
        <v>34</v>
      </c>
      <c r="C16981" s="27" t="s">
        <v>50</v>
      </c>
      <c r="D16981" s="27" t="s">
        <v>6</v>
      </c>
      <c r="E16981" s="27" t="s">
        <v>13</v>
      </c>
      <c r="F16981" s="29"/>
      <c r="G16981" s="30">
        <v>273.50799999999998</v>
      </c>
    </row>
    <row r="16982" spans="1:7" hidden="1" x14ac:dyDescent="0.25">
      <c r="A16982" s="28">
        <v>44896</v>
      </c>
      <c r="B16982" s="27" t="s">
        <v>34</v>
      </c>
      <c r="C16982" s="27" t="s">
        <v>50</v>
      </c>
      <c r="D16982" s="27" t="s">
        <v>6</v>
      </c>
      <c r="E16982" s="27" t="s">
        <v>14</v>
      </c>
      <c r="F16982" s="29"/>
      <c r="G16982" s="30">
        <v>273.50799999999998</v>
      </c>
    </row>
    <row r="16983" spans="1:7" hidden="1" x14ac:dyDescent="0.25">
      <c r="A16983" s="28">
        <v>44896</v>
      </c>
      <c r="B16983" s="27" t="s">
        <v>34</v>
      </c>
      <c r="C16983" s="27" t="s">
        <v>50</v>
      </c>
      <c r="D16983" s="27" t="s">
        <v>6</v>
      </c>
      <c r="E16983" s="27" t="s">
        <v>15</v>
      </c>
      <c r="F16983" s="29"/>
      <c r="G16983" s="30">
        <v>273.50799999999998</v>
      </c>
    </row>
    <row r="16984" spans="1:7" hidden="1" x14ac:dyDescent="0.25">
      <c r="A16984" s="28">
        <v>44896</v>
      </c>
      <c r="B16984" s="27" t="s">
        <v>34</v>
      </c>
      <c r="C16984" s="27" t="s">
        <v>50</v>
      </c>
      <c r="D16984" s="27" t="s">
        <v>6</v>
      </c>
      <c r="E16984" s="27" t="s">
        <v>16</v>
      </c>
      <c r="F16984" s="29"/>
      <c r="G16984" s="30">
        <v>273.50799999999998</v>
      </c>
    </row>
    <row r="16985" spans="1:7" hidden="1" x14ac:dyDescent="0.25">
      <c r="A16985" s="28">
        <v>44896</v>
      </c>
      <c r="B16985" s="27" t="s">
        <v>34</v>
      </c>
      <c r="C16985" s="27" t="s">
        <v>50</v>
      </c>
      <c r="D16985" s="27" t="s">
        <v>6</v>
      </c>
      <c r="E16985" s="27" t="s">
        <v>17</v>
      </c>
      <c r="F16985" s="29"/>
      <c r="G16985" s="30">
        <v>273.50799999999998</v>
      </c>
    </row>
    <row r="16986" spans="1:7" hidden="1" x14ac:dyDescent="0.25">
      <c r="A16986" s="28">
        <v>44896</v>
      </c>
      <c r="B16986" s="27" t="s">
        <v>34</v>
      </c>
      <c r="C16986" s="27" t="s">
        <v>50</v>
      </c>
      <c r="D16986" s="27" t="s">
        <v>6</v>
      </c>
      <c r="E16986" s="27" t="s">
        <v>18</v>
      </c>
      <c r="F16986" s="29"/>
      <c r="G16986" s="30">
        <v>273.50799999999998</v>
      </c>
    </row>
    <row r="16987" spans="1:7" hidden="1" x14ac:dyDescent="0.25">
      <c r="A16987" s="28">
        <v>44896</v>
      </c>
      <c r="B16987" s="27" t="s">
        <v>34</v>
      </c>
      <c r="C16987" s="27" t="s">
        <v>50</v>
      </c>
      <c r="D16987" s="27" t="s">
        <v>6</v>
      </c>
      <c r="E16987" s="27" t="s">
        <v>19</v>
      </c>
      <c r="F16987" s="29"/>
      <c r="G16987" s="30">
        <v>273.50799999999998</v>
      </c>
    </row>
    <row r="16988" spans="1:7" hidden="1" x14ac:dyDescent="0.25">
      <c r="A16988" s="28">
        <v>44896</v>
      </c>
      <c r="B16988" s="27" t="s">
        <v>34</v>
      </c>
      <c r="C16988" s="27" t="s">
        <v>50</v>
      </c>
      <c r="D16988" s="27" t="s">
        <v>6</v>
      </c>
      <c r="E16988" s="27" t="s">
        <v>20</v>
      </c>
      <c r="F16988" s="29"/>
      <c r="G16988" s="30">
        <v>273.50799999999998</v>
      </c>
    </row>
    <row r="16989" spans="1:7" hidden="1" x14ac:dyDescent="0.25">
      <c r="A16989" s="28">
        <v>44896</v>
      </c>
      <c r="B16989" s="27" t="s">
        <v>34</v>
      </c>
      <c r="C16989" s="27" t="s">
        <v>50</v>
      </c>
      <c r="D16989" s="27" t="s">
        <v>6</v>
      </c>
      <c r="E16989" s="27" t="s">
        <v>38</v>
      </c>
      <c r="F16989" s="29"/>
      <c r="G16989" s="30">
        <v>273.50799999999998</v>
      </c>
    </row>
    <row r="16990" spans="1:7" hidden="1" x14ac:dyDescent="0.25">
      <c r="A16990" s="28">
        <v>44896</v>
      </c>
      <c r="B16990" s="27" t="s">
        <v>34</v>
      </c>
      <c r="C16990" s="27" t="s">
        <v>50</v>
      </c>
      <c r="D16990" s="27" t="s">
        <v>6</v>
      </c>
      <c r="E16990" s="27" t="s">
        <v>23</v>
      </c>
      <c r="F16990" s="29"/>
      <c r="G16990" s="30">
        <v>273.50799999999998</v>
      </c>
    </row>
    <row r="16991" spans="1:7" hidden="1" x14ac:dyDescent="0.25">
      <c r="A16991" s="28">
        <v>44896</v>
      </c>
      <c r="B16991" s="27" t="s">
        <v>34</v>
      </c>
      <c r="C16991" s="27" t="s">
        <v>50</v>
      </c>
      <c r="D16991" s="27" t="s">
        <v>6</v>
      </c>
      <c r="E16991" s="27" t="s">
        <v>40</v>
      </c>
      <c r="F16991" s="29"/>
      <c r="G16991" s="30">
        <v>273.50799999999998</v>
      </c>
    </row>
    <row r="16992" spans="1:7" hidden="1" x14ac:dyDescent="0.25">
      <c r="A16992" s="28">
        <v>44896</v>
      </c>
      <c r="B16992" s="27" t="s">
        <v>34</v>
      </c>
      <c r="C16992" s="27" t="s">
        <v>50</v>
      </c>
      <c r="D16992" s="27" t="s">
        <v>6</v>
      </c>
      <c r="E16992" s="27" t="s">
        <v>42</v>
      </c>
      <c r="F16992" s="29"/>
      <c r="G16992" s="30">
        <v>273.50799999999998</v>
      </c>
    </row>
    <row r="16993" spans="1:7" hidden="1" x14ac:dyDescent="0.25">
      <c r="A16993" s="28">
        <v>44896</v>
      </c>
      <c r="B16993" s="27" t="s">
        <v>34</v>
      </c>
      <c r="C16993" s="27" t="s">
        <v>50</v>
      </c>
      <c r="D16993" s="27" t="s">
        <v>6</v>
      </c>
      <c r="E16993" s="27" t="s">
        <v>43</v>
      </c>
      <c r="F16993" s="29"/>
      <c r="G16993" s="30">
        <v>273.50799999999998</v>
      </c>
    </row>
    <row r="16994" spans="1:7" hidden="1" x14ac:dyDescent="0.25">
      <c r="A16994" s="28">
        <v>44896</v>
      </c>
      <c r="B16994" s="27" t="s">
        <v>34</v>
      </c>
      <c r="C16994" s="27" t="s">
        <v>50</v>
      </c>
      <c r="D16994" s="27" t="s">
        <v>6</v>
      </c>
      <c r="E16994" s="27" t="s">
        <v>72</v>
      </c>
      <c r="F16994" s="29"/>
      <c r="G16994" s="30">
        <v>273.50799999999998</v>
      </c>
    </row>
    <row r="16995" spans="1:7" hidden="1" x14ac:dyDescent="0.25">
      <c r="A16995" s="28">
        <v>44896</v>
      </c>
      <c r="B16995" s="27" t="s">
        <v>34</v>
      </c>
      <c r="C16995" s="27" t="s">
        <v>50</v>
      </c>
      <c r="D16995" s="27" t="s">
        <v>6</v>
      </c>
      <c r="E16995" s="27" t="s">
        <v>206</v>
      </c>
      <c r="F16995" s="29"/>
      <c r="G16995" s="30">
        <v>273.50799999999998</v>
      </c>
    </row>
    <row r="16996" spans="1:7" hidden="1" x14ac:dyDescent="0.25">
      <c r="A16996" s="28">
        <v>44927</v>
      </c>
      <c r="B16996" s="27" t="s">
        <v>33</v>
      </c>
      <c r="C16996" s="27" t="s">
        <v>50</v>
      </c>
      <c r="D16996" s="27" t="s">
        <v>7</v>
      </c>
      <c r="E16996" s="27" t="s">
        <v>8</v>
      </c>
      <c r="F16996" s="29"/>
      <c r="G16996" s="30">
        <f t="shared" ref="G16996:G17027" si="295">89759.16/32</f>
        <v>2804.9737500000001</v>
      </c>
    </row>
    <row r="16997" spans="1:7" hidden="1" x14ac:dyDescent="0.25">
      <c r="A16997" s="28">
        <v>44927</v>
      </c>
      <c r="B16997" s="27" t="s">
        <v>33</v>
      </c>
      <c r="C16997" s="27" t="s">
        <v>50</v>
      </c>
      <c r="D16997" s="27" t="s">
        <v>7</v>
      </c>
      <c r="E16997" s="27" t="s">
        <v>9</v>
      </c>
      <c r="F16997" s="29"/>
      <c r="G16997" s="30">
        <f t="shared" si="295"/>
        <v>2804.9737500000001</v>
      </c>
    </row>
    <row r="16998" spans="1:7" hidden="1" x14ac:dyDescent="0.25">
      <c r="A16998" s="28">
        <v>44927</v>
      </c>
      <c r="B16998" s="27" t="s">
        <v>33</v>
      </c>
      <c r="C16998" s="27" t="s">
        <v>50</v>
      </c>
      <c r="D16998" s="27" t="s">
        <v>7</v>
      </c>
      <c r="E16998" s="27" t="s">
        <v>21</v>
      </c>
      <c r="F16998" s="29"/>
      <c r="G16998" s="30">
        <f t="shared" si="295"/>
        <v>2804.9737500000001</v>
      </c>
    </row>
    <row r="16999" spans="1:7" hidden="1" x14ac:dyDescent="0.25">
      <c r="A16999" s="28">
        <v>44927</v>
      </c>
      <c r="B16999" s="27" t="s">
        <v>33</v>
      </c>
      <c r="C16999" s="27" t="s">
        <v>50</v>
      </c>
      <c r="D16999" s="27" t="s">
        <v>7</v>
      </c>
      <c r="E16999" s="27" t="s">
        <v>10</v>
      </c>
      <c r="F16999" s="29"/>
      <c r="G16999" s="30">
        <f t="shared" si="295"/>
        <v>2804.9737500000001</v>
      </c>
    </row>
    <row r="17000" spans="1:7" hidden="1" x14ac:dyDescent="0.25">
      <c r="A17000" s="28">
        <v>44927</v>
      </c>
      <c r="B17000" s="27" t="s">
        <v>33</v>
      </c>
      <c r="C17000" s="27" t="s">
        <v>50</v>
      </c>
      <c r="D17000" s="27" t="s">
        <v>7</v>
      </c>
      <c r="E17000" s="27" t="s">
        <v>11</v>
      </c>
      <c r="F17000" s="29"/>
      <c r="G17000" s="30">
        <f t="shared" si="295"/>
        <v>2804.9737500000001</v>
      </c>
    </row>
    <row r="17001" spans="1:7" hidden="1" x14ac:dyDescent="0.25">
      <c r="A17001" s="28">
        <v>44927</v>
      </c>
      <c r="B17001" s="27" t="s">
        <v>33</v>
      </c>
      <c r="C17001" s="27" t="s">
        <v>50</v>
      </c>
      <c r="D17001" s="27" t="s">
        <v>7</v>
      </c>
      <c r="E17001" s="27" t="s">
        <v>12</v>
      </c>
      <c r="F17001" s="29"/>
      <c r="G17001" s="30">
        <f t="shared" si="295"/>
        <v>2804.9737500000001</v>
      </c>
    </row>
    <row r="17002" spans="1:7" hidden="1" x14ac:dyDescent="0.25">
      <c r="A17002" s="28">
        <v>44927</v>
      </c>
      <c r="B17002" s="27" t="s">
        <v>33</v>
      </c>
      <c r="C17002" s="27" t="s">
        <v>50</v>
      </c>
      <c r="D17002" s="27" t="s">
        <v>7</v>
      </c>
      <c r="E17002" s="27" t="s">
        <v>13</v>
      </c>
      <c r="F17002" s="29"/>
      <c r="G17002" s="30">
        <f t="shared" si="295"/>
        <v>2804.9737500000001</v>
      </c>
    </row>
    <row r="17003" spans="1:7" hidden="1" x14ac:dyDescent="0.25">
      <c r="A17003" s="28">
        <v>44927</v>
      </c>
      <c r="B17003" s="27" t="s">
        <v>33</v>
      </c>
      <c r="C17003" s="27" t="s">
        <v>50</v>
      </c>
      <c r="D17003" s="27" t="s">
        <v>7</v>
      </c>
      <c r="E17003" s="27" t="s">
        <v>14</v>
      </c>
      <c r="F17003" s="29"/>
      <c r="G17003" s="30">
        <f t="shared" si="295"/>
        <v>2804.9737500000001</v>
      </c>
    </row>
    <row r="17004" spans="1:7" hidden="1" x14ac:dyDescent="0.25">
      <c r="A17004" s="28">
        <v>44927</v>
      </c>
      <c r="B17004" s="27" t="s">
        <v>33</v>
      </c>
      <c r="C17004" s="27" t="s">
        <v>50</v>
      </c>
      <c r="D17004" s="27" t="s">
        <v>7</v>
      </c>
      <c r="E17004" s="27" t="s">
        <v>15</v>
      </c>
      <c r="F17004" s="29"/>
      <c r="G17004" s="30">
        <f t="shared" si="295"/>
        <v>2804.9737500000001</v>
      </c>
    </row>
    <row r="17005" spans="1:7" hidden="1" x14ac:dyDescent="0.25">
      <c r="A17005" s="28">
        <v>44927</v>
      </c>
      <c r="B17005" s="27" t="s">
        <v>33</v>
      </c>
      <c r="C17005" s="27" t="s">
        <v>50</v>
      </c>
      <c r="D17005" s="27" t="s">
        <v>7</v>
      </c>
      <c r="E17005" s="27" t="s">
        <v>16</v>
      </c>
      <c r="F17005" s="29"/>
      <c r="G17005" s="30">
        <f t="shared" si="295"/>
        <v>2804.9737500000001</v>
      </c>
    </row>
    <row r="17006" spans="1:7" hidden="1" x14ac:dyDescent="0.25">
      <c r="A17006" s="28">
        <v>44927</v>
      </c>
      <c r="B17006" s="27" t="s">
        <v>33</v>
      </c>
      <c r="C17006" s="27" t="s">
        <v>50</v>
      </c>
      <c r="D17006" s="27" t="s">
        <v>7</v>
      </c>
      <c r="E17006" s="27" t="s">
        <v>17</v>
      </c>
      <c r="F17006" s="29"/>
      <c r="G17006" s="30">
        <f t="shared" si="295"/>
        <v>2804.9737500000001</v>
      </c>
    </row>
    <row r="17007" spans="1:7" hidden="1" x14ac:dyDescent="0.25">
      <c r="A17007" s="28">
        <v>44927</v>
      </c>
      <c r="B17007" s="27" t="s">
        <v>33</v>
      </c>
      <c r="C17007" s="27" t="s">
        <v>50</v>
      </c>
      <c r="D17007" s="27" t="s">
        <v>7</v>
      </c>
      <c r="E17007" s="27" t="s">
        <v>18</v>
      </c>
      <c r="F17007" s="29"/>
      <c r="G17007" s="30">
        <f t="shared" si="295"/>
        <v>2804.9737500000001</v>
      </c>
    </row>
    <row r="17008" spans="1:7" hidden="1" x14ac:dyDescent="0.25">
      <c r="A17008" s="28">
        <v>44927</v>
      </c>
      <c r="B17008" s="27" t="s">
        <v>33</v>
      </c>
      <c r="C17008" s="27" t="s">
        <v>50</v>
      </c>
      <c r="D17008" s="27" t="s">
        <v>7</v>
      </c>
      <c r="E17008" s="27" t="s">
        <v>19</v>
      </c>
      <c r="F17008" s="29"/>
      <c r="G17008" s="30">
        <f t="shared" si="295"/>
        <v>2804.9737500000001</v>
      </c>
    </row>
    <row r="17009" spans="1:7" hidden="1" x14ac:dyDescent="0.25">
      <c r="A17009" s="28">
        <v>44927</v>
      </c>
      <c r="B17009" s="27" t="s">
        <v>33</v>
      </c>
      <c r="C17009" s="27" t="s">
        <v>50</v>
      </c>
      <c r="D17009" s="27" t="s">
        <v>7</v>
      </c>
      <c r="E17009" s="27" t="s">
        <v>20</v>
      </c>
      <c r="F17009" s="29"/>
      <c r="G17009" s="30">
        <f t="shared" si="295"/>
        <v>2804.9737500000001</v>
      </c>
    </row>
    <row r="17010" spans="1:7" hidden="1" x14ac:dyDescent="0.25">
      <c r="A17010" s="28">
        <v>44927</v>
      </c>
      <c r="B17010" s="27" t="s">
        <v>33</v>
      </c>
      <c r="C17010" s="27" t="s">
        <v>50</v>
      </c>
      <c r="D17010" s="27" t="s">
        <v>7</v>
      </c>
      <c r="E17010" s="27" t="s">
        <v>38</v>
      </c>
      <c r="F17010" s="29"/>
      <c r="G17010" s="30">
        <f t="shared" si="295"/>
        <v>2804.9737500000001</v>
      </c>
    </row>
    <row r="17011" spans="1:7" hidden="1" x14ac:dyDescent="0.25">
      <c r="A17011" s="28">
        <v>44927</v>
      </c>
      <c r="B17011" s="27" t="s">
        <v>33</v>
      </c>
      <c r="C17011" s="27" t="s">
        <v>50</v>
      </c>
      <c r="D17011" s="27" t="s">
        <v>7</v>
      </c>
      <c r="E17011" s="27" t="s">
        <v>23</v>
      </c>
      <c r="F17011" s="29"/>
      <c r="G17011" s="30">
        <f t="shared" si="295"/>
        <v>2804.9737500000001</v>
      </c>
    </row>
    <row r="17012" spans="1:7" hidden="1" x14ac:dyDescent="0.25">
      <c r="A17012" s="28">
        <v>44927</v>
      </c>
      <c r="B17012" s="27" t="s">
        <v>33</v>
      </c>
      <c r="C17012" s="27" t="s">
        <v>50</v>
      </c>
      <c r="D17012" s="27" t="s">
        <v>7</v>
      </c>
      <c r="E17012" s="27" t="s">
        <v>22</v>
      </c>
      <c r="F17012" s="29"/>
      <c r="G17012" s="30">
        <f t="shared" si="295"/>
        <v>2804.9737500000001</v>
      </c>
    </row>
    <row r="17013" spans="1:7" hidden="1" x14ac:dyDescent="0.25">
      <c r="A17013" s="28">
        <v>44927</v>
      </c>
      <c r="B17013" s="27" t="s">
        <v>33</v>
      </c>
      <c r="C17013" s="27" t="s">
        <v>50</v>
      </c>
      <c r="D17013" s="27" t="s">
        <v>7</v>
      </c>
      <c r="E17013" s="27" t="s">
        <v>39</v>
      </c>
      <c r="F17013" s="29"/>
      <c r="G17013" s="30">
        <f t="shared" si="295"/>
        <v>2804.9737500000001</v>
      </c>
    </row>
    <row r="17014" spans="1:7" hidden="1" x14ac:dyDescent="0.25">
      <c r="A17014" s="28">
        <v>44927</v>
      </c>
      <c r="B17014" s="27" t="s">
        <v>33</v>
      </c>
      <c r="C17014" s="27" t="s">
        <v>50</v>
      </c>
      <c r="D17014" s="27" t="s">
        <v>7</v>
      </c>
      <c r="E17014" s="27" t="s">
        <v>41</v>
      </c>
      <c r="F17014" s="29"/>
      <c r="G17014" s="30">
        <f t="shared" si="295"/>
        <v>2804.9737500000001</v>
      </c>
    </row>
    <row r="17015" spans="1:7" hidden="1" x14ac:dyDescent="0.25">
      <c r="A17015" s="28">
        <v>44927</v>
      </c>
      <c r="B17015" s="27" t="s">
        <v>33</v>
      </c>
      <c r="C17015" s="27" t="s">
        <v>50</v>
      </c>
      <c r="D17015" s="27" t="s">
        <v>7</v>
      </c>
      <c r="E17015" s="27" t="s">
        <v>40</v>
      </c>
      <c r="F17015" s="29"/>
      <c r="G17015" s="30">
        <f t="shared" si="295"/>
        <v>2804.9737500000001</v>
      </c>
    </row>
    <row r="17016" spans="1:7" hidden="1" x14ac:dyDescent="0.25">
      <c r="A17016" s="28">
        <v>44927</v>
      </c>
      <c r="B17016" s="27" t="s">
        <v>33</v>
      </c>
      <c r="C17016" s="27" t="s">
        <v>50</v>
      </c>
      <c r="D17016" s="27" t="s">
        <v>7</v>
      </c>
      <c r="E17016" s="27" t="s">
        <v>64</v>
      </c>
      <c r="F17016" s="29"/>
      <c r="G17016" s="30">
        <f t="shared" si="295"/>
        <v>2804.9737500000001</v>
      </c>
    </row>
    <row r="17017" spans="1:7" hidden="1" x14ac:dyDescent="0.25">
      <c r="A17017" s="28">
        <v>44927</v>
      </c>
      <c r="B17017" s="27" t="s">
        <v>33</v>
      </c>
      <c r="C17017" s="27" t="s">
        <v>50</v>
      </c>
      <c r="D17017" s="27" t="s">
        <v>7</v>
      </c>
      <c r="E17017" s="27" t="s">
        <v>42</v>
      </c>
      <c r="F17017" s="29"/>
      <c r="G17017" s="30">
        <f t="shared" si="295"/>
        <v>2804.9737500000001</v>
      </c>
    </row>
    <row r="17018" spans="1:7" hidden="1" x14ac:dyDescent="0.25">
      <c r="A17018" s="28">
        <v>44927</v>
      </c>
      <c r="B17018" s="27" t="s">
        <v>33</v>
      </c>
      <c r="C17018" s="27" t="s">
        <v>50</v>
      </c>
      <c r="D17018" s="27" t="s">
        <v>7</v>
      </c>
      <c r="E17018" s="27" t="s">
        <v>72</v>
      </c>
      <c r="F17018" s="29"/>
      <c r="G17018" s="30">
        <f t="shared" si="295"/>
        <v>2804.9737500000001</v>
      </c>
    </row>
    <row r="17019" spans="1:7" hidden="1" x14ac:dyDescent="0.25">
      <c r="A17019" s="28">
        <v>44927</v>
      </c>
      <c r="B17019" s="27" t="s">
        <v>33</v>
      </c>
      <c r="C17019" s="27" t="s">
        <v>50</v>
      </c>
      <c r="D17019" s="27" t="s">
        <v>7</v>
      </c>
      <c r="E17019" s="27" t="s">
        <v>43</v>
      </c>
      <c r="F17019" s="29"/>
      <c r="G17019" s="30">
        <f t="shared" si="295"/>
        <v>2804.9737500000001</v>
      </c>
    </row>
    <row r="17020" spans="1:7" hidden="1" x14ac:dyDescent="0.25">
      <c r="A17020" s="28">
        <v>44927</v>
      </c>
      <c r="B17020" s="27" t="s">
        <v>33</v>
      </c>
      <c r="C17020" s="27" t="s">
        <v>50</v>
      </c>
      <c r="D17020" s="27" t="s">
        <v>7</v>
      </c>
      <c r="E17020" s="27" t="s">
        <v>206</v>
      </c>
      <c r="F17020" s="29"/>
      <c r="G17020" s="30">
        <f t="shared" si="295"/>
        <v>2804.9737500000001</v>
      </c>
    </row>
    <row r="17021" spans="1:7" hidden="1" x14ac:dyDescent="0.25">
      <c r="A17021" s="28">
        <v>44927</v>
      </c>
      <c r="B17021" s="27" t="s">
        <v>33</v>
      </c>
      <c r="C17021" s="27" t="s">
        <v>50</v>
      </c>
      <c r="D17021" s="27" t="s">
        <v>7</v>
      </c>
      <c r="E17021" s="27" t="s">
        <v>68</v>
      </c>
      <c r="F17021" s="29"/>
      <c r="G17021" s="30">
        <f t="shared" si="295"/>
        <v>2804.9737500000001</v>
      </c>
    </row>
    <row r="17022" spans="1:7" hidden="1" x14ac:dyDescent="0.25">
      <c r="A17022" s="28">
        <v>44927</v>
      </c>
      <c r="B17022" s="27" t="s">
        <v>33</v>
      </c>
      <c r="C17022" s="27" t="s">
        <v>50</v>
      </c>
      <c r="D17022" s="27" t="s">
        <v>7</v>
      </c>
      <c r="E17022" s="27" t="s">
        <v>74</v>
      </c>
      <c r="F17022" s="29"/>
      <c r="G17022" s="30">
        <f t="shared" si="295"/>
        <v>2804.9737500000001</v>
      </c>
    </row>
    <row r="17023" spans="1:7" hidden="1" x14ac:dyDescent="0.25">
      <c r="A17023" s="28">
        <v>44927</v>
      </c>
      <c r="B17023" s="27" t="s">
        <v>33</v>
      </c>
      <c r="C17023" s="27" t="s">
        <v>50</v>
      </c>
      <c r="D17023" s="27" t="s">
        <v>7</v>
      </c>
      <c r="E17023" s="27" t="s">
        <v>67</v>
      </c>
      <c r="F17023" s="29"/>
      <c r="G17023" s="30">
        <f t="shared" si="295"/>
        <v>2804.9737500000001</v>
      </c>
    </row>
    <row r="17024" spans="1:7" hidden="1" x14ac:dyDescent="0.25">
      <c r="A17024" s="28">
        <v>44927</v>
      </c>
      <c r="B17024" s="27" t="s">
        <v>33</v>
      </c>
      <c r="C17024" s="27" t="s">
        <v>50</v>
      </c>
      <c r="D17024" s="27" t="s">
        <v>7</v>
      </c>
      <c r="E17024" s="27" t="s">
        <v>71</v>
      </c>
      <c r="F17024" s="29"/>
      <c r="G17024" s="30">
        <f t="shared" si="295"/>
        <v>2804.9737500000001</v>
      </c>
    </row>
    <row r="17025" spans="1:7" hidden="1" x14ac:dyDescent="0.25">
      <c r="A17025" s="28">
        <v>44927</v>
      </c>
      <c r="B17025" s="27" t="s">
        <v>33</v>
      </c>
      <c r="C17025" s="27" t="s">
        <v>50</v>
      </c>
      <c r="D17025" s="27" t="s">
        <v>7</v>
      </c>
      <c r="E17025" s="27" t="s">
        <v>73</v>
      </c>
      <c r="F17025" s="29"/>
      <c r="G17025" s="30">
        <f t="shared" si="295"/>
        <v>2804.9737500000001</v>
      </c>
    </row>
    <row r="17026" spans="1:7" hidden="1" x14ac:dyDescent="0.25">
      <c r="A17026" s="28">
        <v>44927</v>
      </c>
      <c r="B17026" s="27" t="s">
        <v>33</v>
      </c>
      <c r="C17026" s="27" t="s">
        <v>50</v>
      </c>
      <c r="D17026" s="27" t="s">
        <v>7</v>
      </c>
      <c r="E17026" s="27" t="s">
        <v>70</v>
      </c>
      <c r="F17026" s="29"/>
      <c r="G17026" s="30">
        <f t="shared" si="295"/>
        <v>2804.9737500000001</v>
      </c>
    </row>
    <row r="17027" spans="1:7" hidden="1" x14ac:dyDescent="0.25">
      <c r="A17027" s="28">
        <v>44927</v>
      </c>
      <c r="B17027" s="27" t="s">
        <v>33</v>
      </c>
      <c r="C17027" s="27" t="s">
        <v>50</v>
      </c>
      <c r="D17027" s="27" t="s">
        <v>7</v>
      </c>
      <c r="E17027" s="27" t="s">
        <v>203</v>
      </c>
      <c r="F17027" s="29"/>
      <c r="G17027" s="30">
        <f t="shared" si="295"/>
        <v>2804.9737500000001</v>
      </c>
    </row>
    <row r="17028" spans="1:7" hidden="1" x14ac:dyDescent="0.25">
      <c r="A17028" s="28">
        <v>44927</v>
      </c>
      <c r="B17028" s="27" t="s">
        <v>4</v>
      </c>
      <c r="C17028" s="27" t="s">
        <v>50</v>
      </c>
      <c r="D17028" s="27" t="s">
        <v>7</v>
      </c>
      <c r="E17028" s="27" t="s">
        <v>40</v>
      </c>
      <c r="F17028" s="29"/>
      <c r="G17028" s="30">
        <f>1684.57869+1032.995</f>
        <v>2717.5736900000002</v>
      </c>
    </row>
    <row r="17029" spans="1:7" hidden="1" x14ac:dyDescent="0.25">
      <c r="A17029" s="28">
        <v>44927</v>
      </c>
      <c r="B17029" s="27" t="s">
        <v>4</v>
      </c>
      <c r="C17029" s="27" t="s">
        <v>50</v>
      </c>
      <c r="D17029" s="27" t="s">
        <v>7</v>
      </c>
      <c r="E17029" s="27" t="s">
        <v>68</v>
      </c>
      <c r="F17029" s="29"/>
      <c r="G17029" s="30">
        <f>12189.85385+1032.995</f>
        <v>13222.848849999998</v>
      </c>
    </row>
    <row r="17030" spans="1:7" hidden="1" x14ac:dyDescent="0.25">
      <c r="A17030" s="28">
        <v>44927</v>
      </c>
      <c r="B17030" s="27" t="s">
        <v>4</v>
      </c>
      <c r="C17030" s="27" t="s">
        <v>50</v>
      </c>
      <c r="D17030" s="27" t="s">
        <v>7</v>
      </c>
      <c r="E17030" s="27" t="s">
        <v>43</v>
      </c>
      <c r="F17030" s="29"/>
      <c r="G17030" s="30">
        <f>2288.34985+1032.995</f>
        <v>3321.34485</v>
      </c>
    </row>
    <row r="17031" spans="1:7" hidden="1" x14ac:dyDescent="0.25">
      <c r="A17031" s="28">
        <v>44927</v>
      </c>
      <c r="B17031" s="27" t="s">
        <v>4</v>
      </c>
      <c r="C17031" s="27" t="s">
        <v>50</v>
      </c>
      <c r="D17031" s="27" t="s">
        <v>7</v>
      </c>
      <c r="E17031" s="27" t="s">
        <v>8</v>
      </c>
      <c r="F17031" s="29"/>
      <c r="G17031" s="30">
        <f>4042.75709+1032.995</f>
        <v>5075.75209</v>
      </c>
    </row>
    <row r="17032" spans="1:7" hidden="1" x14ac:dyDescent="0.25">
      <c r="A17032" s="28">
        <v>44927</v>
      </c>
      <c r="B17032" s="27" t="s">
        <v>4</v>
      </c>
      <c r="C17032" s="27" t="s">
        <v>50</v>
      </c>
      <c r="D17032" s="27" t="s">
        <v>7</v>
      </c>
      <c r="E17032" s="27" t="s">
        <v>9</v>
      </c>
      <c r="F17032" s="29"/>
      <c r="G17032" s="30">
        <f>8001.23134+1032.995</f>
        <v>9034.2263400000011</v>
      </c>
    </row>
    <row r="17033" spans="1:7" hidden="1" x14ac:dyDescent="0.25">
      <c r="A17033" s="28">
        <v>44927</v>
      </c>
      <c r="B17033" s="27" t="s">
        <v>4</v>
      </c>
      <c r="C17033" s="27" t="s">
        <v>50</v>
      </c>
      <c r="D17033" s="27" t="s">
        <v>7</v>
      </c>
      <c r="E17033" s="27" t="s">
        <v>67</v>
      </c>
      <c r="F17033" s="29"/>
      <c r="G17033" s="30">
        <f>3819.6765+1032.995</f>
        <v>4852.6715000000004</v>
      </c>
    </row>
    <row r="17034" spans="1:7" hidden="1" x14ac:dyDescent="0.25">
      <c r="A17034" s="28">
        <v>44927</v>
      </c>
      <c r="B17034" s="27" t="s">
        <v>4</v>
      </c>
      <c r="C17034" s="27" t="s">
        <v>50</v>
      </c>
      <c r="D17034" s="27" t="s">
        <v>7</v>
      </c>
      <c r="E17034" s="27" t="s">
        <v>22</v>
      </c>
      <c r="F17034" s="29"/>
      <c r="G17034" s="30">
        <f>1631.4373+1032.995</f>
        <v>2664.4322999999999</v>
      </c>
    </row>
    <row r="17035" spans="1:7" hidden="1" x14ac:dyDescent="0.25">
      <c r="A17035" s="28">
        <v>44927</v>
      </c>
      <c r="B17035" s="27" t="s">
        <v>4</v>
      </c>
      <c r="C17035" s="27" t="s">
        <v>50</v>
      </c>
      <c r="D17035" s="27" t="s">
        <v>7</v>
      </c>
      <c r="E17035" s="27" t="s">
        <v>39</v>
      </c>
      <c r="F17035" s="29"/>
      <c r="G17035" s="30">
        <f>111.29197+1032.995</f>
        <v>1144.2869699999999</v>
      </c>
    </row>
    <row r="17036" spans="1:7" hidden="1" x14ac:dyDescent="0.25">
      <c r="A17036" s="28">
        <v>44927</v>
      </c>
      <c r="B17036" s="27" t="s">
        <v>4</v>
      </c>
      <c r="C17036" s="27" t="s">
        <v>50</v>
      </c>
      <c r="D17036" s="27" t="s">
        <v>7</v>
      </c>
      <c r="E17036" s="27" t="s">
        <v>70</v>
      </c>
      <c r="F17036" s="29"/>
      <c r="G17036" s="30">
        <f>16786.56384+1032.995</f>
        <v>17819.558839999998</v>
      </c>
    </row>
    <row r="17037" spans="1:7" hidden="1" x14ac:dyDescent="0.25">
      <c r="A17037" s="28">
        <v>44927</v>
      </c>
      <c r="B17037" s="27" t="s">
        <v>4</v>
      </c>
      <c r="C17037" s="27" t="s">
        <v>50</v>
      </c>
      <c r="D17037" s="27" t="s">
        <v>7</v>
      </c>
      <c r="E17037" s="27" t="s">
        <v>72</v>
      </c>
      <c r="F17037" s="29"/>
      <c r="G17037" s="30">
        <f>816.8871+1032.995</f>
        <v>1849.8820999999998</v>
      </c>
    </row>
    <row r="17038" spans="1:7" hidden="1" x14ac:dyDescent="0.25">
      <c r="A17038" s="28">
        <v>44927</v>
      </c>
      <c r="B17038" s="27" t="s">
        <v>4</v>
      </c>
      <c r="C17038" s="27" t="s">
        <v>50</v>
      </c>
      <c r="D17038" s="27" t="s">
        <v>7</v>
      </c>
      <c r="E17038" s="27" t="s">
        <v>73</v>
      </c>
      <c r="F17038" s="29"/>
      <c r="G17038" s="30">
        <f>3732.84979+1032.995</f>
        <v>4765.8447900000001</v>
      </c>
    </row>
    <row r="17039" spans="1:7" hidden="1" x14ac:dyDescent="0.25">
      <c r="A17039" s="28">
        <v>44927</v>
      </c>
      <c r="B17039" s="27" t="s">
        <v>4</v>
      </c>
      <c r="C17039" s="27" t="s">
        <v>50</v>
      </c>
      <c r="D17039" s="27" t="s">
        <v>7</v>
      </c>
      <c r="E17039" s="27" t="s">
        <v>71</v>
      </c>
      <c r="F17039" s="29"/>
      <c r="G17039" s="30">
        <f>17477.52802+1032.995</f>
        <v>18510.523020000001</v>
      </c>
    </row>
    <row r="17040" spans="1:7" hidden="1" x14ac:dyDescent="0.25">
      <c r="A17040" s="28">
        <v>44927</v>
      </c>
      <c r="B17040" s="27" t="s">
        <v>4</v>
      </c>
      <c r="C17040" s="27" t="s">
        <v>50</v>
      </c>
      <c r="D17040" s="27" t="s">
        <v>7</v>
      </c>
      <c r="E17040" s="27" t="s">
        <v>21</v>
      </c>
      <c r="F17040" s="29"/>
      <c r="G17040" s="30">
        <f>7873.76592+1032.995</f>
        <v>8906.7609200000006</v>
      </c>
    </row>
    <row r="17041" spans="1:7" hidden="1" x14ac:dyDescent="0.25">
      <c r="A17041" s="28">
        <v>44927</v>
      </c>
      <c r="B17041" s="27" t="s">
        <v>4</v>
      </c>
      <c r="C17041" s="27" t="s">
        <v>50</v>
      </c>
      <c r="D17041" s="27" t="s">
        <v>7</v>
      </c>
      <c r="E17041" s="27" t="s">
        <v>203</v>
      </c>
      <c r="F17041" s="29"/>
      <c r="G17041" s="30">
        <f>1099.18678+1032.995</f>
        <v>2132.1817799999999</v>
      </c>
    </row>
    <row r="17042" spans="1:7" hidden="1" x14ac:dyDescent="0.25">
      <c r="A17042" s="28">
        <v>44927</v>
      </c>
      <c r="B17042" s="27" t="s">
        <v>4</v>
      </c>
      <c r="C17042" s="27" t="s">
        <v>50</v>
      </c>
      <c r="D17042" s="27" t="s">
        <v>7</v>
      </c>
      <c r="E17042" s="27" t="s">
        <v>41</v>
      </c>
      <c r="F17042" s="29"/>
      <c r="G17042" s="30">
        <f>6269.9241+1032.995</f>
        <v>7302.9191000000001</v>
      </c>
    </row>
    <row r="17043" spans="1:7" hidden="1" x14ac:dyDescent="0.25">
      <c r="A17043" s="28">
        <v>44927</v>
      </c>
      <c r="B17043" s="27" t="s">
        <v>4</v>
      </c>
      <c r="C17043" s="27" t="s">
        <v>50</v>
      </c>
      <c r="D17043" s="27" t="s">
        <v>7</v>
      </c>
      <c r="E17043" s="27" t="s">
        <v>10</v>
      </c>
      <c r="F17043" s="29"/>
      <c r="G17043" s="30">
        <f>5054.1848+1032.995</f>
        <v>6087.1797999999999</v>
      </c>
    </row>
    <row r="17044" spans="1:7" hidden="1" x14ac:dyDescent="0.25">
      <c r="A17044" s="28">
        <v>44927</v>
      </c>
      <c r="B17044" s="27" t="s">
        <v>4</v>
      </c>
      <c r="C17044" s="27" t="s">
        <v>50</v>
      </c>
      <c r="D17044" s="27" t="s">
        <v>7</v>
      </c>
      <c r="E17044" s="27" t="s">
        <v>11</v>
      </c>
      <c r="F17044" s="29"/>
      <c r="G17044" s="30">
        <f>238.8925+1032.995</f>
        <v>1271.8874999999998</v>
      </c>
    </row>
    <row r="17045" spans="1:7" hidden="1" x14ac:dyDescent="0.25">
      <c r="A17045" s="28">
        <v>44927</v>
      </c>
      <c r="B17045" s="27" t="s">
        <v>4</v>
      </c>
      <c r="C17045" s="27" t="s">
        <v>50</v>
      </c>
      <c r="D17045" s="27" t="s">
        <v>7</v>
      </c>
      <c r="E17045" s="27" t="s">
        <v>206</v>
      </c>
      <c r="F17045" s="29"/>
      <c r="G17045" s="30">
        <f>17178.32777+1032.995</f>
        <v>18211.322769999999</v>
      </c>
    </row>
    <row r="17046" spans="1:7" hidden="1" x14ac:dyDescent="0.25">
      <c r="A17046" s="28">
        <v>44927</v>
      </c>
      <c r="B17046" s="27" t="s">
        <v>4</v>
      </c>
      <c r="C17046" s="27" t="s">
        <v>50</v>
      </c>
      <c r="D17046" s="27" t="s">
        <v>7</v>
      </c>
      <c r="E17046" s="27" t="s">
        <v>13</v>
      </c>
      <c r="F17046" s="29"/>
      <c r="G17046" s="30">
        <f>3624.17891+1032.995</f>
        <v>4657.1739099999995</v>
      </c>
    </row>
    <row r="17047" spans="1:7" hidden="1" x14ac:dyDescent="0.25">
      <c r="A17047" s="28">
        <v>44927</v>
      </c>
      <c r="B17047" s="27" t="s">
        <v>4</v>
      </c>
      <c r="C17047" s="27" t="s">
        <v>50</v>
      </c>
      <c r="D17047" s="27" t="s">
        <v>7</v>
      </c>
      <c r="E17047" s="27" t="s">
        <v>14</v>
      </c>
      <c r="F17047" s="29"/>
      <c r="G17047" s="30">
        <f>616.47803+1032.995</f>
        <v>1649.4730299999999</v>
      </c>
    </row>
    <row r="17048" spans="1:7" hidden="1" x14ac:dyDescent="0.25">
      <c r="A17048" s="28">
        <v>44927</v>
      </c>
      <c r="B17048" s="27" t="s">
        <v>4</v>
      </c>
      <c r="C17048" s="27" t="s">
        <v>50</v>
      </c>
      <c r="D17048" s="27" t="s">
        <v>7</v>
      </c>
      <c r="E17048" s="27" t="s">
        <v>15</v>
      </c>
      <c r="F17048" s="29"/>
      <c r="G17048" s="30">
        <f>2734.18719+1032.995</f>
        <v>3767.18219</v>
      </c>
    </row>
    <row r="17049" spans="1:7" hidden="1" x14ac:dyDescent="0.25">
      <c r="A17049" s="28">
        <v>44927</v>
      </c>
      <c r="B17049" s="27" t="s">
        <v>4</v>
      </c>
      <c r="C17049" s="27" t="s">
        <v>50</v>
      </c>
      <c r="D17049" s="27" t="s">
        <v>7</v>
      </c>
      <c r="E17049" s="27" t="s">
        <v>16</v>
      </c>
      <c r="F17049" s="29"/>
      <c r="G17049" s="30">
        <f>1678.64858+1032.995</f>
        <v>2711.6435799999999</v>
      </c>
    </row>
    <row r="17050" spans="1:7" hidden="1" x14ac:dyDescent="0.25">
      <c r="A17050" s="28">
        <v>44927</v>
      </c>
      <c r="B17050" s="27" t="s">
        <v>4</v>
      </c>
      <c r="C17050" s="27" t="s">
        <v>50</v>
      </c>
      <c r="D17050" s="27" t="s">
        <v>7</v>
      </c>
      <c r="E17050" s="27" t="s">
        <v>17</v>
      </c>
      <c r="F17050" s="29"/>
      <c r="G17050" s="30">
        <f>4815.1852+1032.995</f>
        <v>5848.1801999999998</v>
      </c>
    </row>
    <row r="17051" spans="1:7" hidden="1" x14ac:dyDescent="0.25">
      <c r="A17051" s="28">
        <v>44927</v>
      </c>
      <c r="B17051" s="27" t="s">
        <v>4</v>
      </c>
      <c r="C17051" s="27" t="s">
        <v>50</v>
      </c>
      <c r="D17051" s="27" t="s">
        <v>7</v>
      </c>
      <c r="E17051" s="27" t="s">
        <v>20</v>
      </c>
      <c r="F17051" s="29"/>
      <c r="G17051" s="30">
        <f>1974.68889+1032.995</f>
        <v>3007.6838899999998</v>
      </c>
    </row>
    <row r="17052" spans="1:7" hidden="1" x14ac:dyDescent="0.25">
      <c r="A17052" s="28">
        <v>44927</v>
      </c>
      <c r="B17052" s="27" t="s">
        <v>4</v>
      </c>
      <c r="C17052" s="27" t="s">
        <v>50</v>
      </c>
      <c r="D17052" s="27" t="s">
        <v>7</v>
      </c>
      <c r="E17052" s="27" t="s">
        <v>38</v>
      </c>
      <c r="F17052" s="29"/>
      <c r="G17052" s="30">
        <f>780.00142+1032.995</f>
        <v>1812.9964199999999</v>
      </c>
    </row>
    <row r="17053" spans="1:7" hidden="1" x14ac:dyDescent="0.25">
      <c r="A17053" s="28">
        <v>44927</v>
      </c>
      <c r="B17053" s="27" t="s">
        <v>4</v>
      </c>
      <c r="C17053" s="27" t="s">
        <v>50</v>
      </c>
      <c r="D17053" s="27" t="s">
        <v>7</v>
      </c>
      <c r="E17053" s="27" t="s">
        <v>23</v>
      </c>
      <c r="F17053" s="29"/>
      <c r="G17053" s="30">
        <f>6368.31399+1032.995</f>
        <v>7401.3089899999995</v>
      </c>
    </row>
    <row r="17054" spans="1:7" hidden="1" x14ac:dyDescent="0.25">
      <c r="A17054" s="28">
        <v>44927</v>
      </c>
      <c r="B17054" s="27" t="s">
        <v>4</v>
      </c>
      <c r="C17054" s="27" t="s">
        <v>50</v>
      </c>
      <c r="D17054" s="27" t="s">
        <v>7</v>
      </c>
      <c r="E17054" s="27" t="s">
        <v>74</v>
      </c>
      <c r="F17054" s="29"/>
      <c r="G17054" s="30">
        <f>2456.48954+1032.995</f>
        <v>3489.4845399999999</v>
      </c>
    </row>
    <row r="17055" spans="1:7" hidden="1" x14ac:dyDescent="0.25">
      <c r="A17055" s="28">
        <v>44927</v>
      </c>
      <c r="B17055" s="27" t="s">
        <v>3</v>
      </c>
      <c r="C17055" s="27" t="s">
        <v>50</v>
      </c>
      <c r="D17055" s="27" t="s">
        <v>7</v>
      </c>
      <c r="E17055" s="27" t="s">
        <v>8</v>
      </c>
      <c r="F17055" s="29"/>
      <c r="G17055" s="30">
        <f t="shared" ref="G17055:G17086" si="296">30465.46/32</f>
        <v>952.04562499999997</v>
      </c>
    </row>
    <row r="17056" spans="1:7" hidden="1" x14ac:dyDescent="0.25">
      <c r="A17056" s="28">
        <v>44927</v>
      </c>
      <c r="B17056" s="27" t="s">
        <v>3</v>
      </c>
      <c r="C17056" s="27" t="s">
        <v>50</v>
      </c>
      <c r="D17056" s="27" t="s">
        <v>7</v>
      </c>
      <c r="E17056" s="27" t="s">
        <v>9</v>
      </c>
      <c r="F17056" s="29"/>
      <c r="G17056" s="30">
        <f t="shared" si="296"/>
        <v>952.04562499999997</v>
      </c>
    </row>
    <row r="17057" spans="1:7" hidden="1" x14ac:dyDescent="0.25">
      <c r="A17057" s="28">
        <v>44927</v>
      </c>
      <c r="B17057" s="27" t="s">
        <v>3</v>
      </c>
      <c r="C17057" s="27" t="s">
        <v>50</v>
      </c>
      <c r="D17057" s="27" t="s">
        <v>7</v>
      </c>
      <c r="E17057" s="27" t="s">
        <v>21</v>
      </c>
      <c r="F17057" s="29"/>
      <c r="G17057" s="30">
        <f t="shared" si="296"/>
        <v>952.04562499999997</v>
      </c>
    </row>
    <row r="17058" spans="1:7" hidden="1" x14ac:dyDescent="0.25">
      <c r="A17058" s="28">
        <v>44927</v>
      </c>
      <c r="B17058" s="27" t="s">
        <v>3</v>
      </c>
      <c r="C17058" s="27" t="s">
        <v>50</v>
      </c>
      <c r="D17058" s="27" t="s">
        <v>7</v>
      </c>
      <c r="E17058" s="27" t="s">
        <v>10</v>
      </c>
      <c r="F17058" s="29"/>
      <c r="G17058" s="30">
        <f t="shared" si="296"/>
        <v>952.04562499999997</v>
      </c>
    </row>
    <row r="17059" spans="1:7" hidden="1" x14ac:dyDescent="0.25">
      <c r="A17059" s="28">
        <v>44927</v>
      </c>
      <c r="B17059" s="27" t="s">
        <v>3</v>
      </c>
      <c r="C17059" s="27" t="s">
        <v>50</v>
      </c>
      <c r="D17059" s="27" t="s">
        <v>7</v>
      </c>
      <c r="E17059" s="27" t="s">
        <v>11</v>
      </c>
      <c r="F17059" s="29"/>
      <c r="G17059" s="30">
        <f t="shared" si="296"/>
        <v>952.04562499999997</v>
      </c>
    </row>
    <row r="17060" spans="1:7" hidden="1" x14ac:dyDescent="0.25">
      <c r="A17060" s="28">
        <v>44927</v>
      </c>
      <c r="B17060" s="27" t="s">
        <v>3</v>
      </c>
      <c r="C17060" s="27" t="s">
        <v>50</v>
      </c>
      <c r="D17060" s="27" t="s">
        <v>7</v>
      </c>
      <c r="E17060" s="27" t="s">
        <v>12</v>
      </c>
      <c r="F17060" s="29"/>
      <c r="G17060" s="30">
        <f t="shared" si="296"/>
        <v>952.04562499999997</v>
      </c>
    </row>
    <row r="17061" spans="1:7" hidden="1" x14ac:dyDescent="0.25">
      <c r="A17061" s="28">
        <v>44927</v>
      </c>
      <c r="B17061" s="27" t="s">
        <v>3</v>
      </c>
      <c r="C17061" s="27" t="s">
        <v>50</v>
      </c>
      <c r="D17061" s="27" t="s">
        <v>7</v>
      </c>
      <c r="E17061" s="27" t="s">
        <v>13</v>
      </c>
      <c r="F17061" s="29"/>
      <c r="G17061" s="30">
        <f t="shared" si="296"/>
        <v>952.04562499999997</v>
      </c>
    </row>
    <row r="17062" spans="1:7" hidden="1" x14ac:dyDescent="0.25">
      <c r="A17062" s="28">
        <v>44927</v>
      </c>
      <c r="B17062" s="27" t="s">
        <v>3</v>
      </c>
      <c r="C17062" s="27" t="s">
        <v>50</v>
      </c>
      <c r="D17062" s="27" t="s">
        <v>7</v>
      </c>
      <c r="E17062" s="27" t="s">
        <v>14</v>
      </c>
      <c r="F17062" s="29"/>
      <c r="G17062" s="30">
        <f t="shared" si="296"/>
        <v>952.04562499999997</v>
      </c>
    </row>
    <row r="17063" spans="1:7" hidden="1" x14ac:dyDescent="0.25">
      <c r="A17063" s="28">
        <v>44927</v>
      </c>
      <c r="B17063" s="27" t="s">
        <v>3</v>
      </c>
      <c r="C17063" s="27" t="s">
        <v>50</v>
      </c>
      <c r="D17063" s="27" t="s">
        <v>7</v>
      </c>
      <c r="E17063" s="27" t="s">
        <v>15</v>
      </c>
      <c r="F17063" s="29"/>
      <c r="G17063" s="30">
        <f t="shared" si="296"/>
        <v>952.04562499999997</v>
      </c>
    </row>
    <row r="17064" spans="1:7" hidden="1" x14ac:dyDescent="0.25">
      <c r="A17064" s="28">
        <v>44927</v>
      </c>
      <c r="B17064" s="27" t="s">
        <v>3</v>
      </c>
      <c r="C17064" s="27" t="s">
        <v>50</v>
      </c>
      <c r="D17064" s="27" t="s">
        <v>7</v>
      </c>
      <c r="E17064" s="27" t="s">
        <v>16</v>
      </c>
      <c r="F17064" s="29"/>
      <c r="G17064" s="30">
        <f t="shared" si="296"/>
        <v>952.04562499999997</v>
      </c>
    </row>
    <row r="17065" spans="1:7" hidden="1" x14ac:dyDescent="0.25">
      <c r="A17065" s="28">
        <v>44927</v>
      </c>
      <c r="B17065" s="27" t="s">
        <v>3</v>
      </c>
      <c r="C17065" s="27" t="s">
        <v>50</v>
      </c>
      <c r="D17065" s="27" t="s">
        <v>7</v>
      </c>
      <c r="E17065" s="27" t="s">
        <v>17</v>
      </c>
      <c r="F17065" s="29"/>
      <c r="G17065" s="30">
        <f t="shared" si="296"/>
        <v>952.04562499999997</v>
      </c>
    </row>
    <row r="17066" spans="1:7" hidden="1" x14ac:dyDescent="0.25">
      <c r="A17066" s="28">
        <v>44927</v>
      </c>
      <c r="B17066" s="27" t="s">
        <v>3</v>
      </c>
      <c r="C17066" s="27" t="s">
        <v>50</v>
      </c>
      <c r="D17066" s="27" t="s">
        <v>7</v>
      </c>
      <c r="E17066" s="27" t="s">
        <v>18</v>
      </c>
      <c r="F17066" s="29"/>
      <c r="G17066" s="30">
        <f t="shared" si="296"/>
        <v>952.04562499999997</v>
      </c>
    </row>
    <row r="17067" spans="1:7" hidden="1" x14ac:dyDescent="0.25">
      <c r="A17067" s="28">
        <v>44927</v>
      </c>
      <c r="B17067" s="27" t="s">
        <v>3</v>
      </c>
      <c r="C17067" s="27" t="s">
        <v>50</v>
      </c>
      <c r="D17067" s="27" t="s">
        <v>7</v>
      </c>
      <c r="E17067" s="27" t="s">
        <v>19</v>
      </c>
      <c r="F17067" s="29"/>
      <c r="G17067" s="30">
        <f t="shared" si="296"/>
        <v>952.04562499999997</v>
      </c>
    </row>
    <row r="17068" spans="1:7" hidden="1" x14ac:dyDescent="0.25">
      <c r="A17068" s="28">
        <v>44927</v>
      </c>
      <c r="B17068" s="27" t="s">
        <v>3</v>
      </c>
      <c r="C17068" s="27" t="s">
        <v>50</v>
      </c>
      <c r="D17068" s="27" t="s">
        <v>7</v>
      </c>
      <c r="E17068" s="27" t="s">
        <v>20</v>
      </c>
      <c r="F17068" s="29"/>
      <c r="G17068" s="30">
        <f t="shared" si="296"/>
        <v>952.04562499999997</v>
      </c>
    </row>
    <row r="17069" spans="1:7" hidden="1" x14ac:dyDescent="0.25">
      <c r="A17069" s="28">
        <v>44927</v>
      </c>
      <c r="B17069" s="27" t="s">
        <v>3</v>
      </c>
      <c r="C17069" s="27" t="s">
        <v>50</v>
      </c>
      <c r="D17069" s="27" t="s">
        <v>7</v>
      </c>
      <c r="E17069" s="27" t="s">
        <v>38</v>
      </c>
      <c r="F17069" s="29"/>
      <c r="G17069" s="30">
        <f t="shared" si="296"/>
        <v>952.04562499999997</v>
      </c>
    </row>
    <row r="17070" spans="1:7" hidden="1" x14ac:dyDescent="0.25">
      <c r="A17070" s="28">
        <v>44927</v>
      </c>
      <c r="B17070" s="27" t="s">
        <v>3</v>
      </c>
      <c r="C17070" s="27" t="s">
        <v>50</v>
      </c>
      <c r="D17070" s="27" t="s">
        <v>7</v>
      </c>
      <c r="E17070" s="27" t="s">
        <v>23</v>
      </c>
      <c r="F17070" s="29"/>
      <c r="G17070" s="30">
        <f t="shared" si="296"/>
        <v>952.04562499999997</v>
      </c>
    </row>
    <row r="17071" spans="1:7" hidden="1" x14ac:dyDescent="0.25">
      <c r="A17071" s="28">
        <v>44927</v>
      </c>
      <c r="B17071" s="27" t="s">
        <v>3</v>
      </c>
      <c r="C17071" s="27" t="s">
        <v>50</v>
      </c>
      <c r="D17071" s="27" t="s">
        <v>7</v>
      </c>
      <c r="E17071" s="27" t="s">
        <v>22</v>
      </c>
      <c r="F17071" s="29"/>
      <c r="G17071" s="30">
        <f t="shared" si="296"/>
        <v>952.04562499999997</v>
      </c>
    </row>
    <row r="17072" spans="1:7" hidden="1" x14ac:dyDescent="0.25">
      <c r="A17072" s="28">
        <v>44927</v>
      </c>
      <c r="B17072" s="27" t="s">
        <v>3</v>
      </c>
      <c r="C17072" s="27" t="s">
        <v>50</v>
      </c>
      <c r="D17072" s="27" t="s">
        <v>7</v>
      </c>
      <c r="E17072" s="27" t="s">
        <v>39</v>
      </c>
      <c r="F17072" s="29"/>
      <c r="G17072" s="30">
        <f t="shared" si="296"/>
        <v>952.04562499999997</v>
      </c>
    </row>
    <row r="17073" spans="1:7" hidden="1" x14ac:dyDescent="0.25">
      <c r="A17073" s="28">
        <v>44927</v>
      </c>
      <c r="B17073" s="27" t="s">
        <v>3</v>
      </c>
      <c r="C17073" s="27" t="s">
        <v>50</v>
      </c>
      <c r="D17073" s="27" t="s">
        <v>7</v>
      </c>
      <c r="E17073" s="27" t="s">
        <v>41</v>
      </c>
      <c r="F17073" s="29"/>
      <c r="G17073" s="30">
        <f t="shared" si="296"/>
        <v>952.04562499999997</v>
      </c>
    </row>
    <row r="17074" spans="1:7" hidden="1" x14ac:dyDescent="0.25">
      <c r="A17074" s="28">
        <v>44927</v>
      </c>
      <c r="B17074" s="27" t="s">
        <v>3</v>
      </c>
      <c r="C17074" s="27" t="s">
        <v>50</v>
      </c>
      <c r="D17074" s="27" t="s">
        <v>7</v>
      </c>
      <c r="E17074" s="27" t="s">
        <v>40</v>
      </c>
      <c r="F17074" s="29"/>
      <c r="G17074" s="30">
        <f t="shared" si="296"/>
        <v>952.04562499999997</v>
      </c>
    </row>
    <row r="17075" spans="1:7" hidden="1" x14ac:dyDescent="0.25">
      <c r="A17075" s="28">
        <v>44927</v>
      </c>
      <c r="B17075" s="27" t="s">
        <v>3</v>
      </c>
      <c r="C17075" s="27" t="s">
        <v>50</v>
      </c>
      <c r="D17075" s="27" t="s">
        <v>7</v>
      </c>
      <c r="E17075" s="27" t="s">
        <v>64</v>
      </c>
      <c r="F17075" s="29"/>
      <c r="G17075" s="30">
        <f t="shared" si="296"/>
        <v>952.04562499999997</v>
      </c>
    </row>
    <row r="17076" spans="1:7" hidden="1" x14ac:dyDescent="0.25">
      <c r="A17076" s="28">
        <v>44927</v>
      </c>
      <c r="B17076" s="27" t="s">
        <v>3</v>
      </c>
      <c r="C17076" s="27" t="s">
        <v>50</v>
      </c>
      <c r="D17076" s="27" t="s">
        <v>7</v>
      </c>
      <c r="E17076" s="27" t="s">
        <v>42</v>
      </c>
      <c r="F17076" s="29"/>
      <c r="G17076" s="30">
        <f t="shared" si="296"/>
        <v>952.04562499999997</v>
      </c>
    </row>
    <row r="17077" spans="1:7" hidden="1" x14ac:dyDescent="0.25">
      <c r="A17077" s="28">
        <v>44927</v>
      </c>
      <c r="B17077" s="27" t="s">
        <v>3</v>
      </c>
      <c r="C17077" s="27" t="s">
        <v>50</v>
      </c>
      <c r="D17077" s="27" t="s">
        <v>7</v>
      </c>
      <c r="E17077" s="27" t="s">
        <v>72</v>
      </c>
      <c r="F17077" s="29"/>
      <c r="G17077" s="30">
        <f t="shared" si="296"/>
        <v>952.04562499999997</v>
      </c>
    </row>
    <row r="17078" spans="1:7" hidden="1" x14ac:dyDescent="0.25">
      <c r="A17078" s="28">
        <v>44927</v>
      </c>
      <c r="B17078" s="27" t="s">
        <v>3</v>
      </c>
      <c r="C17078" s="27" t="s">
        <v>50</v>
      </c>
      <c r="D17078" s="27" t="s">
        <v>7</v>
      </c>
      <c r="E17078" s="27" t="s">
        <v>43</v>
      </c>
      <c r="F17078" s="29"/>
      <c r="G17078" s="30">
        <f t="shared" si="296"/>
        <v>952.04562499999997</v>
      </c>
    </row>
    <row r="17079" spans="1:7" hidden="1" x14ac:dyDescent="0.25">
      <c r="A17079" s="28">
        <v>44927</v>
      </c>
      <c r="B17079" s="27" t="s">
        <v>3</v>
      </c>
      <c r="C17079" s="27" t="s">
        <v>50</v>
      </c>
      <c r="D17079" s="27" t="s">
        <v>7</v>
      </c>
      <c r="E17079" s="27" t="s">
        <v>206</v>
      </c>
      <c r="F17079" s="29"/>
      <c r="G17079" s="30">
        <f t="shared" si="296"/>
        <v>952.04562499999997</v>
      </c>
    </row>
    <row r="17080" spans="1:7" hidden="1" x14ac:dyDescent="0.25">
      <c r="A17080" s="28">
        <v>44927</v>
      </c>
      <c r="B17080" s="27" t="s">
        <v>3</v>
      </c>
      <c r="C17080" s="27" t="s">
        <v>50</v>
      </c>
      <c r="D17080" s="27" t="s">
        <v>7</v>
      </c>
      <c r="E17080" s="27" t="s">
        <v>68</v>
      </c>
      <c r="F17080" s="29"/>
      <c r="G17080" s="30">
        <f t="shared" si="296"/>
        <v>952.04562499999997</v>
      </c>
    </row>
    <row r="17081" spans="1:7" hidden="1" x14ac:dyDescent="0.25">
      <c r="A17081" s="28">
        <v>44927</v>
      </c>
      <c r="B17081" s="27" t="s">
        <v>3</v>
      </c>
      <c r="C17081" s="27" t="s">
        <v>50</v>
      </c>
      <c r="D17081" s="27" t="s">
        <v>7</v>
      </c>
      <c r="E17081" s="27" t="s">
        <v>74</v>
      </c>
      <c r="F17081" s="29"/>
      <c r="G17081" s="30">
        <f t="shared" si="296"/>
        <v>952.04562499999997</v>
      </c>
    </row>
    <row r="17082" spans="1:7" hidden="1" x14ac:dyDescent="0.25">
      <c r="A17082" s="28">
        <v>44927</v>
      </c>
      <c r="B17082" s="27" t="s">
        <v>3</v>
      </c>
      <c r="C17082" s="27" t="s">
        <v>50</v>
      </c>
      <c r="D17082" s="27" t="s">
        <v>7</v>
      </c>
      <c r="E17082" s="27" t="s">
        <v>67</v>
      </c>
      <c r="F17082" s="29"/>
      <c r="G17082" s="30">
        <f t="shared" si="296"/>
        <v>952.04562499999997</v>
      </c>
    </row>
    <row r="17083" spans="1:7" hidden="1" x14ac:dyDescent="0.25">
      <c r="A17083" s="28">
        <v>44927</v>
      </c>
      <c r="B17083" s="27" t="s">
        <v>3</v>
      </c>
      <c r="C17083" s="27" t="s">
        <v>50</v>
      </c>
      <c r="D17083" s="27" t="s">
        <v>7</v>
      </c>
      <c r="E17083" s="27" t="s">
        <v>71</v>
      </c>
      <c r="F17083" s="29"/>
      <c r="G17083" s="30">
        <f t="shared" si="296"/>
        <v>952.04562499999997</v>
      </c>
    </row>
    <row r="17084" spans="1:7" hidden="1" x14ac:dyDescent="0.25">
      <c r="A17084" s="28">
        <v>44927</v>
      </c>
      <c r="B17084" s="27" t="s">
        <v>3</v>
      </c>
      <c r="C17084" s="27" t="s">
        <v>50</v>
      </c>
      <c r="D17084" s="27" t="s">
        <v>7</v>
      </c>
      <c r="E17084" s="27" t="s">
        <v>73</v>
      </c>
      <c r="F17084" s="29"/>
      <c r="G17084" s="30">
        <f t="shared" si="296"/>
        <v>952.04562499999997</v>
      </c>
    </row>
    <row r="17085" spans="1:7" hidden="1" x14ac:dyDescent="0.25">
      <c r="A17085" s="28">
        <v>44927</v>
      </c>
      <c r="B17085" s="27" t="s">
        <v>3</v>
      </c>
      <c r="C17085" s="27" t="s">
        <v>50</v>
      </c>
      <c r="D17085" s="27" t="s">
        <v>7</v>
      </c>
      <c r="E17085" s="27" t="s">
        <v>70</v>
      </c>
      <c r="F17085" s="29"/>
      <c r="G17085" s="30">
        <f t="shared" si="296"/>
        <v>952.04562499999997</v>
      </c>
    </row>
    <row r="17086" spans="1:7" hidden="1" x14ac:dyDescent="0.25">
      <c r="A17086" s="28">
        <v>44927</v>
      </c>
      <c r="B17086" s="27" t="s">
        <v>3</v>
      </c>
      <c r="C17086" s="27" t="s">
        <v>50</v>
      </c>
      <c r="D17086" s="27" t="s">
        <v>7</v>
      </c>
      <c r="E17086" s="27" t="s">
        <v>203</v>
      </c>
      <c r="F17086" s="29"/>
      <c r="G17086" s="30">
        <f t="shared" si="296"/>
        <v>952.04562499999997</v>
      </c>
    </row>
    <row r="17087" spans="1:7" hidden="1" x14ac:dyDescent="0.25">
      <c r="A17087" s="28">
        <v>44927</v>
      </c>
      <c r="B17087" s="27" t="s">
        <v>3</v>
      </c>
      <c r="C17087" s="27" t="s">
        <v>50</v>
      </c>
      <c r="D17087" s="27" t="s">
        <v>7</v>
      </c>
      <c r="E17087" s="27" t="s">
        <v>8</v>
      </c>
      <c r="F17087" s="29"/>
      <c r="G17087" s="30">
        <f t="shared" ref="G17087:G17118" si="297">30465.46/32</f>
        <v>952.04562499999997</v>
      </c>
    </row>
    <row r="17088" spans="1:7" hidden="1" x14ac:dyDescent="0.25">
      <c r="A17088" s="28">
        <v>44927</v>
      </c>
      <c r="B17088" s="27" t="s">
        <v>3</v>
      </c>
      <c r="C17088" s="27" t="s">
        <v>50</v>
      </c>
      <c r="D17088" s="27" t="s">
        <v>7</v>
      </c>
      <c r="E17088" s="27" t="s">
        <v>9</v>
      </c>
      <c r="F17088" s="29"/>
      <c r="G17088" s="30">
        <f t="shared" si="297"/>
        <v>952.04562499999997</v>
      </c>
    </row>
    <row r="17089" spans="1:7" hidden="1" x14ac:dyDescent="0.25">
      <c r="A17089" s="28">
        <v>44927</v>
      </c>
      <c r="B17089" s="27" t="s">
        <v>3</v>
      </c>
      <c r="C17089" s="27" t="s">
        <v>50</v>
      </c>
      <c r="D17089" s="27" t="s">
        <v>7</v>
      </c>
      <c r="E17089" s="27" t="s">
        <v>21</v>
      </c>
      <c r="F17089" s="29"/>
      <c r="G17089" s="30">
        <f t="shared" si="297"/>
        <v>952.04562499999997</v>
      </c>
    </row>
    <row r="17090" spans="1:7" hidden="1" x14ac:dyDescent="0.25">
      <c r="A17090" s="28">
        <v>44927</v>
      </c>
      <c r="B17090" s="27" t="s">
        <v>3</v>
      </c>
      <c r="C17090" s="27" t="s">
        <v>50</v>
      </c>
      <c r="D17090" s="27" t="s">
        <v>7</v>
      </c>
      <c r="E17090" s="27" t="s">
        <v>10</v>
      </c>
      <c r="F17090" s="29"/>
      <c r="G17090" s="30">
        <f t="shared" si="297"/>
        <v>952.04562499999997</v>
      </c>
    </row>
    <row r="17091" spans="1:7" hidden="1" x14ac:dyDescent="0.25">
      <c r="A17091" s="28">
        <v>44927</v>
      </c>
      <c r="B17091" s="27" t="s">
        <v>3</v>
      </c>
      <c r="C17091" s="27" t="s">
        <v>50</v>
      </c>
      <c r="D17091" s="27" t="s">
        <v>7</v>
      </c>
      <c r="E17091" s="27" t="s">
        <v>11</v>
      </c>
      <c r="F17091" s="29"/>
      <c r="G17091" s="30">
        <f t="shared" si="297"/>
        <v>952.04562499999997</v>
      </c>
    </row>
    <row r="17092" spans="1:7" hidden="1" x14ac:dyDescent="0.25">
      <c r="A17092" s="28">
        <v>44927</v>
      </c>
      <c r="B17092" s="27" t="s">
        <v>3</v>
      </c>
      <c r="C17092" s="27" t="s">
        <v>50</v>
      </c>
      <c r="D17092" s="27" t="s">
        <v>7</v>
      </c>
      <c r="E17092" s="27" t="s">
        <v>12</v>
      </c>
      <c r="F17092" s="29"/>
      <c r="G17092" s="30">
        <f t="shared" si="297"/>
        <v>952.04562499999997</v>
      </c>
    </row>
    <row r="17093" spans="1:7" hidden="1" x14ac:dyDescent="0.25">
      <c r="A17093" s="28">
        <v>44927</v>
      </c>
      <c r="B17093" s="27" t="s">
        <v>3</v>
      </c>
      <c r="C17093" s="27" t="s">
        <v>50</v>
      </c>
      <c r="D17093" s="27" t="s">
        <v>7</v>
      </c>
      <c r="E17093" s="27" t="s">
        <v>13</v>
      </c>
      <c r="F17093" s="29"/>
      <c r="G17093" s="30">
        <f t="shared" si="297"/>
        <v>952.04562499999997</v>
      </c>
    </row>
    <row r="17094" spans="1:7" hidden="1" x14ac:dyDescent="0.25">
      <c r="A17094" s="28">
        <v>44927</v>
      </c>
      <c r="B17094" s="27" t="s">
        <v>3</v>
      </c>
      <c r="C17094" s="27" t="s">
        <v>50</v>
      </c>
      <c r="D17094" s="27" t="s">
        <v>7</v>
      </c>
      <c r="E17094" s="27" t="s">
        <v>14</v>
      </c>
      <c r="F17094" s="29"/>
      <c r="G17094" s="30">
        <f t="shared" si="297"/>
        <v>952.04562499999997</v>
      </c>
    </row>
    <row r="17095" spans="1:7" hidden="1" x14ac:dyDescent="0.25">
      <c r="A17095" s="28">
        <v>44927</v>
      </c>
      <c r="B17095" s="27" t="s">
        <v>3</v>
      </c>
      <c r="C17095" s="27" t="s">
        <v>50</v>
      </c>
      <c r="D17095" s="27" t="s">
        <v>7</v>
      </c>
      <c r="E17095" s="27" t="s">
        <v>15</v>
      </c>
      <c r="F17095" s="29"/>
      <c r="G17095" s="30">
        <f t="shared" si="297"/>
        <v>952.04562499999997</v>
      </c>
    </row>
    <row r="17096" spans="1:7" hidden="1" x14ac:dyDescent="0.25">
      <c r="A17096" s="28">
        <v>44927</v>
      </c>
      <c r="B17096" s="27" t="s">
        <v>3</v>
      </c>
      <c r="C17096" s="27" t="s">
        <v>50</v>
      </c>
      <c r="D17096" s="27" t="s">
        <v>7</v>
      </c>
      <c r="E17096" s="27" t="s">
        <v>16</v>
      </c>
      <c r="F17096" s="29"/>
      <c r="G17096" s="30">
        <f t="shared" si="297"/>
        <v>952.04562499999997</v>
      </c>
    </row>
    <row r="17097" spans="1:7" hidden="1" x14ac:dyDescent="0.25">
      <c r="A17097" s="28">
        <v>44927</v>
      </c>
      <c r="B17097" s="27" t="s">
        <v>3</v>
      </c>
      <c r="C17097" s="27" t="s">
        <v>50</v>
      </c>
      <c r="D17097" s="27" t="s">
        <v>7</v>
      </c>
      <c r="E17097" s="27" t="s">
        <v>17</v>
      </c>
      <c r="F17097" s="29"/>
      <c r="G17097" s="30">
        <f t="shared" si="297"/>
        <v>952.04562499999997</v>
      </c>
    </row>
    <row r="17098" spans="1:7" hidden="1" x14ac:dyDescent="0.25">
      <c r="A17098" s="28">
        <v>44927</v>
      </c>
      <c r="B17098" s="27" t="s">
        <v>3</v>
      </c>
      <c r="C17098" s="27" t="s">
        <v>50</v>
      </c>
      <c r="D17098" s="27" t="s">
        <v>7</v>
      </c>
      <c r="E17098" s="27" t="s">
        <v>18</v>
      </c>
      <c r="F17098" s="29"/>
      <c r="G17098" s="30">
        <f t="shared" si="297"/>
        <v>952.04562499999997</v>
      </c>
    </row>
    <row r="17099" spans="1:7" hidden="1" x14ac:dyDescent="0.25">
      <c r="A17099" s="28">
        <v>44927</v>
      </c>
      <c r="B17099" s="27" t="s">
        <v>3</v>
      </c>
      <c r="C17099" s="27" t="s">
        <v>50</v>
      </c>
      <c r="D17099" s="27" t="s">
        <v>7</v>
      </c>
      <c r="E17099" s="27" t="s">
        <v>19</v>
      </c>
      <c r="F17099" s="29"/>
      <c r="G17099" s="30">
        <f t="shared" si="297"/>
        <v>952.04562499999997</v>
      </c>
    </row>
    <row r="17100" spans="1:7" hidden="1" x14ac:dyDescent="0.25">
      <c r="A17100" s="28">
        <v>44927</v>
      </c>
      <c r="B17100" s="27" t="s">
        <v>3</v>
      </c>
      <c r="C17100" s="27" t="s">
        <v>50</v>
      </c>
      <c r="D17100" s="27" t="s">
        <v>7</v>
      </c>
      <c r="E17100" s="27" t="s">
        <v>20</v>
      </c>
      <c r="F17100" s="29"/>
      <c r="G17100" s="30">
        <f t="shared" si="297"/>
        <v>952.04562499999997</v>
      </c>
    </row>
    <row r="17101" spans="1:7" hidden="1" x14ac:dyDescent="0.25">
      <c r="A17101" s="28">
        <v>44927</v>
      </c>
      <c r="B17101" s="27" t="s">
        <v>3</v>
      </c>
      <c r="C17101" s="27" t="s">
        <v>50</v>
      </c>
      <c r="D17101" s="27" t="s">
        <v>7</v>
      </c>
      <c r="E17101" s="27" t="s">
        <v>38</v>
      </c>
      <c r="F17101" s="29"/>
      <c r="G17101" s="30">
        <f t="shared" si="297"/>
        <v>952.04562499999997</v>
      </c>
    </row>
    <row r="17102" spans="1:7" hidden="1" x14ac:dyDescent="0.25">
      <c r="A17102" s="28">
        <v>44927</v>
      </c>
      <c r="B17102" s="27" t="s">
        <v>3</v>
      </c>
      <c r="C17102" s="27" t="s">
        <v>50</v>
      </c>
      <c r="D17102" s="27" t="s">
        <v>7</v>
      </c>
      <c r="E17102" s="27" t="s">
        <v>23</v>
      </c>
      <c r="F17102" s="29"/>
      <c r="G17102" s="30">
        <f t="shared" si="297"/>
        <v>952.04562499999997</v>
      </c>
    </row>
    <row r="17103" spans="1:7" hidden="1" x14ac:dyDescent="0.25">
      <c r="A17103" s="28">
        <v>44927</v>
      </c>
      <c r="B17103" s="27" t="s">
        <v>3</v>
      </c>
      <c r="C17103" s="27" t="s">
        <v>50</v>
      </c>
      <c r="D17103" s="27" t="s">
        <v>7</v>
      </c>
      <c r="E17103" s="27" t="s">
        <v>22</v>
      </c>
      <c r="F17103" s="29"/>
      <c r="G17103" s="30">
        <f t="shared" si="297"/>
        <v>952.04562499999997</v>
      </c>
    </row>
    <row r="17104" spans="1:7" hidden="1" x14ac:dyDescent="0.25">
      <c r="A17104" s="28">
        <v>44927</v>
      </c>
      <c r="B17104" s="27" t="s">
        <v>3</v>
      </c>
      <c r="C17104" s="27" t="s">
        <v>50</v>
      </c>
      <c r="D17104" s="27" t="s">
        <v>7</v>
      </c>
      <c r="E17104" s="27" t="s">
        <v>39</v>
      </c>
      <c r="F17104" s="29"/>
      <c r="G17104" s="30">
        <f t="shared" si="297"/>
        <v>952.04562499999997</v>
      </c>
    </row>
    <row r="17105" spans="1:7" hidden="1" x14ac:dyDescent="0.25">
      <c r="A17105" s="28">
        <v>44927</v>
      </c>
      <c r="B17105" s="27" t="s">
        <v>3</v>
      </c>
      <c r="C17105" s="27" t="s">
        <v>50</v>
      </c>
      <c r="D17105" s="27" t="s">
        <v>7</v>
      </c>
      <c r="E17105" s="27" t="s">
        <v>41</v>
      </c>
      <c r="F17105" s="29"/>
      <c r="G17105" s="30">
        <f t="shared" si="297"/>
        <v>952.04562499999997</v>
      </c>
    </row>
    <row r="17106" spans="1:7" hidden="1" x14ac:dyDescent="0.25">
      <c r="A17106" s="28">
        <v>44927</v>
      </c>
      <c r="B17106" s="27" t="s">
        <v>3</v>
      </c>
      <c r="C17106" s="27" t="s">
        <v>50</v>
      </c>
      <c r="D17106" s="27" t="s">
        <v>7</v>
      </c>
      <c r="E17106" s="27" t="s">
        <v>40</v>
      </c>
      <c r="F17106" s="29"/>
      <c r="G17106" s="30">
        <f t="shared" si="297"/>
        <v>952.04562499999997</v>
      </c>
    </row>
    <row r="17107" spans="1:7" hidden="1" x14ac:dyDescent="0.25">
      <c r="A17107" s="28">
        <v>44927</v>
      </c>
      <c r="B17107" s="27" t="s">
        <v>3</v>
      </c>
      <c r="C17107" s="27" t="s">
        <v>50</v>
      </c>
      <c r="D17107" s="27" t="s">
        <v>7</v>
      </c>
      <c r="E17107" s="27" t="s">
        <v>64</v>
      </c>
      <c r="F17107" s="29"/>
      <c r="G17107" s="30">
        <f t="shared" si="297"/>
        <v>952.04562499999997</v>
      </c>
    </row>
    <row r="17108" spans="1:7" hidden="1" x14ac:dyDescent="0.25">
      <c r="A17108" s="28">
        <v>44927</v>
      </c>
      <c r="B17108" s="27" t="s">
        <v>3</v>
      </c>
      <c r="C17108" s="27" t="s">
        <v>50</v>
      </c>
      <c r="D17108" s="27" t="s">
        <v>7</v>
      </c>
      <c r="E17108" s="27" t="s">
        <v>42</v>
      </c>
      <c r="F17108" s="29"/>
      <c r="G17108" s="30">
        <f t="shared" si="297"/>
        <v>952.04562499999997</v>
      </c>
    </row>
    <row r="17109" spans="1:7" hidden="1" x14ac:dyDescent="0.25">
      <c r="A17109" s="28">
        <v>44927</v>
      </c>
      <c r="B17109" s="27" t="s">
        <v>3</v>
      </c>
      <c r="C17109" s="27" t="s">
        <v>50</v>
      </c>
      <c r="D17109" s="27" t="s">
        <v>7</v>
      </c>
      <c r="E17109" s="27" t="s">
        <v>72</v>
      </c>
      <c r="F17109" s="29"/>
      <c r="G17109" s="30">
        <f t="shared" si="297"/>
        <v>952.04562499999997</v>
      </c>
    </row>
    <row r="17110" spans="1:7" hidden="1" x14ac:dyDescent="0.25">
      <c r="A17110" s="28">
        <v>44927</v>
      </c>
      <c r="B17110" s="27" t="s">
        <v>3</v>
      </c>
      <c r="C17110" s="27" t="s">
        <v>50</v>
      </c>
      <c r="D17110" s="27" t="s">
        <v>7</v>
      </c>
      <c r="E17110" s="27" t="s">
        <v>43</v>
      </c>
      <c r="F17110" s="29"/>
      <c r="G17110" s="30">
        <f t="shared" si="297"/>
        <v>952.04562499999997</v>
      </c>
    </row>
    <row r="17111" spans="1:7" hidden="1" x14ac:dyDescent="0.25">
      <c r="A17111" s="28">
        <v>44927</v>
      </c>
      <c r="B17111" s="27" t="s">
        <v>3</v>
      </c>
      <c r="C17111" s="27" t="s">
        <v>50</v>
      </c>
      <c r="D17111" s="27" t="s">
        <v>7</v>
      </c>
      <c r="E17111" s="27" t="s">
        <v>206</v>
      </c>
      <c r="F17111" s="29"/>
      <c r="G17111" s="30">
        <f t="shared" si="297"/>
        <v>952.04562499999997</v>
      </c>
    </row>
    <row r="17112" spans="1:7" hidden="1" x14ac:dyDescent="0.25">
      <c r="A17112" s="28">
        <v>44927</v>
      </c>
      <c r="B17112" s="27" t="s">
        <v>3</v>
      </c>
      <c r="C17112" s="27" t="s">
        <v>50</v>
      </c>
      <c r="D17112" s="27" t="s">
        <v>7</v>
      </c>
      <c r="E17112" s="27" t="s">
        <v>68</v>
      </c>
      <c r="F17112" s="29"/>
      <c r="G17112" s="30">
        <f t="shared" si="297"/>
        <v>952.04562499999997</v>
      </c>
    </row>
    <row r="17113" spans="1:7" hidden="1" x14ac:dyDescent="0.25">
      <c r="A17113" s="28">
        <v>44927</v>
      </c>
      <c r="B17113" s="27" t="s">
        <v>3</v>
      </c>
      <c r="C17113" s="27" t="s">
        <v>50</v>
      </c>
      <c r="D17113" s="27" t="s">
        <v>7</v>
      </c>
      <c r="E17113" s="27" t="s">
        <v>74</v>
      </c>
      <c r="F17113" s="29"/>
      <c r="G17113" s="30">
        <f t="shared" si="297"/>
        <v>952.04562499999997</v>
      </c>
    </row>
    <row r="17114" spans="1:7" hidden="1" x14ac:dyDescent="0.25">
      <c r="A17114" s="28">
        <v>44927</v>
      </c>
      <c r="B17114" s="27" t="s">
        <v>3</v>
      </c>
      <c r="C17114" s="27" t="s">
        <v>50</v>
      </c>
      <c r="D17114" s="27" t="s">
        <v>7</v>
      </c>
      <c r="E17114" s="27" t="s">
        <v>67</v>
      </c>
      <c r="F17114" s="29"/>
      <c r="G17114" s="30">
        <f t="shared" si="297"/>
        <v>952.04562499999997</v>
      </c>
    </row>
    <row r="17115" spans="1:7" hidden="1" x14ac:dyDescent="0.25">
      <c r="A17115" s="28">
        <v>44927</v>
      </c>
      <c r="B17115" s="27" t="s">
        <v>3</v>
      </c>
      <c r="C17115" s="27" t="s">
        <v>50</v>
      </c>
      <c r="D17115" s="27" t="s">
        <v>7</v>
      </c>
      <c r="E17115" s="27" t="s">
        <v>71</v>
      </c>
      <c r="F17115" s="29"/>
      <c r="G17115" s="30">
        <f t="shared" si="297"/>
        <v>952.04562499999997</v>
      </c>
    </row>
    <row r="17116" spans="1:7" hidden="1" x14ac:dyDescent="0.25">
      <c r="A17116" s="28">
        <v>44927</v>
      </c>
      <c r="B17116" s="27" t="s">
        <v>3</v>
      </c>
      <c r="C17116" s="27" t="s">
        <v>50</v>
      </c>
      <c r="D17116" s="27" t="s">
        <v>7</v>
      </c>
      <c r="E17116" s="27" t="s">
        <v>73</v>
      </c>
      <c r="F17116" s="29"/>
      <c r="G17116" s="30">
        <f t="shared" si="297"/>
        <v>952.04562499999997</v>
      </c>
    </row>
    <row r="17117" spans="1:7" hidden="1" x14ac:dyDescent="0.25">
      <c r="A17117" s="28">
        <v>44927</v>
      </c>
      <c r="B17117" s="27" t="s">
        <v>3</v>
      </c>
      <c r="C17117" s="27" t="s">
        <v>50</v>
      </c>
      <c r="D17117" s="27" t="s">
        <v>7</v>
      </c>
      <c r="E17117" s="27" t="s">
        <v>70</v>
      </c>
      <c r="F17117" s="29"/>
      <c r="G17117" s="30">
        <f t="shared" si="297"/>
        <v>952.04562499999997</v>
      </c>
    </row>
    <row r="17118" spans="1:7" hidden="1" x14ac:dyDescent="0.25">
      <c r="A17118" s="28">
        <v>44927</v>
      </c>
      <c r="B17118" s="27" t="s">
        <v>3</v>
      </c>
      <c r="C17118" s="27" t="s">
        <v>50</v>
      </c>
      <c r="D17118" s="27" t="s">
        <v>7</v>
      </c>
      <c r="E17118" s="27" t="s">
        <v>203</v>
      </c>
      <c r="F17118" s="29"/>
      <c r="G17118" s="30">
        <f t="shared" si="297"/>
        <v>952.04562499999997</v>
      </c>
    </row>
    <row r="17119" spans="1:7" hidden="1" x14ac:dyDescent="0.25">
      <c r="A17119" s="28">
        <v>44927</v>
      </c>
      <c r="B17119" s="27" t="s">
        <v>179</v>
      </c>
      <c r="C17119" s="27" t="s">
        <v>50</v>
      </c>
      <c r="D17119" s="27" t="s">
        <v>6</v>
      </c>
      <c r="E17119" s="27" t="s">
        <v>8</v>
      </c>
      <c r="F17119" s="29"/>
      <c r="G17119" s="30">
        <v>723.59</v>
      </c>
    </row>
    <row r="17120" spans="1:7" hidden="1" x14ac:dyDescent="0.25">
      <c r="A17120" s="28">
        <v>44927</v>
      </c>
      <c r="B17120" s="27" t="s">
        <v>179</v>
      </c>
      <c r="C17120" s="27" t="s">
        <v>50</v>
      </c>
      <c r="D17120" s="27" t="s">
        <v>6</v>
      </c>
      <c r="E17120" s="27" t="s">
        <v>9</v>
      </c>
      <c r="F17120" s="29"/>
      <c r="G17120" s="30">
        <v>1099.1000000000001</v>
      </c>
    </row>
    <row r="17121" spans="1:7" hidden="1" x14ac:dyDescent="0.25">
      <c r="A17121" s="28">
        <v>44927</v>
      </c>
      <c r="B17121" s="27" t="s">
        <v>179</v>
      </c>
      <c r="C17121" s="27" t="s">
        <v>50</v>
      </c>
      <c r="D17121" s="27" t="s">
        <v>6</v>
      </c>
      <c r="E17121" s="27" t="s">
        <v>22</v>
      </c>
      <c r="F17121" s="29"/>
      <c r="G17121" s="30">
        <v>1504</v>
      </c>
    </row>
    <row r="17122" spans="1:7" hidden="1" x14ac:dyDescent="0.25">
      <c r="A17122" s="28">
        <v>44927</v>
      </c>
      <c r="B17122" s="27" t="s">
        <v>179</v>
      </c>
      <c r="C17122" s="27" t="s">
        <v>50</v>
      </c>
      <c r="D17122" s="27" t="s">
        <v>6</v>
      </c>
      <c r="E17122" s="27" t="s">
        <v>39</v>
      </c>
      <c r="F17122" s="29"/>
      <c r="G17122" s="30">
        <v>1102.21</v>
      </c>
    </row>
    <row r="17123" spans="1:7" hidden="1" x14ac:dyDescent="0.25">
      <c r="A17123" s="28">
        <v>44927</v>
      </c>
      <c r="B17123" s="27" t="s">
        <v>179</v>
      </c>
      <c r="C17123" s="27" t="s">
        <v>50</v>
      </c>
      <c r="D17123" s="27" t="s">
        <v>6</v>
      </c>
      <c r="E17123" s="27" t="s">
        <v>64</v>
      </c>
      <c r="F17123" s="29"/>
      <c r="G17123" s="30">
        <v>978.5</v>
      </c>
    </row>
    <row r="17124" spans="1:7" hidden="1" x14ac:dyDescent="0.25">
      <c r="A17124" s="28">
        <v>44927</v>
      </c>
      <c r="B17124" s="27" t="s">
        <v>179</v>
      </c>
      <c r="C17124" s="27" t="s">
        <v>50</v>
      </c>
      <c r="D17124" s="27" t="s">
        <v>6</v>
      </c>
      <c r="E17124" s="27" t="s">
        <v>21</v>
      </c>
      <c r="F17124" s="29"/>
      <c r="G17124" s="30">
        <v>1060.0800000000002</v>
      </c>
    </row>
    <row r="17125" spans="1:7" hidden="1" x14ac:dyDescent="0.25">
      <c r="A17125" s="28">
        <v>44927</v>
      </c>
      <c r="B17125" s="27" t="s">
        <v>179</v>
      </c>
      <c r="C17125" s="27" t="s">
        <v>50</v>
      </c>
      <c r="D17125" s="27" t="s">
        <v>6</v>
      </c>
      <c r="E17125" s="27" t="s">
        <v>41</v>
      </c>
      <c r="F17125" s="29"/>
      <c r="G17125" s="30">
        <v>1082.6600000000001</v>
      </c>
    </row>
    <row r="17126" spans="1:7" hidden="1" x14ac:dyDescent="0.25">
      <c r="A17126" s="28">
        <v>44927</v>
      </c>
      <c r="B17126" s="27" t="s">
        <v>179</v>
      </c>
      <c r="C17126" s="27" t="s">
        <v>50</v>
      </c>
      <c r="D17126" s="27" t="s">
        <v>6</v>
      </c>
      <c r="E17126" s="27" t="s">
        <v>10</v>
      </c>
      <c r="F17126" s="29"/>
      <c r="G17126" s="30">
        <v>1510.0800000000002</v>
      </c>
    </row>
    <row r="17127" spans="1:7" hidden="1" x14ac:dyDescent="0.25">
      <c r="A17127" s="28">
        <v>44927</v>
      </c>
      <c r="B17127" s="27" t="s">
        <v>179</v>
      </c>
      <c r="C17127" s="27" t="s">
        <v>50</v>
      </c>
      <c r="D17127" s="27" t="s">
        <v>6</v>
      </c>
      <c r="E17127" s="27" t="s">
        <v>11</v>
      </c>
      <c r="F17127" s="29"/>
      <c r="G17127" s="30">
        <v>982.17</v>
      </c>
    </row>
    <row r="17128" spans="1:7" hidden="1" x14ac:dyDescent="0.25">
      <c r="A17128" s="28">
        <v>44927</v>
      </c>
      <c r="B17128" s="27" t="s">
        <v>179</v>
      </c>
      <c r="C17128" s="27" t="s">
        <v>50</v>
      </c>
      <c r="D17128" s="27" t="s">
        <v>6</v>
      </c>
      <c r="E17128" s="27" t="s">
        <v>12</v>
      </c>
      <c r="F17128" s="29"/>
      <c r="G17128" s="30">
        <v>1132.48</v>
      </c>
    </row>
    <row r="17129" spans="1:7" hidden="1" x14ac:dyDescent="0.25">
      <c r="A17129" s="28">
        <v>44927</v>
      </c>
      <c r="B17129" s="27" t="s">
        <v>179</v>
      </c>
      <c r="C17129" s="27" t="s">
        <v>50</v>
      </c>
      <c r="D17129" s="27" t="s">
        <v>6</v>
      </c>
      <c r="E17129" s="27" t="s">
        <v>13</v>
      </c>
      <c r="F17129" s="29"/>
      <c r="G17129" s="30">
        <v>1427.03</v>
      </c>
    </row>
    <row r="17130" spans="1:7" hidden="1" x14ac:dyDescent="0.25">
      <c r="A17130" s="28">
        <v>44927</v>
      </c>
      <c r="B17130" s="27" t="s">
        <v>179</v>
      </c>
      <c r="C17130" s="27" t="s">
        <v>50</v>
      </c>
      <c r="D17130" s="27" t="s">
        <v>6</v>
      </c>
      <c r="E17130" s="27" t="s">
        <v>14</v>
      </c>
      <c r="F17130" s="29"/>
      <c r="G17130" s="30">
        <v>1195.48</v>
      </c>
    </row>
    <row r="17131" spans="1:7" hidden="1" x14ac:dyDescent="0.25">
      <c r="A17131" s="28">
        <v>44927</v>
      </c>
      <c r="B17131" s="27" t="s">
        <v>179</v>
      </c>
      <c r="C17131" s="27" t="s">
        <v>50</v>
      </c>
      <c r="D17131" s="27" t="s">
        <v>6</v>
      </c>
      <c r="E17131" s="27" t="s">
        <v>15</v>
      </c>
      <c r="F17131" s="29"/>
      <c r="G17131" s="30">
        <v>1357.39</v>
      </c>
    </row>
    <row r="17132" spans="1:7" hidden="1" x14ac:dyDescent="0.25">
      <c r="A17132" s="28">
        <v>44927</v>
      </c>
      <c r="B17132" s="27" t="s">
        <v>179</v>
      </c>
      <c r="C17132" s="27" t="s">
        <v>50</v>
      </c>
      <c r="D17132" s="27" t="s">
        <v>6</v>
      </c>
      <c r="E17132" s="27" t="s">
        <v>16</v>
      </c>
      <c r="F17132" s="29"/>
      <c r="G17132" s="30">
        <v>1425.25</v>
      </c>
    </row>
    <row r="17133" spans="1:7" hidden="1" x14ac:dyDescent="0.25">
      <c r="A17133" s="28">
        <v>44927</v>
      </c>
      <c r="B17133" s="27" t="s">
        <v>179</v>
      </c>
      <c r="C17133" s="27" t="s">
        <v>50</v>
      </c>
      <c r="D17133" s="27" t="s">
        <v>6</v>
      </c>
      <c r="E17133" s="27" t="s">
        <v>17</v>
      </c>
      <c r="F17133" s="29"/>
      <c r="G17133" s="30">
        <v>2280.62</v>
      </c>
    </row>
    <row r="17134" spans="1:7" hidden="1" x14ac:dyDescent="0.25">
      <c r="A17134" s="28">
        <v>44927</v>
      </c>
      <c r="B17134" s="27" t="s">
        <v>179</v>
      </c>
      <c r="C17134" s="27" t="s">
        <v>50</v>
      </c>
      <c r="D17134" s="27" t="s">
        <v>6</v>
      </c>
      <c r="E17134" s="27" t="s">
        <v>18</v>
      </c>
      <c r="F17134" s="29"/>
      <c r="G17134" s="30">
        <v>2952.04</v>
      </c>
    </row>
    <row r="17135" spans="1:7" hidden="1" x14ac:dyDescent="0.25">
      <c r="A17135" s="28">
        <v>44927</v>
      </c>
      <c r="B17135" s="27" t="s">
        <v>179</v>
      </c>
      <c r="C17135" s="27" t="s">
        <v>50</v>
      </c>
      <c r="D17135" s="27" t="s">
        <v>6</v>
      </c>
      <c r="E17135" s="27" t="s">
        <v>19</v>
      </c>
      <c r="F17135" s="29"/>
      <c r="G17135" s="30">
        <v>1777.97</v>
      </c>
    </row>
    <row r="17136" spans="1:7" hidden="1" x14ac:dyDescent="0.25">
      <c r="A17136" s="28">
        <v>44927</v>
      </c>
      <c r="B17136" s="27" t="s">
        <v>179</v>
      </c>
      <c r="C17136" s="27" t="s">
        <v>50</v>
      </c>
      <c r="D17136" s="27" t="s">
        <v>6</v>
      </c>
      <c r="E17136" s="27" t="s">
        <v>38</v>
      </c>
      <c r="F17136" s="29"/>
      <c r="G17136" s="30">
        <v>1485.3700000000001</v>
      </c>
    </row>
    <row r="17137" spans="1:7" hidden="1" x14ac:dyDescent="0.25">
      <c r="A17137" s="28">
        <v>44927</v>
      </c>
      <c r="B17137" s="27" t="s">
        <v>179</v>
      </c>
      <c r="C17137" s="27" t="s">
        <v>50</v>
      </c>
      <c r="D17137" s="27" t="s">
        <v>6</v>
      </c>
      <c r="E17137" s="27" t="s">
        <v>23</v>
      </c>
      <c r="F17137" s="29"/>
      <c r="G17137" s="30">
        <v>2108.0499999999997</v>
      </c>
    </row>
    <row r="17138" spans="1:7" hidden="1" x14ac:dyDescent="0.25">
      <c r="A17138" s="28">
        <v>44927</v>
      </c>
      <c r="B17138" s="27" t="s">
        <v>179</v>
      </c>
      <c r="C17138" s="27" t="s">
        <v>50</v>
      </c>
      <c r="D17138" s="27" t="s">
        <v>6</v>
      </c>
      <c r="E17138" s="27" t="s">
        <v>40</v>
      </c>
      <c r="F17138" s="29"/>
      <c r="G17138" s="30">
        <v>1781.41</v>
      </c>
    </row>
    <row r="17139" spans="1:7" hidden="1" x14ac:dyDescent="0.25">
      <c r="A17139" s="28">
        <v>44927</v>
      </c>
      <c r="B17139" s="27" t="s">
        <v>179</v>
      </c>
      <c r="C17139" s="27" t="s">
        <v>50</v>
      </c>
      <c r="D17139" s="27" t="s">
        <v>6</v>
      </c>
      <c r="E17139" s="27" t="s">
        <v>42</v>
      </c>
      <c r="F17139" s="29"/>
      <c r="G17139" s="30">
        <f>33.66+133.65</f>
        <v>167.31</v>
      </c>
    </row>
    <row r="17140" spans="1:7" hidden="1" x14ac:dyDescent="0.25">
      <c r="A17140" s="28">
        <v>44927</v>
      </c>
      <c r="B17140" s="27" t="s">
        <v>179</v>
      </c>
      <c r="C17140" s="27" t="s">
        <v>50</v>
      </c>
      <c r="D17140" s="27" t="s">
        <v>6</v>
      </c>
      <c r="E17140" s="27" t="s">
        <v>43</v>
      </c>
      <c r="F17140" s="29"/>
      <c r="G17140" s="30">
        <v>7242.03</v>
      </c>
    </row>
    <row r="17141" spans="1:7" hidden="1" x14ac:dyDescent="0.25">
      <c r="A17141" s="28">
        <v>44927</v>
      </c>
      <c r="B17141" s="27" t="s">
        <v>179</v>
      </c>
      <c r="C17141" s="27" t="s">
        <v>50</v>
      </c>
      <c r="D17141" s="27" t="s">
        <v>6</v>
      </c>
      <c r="E17141" s="27" t="s">
        <v>72</v>
      </c>
      <c r="F17141" s="29"/>
      <c r="G17141" s="30">
        <v>2861.89</v>
      </c>
    </row>
    <row r="17142" spans="1:7" hidden="1" x14ac:dyDescent="0.25">
      <c r="A17142" s="28">
        <v>44927</v>
      </c>
      <c r="B17142" s="27" t="s">
        <v>179</v>
      </c>
      <c r="C17142" s="27" t="s">
        <v>50</v>
      </c>
      <c r="D17142" s="27" t="s">
        <v>6</v>
      </c>
      <c r="E17142" s="27" t="s">
        <v>206</v>
      </c>
      <c r="F17142" s="29"/>
      <c r="G17142" s="30">
        <v>2084.7999999999997</v>
      </c>
    </row>
    <row r="17143" spans="1:7" hidden="1" x14ac:dyDescent="0.25">
      <c r="A17143" s="28">
        <v>44927</v>
      </c>
      <c r="B17143" s="27" t="s">
        <v>179</v>
      </c>
      <c r="C17143" s="27" t="s">
        <v>50</v>
      </c>
      <c r="D17143" s="27" t="s">
        <v>6</v>
      </c>
      <c r="E17143" s="27" t="s">
        <v>67</v>
      </c>
      <c r="F17143" s="29"/>
      <c r="G17143" s="30">
        <v>1516.68</v>
      </c>
    </row>
    <row r="17144" spans="1:7" hidden="1" x14ac:dyDescent="0.25">
      <c r="A17144" s="28">
        <v>44927</v>
      </c>
      <c r="B17144" s="27" t="s">
        <v>179</v>
      </c>
      <c r="C17144" s="27" t="s">
        <v>50</v>
      </c>
      <c r="D17144" s="27" t="s">
        <v>6</v>
      </c>
      <c r="E17144" s="27" t="s">
        <v>68</v>
      </c>
      <c r="F17144" s="29"/>
      <c r="G17144" s="30">
        <v>2554.8799999999997</v>
      </c>
    </row>
    <row r="17145" spans="1:7" hidden="1" x14ac:dyDescent="0.25">
      <c r="A17145" s="28">
        <v>44927</v>
      </c>
      <c r="B17145" s="27" t="s">
        <v>179</v>
      </c>
      <c r="C17145" s="27" t="s">
        <v>50</v>
      </c>
      <c r="D17145" s="27" t="s">
        <v>6</v>
      </c>
      <c r="E17145" s="27" t="s">
        <v>170</v>
      </c>
      <c r="F17145" s="29"/>
      <c r="G17145" s="30">
        <v>67.319999999999993</v>
      </c>
    </row>
    <row r="17146" spans="1:7" hidden="1" x14ac:dyDescent="0.25">
      <c r="A17146" s="28">
        <v>44927</v>
      </c>
      <c r="B17146" s="27" t="s">
        <v>179</v>
      </c>
      <c r="C17146" s="27" t="s">
        <v>50</v>
      </c>
      <c r="D17146" s="27" t="s">
        <v>6</v>
      </c>
      <c r="E17146" s="27" t="s">
        <v>203</v>
      </c>
      <c r="F17146" s="29"/>
      <c r="G17146" s="30">
        <f>33.66+133.65</f>
        <v>167.31</v>
      </c>
    </row>
    <row r="17147" spans="1:7" hidden="1" x14ac:dyDescent="0.25">
      <c r="A17147" s="28">
        <v>44927</v>
      </c>
      <c r="B17147" s="27" t="s">
        <v>32</v>
      </c>
      <c r="C17147" s="27" t="s">
        <v>50</v>
      </c>
      <c r="D17147" s="27" t="s">
        <v>7</v>
      </c>
      <c r="E17147" s="27" t="s">
        <v>68</v>
      </c>
      <c r="F17147" s="29"/>
      <c r="G17147" s="30">
        <v>75</v>
      </c>
    </row>
    <row r="17148" spans="1:7" hidden="1" x14ac:dyDescent="0.25">
      <c r="A17148" s="28">
        <v>44927</v>
      </c>
      <c r="B17148" s="27" t="s">
        <v>5</v>
      </c>
      <c r="C17148" s="27" t="s">
        <v>51</v>
      </c>
      <c r="D17148" s="27" t="s">
        <v>51</v>
      </c>
      <c r="E17148" s="27" t="s">
        <v>8</v>
      </c>
      <c r="F17148" s="29">
        <v>4878</v>
      </c>
      <c r="G17148" s="30">
        <f>17187.06/Tabela16[[#This Row],[KM RODADO]]</f>
        <v>3.5233825338253384</v>
      </c>
    </row>
    <row r="17149" spans="1:7" hidden="1" x14ac:dyDescent="0.25">
      <c r="A17149" s="28">
        <v>44927</v>
      </c>
      <c r="B17149" s="27" t="s">
        <v>5</v>
      </c>
      <c r="C17149" s="27" t="s">
        <v>51</v>
      </c>
      <c r="D17149" s="27" t="s">
        <v>51</v>
      </c>
      <c r="E17149" s="27" t="s">
        <v>9</v>
      </c>
      <c r="F17149" s="29">
        <v>4956</v>
      </c>
      <c r="G17149" s="30">
        <f>22115.21/Tabela16[[#This Row],[KM RODADO]]</f>
        <v>4.4623103309120253</v>
      </c>
    </row>
    <row r="17150" spans="1:7" hidden="1" x14ac:dyDescent="0.25">
      <c r="A17150" s="28">
        <v>44927</v>
      </c>
      <c r="B17150" s="27" t="s">
        <v>5</v>
      </c>
      <c r="C17150" s="27" t="s">
        <v>51</v>
      </c>
      <c r="D17150" s="27" t="s">
        <v>51</v>
      </c>
      <c r="E17150" s="27" t="s">
        <v>21</v>
      </c>
      <c r="F17150" s="29">
        <v>4484</v>
      </c>
      <c r="G17150" s="30">
        <v>0</v>
      </c>
    </row>
    <row r="17151" spans="1:7" hidden="1" x14ac:dyDescent="0.25">
      <c r="A17151" s="28">
        <v>44927</v>
      </c>
      <c r="B17151" s="27" t="s">
        <v>5</v>
      </c>
      <c r="C17151" s="27" t="s">
        <v>51</v>
      </c>
      <c r="D17151" s="27" t="s">
        <v>51</v>
      </c>
      <c r="E17151" s="27" t="s">
        <v>10</v>
      </c>
      <c r="F17151" s="29">
        <v>4304</v>
      </c>
      <c r="G17151" s="30">
        <v>0</v>
      </c>
    </row>
    <row r="17152" spans="1:7" hidden="1" x14ac:dyDescent="0.25">
      <c r="A17152" s="28">
        <v>44927</v>
      </c>
      <c r="B17152" s="27" t="s">
        <v>5</v>
      </c>
      <c r="C17152" s="27" t="s">
        <v>51</v>
      </c>
      <c r="D17152" s="27" t="s">
        <v>51</v>
      </c>
      <c r="E17152" s="27" t="s">
        <v>11</v>
      </c>
      <c r="F17152" s="29">
        <v>274</v>
      </c>
      <c r="G17152" s="30">
        <v>0</v>
      </c>
    </row>
    <row r="17153" spans="1:7" hidden="1" x14ac:dyDescent="0.25">
      <c r="A17153" s="28">
        <v>44927</v>
      </c>
      <c r="B17153" s="27" t="s">
        <v>5</v>
      </c>
      <c r="C17153" s="27" t="s">
        <v>51</v>
      </c>
      <c r="D17153" s="27" t="s">
        <v>51</v>
      </c>
      <c r="E17153" s="27" t="s">
        <v>13</v>
      </c>
      <c r="F17153" s="29">
        <v>7118</v>
      </c>
      <c r="G17153" s="30">
        <v>0</v>
      </c>
    </row>
    <row r="17154" spans="1:7" hidden="1" x14ac:dyDescent="0.25">
      <c r="A17154" s="28">
        <v>44927</v>
      </c>
      <c r="B17154" s="27" t="s">
        <v>5</v>
      </c>
      <c r="C17154" s="27" t="s">
        <v>51</v>
      </c>
      <c r="D17154" s="27" t="s">
        <v>51</v>
      </c>
      <c r="E17154" s="27" t="s">
        <v>14</v>
      </c>
      <c r="F17154" s="29">
        <v>3468</v>
      </c>
      <c r="G17154" s="30">
        <v>0</v>
      </c>
    </row>
    <row r="17155" spans="1:7" hidden="1" x14ac:dyDescent="0.25">
      <c r="A17155" s="28">
        <v>44927</v>
      </c>
      <c r="B17155" s="27" t="s">
        <v>5</v>
      </c>
      <c r="C17155" s="27" t="s">
        <v>51</v>
      </c>
      <c r="D17155" s="27" t="s">
        <v>51</v>
      </c>
      <c r="E17155" s="27" t="s">
        <v>15</v>
      </c>
      <c r="F17155" s="29">
        <v>4119</v>
      </c>
      <c r="G17155" s="30">
        <v>0</v>
      </c>
    </row>
    <row r="17156" spans="1:7" hidden="1" x14ac:dyDescent="0.25">
      <c r="A17156" s="28">
        <v>44927</v>
      </c>
      <c r="B17156" s="27" t="s">
        <v>5</v>
      </c>
      <c r="C17156" s="27" t="s">
        <v>51</v>
      </c>
      <c r="D17156" s="27" t="s">
        <v>51</v>
      </c>
      <c r="E17156" s="27" t="s">
        <v>17</v>
      </c>
      <c r="F17156" s="29">
        <v>3649</v>
      </c>
      <c r="G17156" s="30">
        <v>0</v>
      </c>
    </row>
    <row r="17157" spans="1:7" hidden="1" x14ac:dyDescent="0.25">
      <c r="A17157" s="28">
        <v>44927</v>
      </c>
      <c r="B17157" s="27" t="s">
        <v>5</v>
      </c>
      <c r="C17157" s="27" t="s">
        <v>51</v>
      </c>
      <c r="D17157" s="27" t="s">
        <v>51</v>
      </c>
      <c r="E17157" s="27" t="s">
        <v>18</v>
      </c>
      <c r="F17157" s="29">
        <v>4973</v>
      </c>
      <c r="G17157" s="30">
        <v>0</v>
      </c>
    </row>
    <row r="17158" spans="1:7" hidden="1" x14ac:dyDescent="0.25">
      <c r="A17158" s="28">
        <v>44927</v>
      </c>
      <c r="B17158" s="27" t="s">
        <v>5</v>
      </c>
      <c r="C17158" s="27" t="s">
        <v>51</v>
      </c>
      <c r="D17158" s="27" t="s">
        <v>51</v>
      </c>
      <c r="E17158" s="27" t="s">
        <v>19</v>
      </c>
      <c r="F17158" s="29">
        <v>4396</v>
      </c>
      <c r="G17158" s="30">
        <v>0</v>
      </c>
    </row>
    <row r="17159" spans="1:7" hidden="1" x14ac:dyDescent="0.25">
      <c r="A17159" s="28">
        <v>44927</v>
      </c>
      <c r="B17159" s="27" t="s">
        <v>5</v>
      </c>
      <c r="C17159" s="27" t="s">
        <v>51</v>
      </c>
      <c r="D17159" s="27" t="s">
        <v>51</v>
      </c>
      <c r="E17159" s="27" t="s">
        <v>20</v>
      </c>
      <c r="F17159" s="29">
        <v>3485</v>
      </c>
      <c r="G17159" s="30">
        <v>0</v>
      </c>
    </row>
    <row r="17160" spans="1:7" hidden="1" x14ac:dyDescent="0.25">
      <c r="A17160" s="28">
        <v>44927</v>
      </c>
      <c r="B17160" s="27" t="s">
        <v>5</v>
      </c>
      <c r="C17160" s="27" t="s">
        <v>51</v>
      </c>
      <c r="D17160" s="27" t="s">
        <v>51</v>
      </c>
      <c r="E17160" s="27" t="s">
        <v>23</v>
      </c>
      <c r="F17160" s="29">
        <v>6311</v>
      </c>
      <c r="G17160" s="30">
        <v>0</v>
      </c>
    </row>
    <row r="17161" spans="1:7" hidden="1" x14ac:dyDescent="0.25">
      <c r="A17161" s="28">
        <v>44927</v>
      </c>
      <c r="B17161" s="27" t="s">
        <v>5</v>
      </c>
      <c r="C17161" s="27" t="s">
        <v>51</v>
      </c>
      <c r="D17161" s="27" t="s">
        <v>51</v>
      </c>
      <c r="E17161" s="27" t="s">
        <v>22</v>
      </c>
      <c r="F17161" s="29">
        <v>1990</v>
      </c>
      <c r="G17161" s="30">
        <f>14865.25/Tabela16[[#This Row],[KM RODADO]]</f>
        <v>7.469974874371859</v>
      </c>
    </row>
    <row r="17162" spans="1:7" hidden="1" x14ac:dyDescent="0.25">
      <c r="A17162" s="28">
        <v>44927</v>
      </c>
      <c r="B17162" s="27" t="s">
        <v>5</v>
      </c>
      <c r="C17162" s="27" t="s">
        <v>51</v>
      </c>
      <c r="D17162" s="27" t="s">
        <v>51</v>
      </c>
      <c r="E17162" s="27" t="s">
        <v>41</v>
      </c>
      <c r="F17162" s="29">
        <v>3618</v>
      </c>
      <c r="G17162" s="30">
        <v>0</v>
      </c>
    </row>
    <row r="17163" spans="1:7" hidden="1" x14ac:dyDescent="0.25">
      <c r="A17163" s="28">
        <v>44927</v>
      </c>
      <c r="B17163" s="27" t="s">
        <v>5</v>
      </c>
      <c r="C17163" s="27" t="s">
        <v>51</v>
      </c>
      <c r="D17163" s="27" t="s">
        <v>51</v>
      </c>
      <c r="E17163" s="27" t="s">
        <v>40</v>
      </c>
      <c r="F17163" s="29">
        <v>4372</v>
      </c>
      <c r="G17163" s="30">
        <v>0</v>
      </c>
    </row>
    <row r="17164" spans="1:7" hidden="1" x14ac:dyDescent="0.25">
      <c r="A17164" s="28">
        <v>44927</v>
      </c>
      <c r="B17164" s="27" t="s">
        <v>5</v>
      </c>
      <c r="C17164" s="27" t="s">
        <v>51</v>
      </c>
      <c r="D17164" s="27" t="s">
        <v>51</v>
      </c>
      <c r="E17164" s="27" t="s">
        <v>64</v>
      </c>
      <c r="F17164" s="29">
        <v>581</v>
      </c>
      <c r="G17164" s="30">
        <v>0</v>
      </c>
    </row>
    <row r="17165" spans="1:7" hidden="1" x14ac:dyDescent="0.25">
      <c r="A17165" s="28">
        <v>44927</v>
      </c>
      <c r="B17165" s="27" t="s">
        <v>5</v>
      </c>
      <c r="C17165" s="27" t="s">
        <v>51</v>
      </c>
      <c r="D17165" s="27" t="s">
        <v>51</v>
      </c>
      <c r="E17165" s="27" t="s">
        <v>42</v>
      </c>
      <c r="F17165" s="29">
        <v>1889</v>
      </c>
      <c r="G17165" s="30">
        <f>10621.84/Tabela16[[#This Row],[KM RODADO]]</f>
        <v>5.6229962943356275</v>
      </c>
    </row>
    <row r="17166" spans="1:7" hidden="1" x14ac:dyDescent="0.25">
      <c r="A17166" s="28">
        <v>44927</v>
      </c>
      <c r="B17166" s="27" t="s">
        <v>5</v>
      </c>
      <c r="C17166" s="27" t="s">
        <v>51</v>
      </c>
      <c r="D17166" s="27" t="s">
        <v>51</v>
      </c>
      <c r="E17166" s="27" t="s">
        <v>72</v>
      </c>
      <c r="F17166" s="29">
        <v>5517</v>
      </c>
      <c r="G17166" s="30">
        <v>0</v>
      </c>
    </row>
    <row r="17167" spans="1:7" hidden="1" x14ac:dyDescent="0.25">
      <c r="A17167" s="28">
        <v>44927</v>
      </c>
      <c r="B17167" s="27" t="s">
        <v>5</v>
      </c>
      <c r="C17167" s="27" t="s">
        <v>51</v>
      </c>
      <c r="D17167" s="27" t="s">
        <v>51</v>
      </c>
      <c r="E17167" s="27" t="s">
        <v>43</v>
      </c>
      <c r="F17167" s="29">
        <v>6041</v>
      </c>
      <c r="G17167" s="30">
        <f>22655.04/Tabela16[[#This Row],[KM RODADO]]</f>
        <v>3.7502135408045025</v>
      </c>
    </row>
    <row r="17168" spans="1:7" hidden="1" x14ac:dyDescent="0.25">
      <c r="A17168" s="28">
        <v>44927</v>
      </c>
      <c r="B17168" s="27" t="s">
        <v>5</v>
      </c>
      <c r="C17168" s="27" t="s">
        <v>51</v>
      </c>
      <c r="D17168" s="27" t="s">
        <v>51</v>
      </c>
      <c r="E17168" s="27" t="s">
        <v>206</v>
      </c>
      <c r="F17168" s="29">
        <v>7941</v>
      </c>
      <c r="G17168" s="30">
        <v>0</v>
      </c>
    </row>
    <row r="17169" spans="1:7" hidden="1" x14ac:dyDescent="0.25">
      <c r="A17169" s="28">
        <v>44927</v>
      </c>
      <c r="B17169" s="27" t="s">
        <v>5</v>
      </c>
      <c r="C17169" s="27" t="s">
        <v>51</v>
      </c>
      <c r="D17169" s="27" t="s">
        <v>51</v>
      </c>
      <c r="E17169" s="27" t="s">
        <v>68</v>
      </c>
      <c r="F17169" s="29">
        <v>6829</v>
      </c>
      <c r="G17169" s="64">
        <f>27656.61/Tabela16[[#This Row],[KM RODADO]]</f>
        <v>4.0498769951676676</v>
      </c>
    </row>
    <row r="17170" spans="1:7" hidden="1" x14ac:dyDescent="0.25">
      <c r="A17170" s="28">
        <v>44927</v>
      </c>
      <c r="B17170" s="27" t="s">
        <v>5</v>
      </c>
      <c r="C17170" s="27" t="s">
        <v>51</v>
      </c>
      <c r="D17170" s="27" t="s">
        <v>51</v>
      </c>
      <c r="E17170" s="27" t="s">
        <v>74</v>
      </c>
      <c r="F17170" s="29">
        <v>3503</v>
      </c>
      <c r="G17170" s="30">
        <v>0</v>
      </c>
    </row>
    <row r="17171" spans="1:7" hidden="1" x14ac:dyDescent="0.25">
      <c r="A17171" s="28">
        <v>44927</v>
      </c>
      <c r="B17171" s="27" t="s">
        <v>5</v>
      </c>
      <c r="C17171" s="27" t="s">
        <v>51</v>
      </c>
      <c r="D17171" s="27" t="s">
        <v>51</v>
      </c>
      <c r="E17171" s="27" t="s">
        <v>67</v>
      </c>
      <c r="F17171" s="29">
        <v>3101</v>
      </c>
      <c r="G17171" s="30">
        <f>18173.23/Tabela16[[#This Row],[KM RODADO]]</f>
        <v>5.8604417929700094</v>
      </c>
    </row>
    <row r="17172" spans="1:7" hidden="1" x14ac:dyDescent="0.25">
      <c r="A17172" s="28">
        <v>44927</v>
      </c>
      <c r="B17172" s="27" t="s">
        <v>5</v>
      </c>
      <c r="C17172" s="27" t="s">
        <v>51</v>
      </c>
      <c r="D17172" s="27" t="s">
        <v>51</v>
      </c>
      <c r="E17172" s="27" t="s">
        <v>71</v>
      </c>
      <c r="F17172" s="29">
        <v>6173</v>
      </c>
      <c r="G17172" s="30">
        <v>0</v>
      </c>
    </row>
    <row r="17173" spans="1:7" hidden="1" x14ac:dyDescent="0.25">
      <c r="A17173" s="28">
        <v>44927</v>
      </c>
      <c r="B17173" s="27" t="s">
        <v>5</v>
      </c>
      <c r="C17173" s="27" t="s">
        <v>51</v>
      </c>
      <c r="D17173" s="27" t="s">
        <v>51</v>
      </c>
      <c r="E17173" s="27" t="s">
        <v>73</v>
      </c>
      <c r="F17173" s="29">
        <v>5386</v>
      </c>
      <c r="G17173" s="30">
        <v>0</v>
      </c>
    </row>
    <row r="17174" spans="1:7" hidden="1" x14ac:dyDescent="0.25">
      <c r="A17174" s="28">
        <v>44927</v>
      </c>
      <c r="B17174" s="27" t="s">
        <v>5</v>
      </c>
      <c r="C17174" s="27" t="s">
        <v>51</v>
      </c>
      <c r="D17174" s="27" t="s">
        <v>51</v>
      </c>
      <c r="E17174" s="27" t="s">
        <v>70</v>
      </c>
      <c r="F17174" s="29">
        <v>7041</v>
      </c>
      <c r="G17174" s="30">
        <f>28274.09/Tabela16[[#This Row],[KM RODADO]]</f>
        <v>4.0156355631302372</v>
      </c>
    </row>
    <row r="17175" spans="1:7" hidden="1" x14ac:dyDescent="0.25">
      <c r="A17175" s="28">
        <v>44927</v>
      </c>
      <c r="B17175" s="27" t="s">
        <v>5</v>
      </c>
      <c r="C17175" s="27" t="s">
        <v>51</v>
      </c>
      <c r="D17175" s="27" t="s">
        <v>51</v>
      </c>
      <c r="E17175" s="27" t="s">
        <v>203</v>
      </c>
      <c r="F17175" s="29">
        <v>1771</v>
      </c>
      <c r="G17175" s="30">
        <v>0</v>
      </c>
    </row>
    <row r="17176" spans="1:7" hidden="1" x14ac:dyDescent="0.25">
      <c r="A17176" s="28">
        <v>44927</v>
      </c>
      <c r="B17176" s="27" t="s">
        <v>180</v>
      </c>
      <c r="C17176" s="27" t="s">
        <v>50</v>
      </c>
      <c r="D17176" s="27" t="s">
        <v>7</v>
      </c>
      <c r="E17176" s="27" t="s">
        <v>68</v>
      </c>
      <c r="F17176" s="29"/>
      <c r="G17176" s="30">
        <f>620+305.059</f>
        <v>925.05899999999997</v>
      </c>
    </row>
    <row r="17177" spans="1:7" hidden="1" x14ac:dyDescent="0.25">
      <c r="A17177" s="28">
        <v>44927</v>
      </c>
      <c r="B17177" s="27" t="s">
        <v>180</v>
      </c>
      <c r="C17177" s="27" t="s">
        <v>50</v>
      </c>
      <c r="D17177" s="27" t="s">
        <v>7</v>
      </c>
      <c r="E17177" s="27" t="s">
        <v>9</v>
      </c>
      <c r="F17177" s="29"/>
      <c r="G17177" s="30">
        <f>1015+305.059</f>
        <v>1320.059</v>
      </c>
    </row>
    <row r="17178" spans="1:7" hidden="1" x14ac:dyDescent="0.25">
      <c r="A17178" s="28">
        <v>44927</v>
      </c>
      <c r="B17178" s="27" t="s">
        <v>180</v>
      </c>
      <c r="C17178" s="27" t="s">
        <v>50</v>
      </c>
      <c r="D17178" s="27" t="s">
        <v>7</v>
      </c>
      <c r="E17178" s="27" t="s">
        <v>174</v>
      </c>
      <c r="F17178" s="29"/>
      <c r="G17178" s="30">
        <f>1200+305.059</f>
        <v>1505.059</v>
      </c>
    </row>
    <row r="17179" spans="1:7" hidden="1" x14ac:dyDescent="0.25">
      <c r="A17179" s="28">
        <v>44927</v>
      </c>
      <c r="B17179" s="27" t="s">
        <v>180</v>
      </c>
      <c r="C17179" s="27" t="s">
        <v>50</v>
      </c>
      <c r="D17179" s="27" t="s">
        <v>7</v>
      </c>
      <c r="E17179" s="27" t="s">
        <v>66</v>
      </c>
      <c r="F17179" s="29"/>
      <c r="G17179" s="30">
        <f>598+305.059</f>
        <v>903.05899999999997</v>
      </c>
    </row>
    <row r="17180" spans="1:7" hidden="1" x14ac:dyDescent="0.25">
      <c r="A17180" s="28">
        <v>44927</v>
      </c>
      <c r="B17180" s="27" t="s">
        <v>180</v>
      </c>
      <c r="C17180" s="27" t="s">
        <v>50</v>
      </c>
      <c r="D17180" s="27" t="s">
        <v>7</v>
      </c>
      <c r="E17180" s="27" t="s">
        <v>67</v>
      </c>
      <c r="F17180" s="29"/>
      <c r="G17180" s="30">
        <f>800+305.059</f>
        <v>1105.059</v>
      </c>
    </row>
    <row r="17181" spans="1:7" hidden="1" x14ac:dyDescent="0.25">
      <c r="A17181" s="28">
        <v>44927</v>
      </c>
      <c r="B17181" s="27" t="s">
        <v>180</v>
      </c>
      <c r="C17181" s="27" t="s">
        <v>50</v>
      </c>
      <c r="D17181" s="27" t="s">
        <v>7</v>
      </c>
      <c r="E17181" s="27" t="s">
        <v>203</v>
      </c>
      <c r="F17181" s="29"/>
      <c r="G17181" s="30">
        <f>246.15+305.059</f>
        <v>551.20900000000006</v>
      </c>
    </row>
    <row r="17182" spans="1:7" hidden="1" x14ac:dyDescent="0.25">
      <c r="A17182" s="28">
        <v>44927</v>
      </c>
      <c r="B17182" s="27" t="s">
        <v>180</v>
      </c>
      <c r="C17182" s="27" t="s">
        <v>50</v>
      </c>
      <c r="D17182" s="27" t="s">
        <v>7</v>
      </c>
      <c r="E17182" s="27" t="s">
        <v>71</v>
      </c>
      <c r="F17182" s="29"/>
      <c r="G17182" s="30">
        <f>1981+305.059</f>
        <v>2286.0590000000002</v>
      </c>
    </row>
    <row r="17183" spans="1:7" hidden="1" x14ac:dyDescent="0.25">
      <c r="A17183" s="28">
        <v>44927</v>
      </c>
      <c r="B17183" s="27" t="s">
        <v>180</v>
      </c>
      <c r="C17183" s="27" t="s">
        <v>50</v>
      </c>
      <c r="D17183" s="27" t="s">
        <v>7</v>
      </c>
      <c r="E17183" s="27" t="s">
        <v>64</v>
      </c>
      <c r="F17183" s="29"/>
      <c r="G17183" s="30">
        <f>1030+305.059</f>
        <v>1335.059</v>
      </c>
    </row>
    <row r="17184" spans="1:7" hidden="1" x14ac:dyDescent="0.25">
      <c r="A17184" s="28">
        <v>44927</v>
      </c>
      <c r="B17184" s="27" t="s">
        <v>180</v>
      </c>
      <c r="C17184" s="27" t="s">
        <v>50</v>
      </c>
      <c r="D17184" s="27" t="s">
        <v>7</v>
      </c>
      <c r="E17184" s="27" t="s">
        <v>65</v>
      </c>
      <c r="F17184" s="29"/>
      <c r="G17184" s="30">
        <f>94+305.059</f>
        <v>399.05900000000003</v>
      </c>
    </row>
    <row r="17185" spans="1:7" hidden="1" x14ac:dyDescent="0.25">
      <c r="A17185" s="28">
        <v>44927</v>
      </c>
      <c r="B17185" s="27" t="s">
        <v>180</v>
      </c>
      <c r="C17185" s="27" t="s">
        <v>50</v>
      </c>
      <c r="D17185" s="27" t="s">
        <v>7</v>
      </c>
      <c r="E17185" s="27" t="s">
        <v>11</v>
      </c>
      <c r="F17185" s="29"/>
      <c r="G17185" s="30">
        <f>180+305.059</f>
        <v>485.05900000000003</v>
      </c>
    </row>
    <row r="17186" spans="1:7" hidden="1" x14ac:dyDescent="0.25">
      <c r="A17186" s="28">
        <v>44927</v>
      </c>
      <c r="B17186" s="27" t="s">
        <v>180</v>
      </c>
      <c r="C17186" s="27" t="s">
        <v>50</v>
      </c>
      <c r="D17186" s="27" t="s">
        <v>7</v>
      </c>
      <c r="E17186" s="27" t="s">
        <v>12</v>
      </c>
      <c r="F17186" s="29"/>
      <c r="G17186" s="30">
        <f>1190+305.059</f>
        <v>1495.059</v>
      </c>
    </row>
    <row r="17187" spans="1:7" hidden="1" x14ac:dyDescent="0.25">
      <c r="A17187" s="28">
        <v>44927</v>
      </c>
      <c r="B17187" s="27" t="s">
        <v>180</v>
      </c>
      <c r="C17187" s="27" t="s">
        <v>50</v>
      </c>
      <c r="D17187" s="27" t="s">
        <v>7</v>
      </c>
      <c r="E17187" s="27" t="s">
        <v>15</v>
      </c>
      <c r="F17187" s="29"/>
      <c r="G17187" s="30">
        <f>240+305.059</f>
        <v>545.05899999999997</v>
      </c>
    </row>
    <row r="17188" spans="1:7" hidden="1" x14ac:dyDescent="0.25">
      <c r="A17188" s="28">
        <v>44927</v>
      </c>
      <c r="B17188" s="27" t="s">
        <v>180</v>
      </c>
      <c r="C17188" s="27" t="s">
        <v>50</v>
      </c>
      <c r="D17188" s="27" t="s">
        <v>7</v>
      </c>
      <c r="E17188" s="27" t="s">
        <v>16</v>
      </c>
      <c r="F17188" s="29"/>
      <c r="G17188" s="30">
        <f>180+305.059</f>
        <v>485.05900000000003</v>
      </c>
    </row>
    <row r="17189" spans="1:7" hidden="1" x14ac:dyDescent="0.25">
      <c r="A17189" s="28">
        <v>44927</v>
      </c>
      <c r="B17189" s="27" t="s">
        <v>180</v>
      </c>
      <c r="C17189" s="27" t="s">
        <v>50</v>
      </c>
      <c r="D17189" s="27" t="s">
        <v>7</v>
      </c>
      <c r="E17189" s="27" t="s">
        <v>19</v>
      </c>
      <c r="F17189" s="29"/>
      <c r="G17189" s="30">
        <f>100+305.059</f>
        <v>405.05900000000003</v>
      </c>
    </row>
    <row r="17190" spans="1:7" hidden="1" x14ac:dyDescent="0.25">
      <c r="A17190" s="28">
        <v>44927</v>
      </c>
      <c r="B17190" s="27" t="s">
        <v>180</v>
      </c>
      <c r="C17190" s="27" t="s">
        <v>50</v>
      </c>
      <c r="D17190" s="27" t="s">
        <v>7</v>
      </c>
      <c r="E17190" s="27" t="s">
        <v>20</v>
      </c>
      <c r="F17190" s="29"/>
      <c r="G17190" s="30">
        <f>150+305.059</f>
        <v>455.05900000000003</v>
      </c>
    </row>
    <row r="17191" spans="1:7" hidden="1" x14ac:dyDescent="0.25">
      <c r="A17191" s="28">
        <v>44927</v>
      </c>
      <c r="B17191" s="27" t="s">
        <v>180</v>
      </c>
      <c r="C17191" s="27" t="s">
        <v>50</v>
      </c>
      <c r="D17191" s="27" t="s">
        <v>7</v>
      </c>
      <c r="E17191" s="27" t="s">
        <v>23</v>
      </c>
      <c r="F17191" s="29"/>
      <c r="G17191" s="30">
        <f>122+305.059</f>
        <v>427.05900000000003</v>
      </c>
    </row>
    <row r="17192" spans="1:7" hidden="1" x14ac:dyDescent="0.25">
      <c r="A17192" s="28">
        <v>44927</v>
      </c>
      <c r="B17192" s="27" t="s">
        <v>180</v>
      </c>
      <c r="C17192" s="27" t="s">
        <v>50</v>
      </c>
      <c r="D17192" s="27" t="s">
        <v>7</v>
      </c>
      <c r="E17192" s="27" t="s">
        <v>203</v>
      </c>
      <c r="F17192" s="29"/>
      <c r="G17192" s="30">
        <f>430+305.059</f>
        <v>735.05899999999997</v>
      </c>
    </row>
    <row r="17193" spans="1:7" hidden="1" x14ac:dyDescent="0.25">
      <c r="A17193" s="28">
        <v>44927</v>
      </c>
      <c r="B17193" s="27" t="s">
        <v>181</v>
      </c>
      <c r="C17193" s="27" t="s">
        <v>50</v>
      </c>
      <c r="D17193" s="27" t="s">
        <v>6</v>
      </c>
      <c r="E17193" s="27" t="s">
        <v>72</v>
      </c>
      <c r="F17193" s="29"/>
      <c r="G17193" s="30">
        <f>484.9+24.29</f>
        <v>509.19</v>
      </c>
    </row>
    <row r="17194" spans="1:7" hidden="1" x14ac:dyDescent="0.25">
      <c r="A17194" s="28">
        <v>44927</v>
      </c>
      <c r="B17194" s="27" t="s">
        <v>181</v>
      </c>
      <c r="C17194" s="27" t="s">
        <v>50</v>
      </c>
      <c r="D17194" s="27" t="s">
        <v>6</v>
      </c>
      <c r="E17194" s="27" t="s">
        <v>68</v>
      </c>
      <c r="F17194" s="29"/>
      <c r="G17194" s="30">
        <f>400+24.29</f>
        <v>424.29</v>
      </c>
    </row>
    <row r="17195" spans="1:7" hidden="1" x14ac:dyDescent="0.25">
      <c r="A17195" s="28">
        <v>44927</v>
      </c>
      <c r="B17195" s="27" t="s">
        <v>181</v>
      </c>
      <c r="C17195" s="27" t="s">
        <v>50</v>
      </c>
      <c r="D17195" s="27" t="s">
        <v>6</v>
      </c>
      <c r="E17195" s="27" t="s">
        <v>43</v>
      </c>
      <c r="F17195" s="29"/>
      <c r="G17195" s="30">
        <f>669.78+24.29</f>
        <v>694.06999999999994</v>
      </c>
    </row>
    <row r="17196" spans="1:7" hidden="1" x14ac:dyDescent="0.25">
      <c r="A17196" s="28">
        <v>44927</v>
      </c>
      <c r="B17196" s="27" t="s">
        <v>181</v>
      </c>
      <c r="C17196" s="27" t="s">
        <v>50</v>
      </c>
      <c r="D17196" s="27" t="s">
        <v>6</v>
      </c>
      <c r="E17196" s="27" t="s">
        <v>8</v>
      </c>
      <c r="F17196" s="29"/>
      <c r="G17196" s="30">
        <f>740+24.29</f>
        <v>764.29</v>
      </c>
    </row>
    <row r="17197" spans="1:7" hidden="1" x14ac:dyDescent="0.25">
      <c r="A17197" s="28">
        <v>44927</v>
      </c>
      <c r="B17197" s="27" t="s">
        <v>181</v>
      </c>
      <c r="C17197" s="27" t="s">
        <v>50</v>
      </c>
      <c r="D17197" s="27" t="s">
        <v>6</v>
      </c>
      <c r="E17197" s="27" t="s">
        <v>9</v>
      </c>
      <c r="F17197" s="29"/>
      <c r="G17197" s="30">
        <f>183+24.29</f>
        <v>207.29</v>
      </c>
    </row>
    <row r="17198" spans="1:7" hidden="1" x14ac:dyDescent="0.25">
      <c r="A17198" s="28">
        <v>44927</v>
      </c>
      <c r="B17198" s="27" t="s">
        <v>181</v>
      </c>
      <c r="C17198" s="27" t="s">
        <v>50</v>
      </c>
      <c r="D17198" s="27" t="s">
        <v>6</v>
      </c>
      <c r="E17198" s="27" t="s">
        <v>67</v>
      </c>
      <c r="F17198" s="29"/>
      <c r="G17198" s="30">
        <f>220+24.29</f>
        <v>244.29</v>
      </c>
    </row>
    <row r="17199" spans="1:7" hidden="1" x14ac:dyDescent="0.25">
      <c r="A17199" s="28">
        <v>44927</v>
      </c>
      <c r="B17199" s="27" t="s">
        <v>181</v>
      </c>
      <c r="C17199" s="27" t="s">
        <v>50</v>
      </c>
      <c r="D17199" s="27" t="s">
        <v>6</v>
      </c>
      <c r="E17199" s="27" t="s">
        <v>22</v>
      </c>
      <c r="F17199" s="29"/>
      <c r="G17199" s="30">
        <f>218+24.29</f>
        <v>242.29</v>
      </c>
    </row>
    <row r="17200" spans="1:7" hidden="1" x14ac:dyDescent="0.25">
      <c r="A17200" s="28">
        <v>44927</v>
      </c>
      <c r="B17200" s="27" t="s">
        <v>181</v>
      </c>
      <c r="C17200" s="27" t="s">
        <v>50</v>
      </c>
      <c r="D17200" s="27" t="s">
        <v>6</v>
      </c>
      <c r="E17200" s="27" t="s">
        <v>64</v>
      </c>
      <c r="F17200" s="29"/>
      <c r="G17200" s="30">
        <f>5631.38+24.29</f>
        <v>5655.67</v>
      </c>
    </row>
    <row r="17201" spans="1:7" hidden="1" x14ac:dyDescent="0.25">
      <c r="A17201" s="28">
        <v>44927</v>
      </c>
      <c r="B17201" s="27" t="s">
        <v>181</v>
      </c>
      <c r="C17201" s="27" t="s">
        <v>50</v>
      </c>
      <c r="D17201" s="27" t="s">
        <v>6</v>
      </c>
      <c r="E17201" s="27" t="s">
        <v>21</v>
      </c>
      <c r="F17201" s="29"/>
      <c r="G17201" s="30">
        <f>200+24.29</f>
        <v>224.29</v>
      </c>
    </row>
    <row r="17202" spans="1:7" hidden="1" x14ac:dyDescent="0.25">
      <c r="A17202" s="28">
        <v>44927</v>
      </c>
      <c r="B17202" s="27" t="s">
        <v>181</v>
      </c>
      <c r="C17202" s="27" t="s">
        <v>50</v>
      </c>
      <c r="D17202" s="27" t="s">
        <v>6</v>
      </c>
      <c r="E17202" s="27" t="s">
        <v>10</v>
      </c>
      <c r="F17202" s="29"/>
      <c r="G17202" s="30">
        <f>3655+24.29</f>
        <v>3679.29</v>
      </c>
    </row>
    <row r="17203" spans="1:7" hidden="1" x14ac:dyDescent="0.25">
      <c r="A17203" s="28">
        <v>44927</v>
      </c>
      <c r="B17203" s="27" t="s">
        <v>181</v>
      </c>
      <c r="C17203" s="27" t="s">
        <v>50</v>
      </c>
      <c r="D17203" s="27" t="s">
        <v>6</v>
      </c>
      <c r="E17203" s="27" t="s">
        <v>13</v>
      </c>
      <c r="F17203" s="29"/>
      <c r="G17203" s="30">
        <f>200+24.29</f>
        <v>224.29</v>
      </c>
    </row>
    <row r="17204" spans="1:7" hidden="1" x14ac:dyDescent="0.25">
      <c r="A17204" s="28">
        <v>44927</v>
      </c>
      <c r="B17204" s="27" t="s">
        <v>181</v>
      </c>
      <c r="C17204" s="27" t="s">
        <v>50</v>
      </c>
      <c r="D17204" s="27" t="s">
        <v>6</v>
      </c>
      <c r="E17204" s="27" t="s">
        <v>19</v>
      </c>
      <c r="F17204" s="29"/>
      <c r="G17204" s="30">
        <f>200+24.29</f>
        <v>224.29</v>
      </c>
    </row>
    <row r="17205" spans="1:7" hidden="1" x14ac:dyDescent="0.25">
      <c r="A17205" s="28">
        <v>44927</v>
      </c>
      <c r="B17205" s="27" t="s">
        <v>181</v>
      </c>
      <c r="C17205" s="27" t="s">
        <v>50</v>
      </c>
      <c r="D17205" s="27" t="s">
        <v>6</v>
      </c>
      <c r="E17205" s="27" t="s">
        <v>217</v>
      </c>
      <c r="F17205" s="29"/>
      <c r="G17205" s="30">
        <f>220+24.29</f>
        <v>244.29</v>
      </c>
    </row>
    <row r="17206" spans="1:7" hidden="1" x14ac:dyDescent="0.25">
      <c r="A17206" s="28">
        <v>44927</v>
      </c>
      <c r="B17206" s="27" t="s">
        <v>181</v>
      </c>
      <c r="C17206" s="27" t="s">
        <v>50</v>
      </c>
      <c r="D17206" s="27" t="s">
        <v>6</v>
      </c>
      <c r="E17206" s="27" t="s">
        <v>23</v>
      </c>
      <c r="F17206" s="29"/>
      <c r="G17206" s="30">
        <f>200+24.29</f>
        <v>224.29</v>
      </c>
    </row>
    <row r="17207" spans="1:7" hidden="1" x14ac:dyDescent="0.25">
      <c r="A17207" s="28">
        <v>44927</v>
      </c>
      <c r="B17207" s="27" t="s">
        <v>25</v>
      </c>
      <c r="C17207" s="27" t="s">
        <v>50</v>
      </c>
      <c r="D17207" s="27" t="s">
        <v>7</v>
      </c>
      <c r="E17207" s="27" t="s">
        <v>43</v>
      </c>
      <c r="F17207" s="29"/>
      <c r="G17207" s="30">
        <f>878.29+64.77</f>
        <v>943.06</v>
      </c>
    </row>
    <row r="17208" spans="1:7" hidden="1" x14ac:dyDescent="0.25">
      <c r="A17208" s="28">
        <v>44927</v>
      </c>
      <c r="B17208" s="27" t="s">
        <v>25</v>
      </c>
      <c r="C17208" s="27" t="s">
        <v>50</v>
      </c>
      <c r="D17208" s="27" t="s">
        <v>7</v>
      </c>
      <c r="E17208" s="27" t="s">
        <v>8</v>
      </c>
      <c r="F17208" s="29"/>
      <c r="G17208" s="30">
        <f>104.13+64.77</f>
        <v>168.89999999999998</v>
      </c>
    </row>
    <row r="17209" spans="1:7" hidden="1" x14ac:dyDescent="0.25">
      <c r="A17209" s="28">
        <v>44927</v>
      </c>
      <c r="B17209" s="27" t="s">
        <v>25</v>
      </c>
      <c r="C17209" s="27" t="s">
        <v>50</v>
      </c>
      <c r="D17209" s="27" t="s">
        <v>7</v>
      </c>
      <c r="E17209" s="27" t="s">
        <v>39</v>
      </c>
      <c r="F17209" s="29"/>
      <c r="G17209" s="30">
        <f>131.46+64.77</f>
        <v>196.23000000000002</v>
      </c>
    </row>
    <row r="17210" spans="1:7" hidden="1" x14ac:dyDescent="0.25">
      <c r="A17210" s="28">
        <v>44927</v>
      </c>
      <c r="B17210" s="27" t="s">
        <v>25</v>
      </c>
      <c r="C17210" s="27" t="s">
        <v>50</v>
      </c>
      <c r="D17210" s="27" t="s">
        <v>7</v>
      </c>
      <c r="E17210" s="27" t="s">
        <v>21</v>
      </c>
      <c r="F17210" s="29"/>
      <c r="G17210" s="30">
        <f>156.19+64.77</f>
        <v>220.95999999999998</v>
      </c>
    </row>
    <row r="17211" spans="1:7" hidden="1" x14ac:dyDescent="0.25">
      <c r="A17211" s="28">
        <v>44927</v>
      </c>
      <c r="B17211" s="27" t="s">
        <v>25</v>
      </c>
      <c r="C17211" s="27" t="s">
        <v>50</v>
      </c>
      <c r="D17211" s="27" t="s">
        <v>7</v>
      </c>
      <c r="E17211" s="27" t="s">
        <v>20</v>
      </c>
      <c r="F17211" s="29"/>
      <c r="G17211" s="30">
        <f>104.13+64.77</f>
        <v>168.89999999999998</v>
      </c>
    </row>
    <row r="17212" spans="1:7" hidden="1" x14ac:dyDescent="0.25">
      <c r="A17212" s="28">
        <v>44927</v>
      </c>
      <c r="B17212" s="27" t="s">
        <v>25</v>
      </c>
      <c r="C17212" s="27" t="s">
        <v>50</v>
      </c>
      <c r="D17212" s="27" t="s">
        <v>7</v>
      </c>
      <c r="E17212" s="27" t="s">
        <v>23</v>
      </c>
      <c r="F17212" s="29"/>
      <c r="G17212" s="30">
        <f>104.13+64.77</f>
        <v>168.89999999999998</v>
      </c>
    </row>
    <row r="17213" spans="1:7" hidden="1" x14ac:dyDescent="0.25">
      <c r="A17213" s="28">
        <v>44927</v>
      </c>
      <c r="B17213" s="27" t="s">
        <v>2</v>
      </c>
      <c r="C17213" s="27" t="s">
        <v>50</v>
      </c>
      <c r="D17213" s="27" t="s">
        <v>7</v>
      </c>
      <c r="E17213" s="27" t="s">
        <v>8</v>
      </c>
      <c r="F17213" s="29"/>
      <c r="G17213" s="30">
        <f t="shared" ref="G17213:G17244" si="298">23327.98/32</f>
        <v>728.99937499999999</v>
      </c>
    </row>
    <row r="17214" spans="1:7" hidden="1" x14ac:dyDescent="0.25">
      <c r="A17214" s="28">
        <v>44927</v>
      </c>
      <c r="B17214" s="27" t="s">
        <v>2</v>
      </c>
      <c r="C17214" s="27" t="s">
        <v>50</v>
      </c>
      <c r="D17214" s="27" t="s">
        <v>7</v>
      </c>
      <c r="E17214" s="27" t="s">
        <v>9</v>
      </c>
      <c r="F17214" s="29"/>
      <c r="G17214" s="30">
        <f t="shared" si="298"/>
        <v>728.99937499999999</v>
      </c>
    </row>
    <row r="17215" spans="1:7" hidden="1" x14ac:dyDescent="0.25">
      <c r="A17215" s="28">
        <v>44927</v>
      </c>
      <c r="B17215" s="27" t="s">
        <v>2</v>
      </c>
      <c r="C17215" s="27" t="s">
        <v>50</v>
      </c>
      <c r="D17215" s="27" t="s">
        <v>7</v>
      </c>
      <c r="E17215" s="27" t="s">
        <v>21</v>
      </c>
      <c r="F17215" s="29"/>
      <c r="G17215" s="30">
        <f t="shared" si="298"/>
        <v>728.99937499999999</v>
      </c>
    </row>
    <row r="17216" spans="1:7" hidden="1" x14ac:dyDescent="0.25">
      <c r="A17216" s="28">
        <v>44927</v>
      </c>
      <c r="B17216" s="27" t="s">
        <v>2</v>
      </c>
      <c r="C17216" s="27" t="s">
        <v>50</v>
      </c>
      <c r="D17216" s="27" t="s">
        <v>7</v>
      </c>
      <c r="E17216" s="27" t="s">
        <v>10</v>
      </c>
      <c r="F17216" s="29"/>
      <c r="G17216" s="30">
        <f t="shared" si="298"/>
        <v>728.99937499999999</v>
      </c>
    </row>
    <row r="17217" spans="1:7" hidden="1" x14ac:dyDescent="0.25">
      <c r="A17217" s="28">
        <v>44927</v>
      </c>
      <c r="B17217" s="27" t="s">
        <v>2</v>
      </c>
      <c r="C17217" s="27" t="s">
        <v>50</v>
      </c>
      <c r="D17217" s="27" t="s">
        <v>7</v>
      </c>
      <c r="E17217" s="27" t="s">
        <v>11</v>
      </c>
      <c r="F17217" s="29"/>
      <c r="G17217" s="30">
        <f t="shared" si="298"/>
        <v>728.99937499999999</v>
      </c>
    </row>
    <row r="17218" spans="1:7" hidden="1" x14ac:dyDescent="0.25">
      <c r="A17218" s="28">
        <v>44927</v>
      </c>
      <c r="B17218" s="27" t="s">
        <v>2</v>
      </c>
      <c r="C17218" s="27" t="s">
        <v>50</v>
      </c>
      <c r="D17218" s="27" t="s">
        <v>7</v>
      </c>
      <c r="E17218" s="27" t="s">
        <v>12</v>
      </c>
      <c r="F17218" s="29"/>
      <c r="G17218" s="30">
        <f t="shared" si="298"/>
        <v>728.99937499999999</v>
      </c>
    </row>
    <row r="17219" spans="1:7" hidden="1" x14ac:dyDescent="0.25">
      <c r="A17219" s="28">
        <v>44927</v>
      </c>
      <c r="B17219" s="27" t="s">
        <v>2</v>
      </c>
      <c r="C17219" s="27" t="s">
        <v>50</v>
      </c>
      <c r="D17219" s="27" t="s">
        <v>7</v>
      </c>
      <c r="E17219" s="27" t="s">
        <v>13</v>
      </c>
      <c r="F17219" s="29"/>
      <c r="G17219" s="30">
        <f t="shared" si="298"/>
        <v>728.99937499999999</v>
      </c>
    </row>
    <row r="17220" spans="1:7" hidden="1" x14ac:dyDescent="0.25">
      <c r="A17220" s="28">
        <v>44927</v>
      </c>
      <c r="B17220" s="27" t="s">
        <v>2</v>
      </c>
      <c r="C17220" s="27" t="s">
        <v>50</v>
      </c>
      <c r="D17220" s="27" t="s">
        <v>7</v>
      </c>
      <c r="E17220" s="27" t="s">
        <v>14</v>
      </c>
      <c r="F17220" s="29"/>
      <c r="G17220" s="30">
        <f t="shared" si="298"/>
        <v>728.99937499999999</v>
      </c>
    </row>
    <row r="17221" spans="1:7" hidden="1" x14ac:dyDescent="0.25">
      <c r="A17221" s="28">
        <v>44927</v>
      </c>
      <c r="B17221" s="27" t="s">
        <v>2</v>
      </c>
      <c r="C17221" s="27" t="s">
        <v>50</v>
      </c>
      <c r="D17221" s="27" t="s">
        <v>7</v>
      </c>
      <c r="E17221" s="27" t="s">
        <v>15</v>
      </c>
      <c r="F17221" s="29"/>
      <c r="G17221" s="30">
        <f t="shared" si="298"/>
        <v>728.99937499999999</v>
      </c>
    </row>
    <row r="17222" spans="1:7" hidden="1" x14ac:dyDescent="0.25">
      <c r="A17222" s="28">
        <v>44927</v>
      </c>
      <c r="B17222" s="27" t="s">
        <v>2</v>
      </c>
      <c r="C17222" s="27" t="s">
        <v>50</v>
      </c>
      <c r="D17222" s="27" t="s">
        <v>7</v>
      </c>
      <c r="E17222" s="27" t="s">
        <v>16</v>
      </c>
      <c r="F17222" s="29"/>
      <c r="G17222" s="30">
        <f t="shared" si="298"/>
        <v>728.99937499999999</v>
      </c>
    </row>
    <row r="17223" spans="1:7" hidden="1" x14ac:dyDescent="0.25">
      <c r="A17223" s="28">
        <v>44927</v>
      </c>
      <c r="B17223" s="27" t="s">
        <v>2</v>
      </c>
      <c r="C17223" s="27" t="s">
        <v>50</v>
      </c>
      <c r="D17223" s="27" t="s">
        <v>7</v>
      </c>
      <c r="E17223" s="27" t="s">
        <v>17</v>
      </c>
      <c r="F17223" s="29"/>
      <c r="G17223" s="30">
        <f t="shared" si="298"/>
        <v>728.99937499999999</v>
      </c>
    </row>
    <row r="17224" spans="1:7" hidden="1" x14ac:dyDescent="0.25">
      <c r="A17224" s="28">
        <v>44927</v>
      </c>
      <c r="B17224" s="27" t="s">
        <v>2</v>
      </c>
      <c r="C17224" s="27" t="s">
        <v>50</v>
      </c>
      <c r="D17224" s="27" t="s">
        <v>7</v>
      </c>
      <c r="E17224" s="27" t="s">
        <v>18</v>
      </c>
      <c r="F17224" s="29"/>
      <c r="G17224" s="30">
        <f t="shared" si="298"/>
        <v>728.99937499999999</v>
      </c>
    </row>
    <row r="17225" spans="1:7" hidden="1" x14ac:dyDescent="0.25">
      <c r="A17225" s="28">
        <v>44927</v>
      </c>
      <c r="B17225" s="27" t="s">
        <v>2</v>
      </c>
      <c r="C17225" s="27" t="s">
        <v>50</v>
      </c>
      <c r="D17225" s="27" t="s">
        <v>7</v>
      </c>
      <c r="E17225" s="27" t="s">
        <v>19</v>
      </c>
      <c r="F17225" s="29"/>
      <c r="G17225" s="30">
        <f t="shared" si="298"/>
        <v>728.99937499999999</v>
      </c>
    </row>
    <row r="17226" spans="1:7" hidden="1" x14ac:dyDescent="0.25">
      <c r="A17226" s="28">
        <v>44927</v>
      </c>
      <c r="B17226" s="27" t="s">
        <v>2</v>
      </c>
      <c r="C17226" s="27" t="s">
        <v>50</v>
      </c>
      <c r="D17226" s="27" t="s">
        <v>7</v>
      </c>
      <c r="E17226" s="27" t="s">
        <v>20</v>
      </c>
      <c r="F17226" s="29"/>
      <c r="G17226" s="30">
        <f t="shared" si="298"/>
        <v>728.99937499999999</v>
      </c>
    </row>
    <row r="17227" spans="1:7" hidden="1" x14ac:dyDescent="0.25">
      <c r="A17227" s="28">
        <v>44927</v>
      </c>
      <c r="B17227" s="27" t="s">
        <v>2</v>
      </c>
      <c r="C17227" s="27" t="s">
        <v>50</v>
      </c>
      <c r="D17227" s="27" t="s">
        <v>7</v>
      </c>
      <c r="E17227" s="27" t="s">
        <v>38</v>
      </c>
      <c r="F17227" s="29"/>
      <c r="G17227" s="30">
        <f t="shared" si="298"/>
        <v>728.99937499999999</v>
      </c>
    </row>
    <row r="17228" spans="1:7" hidden="1" x14ac:dyDescent="0.25">
      <c r="A17228" s="28">
        <v>44927</v>
      </c>
      <c r="B17228" s="27" t="s">
        <v>2</v>
      </c>
      <c r="C17228" s="27" t="s">
        <v>50</v>
      </c>
      <c r="D17228" s="27" t="s">
        <v>7</v>
      </c>
      <c r="E17228" s="27" t="s">
        <v>23</v>
      </c>
      <c r="F17228" s="29"/>
      <c r="G17228" s="30">
        <f t="shared" si="298"/>
        <v>728.99937499999999</v>
      </c>
    </row>
    <row r="17229" spans="1:7" hidden="1" x14ac:dyDescent="0.25">
      <c r="A17229" s="28">
        <v>44927</v>
      </c>
      <c r="B17229" s="27" t="s">
        <v>2</v>
      </c>
      <c r="C17229" s="27" t="s">
        <v>50</v>
      </c>
      <c r="D17229" s="27" t="s">
        <v>7</v>
      </c>
      <c r="E17229" s="27" t="s">
        <v>22</v>
      </c>
      <c r="F17229" s="29"/>
      <c r="G17229" s="30">
        <f t="shared" si="298"/>
        <v>728.99937499999999</v>
      </c>
    </row>
    <row r="17230" spans="1:7" hidden="1" x14ac:dyDescent="0.25">
      <c r="A17230" s="28">
        <v>44927</v>
      </c>
      <c r="B17230" s="27" t="s">
        <v>2</v>
      </c>
      <c r="C17230" s="27" t="s">
        <v>50</v>
      </c>
      <c r="D17230" s="27" t="s">
        <v>7</v>
      </c>
      <c r="E17230" s="27" t="s">
        <v>39</v>
      </c>
      <c r="F17230" s="29"/>
      <c r="G17230" s="30">
        <f t="shared" si="298"/>
        <v>728.99937499999999</v>
      </c>
    </row>
    <row r="17231" spans="1:7" hidden="1" x14ac:dyDescent="0.25">
      <c r="A17231" s="28">
        <v>44927</v>
      </c>
      <c r="B17231" s="27" t="s">
        <v>2</v>
      </c>
      <c r="C17231" s="27" t="s">
        <v>50</v>
      </c>
      <c r="D17231" s="27" t="s">
        <v>7</v>
      </c>
      <c r="E17231" s="27" t="s">
        <v>41</v>
      </c>
      <c r="F17231" s="29"/>
      <c r="G17231" s="30">
        <f t="shared" si="298"/>
        <v>728.99937499999999</v>
      </c>
    </row>
    <row r="17232" spans="1:7" hidden="1" x14ac:dyDescent="0.25">
      <c r="A17232" s="28">
        <v>44927</v>
      </c>
      <c r="B17232" s="27" t="s">
        <v>2</v>
      </c>
      <c r="C17232" s="27" t="s">
        <v>50</v>
      </c>
      <c r="D17232" s="27" t="s">
        <v>7</v>
      </c>
      <c r="E17232" s="27" t="s">
        <v>40</v>
      </c>
      <c r="F17232" s="29"/>
      <c r="G17232" s="30">
        <f t="shared" si="298"/>
        <v>728.99937499999999</v>
      </c>
    </row>
    <row r="17233" spans="1:7" hidden="1" x14ac:dyDescent="0.25">
      <c r="A17233" s="28">
        <v>44927</v>
      </c>
      <c r="B17233" s="27" t="s">
        <v>2</v>
      </c>
      <c r="C17233" s="27" t="s">
        <v>50</v>
      </c>
      <c r="D17233" s="27" t="s">
        <v>7</v>
      </c>
      <c r="E17233" s="27" t="s">
        <v>64</v>
      </c>
      <c r="F17233" s="29"/>
      <c r="G17233" s="30">
        <f t="shared" si="298"/>
        <v>728.99937499999999</v>
      </c>
    </row>
    <row r="17234" spans="1:7" hidden="1" x14ac:dyDescent="0.25">
      <c r="A17234" s="28">
        <v>44927</v>
      </c>
      <c r="B17234" s="27" t="s">
        <v>2</v>
      </c>
      <c r="C17234" s="27" t="s">
        <v>50</v>
      </c>
      <c r="D17234" s="27" t="s">
        <v>7</v>
      </c>
      <c r="E17234" s="27" t="s">
        <v>42</v>
      </c>
      <c r="F17234" s="29"/>
      <c r="G17234" s="30">
        <f t="shared" si="298"/>
        <v>728.99937499999999</v>
      </c>
    </row>
    <row r="17235" spans="1:7" hidden="1" x14ac:dyDescent="0.25">
      <c r="A17235" s="28">
        <v>44927</v>
      </c>
      <c r="B17235" s="27" t="s">
        <v>2</v>
      </c>
      <c r="C17235" s="27" t="s">
        <v>50</v>
      </c>
      <c r="D17235" s="27" t="s">
        <v>7</v>
      </c>
      <c r="E17235" s="27" t="s">
        <v>72</v>
      </c>
      <c r="F17235" s="29"/>
      <c r="G17235" s="30">
        <f t="shared" si="298"/>
        <v>728.99937499999999</v>
      </c>
    </row>
    <row r="17236" spans="1:7" hidden="1" x14ac:dyDescent="0.25">
      <c r="A17236" s="28">
        <v>44927</v>
      </c>
      <c r="B17236" s="27" t="s">
        <v>2</v>
      </c>
      <c r="C17236" s="27" t="s">
        <v>50</v>
      </c>
      <c r="D17236" s="27" t="s">
        <v>7</v>
      </c>
      <c r="E17236" s="27" t="s">
        <v>43</v>
      </c>
      <c r="F17236" s="29"/>
      <c r="G17236" s="30">
        <f t="shared" si="298"/>
        <v>728.99937499999999</v>
      </c>
    </row>
    <row r="17237" spans="1:7" hidden="1" x14ac:dyDescent="0.25">
      <c r="A17237" s="28">
        <v>44927</v>
      </c>
      <c r="B17237" s="27" t="s">
        <v>2</v>
      </c>
      <c r="C17237" s="27" t="s">
        <v>50</v>
      </c>
      <c r="D17237" s="27" t="s">
        <v>7</v>
      </c>
      <c r="E17237" s="27" t="s">
        <v>206</v>
      </c>
      <c r="F17237" s="29"/>
      <c r="G17237" s="30">
        <f t="shared" si="298"/>
        <v>728.99937499999999</v>
      </c>
    </row>
    <row r="17238" spans="1:7" hidden="1" x14ac:dyDescent="0.25">
      <c r="A17238" s="28">
        <v>44927</v>
      </c>
      <c r="B17238" s="27" t="s">
        <v>2</v>
      </c>
      <c r="C17238" s="27" t="s">
        <v>50</v>
      </c>
      <c r="D17238" s="27" t="s">
        <v>7</v>
      </c>
      <c r="E17238" s="27" t="s">
        <v>68</v>
      </c>
      <c r="F17238" s="29"/>
      <c r="G17238" s="30">
        <f t="shared" si="298"/>
        <v>728.99937499999999</v>
      </c>
    </row>
    <row r="17239" spans="1:7" hidden="1" x14ac:dyDescent="0.25">
      <c r="A17239" s="28">
        <v>44927</v>
      </c>
      <c r="B17239" s="27" t="s">
        <v>2</v>
      </c>
      <c r="C17239" s="27" t="s">
        <v>50</v>
      </c>
      <c r="D17239" s="27" t="s">
        <v>7</v>
      </c>
      <c r="E17239" s="27" t="s">
        <v>74</v>
      </c>
      <c r="F17239" s="29"/>
      <c r="G17239" s="30">
        <f t="shared" si="298"/>
        <v>728.99937499999999</v>
      </c>
    </row>
    <row r="17240" spans="1:7" hidden="1" x14ac:dyDescent="0.25">
      <c r="A17240" s="28">
        <v>44927</v>
      </c>
      <c r="B17240" s="27" t="s">
        <v>2</v>
      </c>
      <c r="C17240" s="27" t="s">
        <v>50</v>
      </c>
      <c r="D17240" s="27" t="s">
        <v>7</v>
      </c>
      <c r="E17240" s="27" t="s">
        <v>67</v>
      </c>
      <c r="F17240" s="29"/>
      <c r="G17240" s="30">
        <f t="shared" si="298"/>
        <v>728.99937499999999</v>
      </c>
    </row>
    <row r="17241" spans="1:7" hidden="1" x14ac:dyDescent="0.25">
      <c r="A17241" s="28">
        <v>44927</v>
      </c>
      <c r="B17241" s="27" t="s">
        <v>2</v>
      </c>
      <c r="C17241" s="27" t="s">
        <v>50</v>
      </c>
      <c r="D17241" s="27" t="s">
        <v>7</v>
      </c>
      <c r="E17241" s="27" t="s">
        <v>71</v>
      </c>
      <c r="F17241" s="29"/>
      <c r="G17241" s="30">
        <f t="shared" si="298"/>
        <v>728.99937499999999</v>
      </c>
    </row>
    <row r="17242" spans="1:7" hidden="1" x14ac:dyDescent="0.25">
      <c r="A17242" s="28">
        <v>44927</v>
      </c>
      <c r="B17242" s="27" t="s">
        <v>2</v>
      </c>
      <c r="C17242" s="27" t="s">
        <v>50</v>
      </c>
      <c r="D17242" s="27" t="s">
        <v>7</v>
      </c>
      <c r="E17242" s="27" t="s">
        <v>73</v>
      </c>
      <c r="F17242" s="29"/>
      <c r="G17242" s="30">
        <f t="shared" si="298"/>
        <v>728.99937499999999</v>
      </c>
    </row>
    <row r="17243" spans="1:7" hidden="1" x14ac:dyDescent="0.25">
      <c r="A17243" s="28">
        <v>44927</v>
      </c>
      <c r="B17243" s="27" t="s">
        <v>2</v>
      </c>
      <c r="C17243" s="27" t="s">
        <v>50</v>
      </c>
      <c r="D17243" s="27" t="s">
        <v>7</v>
      </c>
      <c r="E17243" s="27" t="s">
        <v>70</v>
      </c>
      <c r="F17243" s="29"/>
      <c r="G17243" s="30">
        <f t="shared" si="298"/>
        <v>728.99937499999999</v>
      </c>
    </row>
    <row r="17244" spans="1:7" hidden="1" x14ac:dyDescent="0.25">
      <c r="A17244" s="28">
        <v>44927</v>
      </c>
      <c r="B17244" s="27" t="s">
        <v>2</v>
      </c>
      <c r="C17244" s="27" t="s">
        <v>50</v>
      </c>
      <c r="D17244" s="27" t="s">
        <v>7</v>
      </c>
      <c r="E17244" s="27" t="s">
        <v>203</v>
      </c>
      <c r="F17244" s="29"/>
      <c r="G17244" s="30">
        <f t="shared" si="298"/>
        <v>728.99937499999999</v>
      </c>
    </row>
    <row r="17245" spans="1:7" hidden="1" x14ac:dyDescent="0.25">
      <c r="A17245" s="28">
        <v>44927</v>
      </c>
      <c r="B17245" s="27" t="s">
        <v>36</v>
      </c>
      <c r="C17245" s="27" t="s">
        <v>50</v>
      </c>
      <c r="D17245" s="27" t="s">
        <v>6</v>
      </c>
      <c r="E17245" s="27" t="s">
        <v>8</v>
      </c>
      <c r="F17245" s="29"/>
      <c r="G17245" s="30">
        <f t="shared" ref="G17245:G17276" si="299">15735.45/32</f>
        <v>491.73281250000002</v>
      </c>
    </row>
    <row r="17246" spans="1:7" hidden="1" x14ac:dyDescent="0.25">
      <c r="A17246" s="28">
        <v>44927</v>
      </c>
      <c r="B17246" s="27" t="s">
        <v>36</v>
      </c>
      <c r="C17246" s="27" t="s">
        <v>50</v>
      </c>
      <c r="D17246" s="27" t="s">
        <v>6</v>
      </c>
      <c r="E17246" s="27" t="s">
        <v>9</v>
      </c>
      <c r="F17246" s="29"/>
      <c r="G17246" s="30">
        <f t="shared" si="299"/>
        <v>491.73281250000002</v>
      </c>
    </row>
    <row r="17247" spans="1:7" hidden="1" x14ac:dyDescent="0.25">
      <c r="A17247" s="28">
        <v>44927</v>
      </c>
      <c r="B17247" s="27" t="s">
        <v>36</v>
      </c>
      <c r="C17247" s="27" t="s">
        <v>50</v>
      </c>
      <c r="D17247" s="27" t="s">
        <v>6</v>
      </c>
      <c r="E17247" s="27" t="s">
        <v>21</v>
      </c>
      <c r="F17247" s="29"/>
      <c r="G17247" s="30">
        <f t="shared" si="299"/>
        <v>491.73281250000002</v>
      </c>
    </row>
    <row r="17248" spans="1:7" hidden="1" x14ac:dyDescent="0.25">
      <c r="A17248" s="28">
        <v>44927</v>
      </c>
      <c r="B17248" s="27" t="s">
        <v>36</v>
      </c>
      <c r="C17248" s="27" t="s">
        <v>50</v>
      </c>
      <c r="D17248" s="27" t="s">
        <v>6</v>
      </c>
      <c r="E17248" s="27" t="s">
        <v>10</v>
      </c>
      <c r="F17248" s="29"/>
      <c r="G17248" s="30">
        <f t="shared" si="299"/>
        <v>491.73281250000002</v>
      </c>
    </row>
    <row r="17249" spans="1:7" hidden="1" x14ac:dyDescent="0.25">
      <c r="A17249" s="28">
        <v>44927</v>
      </c>
      <c r="B17249" s="27" t="s">
        <v>36</v>
      </c>
      <c r="C17249" s="27" t="s">
        <v>50</v>
      </c>
      <c r="D17249" s="27" t="s">
        <v>6</v>
      </c>
      <c r="E17249" s="27" t="s">
        <v>11</v>
      </c>
      <c r="F17249" s="29"/>
      <c r="G17249" s="30">
        <f t="shared" si="299"/>
        <v>491.73281250000002</v>
      </c>
    </row>
    <row r="17250" spans="1:7" hidden="1" x14ac:dyDescent="0.25">
      <c r="A17250" s="28">
        <v>44927</v>
      </c>
      <c r="B17250" s="27" t="s">
        <v>36</v>
      </c>
      <c r="C17250" s="27" t="s">
        <v>50</v>
      </c>
      <c r="D17250" s="27" t="s">
        <v>6</v>
      </c>
      <c r="E17250" s="27" t="s">
        <v>12</v>
      </c>
      <c r="F17250" s="29"/>
      <c r="G17250" s="30">
        <f t="shared" si="299"/>
        <v>491.73281250000002</v>
      </c>
    </row>
    <row r="17251" spans="1:7" hidden="1" x14ac:dyDescent="0.25">
      <c r="A17251" s="28">
        <v>44927</v>
      </c>
      <c r="B17251" s="27" t="s">
        <v>36</v>
      </c>
      <c r="C17251" s="27" t="s">
        <v>50</v>
      </c>
      <c r="D17251" s="27" t="s">
        <v>6</v>
      </c>
      <c r="E17251" s="27" t="s">
        <v>13</v>
      </c>
      <c r="F17251" s="29"/>
      <c r="G17251" s="30">
        <f t="shared" si="299"/>
        <v>491.73281250000002</v>
      </c>
    </row>
    <row r="17252" spans="1:7" hidden="1" x14ac:dyDescent="0.25">
      <c r="A17252" s="28">
        <v>44927</v>
      </c>
      <c r="B17252" s="27" t="s">
        <v>36</v>
      </c>
      <c r="C17252" s="27" t="s">
        <v>50</v>
      </c>
      <c r="D17252" s="27" t="s">
        <v>6</v>
      </c>
      <c r="E17252" s="27" t="s">
        <v>14</v>
      </c>
      <c r="F17252" s="29"/>
      <c r="G17252" s="30">
        <f t="shared" si="299"/>
        <v>491.73281250000002</v>
      </c>
    </row>
    <row r="17253" spans="1:7" hidden="1" x14ac:dyDescent="0.25">
      <c r="A17253" s="28">
        <v>44927</v>
      </c>
      <c r="B17253" s="27" t="s">
        <v>36</v>
      </c>
      <c r="C17253" s="27" t="s">
        <v>50</v>
      </c>
      <c r="D17253" s="27" t="s">
        <v>6</v>
      </c>
      <c r="E17253" s="27" t="s">
        <v>15</v>
      </c>
      <c r="F17253" s="29"/>
      <c r="G17253" s="30">
        <f t="shared" si="299"/>
        <v>491.73281250000002</v>
      </c>
    </row>
    <row r="17254" spans="1:7" hidden="1" x14ac:dyDescent="0.25">
      <c r="A17254" s="28">
        <v>44927</v>
      </c>
      <c r="B17254" s="27" t="s">
        <v>36</v>
      </c>
      <c r="C17254" s="27" t="s">
        <v>50</v>
      </c>
      <c r="D17254" s="27" t="s">
        <v>6</v>
      </c>
      <c r="E17254" s="27" t="s">
        <v>16</v>
      </c>
      <c r="F17254" s="29"/>
      <c r="G17254" s="30">
        <f t="shared" si="299"/>
        <v>491.73281250000002</v>
      </c>
    </row>
    <row r="17255" spans="1:7" hidden="1" x14ac:dyDescent="0.25">
      <c r="A17255" s="28">
        <v>44927</v>
      </c>
      <c r="B17255" s="27" t="s">
        <v>36</v>
      </c>
      <c r="C17255" s="27" t="s">
        <v>50</v>
      </c>
      <c r="D17255" s="27" t="s">
        <v>6</v>
      </c>
      <c r="E17255" s="27" t="s">
        <v>17</v>
      </c>
      <c r="F17255" s="29"/>
      <c r="G17255" s="30">
        <f t="shared" si="299"/>
        <v>491.73281250000002</v>
      </c>
    </row>
    <row r="17256" spans="1:7" hidden="1" x14ac:dyDescent="0.25">
      <c r="A17256" s="28">
        <v>44927</v>
      </c>
      <c r="B17256" s="27" t="s">
        <v>36</v>
      </c>
      <c r="C17256" s="27" t="s">
        <v>50</v>
      </c>
      <c r="D17256" s="27" t="s">
        <v>6</v>
      </c>
      <c r="E17256" s="27" t="s">
        <v>18</v>
      </c>
      <c r="F17256" s="29"/>
      <c r="G17256" s="30">
        <f t="shared" si="299"/>
        <v>491.73281250000002</v>
      </c>
    </row>
    <row r="17257" spans="1:7" hidden="1" x14ac:dyDescent="0.25">
      <c r="A17257" s="28">
        <v>44927</v>
      </c>
      <c r="B17257" s="27" t="s">
        <v>36</v>
      </c>
      <c r="C17257" s="27" t="s">
        <v>50</v>
      </c>
      <c r="D17257" s="27" t="s">
        <v>6</v>
      </c>
      <c r="E17257" s="27" t="s">
        <v>19</v>
      </c>
      <c r="F17257" s="29"/>
      <c r="G17257" s="30">
        <f t="shared" si="299"/>
        <v>491.73281250000002</v>
      </c>
    </row>
    <row r="17258" spans="1:7" hidden="1" x14ac:dyDescent="0.25">
      <c r="A17258" s="28">
        <v>44927</v>
      </c>
      <c r="B17258" s="27" t="s">
        <v>36</v>
      </c>
      <c r="C17258" s="27" t="s">
        <v>50</v>
      </c>
      <c r="D17258" s="27" t="s">
        <v>6</v>
      </c>
      <c r="E17258" s="27" t="s">
        <v>20</v>
      </c>
      <c r="F17258" s="29"/>
      <c r="G17258" s="30">
        <f t="shared" si="299"/>
        <v>491.73281250000002</v>
      </c>
    </row>
    <row r="17259" spans="1:7" hidden="1" x14ac:dyDescent="0.25">
      <c r="A17259" s="28">
        <v>44927</v>
      </c>
      <c r="B17259" s="27" t="s">
        <v>36</v>
      </c>
      <c r="C17259" s="27" t="s">
        <v>50</v>
      </c>
      <c r="D17259" s="27" t="s">
        <v>6</v>
      </c>
      <c r="E17259" s="27" t="s">
        <v>38</v>
      </c>
      <c r="F17259" s="29"/>
      <c r="G17259" s="30">
        <f t="shared" si="299"/>
        <v>491.73281250000002</v>
      </c>
    </row>
    <row r="17260" spans="1:7" hidden="1" x14ac:dyDescent="0.25">
      <c r="A17260" s="28">
        <v>44927</v>
      </c>
      <c r="B17260" s="27" t="s">
        <v>36</v>
      </c>
      <c r="C17260" s="27" t="s">
        <v>50</v>
      </c>
      <c r="D17260" s="27" t="s">
        <v>6</v>
      </c>
      <c r="E17260" s="27" t="s">
        <v>23</v>
      </c>
      <c r="F17260" s="29"/>
      <c r="G17260" s="30">
        <f t="shared" si="299"/>
        <v>491.73281250000002</v>
      </c>
    </row>
    <row r="17261" spans="1:7" hidden="1" x14ac:dyDescent="0.25">
      <c r="A17261" s="28">
        <v>44927</v>
      </c>
      <c r="B17261" s="27" t="s">
        <v>36</v>
      </c>
      <c r="C17261" s="27" t="s">
        <v>50</v>
      </c>
      <c r="D17261" s="27" t="s">
        <v>6</v>
      </c>
      <c r="E17261" s="27" t="s">
        <v>22</v>
      </c>
      <c r="F17261" s="29"/>
      <c r="G17261" s="30">
        <f t="shared" si="299"/>
        <v>491.73281250000002</v>
      </c>
    </row>
    <row r="17262" spans="1:7" hidden="1" x14ac:dyDescent="0.25">
      <c r="A17262" s="28">
        <v>44927</v>
      </c>
      <c r="B17262" s="27" t="s">
        <v>36</v>
      </c>
      <c r="C17262" s="27" t="s">
        <v>50</v>
      </c>
      <c r="D17262" s="27" t="s">
        <v>6</v>
      </c>
      <c r="E17262" s="27" t="s">
        <v>39</v>
      </c>
      <c r="F17262" s="29"/>
      <c r="G17262" s="30">
        <f t="shared" si="299"/>
        <v>491.73281250000002</v>
      </c>
    </row>
    <row r="17263" spans="1:7" hidden="1" x14ac:dyDescent="0.25">
      <c r="A17263" s="28">
        <v>44927</v>
      </c>
      <c r="B17263" s="27" t="s">
        <v>36</v>
      </c>
      <c r="C17263" s="27" t="s">
        <v>50</v>
      </c>
      <c r="D17263" s="27" t="s">
        <v>6</v>
      </c>
      <c r="E17263" s="27" t="s">
        <v>41</v>
      </c>
      <c r="F17263" s="29"/>
      <c r="G17263" s="30">
        <f t="shared" si="299"/>
        <v>491.73281250000002</v>
      </c>
    </row>
    <row r="17264" spans="1:7" hidden="1" x14ac:dyDescent="0.25">
      <c r="A17264" s="28">
        <v>44927</v>
      </c>
      <c r="B17264" s="27" t="s">
        <v>36</v>
      </c>
      <c r="C17264" s="27" t="s">
        <v>50</v>
      </c>
      <c r="D17264" s="27" t="s">
        <v>6</v>
      </c>
      <c r="E17264" s="27" t="s">
        <v>40</v>
      </c>
      <c r="F17264" s="29"/>
      <c r="G17264" s="30">
        <f t="shared" si="299"/>
        <v>491.73281250000002</v>
      </c>
    </row>
    <row r="17265" spans="1:7" hidden="1" x14ac:dyDescent="0.25">
      <c r="A17265" s="28">
        <v>44927</v>
      </c>
      <c r="B17265" s="27" t="s">
        <v>36</v>
      </c>
      <c r="C17265" s="27" t="s">
        <v>50</v>
      </c>
      <c r="D17265" s="27" t="s">
        <v>6</v>
      </c>
      <c r="E17265" s="27" t="s">
        <v>64</v>
      </c>
      <c r="F17265" s="29"/>
      <c r="G17265" s="30">
        <f t="shared" si="299"/>
        <v>491.73281250000002</v>
      </c>
    </row>
    <row r="17266" spans="1:7" hidden="1" x14ac:dyDescent="0.25">
      <c r="A17266" s="28">
        <v>44927</v>
      </c>
      <c r="B17266" s="27" t="s">
        <v>36</v>
      </c>
      <c r="C17266" s="27" t="s">
        <v>50</v>
      </c>
      <c r="D17266" s="27" t="s">
        <v>6</v>
      </c>
      <c r="E17266" s="27" t="s">
        <v>42</v>
      </c>
      <c r="F17266" s="29"/>
      <c r="G17266" s="30">
        <f t="shared" si="299"/>
        <v>491.73281250000002</v>
      </c>
    </row>
    <row r="17267" spans="1:7" hidden="1" x14ac:dyDescent="0.25">
      <c r="A17267" s="28">
        <v>44927</v>
      </c>
      <c r="B17267" s="27" t="s">
        <v>36</v>
      </c>
      <c r="C17267" s="27" t="s">
        <v>50</v>
      </c>
      <c r="D17267" s="27" t="s">
        <v>6</v>
      </c>
      <c r="E17267" s="27" t="s">
        <v>72</v>
      </c>
      <c r="F17267" s="29"/>
      <c r="G17267" s="30">
        <f t="shared" si="299"/>
        <v>491.73281250000002</v>
      </c>
    </row>
    <row r="17268" spans="1:7" hidden="1" x14ac:dyDescent="0.25">
      <c r="A17268" s="28">
        <v>44927</v>
      </c>
      <c r="B17268" s="27" t="s">
        <v>36</v>
      </c>
      <c r="C17268" s="27" t="s">
        <v>50</v>
      </c>
      <c r="D17268" s="27" t="s">
        <v>6</v>
      </c>
      <c r="E17268" s="27" t="s">
        <v>43</v>
      </c>
      <c r="F17268" s="29"/>
      <c r="G17268" s="30">
        <f t="shared" si="299"/>
        <v>491.73281250000002</v>
      </c>
    </row>
    <row r="17269" spans="1:7" hidden="1" x14ac:dyDescent="0.25">
      <c r="A17269" s="28">
        <v>44927</v>
      </c>
      <c r="B17269" s="27" t="s">
        <v>36</v>
      </c>
      <c r="C17269" s="27" t="s">
        <v>50</v>
      </c>
      <c r="D17269" s="27" t="s">
        <v>6</v>
      </c>
      <c r="E17269" s="27" t="s">
        <v>206</v>
      </c>
      <c r="F17269" s="29"/>
      <c r="G17269" s="30">
        <f t="shared" si="299"/>
        <v>491.73281250000002</v>
      </c>
    </row>
    <row r="17270" spans="1:7" hidden="1" x14ac:dyDescent="0.25">
      <c r="A17270" s="28">
        <v>44927</v>
      </c>
      <c r="B17270" s="27" t="s">
        <v>36</v>
      </c>
      <c r="C17270" s="27" t="s">
        <v>50</v>
      </c>
      <c r="D17270" s="27" t="s">
        <v>6</v>
      </c>
      <c r="E17270" s="27" t="s">
        <v>68</v>
      </c>
      <c r="F17270" s="29"/>
      <c r="G17270" s="30">
        <f t="shared" si="299"/>
        <v>491.73281250000002</v>
      </c>
    </row>
    <row r="17271" spans="1:7" hidden="1" x14ac:dyDescent="0.25">
      <c r="A17271" s="28">
        <v>44927</v>
      </c>
      <c r="B17271" s="27" t="s">
        <v>36</v>
      </c>
      <c r="C17271" s="27" t="s">
        <v>50</v>
      </c>
      <c r="D17271" s="27" t="s">
        <v>6</v>
      </c>
      <c r="E17271" s="27" t="s">
        <v>74</v>
      </c>
      <c r="F17271" s="29"/>
      <c r="G17271" s="30">
        <f t="shared" si="299"/>
        <v>491.73281250000002</v>
      </c>
    </row>
    <row r="17272" spans="1:7" hidden="1" x14ac:dyDescent="0.25">
      <c r="A17272" s="28">
        <v>44927</v>
      </c>
      <c r="B17272" s="27" t="s">
        <v>36</v>
      </c>
      <c r="C17272" s="27" t="s">
        <v>50</v>
      </c>
      <c r="D17272" s="27" t="s">
        <v>6</v>
      </c>
      <c r="E17272" s="27" t="s">
        <v>67</v>
      </c>
      <c r="F17272" s="29"/>
      <c r="G17272" s="30">
        <f t="shared" si="299"/>
        <v>491.73281250000002</v>
      </c>
    </row>
    <row r="17273" spans="1:7" hidden="1" x14ac:dyDescent="0.25">
      <c r="A17273" s="28">
        <v>44927</v>
      </c>
      <c r="B17273" s="27" t="s">
        <v>36</v>
      </c>
      <c r="C17273" s="27" t="s">
        <v>50</v>
      </c>
      <c r="D17273" s="27" t="s">
        <v>6</v>
      </c>
      <c r="E17273" s="27" t="s">
        <v>71</v>
      </c>
      <c r="F17273" s="29"/>
      <c r="G17273" s="30">
        <f t="shared" si="299"/>
        <v>491.73281250000002</v>
      </c>
    </row>
    <row r="17274" spans="1:7" hidden="1" x14ac:dyDescent="0.25">
      <c r="A17274" s="28">
        <v>44927</v>
      </c>
      <c r="B17274" s="27" t="s">
        <v>36</v>
      </c>
      <c r="C17274" s="27" t="s">
        <v>50</v>
      </c>
      <c r="D17274" s="27" t="s">
        <v>6</v>
      </c>
      <c r="E17274" s="27" t="s">
        <v>73</v>
      </c>
      <c r="F17274" s="29"/>
      <c r="G17274" s="30">
        <f t="shared" si="299"/>
        <v>491.73281250000002</v>
      </c>
    </row>
    <row r="17275" spans="1:7" hidden="1" x14ac:dyDescent="0.25">
      <c r="A17275" s="28">
        <v>44927</v>
      </c>
      <c r="B17275" s="27" t="s">
        <v>36</v>
      </c>
      <c r="C17275" s="27" t="s">
        <v>50</v>
      </c>
      <c r="D17275" s="27" t="s">
        <v>6</v>
      </c>
      <c r="E17275" s="27" t="s">
        <v>70</v>
      </c>
      <c r="F17275" s="29"/>
      <c r="G17275" s="30">
        <f t="shared" si="299"/>
        <v>491.73281250000002</v>
      </c>
    </row>
    <row r="17276" spans="1:7" hidden="1" x14ac:dyDescent="0.25">
      <c r="A17276" s="28">
        <v>44927</v>
      </c>
      <c r="B17276" s="27" t="s">
        <v>36</v>
      </c>
      <c r="C17276" s="27" t="s">
        <v>50</v>
      </c>
      <c r="D17276" s="27" t="s">
        <v>6</v>
      </c>
      <c r="E17276" s="27" t="s">
        <v>203</v>
      </c>
      <c r="F17276" s="29"/>
      <c r="G17276" s="30">
        <f t="shared" si="299"/>
        <v>491.73281250000002</v>
      </c>
    </row>
    <row r="17277" spans="1:7" hidden="1" x14ac:dyDescent="0.25">
      <c r="A17277" s="28">
        <v>44927</v>
      </c>
      <c r="B17277" s="27" t="s">
        <v>200</v>
      </c>
      <c r="C17277" s="27" t="s">
        <v>53</v>
      </c>
      <c r="D17277" s="27" t="s">
        <v>6</v>
      </c>
      <c r="E17277" s="27" t="s">
        <v>8</v>
      </c>
      <c r="F17277" s="29"/>
      <c r="G17277" s="30">
        <f t="shared" ref="G17277:G17308" si="300">12151.5766/32</f>
        <v>379.73676875000001</v>
      </c>
    </row>
    <row r="17278" spans="1:7" hidden="1" x14ac:dyDescent="0.25">
      <c r="A17278" s="28">
        <v>44927</v>
      </c>
      <c r="B17278" s="27" t="s">
        <v>200</v>
      </c>
      <c r="C17278" s="27" t="s">
        <v>53</v>
      </c>
      <c r="D17278" s="27" t="s">
        <v>6</v>
      </c>
      <c r="E17278" s="27" t="s">
        <v>9</v>
      </c>
      <c r="F17278" s="29"/>
      <c r="G17278" s="30">
        <f t="shared" si="300"/>
        <v>379.73676875000001</v>
      </c>
    </row>
    <row r="17279" spans="1:7" hidden="1" x14ac:dyDescent="0.25">
      <c r="A17279" s="28">
        <v>44927</v>
      </c>
      <c r="B17279" s="27" t="s">
        <v>200</v>
      </c>
      <c r="C17279" s="27" t="s">
        <v>53</v>
      </c>
      <c r="D17279" s="27" t="s">
        <v>6</v>
      </c>
      <c r="E17279" s="27" t="s">
        <v>21</v>
      </c>
      <c r="F17279" s="29"/>
      <c r="G17279" s="30">
        <f t="shared" si="300"/>
        <v>379.73676875000001</v>
      </c>
    </row>
    <row r="17280" spans="1:7" hidden="1" x14ac:dyDescent="0.25">
      <c r="A17280" s="28">
        <v>44927</v>
      </c>
      <c r="B17280" s="27" t="s">
        <v>200</v>
      </c>
      <c r="C17280" s="27" t="s">
        <v>53</v>
      </c>
      <c r="D17280" s="27" t="s">
        <v>6</v>
      </c>
      <c r="E17280" s="27" t="s">
        <v>10</v>
      </c>
      <c r="F17280" s="29"/>
      <c r="G17280" s="30">
        <f t="shared" si="300"/>
        <v>379.73676875000001</v>
      </c>
    </row>
    <row r="17281" spans="1:7" hidden="1" x14ac:dyDescent="0.25">
      <c r="A17281" s="28">
        <v>44927</v>
      </c>
      <c r="B17281" s="27" t="s">
        <v>200</v>
      </c>
      <c r="C17281" s="27" t="s">
        <v>53</v>
      </c>
      <c r="D17281" s="27" t="s">
        <v>6</v>
      </c>
      <c r="E17281" s="27" t="s">
        <v>11</v>
      </c>
      <c r="F17281" s="29"/>
      <c r="G17281" s="30">
        <f t="shared" si="300"/>
        <v>379.73676875000001</v>
      </c>
    </row>
    <row r="17282" spans="1:7" hidden="1" x14ac:dyDescent="0.25">
      <c r="A17282" s="28">
        <v>44927</v>
      </c>
      <c r="B17282" s="27" t="s">
        <v>200</v>
      </c>
      <c r="C17282" s="27" t="s">
        <v>53</v>
      </c>
      <c r="D17282" s="27" t="s">
        <v>6</v>
      </c>
      <c r="E17282" s="27" t="s">
        <v>12</v>
      </c>
      <c r="F17282" s="29"/>
      <c r="G17282" s="30">
        <f t="shared" si="300"/>
        <v>379.73676875000001</v>
      </c>
    </row>
    <row r="17283" spans="1:7" hidden="1" x14ac:dyDescent="0.25">
      <c r="A17283" s="28">
        <v>44927</v>
      </c>
      <c r="B17283" s="27" t="s">
        <v>200</v>
      </c>
      <c r="C17283" s="27" t="s">
        <v>53</v>
      </c>
      <c r="D17283" s="27" t="s">
        <v>6</v>
      </c>
      <c r="E17283" s="27" t="s">
        <v>13</v>
      </c>
      <c r="F17283" s="29"/>
      <c r="G17283" s="30">
        <f t="shared" si="300"/>
        <v>379.73676875000001</v>
      </c>
    </row>
    <row r="17284" spans="1:7" hidden="1" x14ac:dyDescent="0.25">
      <c r="A17284" s="28">
        <v>44927</v>
      </c>
      <c r="B17284" s="27" t="s">
        <v>200</v>
      </c>
      <c r="C17284" s="27" t="s">
        <v>53</v>
      </c>
      <c r="D17284" s="27" t="s">
        <v>6</v>
      </c>
      <c r="E17284" s="27" t="s">
        <v>14</v>
      </c>
      <c r="F17284" s="29"/>
      <c r="G17284" s="30">
        <f t="shared" si="300"/>
        <v>379.73676875000001</v>
      </c>
    </row>
    <row r="17285" spans="1:7" hidden="1" x14ac:dyDescent="0.25">
      <c r="A17285" s="28">
        <v>44927</v>
      </c>
      <c r="B17285" s="27" t="s">
        <v>200</v>
      </c>
      <c r="C17285" s="27" t="s">
        <v>53</v>
      </c>
      <c r="D17285" s="27" t="s">
        <v>6</v>
      </c>
      <c r="E17285" s="27" t="s">
        <v>15</v>
      </c>
      <c r="F17285" s="29"/>
      <c r="G17285" s="30">
        <f t="shared" si="300"/>
        <v>379.73676875000001</v>
      </c>
    </row>
    <row r="17286" spans="1:7" hidden="1" x14ac:dyDescent="0.25">
      <c r="A17286" s="28">
        <v>44927</v>
      </c>
      <c r="B17286" s="27" t="s">
        <v>200</v>
      </c>
      <c r="C17286" s="27" t="s">
        <v>53</v>
      </c>
      <c r="D17286" s="27" t="s">
        <v>6</v>
      </c>
      <c r="E17286" s="27" t="s">
        <v>16</v>
      </c>
      <c r="F17286" s="29"/>
      <c r="G17286" s="30">
        <f t="shared" si="300"/>
        <v>379.73676875000001</v>
      </c>
    </row>
    <row r="17287" spans="1:7" hidden="1" x14ac:dyDescent="0.25">
      <c r="A17287" s="28">
        <v>44927</v>
      </c>
      <c r="B17287" s="27" t="s">
        <v>200</v>
      </c>
      <c r="C17287" s="27" t="s">
        <v>53</v>
      </c>
      <c r="D17287" s="27" t="s">
        <v>6</v>
      </c>
      <c r="E17287" s="27" t="s">
        <v>17</v>
      </c>
      <c r="F17287" s="29"/>
      <c r="G17287" s="30">
        <f t="shared" si="300"/>
        <v>379.73676875000001</v>
      </c>
    </row>
    <row r="17288" spans="1:7" hidden="1" x14ac:dyDescent="0.25">
      <c r="A17288" s="28">
        <v>44927</v>
      </c>
      <c r="B17288" s="27" t="s">
        <v>200</v>
      </c>
      <c r="C17288" s="27" t="s">
        <v>53</v>
      </c>
      <c r="D17288" s="27" t="s">
        <v>6</v>
      </c>
      <c r="E17288" s="27" t="s">
        <v>18</v>
      </c>
      <c r="F17288" s="29"/>
      <c r="G17288" s="30">
        <f t="shared" si="300"/>
        <v>379.73676875000001</v>
      </c>
    </row>
    <row r="17289" spans="1:7" hidden="1" x14ac:dyDescent="0.25">
      <c r="A17289" s="28">
        <v>44927</v>
      </c>
      <c r="B17289" s="27" t="s">
        <v>200</v>
      </c>
      <c r="C17289" s="27" t="s">
        <v>53</v>
      </c>
      <c r="D17289" s="27" t="s">
        <v>6</v>
      </c>
      <c r="E17289" s="27" t="s">
        <v>19</v>
      </c>
      <c r="F17289" s="29"/>
      <c r="G17289" s="30">
        <f t="shared" si="300"/>
        <v>379.73676875000001</v>
      </c>
    </row>
    <row r="17290" spans="1:7" hidden="1" x14ac:dyDescent="0.25">
      <c r="A17290" s="28">
        <v>44927</v>
      </c>
      <c r="B17290" s="27" t="s">
        <v>200</v>
      </c>
      <c r="C17290" s="27" t="s">
        <v>53</v>
      </c>
      <c r="D17290" s="27" t="s">
        <v>6</v>
      </c>
      <c r="E17290" s="27" t="s">
        <v>20</v>
      </c>
      <c r="F17290" s="29"/>
      <c r="G17290" s="30">
        <f t="shared" si="300"/>
        <v>379.73676875000001</v>
      </c>
    </row>
    <row r="17291" spans="1:7" hidden="1" x14ac:dyDescent="0.25">
      <c r="A17291" s="28">
        <v>44927</v>
      </c>
      <c r="B17291" s="27" t="s">
        <v>200</v>
      </c>
      <c r="C17291" s="27" t="s">
        <v>53</v>
      </c>
      <c r="D17291" s="27" t="s">
        <v>6</v>
      </c>
      <c r="E17291" s="27" t="s">
        <v>38</v>
      </c>
      <c r="F17291" s="29"/>
      <c r="G17291" s="30">
        <f t="shared" si="300"/>
        <v>379.73676875000001</v>
      </c>
    </row>
    <row r="17292" spans="1:7" hidden="1" x14ac:dyDescent="0.25">
      <c r="A17292" s="28">
        <v>44927</v>
      </c>
      <c r="B17292" s="27" t="s">
        <v>200</v>
      </c>
      <c r="C17292" s="27" t="s">
        <v>53</v>
      </c>
      <c r="D17292" s="27" t="s">
        <v>6</v>
      </c>
      <c r="E17292" s="27" t="s">
        <v>23</v>
      </c>
      <c r="F17292" s="29"/>
      <c r="G17292" s="30">
        <f t="shared" si="300"/>
        <v>379.73676875000001</v>
      </c>
    </row>
    <row r="17293" spans="1:7" hidden="1" x14ac:dyDescent="0.25">
      <c r="A17293" s="28">
        <v>44927</v>
      </c>
      <c r="B17293" s="27" t="s">
        <v>200</v>
      </c>
      <c r="C17293" s="27" t="s">
        <v>53</v>
      </c>
      <c r="D17293" s="27" t="s">
        <v>6</v>
      </c>
      <c r="E17293" s="27" t="s">
        <v>22</v>
      </c>
      <c r="F17293" s="29"/>
      <c r="G17293" s="30">
        <f t="shared" si="300"/>
        <v>379.73676875000001</v>
      </c>
    </row>
    <row r="17294" spans="1:7" hidden="1" x14ac:dyDescent="0.25">
      <c r="A17294" s="28">
        <v>44927</v>
      </c>
      <c r="B17294" s="27" t="s">
        <v>200</v>
      </c>
      <c r="C17294" s="27" t="s">
        <v>53</v>
      </c>
      <c r="D17294" s="27" t="s">
        <v>6</v>
      </c>
      <c r="E17294" s="27" t="s">
        <v>39</v>
      </c>
      <c r="F17294" s="29"/>
      <c r="G17294" s="30">
        <f t="shared" si="300"/>
        <v>379.73676875000001</v>
      </c>
    </row>
    <row r="17295" spans="1:7" hidden="1" x14ac:dyDescent="0.25">
      <c r="A17295" s="28">
        <v>44927</v>
      </c>
      <c r="B17295" s="27" t="s">
        <v>200</v>
      </c>
      <c r="C17295" s="27" t="s">
        <v>53</v>
      </c>
      <c r="D17295" s="27" t="s">
        <v>6</v>
      </c>
      <c r="E17295" s="27" t="s">
        <v>41</v>
      </c>
      <c r="F17295" s="29"/>
      <c r="G17295" s="30">
        <f t="shared" si="300"/>
        <v>379.73676875000001</v>
      </c>
    </row>
    <row r="17296" spans="1:7" hidden="1" x14ac:dyDescent="0.25">
      <c r="A17296" s="28">
        <v>44927</v>
      </c>
      <c r="B17296" s="27" t="s">
        <v>200</v>
      </c>
      <c r="C17296" s="27" t="s">
        <v>53</v>
      </c>
      <c r="D17296" s="27" t="s">
        <v>6</v>
      </c>
      <c r="E17296" s="27" t="s">
        <v>40</v>
      </c>
      <c r="F17296" s="29"/>
      <c r="G17296" s="30">
        <f t="shared" si="300"/>
        <v>379.73676875000001</v>
      </c>
    </row>
    <row r="17297" spans="1:7" hidden="1" x14ac:dyDescent="0.25">
      <c r="A17297" s="28">
        <v>44927</v>
      </c>
      <c r="B17297" s="27" t="s">
        <v>200</v>
      </c>
      <c r="C17297" s="27" t="s">
        <v>53</v>
      </c>
      <c r="D17297" s="27" t="s">
        <v>6</v>
      </c>
      <c r="E17297" s="27" t="s">
        <v>64</v>
      </c>
      <c r="F17297" s="29"/>
      <c r="G17297" s="30">
        <f t="shared" si="300"/>
        <v>379.73676875000001</v>
      </c>
    </row>
    <row r="17298" spans="1:7" hidden="1" x14ac:dyDescent="0.25">
      <c r="A17298" s="28">
        <v>44927</v>
      </c>
      <c r="B17298" s="27" t="s">
        <v>200</v>
      </c>
      <c r="C17298" s="27" t="s">
        <v>53</v>
      </c>
      <c r="D17298" s="27" t="s">
        <v>6</v>
      </c>
      <c r="E17298" s="27" t="s">
        <v>42</v>
      </c>
      <c r="F17298" s="29"/>
      <c r="G17298" s="30">
        <f t="shared" si="300"/>
        <v>379.73676875000001</v>
      </c>
    </row>
    <row r="17299" spans="1:7" hidden="1" x14ac:dyDescent="0.25">
      <c r="A17299" s="28">
        <v>44927</v>
      </c>
      <c r="B17299" s="27" t="s">
        <v>200</v>
      </c>
      <c r="C17299" s="27" t="s">
        <v>53</v>
      </c>
      <c r="D17299" s="27" t="s">
        <v>6</v>
      </c>
      <c r="E17299" s="27" t="s">
        <v>72</v>
      </c>
      <c r="F17299" s="29"/>
      <c r="G17299" s="30">
        <f t="shared" si="300"/>
        <v>379.73676875000001</v>
      </c>
    </row>
    <row r="17300" spans="1:7" hidden="1" x14ac:dyDescent="0.25">
      <c r="A17300" s="28">
        <v>44927</v>
      </c>
      <c r="B17300" s="27" t="s">
        <v>200</v>
      </c>
      <c r="C17300" s="27" t="s">
        <v>53</v>
      </c>
      <c r="D17300" s="27" t="s">
        <v>6</v>
      </c>
      <c r="E17300" s="27" t="s">
        <v>43</v>
      </c>
      <c r="F17300" s="29"/>
      <c r="G17300" s="30">
        <f t="shared" si="300"/>
        <v>379.73676875000001</v>
      </c>
    </row>
    <row r="17301" spans="1:7" hidden="1" x14ac:dyDescent="0.25">
      <c r="A17301" s="28">
        <v>44927</v>
      </c>
      <c r="B17301" s="27" t="s">
        <v>200</v>
      </c>
      <c r="C17301" s="27" t="s">
        <v>53</v>
      </c>
      <c r="D17301" s="27" t="s">
        <v>6</v>
      </c>
      <c r="E17301" s="27" t="s">
        <v>206</v>
      </c>
      <c r="F17301" s="29"/>
      <c r="G17301" s="30">
        <f t="shared" si="300"/>
        <v>379.73676875000001</v>
      </c>
    </row>
    <row r="17302" spans="1:7" hidden="1" x14ac:dyDescent="0.25">
      <c r="A17302" s="28">
        <v>44927</v>
      </c>
      <c r="B17302" s="27" t="s">
        <v>200</v>
      </c>
      <c r="C17302" s="27" t="s">
        <v>53</v>
      </c>
      <c r="D17302" s="27" t="s">
        <v>6</v>
      </c>
      <c r="E17302" s="27" t="s">
        <v>68</v>
      </c>
      <c r="F17302" s="29"/>
      <c r="G17302" s="30">
        <f t="shared" si="300"/>
        <v>379.73676875000001</v>
      </c>
    </row>
    <row r="17303" spans="1:7" hidden="1" x14ac:dyDescent="0.25">
      <c r="A17303" s="28">
        <v>44927</v>
      </c>
      <c r="B17303" s="27" t="s">
        <v>200</v>
      </c>
      <c r="C17303" s="27" t="s">
        <v>53</v>
      </c>
      <c r="D17303" s="27" t="s">
        <v>6</v>
      </c>
      <c r="E17303" s="27" t="s">
        <v>74</v>
      </c>
      <c r="F17303" s="29"/>
      <c r="G17303" s="30">
        <f t="shared" si="300"/>
        <v>379.73676875000001</v>
      </c>
    </row>
    <row r="17304" spans="1:7" hidden="1" x14ac:dyDescent="0.25">
      <c r="A17304" s="28">
        <v>44927</v>
      </c>
      <c r="B17304" s="27" t="s">
        <v>200</v>
      </c>
      <c r="C17304" s="27" t="s">
        <v>53</v>
      </c>
      <c r="D17304" s="27" t="s">
        <v>6</v>
      </c>
      <c r="E17304" s="27" t="s">
        <v>67</v>
      </c>
      <c r="F17304" s="29"/>
      <c r="G17304" s="30">
        <f t="shared" si="300"/>
        <v>379.73676875000001</v>
      </c>
    </row>
    <row r="17305" spans="1:7" hidden="1" x14ac:dyDescent="0.25">
      <c r="A17305" s="28">
        <v>44927</v>
      </c>
      <c r="B17305" s="27" t="s">
        <v>200</v>
      </c>
      <c r="C17305" s="27" t="s">
        <v>53</v>
      </c>
      <c r="D17305" s="27" t="s">
        <v>6</v>
      </c>
      <c r="E17305" s="27" t="s">
        <v>71</v>
      </c>
      <c r="F17305" s="29"/>
      <c r="G17305" s="30">
        <f t="shared" si="300"/>
        <v>379.73676875000001</v>
      </c>
    </row>
    <row r="17306" spans="1:7" hidden="1" x14ac:dyDescent="0.25">
      <c r="A17306" s="28">
        <v>44927</v>
      </c>
      <c r="B17306" s="27" t="s">
        <v>200</v>
      </c>
      <c r="C17306" s="27" t="s">
        <v>53</v>
      </c>
      <c r="D17306" s="27" t="s">
        <v>6</v>
      </c>
      <c r="E17306" s="27" t="s">
        <v>73</v>
      </c>
      <c r="F17306" s="29"/>
      <c r="G17306" s="30">
        <f t="shared" si="300"/>
        <v>379.73676875000001</v>
      </c>
    </row>
    <row r="17307" spans="1:7" hidden="1" x14ac:dyDescent="0.25">
      <c r="A17307" s="28">
        <v>44927</v>
      </c>
      <c r="B17307" s="27" t="s">
        <v>200</v>
      </c>
      <c r="C17307" s="27" t="s">
        <v>53</v>
      </c>
      <c r="D17307" s="27" t="s">
        <v>6</v>
      </c>
      <c r="E17307" s="27" t="s">
        <v>70</v>
      </c>
      <c r="F17307" s="29"/>
      <c r="G17307" s="30">
        <f t="shared" si="300"/>
        <v>379.73676875000001</v>
      </c>
    </row>
    <row r="17308" spans="1:7" hidden="1" x14ac:dyDescent="0.25">
      <c r="A17308" s="28">
        <v>44927</v>
      </c>
      <c r="B17308" s="27" t="s">
        <v>200</v>
      </c>
      <c r="C17308" s="27" t="s">
        <v>53</v>
      </c>
      <c r="D17308" s="27" t="s">
        <v>6</v>
      </c>
      <c r="E17308" s="27" t="s">
        <v>203</v>
      </c>
      <c r="F17308" s="29"/>
      <c r="G17308" s="30">
        <f t="shared" si="300"/>
        <v>379.73676875000001</v>
      </c>
    </row>
    <row r="17309" spans="1:7" hidden="1" x14ac:dyDescent="0.25">
      <c r="A17309" s="28">
        <v>44927</v>
      </c>
      <c r="B17309" s="27" t="s">
        <v>200</v>
      </c>
      <c r="C17309" s="27" t="s">
        <v>54</v>
      </c>
      <c r="D17309" s="27" t="s">
        <v>7</v>
      </c>
      <c r="E17309" s="27" t="s">
        <v>8</v>
      </c>
      <c r="F17309" s="29"/>
      <c r="G17309" s="30">
        <f t="shared" ref="G17309:G17340" si="301">922.27/32</f>
        <v>28.820937499999999</v>
      </c>
    </row>
    <row r="17310" spans="1:7" hidden="1" x14ac:dyDescent="0.25">
      <c r="A17310" s="28">
        <v>44927</v>
      </c>
      <c r="B17310" s="27" t="s">
        <v>200</v>
      </c>
      <c r="C17310" s="27" t="s">
        <v>54</v>
      </c>
      <c r="D17310" s="27" t="s">
        <v>7</v>
      </c>
      <c r="E17310" s="27" t="s">
        <v>9</v>
      </c>
      <c r="F17310" s="29"/>
      <c r="G17310" s="30">
        <f t="shared" si="301"/>
        <v>28.820937499999999</v>
      </c>
    </row>
    <row r="17311" spans="1:7" hidden="1" x14ac:dyDescent="0.25">
      <c r="A17311" s="28">
        <v>44927</v>
      </c>
      <c r="B17311" s="27" t="s">
        <v>200</v>
      </c>
      <c r="C17311" s="27" t="s">
        <v>54</v>
      </c>
      <c r="D17311" s="27" t="s">
        <v>7</v>
      </c>
      <c r="E17311" s="27" t="s">
        <v>21</v>
      </c>
      <c r="F17311" s="29"/>
      <c r="G17311" s="30">
        <f t="shared" si="301"/>
        <v>28.820937499999999</v>
      </c>
    </row>
    <row r="17312" spans="1:7" hidden="1" x14ac:dyDescent="0.25">
      <c r="A17312" s="28">
        <v>44927</v>
      </c>
      <c r="B17312" s="27" t="s">
        <v>200</v>
      </c>
      <c r="C17312" s="27" t="s">
        <v>54</v>
      </c>
      <c r="D17312" s="27" t="s">
        <v>7</v>
      </c>
      <c r="E17312" s="27" t="s">
        <v>10</v>
      </c>
      <c r="F17312" s="29"/>
      <c r="G17312" s="30">
        <f t="shared" si="301"/>
        <v>28.820937499999999</v>
      </c>
    </row>
    <row r="17313" spans="1:7" hidden="1" x14ac:dyDescent="0.25">
      <c r="A17313" s="28">
        <v>44927</v>
      </c>
      <c r="B17313" s="27" t="s">
        <v>200</v>
      </c>
      <c r="C17313" s="27" t="s">
        <v>54</v>
      </c>
      <c r="D17313" s="27" t="s">
        <v>7</v>
      </c>
      <c r="E17313" s="27" t="s">
        <v>11</v>
      </c>
      <c r="F17313" s="29"/>
      <c r="G17313" s="30">
        <f t="shared" si="301"/>
        <v>28.820937499999999</v>
      </c>
    </row>
    <row r="17314" spans="1:7" hidden="1" x14ac:dyDescent="0.25">
      <c r="A17314" s="28">
        <v>44927</v>
      </c>
      <c r="B17314" s="27" t="s">
        <v>200</v>
      </c>
      <c r="C17314" s="27" t="s">
        <v>54</v>
      </c>
      <c r="D17314" s="27" t="s">
        <v>7</v>
      </c>
      <c r="E17314" s="27" t="s">
        <v>12</v>
      </c>
      <c r="F17314" s="29"/>
      <c r="G17314" s="30">
        <f t="shared" si="301"/>
        <v>28.820937499999999</v>
      </c>
    </row>
    <row r="17315" spans="1:7" hidden="1" x14ac:dyDescent="0.25">
      <c r="A17315" s="28">
        <v>44927</v>
      </c>
      <c r="B17315" s="27" t="s">
        <v>200</v>
      </c>
      <c r="C17315" s="27" t="s">
        <v>54</v>
      </c>
      <c r="D17315" s="27" t="s">
        <v>7</v>
      </c>
      <c r="E17315" s="27" t="s">
        <v>13</v>
      </c>
      <c r="F17315" s="29"/>
      <c r="G17315" s="30">
        <f t="shared" si="301"/>
        <v>28.820937499999999</v>
      </c>
    </row>
    <row r="17316" spans="1:7" hidden="1" x14ac:dyDescent="0.25">
      <c r="A17316" s="28">
        <v>44927</v>
      </c>
      <c r="B17316" s="27" t="s">
        <v>200</v>
      </c>
      <c r="C17316" s="27" t="s">
        <v>54</v>
      </c>
      <c r="D17316" s="27" t="s">
        <v>7</v>
      </c>
      <c r="E17316" s="27" t="s">
        <v>14</v>
      </c>
      <c r="F17316" s="29"/>
      <c r="G17316" s="30">
        <f t="shared" si="301"/>
        <v>28.820937499999999</v>
      </c>
    </row>
    <row r="17317" spans="1:7" hidden="1" x14ac:dyDescent="0.25">
      <c r="A17317" s="28">
        <v>44927</v>
      </c>
      <c r="B17317" s="27" t="s">
        <v>200</v>
      </c>
      <c r="C17317" s="27" t="s">
        <v>54</v>
      </c>
      <c r="D17317" s="27" t="s">
        <v>7</v>
      </c>
      <c r="E17317" s="27" t="s">
        <v>15</v>
      </c>
      <c r="F17317" s="29"/>
      <c r="G17317" s="30">
        <f t="shared" si="301"/>
        <v>28.820937499999999</v>
      </c>
    </row>
    <row r="17318" spans="1:7" hidden="1" x14ac:dyDescent="0.25">
      <c r="A17318" s="28">
        <v>44927</v>
      </c>
      <c r="B17318" s="27" t="s">
        <v>200</v>
      </c>
      <c r="C17318" s="27" t="s">
        <v>54</v>
      </c>
      <c r="D17318" s="27" t="s">
        <v>7</v>
      </c>
      <c r="E17318" s="27" t="s">
        <v>16</v>
      </c>
      <c r="F17318" s="29"/>
      <c r="G17318" s="30">
        <f t="shared" si="301"/>
        <v>28.820937499999999</v>
      </c>
    </row>
    <row r="17319" spans="1:7" hidden="1" x14ac:dyDescent="0.25">
      <c r="A17319" s="28">
        <v>44927</v>
      </c>
      <c r="B17319" s="27" t="s">
        <v>200</v>
      </c>
      <c r="C17319" s="27" t="s">
        <v>54</v>
      </c>
      <c r="D17319" s="27" t="s">
        <v>7</v>
      </c>
      <c r="E17319" s="27" t="s">
        <v>17</v>
      </c>
      <c r="F17319" s="29"/>
      <c r="G17319" s="30">
        <f t="shared" si="301"/>
        <v>28.820937499999999</v>
      </c>
    </row>
    <row r="17320" spans="1:7" hidden="1" x14ac:dyDescent="0.25">
      <c r="A17320" s="28">
        <v>44927</v>
      </c>
      <c r="B17320" s="27" t="s">
        <v>200</v>
      </c>
      <c r="C17320" s="27" t="s">
        <v>54</v>
      </c>
      <c r="D17320" s="27" t="s">
        <v>7</v>
      </c>
      <c r="E17320" s="27" t="s">
        <v>18</v>
      </c>
      <c r="F17320" s="29"/>
      <c r="G17320" s="30">
        <f t="shared" si="301"/>
        <v>28.820937499999999</v>
      </c>
    </row>
    <row r="17321" spans="1:7" hidden="1" x14ac:dyDescent="0.25">
      <c r="A17321" s="28">
        <v>44927</v>
      </c>
      <c r="B17321" s="27" t="s">
        <v>200</v>
      </c>
      <c r="C17321" s="27" t="s">
        <v>54</v>
      </c>
      <c r="D17321" s="27" t="s">
        <v>7</v>
      </c>
      <c r="E17321" s="27" t="s">
        <v>19</v>
      </c>
      <c r="F17321" s="29"/>
      <c r="G17321" s="30">
        <f t="shared" si="301"/>
        <v>28.820937499999999</v>
      </c>
    </row>
    <row r="17322" spans="1:7" hidden="1" x14ac:dyDescent="0.25">
      <c r="A17322" s="28">
        <v>44927</v>
      </c>
      <c r="B17322" s="27" t="s">
        <v>200</v>
      </c>
      <c r="C17322" s="27" t="s">
        <v>54</v>
      </c>
      <c r="D17322" s="27" t="s">
        <v>7</v>
      </c>
      <c r="E17322" s="27" t="s">
        <v>20</v>
      </c>
      <c r="F17322" s="29"/>
      <c r="G17322" s="30">
        <f t="shared" si="301"/>
        <v>28.820937499999999</v>
      </c>
    </row>
    <row r="17323" spans="1:7" hidden="1" x14ac:dyDescent="0.25">
      <c r="A17323" s="28">
        <v>44927</v>
      </c>
      <c r="B17323" s="27" t="s">
        <v>200</v>
      </c>
      <c r="C17323" s="27" t="s">
        <v>54</v>
      </c>
      <c r="D17323" s="27" t="s">
        <v>7</v>
      </c>
      <c r="E17323" s="27" t="s">
        <v>38</v>
      </c>
      <c r="F17323" s="29"/>
      <c r="G17323" s="30">
        <f t="shared" si="301"/>
        <v>28.820937499999999</v>
      </c>
    </row>
    <row r="17324" spans="1:7" hidden="1" x14ac:dyDescent="0.25">
      <c r="A17324" s="28">
        <v>44927</v>
      </c>
      <c r="B17324" s="27" t="s">
        <v>200</v>
      </c>
      <c r="C17324" s="27" t="s">
        <v>54</v>
      </c>
      <c r="D17324" s="27" t="s">
        <v>7</v>
      </c>
      <c r="E17324" s="27" t="s">
        <v>23</v>
      </c>
      <c r="F17324" s="29"/>
      <c r="G17324" s="30">
        <f t="shared" si="301"/>
        <v>28.820937499999999</v>
      </c>
    </row>
    <row r="17325" spans="1:7" hidden="1" x14ac:dyDescent="0.25">
      <c r="A17325" s="28">
        <v>44927</v>
      </c>
      <c r="B17325" s="27" t="s">
        <v>200</v>
      </c>
      <c r="C17325" s="27" t="s">
        <v>54</v>
      </c>
      <c r="D17325" s="27" t="s">
        <v>7</v>
      </c>
      <c r="E17325" s="27" t="s">
        <v>22</v>
      </c>
      <c r="F17325" s="29"/>
      <c r="G17325" s="30">
        <f t="shared" si="301"/>
        <v>28.820937499999999</v>
      </c>
    </row>
    <row r="17326" spans="1:7" hidden="1" x14ac:dyDescent="0.25">
      <c r="A17326" s="28">
        <v>44927</v>
      </c>
      <c r="B17326" s="27" t="s">
        <v>200</v>
      </c>
      <c r="C17326" s="27" t="s">
        <v>54</v>
      </c>
      <c r="D17326" s="27" t="s">
        <v>7</v>
      </c>
      <c r="E17326" s="27" t="s">
        <v>39</v>
      </c>
      <c r="F17326" s="29"/>
      <c r="G17326" s="30">
        <f t="shared" si="301"/>
        <v>28.820937499999999</v>
      </c>
    </row>
    <row r="17327" spans="1:7" hidden="1" x14ac:dyDescent="0.25">
      <c r="A17327" s="28">
        <v>44927</v>
      </c>
      <c r="B17327" s="27" t="s">
        <v>200</v>
      </c>
      <c r="C17327" s="27" t="s">
        <v>54</v>
      </c>
      <c r="D17327" s="27" t="s">
        <v>7</v>
      </c>
      <c r="E17327" s="27" t="s">
        <v>41</v>
      </c>
      <c r="F17327" s="29"/>
      <c r="G17327" s="30">
        <f t="shared" si="301"/>
        <v>28.820937499999999</v>
      </c>
    </row>
    <row r="17328" spans="1:7" hidden="1" x14ac:dyDescent="0.25">
      <c r="A17328" s="28">
        <v>44927</v>
      </c>
      <c r="B17328" s="27" t="s">
        <v>200</v>
      </c>
      <c r="C17328" s="27" t="s">
        <v>54</v>
      </c>
      <c r="D17328" s="27" t="s">
        <v>7</v>
      </c>
      <c r="E17328" s="27" t="s">
        <v>40</v>
      </c>
      <c r="F17328" s="29"/>
      <c r="G17328" s="30">
        <f t="shared" si="301"/>
        <v>28.820937499999999</v>
      </c>
    </row>
    <row r="17329" spans="1:7" hidden="1" x14ac:dyDescent="0.25">
      <c r="A17329" s="28">
        <v>44927</v>
      </c>
      <c r="B17329" s="27" t="s">
        <v>200</v>
      </c>
      <c r="C17329" s="27" t="s">
        <v>54</v>
      </c>
      <c r="D17329" s="27" t="s">
        <v>7</v>
      </c>
      <c r="E17329" s="27" t="s">
        <v>64</v>
      </c>
      <c r="F17329" s="29"/>
      <c r="G17329" s="30">
        <f t="shared" si="301"/>
        <v>28.820937499999999</v>
      </c>
    </row>
    <row r="17330" spans="1:7" hidden="1" x14ac:dyDescent="0.25">
      <c r="A17330" s="28">
        <v>44927</v>
      </c>
      <c r="B17330" s="27" t="s">
        <v>200</v>
      </c>
      <c r="C17330" s="27" t="s">
        <v>54</v>
      </c>
      <c r="D17330" s="27" t="s">
        <v>7</v>
      </c>
      <c r="E17330" s="27" t="s">
        <v>42</v>
      </c>
      <c r="F17330" s="29"/>
      <c r="G17330" s="30">
        <f t="shared" si="301"/>
        <v>28.820937499999999</v>
      </c>
    </row>
    <row r="17331" spans="1:7" hidden="1" x14ac:dyDescent="0.25">
      <c r="A17331" s="28">
        <v>44927</v>
      </c>
      <c r="B17331" s="27" t="s">
        <v>200</v>
      </c>
      <c r="C17331" s="27" t="s">
        <v>54</v>
      </c>
      <c r="D17331" s="27" t="s">
        <v>7</v>
      </c>
      <c r="E17331" s="27" t="s">
        <v>72</v>
      </c>
      <c r="F17331" s="29"/>
      <c r="G17331" s="30">
        <f t="shared" si="301"/>
        <v>28.820937499999999</v>
      </c>
    </row>
    <row r="17332" spans="1:7" hidden="1" x14ac:dyDescent="0.25">
      <c r="A17332" s="28">
        <v>44927</v>
      </c>
      <c r="B17332" s="27" t="s">
        <v>200</v>
      </c>
      <c r="C17332" s="27" t="s">
        <v>54</v>
      </c>
      <c r="D17332" s="27" t="s">
        <v>7</v>
      </c>
      <c r="E17332" s="27" t="s">
        <v>43</v>
      </c>
      <c r="F17332" s="29"/>
      <c r="G17332" s="30">
        <f t="shared" si="301"/>
        <v>28.820937499999999</v>
      </c>
    </row>
    <row r="17333" spans="1:7" hidden="1" x14ac:dyDescent="0.25">
      <c r="A17333" s="28">
        <v>44927</v>
      </c>
      <c r="B17333" s="27" t="s">
        <v>200</v>
      </c>
      <c r="C17333" s="27" t="s">
        <v>54</v>
      </c>
      <c r="D17333" s="27" t="s">
        <v>7</v>
      </c>
      <c r="E17333" s="27" t="s">
        <v>206</v>
      </c>
      <c r="F17333" s="29"/>
      <c r="G17333" s="30">
        <f t="shared" si="301"/>
        <v>28.820937499999999</v>
      </c>
    </row>
    <row r="17334" spans="1:7" hidden="1" x14ac:dyDescent="0.25">
      <c r="A17334" s="28">
        <v>44927</v>
      </c>
      <c r="B17334" s="27" t="s">
        <v>200</v>
      </c>
      <c r="C17334" s="27" t="s">
        <v>54</v>
      </c>
      <c r="D17334" s="27" t="s">
        <v>7</v>
      </c>
      <c r="E17334" s="27" t="s">
        <v>68</v>
      </c>
      <c r="F17334" s="29"/>
      <c r="G17334" s="30">
        <f t="shared" si="301"/>
        <v>28.820937499999999</v>
      </c>
    </row>
    <row r="17335" spans="1:7" hidden="1" x14ac:dyDescent="0.25">
      <c r="A17335" s="28">
        <v>44927</v>
      </c>
      <c r="B17335" s="27" t="s">
        <v>200</v>
      </c>
      <c r="C17335" s="27" t="s">
        <v>54</v>
      </c>
      <c r="D17335" s="27" t="s">
        <v>7</v>
      </c>
      <c r="E17335" s="27" t="s">
        <v>74</v>
      </c>
      <c r="F17335" s="29"/>
      <c r="G17335" s="30">
        <f t="shared" si="301"/>
        <v>28.820937499999999</v>
      </c>
    </row>
    <row r="17336" spans="1:7" hidden="1" x14ac:dyDescent="0.25">
      <c r="A17336" s="28">
        <v>44927</v>
      </c>
      <c r="B17336" s="27" t="s">
        <v>200</v>
      </c>
      <c r="C17336" s="27" t="s">
        <v>54</v>
      </c>
      <c r="D17336" s="27" t="s">
        <v>7</v>
      </c>
      <c r="E17336" s="27" t="s">
        <v>67</v>
      </c>
      <c r="F17336" s="29"/>
      <c r="G17336" s="30">
        <f t="shared" si="301"/>
        <v>28.820937499999999</v>
      </c>
    </row>
    <row r="17337" spans="1:7" hidden="1" x14ac:dyDescent="0.25">
      <c r="A17337" s="28">
        <v>44927</v>
      </c>
      <c r="B17337" s="27" t="s">
        <v>200</v>
      </c>
      <c r="C17337" s="27" t="s">
        <v>54</v>
      </c>
      <c r="D17337" s="27" t="s">
        <v>7</v>
      </c>
      <c r="E17337" s="27" t="s">
        <v>71</v>
      </c>
      <c r="F17337" s="29"/>
      <c r="G17337" s="30">
        <f t="shared" si="301"/>
        <v>28.820937499999999</v>
      </c>
    </row>
    <row r="17338" spans="1:7" hidden="1" x14ac:dyDescent="0.25">
      <c r="A17338" s="28">
        <v>44927</v>
      </c>
      <c r="B17338" s="27" t="s">
        <v>200</v>
      </c>
      <c r="C17338" s="27" t="s">
        <v>54</v>
      </c>
      <c r="D17338" s="27" t="s">
        <v>7</v>
      </c>
      <c r="E17338" s="27" t="s">
        <v>73</v>
      </c>
      <c r="F17338" s="29"/>
      <c r="G17338" s="30">
        <f t="shared" si="301"/>
        <v>28.820937499999999</v>
      </c>
    </row>
    <row r="17339" spans="1:7" hidden="1" x14ac:dyDescent="0.25">
      <c r="A17339" s="28">
        <v>44927</v>
      </c>
      <c r="B17339" s="27" t="s">
        <v>200</v>
      </c>
      <c r="C17339" s="27" t="s">
        <v>54</v>
      </c>
      <c r="D17339" s="27" t="s">
        <v>7</v>
      </c>
      <c r="E17339" s="27" t="s">
        <v>70</v>
      </c>
      <c r="F17339" s="29"/>
      <c r="G17339" s="30">
        <f t="shared" si="301"/>
        <v>28.820937499999999</v>
      </c>
    </row>
    <row r="17340" spans="1:7" hidden="1" x14ac:dyDescent="0.25">
      <c r="A17340" s="28">
        <v>44927</v>
      </c>
      <c r="B17340" s="27" t="s">
        <v>200</v>
      </c>
      <c r="C17340" s="27" t="s">
        <v>54</v>
      </c>
      <c r="D17340" s="27" t="s">
        <v>7</v>
      </c>
      <c r="E17340" s="27" t="s">
        <v>203</v>
      </c>
      <c r="F17340" s="29"/>
      <c r="G17340" s="30">
        <f t="shared" si="301"/>
        <v>28.820937499999999</v>
      </c>
    </row>
    <row r="17341" spans="1:7" hidden="1" x14ac:dyDescent="0.25">
      <c r="A17341" s="28">
        <v>44927</v>
      </c>
      <c r="B17341" s="27" t="s">
        <v>200</v>
      </c>
      <c r="C17341" s="27" t="s">
        <v>55</v>
      </c>
      <c r="D17341" s="27" t="s">
        <v>6</v>
      </c>
      <c r="E17341" s="27" t="s">
        <v>8</v>
      </c>
      <c r="F17341" s="29"/>
      <c r="G17341" s="30">
        <f t="shared" ref="G17341:G17372" si="302">38704.1463/32</f>
        <v>1209.504571875</v>
      </c>
    </row>
    <row r="17342" spans="1:7" hidden="1" x14ac:dyDescent="0.25">
      <c r="A17342" s="28">
        <v>44927</v>
      </c>
      <c r="B17342" s="27" t="s">
        <v>200</v>
      </c>
      <c r="C17342" s="27" t="s">
        <v>55</v>
      </c>
      <c r="D17342" s="27" t="s">
        <v>6</v>
      </c>
      <c r="E17342" s="27" t="s">
        <v>9</v>
      </c>
      <c r="F17342" s="29"/>
      <c r="G17342" s="30">
        <f t="shared" si="302"/>
        <v>1209.504571875</v>
      </c>
    </row>
    <row r="17343" spans="1:7" hidden="1" x14ac:dyDescent="0.25">
      <c r="A17343" s="28">
        <v>44927</v>
      </c>
      <c r="B17343" s="27" t="s">
        <v>200</v>
      </c>
      <c r="C17343" s="27" t="s">
        <v>55</v>
      </c>
      <c r="D17343" s="27" t="s">
        <v>6</v>
      </c>
      <c r="E17343" s="27" t="s">
        <v>21</v>
      </c>
      <c r="F17343" s="29"/>
      <c r="G17343" s="30">
        <f t="shared" si="302"/>
        <v>1209.504571875</v>
      </c>
    </row>
    <row r="17344" spans="1:7" hidden="1" x14ac:dyDescent="0.25">
      <c r="A17344" s="28">
        <v>44927</v>
      </c>
      <c r="B17344" s="27" t="s">
        <v>200</v>
      </c>
      <c r="C17344" s="27" t="s">
        <v>55</v>
      </c>
      <c r="D17344" s="27" t="s">
        <v>6</v>
      </c>
      <c r="E17344" s="27" t="s">
        <v>10</v>
      </c>
      <c r="F17344" s="29"/>
      <c r="G17344" s="30">
        <f t="shared" si="302"/>
        <v>1209.504571875</v>
      </c>
    </row>
    <row r="17345" spans="1:7" hidden="1" x14ac:dyDescent="0.25">
      <c r="A17345" s="28">
        <v>44927</v>
      </c>
      <c r="B17345" s="27" t="s">
        <v>200</v>
      </c>
      <c r="C17345" s="27" t="s">
        <v>55</v>
      </c>
      <c r="D17345" s="27" t="s">
        <v>6</v>
      </c>
      <c r="E17345" s="27" t="s">
        <v>11</v>
      </c>
      <c r="F17345" s="29"/>
      <c r="G17345" s="30">
        <f t="shared" si="302"/>
        <v>1209.504571875</v>
      </c>
    </row>
    <row r="17346" spans="1:7" hidden="1" x14ac:dyDescent="0.25">
      <c r="A17346" s="28">
        <v>44927</v>
      </c>
      <c r="B17346" s="27" t="s">
        <v>200</v>
      </c>
      <c r="C17346" s="27" t="s">
        <v>55</v>
      </c>
      <c r="D17346" s="27" t="s">
        <v>6</v>
      </c>
      <c r="E17346" s="27" t="s">
        <v>12</v>
      </c>
      <c r="F17346" s="29"/>
      <c r="G17346" s="30">
        <f t="shared" si="302"/>
        <v>1209.504571875</v>
      </c>
    </row>
    <row r="17347" spans="1:7" hidden="1" x14ac:dyDescent="0.25">
      <c r="A17347" s="28">
        <v>44927</v>
      </c>
      <c r="B17347" s="27" t="s">
        <v>200</v>
      </c>
      <c r="C17347" s="27" t="s">
        <v>55</v>
      </c>
      <c r="D17347" s="27" t="s">
        <v>6</v>
      </c>
      <c r="E17347" s="27" t="s">
        <v>13</v>
      </c>
      <c r="F17347" s="29"/>
      <c r="G17347" s="30">
        <f t="shared" si="302"/>
        <v>1209.504571875</v>
      </c>
    </row>
    <row r="17348" spans="1:7" hidden="1" x14ac:dyDescent="0.25">
      <c r="A17348" s="28">
        <v>44927</v>
      </c>
      <c r="B17348" s="27" t="s">
        <v>200</v>
      </c>
      <c r="C17348" s="27" t="s">
        <v>55</v>
      </c>
      <c r="D17348" s="27" t="s">
        <v>6</v>
      </c>
      <c r="E17348" s="27" t="s">
        <v>14</v>
      </c>
      <c r="F17348" s="29"/>
      <c r="G17348" s="30">
        <f t="shared" si="302"/>
        <v>1209.504571875</v>
      </c>
    </row>
    <row r="17349" spans="1:7" hidden="1" x14ac:dyDescent="0.25">
      <c r="A17349" s="28">
        <v>44927</v>
      </c>
      <c r="B17349" s="27" t="s">
        <v>200</v>
      </c>
      <c r="C17349" s="27" t="s">
        <v>55</v>
      </c>
      <c r="D17349" s="27" t="s">
        <v>6</v>
      </c>
      <c r="E17349" s="27" t="s">
        <v>15</v>
      </c>
      <c r="F17349" s="29"/>
      <c r="G17349" s="30">
        <f t="shared" si="302"/>
        <v>1209.504571875</v>
      </c>
    </row>
    <row r="17350" spans="1:7" hidden="1" x14ac:dyDescent="0.25">
      <c r="A17350" s="28">
        <v>44927</v>
      </c>
      <c r="B17350" s="27" t="s">
        <v>200</v>
      </c>
      <c r="C17350" s="27" t="s">
        <v>55</v>
      </c>
      <c r="D17350" s="27" t="s">
        <v>6</v>
      </c>
      <c r="E17350" s="27" t="s">
        <v>16</v>
      </c>
      <c r="F17350" s="29"/>
      <c r="G17350" s="30">
        <f t="shared" si="302"/>
        <v>1209.504571875</v>
      </c>
    </row>
    <row r="17351" spans="1:7" hidden="1" x14ac:dyDescent="0.25">
      <c r="A17351" s="28">
        <v>44927</v>
      </c>
      <c r="B17351" s="27" t="s">
        <v>200</v>
      </c>
      <c r="C17351" s="27" t="s">
        <v>55</v>
      </c>
      <c r="D17351" s="27" t="s">
        <v>6</v>
      </c>
      <c r="E17351" s="27" t="s">
        <v>17</v>
      </c>
      <c r="F17351" s="29"/>
      <c r="G17351" s="30">
        <f t="shared" si="302"/>
        <v>1209.504571875</v>
      </c>
    </row>
    <row r="17352" spans="1:7" hidden="1" x14ac:dyDescent="0.25">
      <c r="A17352" s="28">
        <v>44927</v>
      </c>
      <c r="B17352" s="27" t="s">
        <v>200</v>
      </c>
      <c r="C17352" s="27" t="s">
        <v>55</v>
      </c>
      <c r="D17352" s="27" t="s">
        <v>6</v>
      </c>
      <c r="E17352" s="27" t="s">
        <v>18</v>
      </c>
      <c r="F17352" s="29"/>
      <c r="G17352" s="30">
        <f t="shared" si="302"/>
        <v>1209.504571875</v>
      </c>
    </row>
    <row r="17353" spans="1:7" hidden="1" x14ac:dyDescent="0.25">
      <c r="A17353" s="28">
        <v>44927</v>
      </c>
      <c r="B17353" s="27" t="s">
        <v>200</v>
      </c>
      <c r="C17353" s="27" t="s">
        <v>55</v>
      </c>
      <c r="D17353" s="27" t="s">
        <v>6</v>
      </c>
      <c r="E17353" s="27" t="s">
        <v>19</v>
      </c>
      <c r="F17353" s="29"/>
      <c r="G17353" s="30">
        <f t="shared" si="302"/>
        <v>1209.504571875</v>
      </c>
    </row>
    <row r="17354" spans="1:7" hidden="1" x14ac:dyDescent="0.25">
      <c r="A17354" s="28">
        <v>44927</v>
      </c>
      <c r="B17354" s="27" t="s">
        <v>200</v>
      </c>
      <c r="C17354" s="27" t="s">
        <v>55</v>
      </c>
      <c r="D17354" s="27" t="s">
        <v>6</v>
      </c>
      <c r="E17354" s="27" t="s">
        <v>20</v>
      </c>
      <c r="F17354" s="29"/>
      <c r="G17354" s="30">
        <f t="shared" si="302"/>
        <v>1209.504571875</v>
      </c>
    </row>
    <row r="17355" spans="1:7" hidden="1" x14ac:dyDescent="0.25">
      <c r="A17355" s="28">
        <v>44927</v>
      </c>
      <c r="B17355" s="27" t="s">
        <v>200</v>
      </c>
      <c r="C17355" s="27" t="s">
        <v>55</v>
      </c>
      <c r="D17355" s="27" t="s">
        <v>6</v>
      </c>
      <c r="E17355" s="27" t="s">
        <v>38</v>
      </c>
      <c r="F17355" s="29"/>
      <c r="G17355" s="30">
        <f t="shared" si="302"/>
        <v>1209.504571875</v>
      </c>
    </row>
    <row r="17356" spans="1:7" hidden="1" x14ac:dyDescent="0.25">
      <c r="A17356" s="28">
        <v>44927</v>
      </c>
      <c r="B17356" s="27" t="s">
        <v>200</v>
      </c>
      <c r="C17356" s="27" t="s">
        <v>55</v>
      </c>
      <c r="D17356" s="27" t="s">
        <v>6</v>
      </c>
      <c r="E17356" s="27" t="s">
        <v>23</v>
      </c>
      <c r="F17356" s="29"/>
      <c r="G17356" s="30">
        <f t="shared" si="302"/>
        <v>1209.504571875</v>
      </c>
    </row>
    <row r="17357" spans="1:7" hidden="1" x14ac:dyDescent="0.25">
      <c r="A17357" s="28">
        <v>44927</v>
      </c>
      <c r="B17357" s="27" t="s">
        <v>200</v>
      </c>
      <c r="C17357" s="27" t="s">
        <v>55</v>
      </c>
      <c r="D17357" s="27" t="s">
        <v>6</v>
      </c>
      <c r="E17357" s="27" t="s">
        <v>22</v>
      </c>
      <c r="F17357" s="29"/>
      <c r="G17357" s="30">
        <f t="shared" si="302"/>
        <v>1209.504571875</v>
      </c>
    </row>
    <row r="17358" spans="1:7" hidden="1" x14ac:dyDescent="0.25">
      <c r="A17358" s="28">
        <v>44927</v>
      </c>
      <c r="B17358" s="27" t="s">
        <v>200</v>
      </c>
      <c r="C17358" s="27" t="s">
        <v>55</v>
      </c>
      <c r="D17358" s="27" t="s">
        <v>6</v>
      </c>
      <c r="E17358" s="27" t="s">
        <v>39</v>
      </c>
      <c r="F17358" s="29"/>
      <c r="G17358" s="30">
        <f t="shared" si="302"/>
        <v>1209.504571875</v>
      </c>
    </row>
    <row r="17359" spans="1:7" hidden="1" x14ac:dyDescent="0.25">
      <c r="A17359" s="28">
        <v>44927</v>
      </c>
      <c r="B17359" s="27" t="s">
        <v>200</v>
      </c>
      <c r="C17359" s="27" t="s">
        <v>55</v>
      </c>
      <c r="D17359" s="27" t="s">
        <v>6</v>
      </c>
      <c r="E17359" s="27" t="s">
        <v>41</v>
      </c>
      <c r="F17359" s="29"/>
      <c r="G17359" s="30">
        <f t="shared" si="302"/>
        <v>1209.504571875</v>
      </c>
    </row>
    <row r="17360" spans="1:7" hidden="1" x14ac:dyDescent="0.25">
      <c r="A17360" s="28">
        <v>44927</v>
      </c>
      <c r="B17360" s="27" t="s">
        <v>200</v>
      </c>
      <c r="C17360" s="27" t="s">
        <v>55</v>
      </c>
      <c r="D17360" s="27" t="s">
        <v>6</v>
      </c>
      <c r="E17360" s="27" t="s">
        <v>40</v>
      </c>
      <c r="F17360" s="29"/>
      <c r="G17360" s="30">
        <f t="shared" si="302"/>
        <v>1209.504571875</v>
      </c>
    </row>
    <row r="17361" spans="1:7" hidden="1" x14ac:dyDescent="0.25">
      <c r="A17361" s="28">
        <v>44927</v>
      </c>
      <c r="B17361" s="27" t="s">
        <v>200</v>
      </c>
      <c r="C17361" s="27" t="s">
        <v>55</v>
      </c>
      <c r="D17361" s="27" t="s">
        <v>6</v>
      </c>
      <c r="E17361" s="27" t="s">
        <v>64</v>
      </c>
      <c r="F17361" s="29"/>
      <c r="G17361" s="30">
        <f t="shared" si="302"/>
        <v>1209.504571875</v>
      </c>
    </row>
    <row r="17362" spans="1:7" hidden="1" x14ac:dyDescent="0.25">
      <c r="A17362" s="28">
        <v>44927</v>
      </c>
      <c r="B17362" s="27" t="s">
        <v>200</v>
      </c>
      <c r="C17362" s="27" t="s">
        <v>55</v>
      </c>
      <c r="D17362" s="27" t="s">
        <v>6</v>
      </c>
      <c r="E17362" s="27" t="s">
        <v>42</v>
      </c>
      <c r="F17362" s="29"/>
      <c r="G17362" s="30">
        <f t="shared" si="302"/>
        <v>1209.504571875</v>
      </c>
    </row>
    <row r="17363" spans="1:7" hidden="1" x14ac:dyDescent="0.25">
      <c r="A17363" s="28">
        <v>44927</v>
      </c>
      <c r="B17363" s="27" t="s">
        <v>200</v>
      </c>
      <c r="C17363" s="27" t="s">
        <v>55</v>
      </c>
      <c r="D17363" s="27" t="s">
        <v>6</v>
      </c>
      <c r="E17363" s="27" t="s">
        <v>72</v>
      </c>
      <c r="F17363" s="29"/>
      <c r="G17363" s="30">
        <f t="shared" si="302"/>
        <v>1209.504571875</v>
      </c>
    </row>
    <row r="17364" spans="1:7" hidden="1" x14ac:dyDescent="0.25">
      <c r="A17364" s="28">
        <v>44927</v>
      </c>
      <c r="B17364" s="27" t="s">
        <v>200</v>
      </c>
      <c r="C17364" s="27" t="s">
        <v>55</v>
      </c>
      <c r="D17364" s="27" t="s">
        <v>6</v>
      </c>
      <c r="E17364" s="27" t="s">
        <v>43</v>
      </c>
      <c r="F17364" s="29"/>
      <c r="G17364" s="30">
        <f t="shared" si="302"/>
        <v>1209.504571875</v>
      </c>
    </row>
    <row r="17365" spans="1:7" hidden="1" x14ac:dyDescent="0.25">
      <c r="A17365" s="28">
        <v>44927</v>
      </c>
      <c r="B17365" s="27" t="s">
        <v>200</v>
      </c>
      <c r="C17365" s="27" t="s">
        <v>55</v>
      </c>
      <c r="D17365" s="27" t="s">
        <v>6</v>
      </c>
      <c r="E17365" s="27" t="s">
        <v>206</v>
      </c>
      <c r="F17365" s="29"/>
      <c r="G17365" s="30">
        <f t="shared" si="302"/>
        <v>1209.504571875</v>
      </c>
    </row>
    <row r="17366" spans="1:7" hidden="1" x14ac:dyDescent="0.25">
      <c r="A17366" s="28">
        <v>44927</v>
      </c>
      <c r="B17366" s="27" t="s">
        <v>200</v>
      </c>
      <c r="C17366" s="27" t="s">
        <v>55</v>
      </c>
      <c r="D17366" s="27" t="s">
        <v>6</v>
      </c>
      <c r="E17366" s="27" t="s">
        <v>68</v>
      </c>
      <c r="F17366" s="29"/>
      <c r="G17366" s="30">
        <f t="shared" si="302"/>
        <v>1209.504571875</v>
      </c>
    </row>
    <row r="17367" spans="1:7" hidden="1" x14ac:dyDescent="0.25">
      <c r="A17367" s="28">
        <v>44927</v>
      </c>
      <c r="B17367" s="27" t="s">
        <v>200</v>
      </c>
      <c r="C17367" s="27" t="s">
        <v>55</v>
      </c>
      <c r="D17367" s="27" t="s">
        <v>6</v>
      </c>
      <c r="E17367" s="27" t="s">
        <v>74</v>
      </c>
      <c r="F17367" s="29"/>
      <c r="G17367" s="30">
        <f t="shared" si="302"/>
        <v>1209.504571875</v>
      </c>
    </row>
    <row r="17368" spans="1:7" hidden="1" x14ac:dyDescent="0.25">
      <c r="A17368" s="28">
        <v>44927</v>
      </c>
      <c r="B17368" s="27" t="s">
        <v>200</v>
      </c>
      <c r="C17368" s="27" t="s">
        <v>55</v>
      </c>
      <c r="D17368" s="27" t="s">
        <v>6</v>
      </c>
      <c r="E17368" s="27" t="s">
        <v>67</v>
      </c>
      <c r="F17368" s="29"/>
      <c r="G17368" s="30">
        <f t="shared" si="302"/>
        <v>1209.504571875</v>
      </c>
    </row>
    <row r="17369" spans="1:7" hidden="1" x14ac:dyDescent="0.25">
      <c r="A17369" s="28">
        <v>44927</v>
      </c>
      <c r="B17369" s="27" t="s">
        <v>200</v>
      </c>
      <c r="C17369" s="27" t="s">
        <v>55</v>
      </c>
      <c r="D17369" s="27" t="s">
        <v>6</v>
      </c>
      <c r="E17369" s="27" t="s">
        <v>71</v>
      </c>
      <c r="F17369" s="29"/>
      <c r="G17369" s="30">
        <f t="shared" si="302"/>
        <v>1209.504571875</v>
      </c>
    </row>
    <row r="17370" spans="1:7" hidden="1" x14ac:dyDescent="0.25">
      <c r="A17370" s="28">
        <v>44927</v>
      </c>
      <c r="B17370" s="27" t="s">
        <v>200</v>
      </c>
      <c r="C17370" s="27" t="s">
        <v>55</v>
      </c>
      <c r="D17370" s="27" t="s">
        <v>6</v>
      </c>
      <c r="E17370" s="27" t="s">
        <v>73</v>
      </c>
      <c r="F17370" s="29"/>
      <c r="G17370" s="30">
        <f t="shared" si="302"/>
        <v>1209.504571875</v>
      </c>
    </row>
    <row r="17371" spans="1:7" hidden="1" x14ac:dyDescent="0.25">
      <c r="A17371" s="28">
        <v>44927</v>
      </c>
      <c r="B17371" s="27" t="s">
        <v>200</v>
      </c>
      <c r="C17371" s="27" t="s">
        <v>55</v>
      </c>
      <c r="D17371" s="27" t="s">
        <v>6</v>
      </c>
      <c r="E17371" s="27" t="s">
        <v>70</v>
      </c>
      <c r="F17371" s="29"/>
      <c r="G17371" s="30">
        <f t="shared" si="302"/>
        <v>1209.504571875</v>
      </c>
    </row>
    <row r="17372" spans="1:7" hidden="1" x14ac:dyDescent="0.25">
      <c r="A17372" s="28">
        <v>44927</v>
      </c>
      <c r="B17372" s="27" t="s">
        <v>200</v>
      </c>
      <c r="C17372" s="27" t="s">
        <v>55</v>
      </c>
      <c r="D17372" s="27" t="s">
        <v>6</v>
      </c>
      <c r="E17372" s="27" t="s">
        <v>203</v>
      </c>
      <c r="F17372" s="29"/>
      <c r="G17372" s="30">
        <f t="shared" si="302"/>
        <v>1209.504571875</v>
      </c>
    </row>
    <row r="17373" spans="1:7" hidden="1" x14ac:dyDescent="0.25">
      <c r="A17373" s="28">
        <v>44927</v>
      </c>
      <c r="B17373" s="27" t="s">
        <v>200</v>
      </c>
      <c r="C17373" s="27" t="s">
        <v>183</v>
      </c>
      <c r="D17373" s="27" t="s">
        <v>7</v>
      </c>
      <c r="E17373" s="27" t="s">
        <v>8</v>
      </c>
      <c r="F17373" s="29"/>
      <c r="G17373" s="30">
        <f t="shared" ref="G17373:G17404" si="303">2614.5/32</f>
        <v>81.703125</v>
      </c>
    </row>
    <row r="17374" spans="1:7" hidden="1" x14ac:dyDescent="0.25">
      <c r="A17374" s="28">
        <v>44927</v>
      </c>
      <c r="B17374" s="27" t="s">
        <v>200</v>
      </c>
      <c r="C17374" s="27" t="s">
        <v>183</v>
      </c>
      <c r="D17374" s="27" t="s">
        <v>7</v>
      </c>
      <c r="E17374" s="27" t="s">
        <v>9</v>
      </c>
      <c r="F17374" s="29"/>
      <c r="G17374" s="30">
        <f t="shared" si="303"/>
        <v>81.703125</v>
      </c>
    </row>
    <row r="17375" spans="1:7" hidden="1" x14ac:dyDescent="0.25">
      <c r="A17375" s="28">
        <v>44927</v>
      </c>
      <c r="B17375" s="27" t="s">
        <v>200</v>
      </c>
      <c r="C17375" s="27" t="s">
        <v>183</v>
      </c>
      <c r="D17375" s="27" t="s">
        <v>7</v>
      </c>
      <c r="E17375" s="27" t="s">
        <v>21</v>
      </c>
      <c r="F17375" s="29"/>
      <c r="G17375" s="30">
        <f t="shared" si="303"/>
        <v>81.703125</v>
      </c>
    </row>
    <row r="17376" spans="1:7" hidden="1" x14ac:dyDescent="0.25">
      <c r="A17376" s="28">
        <v>44927</v>
      </c>
      <c r="B17376" s="27" t="s">
        <v>200</v>
      </c>
      <c r="C17376" s="27" t="s">
        <v>183</v>
      </c>
      <c r="D17376" s="27" t="s">
        <v>7</v>
      </c>
      <c r="E17376" s="27" t="s">
        <v>10</v>
      </c>
      <c r="F17376" s="29"/>
      <c r="G17376" s="30">
        <f t="shared" si="303"/>
        <v>81.703125</v>
      </c>
    </row>
    <row r="17377" spans="1:7" hidden="1" x14ac:dyDescent="0.25">
      <c r="A17377" s="28">
        <v>44927</v>
      </c>
      <c r="B17377" s="27" t="s">
        <v>200</v>
      </c>
      <c r="C17377" s="27" t="s">
        <v>183</v>
      </c>
      <c r="D17377" s="27" t="s">
        <v>7</v>
      </c>
      <c r="E17377" s="27" t="s">
        <v>11</v>
      </c>
      <c r="F17377" s="29"/>
      <c r="G17377" s="30">
        <f t="shared" si="303"/>
        <v>81.703125</v>
      </c>
    </row>
    <row r="17378" spans="1:7" hidden="1" x14ac:dyDescent="0.25">
      <c r="A17378" s="28">
        <v>44927</v>
      </c>
      <c r="B17378" s="27" t="s">
        <v>200</v>
      </c>
      <c r="C17378" s="27" t="s">
        <v>183</v>
      </c>
      <c r="D17378" s="27" t="s">
        <v>7</v>
      </c>
      <c r="E17378" s="27" t="s">
        <v>12</v>
      </c>
      <c r="F17378" s="29"/>
      <c r="G17378" s="30">
        <f t="shared" si="303"/>
        <v>81.703125</v>
      </c>
    </row>
    <row r="17379" spans="1:7" hidden="1" x14ac:dyDescent="0.25">
      <c r="A17379" s="28">
        <v>44927</v>
      </c>
      <c r="B17379" s="27" t="s">
        <v>200</v>
      </c>
      <c r="C17379" s="27" t="s">
        <v>183</v>
      </c>
      <c r="D17379" s="27" t="s">
        <v>7</v>
      </c>
      <c r="E17379" s="27" t="s">
        <v>13</v>
      </c>
      <c r="F17379" s="29"/>
      <c r="G17379" s="30">
        <f t="shared" si="303"/>
        <v>81.703125</v>
      </c>
    </row>
    <row r="17380" spans="1:7" hidden="1" x14ac:dyDescent="0.25">
      <c r="A17380" s="28">
        <v>44927</v>
      </c>
      <c r="B17380" s="27" t="s">
        <v>200</v>
      </c>
      <c r="C17380" s="27" t="s">
        <v>183</v>
      </c>
      <c r="D17380" s="27" t="s">
        <v>7</v>
      </c>
      <c r="E17380" s="27" t="s">
        <v>14</v>
      </c>
      <c r="F17380" s="29"/>
      <c r="G17380" s="30">
        <f t="shared" si="303"/>
        <v>81.703125</v>
      </c>
    </row>
    <row r="17381" spans="1:7" hidden="1" x14ac:dyDescent="0.25">
      <c r="A17381" s="28">
        <v>44927</v>
      </c>
      <c r="B17381" s="27" t="s">
        <v>200</v>
      </c>
      <c r="C17381" s="27" t="s">
        <v>183</v>
      </c>
      <c r="D17381" s="27" t="s">
        <v>7</v>
      </c>
      <c r="E17381" s="27" t="s">
        <v>15</v>
      </c>
      <c r="F17381" s="29"/>
      <c r="G17381" s="30">
        <f t="shared" si="303"/>
        <v>81.703125</v>
      </c>
    </row>
    <row r="17382" spans="1:7" hidden="1" x14ac:dyDescent="0.25">
      <c r="A17382" s="28">
        <v>44927</v>
      </c>
      <c r="B17382" s="27" t="s">
        <v>200</v>
      </c>
      <c r="C17382" s="27" t="s">
        <v>183</v>
      </c>
      <c r="D17382" s="27" t="s">
        <v>7</v>
      </c>
      <c r="E17382" s="27" t="s">
        <v>16</v>
      </c>
      <c r="F17382" s="29"/>
      <c r="G17382" s="30">
        <f t="shared" si="303"/>
        <v>81.703125</v>
      </c>
    </row>
    <row r="17383" spans="1:7" hidden="1" x14ac:dyDescent="0.25">
      <c r="A17383" s="28">
        <v>44927</v>
      </c>
      <c r="B17383" s="27" t="s">
        <v>200</v>
      </c>
      <c r="C17383" s="27" t="s">
        <v>183</v>
      </c>
      <c r="D17383" s="27" t="s">
        <v>7</v>
      </c>
      <c r="E17383" s="27" t="s">
        <v>17</v>
      </c>
      <c r="F17383" s="29"/>
      <c r="G17383" s="30">
        <f t="shared" si="303"/>
        <v>81.703125</v>
      </c>
    </row>
    <row r="17384" spans="1:7" hidden="1" x14ac:dyDescent="0.25">
      <c r="A17384" s="28">
        <v>44927</v>
      </c>
      <c r="B17384" s="27" t="s">
        <v>200</v>
      </c>
      <c r="C17384" s="27" t="s">
        <v>183</v>
      </c>
      <c r="D17384" s="27" t="s">
        <v>7</v>
      </c>
      <c r="E17384" s="27" t="s">
        <v>18</v>
      </c>
      <c r="F17384" s="29"/>
      <c r="G17384" s="30">
        <f t="shared" si="303"/>
        <v>81.703125</v>
      </c>
    </row>
    <row r="17385" spans="1:7" hidden="1" x14ac:dyDescent="0.25">
      <c r="A17385" s="28">
        <v>44927</v>
      </c>
      <c r="B17385" s="27" t="s">
        <v>200</v>
      </c>
      <c r="C17385" s="27" t="s">
        <v>183</v>
      </c>
      <c r="D17385" s="27" t="s">
        <v>7</v>
      </c>
      <c r="E17385" s="27" t="s">
        <v>19</v>
      </c>
      <c r="F17385" s="29"/>
      <c r="G17385" s="30">
        <f t="shared" si="303"/>
        <v>81.703125</v>
      </c>
    </row>
    <row r="17386" spans="1:7" hidden="1" x14ac:dyDescent="0.25">
      <c r="A17386" s="28">
        <v>44927</v>
      </c>
      <c r="B17386" s="27" t="s">
        <v>200</v>
      </c>
      <c r="C17386" s="27" t="s">
        <v>183</v>
      </c>
      <c r="D17386" s="27" t="s">
        <v>7</v>
      </c>
      <c r="E17386" s="27" t="s">
        <v>20</v>
      </c>
      <c r="F17386" s="29"/>
      <c r="G17386" s="30">
        <f t="shared" si="303"/>
        <v>81.703125</v>
      </c>
    </row>
    <row r="17387" spans="1:7" hidden="1" x14ac:dyDescent="0.25">
      <c r="A17387" s="28">
        <v>44927</v>
      </c>
      <c r="B17387" s="27" t="s">
        <v>200</v>
      </c>
      <c r="C17387" s="27" t="s">
        <v>183</v>
      </c>
      <c r="D17387" s="27" t="s">
        <v>7</v>
      </c>
      <c r="E17387" s="27" t="s">
        <v>38</v>
      </c>
      <c r="F17387" s="29"/>
      <c r="G17387" s="30">
        <f t="shared" si="303"/>
        <v>81.703125</v>
      </c>
    </row>
    <row r="17388" spans="1:7" hidden="1" x14ac:dyDescent="0.25">
      <c r="A17388" s="28">
        <v>44927</v>
      </c>
      <c r="B17388" s="27" t="s">
        <v>200</v>
      </c>
      <c r="C17388" s="27" t="s">
        <v>183</v>
      </c>
      <c r="D17388" s="27" t="s">
        <v>7</v>
      </c>
      <c r="E17388" s="27" t="s">
        <v>23</v>
      </c>
      <c r="F17388" s="29"/>
      <c r="G17388" s="30">
        <f t="shared" si="303"/>
        <v>81.703125</v>
      </c>
    </row>
    <row r="17389" spans="1:7" hidden="1" x14ac:dyDescent="0.25">
      <c r="A17389" s="28">
        <v>44927</v>
      </c>
      <c r="B17389" s="27" t="s">
        <v>200</v>
      </c>
      <c r="C17389" s="27" t="s">
        <v>183</v>
      </c>
      <c r="D17389" s="27" t="s">
        <v>7</v>
      </c>
      <c r="E17389" s="27" t="s">
        <v>22</v>
      </c>
      <c r="F17389" s="29"/>
      <c r="G17389" s="30">
        <f t="shared" si="303"/>
        <v>81.703125</v>
      </c>
    </row>
    <row r="17390" spans="1:7" hidden="1" x14ac:dyDescent="0.25">
      <c r="A17390" s="28">
        <v>44927</v>
      </c>
      <c r="B17390" s="27" t="s">
        <v>200</v>
      </c>
      <c r="C17390" s="27" t="s">
        <v>183</v>
      </c>
      <c r="D17390" s="27" t="s">
        <v>7</v>
      </c>
      <c r="E17390" s="27" t="s">
        <v>39</v>
      </c>
      <c r="F17390" s="29"/>
      <c r="G17390" s="30">
        <f t="shared" si="303"/>
        <v>81.703125</v>
      </c>
    </row>
    <row r="17391" spans="1:7" hidden="1" x14ac:dyDescent="0.25">
      <c r="A17391" s="28">
        <v>44927</v>
      </c>
      <c r="B17391" s="27" t="s">
        <v>200</v>
      </c>
      <c r="C17391" s="27" t="s">
        <v>183</v>
      </c>
      <c r="D17391" s="27" t="s">
        <v>7</v>
      </c>
      <c r="E17391" s="27" t="s">
        <v>41</v>
      </c>
      <c r="F17391" s="29"/>
      <c r="G17391" s="30">
        <f t="shared" si="303"/>
        <v>81.703125</v>
      </c>
    </row>
    <row r="17392" spans="1:7" hidden="1" x14ac:dyDescent="0.25">
      <c r="A17392" s="28">
        <v>44927</v>
      </c>
      <c r="B17392" s="27" t="s">
        <v>200</v>
      </c>
      <c r="C17392" s="27" t="s">
        <v>183</v>
      </c>
      <c r="D17392" s="27" t="s">
        <v>7</v>
      </c>
      <c r="E17392" s="27" t="s">
        <v>40</v>
      </c>
      <c r="F17392" s="29"/>
      <c r="G17392" s="30">
        <f t="shared" si="303"/>
        <v>81.703125</v>
      </c>
    </row>
    <row r="17393" spans="1:7" hidden="1" x14ac:dyDescent="0.25">
      <c r="A17393" s="28">
        <v>44927</v>
      </c>
      <c r="B17393" s="27" t="s">
        <v>200</v>
      </c>
      <c r="C17393" s="27" t="s">
        <v>183</v>
      </c>
      <c r="D17393" s="27" t="s">
        <v>7</v>
      </c>
      <c r="E17393" s="27" t="s">
        <v>64</v>
      </c>
      <c r="F17393" s="29"/>
      <c r="G17393" s="30">
        <f t="shared" si="303"/>
        <v>81.703125</v>
      </c>
    </row>
    <row r="17394" spans="1:7" hidden="1" x14ac:dyDescent="0.25">
      <c r="A17394" s="28">
        <v>44927</v>
      </c>
      <c r="B17394" s="27" t="s">
        <v>200</v>
      </c>
      <c r="C17394" s="27" t="s">
        <v>183</v>
      </c>
      <c r="D17394" s="27" t="s">
        <v>7</v>
      </c>
      <c r="E17394" s="27" t="s">
        <v>42</v>
      </c>
      <c r="F17394" s="29"/>
      <c r="G17394" s="30">
        <f t="shared" si="303"/>
        <v>81.703125</v>
      </c>
    </row>
    <row r="17395" spans="1:7" hidden="1" x14ac:dyDescent="0.25">
      <c r="A17395" s="28">
        <v>44927</v>
      </c>
      <c r="B17395" s="27" t="s">
        <v>200</v>
      </c>
      <c r="C17395" s="27" t="s">
        <v>183</v>
      </c>
      <c r="D17395" s="27" t="s">
        <v>7</v>
      </c>
      <c r="E17395" s="27" t="s">
        <v>72</v>
      </c>
      <c r="F17395" s="29"/>
      <c r="G17395" s="30">
        <f t="shared" si="303"/>
        <v>81.703125</v>
      </c>
    </row>
    <row r="17396" spans="1:7" hidden="1" x14ac:dyDescent="0.25">
      <c r="A17396" s="28">
        <v>44927</v>
      </c>
      <c r="B17396" s="27" t="s">
        <v>200</v>
      </c>
      <c r="C17396" s="27" t="s">
        <v>183</v>
      </c>
      <c r="D17396" s="27" t="s">
        <v>7</v>
      </c>
      <c r="E17396" s="27" t="s">
        <v>43</v>
      </c>
      <c r="F17396" s="29"/>
      <c r="G17396" s="30">
        <f t="shared" si="303"/>
        <v>81.703125</v>
      </c>
    </row>
    <row r="17397" spans="1:7" hidden="1" x14ac:dyDescent="0.25">
      <c r="A17397" s="28">
        <v>44927</v>
      </c>
      <c r="B17397" s="27" t="s">
        <v>200</v>
      </c>
      <c r="C17397" s="27" t="s">
        <v>183</v>
      </c>
      <c r="D17397" s="27" t="s">
        <v>7</v>
      </c>
      <c r="E17397" s="27" t="s">
        <v>206</v>
      </c>
      <c r="F17397" s="29"/>
      <c r="G17397" s="30">
        <f t="shared" si="303"/>
        <v>81.703125</v>
      </c>
    </row>
    <row r="17398" spans="1:7" hidden="1" x14ac:dyDescent="0.25">
      <c r="A17398" s="28">
        <v>44927</v>
      </c>
      <c r="B17398" s="27" t="s">
        <v>200</v>
      </c>
      <c r="C17398" s="27" t="s">
        <v>183</v>
      </c>
      <c r="D17398" s="27" t="s">
        <v>7</v>
      </c>
      <c r="E17398" s="27" t="s">
        <v>68</v>
      </c>
      <c r="F17398" s="29"/>
      <c r="G17398" s="30">
        <f t="shared" si="303"/>
        <v>81.703125</v>
      </c>
    </row>
    <row r="17399" spans="1:7" hidden="1" x14ac:dyDescent="0.25">
      <c r="A17399" s="28">
        <v>44927</v>
      </c>
      <c r="B17399" s="27" t="s">
        <v>200</v>
      </c>
      <c r="C17399" s="27" t="s">
        <v>183</v>
      </c>
      <c r="D17399" s="27" t="s">
        <v>7</v>
      </c>
      <c r="E17399" s="27" t="s">
        <v>74</v>
      </c>
      <c r="F17399" s="29"/>
      <c r="G17399" s="30">
        <f t="shared" si="303"/>
        <v>81.703125</v>
      </c>
    </row>
    <row r="17400" spans="1:7" hidden="1" x14ac:dyDescent="0.25">
      <c r="A17400" s="28">
        <v>44927</v>
      </c>
      <c r="B17400" s="27" t="s">
        <v>200</v>
      </c>
      <c r="C17400" s="27" t="s">
        <v>183</v>
      </c>
      <c r="D17400" s="27" t="s">
        <v>7</v>
      </c>
      <c r="E17400" s="27" t="s">
        <v>67</v>
      </c>
      <c r="F17400" s="29"/>
      <c r="G17400" s="30">
        <f t="shared" si="303"/>
        <v>81.703125</v>
      </c>
    </row>
    <row r="17401" spans="1:7" hidden="1" x14ac:dyDescent="0.25">
      <c r="A17401" s="28">
        <v>44927</v>
      </c>
      <c r="B17401" s="27" t="s">
        <v>200</v>
      </c>
      <c r="C17401" s="27" t="s">
        <v>183</v>
      </c>
      <c r="D17401" s="27" t="s">
        <v>7</v>
      </c>
      <c r="E17401" s="27" t="s">
        <v>71</v>
      </c>
      <c r="F17401" s="29"/>
      <c r="G17401" s="30">
        <f t="shared" si="303"/>
        <v>81.703125</v>
      </c>
    </row>
    <row r="17402" spans="1:7" hidden="1" x14ac:dyDescent="0.25">
      <c r="A17402" s="28">
        <v>44927</v>
      </c>
      <c r="B17402" s="27" t="s">
        <v>200</v>
      </c>
      <c r="C17402" s="27" t="s">
        <v>183</v>
      </c>
      <c r="D17402" s="27" t="s">
        <v>7</v>
      </c>
      <c r="E17402" s="27" t="s">
        <v>73</v>
      </c>
      <c r="F17402" s="29"/>
      <c r="G17402" s="30">
        <f t="shared" si="303"/>
        <v>81.703125</v>
      </c>
    </row>
    <row r="17403" spans="1:7" hidden="1" x14ac:dyDescent="0.25">
      <c r="A17403" s="28">
        <v>44927</v>
      </c>
      <c r="B17403" s="27" t="s">
        <v>200</v>
      </c>
      <c r="C17403" s="27" t="s">
        <v>183</v>
      </c>
      <c r="D17403" s="27" t="s">
        <v>7</v>
      </c>
      <c r="E17403" s="27" t="s">
        <v>70</v>
      </c>
      <c r="F17403" s="29"/>
      <c r="G17403" s="30">
        <f t="shared" si="303"/>
        <v>81.703125</v>
      </c>
    </row>
    <row r="17404" spans="1:7" hidden="1" x14ac:dyDescent="0.25">
      <c r="A17404" s="28">
        <v>44927</v>
      </c>
      <c r="B17404" s="27" t="s">
        <v>200</v>
      </c>
      <c r="C17404" s="27" t="s">
        <v>183</v>
      </c>
      <c r="D17404" s="27" t="s">
        <v>7</v>
      </c>
      <c r="E17404" s="27" t="s">
        <v>203</v>
      </c>
      <c r="F17404" s="29"/>
      <c r="G17404" s="30">
        <f t="shared" si="303"/>
        <v>81.703125</v>
      </c>
    </row>
    <row r="17405" spans="1:7" hidden="1" x14ac:dyDescent="0.25">
      <c r="A17405" s="28">
        <v>44927</v>
      </c>
      <c r="B17405" s="27" t="s">
        <v>200</v>
      </c>
      <c r="C17405" s="27" t="s">
        <v>56</v>
      </c>
      <c r="D17405" s="27" t="s">
        <v>6</v>
      </c>
      <c r="E17405" s="27" t="s">
        <v>8</v>
      </c>
      <c r="F17405" s="29"/>
      <c r="G17405" s="30">
        <f t="shared" ref="G17405:G17436" si="304">64864.71/32</f>
        <v>2027.0221875</v>
      </c>
    </row>
    <row r="17406" spans="1:7" hidden="1" x14ac:dyDescent="0.25">
      <c r="A17406" s="28">
        <v>44927</v>
      </c>
      <c r="B17406" s="27" t="s">
        <v>200</v>
      </c>
      <c r="C17406" s="27" t="s">
        <v>56</v>
      </c>
      <c r="D17406" s="27" t="s">
        <v>6</v>
      </c>
      <c r="E17406" s="27" t="s">
        <v>9</v>
      </c>
      <c r="F17406" s="29"/>
      <c r="G17406" s="30">
        <f t="shared" si="304"/>
        <v>2027.0221875</v>
      </c>
    </row>
    <row r="17407" spans="1:7" hidden="1" x14ac:dyDescent="0.25">
      <c r="A17407" s="28">
        <v>44927</v>
      </c>
      <c r="B17407" s="27" t="s">
        <v>200</v>
      </c>
      <c r="C17407" s="27" t="s">
        <v>56</v>
      </c>
      <c r="D17407" s="27" t="s">
        <v>6</v>
      </c>
      <c r="E17407" s="27" t="s">
        <v>21</v>
      </c>
      <c r="F17407" s="29"/>
      <c r="G17407" s="30">
        <f t="shared" si="304"/>
        <v>2027.0221875</v>
      </c>
    </row>
    <row r="17408" spans="1:7" hidden="1" x14ac:dyDescent="0.25">
      <c r="A17408" s="28">
        <v>44927</v>
      </c>
      <c r="B17408" s="27" t="s">
        <v>200</v>
      </c>
      <c r="C17408" s="27" t="s">
        <v>56</v>
      </c>
      <c r="D17408" s="27" t="s">
        <v>6</v>
      </c>
      <c r="E17408" s="27" t="s">
        <v>10</v>
      </c>
      <c r="F17408" s="29"/>
      <c r="G17408" s="30">
        <f t="shared" si="304"/>
        <v>2027.0221875</v>
      </c>
    </row>
    <row r="17409" spans="1:7" hidden="1" x14ac:dyDescent="0.25">
      <c r="A17409" s="28">
        <v>44927</v>
      </c>
      <c r="B17409" s="27" t="s">
        <v>200</v>
      </c>
      <c r="C17409" s="27" t="s">
        <v>56</v>
      </c>
      <c r="D17409" s="27" t="s">
        <v>6</v>
      </c>
      <c r="E17409" s="27" t="s">
        <v>11</v>
      </c>
      <c r="F17409" s="29"/>
      <c r="G17409" s="30">
        <f t="shared" si="304"/>
        <v>2027.0221875</v>
      </c>
    </row>
    <row r="17410" spans="1:7" hidden="1" x14ac:dyDescent="0.25">
      <c r="A17410" s="28">
        <v>44927</v>
      </c>
      <c r="B17410" s="27" t="s">
        <v>200</v>
      </c>
      <c r="C17410" s="27" t="s">
        <v>56</v>
      </c>
      <c r="D17410" s="27" t="s">
        <v>6</v>
      </c>
      <c r="E17410" s="27" t="s">
        <v>12</v>
      </c>
      <c r="F17410" s="29"/>
      <c r="G17410" s="30">
        <f t="shared" si="304"/>
        <v>2027.0221875</v>
      </c>
    </row>
    <row r="17411" spans="1:7" hidden="1" x14ac:dyDescent="0.25">
      <c r="A17411" s="28">
        <v>44927</v>
      </c>
      <c r="B17411" s="27" t="s">
        <v>200</v>
      </c>
      <c r="C17411" s="27" t="s">
        <v>56</v>
      </c>
      <c r="D17411" s="27" t="s">
        <v>6</v>
      </c>
      <c r="E17411" s="27" t="s">
        <v>13</v>
      </c>
      <c r="F17411" s="29"/>
      <c r="G17411" s="30">
        <f t="shared" si="304"/>
        <v>2027.0221875</v>
      </c>
    </row>
    <row r="17412" spans="1:7" hidden="1" x14ac:dyDescent="0.25">
      <c r="A17412" s="28">
        <v>44927</v>
      </c>
      <c r="B17412" s="27" t="s">
        <v>200</v>
      </c>
      <c r="C17412" s="27" t="s">
        <v>56</v>
      </c>
      <c r="D17412" s="27" t="s">
        <v>6</v>
      </c>
      <c r="E17412" s="27" t="s">
        <v>14</v>
      </c>
      <c r="F17412" s="29"/>
      <c r="G17412" s="30">
        <f t="shared" si="304"/>
        <v>2027.0221875</v>
      </c>
    </row>
    <row r="17413" spans="1:7" hidden="1" x14ac:dyDescent="0.25">
      <c r="A17413" s="28">
        <v>44927</v>
      </c>
      <c r="B17413" s="27" t="s">
        <v>200</v>
      </c>
      <c r="C17413" s="27" t="s">
        <v>56</v>
      </c>
      <c r="D17413" s="27" t="s">
        <v>6</v>
      </c>
      <c r="E17413" s="27" t="s">
        <v>15</v>
      </c>
      <c r="F17413" s="29"/>
      <c r="G17413" s="30">
        <f t="shared" si="304"/>
        <v>2027.0221875</v>
      </c>
    </row>
    <row r="17414" spans="1:7" hidden="1" x14ac:dyDescent="0.25">
      <c r="A17414" s="28">
        <v>44927</v>
      </c>
      <c r="B17414" s="27" t="s">
        <v>200</v>
      </c>
      <c r="C17414" s="27" t="s">
        <v>56</v>
      </c>
      <c r="D17414" s="27" t="s">
        <v>6</v>
      </c>
      <c r="E17414" s="27" t="s">
        <v>16</v>
      </c>
      <c r="F17414" s="29"/>
      <c r="G17414" s="30">
        <f t="shared" si="304"/>
        <v>2027.0221875</v>
      </c>
    </row>
    <row r="17415" spans="1:7" hidden="1" x14ac:dyDescent="0.25">
      <c r="A17415" s="28">
        <v>44927</v>
      </c>
      <c r="B17415" s="27" t="s">
        <v>200</v>
      </c>
      <c r="C17415" s="27" t="s">
        <v>56</v>
      </c>
      <c r="D17415" s="27" t="s">
        <v>6</v>
      </c>
      <c r="E17415" s="27" t="s">
        <v>17</v>
      </c>
      <c r="F17415" s="29"/>
      <c r="G17415" s="30">
        <f t="shared" si="304"/>
        <v>2027.0221875</v>
      </c>
    </row>
    <row r="17416" spans="1:7" hidden="1" x14ac:dyDescent="0.25">
      <c r="A17416" s="28">
        <v>44927</v>
      </c>
      <c r="B17416" s="27" t="s">
        <v>200</v>
      </c>
      <c r="C17416" s="27" t="s">
        <v>56</v>
      </c>
      <c r="D17416" s="27" t="s">
        <v>6</v>
      </c>
      <c r="E17416" s="27" t="s">
        <v>18</v>
      </c>
      <c r="F17416" s="29"/>
      <c r="G17416" s="30">
        <f t="shared" si="304"/>
        <v>2027.0221875</v>
      </c>
    </row>
    <row r="17417" spans="1:7" hidden="1" x14ac:dyDescent="0.25">
      <c r="A17417" s="28">
        <v>44927</v>
      </c>
      <c r="B17417" s="27" t="s">
        <v>200</v>
      </c>
      <c r="C17417" s="27" t="s">
        <v>56</v>
      </c>
      <c r="D17417" s="27" t="s">
        <v>6</v>
      </c>
      <c r="E17417" s="27" t="s">
        <v>19</v>
      </c>
      <c r="F17417" s="29"/>
      <c r="G17417" s="30">
        <f t="shared" si="304"/>
        <v>2027.0221875</v>
      </c>
    </row>
    <row r="17418" spans="1:7" hidden="1" x14ac:dyDescent="0.25">
      <c r="A17418" s="28">
        <v>44927</v>
      </c>
      <c r="B17418" s="27" t="s">
        <v>200</v>
      </c>
      <c r="C17418" s="27" t="s">
        <v>56</v>
      </c>
      <c r="D17418" s="27" t="s">
        <v>6</v>
      </c>
      <c r="E17418" s="27" t="s">
        <v>20</v>
      </c>
      <c r="F17418" s="29"/>
      <c r="G17418" s="30">
        <f t="shared" si="304"/>
        <v>2027.0221875</v>
      </c>
    </row>
    <row r="17419" spans="1:7" hidden="1" x14ac:dyDescent="0.25">
      <c r="A17419" s="28">
        <v>44927</v>
      </c>
      <c r="B17419" s="27" t="s">
        <v>200</v>
      </c>
      <c r="C17419" s="27" t="s">
        <v>56</v>
      </c>
      <c r="D17419" s="27" t="s">
        <v>6</v>
      </c>
      <c r="E17419" s="27" t="s">
        <v>38</v>
      </c>
      <c r="F17419" s="29"/>
      <c r="G17419" s="30">
        <f t="shared" si="304"/>
        <v>2027.0221875</v>
      </c>
    </row>
    <row r="17420" spans="1:7" hidden="1" x14ac:dyDescent="0.25">
      <c r="A17420" s="28">
        <v>44927</v>
      </c>
      <c r="B17420" s="27" t="s">
        <v>200</v>
      </c>
      <c r="C17420" s="27" t="s">
        <v>56</v>
      </c>
      <c r="D17420" s="27" t="s">
        <v>6</v>
      </c>
      <c r="E17420" s="27" t="s">
        <v>23</v>
      </c>
      <c r="F17420" s="29"/>
      <c r="G17420" s="30">
        <f t="shared" si="304"/>
        <v>2027.0221875</v>
      </c>
    </row>
    <row r="17421" spans="1:7" hidden="1" x14ac:dyDescent="0.25">
      <c r="A17421" s="28">
        <v>44927</v>
      </c>
      <c r="B17421" s="27" t="s">
        <v>200</v>
      </c>
      <c r="C17421" s="27" t="s">
        <v>56</v>
      </c>
      <c r="D17421" s="27" t="s">
        <v>6</v>
      </c>
      <c r="E17421" s="27" t="s">
        <v>22</v>
      </c>
      <c r="F17421" s="29"/>
      <c r="G17421" s="30">
        <f t="shared" si="304"/>
        <v>2027.0221875</v>
      </c>
    </row>
    <row r="17422" spans="1:7" hidden="1" x14ac:dyDescent="0.25">
      <c r="A17422" s="28">
        <v>44927</v>
      </c>
      <c r="B17422" s="27" t="s">
        <v>200</v>
      </c>
      <c r="C17422" s="27" t="s">
        <v>56</v>
      </c>
      <c r="D17422" s="27" t="s">
        <v>6</v>
      </c>
      <c r="E17422" s="27" t="s">
        <v>39</v>
      </c>
      <c r="F17422" s="29"/>
      <c r="G17422" s="30">
        <f t="shared" si="304"/>
        <v>2027.0221875</v>
      </c>
    </row>
    <row r="17423" spans="1:7" hidden="1" x14ac:dyDescent="0.25">
      <c r="A17423" s="28">
        <v>44927</v>
      </c>
      <c r="B17423" s="27" t="s">
        <v>200</v>
      </c>
      <c r="C17423" s="27" t="s">
        <v>56</v>
      </c>
      <c r="D17423" s="27" t="s">
        <v>6</v>
      </c>
      <c r="E17423" s="27" t="s">
        <v>41</v>
      </c>
      <c r="F17423" s="29"/>
      <c r="G17423" s="30">
        <f t="shared" si="304"/>
        <v>2027.0221875</v>
      </c>
    </row>
    <row r="17424" spans="1:7" hidden="1" x14ac:dyDescent="0.25">
      <c r="A17424" s="28">
        <v>44927</v>
      </c>
      <c r="B17424" s="27" t="s">
        <v>200</v>
      </c>
      <c r="C17424" s="27" t="s">
        <v>56</v>
      </c>
      <c r="D17424" s="27" t="s">
        <v>6</v>
      </c>
      <c r="E17424" s="27" t="s">
        <v>40</v>
      </c>
      <c r="F17424" s="29"/>
      <c r="G17424" s="30">
        <f t="shared" si="304"/>
        <v>2027.0221875</v>
      </c>
    </row>
    <row r="17425" spans="1:7" hidden="1" x14ac:dyDescent="0.25">
      <c r="A17425" s="28">
        <v>44927</v>
      </c>
      <c r="B17425" s="27" t="s">
        <v>200</v>
      </c>
      <c r="C17425" s="27" t="s">
        <v>56</v>
      </c>
      <c r="D17425" s="27" t="s">
        <v>6</v>
      </c>
      <c r="E17425" s="27" t="s">
        <v>64</v>
      </c>
      <c r="F17425" s="29"/>
      <c r="G17425" s="30">
        <f t="shared" si="304"/>
        <v>2027.0221875</v>
      </c>
    </row>
    <row r="17426" spans="1:7" hidden="1" x14ac:dyDescent="0.25">
      <c r="A17426" s="28">
        <v>44927</v>
      </c>
      <c r="B17426" s="27" t="s">
        <v>200</v>
      </c>
      <c r="C17426" s="27" t="s">
        <v>56</v>
      </c>
      <c r="D17426" s="27" t="s">
        <v>6</v>
      </c>
      <c r="E17426" s="27" t="s">
        <v>42</v>
      </c>
      <c r="F17426" s="29"/>
      <c r="G17426" s="30">
        <f t="shared" si="304"/>
        <v>2027.0221875</v>
      </c>
    </row>
    <row r="17427" spans="1:7" hidden="1" x14ac:dyDescent="0.25">
      <c r="A17427" s="28">
        <v>44927</v>
      </c>
      <c r="B17427" s="27" t="s">
        <v>200</v>
      </c>
      <c r="C17427" s="27" t="s">
        <v>56</v>
      </c>
      <c r="D17427" s="27" t="s">
        <v>6</v>
      </c>
      <c r="E17427" s="27" t="s">
        <v>72</v>
      </c>
      <c r="F17427" s="29"/>
      <c r="G17427" s="30">
        <f t="shared" si="304"/>
        <v>2027.0221875</v>
      </c>
    </row>
    <row r="17428" spans="1:7" hidden="1" x14ac:dyDescent="0.25">
      <c r="A17428" s="28">
        <v>44927</v>
      </c>
      <c r="B17428" s="27" t="s">
        <v>200</v>
      </c>
      <c r="C17428" s="27" t="s">
        <v>56</v>
      </c>
      <c r="D17428" s="27" t="s">
        <v>6</v>
      </c>
      <c r="E17428" s="27" t="s">
        <v>43</v>
      </c>
      <c r="F17428" s="29"/>
      <c r="G17428" s="30">
        <f t="shared" si="304"/>
        <v>2027.0221875</v>
      </c>
    </row>
    <row r="17429" spans="1:7" hidden="1" x14ac:dyDescent="0.25">
      <c r="A17429" s="28">
        <v>44927</v>
      </c>
      <c r="B17429" s="27" t="s">
        <v>200</v>
      </c>
      <c r="C17429" s="27" t="s">
        <v>56</v>
      </c>
      <c r="D17429" s="27" t="s">
        <v>6</v>
      </c>
      <c r="E17429" s="27" t="s">
        <v>206</v>
      </c>
      <c r="F17429" s="29"/>
      <c r="G17429" s="30">
        <f t="shared" si="304"/>
        <v>2027.0221875</v>
      </c>
    </row>
    <row r="17430" spans="1:7" hidden="1" x14ac:dyDescent="0.25">
      <c r="A17430" s="28">
        <v>44927</v>
      </c>
      <c r="B17430" s="27" t="s">
        <v>200</v>
      </c>
      <c r="C17430" s="27" t="s">
        <v>56</v>
      </c>
      <c r="D17430" s="27" t="s">
        <v>6</v>
      </c>
      <c r="E17430" s="27" t="s">
        <v>68</v>
      </c>
      <c r="F17430" s="29"/>
      <c r="G17430" s="30">
        <f t="shared" si="304"/>
        <v>2027.0221875</v>
      </c>
    </row>
    <row r="17431" spans="1:7" hidden="1" x14ac:dyDescent="0.25">
      <c r="A17431" s="28">
        <v>44927</v>
      </c>
      <c r="B17431" s="27" t="s">
        <v>200</v>
      </c>
      <c r="C17431" s="27" t="s">
        <v>56</v>
      </c>
      <c r="D17431" s="27" t="s">
        <v>6</v>
      </c>
      <c r="E17431" s="27" t="s">
        <v>74</v>
      </c>
      <c r="F17431" s="29"/>
      <c r="G17431" s="30">
        <f t="shared" si="304"/>
        <v>2027.0221875</v>
      </c>
    </row>
    <row r="17432" spans="1:7" hidden="1" x14ac:dyDescent="0.25">
      <c r="A17432" s="28">
        <v>44927</v>
      </c>
      <c r="B17432" s="27" t="s">
        <v>200</v>
      </c>
      <c r="C17432" s="27" t="s">
        <v>56</v>
      </c>
      <c r="D17432" s="27" t="s">
        <v>6</v>
      </c>
      <c r="E17432" s="27" t="s">
        <v>67</v>
      </c>
      <c r="F17432" s="29"/>
      <c r="G17432" s="30">
        <f t="shared" si="304"/>
        <v>2027.0221875</v>
      </c>
    </row>
    <row r="17433" spans="1:7" hidden="1" x14ac:dyDescent="0.25">
      <c r="A17433" s="28">
        <v>44927</v>
      </c>
      <c r="B17433" s="27" t="s">
        <v>200</v>
      </c>
      <c r="C17433" s="27" t="s">
        <v>56</v>
      </c>
      <c r="D17433" s="27" t="s">
        <v>6</v>
      </c>
      <c r="E17433" s="27" t="s">
        <v>71</v>
      </c>
      <c r="F17433" s="29"/>
      <c r="G17433" s="30">
        <f t="shared" si="304"/>
        <v>2027.0221875</v>
      </c>
    </row>
    <row r="17434" spans="1:7" hidden="1" x14ac:dyDescent="0.25">
      <c r="A17434" s="28">
        <v>44927</v>
      </c>
      <c r="B17434" s="27" t="s">
        <v>200</v>
      </c>
      <c r="C17434" s="27" t="s">
        <v>56</v>
      </c>
      <c r="D17434" s="27" t="s">
        <v>6</v>
      </c>
      <c r="E17434" s="27" t="s">
        <v>73</v>
      </c>
      <c r="F17434" s="29"/>
      <c r="G17434" s="30">
        <f t="shared" si="304"/>
        <v>2027.0221875</v>
      </c>
    </row>
    <row r="17435" spans="1:7" hidden="1" x14ac:dyDescent="0.25">
      <c r="A17435" s="28">
        <v>44927</v>
      </c>
      <c r="B17435" s="27" t="s">
        <v>200</v>
      </c>
      <c r="C17435" s="27" t="s">
        <v>56</v>
      </c>
      <c r="D17435" s="27" t="s">
        <v>6</v>
      </c>
      <c r="E17435" s="27" t="s">
        <v>70</v>
      </c>
      <c r="F17435" s="29"/>
      <c r="G17435" s="30">
        <f t="shared" si="304"/>
        <v>2027.0221875</v>
      </c>
    </row>
    <row r="17436" spans="1:7" hidden="1" x14ac:dyDescent="0.25">
      <c r="A17436" s="28">
        <v>44927</v>
      </c>
      <c r="B17436" s="27" t="s">
        <v>200</v>
      </c>
      <c r="C17436" s="27" t="s">
        <v>56</v>
      </c>
      <c r="D17436" s="27" t="s">
        <v>6</v>
      </c>
      <c r="E17436" s="27" t="s">
        <v>203</v>
      </c>
      <c r="F17436" s="29"/>
      <c r="G17436" s="30">
        <f t="shared" si="304"/>
        <v>2027.0221875</v>
      </c>
    </row>
    <row r="17437" spans="1:7" hidden="1" x14ac:dyDescent="0.25">
      <c r="A17437" s="28">
        <v>44927</v>
      </c>
      <c r="B17437" s="27" t="s">
        <v>200</v>
      </c>
      <c r="C17437" s="27" t="s">
        <v>182</v>
      </c>
      <c r="D17437" s="27" t="s">
        <v>7</v>
      </c>
      <c r="E17437" s="27" t="s">
        <v>8</v>
      </c>
      <c r="F17437" s="29"/>
      <c r="G17437" s="30">
        <f t="shared" ref="G17437:G17468" si="305">6127.36/32</f>
        <v>191.48</v>
      </c>
    </row>
    <row r="17438" spans="1:7" hidden="1" x14ac:dyDescent="0.25">
      <c r="A17438" s="28">
        <v>44927</v>
      </c>
      <c r="B17438" s="27" t="s">
        <v>200</v>
      </c>
      <c r="C17438" s="27" t="s">
        <v>182</v>
      </c>
      <c r="D17438" s="27" t="s">
        <v>7</v>
      </c>
      <c r="E17438" s="27" t="s">
        <v>9</v>
      </c>
      <c r="F17438" s="29"/>
      <c r="G17438" s="30">
        <f t="shared" si="305"/>
        <v>191.48</v>
      </c>
    </row>
    <row r="17439" spans="1:7" hidden="1" x14ac:dyDescent="0.25">
      <c r="A17439" s="28">
        <v>44927</v>
      </c>
      <c r="B17439" s="27" t="s">
        <v>200</v>
      </c>
      <c r="C17439" s="27" t="s">
        <v>182</v>
      </c>
      <c r="D17439" s="27" t="s">
        <v>7</v>
      </c>
      <c r="E17439" s="27" t="s">
        <v>21</v>
      </c>
      <c r="F17439" s="29"/>
      <c r="G17439" s="30">
        <f t="shared" si="305"/>
        <v>191.48</v>
      </c>
    </row>
    <row r="17440" spans="1:7" hidden="1" x14ac:dyDescent="0.25">
      <c r="A17440" s="28">
        <v>44927</v>
      </c>
      <c r="B17440" s="27" t="s">
        <v>200</v>
      </c>
      <c r="C17440" s="27" t="s">
        <v>182</v>
      </c>
      <c r="D17440" s="27" t="s">
        <v>7</v>
      </c>
      <c r="E17440" s="27" t="s">
        <v>10</v>
      </c>
      <c r="F17440" s="29"/>
      <c r="G17440" s="30">
        <f t="shared" si="305"/>
        <v>191.48</v>
      </c>
    </row>
    <row r="17441" spans="1:7" hidden="1" x14ac:dyDescent="0.25">
      <c r="A17441" s="28">
        <v>44927</v>
      </c>
      <c r="B17441" s="27" t="s">
        <v>200</v>
      </c>
      <c r="C17441" s="27" t="s">
        <v>182</v>
      </c>
      <c r="D17441" s="27" t="s">
        <v>7</v>
      </c>
      <c r="E17441" s="27" t="s">
        <v>11</v>
      </c>
      <c r="F17441" s="29"/>
      <c r="G17441" s="30">
        <f t="shared" si="305"/>
        <v>191.48</v>
      </c>
    </row>
    <row r="17442" spans="1:7" hidden="1" x14ac:dyDescent="0.25">
      <c r="A17442" s="28">
        <v>44927</v>
      </c>
      <c r="B17442" s="27" t="s">
        <v>200</v>
      </c>
      <c r="C17442" s="27" t="s">
        <v>182</v>
      </c>
      <c r="D17442" s="27" t="s">
        <v>7</v>
      </c>
      <c r="E17442" s="27" t="s">
        <v>12</v>
      </c>
      <c r="F17442" s="29"/>
      <c r="G17442" s="30">
        <f t="shared" si="305"/>
        <v>191.48</v>
      </c>
    </row>
    <row r="17443" spans="1:7" hidden="1" x14ac:dyDescent="0.25">
      <c r="A17443" s="28">
        <v>44927</v>
      </c>
      <c r="B17443" s="27" t="s">
        <v>200</v>
      </c>
      <c r="C17443" s="27" t="s">
        <v>182</v>
      </c>
      <c r="D17443" s="27" t="s">
        <v>7</v>
      </c>
      <c r="E17443" s="27" t="s">
        <v>13</v>
      </c>
      <c r="F17443" s="29"/>
      <c r="G17443" s="30">
        <f t="shared" si="305"/>
        <v>191.48</v>
      </c>
    </row>
    <row r="17444" spans="1:7" hidden="1" x14ac:dyDescent="0.25">
      <c r="A17444" s="28">
        <v>44927</v>
      </c>
      <c r="B17444" s="27" t="s">
        <v>200</v>
      </c>
      <c r="C17444" s="27" t="s">
        <v>182</v>
      </c>
      <c r="D17444" s="27" t="s">
        <v>7</v>
      </c>
      <c r="E17444" s="27" t="s">
        <v>14</v>
      </c>
      <c r="F17444" s="29"/>
      <c r="G17444" s="30">
        <f t="shared" si="305"/>
        <v>191.48</v>
      </c>
    </row>
    <row r="17445" spans="1:7" hidden="1" x14ac:dyDescent="0.25">
      <c r="A17445" s="28">
        <v>44927</v>
      </c>
      <c r="B17445" s="27" t="s">
        <v>200</v>
      </c>
      <c r="C17445" s="27" t="s">
        <v>182</v>
      </c>
      <c r="D17445" s="27" t="s">
        <v>7</v>
      </c>
      <c r="E17445" s="27" t="s">
        <v>15</v>
      </c>
      <c r="F17445" s="29"/>
      <c r="G17445" s="30">
        <f t="shared" si="305"/>
        <v>191.48</v>
      </c>
    </row>
    <row r="17446" spans="1:7" hidden="1" x14ac:dyDescent="0.25">
      <c r="A17446" s="28">
        <v>44927</v>
      </c>
      <c r="B17446" s="27" t="s">
        <v>200</v>
      </c>
      <c r="C17446" s="27" t="s">
        <v>182</v>
      </c>
      <c r="D17446" s="27" t="s">
        <v>7</v>
      </c>
      <c r="E17446" s="27" t="s">
        <v>16</v>
      </c>
      <c r="F17446" s="29"/>
      <c r="G17446" s="30">
        <f t="shared" si="305"/>
        <v>191.48</v>
      </c>
    </row>
    <row r="17447" spans="1:7" hidden="1" x14ac:dyDescent="0.25">
      <c r="A17447" s="28">
        <v>44927</v>
      </c>
      <c r="B17447" s="27" t="s">
        <v>200</v>
      </c>
      <c r="C17447" s="27" t="s">
        <v>182</v>
      </c>
      <c r="D17447" s="27" t="s">
        <v>7</v>
      </c>
      <c r="E17447" s="27" t="s">
        <v>17</v>
      </c>
      <c r="F17447" s="29"/>
      <c r="G17447" s="30">
        <f t="shared" si="305"/>
        <v>191.48</v>
      </c>
    </row>
    <row r="17448" spans="1:7" hidden="1" x14ac:dyDescent="0.25">
      <c r="A17448" s="28">
        <v>44927</v>
      </c>
      <c r="B17448" s="27" t="s">
        <v>200</v>
      </c>
      <c r="C17448" s="27" t="s">
        <v>182</v>
      </c>
      <c r="D17448" s="27" t="s">
        <v>7</v>
      </c>
      <c r="E17448" s="27" t="s">
        <v>18</v>
      </c>
      <c r="F17448" s="29"/>
      <c r="G17448" s="30">
        <f t="shared" si="305"/>
        <v>191.48</v>
      </c>
    </row>
    <row r="17449" spans="1:7" hidden="1" x14ac:dyDescent="0.25">
      <c r="A17449" s="28">
        <v>44927</v>
      </c>
      <c r="B17449" s="27" t="s">
        <v>200</v>
      </c>
      <c r="C17449" s="27" t="s">
        <v>182</v>
      </c>
      <c r="D17449" s="27" t="s">
        <v>7</v>
      </c>
      <c r="E17449" s="27" t="s">
        <v>19</v>
      </c>
      <c r="F17449" s="29"/>
      <c r="G17449" s="30">
        <f t="shared" si="305"/>
        <v>191.48</v>
      </c>
    </row>
    <row r="17450" spans="1:7" hidden="1" x14ac:dyDescent="0.25">
      <c r="A17450" s="28">
        <v>44927</v>
      </c>
      <c r="B17450" s="27" t="s">
        <v>200</v>
      </c>
      <c r="C17450" s="27" t="s">
        <v>182</v>
      </c>
      <c r="D17450" s="27" t="s">
        <v>7</v>
      </c>
      <c r="E17450" s="27" t="s">
        <v>20</v>
      </c>
      <c r="F17450" s="29"/>
      <c r="G17450" s="30">
        <f t="shared" si="305"/>
        <v>191.48</v>
      </c>
    </row>
    <row r="17451" spans="1:7" hidden="1" x14ac:dyDescent="0.25">
      <c r="A17451" s="28">
        <v>44927</v>
      </c>
      <c r="B17451" s="27" t="s">
        <v>200</v>
      </c>
      <c r="C17451" s="27" t="s">
        <v>182</v>
      </c>
      <c r="D17451" s="27" t="s">
        <v>7</v>
      </c>
      <c r="E17451" s="27" t="s">
        <v>38</v>
      </c>
      <c r="F17451" s="29"/>
      <c r="G17451" s="30">
        <f t="shared" si="305"/>
        <v>191.48</v>
      </c>
    </row>
    <row r="17452" spans="1:7" hidden="1" x14ac:dyDescent="0.25">
      <c r="A17452" s="28">
        <v>44927</v>
      </c>
      <c r="B17452" s="27" t="s">
        <v>200</v>
      </c>
      <c r="C17452" s="27" t="s">
        <v>182</v>
      </c>
      <c r="D17452" s="27" t="s">
        <v>7</v>
      </c>
      <c r="E17452" s="27" t="s">
        <v>23</v>
      </c>
      <c r="F17452" s="29"/>
      <c r="G17452" s="30">
        <f t="shared" si="305"/>
        <v>191.48</v>
      </c>
    </row>
    <row r="17453" spans="1:7" hidden="1" x14ac:dyDescent="0.25">
      <c r="A17453" s="28">
        <v>44927</v>
      </c>
      <c r="B17453" s="27" t="s">
        <v>200</v>
      </c>
      <c r="C17453" s="27" t="s">
        <v>182</v>
      </c>
      <c r="D17453" s="27" t="s">
        <v>7</v>
      </c>
      <c r="E17453" s="27" t="s">
        <v>22</v>
      </c>
      <c r="F17453" s="29"/>
      <c r="G17453" s="30">
        <f t="shared" si="305"/>
        <v>191.48</v>
      </c>
    </row>
    <row r="17454" spans="1:7" hidden="1" x14ac:dyDescent="0.25">
      <c r="A17454" s="28">
        <v>44927</v>
      </c>
      <c r="B17454" s="27" t="s">
        <v>200</v>
      </c>
      <c r="C17454" s="27" t="s">
        <v>182</v>
      </c>
      <c r="D17454" s="27" t="s">
        <v>7</v>
      </c>
      <c r="E17454" s="27" t="s">
        <v>39</v>
      </c>
      <c r="F17454" s="29"/>
      <c r="G17454" s="30">
        <f t="shared" si="305"/>
        <v>191.48</v>
      </c>
    </row>
    <row r="17455" spans="1:7" hidden="1" x14ac:dyDescent="0.25">
      <c r="A17455" s="28">
        <v>44927</v>
      </c>
      <c r="B17455" s="27" t="s">
        <v>200</v>
      </c>
      <c r="C17455" s="27" t="s">
        <v>182</v>
      </c>
      <c r="D17455" s="27" t="s">
        <v>7</v>
      </c>
      <c r="E17455" s="27" t="s">
        <v>41</v>
      </c>
      <c r="F17455" s="29"/>
      <c r="G17455" s="30">
        <f t="shared" si="305"/>
        <v>191.48</v>
      </c>
    </row>
    <row r="17456" spans="1:7" hidden="1" x14ac:dyDescent="0.25">
      <c r="A17456" s="28">
        <v>44927</v>
      </c>
      <c r="B17456" s="27" t="s">
        <v>200</v>
      </c>
      <c r="C17456" s="27" t="s">
        <v>182</v>
      </c>
      <c r="D17456" s="27" t="s">
        <v>7</v>
      </c>
      <c r="E17456" s="27" t="s">
        <v>40</v>
      </c>
      <c r="F17456" s="29"/>
      <c r="G17456" s="30">
        <f t="shared" si="305"/>
        <v>191.48</v>
      </c>
    </row>
    <row r="17457" spans="1:7" hidden="1" x14ac:dyDescent="0.25">
      <c r="A17457" s="28">
        <v>44927</v>
      </c>
      <c r="B17457" s="27" t="s">
        <v>200</v>
      </c>
      <c r="C17457" s="27" t="s">
        <v>182</v>
      </c>
      <c r="D17457" s="27" t="s">
        <v>7</v>
      </c>
      <c r="E17457" s="27" t="s">
        <v>64</v>
      </c>
      <c r="F17457" s="29"/>
      <c r="G17457" s="30">
        <f t="shared" si="305"/>
        <v>191.48</v>
      </c>
    </row>
    <row r="17458" spans="1:7" hidden="1" x14ac:dyDescent="0.25">
      <c r="A17458" s="28">
        <v>44927</v>
      </c>
      <c r="B17458" s="27" t="s">
        <v>200</v>
      </c>
      <c r="C17458" s="27" t="s">
        <v>182</v>
      </c>
      <c r="D17458" s="27" t="s">
        <v>7</v>
      </c>
      <c r="E17458" s="27" t="s">
        <v>42</v>
      </c>
      <c r="F17458" s="29"/>
      <c r="G17458" s="30">
        <f t="shared" si="305"/>
        <v>191.48</v>
      </c>
    </row>
    <row r="17459" spans="1:7" hidden="1" x14ac:dyDescent="0.25">
      <c r="A17459" s="28">
        <v>44927</v>
      </c>
      <c r="B17459" s="27" t="s">
        <v>200</v>
      </c>
      <c r="C17459" s="27" t="s">
        <v>182</v>
      </c>
      <c r="D17459" s="27" t="s">
        <v>7</v>
      </c>
      <c r="E17459" s="27" t="s">
        <v>72</v>
      </c>
      <c r="F17459" s="29"/>
      <c r="G17459" s="30">
        <f t="shared" si="305"/>
        <v>191.48</v>
      </c>
    </row>
    <row r="17460" spans="1:7" hidden="1" x14ac:dyDescent="0.25">
      <c r="A17460" s="28">
        <v>44927</v>
      </c>
      <c r="B17460" s="27" t="s">
        <v>200</v>
      </c>
      <c r="C17460" s="27" t="s">
        <v>182</v>
      </c>
      <c r="D17460" s="27" t="s">
        <v>7</v>
      </c>
      <c r="E17460" s="27" t="s">
        <v>43</v>
      </c>
      <c r="F17460" s="29"/>
      <c r="G17460" s="30">
        <f t="shared" si="305"/>
        <v>191.48</v>
      </c>
    </row>
    <row r="17461" spans="1:7" hidden="1" x14ac:dyDescent="0.25">
      <c r="A17461" s="28">
        <v>44927</v>
      </c>
      <c r="B17461" s="27" t="s">
        <v>200</v>
      </c>
      <c r="C17461" s="27" t="s">
        <v>182</v>
      </c>
      <c r="D17461" s="27" t="s">
        <v>7</v>
      </c>
      <c r="E17461" s="27" t="s">
        <v>206</v>
      </c>
      <c r="F17461" s="29"/>
      <c r="G17461" s="30">
        <f t="shared" si="305"/>
        <v>191.48</v>
      </c>
    </row>
    <row r="17462" spans="1:7" hidden="1" x14ac:dyDescent="0.25">
      <c r="A17462" s="28">
        <v>44927</v>
      </c>
      <c r="B17462" s="27" t="s">
        <v>200</v>
      </c>
      <c r="C17462" s="27" t="s">
        <v>182</v>
      </c>
      <c r="D17462" s="27" t="s">
        <v>7</v>
      </c>
      <c r="E17462" s="27" t="s">
        <v>68</v>
      </c>
      <c r="F17462" s="29"/>
      <c r="G17462" s="30">
        <f t="shared" si="305"/>
        <v>191.48</v>
      </c>
    </row>
    <row r="17463" spans="1:7" hidden="1" x14ac:dyDescent="0.25">
      <c r="A17463" s="28">
        <v>44927</v>
      </c>
      <c r="B17463" s="27" t="s">
        <v>200</v>
      </c>
      <c r="C17463" s="27" t="s">
        <v>182</v>
      </c>
      <c r="D17463" s="27" t="s">
        <v>7</v>
      </c>
      <c r="E17463" s="27" t="s">
        <v>74</v>
      </c>
      <c r="F17463" s="29"/>
      <c r="G17463" s="30">
        <f t="shared" si="305"/>
        <v>191.48</v>
      </c>
    </row>
    <row r="17464" spans="1:7" hidden="1" x14ac:dyDescent="0.25">
      <c r="A17464" s="28">
        <v>44927</v>
      </c>
      <c r="B17464" s="27" t="s">
        <v>200</v>
      </c>
      <c r="C17464" s="27" t="s">
        <v>182</v>
      </c>
      <c r="D17464" s="27" t="s">
        <v>7</v>
      </c>
      <c r="E17464" s="27" t="s">
        <v>67</v>
      </c>
      <c r="F17464" s="29"/>
      <c r="G17464" s="30">
        <f t="shared" si="305"/>
        <v>191.48</v>
      </c>
    </row>
    <row r="17465" spans="1:7" hidden="1" x14ac:dyDescent="0.25">
      <c r="A17465" s="28">
        <v>44927</v>
      </c>
      <c r="B17465" s="27" t="s">
        <v>200</v>
      </c>
      <c r="C17465" s="27" t="s">
        <v>182</v>
      </c>
      <c r="D17465" s="27" t="s">
        <v>7</v>
      </c>
      <c r="E17465" s="27" t="s">
        <v>71</v>
      </c>
      <c r="F17465" s="29"/>
      <c r="G17465" s="30">
        <f t="shared" si="305"/>
        <v>191.48</v>
      </c>
    </row>
    <row r="17466" spans="1:7" hidden="1" x14ac:dyDescent="0.25">
      <c r="A17466" s="28">
        <v>44927</v>
      </c>
      <c r="B17466" s="27" t="s">
        <v>200</v>
      </c>
      <c r="C17466" s="27" t="s">
        <v>182</v>
      </c>
      <c r="D17466" s="27" t="s">
        <v>7</v>
      </c>
      <c r="E17466" s="27" t="s">
        <v>73</v>
      </c>
      <c r="F17466" s="29"/>
      <c r="G17466" s="30">
        <f t="shared" si="305"/>
        <v>191.48</v>
      </c>
    </row>
    <row r="17467" spans="1:7" hidden="1" x14ac:dyDescent="0.25">
      <c r="A17467" s="28">
        <v>44927</v>
      </c>
      <c r="B17467" s="27" t="s">
        <v>200</v>
      </c>
      <c r="C17467" s="27" t="s">
        <v>182</v>
      </c>
      <c r="D17467" s="27" t="s">
        <v>7</v>
      </c>
      <c r="E17467" s="27" t="s">
        <v>70</v>
      </c>
      <c r="F17467" s="29"/>
      <c r="G17467" s="30">
        <f t="shared" si="305"/>
        <v>191.48</v>
      </c>
    </row>
    <row r="17468" spans="1:7" hidden="1" x14ac:dyDescent="0.25">
      <c r="A17468" s="28">
        <v>44927</v>
      </c>
      <c r="B17468" s="27" t="s">
        <v>200</v>
      </c>
      <c r="C17468" s="27" t="s">
        <v>182</v>
      </c>
      <c r="D17468" s="27" t="s">
        <v>7</v>
      </c>
      <c r="E17468" s="27" t="s">
        <v>203</v>
      </c>
      <c r="F17468" s="29"/>
      <c r="G17468" s="30">
        <f t="shared" si="305"/>
        <v>191.48</v>
      </c>
    </row>
    <row r="17469" spans="1:7" hidden="1" x14ac:dyDescent="0.25">
      <c r="A17469" s="28">
        <v>44927</v>
      </c>
      <c r="B17469" s="27" t="s">
        <v>35</v>
      </c>
      <c r="C17469" s="27" t="s">
        <v>50</v>
      </c>
      <c r="D17469" s="27" t="s">
        <v>6</v>
      </c>
      <c r="E17469" s="27" t="s">
        <v>8</v>
      </c>
      <c r="F17469" s="29"/>
      <c r="G17469" s="30">
        <f t="shared" ref="G17469:G17506" si="306">23045.7/38</f>
        <v>606.46578947368425</v>
      </c>
    </row>
    <row r="17470" spans="1:7" hidden="1" x14ac:dyDescent="0.25">
      <c r="A17470" s="28">
        <v>44927</v>
      </c>
      <c r="B17470" s="27" t="s">
        <v>35</v>
      </c>
      <c r="C17470" s="27" t="s">
        <v>50</v>
      </c>
      <c r="D17470" s="27" t="s">
        <v>6</v>
      </c>
      <c r="E17470" s="27" t="s">
        <v>9</v>
      </c>
      <c r="F17470" s="29"/>
      <c r="G17470" s="30">
        <f t="shared" si="306"/>
        <v>606.46578947368425</v>
      </c>
    </row>
    <row r="17471" spans="1:7" hidden="1" x14ac:dyDescent="0.25">
      <c r="A17471" s="28">
        <v>44927</v>
      </c>
      <c r="B17471" s="27" t="s">
        <v>35</v>
      </c>
      <c r="C17471" s="27" t="s">
        <v>50</v>
      </c>
      <c r="D17471" s="27" t="s">
        <v>6</v>
      </c>
      <c r="E17471" s="27" t="s">
        <v>21</v>
      </c>
      <c r="F17471" s="29"/>
      <c r="G17471" s="30">
        <f t="shared" si="306"/>
        <v>606.46578947368425</v>
      </c>
    </row>
    <row r="17472" spans="1:7" hidden="1" x14ac:dyDescent="0.25">
      <c r="A17472" s="28">
        <v>44927</v>
      </c>
      <c r="B17472" s="27" t="s">
        <v>35</v>
      </c>
      <c r="C17472" s="27" t="s">
        <v>50</v>
      </c>
      <c r="D17472" s="27" t="s">
        <v>6</v>
      </c>
      <c r="E17472" s="27" t="s">
        <v>10</v>
      </c>
      <c r="F17472" s="29"/>
      <c r="G17472" s="30">
        <f t="shared" si="306"/>
        <v>606.46578947368425</v>
      </c>
    </row>
    <row r="17473" spans="1:7" hidden="1" x14ac:dyDescent="0.25">
      <c r="A17473" s="28">
        <v>44927</v>
      </c>
      <c r="B17473" s="27" t="s">
        <v>35</v>
      </c>
      <c r="C17473" s="27" t="s">
        <v>50</v>
      </c>
      <c r="D17473" s="27" t="s">
        <v>6</v>
      </c>
      <c r="E17473" s="27" t="s">
        <v>11</v>
      </c>
      <c r="F17473" s="29"/>
      <c r="G17473" s="30">
        <f t="shared" si="306"/>
        <v>606.46578947368425</v>
      </c>
    </row>
    <row r="17474" spans="1:7" hidden="1" x14ac:dyDescent="0.25">
      <c r="A17474" s="28">
        <v>44927</v>
      </c>
      <c r="B17474" s="27" t="s">
        <v>35</v>
      </c>
      <c r="C17474" s="27" t="s">
        <v>50</v>
      </c>
      <c r="D17474" s="27" t="s">
        <v>6</v>
      </c>
      <c r="E17474" s="27" t="s">
        <v>12</v>
      </c>
      <c r="F17474" s="29"/>
      <c r="G17474" s="30">
        <f t="shared" si="306"/>
        <v>606.46578947368425</v>
      </c>
    </row>
    <row r="17475" spans="1:7" hidden="1" x14ac:dyDescent="0.25">
      <c r="A17475" s="28">
        <v>44927</v>
      </c>
      <c r="B17475" s="27" t="s">
        <v>35</v>
      </c>
      <c r="C17475" s="27" t="s">
        <v>50</v>
      </c>
      <c r="D17475" s="27" t="s">
        <v>6</v>
      </c>
      <c r="E17475" s="27" t="s">
        <v>13</v>
      </c>
      <c r="F17475" s="29"/>
      <c r="G17475" s="30">
        <f t="shared" si="306"/>
        <v>606.46578947368425</v>
      </c>
    </row>
    <row r="17476" spans="1:7" hidden="1" x14ac:dyDescent="0.25">
      <c r="A17476" s="28">
        <v>44927</v>
      </c>
      <c r="B17476" s="27" t="s">
        <v>35</v>
      </c>
      <c r="C17476" s="27" t="s">
        <v>50</v>
      </c>
      <c r="D17476" s="27" t="s">
        <v>6</v>
      </c>
      <c r="E17476" s="27" t="s">
        <v>14</v>
      </c>
      <c r="F17476" s="29"/>
      <c r="G17476" s="30">
        <f t="shared" si="306"/>
        <v>606.46578947368425</v>
      </c>
    </row>
    <row r="17477" spans="1:7" hidden="1" x14ac:dyDescent="0.25">
      <c r="A17477" s="28">
        <v>44927</v>
      </c>
      <c r="B17477" s="27" t="s">
        <v>35</v>
      </c>
      <c r="C17477" s="27" t="s">
        <v>50</v>
      </c>
      <c r="D17477" s="27" t="s">
        <v>6</v>
      </c>
      <c r="E17477" s="27" t="s">
        <v>15</v>
      </c>
      <c r="F17477" s="29"/>
      <c r="G17477" s="30">
        <f t="shared" si="306"/>
        <v>606.46578947368425</v>
      </c>
    </row>
    <row r="17478" spans="1:7" hidden="1" x14ac:dyDescent="0.25">
      <c r="A17478" s="28">
        <v>44927</v>
      </c>
      <c r="B17478" s="27" t="s">
        <v>35</v>
      </c>
      <c r="C17478" s="27" t="s">
        <v>50</v>
      </c>
      <c r="D17478" s="27" t="s">
        <v>6</v>
      </c>
      <c r="E17478" s="27" t="s">
        <v>16</v>
      </c>
      <c r="F17478" s="29"/>
      <c r="G17478" s="30">
        <f t="shared" si="306"/>
        <v>606.46578947368425</v>
      </c>
    </row>
    <row r="17479" spans="1:7" hidden="1" x14ac:dyDescent="0.25">
      <c r="A17479" s="28">
        <v>44927</v>
      </c>
      <c r="B17479" s="27" t="s">
        <v>35</v>
      </c>
      <c r="C17479" s="27" t="s">
        <v>50</v>
      </c>
      <c r="D17479" s="27" t="s">
        <v>6</v>
      </c>
      <c r="E17479" s="27" t="s">
        <v>17</v>
      </c>
      <c r="F17479" s="29"/>
      <c r="G17479" s="30">
        <f t="shared" si="306"/>
        <v>606.46578947368425</v>
      </c>
    </row>
    <row r="17480" spans="1:7" hidden="1" x14ac:dyDescent="0.25">
      <c r="A17480" s="28">
        <v>44927</v>
      </c>
      <c r="B17480" s="27" t="s">
        <v>35</v>
      </c>
      <c r="C17480" s="27" t="s">
        <v>50</v>
      </c>
      <c r="D17480" s="27" t="s">
        <v>6</v>
      </c>
      <c r="E17480" s="27" t="s">
        <v>18</v>
      </c>
      <c r="F17480" s="29"/>
      <c r="G17480" s="30">
        <f t="shared" si="306"/>
        <v>606.46578947368425</v>
      </c>
    </row>
    <row r="17481" spans="1:7" hidden="1" x14ac:dyDescent="0.25">
      <c r="A17481" s="28">
        <v>44927</v>
      </c>
      <c r="B17481" s="27" t="s">
        <v>35</v>
      </c>
      <c r="C17481" s="27" t="s">
        <v>50</v>
      </c>
      <c r="D17481" s="27" t="s">
        <v>6</v>
      </c>
      <c r="E17481" s="27" t="s">
        <v>19</v>
      </c>
      <c r="F17481" s="29"/>
      <c r="G17481" s="30">
        <f t="shared" si="306"/>
        <v>606.46578947368425</v>
      </c>
    </row>
    <row r="17482" spans="1:7" hidden="1" x14ac:dyDescent="0.25">
      <c r="A17482" s="28">
        <v>44927</v>
      </c>
      <c r="B17482" s="27" t="s">
        <v>35</v>
      </c>
      <c r="C17482" s="27" t="s">
        <v>50</v>
      </c>
      <c r="D17482" s="27" t="s">
        <v>6</v>
      </c>
      <c r="E17482" s="27" t="s">
        <v>20</v>
      </c>
      <c r="F17482" s="29"/>
      <c r="G17482" s="30">
        <f t="shared" si="306"/>
        <v>606.46578947368425</v>
      </c>
    </row>
    <row r="17483" spans="1:7" hidden="1" x14ac:dyDescent="0.25">
      <c r="A17483" s="28">
        <v>44927</v>
      </c>
      <c r="B17483" s="27" t="s">
        <v>35</v>
      </c>
      <c r="C17483" s="27" t="s">
        <v>50</v>
      </c>
      <c r="D17483" s="27" t="s">
        <v>6</v>
      </c>
      <c r="E17483" s="27" t="s">
        <v>38</v>
      </c>
      <c r="F17483" s="29"/>
      <c r="G17483" s="30">
        <f t="shared" si="306"/>
        <v>606.46578947368425</v>
      </c>
    </row>
    <row r="17484" spans="1:7" hidden="1" x14ac:dyDescent="0.25">
      <c r="A17484" s="28">
        <v>44927</v>
      </c>
      <c r="B17484" s="27" t="s">
        <v>35</v>
      </c>
      <c r="C17484" s="27" t="s">
        <v>50</v>
      </c>
      <c r="D17484" s="27" t="s">
        <v>6</v>
      </c>
      <c r="E17484" s="27" t="s">
        <v>23</v>
      </c>
      <c r="F17484" s="29"/>
      <c r="G17484" s="30">
        <f t="shared" si="306"/>
        <v>606.46578947368425</v>
      </c>
    </row>
    <row r="17485" spans="1:7" hidden="1" x14ac:dyDescent="0.25">
      <c r="A17485" s="28">
        <v>44927</v>
      </c>
      <c r="B17485" s="27" t="s">
        <v>35</v>
      </c>
      <c r="C17485" s="27" t="s">
        <v>50</v>
      </c>
      <c r="D17485" s="27" t="s">
        <v>6</v>
      </c>
      <c r="E17485" s="27" t="s">
        <v>22</v>
      </c>
      <c r="F17485" s="29"/>
      <c r="G17485" s="30">
        <f t="shared" si="306"/>
        <v>606.46578947368425</v>
      </c>
    </row>
    <row r="17486" spans="1:7" hidden="1" x14ac:dyDescent="0.25">
      <c r="A17486" s="28">
        <v>44927</v>
      </c>
      <c r="B17486" s="27" t="s">
        <v>35</v>
      </c>
      <c r="C17486" s="27" t="s">
        <v>50</v>
      </c>
      <c r="D17486" s="27" t="s">
        <v>6</v>
      </c>
      <c r="E17486" s="27" t="s">
        <v>39</v>
      </c>
      <c r="F17486" s="29"/>
      <c r="G17486" s="30">
        <f t="shared" si="306"/>
        <v>606.46578947368425</v>
      </c>
    </row>
    <row r="17487" spans="1:7" hidden="1" x14ac:dyDescent="0.25">
      <c r="A17487" s="28">
        <v>44927</v>
      </c>
      <c r="B17487" s="27" t="s">
        <v>35</v>
      </c>
      <c r="C17487" s="27" t="s">
        <v>50</v>
      </c>
      <c r="D17487" s="27" t="s">
        <v>6</v>
      </c>
      <c r="E17487" s="27" t="s">
        <v>41</v>
      </c>
      <c r="F17487" s="29"/>
      <c r="G17487" s="30">
        <f t="shared" si="306"/>
        <v>606.46578947368425</v>
      </c>
    </row>
    <row r="17488" spans="1:7" hidden="1" x14ac:dyDescent="0.25">
      <c r="A17488" s="28">
        <v>44927</v>
      </c>
      <c r="B17488" s="27" t="s">
        <v>35</v>
      </c>
      <c r="C17488" s="27" t="s">
        <v>50</v>
      </c>
      <c r="D17488" s="27" t="s">
        <v>6</v>
      </c>
      <c r="E17488" s="27" t="s">
        <v>40</v>
      </c>
      <c r="F17488" s="29"/>
      <c r="G17488" s="30">
        <f t="shared" si="306"/>
        <v>606.46578947368425</v>
      </c>
    </row>
    <row r="17489" spans="1:7" hidden="1" x14ac:dyDescent="0.25">
      <c r="A17489" s="28">
        <v>44927</v>
      </c>
      <c r="B17489" s="27" t="s">
        <v>35</v>
      </c>
      <c r="C17489" s="27" t="s">
        <v>50</v>
      </c>
      <c r="D17489" s="27" t="s">
        <v>6</v>
      </c>
      <c r="E17489" s="27" t="s">
        <v>64</v>
      </c>
      <c r="F17489" s="29"/>
      <c r="G17489" s="30">
        <f t="shared" si="306"/>
        <v>606.46578947368425</v>
      </c>
    </row>
    <row r="17490" spans="1:7" hidden="1" x14ac:dyDescent="0.25">
      <c r="A17490" s="28">
        <v>44927</v>
      </c>
      <c r="B17490" s="27" t="s">
        <v>35</v>
      </c>
      <c r="C17490" s="27" t="s">
        <v>50</v>
      </c>
      <c r="D17490" s="27" t="s">
        <v>6</v>
      </c>
      <c r="E17490" s="27" t="s">
        <v>42</v>
      </c>
      <c r="F17490" s="29"/>
      <c r="G17490" s="30">
        <f t="shared" si="306"/>
        <v>606.46578947368425</v>
      </c>
    </row>
    <row r="17491" spans="1:7" hidden="1" x14ac:dyDescent="0.25">
      <c r="A17491" s="28">
        <v>44927</v>
      </c>
      <c r="B17491" s="27" t="s">
        <v>35</v>
      </c>
      <c r="C17491" s="27" t="s">
        <v>50</v>
      </c>
      <c r="D17491" s="27" t="s">
        <v>6</v>
      </c>
      <c r="E17491" s="27" t="s">
        <v>72</v>
      </c>
      <c r="F17491" s="29"/>
      <c r="G17491" s="30">
        <f t="shared" si="306"/>
        <v>606.46578947368425</v>
      </c>
    </row>
    <row r="17492" spans="1:7" hidden="1" x14ac:dyDescent="0.25">
      <c r="A17492" s="28">
        <v>44927</v>
      </c>
      <c r="B17492" s="27" t="s">
        <v>35</v>
      </c>
      <c r="C17492" s="27" t="s">
        <v>50</v>
      </c>
      <c r="D17492" s="27" t="s">
        <v>6</v>
      </c>
      <c r="E17492" s="27" t="s">
        <v>43</v>
      </c>
      <c r="F17492" s="29"/>
      <c r="G17492" s="30">
        <f t="shared" si="306"/>
        <v>606.46578947368425</v>
      </c>
    </row>
    <row r="17493" spans="1:7" hidden="1" x14ac:dyDescent="0.25">
      <c r="A17493" s="28">
        <v>44927</v>
      </c>
      <c r="B17493" s="27" t="s">
        <v>35</v>
      </c>
      <c r="C17493" s="27" t="s">
        <v>50</v>
      </c>
      <c r="D17493" s="27" t="s">
        <v>6</v>
      </c>
      <c r="E17493" s="27" t="s">
        <v>206</v>
      </c>
      <c r="F17493" s="29"/>
      <c r="G17493" s="30">
        <f t="shared" si="306"/>
        <v>606.46578947368425</v>
      </c>
    </row>
    <row r="17494" spans="1:7" hidden="1" x14ac:dyDescent="0.25">
      <c r="A17494" s="28">
        <v>44927</v>
      </c>
      <c r="B17494" s="27" t="s">
        <v>35</v>
      </c>
      <c r="C17494" s="27" t="s">
        <v>50</v>
      </c>
      <c r="D17494" s="27" t="s">
        <v>6</v>
      </c>
      <c r="E17494" s="27" t="s">
        <v>66</v>
      </c>
      <c r="F17494" s="29"/>
      <c r="G17494" s="30">
        <f t="shared" si="306"/>
        <v>606.46578947368425</v>
      </c>
    </row>
    <row r="17495" spans="1:7" hidden="1" x14ac:dyDescent="0.25">
      <c r="A17495" s="28">
        <v>44927</v>
      </c>
      <c r="B17495" s="27" t="s">
        <v>35</v>
      </c>
      <c r="C17495" s="27" t="s">
        <v>50</v>
      </c>
      <c r="D17495" s="27" t="s">
        <v>6</v>
      </c>
      <c r="E17495" s="27" t="s">
        <v>68</v>
      </c>
      <c r="F17495" s="29"/>
      <c r="G17495" s="30">
        <f t="shared" si="306"/>
        <v>606.46578947368425</v>
      </c>
    </row>
    <row r="17496" spans="1:7" hidden="1" x14ac:dyDescent="0.25">
      <c r="A17496" s="28">
        <v>44927</v>
      </c>
      <c r="B17496" s="27" t="s">
        <v>35</v>
      </c>
      <c r="C17496" s="27" t="s">
        <v>50</v>
      </c>
      <c r="D17496" s="27" t="s">
        <v>6</v>
      </c>
      <c r="E17496" s="27" t="s">
        <v>74</v>
      </c>
      <c r="F17496" s="29"/>
      <c r="G17496" s="30">
        <f t="shared" si="306"/>
        <v>606.46578947368425</v>
      </c>
    </row>
    <row r="17497" spans="1:7" hidden="1" x14ac:dyDescent="0.25">
      <c r="A17497" s="28">
        <v>44927</v>
      </c>
      <c r="B17497" s="27" t="s">
        <v>35</v>
      </c>
      <c r="C17497" s="27" t="s">
        <v>50</v>
      </c>
      <c r="D17497" s="27" t="s">
        <v>6</v>
      </c>
      <c r="E17497" s="27" t="s">
        <v>65</v>
      </c>
      <c r="F17497" s="29"/>
      <c r="G17497" s="30">
        <f t="shared" si="306"/>
        <v>606.46578947368425</v>
      </c>
    </row>
    <row r="17498" spans="1:7" hidden="1" x14ac:dyDescent="0.25">
      <c r="A17498" s="28">
        <v>44927</v>
      </c>
      <c r="B17498" s="27" t="s">
        <v>35</v>
      </c>
      <c r="C17498" s="27" t="s">
        <v>50</v>
      </c>
      <c r="D17498" s="27" t="s">
        <v>6</v>
      </c>
      <c r="E17498" s="27" t="s">
        <v>67</v>
      </c>
      <c r="F17498" s="29"/>
      <c r="G17498" s="30">
        <f t="shared" si="306"/>
        <v>606.46578947368425</v>
      </c>
    </row>
    <row r="17499" spans="1:7" hidden="1" x14ac:dyDescent="0.25">
      <c r="A17499" s="28">
        <v>44927</v>
      </c>
      <c r="B17499" s="27" t="s">
        <v>35</v>
      </c>
      <c r="C17499" s="27" t="s">
        <v>50</v>
      </c>
      <c r="D17499" s="27" t="s">
        <v>6</v>
      </c>
      <c r="E17499" s="27" t="s">
        <v>71</v>
      </c>
      <c r="F17499" s="29"/>
      <c r="G17499" s="30">
        <f t="shared" si="306"/>
        <v>606.46578947368425</v>
      </c>
    </row>
    <row r="17500" spans="1:7" hidden="1" x14ac:dyDescent="0.25">
      <c r="A17500" s="28">
        <v>44927</v>
      </c>
      <c r="B17500" s="27" t="s">
        <v>35</v>
      </c>
      <c r="C17500" s="27" t="s">
        <v>50</v>
      </c>
      <c r="D17500" s="27" t="s">
        <v>6</v>
      </c>
      <c r="E17500" s="27" t="s">
        <v>73</v>
      </c>
      <c r="F17500" s="29"/>
      <c r="G17500" s="30">
        <f t="shared" si="306"/>
        <v>606.46578947368425</v>
      </c>
    </row>
    <row r="17501" spans="1:7" hidden="1" x14ac:dyDescent="0.25">
      <c r="A17501" s="28">
        <v>44927</v>
      </c>
      <c r="B17501" s="27" t="s">
        <v>35</v>
      </c>
      <c r="C17501" s="27" t="s">
        <v>50</v>
      </c>
      <c r="D17501" s="27" t="s">
        <v>6</v>
      </c>
      <c r="E17501" s="27" t="s">
        <v>62</v>
      </c>
      <c r="F17501" s="29"/>
      <c r="G17501" s="30">
        <f t="shared" si="306"/>
        <v>606.46578947368425</v>
      </c>
    </row>
    <row r="17502" spans="1:7" hidden="1" x14ac:dyDescent="0.25">
      <c r="A17502" s="28">
        <v>44927</v>
      </c>
      <c r="B17502" s="27" t="s">
        <v>35</v>
      </c>
      <c r="C17502" s="27" t="s">
        <v>50</v>
      </c>
      <c r="D17502" s="27" t="s">
        <v>6</v>
      </c>
      <c r="E17502" s="27" t="s">
        <v>69</v>
      </c>
      <c r="F17502" s="29"/>
      <c r="G17502" s="30">
        <f t="shared" si="306"/>
        <v>606.46578947368425</v>
      </c>
    </row>
    <row r="17503" spans="1:7" hidden="1" x14ac:dyDescent="0.25">
      <c r="A17503" s="28">
        <v>44927</v>
      </c>
      <c r="B17503" s="27" t="s">
        <v>35</v>
      </c>
      <c r="C17503" s="27" t="s">
        <v>50</v>
      </c>
      <c r="D17503" s="27" t="s">
        <v>6</v>
      </c>
      <c r="E17503" s="27" t="s">
        <v>70</v>
      </c>
      <c r="F17503" s="29"/>
      <c r="G17503" s="30">
        <f t="shared" si="306"/>
        <v>606.46578947368425</v>
      </c>
    </row>
    <row r="17504" spans="1:7" hidden="1" x14ac:dyDescent="0.25">
      <c r="A17504" s="28">
        <v>44927</v>
      </c>
      <c r="B17504" s="27" t="s">
        <v>35</v>
      </c>
      <c r="C17504" s="27" t="s">
        <v>50</v>
      </c>
      <c r="D17504" s="27" t="s">
        <v>6</v>
      </c>
      <c r="E17504" s="27" t="s">
        <v>170</v>
      </c>
      <c r="F17504" s="29"/>
      <c r="G17504" s="30">
        <f t="shared" si="306"/>
        <v>606.46578947368425</v>
      </c>
    </row>
    <row r="17505" spans="1:7" hidden="1" x14ac:dyDescent="0.25">
      <c r="A17505" s="28">
        <v>44927</v>
      </c>
      <c r="B17505" s="27" t="s">
        <v>35</v>
      </c>
      <c r="C17505" s="27" t="s">
        <v>50</v>
      </c>
      <c r="D17505" s="27" t="s">
        <v>6</v>
      </c>
      <c r="E17505" s="27" t="s">
        <v>203</v>
      </c>
      <c r="F17505" s="29"/>
      <c r="G17505" s="30">
        <f t="shared" si="306"/>
        <v>606.46578947368425</v>
      </c>
    </row>
    <row r="17506" spans="1:7" hidden="1" x14ac:dyDescent="0.25">
      <c r="A17506" s="28">
        <v>44927</v>
      </c>
      <c r="B17506" s="27" t="s">
        <v>35</v>
      </c>
      <c r="C17506" s="27" t="s">
        <v>50</v>
      </c>
      <c r="D17506" s="27" t="s">
        <v>6</v>
      </c>
      <c r="E17506" s="27" t="s">
        <v>174</v>
      </c>
      <c r="F17506" s="29"/>
      <c r="G17506" s="30">
        <f t="shared" si="306"/>
        <v>606.46578947368425</v>
      </c>
    </row>
    <row r="17507" spans="1:7" hidden="1" x14ac:dyDescent="0.25">
      <c r="A17507" s="28">
        <v>44958</v>
      </c>
      <c r="B17507" s="27" t="s">
        <v>33</v>
      </c>
      <c r="C17507" s="27" t="s">
        <v>50</v>
      </c>
      <c r="D17507" s="27" t="s">
        <v>7</v>
      </c>
      <c r="E17507" s="27" t="s">
        <v>8</v>
      </c>
      <c r="F17507" s="29"/>
      <c r="G17507" s="30">
        <f t="shared" ref="G17507:G17538" si="307">81081.22/32</f>
        <v>2533.788125</v>
      </c>
    </row>
    <row r="17508" spans="1:7" hidden="1" x14ac:dyDescent="0.25">
      <c r="A17508" s="28">
        <v>44958</v>
      </c>
      <c r="B17508" s="27" t="s">
        <v>33</v>
      </c>
      <c r="C17508" s="27" t="s">
        <v>50</v>
      </c>
      <c r="D17508" s="27" t="s">
        <v>7</v>
      </c>
      <c r="E17508" s="27" t="s">
        <v>9</v>
      </c>
      <c r="F17508" s="29"/>
      <c r="G17508" s="30">
        <f t="shared" si="307"/>
        <v>2533.788125</v>
      </c>
    </row>
    <row r="17509" spans="1:7" hidden="1" x14ac:dyDescent="0.25">
      <c r="A17509" s="28">
        <v>44958</v>
      </c>
      <c r="B17509" s="27" t="s">
        <v>33</v>
      </c>
      <c r="C17509" s="27" t="s">
        <v>50</v>
      </c>
      <c r="D17509" s="27" t="s">
        <v>7</v>
      </c>
      <c r="E17509" s="27" t="s">
        <v>21</v>
      </c>
      <c r="F17509" s="29"/>
      <c r="G17509" s="30">
        <f t="shared" si="307"/>
        <v>2533.788125</v>
      </c>
    </row>
    <row r="17510" spans="1:7" hidden="1" x14ac:dyDescent="0.25">
      <c r="A17510" s="28">
        <v>44958</v>
      </c>
      <c r="B17510" s="27" t="s">
        <v>33</v>
      </c>
      <c r="C17510" s="27" t="s">
        <v>50</v>
      </c>
      <c r="D17510" s="27" t="s">
        <v>7</v>
      </c>
      <c r="E17510" s="27" t="s">
        <v>10</v>
      </c>
      <c r="F17510" s="29"/>
      <c r="G17510" s="30">
        <f t="shared" si="307"/>
        <v>2533.788125</v>
      </c>
    </row>
    <row r="17511" spans="1:7" hidden="1" x14ac:dyDescent="0.25">
      <c r="A17511" s="28">
        <v>44958</v>
      </c>
      <c r="B17511" s="27" t="s">
        <v>33</v>
      </c>
      <c r="C17511" s="27" t="s">
        <v>50</v>
      </c>
      <c r="D17511" s="27" t="s">
        <v>7</v>
      </c>
      <c r="E17511" s="27" t="s">
        <v>11</v>
      </c>
      <c r="F17511" s="29"/>
      <c r="G17511" s="30">
        <f t="shared" si="307"/>
        <v>2533.788125</v>
      </c>
    </row>
    <row r="17512" spans="1:7" hidden="1" x14ac:dyDescent="0.25">
      <c r="A17512" s="28">
        <v>44958</v>
      </c>
      <c r="B17512" s="27" t="s">
        <v>33</v>
      </c>
      <c r="C17512" s="27" t="s">
        <v>50</v>
      </c>
      <c r="D17512" s="27" t="s">
        <v>7</v>
      </c>
      <c r="E17512" s="27" t="s">
        <v>12</v>
      </c>
      <c r="F17512" s="29"/>
      <c r="G17512" s="30">
        <f t="shared" si="307"/>
        <v>2533.788125</v>
      </c>
    </row>
    <row r="17513" spans="1:7" hidden="1" x14ac:dyDescent="0.25">
      <c r="A17513" s="28">
        <v>44958</v>
      </c>
      <c r="B17513" s="27" t="s">
        <v>33</v>
      </c>
      <c r="C17513" s="27" t="s">
        <v>50</v>
      </c>
      <c r="D17513" s="27" t="s">
        <v>7</v>
      </c>
      <c r="E17513" s="27" t="s">
        <v>13</v>
      </c>
      <c r="F17513" s="29"/>
      <c r="G17513" s="30">
        <f t="shared" si="307"/>
        <v>2533.788125</v>
      </c>
    </row>
    <row r="17514" spans="1:7" hidden="1" x14ac:dyDescent="0.25">
      <c r="A17514" s="28">
        <v>44958</v>
      </c>
      <c r="B17514" s="27" t="s">
        <v>33</v>
      </c>
      <c r="C17514" s="27" t="s">
        <v>50</v>
      </c>
      <c r="D17514" s="27" t="s">
        <v>7</v>
      </c>
      <c r="E17514" s="27" t="s">
        <v>14</v>
      </c>
      <c r="F17514" s="29"/>
      <c r="G17514" s="30">
        <f t="shared" si="307"/>
        <v>2533.788125</v>
      </c>
    </row>
    <row r="17515" spans="1:7" hidden="1" x14ac:dyDescent="0.25">
      <c r="A17515" s="28">
        <v>44958</v>
      </c>
      <c r="B17515" s="27" t="s">
        <v>33</v>
      </c>
      <c r="C17515" s="27" t="s">
        <v>50</v>
      </c>
      <c r="D17515" s="27" t="s">
        <v>7</v>
      </c>
      <c r="E17515" s="27" t="s">
        <v>15</v>
      </c>
      <c r="F17515" s="29"/>
      <c r="G17515" s="30">
        <f t="shared" si="307"/>
        <v>2533.788125</v>
      </c>
    </row>
    <row r="17516" spans="1:7" hidden="1" x14ac:dyDescent="0.25">
      <c r="A17516" s="28">
        <v>44958</v>
      </c>
      <c r="B17516" s="27" t="s">
        <v>33</v>
      </c>
      <c r="C17516" s="27" t="s">
        <v>50</v>
      </c>
      <c r="D17516" s="27" t="s">
        <v>7</v>
      </c>
      <c r="E17516" s="27" t="s">
        <v>16</v>
      </c>
      <c r="F17516" s="29"/>
      <c r="G17516" s="30">
        <f t="shared" si="307"/>
        <v>2533.788125</v>
      </c>
    </row>
    <row r="17517" spans="1:7" hidden="1" x14ac:dyDescent="0.25">
      <c r="A17517" s="28">
        <v>44958</v>
      </c>
      <c r="B17517" s="27" t="s">
        <v>33</v>
      </c>
      <c r="C17517" s="27" t="s">
        <v>50</v>
      </c>
      <c r="D17517" s="27" t="s">
        <v>7</v>
      </c>
      <c r="E17517" s="27" t="s">
        <v>17</v>
      </c>
      <c r="F17517" s="29"/>
      <c r="G17517" s="30">
        <f t="shared" si="307"/>
        <v>2533.788125</v>
      </c>
    </row>
    <row r="17518" spans="1:7" hidden="1" x14ac:dyDescent="0.25">
      <c r="A17518" s="28">
        <v>44958</v>
      </c>
      <c r="B17518" s="27" t="s">
        <v>33</v>
      </c>
      <c r="C17518" s="27" t="s">
        <v>50</v>
      </c>
      <c r="D17518" s="27" t="s">
        <v>7</v>
      </c>
      <c r="E17518" s="27" t="s">
        <v>18</v>
      </c>
      <c r="F17518" s="29"/>
      <c r="G17518" s="30">
        <f t="shared" si="307"/>
        <v>2533.788125</v>
      </c>
    </row>
    <row r="17519" spans="1:7" hidden="1" x14ac:dyDescent="0.25">
      <c r="A17519" s="28">
        <v>44958</v>
      </c>
      <c r="B17519" s="27" t="s">
        <v>33</v>
      </c>
      <c r="C17519" s="27" t="s">
        <v>50</v>
      </c>
      <c r="D17519" s="27" t="s">
        <v>7</v>
      </c>
      <c r="E17519" s="27" t="s">
        <v>19</v>
      </c>
      <c r="F17519" s="29"/>
      <c r="G17519" s="30">
        <f t="shared" si="307"/>
        <v>2533.788125</v>
      </c>
    </row>
    <row r="17520" spans="1:7" hidden="1" x14ac:dyDescent="0.25">
      <c r="A17520" s="28">
        <v>44958</v>
      </c>
      <c r="B17520" s="27" t="s">
        <v>33</v>
      </c>
      <c r="C17520" s="27" t="s">
        <v>50</v>
      </c>
      <c r="D17520" s="27" t="s">
        <v>7</v>
      </c>
      <c r="E17520" s="27" t="s">
        <v>20</v>
      </c>
      <c r="F17520" s="29"/>
      <c r="G17520" s="30">
        <f t="shared" si="307"/>
        <v>2533.788125</v>
      </c>
    </row>
    <row r="17521" spans="1:7" hidden="1" x14ac:dyDescent="0.25">
      <c r="A17521" s="28">
        <v>44958</v>
      </c>
      <c r="B17521" s="27" t="s">
        <v>33</v>
      </c>
      <c r="C17521" s="27" t="s">
        <v>50</v>
      </c>
      <c r="D17521" s="27" t="s">
        <v>7</v>
      </c>
      <c r="E17521" s="27" t="s">
        <v>38</v>
      </c>
      <c r="F17521" s="29"/>
      <c r="G17521" s="30">
        <f t="shared" si="307"/>
        <v>2533.788125</v>
      </c>
    </row>
    <row r="17522" spans="1:7" hidden="1" x14ac:dyDescent="0.25">
      <c r="A17522" s="28">
        <v>44958</v>
      </c>
      <c r="B17522" s="27" t="s">
        <v>33</v>
      </c>
      <c r="C17522" s="27" t="s">
        <v>50</v>
      </c>
      <c r="D17522" s="27" t="s">
        <v>7</v>
      </c>
      <c r="E17522" s="27" t="s">
        <v>23</v>
      </c>
      <c r="F17522" s="29"/>
      <c r="G17522" s="30">
        <f t="shared" si="307"/>
        <v>2533.788125</v>
      </c>
    </row>
    <row r="17523" spans="1:7" hidden="1" x14ac:dyDescent="0.25">
      <c r="A17523" s="28">
        <v>44958</v>
      </c>
      <c r="B17523" s="27" t="s">
        <v>33</v>
      </c>
      <c r="C17523" s="27" t="s">
        <v>50</v>
      </c>
      <c r="D17523" s="27" t="s">
        <v>7</v>
      </c>
      <c r="E17523" s="27" t="s">
        <v>22</v>
      </c>
      <c r="F17523" s="29"/>
      <c r="G17523" s="30">
        <f t="shared" si="307"/>
        <v>2533.788125</v>
      </c>
    </row>
    <row r="17524" spans="1:7" hidden="1" x14ac:dyDescent="0.25">
      <c r="A17524" s="28">
        <v>44958</v>
      </c>
      <c r="B17524" s="27" t="s">
        <v>33</v>
      </c>
      <c r="C17524" s="27" t="s">
        <v>50</v>
      </c>
      <c r="D17524" s="27" t="s">
        <v>7</v>
      </c>
      <c r="E17524" s="27" t="s">
        <v>39</v>
      </c>
      <c r="F17524" s="29"/>
      <c r="G17524" s="30">
        <f t="shared" si="307"/>
        <v>2533.788125</v>
      </c>
    </row>
    <row r="17525" spans="1:7" hidden="1" x14ac:dyDescent="0.25">
      <c r="A17525" s="28">
        <v>44958</v>
      </c>
      <c r="B17525" s="27" t="s">
        <v>33</v>
      </c>
      <c r="C17525" s="27" t="s">
        <v>50</v>
      </c>
      <c r="D17525" s="27" t="s">
        <v>7</v>
      </c>
      <c r="E17525" s="27" t="s">
        <v>41</v>
      </c>
      <c r="F17525" s="29"/>
      <c r="G17525" s="30">
        <f t="shared" si="307"/>
        <v>2533.788125</v>
      </c>
    </row>
    <row r="17526" spans="1:7" hidden="1" x14ac:dyDescent="0.25">
      <c r="A17526" s="28">
        <v>44958</v>
      </c>
      <c r="B17526" s="27" t="s">
        <v>33</v>
      </c>
      <c r="C17526" s="27" t="s">
        <v>50</v>
      </c>
      <c r="D17526" s="27" t="s">
        <v>7</v>
      </c>
      <c r="E17526" s="27" t="s">
        <v>40</v>
      </c>
      <c r="F17526" s="29"/>
      <c r="G17526" s="30">
        <f t="shared" si="307"/>
        <v>2533.788125</v>
      </c>
    </row>
    <row r="17527" spans="1:7" hidden="1" x14ac:dyDescent="0.25">
      <c r="A17527" s="28">
        <v>44958</v>
      </c>
      <c r="B17527" s="27" t="s">
        <v>33</v>
      </c>
      <c r="C17527" s="27" t="s">
        <v>50</v>
      </c>
      <c r="D17527" s="27" t="s">
        <v>7</v>
      </c>
      <c r="E17527" s="27" t="s">
        <v>64</v>
      </c>
      <c r="F17527" s="29"/>
      <c r="G17527" s="30">
        <f t="shared" si="307"/>
        <v>2533.788125</v>
      </c>
    </row>
    <row r="17528" spans="1:7" hidden="1" x14ac:dyDescent="0.25">
      <c r="A17528" s="28">
        <v>44958</v>
      </c>
      <c r="B17528" s="27" t="s">
        <v>33</v>
      </c>
      <c r="C17528" s="27" t="s">
        <v>50</v>
      </c>
      <c r="D17528" s="27" t="s">
        <v>7</v>
      </c>
      <c r="E17528" s="27" t="s">
        <v>42</v>
      </c>
      <c r="F17528" s="29"/>
      <c r="G17528" s="30">
        <f t="shared" si="307"/>
        <v>2533.788125</v>
      </c>
    </row>
    <row r="17529" spans="1:7" hidden="1" x14ac:dyDescent="0.25">
      <c r="A17529" s="28">
        <v>44958</v>
      </c>
      <c r="B17529" s="27" t="s">
        <v>33</v>
      </c>
      <c r="C17529" s="27" t="s">
        <v>50</v>
      </c>
      <c r="D17529" s="27" t="s">
        <v>7</v>
      </c>
      <c r="E17529" s="27" t="s">
        <v>72</v>
      </c>
      <c r="F17529" s="29"/>
      <c r="G17529" s="30">
        <f t="shared" si="307"/>
        <v>2533.788125</v>
      </c>
    </row>
    <row r="17530" spans="1:7" hidden="1" x14ac:dyDescent="0.25">
      <c r="A17530" s="28">
        <v>44958</v>
      </c>
      <c r="B17530" s="27" t="s">
        <v>33</v>
      </c>
      <c r="C17530" s="27" t="s">
        <v>50</v>
      </c>
      <c r="D17530" s="27" t="s">
        <v>7</v>
      </c>
      <c r="E17530" s="27" t="s">
        <v>43</v>
      </c>
      <c r="F17530" s="29"/>
      <c r="G17530" s="30">
        <f t="shared" si="307"/>
        <v>2533.788125</v>
      </c>
    </row>
    <row r="17531" spans="1:7" hidden="1" x14ac:dyDescent="0.25">
      <c r="A17531" s="28">
        <v>44958</v>
      </c>
      <c r="B17531" s="27" t="s">
        <v>33</v>
      </c>
      <c r="C17531" s="27" t="s">
        <v>50</v>
      </c>
      <c r="D17531" s="27" t="s">
        <v>7</v>
      </c>
      <c r="E17531" s="27" t="s">
        <v>206</v>
      </c>
      <c r="F17531" s="29"/>
      <c r="G17531" s="30">
        <f t="shared" si="307"/>
        <v>2533.788125</v>
      </c>
    </row>
    <row r="17532" spans="1:7" hidden="1" x14ac:dyDescent="0.25">
      <c r="A17532" s="28">
        <v>44958</v>
      </c>
      <c r="B17532" s="27" t="s">
        <v>33</v>
      </c>
      <c r="C17532" s="27" t="s">
        <v>50</v>
      </c>
      <c r="D17532" s="27" t="s">
        <v>7</v>
      </c>
      <c r="E17532" s="27" t="s">
        <v>68</v>
      </c>
      <c r="F17532" s="29"/>
      <c r="G17532" s="30">
        <f t="shared" si="307"/>
        <v>2533.788125</v>
      </c>
    </row>
    <row r="17533" spans="1:7" hidden="1" x14ac:dyDescent="0.25">
      <c r="A17533" s="28">
        <v>44958</v>
      </c>
      <c r="B17533" s="27" t="s">
        <v>33</v>
      </c>
      <c r="C17533" s="27" t="s">
        <v>50</v>
      </c>
      <c r="D17533" s="27" t="s">
        <v>7</v>
      </c>
      <c r="E17533" s="27" t="s">
        <v>74</v>
      </c>
      <c r="F17533" s="29"/>
      <c r="G17533" s="30">
        <f t="shared" si="307"/>
        <v>2533.788125</v>
      </c>
    </row>
    <row r="17534" spans="1:7" hidden="1" x14ac:dyDescent="0.25">
      <c r="A17534" s="28">
        <v>44958</v>
      </c>
      <c r="B17534" s="27" t="s">
        <v>33</v>
      </c>
      <c r="C17534" s="27" t="s">
        <v>50</v>
      </c>
      <c r="D17534" s="27" t="s">
        <v>7</v>
      </c>
      <c r="E17534" s="27" t="s">
        <v>67</v>
      </c>
      <c r="F17534" s="29"/>
      <c r="G17534" s="30">
        <f t="shared" si="307"/>
        <v>2533.788125</v>
      </c>
    </row>
    <row r="17535" spans="1:7" hidden="1" x14ac:dyDescent="0.25">
      <c r="A17535" s="28">
        <v>44958</v>
      </c>
      <c r="B17535" s="27" t="s">
        <v>33</v>
      </c>
      <c r="C17535" s="27" t="s">
        <v>50</v>
      </c>
      <c r="D17535" s="27" t="s">
        <v>7</v>
      </c>
      <c r="E17535" s="27" t="s">
        <v>71</v>
      </c>
      <c r="F17535" s="29"/>
      <c r="G17535" s="30">
        <f t="shared" si="307"/>
        <v>2533.788125</v>
      </c>
    </row>
    <row r="17536" spans="1:7" hidden="1" x14ac:dyDescent="0.25">
      <c r="A17536" s="28">
        <v>44958</v>
      </c>
      <c r="B17536" s="27" t="s">
        <v>33</v>
      </c>
      <c r="C17536" s="27" t="s">
        <v>50</v>
      </c>
      <c r="D17536" s="27" t="s">
        <v>7</v>
      </c>
      <c r="E17536" s="27" t="s">
        <v>73</v>
      </c>
      <c r="F17536" s="29"/>
      <c r="G17536" s="30">
        <f t="shared" si="307"/>
        <v>2533.788125</v>
      </c>
    </row>
    <row r="17537" spans="1:7" hidden="1" x14ac:dyDescent="0.25">
      <c r="A17537" s="28">
        <v>44958</v>
      </c>
      <c r="B17537" s="27" t="s">
        <v>33</v>
      </c>
      <c r="C17537" s="27" t="s">
        <v>50</v>
      </c>
      <c r="D17537" s="27" t="s">
        <v>7</v>
      </c>
      <c r="E17537" s="27" t="s">
        <v>70</v>
      </c>
      <c r="F17537" s="29"/>
      <c r="G17537" s="30">
        <f t="shared" si="307"/>
        <v>2533.788125</v>
      </c>
    </row>
    <row r="17538" spans="1:7" hidden="1" x14ac:dyDescent="0.25">
      <c r="A17538" s="28">
        <v>44958</v>
      </c>
      <c r="B17538" s="27" t="s">
        <v>33</v>
      </c>
      <c r="C17538" s="27" t="s">
        <v>50</v>
      </c>
      <c r="D17538" s="27" t="s">
        <v>7</v>
      </c>
      <c r="E17538" s="27" t="s">
        <v>203</v>
      </c>
      <c r="F17538" s="29"/>
      <c r="G17538" s="30">
        <f t="shared" si="307"/>
        <v>2533.788125</v>
      </c>
    </row>
    <row r="17539" spans="1:7" hidden="1" x14ac:dyDescent="0.25">
      <c r="A17539" s="28">
        <v>44958</v>
      </c>
      <c r="B17539" s="27" t="s">
        <v>4</v>
      </c>
      <c r="C17539" s="27" t="s">
        <v>50</v>
      </c>
      <c r="D17539" s="27" t="s">
        <v>7</v>
      </c>
      <c r="E17539" s="27" t="s">
        <v>68</v>
      </c>
      <c r="F17539" s="29"/>
      <c r="G17539" s="30">
        <f>15312.43115+1482.53</f>
        <v>16794.961149999999</v>
      </c>
    </row>
    <row r="17540" spans="1:7" hidden="1" x14ac:dyDescent="0.25">
      <c r="A17540" s="28">
        <v>44958</v>
      </c>
      <c r="B17540" s="27" t="s">
        <v>4</v>
      </c>
      <c r="C17540" s="27" t="s">
        <v>50</v>
      </c>
      <c r="D17540" s="27" t="s">
        <v>7</v>
      </c>
      <c r="E17540" s="27" t="s">
        <v>43</v>
      </c>
      <c r="F17540" s="29"/>
      <c r="G17540" s="30">
        <f>3336.42039+1482.53</f>
        <v>4818.95039</v>
      </c>
    </row>
    <row r="17541" spans="1:7" hidden="1" x14ac:dyDescent="0.25">
      <c r="A17541" s="28">
        <v>44958</v>
      </c>
      <c r="B17541" s="27" t="s">
        <v>4</v>
      </c>
      <c r="C17541" s="27" t="s">
        <v>50</v>
      </c>
      <c r="D17541" s="27" t="s">
        <v>7</v>
      </c>
      <c r="E17541" s="27" t="s">
        <v>8</v>
      </c>
      <c r="F17541" s="29"/>
      <c r="G17541" s="30">
        <f>2263.77529+1482.53</f>
        <v>3746.3052900000002</v>
      </c>
    </row>
    <row r="17542" spans="1:7" hidden="1" x14ac:dyDescent="0.25">
      <c r="A17542" s="28">
        <v>44958</v>
      </c>
      <c r="B17542" s="27" t="s">
        <v>4</v>
      </c>
      <c r="C17542" s="27" t="s">
        <v>50</v>
      </c>
      <c r="D17542" s="27" t="s">
        <v>7</v>
      </c>
      <c r="E17542" s="27" t="s">
        <v>9</v>
      </c>
      <c r="F17542" s="29"/>
      <c r="G17542" s="30">
        <f>5349.8356+1482.53</f>
        <v>6832.3656000000001</v>
      </c>
    </row>
    <row r="17543" spans="1:7" hidden="1" x14ac:dyDescent="0.25">
      <c r="A17543" s="28">
        <v>44958</v>
      </c>
      <c r="B17543" s="27" t="s">
        <v>4</v>
      </c>
      <c r="C17543" s="27" t="s">
        <v>50</v>
      </c>
      <c r="D17543" s="27" t="s">
        <v>7</v>
      </c>
      <c r="E17543" s="27" t="s">
        <v>67</v>
      </c>
      <c r="F17543" s="29"/>
      <c r="G17543" s="30">
        <f>6353.9105+1482.53</f>
        <v>7836.4404999999997</v>
      </c>
    </row>
    <row r="17544" spans="1:7" hidden="1" x14ac:dyDescent="0.25">
      <c r="A17544" s="28">
        <v>44958</v>
      </c>
      <c r="B17544" s="27" t="s">
        <v>4</v>
      </c>
      <c r="C17544" s="27" t="s">
        <v>50</v>
      </c>
      <c r="D17544" s="27" t="s">
        <v>7</v>
      </c>
      <c r="E17544" s="27" t="s">
        <v>22</v>
      </c>
      <c r="F17544" s="29"/>
      <c r="G17544" s="30">
        <f>2260.11868+1482.53</f>
        <v>3742.6486800000002</v>
      </c>
    </row>
    <row r="17545" spans="1:7" hidden="1" x14ac:dyDescent="0.25">
      <c r="A17545" s="28">
        <v>44958</v>
      </c>
      <c r="B17545" s="27" t="s">
        <v>4</v>
      </c>
      <c r="C17545" s="27" t="s">
        <v>50</v>
      </c>
      <c r="D17545" s="27" t="s">
        <v>7</v>
      </c>
      <c r="E17545" s="27" t="s">
        <v>39</v>
      </c>
      <c r="F17545" s="29"/>
      <c r="G17545" s="30">
        <f>2522.94+1482.53</f>
        <v>4005.4700000000003</v>
      </c>
    </row>
    <row r="17546" spans="1:7" hidden="1" x14ac:dyDescent="0.25">
      <c r="A17546" s="28">
        <v>44958</v>
      </c>
      <c r="B17546" s="27" t="s">
        <v>4</v>
      </c>
      <c r="C17546" s="27" t="s">
        <v>50</v>
      </c>
      <c r="D17546" s="27" t="s">
        <v>7</v>
      </c>
      <c r="E17546" s="27" t="s">
        <v>70</v>
      </c>
      <c r="F17546" s="29"/>
      <c r="G17546" s="30">
        <f>15579.42822+1482.53</f>
        <v>17061.95822</v>
      </c>
    </row>
    <row r="17547" spans="1:7" hidden="1" x14ac:dyDescent="0.25">
      <c r="A17547" s="28">
        <v>44958</v>
      </c>
      <c r="B17547" s="27" t="s">
        <v>4</v>
      </c>
      <c r="C17547" s="27" t="s">
        <v>50</v>
      </c>
      <c r="D17547" s="27" t="s">
        <v>7</v>
      </c>
      <c r="E17547" s="27" t="s">
        <v>203</v>
      </c>
      <c r="F17547" s="29"/>
      <c r="G17547" s="30">
        <f>1062.42054+1482.53</f>
        <v>2544.9505399999998</v>
      </c>
    </row>
    <row r="17548" spans="1:7" hidden="1" x14ac:dyDescent="0.25">
      <c r="A17548" s="28">
        <v>44958</v>
      </c>
      <c r="B17548" s="27" t="s">
        <v>4</v>
      </c>
      <c r="C17548" s="27" t="s">
        <v>50</v>
      </c>
      <c r="D17548" s="27" t="s">
        <v>7</v>
      </c>
      <c r="E17548" s="27" t="s">
        <v>72</v>
      </c>
      <c r="F17548" s="29"/>
      <c r="G17548" s="30">
        <f>2002.21589+1482.53</f>
        <v>3484.7458900000001</v>
      </c>
    </row>
    <row r="17549" spans="1:7" hidden="1" x14ac:dyDescent="0.25">
      <c r="A17549" s="28">
        <v>44958</v>
      </c>
      <c r="B17549" s="27" t="s">
        <v>4</v>
      </c>
      <c r="C17549" s="27" t="s">
        <v>50</v>
      </c>
      <c r="D17549" s="27" t="s">
        <v>7</v>
      </c>
      <c r="E17549" s="27" t="s">
        <v>73</v>
      </c>
      <c r="F17549" s="29"/>
      <c r="G17549" s="30">
        <f>3571.36028+1482.53</f>
        <v>5053.8902799999996</v>
      </c>
    </row>
    <row r="17550" spans="1:7" hidden="1" x14ac:dyDescent="0.25">
      <c r="A17550" s="28">
        <v>44958</v>
      </c>
      <c r="B17550" s="27" t="s">
        <v>4</v>
      </c>
      <c r="C17550" s="27" t="s">
        <v>50</v>
      </c>
      <c r="D17550" s="27" t="s">
        <v>7</v>
      </c>
      <c r="E17550" s="27" t="s">
        <v>71</v>
      </c>
      <c r="F17550" s="29"/>
      <c r="G17550" s="30">
        <f>19445.59381+1482.53</f>
        <v>20928.123809999997</v>
      </c>
    </row>
    <row r="17551" spans="1:7" hidden="1" x14ac:dyDescent="0.25">
      <c r="A17551" s="28">
        <v>44958</v>
      </c>
      <c r="B17551" s="27" t="s">
        <v>4</v>
      </c>
      <c r="C17551" s="27" t="s">
        <v>50</v>
      </c>
      <c r="D17551" s="27" t="s">
        <v>7</v>
      </c>
      <c r="E17551" s="27" t="s">
        <v>21</v>
      </c>
      <c r="F17551" s="29"/>
      <c r="G17551" s="30">
        <f>5356.7162+1482.53</f>
        <v>6839.2461999999996</v>
      </c>
    </row>
    <row r="17552" spans="1:7" hidden="1" x14ac:dyDescent="0.25">
      <c r="A17552" s="28">
        <v>44958</v>
      </c>
      <c r="B17552" s="27" t="s">
        <v>4</v>
      </c>
      <c r="C17552" s="27" t="s">
        <v>50</v>
      </c>
      <c r="D17552" s="27" t="s">
        <v>7</v>
      </c>
      <c r="E17552" s="27" t="s">
        <v>41</v>
      </c>
      <c r="F17552" s="29"/>
      <c r="G17552" s="30">
        <f>5590.12462+1482.53</f>
        <v>7072.6546199999993</v>
      </c>
    </row>
    <row r="17553" spans="1:7" hidden="1" x14ac:dyDescent="0.25">
      <c r="A17553" s="28">
        <v>44958</v>
      </c>
      <c r="B17553" s="27" t="s">
        <v>4</v>
      </c>
      <c r="C17553" s="27" t="s">
        <v>50</v>
      </c>
      <c r="D17553" s="27" t="s">
        <v>7</v>
      </c>
      <c r="E17553" s="27" t="s">
        <v>10</v>
      </c>
      <c r="F17553" s="29"/>
      <c r="G17553" s="30">
        <f>3694.07818+1482.53</f>
        <v>5176.6081800000002</v>
      </c>
    </row>
    <row r="17554" spans="1:7" hidden="1" x14ac:dyDescent="0.25">
      <c r="A17554" s="28">
        <v>44958</v>
      </c>
      <c r="B17554" s="27" t="s">
        <v>4</v>
      </c>
      <c r="C17554" s="27" t="s">
        <v>50</v>
      </c>
      <c r="D17554" s="27" t="s">
        <v>7</v>
      </c>
      <c r="E17554" s="27" t="s">
        <v>11</v>
      </c>
      <c r="F17554" s="29"/>
      <c r="G17554" s="30">
        <f>577.5322+1482.53</f>
        <v>2060.0621999999998</v>
      </c>
    </row>
    <row r="17555" spans="1:7" hidden="1" x14ac:dyDescent="0.25">
      <c r="A17555" s="28">
        <v>44958</v>
      </c>
      <c r="B17555" s="27" t="s">
        <v>4</v>
      </c>
      <c r="C17555" s="27" t="s">
        <v>50</v>
      </c>
      <c r="D17555" s="27" t="s">
        <v>7</v>
      </c>
      <c r="E17555" s="27" t="s">
        <v>206</v>
      </c>
      <c r="F17555" s="29"/>
      <c r="G17555" s="30">
        <f>17477.14247+1482.53</f>
        <v>18959.672469999998</v>
      </c>
    </row>
    <row r="17556" spans="1:7" hidden="1" x14ac:dyDescent="0.25">
      <c r="A17556" s="28">
        <v>44958</v>
      </c>
      <c r="B17556" s="27" t="s">
        <v>4</v>
      </c>
      <c r="C17556" s="27" t="s">
        <v>50</v>
      </c>
      <c r="D17556" s="27" t="s">
        <v>7</v>
      </c>
      <c r="E17556" s="27" t="s">
        <v>12</v>
      </c>
      <c r="F17556" s="29"/>
      <c r="G17556" s="30">
        <f>4704.14141999999+1482.53</f>
        <v>6186.6714199999897</v>
      </c>
    </row>
    <row r="17557" spans="1:7" hidden="1" x14ac:dyDescent="0.25">
      <c r="A17557" s="28">
        <v>44958</v>
      </c>
      <c r="B17557" s="27" t="s">
        <v>4</v>
      </c>
      <c r="C17557" s="27" t="s">
        <v>50</v>
      </c>
      <c r="D17557" s="27" t="s">
        <v>7</v>
      </c>
      <c r="E17557" s="27" t="s">
        <v>13</v>
      </c>
      <c r="F17557" s="29"/>
      <c r="G17557" s="30">
        <f>7147.96033+1482.53</f>
        <v>8630.4903300000005</v>
      </c>
    </row>
    <row r="17558" spans="1:7" hidden="1" x14ac:dyDescent="0.25">
      <c r="A17558" s="28">
        <v>44958</v>
      </c>
      <c r="B17558" s="27" t="s">
        <v>4</v>
      </c>
      <c r="C17558" s="27" t="s">
        <v>50</v>
      </c>
      <c r="D17558" s="27" t="s">
        <v>7</v>
      </c>
      <c r="E17558" s="27" t="s">
        <v>14</v>
      </c>
      <c r="F17558" s="29"/>
      <c r="G17558" s="30">
        <f>1025.94149+1482.53</f>
        <v>2508.4714899999999</v>
      </c>
    </row>
    <row r="17559" spans="1:7" hidden="1" x14ac:dyDescent="0.25">
      <c r="A17559" s="28">
        <v>44958</v>
      </c>
      <c r="B17559" s="27" t="s">
        <v>4</v>
      </c>
      <c r="C17559" s="27" t="s">
        <v>50</v>
      </c>
      <c r="D17559" s="27" t="s">
        <v>7</v>
      </c>
      <c r="E17559" s="27" t="s">
        <v>15</v>
      </c>
      <c r="F17559" s="29"/>
      <c r="G17559" s="30">
        <f>4214.13994+1482.53</f>
        <v>5696.6699399999998</v>
      </c>
    </row>
    <row r="17560" spans="1:7" hidden="1" x14ac:dyDescent="0.25">
      <c r="A17560" s="28">
        <v>44958</v>
      </c>
      <c r="B17560" s="27" t="s">
        <v>4</v>
      </c>
      <c r="C17560" s="27" t="s">
        <v>50</v>
      </c>
      <c r="D17560" s="27" t="s">
        <v>7</v>
      </c>
      <c r="E17560" s="27" t="s">
        <v>16</v>
      </c>
      <c r="F17560" s="29"/>
      <c r="G17560" s="30">
        <f>1495.63536+1482.53</f>
        <v>2978.16536</v>
      </c>
    </row>
    <row r="17561" spans="1:7" hidden="1" x14ac:dyDescent="0.25">
      <c r="A17561" s="28">
        <v>44958</v>
      </c>
      <c r="B17561" s="27" t="s">
        <v>4</v>
      </c>
      <c r="C17561" s="27" t="s">
        <v>50</v>
      </c>
      <c r="D17561" s="27" t="s">
        <v>7</v>
      </c>
      <c r="E17561" s="27" t="s">
        <v>17</v>
      </c>
      <c r="F17561" s="29"/>
      <c r="G17561" s="30">
        <f>3615.01687+1482.53</f>
        <v>5097.5468700000001</v>
      </c>
    </row>
    <row r="17562" spans="1:7" hidden="1" x14ac:dyDescent="0.25">
      <c r="A17562" s="28">
        <v>44958</v>
      </c>
      <c r="B17562" s="27" t="s">
        <v>4</v>
      </c>
      <c r="C17562" s="27" t="s">
        <v>50</v>
      </c>
      <c r="D17562" s="27" t="s">
        <v>7</v>
      </c>
      <c r="E17562" s="27" t="s">
        <v>18</v>
      </c>
      <c r="F17562" s="29"/>
      <c r="G17562" s="30">
        <f>2392.94304+1482.53</f>
        <v>3875.4730399999999</v>
      </c>
    </row>
    <row r="17563" spans="1:7" hidden="1" x14ac:dyDescent="0.25">
      <c r="A17563" s="28">
        <v>44958</v>
      </c>
      <c r="B17563" s="27" t="s">
        <v>4</v>
      </c>
      <c r="C17563" s="27" t="s">
        <v>50</v>
      </c>
      <c r="D17563" s="27" t="s">
        <v>7</v>
      </c>
      <c r="E17563" s="27" t="s">
        <v>19</v>
      </c>
      <c r="F17563" s="29"/>
      <c r="G17563" s="30">
        <f>5830.7817+1482.53</f>
        <v>7313.3116999999993</v>
      </c>
    </row>
    <row r="17564" spans="1:7" hidden="1" x14ac:dyDescent="0.25">
      <c r="A17564" s="28">
        <v>44958</v>
      </c>
      <c r="B17564" s="27" t="s">
        <v>4</v>
      </c>
      <c r="C17564" s="27" t="s">
        <v>50</v>
      </c>
      <c r="D17564" s="27" t="s">
        <v>7</v>
      </c>
      <c r="E17564" s="27" t="s">
        <v>20</v>
      </c>
      <c r="F17564" s="29"/>
      <c r="G17564" s="30">
        <f>2451.570399+1482.53</f>
        <v>3934.1003989999999</v>
      </c>
    </row>
    <row r="17565" spans="1:7" hidden="1" x14ac:dyDescent="0.25">
      <c r="A17565" s="28">
        <v>44958</v>
      </c>
      <c r="B17565" s="27" t="s">
        <v>4</v>
      </c>
      <c r="C17565" s="27" t="s">
        <v>50</v>
      </c>
      <c r="D17565" s="27" t="s">
        <v>7</v>
      </c>
      <c r="E17565" s="27" t="s">
        <v>38</v>
      </c>
      <c r="F17565" s="29"/>
      <c r="G17565" s="30">
        <f>540.95382+1482.53</f>
        <v>2023.4838199999999</v>
      </c>
    </row>
    <row r="17566" spans="1:7" hidden="1" x14ac:dyDescent="0.25">
      <c r="A17566" s="28">
        <v>44958</v>
      </c>
      <c r="B17566" s="27" t="s">
        <v>4</v>
      </c>
      <c r="C17566" s="27" t="s">
        <v>50</v>
      </c>
      <c r="D17566" s="27" t="s">
        <v>7</v>
      </c>
      <c r="E17566" s="27" t="s">
        <v>23</v>
      </c>
      <c r="F17566" s="29"/>
      <c r="G17566" s="30">
        <f>8100.897108+1482.53</f>
        <v>9583.4271079999999</v>
      </c>
    </row>
    <row r="17567" spans="1:7" hidden="1" x14ac:dyDescent="0.25">
      <c r="A17567" s="28">
        <v>44958</v>
      </c>
      <c r="B17567" s="27" t="s">
        <v>4</v>
      </c>
      <c r="C17567" s="27" t="s">
        <v>50</v>
      </c>
      <c r="D17567" s="27" t="s">
        <v>7</v>
      </c>
      <c r="E17567" s="27" t="s">
        <v>40</v>
      </c>
      <c r="F17567" s="29"/>
      <c r="G17567" s="30">
        <f>249.04861+1482.53</f>
        <v>1731.57861</v>
      </c>
    </row>
    <row r="17568" spans="1:7" hidden="1" x14ac:dyDescent="0.25">
      <c r="A17568" s="28">
        <v>44958</v>
      </c>
      <c r="B17568" s="27" t="s">
        <v>4</v>
      </c>
      <c r="C17568" s="27" t="s">
        <v>50</v>
      </c>
      <c r="D17568" s="27" t="s">
        <v>7</v>
      </c>
      <c r="E17568" s="27" t="s">
        <v>74</v>
      </c>
      <c r="F17568" s="29"/>
      <c r="G17568" s="30">
        <f>5454.35517+1482.53</f>
        <v>6936.8851699999996</v>
      </c>
    </row>
    <row r="17569" spans="1:7" hidden="1" x14ac:dyDescent="0.25">
      <c r="A17569" s="28">
        <v>44958</v>
      </c>
      <c r="B17569" s="27" t="s">
        <v>3</v>
      </c>
      <c r="C17569" s="27" t="s">
        <v>50</v>
      </c>
      <c r="D17569" s="27" t="s">
        <v>7</v>
      </c>
      <c r="E17569" s="27" t="s">
        <v>8</v>
      </c>
      <c r="F17569" s="29"/>
      <c r="G17569" s="30">
        <f t="shared" ref="G17569:G17600" si="308">27985.68/32</f>
        <v>874.55250000000001</v>
      </c>
    </row>
    <row r="17570" spans="1:7" hidden="1" x14ac:dyDescent="0.25">
      <c r="A17570" s="28">
        <v>44958</v>
      </c>
      <c r="B17570" s="27" t="s">
        <v>3</v>
      </c>
      <c r="C17570" s="27" t="s">
        <v>50</v>
      </c>
      <c r="D17570" s="27" t="s">
        <v>7</v>
      </c>
      <c r="E17570" s="27" t="s">
        <v>9</v>
      </c>
      <c r="F17570" s="29"/>
      <c r="G17570" s="30">
        <f t="shared" si="308"/>
        <v>874.55250000000001</v>
      </c>
    </row>
    <row r="17571" spans="1:7" hidden="1" x14ac:dyDescent="0.25">
      <c r="A17571" s="28">
        <v>44958</v>
      </c>
      <c r="B17571" s="27" t="s">
        <v>3</v>
      </c>
      <c r="C17571" s="27" t="s">
        <v>50</v>
      </c>
      <c r="D17571" s="27" t="s">
        <v>7</v>
      </c>
      <c r="E17571" s="27" t="s">
        <v>21</v>
      </c>
      <c r="F17571" s="29"/>
      <c r="G17571" s="30">
        <f t="shared" si="308"/>
        <v>874.55250000000001</v>
      </c>
    </row>
    <row r="17572" spans="1:7" hidden="1" x14ac:dyDescent="0.25">
      <c r="A17572" s="28">
        <v>44958</v>
      </c>
      <c r="B17572" s="27" t="s">
        <v>3</v>
      </c>
      <c r="C17572" s="27" t="s">
        <v>50</v>
      </c>
      <c r="D17572" s="27" t="s">
        <v>7</v>
      </c>
      <c r="E17572" s="27" t="s">
        <v>10</v>
      </c>
      <c r="F17572" s="29"/>
      <c r="G17572" s="30">
        <f t="shared" si="308"/>
        <v>874.55250000000001</v>
      </c>
    </row>
    <row r="17573" spans="1:7" hidden="1" x14ac:dyDescent="0.25">
      <c r="A17573" s="28">
        <v>44958</v>
      </c>
      <c r="B17573" s="27" t="s">
        <v>3</v>
      </c>
      <c r="C17573" s="27" t="s">
        <v>50</v>
      </c>
      <c r="D17573" s="27" t="s">
        <v>7</v>
      </c>
      <c r="E17573" s="27" t="s">
        <v>11</v>
      </c>
      <c r="F17573" s="29"/>
      <c r="G17573" s="30">
        <f t="shared" si="308"/>
        <v>874.55250000000001</v>
      </c>
    </row>
    <row r="17574" spans="1:7" hidden="1" x14ac:dyDescent="0.25">
      <c r="A17574" s="28">
        <v>44958</v>
      </c>
      <c r="B17574" s="27" t="s">
        <v>3</v>
      </c>
      <c r="C17574" s="27" t="s">
        <v>50</v>
      </c>
      <c r="D17574" s="27" t="s">
        <v>7</v>
      </c>
      <c r="E17574" s="27" t="s">
        <v>12</v>
      </c>
      <c r="F17574" s="29"/>
      <c r="G17574" s="30">
        <f t="shared" si="308"/>
        <v>874.55250000000001</v>
      </c>
    </row>
    <row r="17575" spans="1:7" hidden="1" x14ac:dyDescent="0.25">
      <c r="A17575" s="28">
        <v>44958</v>
      </c>
      <c r="B17575" s="27" t="s">
        <v>3</v>
      </c>
      <c r="C17575" s="27" t="s">
        <v>50</v>
      </c>
      <c r="D17575" s="27" t="s">
        <v>7</v>
      </c>
      <c r="E17575" s="27" t="s">
        <v>13</v>
      </c>
      <c r="F17575" s="29"/>
      <c r="G17575" s="30">
        <f t="shared" si="308"/>
        <v>874.55250000000001</v>
      </c>
    </row>
    <row r="17576" spans="1:7" hidden="1" x14ac:dyDescent="0.25">
      <c r="A17576" s="28">
        <v>44958</v>
      </c>
      <c r="B17576" s="27" t="s">
        <v>3</v>
      </c>
      <c r="C17576" s="27" t="s">
        <v>50</v>
      </c>
      <c r="D17576" s="27" t="s">
        <v>7</v>
      </c>
      <c r="E17576" s="27" t="s">
        <v>14</v>
      </c>
      <c r="F17576" s="29"/>
      <c r="G17576" s="30">
        <f t="shared" si="308"/>
        <v>874.55250000000001</v>
      </c>
    </row>
    <row r="17577" spans="1:7" hidden="1" x14ac:dyDescent="0.25">
      <c r="A17577" s="28">
        <v>44958</v>
      </c>
      <c r="B17577" s="27" t="s">
        <v>3</v>
      </c>
      <c r="C17577" s="27" t="s">
        <v>50</v>
      </c>
      <c r="D17577" s="27" t="s">
        <v>7</v>
      </c>
      <c r="E17577" s="27" t="s">
        <v>15</v>
      </c>
      <c r="F17577" s="29"/>
      <c r="G17577" s="30">
        <f t="shared" si="308"/>
        <v>874.55250000000001</v>
      </c>
    </row>
    <row r="17578" spans="1:7" hidden="1" x14ac:dyDescent="0.25">
      <c r="A17578" s="28">
        <v>44958</v>
      </c>
      <c r="B17578" s="27" t="s">
        <v>3</v>
      </c>
      <c r="C17578" s="27" t="s">
        <v>50</v>
      </c>
      <c r="D17578" s="27" t="s">
        <v>7</v>
      </c>
      <c r="E17578" s="27" t="s">
        <v>16</v>
      </c>
      <c r="F17578" s="29"/>
      <c r="G17578" s="30">
        <f t="shared" si="308"/>
        <v>874.55250000000001</v>
      </c>
    </row>
    <row r="17579" spans="1:7" hidden="1" x14ac:dyDescent="0.25">
      <c r="A17579" s="28">
        <v>44958</v>
      </c>
      <c r="B17579" s="27" t="s">
        <v>3</v>
      </c>
      <c r="C17579" s="27" t="s">
        <v>50</v>
      </c>
      <c r="D17579" s="27" t="s">
        <v>7</v>
      </c>
      <c r="E17579" s="27" t="s">
        <v>17</v>
      </c>
      <c r="F17579" s="29"/>
      <c r="G17579" s="30">
        <f t="shared" si="308"/>
        <v>874.55250000000001</v>
      </c>
    </row>
    <row r="17580" spans="1:7" hidden="1" x14ac:dyDescent="0.25">
      <c r="A17580" s="28">
        <v>44958</v>
      </c>
      <c r="B17580" s="27" t="s">
        <v>3</v>
      </c>
      <c r="C17580" s="27" t="s">
        <v>50</v>
      </c>
      <c r="D17580" s="27" t="s">
        <v>7</v>
      </c>
      <c r="E17580" s="27" t="s">
        <v>18</v>
      </c>
      <c r="F17580" s="29"/>
      <c r="G17580" s="30">
        <f t="shared" si="308"/>
        <v>874.55250000000001</v>
      </c>
    </row>
    <row r="17581" spans="1:7" hidden="1" x14ac:dyDescent="0.25">
      <c r="A17581" s="28">
        <v>44958</v>
      </c>
      <c r="B17581" s="27" t="s">
        <v>3</v>
      </c>
      <c r="C17581" s="27" t="s">
        <v>50</v>
      </c>
      <c r="D17581" s="27" t="s">
        <v>7</v>
      </c>
      <c r="E17581" s="27" t="s">
        <v>19</v>
      </c>
      <c r="F17581" s="29"/>
      <c r="G17581" s="30">
        <f t="shared" si="308"/>
        <v>874.55250000000001</v>
      </c>
    </row>
    <row r="17582" spans="1:7" hidden="1" x14ac:dyDescent="0.25">
      <c r="A17582" s="28">
        <v>44958</v>
      </c>
      <c r="B17582" s="27" t="s">
        <v>3</v>
      </c>
      <c r="C17582" s="27" t="s">
        <v>50</v>
      </c>
      <c r="D17582" s="27" t="s">
        <v>7</v>
      </c>
      <c r="E17582" s="27" t="s">
        <v>20</v>
      </c>
      <c r="F17582" s="29"/>
      <c r="G17582" s="30">
        <f t="shared" si="308"/>
        <v>874.55250000000001</v>
      </c>
    </row>
    <row r="17583" spans="1:7" hidden="1" x14ac:dyDescent="0.25">
      <c r="A17583" s="28">
        <v>44958</v>
      </c>
      <c r="B17583" s="27" t="s">
        <v>3</v>
      </c>
      <c r="C17583" s="27" t="s">
        <v>50</v>
      </c>
      <c r="D17583" s="27" t="s">
        <v>7</v>
      </c>
      <c r="E17583" s="27" t="s">
        <v>38</v>
      </c>
      <c r="F17583" s="29"/>
      <c r="G17583" s="30">
        <f t="shared" si="308"/>
        <v>874.55250000000001</v>
      </c>
    </row>
    <row r="17584" spans="1:7" hidden="1" x14ac:dyDescent="0.25">
      <c r="A17584" s="28">
        <v>44958</v>
      </c>
      <c r="B17584" s="27" t="s">
        <v>3</v>
      </c>
      <c r="C17584" s="27" t="s">
        <v>50</v>
      </c>
      <c r="D17584" s="27" t="s">
        <v>7</v>
      </c>
      <c r="E17584" s="27" t="s">
        <v>23</v>
      </c>
      <c r="F17584" s="29"/>
      <c r="G17584" s="30">
        <f t="shared" si="308"/>
        <v>874.55250000000001</v>
      </c>
    </row>
    <row r="17585" spans="1:7" hidden="1" x14ac:dyDescent="0.25">
      <c r="A17585" s="28">
        <v>44958</v>
      </c>
      <c r="B17585" s="27" t="s">
        <v>3</v>
      </c>
      <c r="C17585" s="27" t="s">
        <v>50</v>
      </c>
      <c r="D17585" s="27" t="s">
        <v>7</v>
      </c>
      <c r="E17585" s="27" t="s">
        <v>22</v>
      </c>
      <c r="F17585" s="29"/>
      <c r="G17585" s="30">
        <f t="shared" si="308"/>
        <v>874.55250000000001</v>
      </c>
    </row>
    <row r="17586" spans="1:7" hidden="1" x14ac:dyDescent="0.25">
      <c r="A17586" s="28">
        <v>44958</v>
      </c>
      <c r="B17586" s="27" t="s">
        <v>3</v>
      </c>
      <c r="C17586" s="27" t="s">
        <v>50</v>
      </c>
      <c r="D17586" s="27" t="s">
        <v>7</v>
      </c>
      <c r="E17586" s="27" t="s">
        <v>39</v>
      </c>
      <c r="F17586" s="29"/>
      <c r="G17586" s="30">
        <f t="shared" si="308"/>
        <v>874.55250000000001</v>
      </c>
    </row>
    <row r="17587" spans="1:7" hidden="1" x14ac:dyDescent="0.25">
      <c r="A17587" s="28">
        <v>44958</v>
      </c>
      <c r="B17587" s="27" t="s">
        <v>3</v>
      </c>
      <c r="C17587" s="27" t="s">
        <v>50</v>
      </c>
      <c r="D17587" s="27" t="s">
        <v>7</v>
      </c>
      <c r="E17587" s="27" t="s">
        <v>41</v>
      </c>
      <c r="F17587" s="29"/>
      <c r="G17587" s="30">
        <f t="shared" si="308"/>
        <v>874.55250000000001</v>
      </c>
    </row>
    <row r="17588" spans="1:7" hidden="1" x14ac:dyDescent="0.25">
      <c r="A17588" s="28">
        <v>44958</v>
      </c>
      <c r="B17588" s="27" t="s">
        <v>3</v>
      </c>
      <c r="C17588" s="27" t="s">
        <v>50</v>
      </c>
      <c r="D17588" s="27" t="s">
        <v>7</v>
      </c>
      <c r="E17588" s="27" t="s">
        <v>40</v>
      </c>
      <c r="F17588" s="29"/>
      <c r="G17588" s="30">
        <f t="shared" si="308"/>
        <v>874.55250000000001</v>
      </c>
    </row>
    <row r="17589" spans="1:7" hidden="1" x14ac:dyDescent="0.25">
      <c r="A17589" s="28">
        <v>44958</v>
      </c>
      <c r="B17589" s="27" t="s">
        <v>3</v>
      </c>
      <c r="C17589" s="27" t="s">
        <v>50</v>
      </c>
      <c r="D17589" s="27" t="s">
        <v>7</v>
      </c>
      <c r="E17589" s="27" t="s">
        <v>64</v>
      </c>
      <c r="F17589" s="29"/>
      <c r="G17589" s="30">
        <f t="shared" si="308"/>
        <v>874.55250000000001</v>
      </c>
    </row>
    <row r="17590" spans="1:7" hidden="1" x14ac:dyDescent="0.25">
      <c r="A17590" s="28">
        <v>44958</v>
      </c>
      <c r="B17590" s="27" t="s">
        <v>3</v>
      </c>
      <c r="C17590" s="27" t="s">
        <v>50</v>
      </c>
      <c r="D17590" s="27" t="s">
        <v>7</v>
      </c>
      <c r="E17590" s="27" t="s">
        <v>42</v>
      </c>
      <c r="F17590" s="29"/>
      <c r="G17590" s="30">
        <f t="shared" si="308"/>
        <v>874.55250000000001</v>
      </c>
    </row>
    <row r="17591" spans="1:7" hidden="1" x14ac:dyDescent="0.25">
      <c r="A17591" s="28">
        <v>44958</v>
      </c>
      <c r="B17591" s="27" t="s">
        <v>3</v>
      </c>
      <c r="C17591" s="27" t="s">
        <v>50</v>
      </c>
      <c r="D17591" s="27" t="s">
        <v>7</v>
      </c>
      <c r="E17591" s="27" t="s">
        <v>72</v>
      </c>
      <c r="F17591" s="29"/>
      <c r="G17591" s="30">
        <f t="shared" si="308"/>
        <v>874.55250000000001</v>
      </c>
    </row>
    <row r="17592" spans="1:7" hidden="1" x14ac:dyDescent="0.25">
      <c r="A17592" s="28">
        <v>44958</v>
      </c>
      <c r="B17592" s="27" t="s">
        <v>3</v>
      </c>
      <c r="C17592" s="27" t="s">
        <v>50</v>
      </c>
      <c r="D17592" s="27" t="s">
        <v>7</v>
      </c>
      <c r="E17592" s="27" t="s">
        <v>43</v>
      </c>
      <c r="F17592" s="29"/>
      <c r="G17592" s="30">
        <f t="shared" si="308"/>
        <v>874.55250000000001</v>
      </c>
    </row>
    <row r="17593" spans="1:7" hidden="1" x14ac:dyDescent="0.25">
      <c r="A17593" s="28">
        <v>44958</v>
      </c>
      <c r="B17593" s="27" t="s">
        <v>3</v>
      </c>
      <c r="C17593" s="27" t="s">
        <v>50</v>
      </c>
      <c r="D17593" s="27" t="s">
        <v>7</v>
      </c>
      <c r="E17593" s="27" t="s">
        <v>206</v>
      </c>
      <c r="F17593" s="29"/>
      <c r="G17593" s="30">
        <f t="shared" si="308"/>
        <v>874.55250000000001</v>
      </c>
    </row>
    <row r="17594" spans="1:7" hidden="1" x14ac:dyDescent="0.25">
      <c r="A17594" s="28">
        <v>44958</v>
      </c>
      <c r="B17594" s="27" t="s">
        <v>3</v>
      </c>
      <c r="C17594" s="27" t="s">
        <v>50</v>
      </c>
      <c r="D17594" s="27" t="s">
        <v>7</v>
      </c>
      <c r="E17594" s="27" t="s">
        <v>68</v>
      </c>
      <c r="F17594" s="29"/>
      <c r="G17594" s="30">
        <f t="shared" si="308"/>
        <v>874.55250000000001</v>
      </c>
    </row>
    <row r="17595" spans="1:7" hidden="1" x14ac:dyDescent="0.25">
      <c r="A17595" s="28">
        <v>44958</v>
      </c>
      <c r="B17595" s="27" t="s">
        <v>3</v>
      </c>
      <c r="C17595" s="27" t="s">
        <v>50</v>
      </c>
      <c r="D17595" s="27" t="s">
        <v>7</v>
      </c>
      <c r="E17595" s="27" t="s">
        <v>74</v>
      </c>
      <c r="F17595" s="29"/>
      <c r="G17595" s="30">
        <f t="shared" si="308"/>
        <v>874.55250000000001</v>
      </c>
    </row>
    <row r="17596" spans="1:7" hidden="1" x14ac:dyDescent="0.25">
      <c r="A17596" s="28">
        <v>44958</v>
      </c>
      <c r="B17596" s="27" t="s">
        <v>3</v>
      </c>
      <c r="C17596" s="27" t="s">
        <v>50</v>
      </c>
      <c r="D17596" s="27" t="s">
        <v>7</v>
      </c>
      <c r="E17596" s="27" t="s">
        <v>67</v>
      </c>
      <c r="F17596" s="29"/>
      <c r="G17596" s="30">
        <f t="shared" si="308"/>
        <v>874.55250000000001</v>
      </c>
    </row>
    <row r="17597" spans="1:7" hidden="1" x14ac:dyDescent="0.25">
      <c r="A17597" s="28">
        <v>44958</v>
      </c>
      <c r="B17597" s="27" t="s">
        <v>3</v>
      </c>
      <c r="C17597" s="27" t="s">
        <v>50</v>
      </c>
      <c r="D17597" s="27" t="s">
        <v>7</v>
      </c>
      <c r="E17597" s="27" t="s">
        <v>71</v>
      </c>
      <c r="F17597" s="29"/>
      <c r="G17597" s="30">
        <f t="shared" si="308"/>
        <v>874.55250000000001</v>
      </c>
    </row>
    <row r="17598" spans="1:7" hidden="1" x14ac:dyDescent="0.25">
      <c r="A17598" s="28">
        <v>44958</v>
      </c>
      <c r="B17598" s="27" t="s">
        <v>3</v>
      </c>
      <c r="C17598" s="27" t="s">
        <v>50</v>
      </c>
      <c r="D17598" s="27" t="s">
        <v>7</v>
      </c>
      <c r="E17598" s="27" t="s">
        <v>73</v>
      </c>
      <c r="F17598" s="29"/>
      <c r="G17598" s="30">
        <f t="shared" si="308"/>
        <v>874.55250000000001</v>
      </c>
    </row>
    <row r="17599" spans="1:7" hidden="1" x14ac:dyDescent="0.25">
      <c r="A17599" s="28">
        <v>44958</v>
      </c>
      <c r="B17599" s="27" t="s">
        <v>3</v>
      </c>
      <c r="C17599" s="27" t="s">
        <v>50</v>
      </c>
      <c r="D17599" s="27" t="s">
        <v>7</v>
      </c>
      <c r="E17599" s="27" t="s">
        <v>70</v>
      </c>
      <c r="F17599" s="29"/>
      <c r="G17599" s="30">
        <f t="shared" si="308"/>
        <v>874.55250000000001</v>
      </c>
    </row>
    <row r="17600" spans="1:7" hidden="1" x14ac:dyDescent="0.25">
      <c r="A17600" s="28">
        <v>44958</v>
      </c>
      <c r="B17600" s="27" t="s">
        <v>3</v>
      </c>
      <c r="C17600" s="27" t="s">
        <v>50</v>
      </c>
      <c r="D17600" s="27" t="s">
        <v>7</v>
      </c>
      <c r="E17600" s="27" t="s">
        <v>203</v>
      </c>
      <c r="F17600" s="29"/>
      <c r="G17600" s="30">
        <f t="shared" si="308"/>
        <v>874.55250000000001</v>
      </c>
    </row>
    <row r="17601" spans="1:7" hidden="1" x14ac:dyDescent="0.25">
      <c r="A17601" s="28">
        <v>44958</v>
      </c>
      <c r="B17601" s="27" t="s">
        <v>32</v>
      </c>
      <c r="C17601" s="27" t="s">
        <v>50</v>
      </c>
      <c r="D17601" s="27" t="s">
        <v>7</v>
      </c>
      <c r="E17601" s="27" t="s">
        <v>68</v>
      </c>
      <c r="F17601" s="29"/>
      <c r="G17601" s="30">
        <v>75</v>
      </c>
    </row>
    <row r="17602" spans="1:7" hidden="1" x14ac:dyDescent="0.25">
      <c r="A17602" s="28">
        <v>44958</v>
      </c>
      <c r="B17602" s="27" t="s">
        <v>5</v>
      </c>
      <c r="C17602" s="27" t="s">
        <v>51</v>
      </c>
      <c r="D17602" s="27" t="s">
        <v>51</v>
      </c>
      <c r="E17602" s="27" t="s">
        <v>8</v>
      </c>
      <c r="F17602" s="29">
        <v>1098</v>
      </c>
      <c r="G17602" s="30">
        <v>0</v>
      </c>
    </row>
    <row r="17603" spans="1:7" hidden="1" x14ac:dyDescent="0.25">
      <c r="A17603" s="28">
        <v>44958</v>
      </c>
      <c r="B17603" s="27" t="s">
        <v>5</v>
      </c>
      <c r="C17603" s="27" t="s">
        <v>51</v>
      </c>
      <c r="D17603" s="27" t="s">
        <v>51</v>
      </c>
      <c r="E17603" s="27" t="s">
        <v>9</v>
      </c>
      <c r="F17603" s="29">
        <v>4045</v>
      </c>
      <c r="G17603" s="30">
        <v>0</v>
      </c>
    </row>
    <row r="17604" spans="1:7" hidden="1" x14ac:dyDescent="0.25">
      <c r="A17604" s="28">
        <v>44958</v>
      </c>
      <c r="B17604" s="27" t="s">
        <v>5</v>
      </c>
      <c r="C17604" s="27" t="s">
        <v>51</v>
      </c>
      <c r="D17604" s="27" t="s">
        <v>51</v>
      </c>
      <c r="E17604" s="27" t="s">
        <v>21</v>
      </c>
      <c r="F17604" s="29">
        <v>3596</v>
      </c>
      <c r="G17604" s="30">
        <v>0</v>
      </c>
    </row>
    <row r="17605" spans="1:7" hidden="1" x14ac:dyDescent="0.25">
      <c r="A17605" s="28">
        <v>44958</v>
      </c>
      <c r="B17605" s="27" t="s">
        <v>5</v>
      </c>
      <c r="C17605" s="27" t="s">
        <v>51</v>
      </c>
      <c r="D17605" s="27" t="s">
        <v>51</v>
      </c>
      <c r="E17605" s="27" t="s">
        <v>10</v>
      </c>
      <c r="F17605" s="29">
        <v>4044</v>
      </c>
      <c r="G17605" s="30">
        <v>0</v>
      </c>
    </row>
    <row r="17606" spans="1:7" hidden="1" x14ac:dyDescent="0.25">
      <c r="A17606" s="28">
        <v>44958</v>
      </c>
      <c r="B17606" s="27" t="s">
        <v>5</v>
      </c>
      <c r="C17606" s="27" t="s">
        <v>51</v>
      </c>
      <c r="D17606" s="27" t="s">
        <v>51</v>
      </c>
      <c r="E17606" s="27" t="s">
        <v>12</v>
      </c>
      <c r="F17606" s="29">
        <v>283</v>
      </c>
      <c r="G17606" s="30">
        <v>0</v>
      </c>
    </row>
    <row r="17607" spans="1:7" hidden="1" x14ac:dyDescent="0.25">
      <c r="A17607" s="28">
        <v>44958</v>
      </c>
      <c r="B17607" s="27" t="s">
        <v>5</v>
      </c>
      <c r="C17607" s="27" t="s">
        <v>51</v>
      </c>
      <c r="D17607" s="27" t="s">
        <v>51</v>
      </c>
      <c r="E17607" s="27" t="s">
        <v>13</v>
      </c>
      <c r="F17607" s="29">
        <v>6981</v>
      </c>
      <c r="G17607" s="30">
        <v>0</v>
      </c>
    </row>
    <row r="17608" spans="1:7" hidden="1" x14ac:dyDescent="0.25">
      <c r="A17608" s="28">
        <v>44958</v>
      </c>
      <c r="B17608" s="27" t="s">
        <v>5</v>
      </c>
      <c r="C17608" s="27" t="s">
        <v>51</v>
      </c>
      <c r="D17608" s="27" t="s">
        <v>51</v>
      </c>
      <c r="E17608" s="27" t="s">
        <v>14</v>
      </c>
      <c r="F17608" s="29">
        <v>2750</v>
      </c>
      <c r="G17608" s="30">
        <v>0</v>
      </c>
    </row>
    <row r="17609" spans="1:7" hidden="1" x14ac:dyDescent="0.25">
      <c r="A17609" s="28">
        <v>44958</v>
      </c>
      <c r="B17609" s="27" t="s">
        <v>5</v>
      </c>
      <c r="C17609" s="27" t="s">
        <v>51</v>
      </c>
      <c r="D17609" s="27" t="s">
        <v>51</v>
      </c>
      <c r="E17609" s="27" t="s">
        <v>15</v>
      </c>
      <c r="F17609" s="29">
        <v>5753</v>
      </c>
      <c r="G17609" s="30">
        <v>0</v>
      </c>
    </row>
    <row r="17610" spans="1:7" hidden="1" x14ac:dyDescent="0.25">
      <c r="A17610" s="28">
        <v>44958</v>
      </c>
      <c r="B17610" s="27" t="s">
        <v>5</v>
      </c>
      <c r="C17610" s="27" t="s">
        <v>51</v>
      </c>
      <c r="D17610" s="27" t="s">
        <v>51</v>
      </c>
      <c r="E17610" s="27" t="s">
        <v>16</v>
      </c>
      <c r="F17610" s="29">
        <v>924</v>
      </c>
      <c r="G17610" s="30">
        <v>0</v>
      </c>
    </row>
    <row r="17611" spans="1:7" hidden="1" x14ac:dyDescent="0.25">
      <c r="A17611" s="28">
        <v>44958</v>
      </c>
      <c r="B17611" s="27" t="s">
        <v>5</v>
      </c>
      <c r="C17611" s="27" t="s">
        <v>51</v>
      </c>
      <c r="D17611" s="27" t="s">
        <v>51</v>
      </c>
      <c r="E17611" s="27" t="s">
        <v>17</v>
      </c>
      <c r="F17611" s="29">
        <v>2462</v>
      </c>
      <c r="G17611" s="30">
        <v>0</v>
      </c>
    </row>
    <row r="17612" spans="1:7" hidden="1" x14ac:dyDescent="0.25">
      <c r="A17612" s="28">
        <v>44958</v>
      </c>
      <c r="B17612" s="27" t="s">
        <v>5</v>
      </c>
      <c r="C17612" s="27" t="s">
        <v>51</v>
      </c>
      <c r="D17612" s="27" t="s">
        <v>51</v>
      </c>
      <c r="E17612" s="27" t="s">
        <v>18</v>
      </c>
      <c r="F17612" s="29">
        <v>4791</v>
      </c>
      <c r="G17612" s="30">
        <v>0</v>
      </c>
    </row>
    <row r="17613" spans="1:7" hidden="1" x14ac:dyDescent="0.25">
      <c r="A17613" s="28">
        <v>44958</v>
      </c>
      <c r="B17613" s="27" t="s">
        <v>5</v>
      </c>
      <c r="C17613" s="27" t="s">
        <v>51</v>
      </c>
      <c r="D17613" s="27" t="s">
        <v>51</v>
      </c>
      <c r="E17613" s="27" t="s">
        <v>19</v>
      </c>
      <c r="F17613" s="29">
        <v>7242</v>
      </c>
      <c r="G17613" s="30">
        <v>0</v>
      </c>
    </row>
    <row r="17614" spans="1:7" hidden="1" x14ac:dyDescent="0.25">
      <c r="A17614" s="28">
        <v>44958</v>
      </c>
      <c r="B17614" s="27" t="s">
        <v>5</v>
      </c>
      <c r="C17614" s="27" t="s">
        <v>51</v>
      </c>
      <c r="D17614" s="27" t="s">
        <v>51</v>
      </c>
      <c r="E17614" s="27" t="s">
        <v>20</v>
      </c>
      <c r="F17614" s="29">
        <v>5508</v>
      </c>
      <c r="G17614" s="30">
        <v>0</v>
      </c>
    </row>
    <row r="17615" spans="1:7" hidden="1" x14ac:dyDescent="0.25">
      <c r="A17615" s="28">
        <v>44958</v>
      </c>
      <c r="B17615" s="27" t="s">
        <v>5</v>
      </c>
      <c r="C17615" s="27" t="s">
        <v>51</v>
      </c>
      <c r="D17615" s="27" t="s">
        <v>51</v>
      </c>
      <c r="E17615" s="27" t="s">
        <v>38</v>
      </c>
      <c r="F17615" s="29">
        <v>1295</v>
      </c>
      <c r="G17615" s="30">
        <v>0</v>
      </c>
    </row>
    <row r="17616" spans="1:7" hidden="1" x14ac:dyDescent="0.25">
      <c r="A17616" s="28">
        <v>44958</v>
      </c>
      <c r="B17616" s="27" t="s">
        <v>5</v>
      </c>
      <c r="C17616" s="27" t="s">
        <v>51</v>
      </c>
      <c r="D17616" s="27" t="s">
        <v>51</v>
      </c>
      <c r="E17616" s="27" t="s">
        <v>23</v>
      </c>
      <c r="F17616" s="29">
        <v>6964</v>
      </c>
      <c r="G17616" s="30">
        <v>0</v>
      </c>
    </row>
    <row r="17617" spans="1:7" hidden="1" x14ac:dyDescent="0.25">
      <c r="A17617" s="28">
        <v>44958</v>
      </c>
      <c r="B17617" s="27" t="s">
        <v>5</v>
      </c>
      <c r="C17617" s="27" t="s">
        <v>51</v>
      </c>
      <c r="D17617" s="27" t="s">
        <v>51</v>
      </c>
      <c r="E17617" s="27" t="s">
        <v>22</v>
      </c>
      <c r="F17617" s="29">
        <v>2625</v>
      </c>
      <c r="G17617" s="30">
        <v>0</v>
      </c>
    </row>
    <row r="17618" spans="1:7" hidden="1" x14ac:dyDescent="0.25">
      <c r="A17618" s="28">
        <v>44958</v>
      </c>
      <c r="B17618" s="27" t="s">
        <v>5</v>
      </c>
      <c r="C17618" s="27" t="s">
        <v>51</v>
      </c>
      <c r="D17618" s="27" t="s">
        <v>51</v>
      </c>
      <c r="E17618" s="27" t="s">
        <v>39</v>
      </c>
      <c r="F17618" s="29">
        <v>1618</v>
      </c>
      <c r="G17618" s="30">
        <v>0</v>
      </c>
    </row>
    <row r="17619" spans="1:7" hidden="1" x14ac:dyDescent="0.25">
      <c r="A17619" s="28">
        <v>44958</v>
      </c>
      <c r="B17619" s="27" t="s">
        <v>5</v>
      </c>
      <c r="C17619" s="27" t="s">
        <v>51</v>
      </c>
      <c r="D17619" s="27" t="s">
        <v>51</v>
      </c>
      <c r="E17619" s="27" t="s">
        <v>41</v>
      </c>
      <c r="F17619" s="29">
        <v>4100</v>
      </c>
      <c r="G17619" s="30">
        <v>0</v>
      </c>
    </row>
    <row r="17620" spans="1:7" hidden="1" x14ac:dyDescent="0.25">
      <c r="A17620" s="28">
        <v>44958</v>
      </c>
      <c r="B17620" s="27" t="s">
        <v>5</v>
      </c>
      <c r="C17620" s="27" t="s">
        <v>51</v>
      </c>
      <c r="D17620" s="27" t="s">
        <v>51</v>
      </c>
      <c r="E17620" s="27" t="s">
        <v>40</v>
      </c>
      <c r="F17620" s="29">
        <v>3599</v>
      </c>
      <c r="G17620" s="30">
        <v>0</v>
      </c>
    </row>
    <row r="17621" spans="1:7" hidden="1" x14ac:dyDescent="0.25">
      <c r="A17621" s="28">
        <v>44958</v>
      </c>
      <c r="B17621" s="27" t="s">
        <v>5</v>
      </c>
      <c r="C17621" s="27" t="s">
        <v>51</v>
      </c>
      <c r="D17621" s="27" t="s">
        <v>51</v>
      </c>
      <c r="E17621" s="27" t="s">
        <v>64</v>
      </c>
      <c r="F17621" s="29">
        <v>2659</v>
      </c>
      <c r="G17621" s="30">
        <v>0</v>
      </c>
    </row>
    <row r="17622" spans="1:7" hidden="1" x14ac:dyDescent="0.25">
      <c r="A17622" s="28">
        <v>44958</v>
      </c>
      <c r="B17622" s="27" t="s">
        <v>5</v>
      </c>
      <c r="C17622" s="27" t="s">
        <v>51</v>
      </c>
      <c r="D17622" s="27" t="s">
        <v>51</v>
      </c>
      <c r="E17622" s="27" t="s">
        <v>42</v>
      </c>
      <c r="F17622" s="29">
        <v>69</v>
      </c>
      <c r="G17622" s="30">
        <v>0</v>
      </c>
    </row>
    <row r="17623" spans="1:7" hidden="1" x14ac:dyDescent="0.25">
      <c r="A17623" s="28">
        <v>44958</v>
      </c>
      <c r="B17623" s="27" t="s">
        <v>5</v>
      </c>
      <c r="C17623" s="27" t="s">
        <v>51</v>
      </c>
      <c r="D17623" s="27" t="s">
        <v>51</v>
      </c>
      <c r="E17623" s="27" t="s">
        <v>72</v>
      </c>
      <c r="F17623" s="29">
        <v>5593</v>
      </c>
      <c r="G17623" s="30">
        <v>0</v>
      </c>
    </row>
    <row r="17624" spans="1:7" hidden="1" x14ac:dyDescent="0.25">
      <c r="A17624" s="28">
        <v>44958</v>
      </c>
      <c r="B17624" s="27" t="s">
        <v>5</v>
      </c>
      <c r="C17624" s="27" t="s">
        <v>51</v>
      </c>
      <c r="D17624" s="27" t="s">
        <v>51</v>
      </c>
      <c r="E17624" s="27" t="s">
        <v>43</v>
      </c>
      <c r="F17624" s="29">
        <f>5095+178</f>
        <v>5273</v>
      </c>
      <c r="G17624" s="30">
        <v>0</v>
      </c>
    </row>
    <row r="17625" spans="1:7" hidden="1" x14ac:dyDescent="0.25">
      <c r="A17625" s="28">
        <v>44958</v>
      </c>
      <c r="B17625" s="27" t="s">
        <v>5</v>
      </c>
      <c r="C17625" s="27" t="s">
        <v>51</v>
      </c>
      <c r="D17625" s="27" t="s">
        <v>51</v>
      </c>
      <c r="E17625" s="27" t="s">
        <v>206</v>
      </c>
      <c r="F17625" s="29">
        <v>8544</v>
      </c>
      <c r="G17625" s="30">
        <v>0</v>
      </c>
    </row>
    <row r="17626" spans="1:7" hidden="1" x14ac:dyDescent="0.25">
      <c r="A17626" s="28">
        <v>44958</v>
      </c>
      <c r="B17626" s="27" t="s">
        <v>5</v>
      </c>
      <c r="C17626" s="27" t="s">
        <v>51</v>
      </c>
      <c r="D17626" s="27" t="s">
        <v>51</v>
      </c>
      <c r="E17626" s="27" t="s">
        <v>68</v>
      </c>
      <c r="F17626" s="29">
        <v>7418</v>
      </c>
      <c r="G17626" s="30">
        <v>0</v>
      </c>
    </row>
    <row r="17627" spans="1:7" hidden="1" x14ac:dyDescent="0.25">
      <c r="A17627" s="28">
        <v>44958</v>
      </c>
      <c r="B17627" s="27" t="s">
        <v>5</v>
      </c>
      <c r="C17627" s="27" t="s">
        <v>51</v>
      </c>
      <c r="D17627" s="27" t="s">
        <v>51</v>
      </c>
      <c r="E17627" s="27" t="s">
        <v>74</v>
      </c>
      <c r="F17627" s="29">
        <v>7402</v>
      </c>
      <c r="G17627" s="30">
        <v>0</v>
      </c>
    </row>
    <row r="17628" spans="1:7" hidden="1" x14ac:dyDescent="0.25">
      <c r="A17628" s="28">
        <v>44958</v>
      </c>
      <c r="B17628" s="27" t="s">
        <v>5</v>
      </c>
      <c r="C17628" s="27" t="s">
        <v>51</v>
      </c>
      <c r="D17628" s="27" t="s">
        <v>51</v>
      </c>
      <c r="E17628" s="27" t="s">
        <v>67</v>
      </c>
      <c r="F17628" s="29">
        <v>3614</v>
      </c>
      <c r="G17628" s="30">
        <v>0</v>
      </c>
    </row>
    <row r="17629" spans="1:7" hidden="1" x14ac:dyDescent="0.25">
      <c r="A17629" s="28">
        <v>44958</v>
      </c>
      <c r="B17629" s="27" t="s">
        <v>5</v>
      </c>
      <c r="C17629" s="27" t="s">
        <v>51</v>
      </c>
      <c r="D17629" s="27" t="s">
        <v>51</v>
      </c>
      <c r="E17629" s="27" t="s">
        <v>71</v>
      </c>
      <c r="F17629" s="29">
        <v>6482</v>
      </c>
      <c r="G17629" s="30">
        <v>0</v>
      </c>
    </row>
    <row r="17630" spans="1:7" hidden="1" x14ac:dyDescent="0.25">
      <c r="A17630" s="28">
        <v>44958</v>
      </c>
      <c r="B17630" s="27" t="s">
        <v>5</v>
      </c>
      <c r="C17630" s="27" t="s">
        <v>51</v>
      </c>
      <c r="D17630" s="27" t="s">
        <v>51</v>
      </c>
      <c r="E17630" s="27" t="s">
        <v>73</v>
      </c>
      <c r="F17630" s="29">
        <v>2798</v>
      </c>
      <c r="G17630" s="30">
        <v>0</v>
      </c>
    </row>
    <row r="17631" spans="1:7" hidden="1" x14ac:dyDescent="0.25">
      <c r="A17631" s="28">
        <v>44958</v>
      </c>
      <c r="B17631" s="27" t="s">
        <v>5</v>
      </c>
      <c r="C17631" s="27" t="s">
        <v>51</v>
      </c>
      <c r="D17631" s="27" t="s">
        <v>51</v>
      </c>
      <c r="E17631" s="27" t="s">
        <v>70</v>
      </c>
      <c r="F17631" s="29">
        <v>7348</v>
      </c>
      <c r="G17631" s="30">
        <v>0</v>
      </c>
    </row>
    <row r="17632" spans="1:7" hidden="1" x14ac:dyDescent="0.25">
      <c r="A17632" s="28">
        <v>44958</v>
      </c>
      <c r="B17632" s="27" t="s">
        <v>5</v>
      </c>
      <c r="C17632" s="27" t="s">
        <v>51</v>
      </c>
      <c r="D17632" s="27" t="s">
        <v>51</v>
      </c>
      <c r="E17632" s="27" t="s">
        <v>203</v>
      </c>
      <c r="F17632" s="29">
        <v>3511</v>
      </c>
      <c r="G17632" s="30">
        <v>0</v>
      </c>
    </row>
    <row r="17633" spans="1:7" hidden="1" x14ac:dyDescent="0.25">
      <c r="A17633" s="28">
        <v>44958</v>
      </c>
      <c r="B17633" s="27" t="s">
        <v>180</v>
      </c>
      <c r="C17633" s="27" t="s">
        <v>50</v>
      </c>
      <c r="D17633" s="27" t="s">
        <v>7</v>
      </c>
      <c r="E17633" s="27" t="s">
        <v>68</v>
      </c>
      <c r="F17633" s="29"/>
      <c r="G17633" s="30">
        <f>1380+1189.04</f>
        <v>2569.04</v>
      </c>
    </row>
    <row r="17634" spans="1:7" hidden="1" x14ac:dyDescent="0.25">
      <c r="A17634" s="28">
        <v>44958</v>
      </c>
      <c r="B17634" s="27" t="s">
        <v>180</v>
      </c>
      <c r="C17634" s="27" t="s">
        <v>50</v>
      </c>
      <c r="D17634" s="27" t="s">
        <v>7</v>
      </c>
      <c r="E17634" s="27" t="s">
        <v>8</v>
      </c>
      <c r="F17634" s="29"/>
      <c r="G17634" s="30">
        <f>2130+1189.04</f>
        <v>3319.04</v>
      </c>
    </row>
    <row r="17635" spans="1:7" hidden="1" x14ac:dyDescent="0.25">
      <c r="A17635" s="28">
        <v>44958</v>
      </c>
      <c r="B17635" s="27" t="s">
        <v>180</v>
      </c>
      <c r="C17635" s="27" t="s">
        <v>50</v>
      </c>
      <c r="D17635" s="27" t="s">
        <v>7</v>
      </c>
      <c r="E17635" s="27" t="s">
        <v>9</v>
      </c>
      <c r="F17635" s="29"/>
      <c r="G17635" s="30">
        <f>956+1189.04</f>
        <v>2145.04</v>
      </c>
    </row>
    <row r="17636" spans="1:7" hidden="1" x14ac:dyDescent="0.25">
      <c r="A17636" s="28">
        <v>44958</v>
      </c>
      <c r="B17636" s="27" t="s">
        <v>180</v>
      </c>
      <c r="C17636" s="27" t="s">
        <v>50</v>
      </c>
      <c r="D17636" s="27" t="s">
        <v>7</v>
      </c>
      <c r="E17636" s="27" t="s">
        <v>39</v>
      </c>
      <c r="F17636" s="29"/>
      <c r="G17636" s="30">
        <f>400+1189.04</f>
        <v>1589.04</v>
      </c>
    </row>
    <row r="17637" spans="1:7" hidden="1" x14ac:dyDescent="0.25">
      <c r="A17637" s="28">
        <v>44958</v>
      </c>
      <c r="B17637" s="27" t="s">
        <v>180</v>
      </c>
      <c r="C17637" s="27" t="s">
        <v>50</v>
      </c>
      <c r="D17637" s="27" t="s">
        <v>7</v>
      </c>
      <c r="E17637" s="27" t="s">
        <v>64</v>
      </c>
      <c r="F17637" s="29"/>
      <c r="G17637" s="30">
        <f>808+1189.04</f>
        <v>1997.04</v>
      </c>
    </row>
    <row r="17638" spans="1:7" hidden="1" x14ac:dyDescent="0.25">
      <c r="A17638" s="28">
        <v>44958</v>
      </c>
      <c r="B17638" s="27" t="s">
        <v>180</v>
      </c>
      <c r="C17638" s="27" t="s">
        <v>50</v>
      </c>
      <c r="D17638" s="27" t="s">
        <v>7</v>
      </c>
      <c r="E17638" s="27" t="s">
        <v>21</v>
      </c>
      <c r="F17638" s="29"/>
      <c r="G17638" s="30">
        <f>1122+1189.04</f>
        <v>2311.04</v>
      </c>
    </row>
    <row r="17639" spans="1:7" hidden="1" x14ac:dyDescent="0.25">
      <c r="A17639" s="28">
        <v>44958</v>
      </c>
      <c r="B17639" s="27" t="s">
        <v>180</v>
      </c>
      <c r="C17639" s="27" t="s">
        <v>50</v>
      </c>
      <c r="D17639" s="27" t="s">
        <v>7</v>
      </c>
      <c r="E17639" s="27" t="s">
        <v>41</v>
      </c>
      <c r="F17639" s="29"/>
      <c r="G17639" s="30">
        <f>3390+1189.04</f>
        <v>4579.04</v>
      </c>
    </row>
    <row r="17640" spans="1:7" hidden="1" x14ac:dyDescent="0.25">
      <c r="A17640" s="28">
        <v>44958</v>
      </c>
      <c r="B17640" s="27" t="s">
        <v>180</v>
      </c>
      <c r="C17640" s="27" t="s">
        <v>50</v>
      </c>
      <c r="D17640" s="27" t="s">
        <v>7</v>
      </c>
      <c r="E17640" s="27" t="s">
        <v>206</v>
      </c>
      <c r="F17640" s="29"/>
      <c r="G17640" s="30">
        <f>1000+1189.04</f>
        <v>2189.04</v>
      </c>
    </row>
    <row r="17641" spans="1:7" hidden="1" x14ac:dyDescent="0.25">
      <c r="A17641" s="28">
        <v>44958</v>
      </c>
      <c r="B17641" s="27" t="s">
        <v>180</v>
      </c>
      <c r="C17641" s="27" t="s">
        <v>50</v>
      </c>
      <c r="D17641" s="27" t="s">
        <v>7</v>
      </c>
      <c r="E17641" s="27" t="s">
        <v>13</v>
      </c>
      <c r="F17641" s="29"/>
      <c r="G17641" s="30">
        <f>639+1189.04</f>
        <v>1828.04</v>
      </c>
    </row>
    <row r="17642" spans="1:7" hidden="1" x14ac:dyDescent="0.25">
      <c r="A17642" s="28">
        <v>44958</v>
      </c>
      <c r="B17642" s="27" t="s">
        <v>180</v>
      </c>
      <c r="C17642" s="27" t="s">
        <v>50</v>
      </c>
      <c r="D17642" s="27" t="s">
        <v>7</v>
      </c>
      <c r="E17642" s="27" t="s">
        <v>17</v>
      </c>
      <c r="F17642" s="29"/>
      <c r="G17642" s="30">
        <f>1159+1189.04</f>
        <v>2348.04</v>
      </c>
    </row>
    <row r="17643" spans="1:7" hidden="1" x14ac:dyDescent="0.25">
      <c r="A17643" s="28">
        <v>44958</v>
      </c>
      <c r="B17643" s="27" t="s">
        <v>180</v>
      </c>
      <c r="C17643" s="27" t="s">
        <v>50</v>
      </c>
      <c r="D17643" s="27" t="s">
        <v>7</v>
      </c>
      <c r="E17643" s="27" t="s">
        <v>19</v>
      </c>
      <c r="F17643" s="29"/>
      <c r="G17643" s="30">
        <f>3191+1189.04</f>
        <v>4380.04</v>
      </c>
    </row>
    <row r="17644" spans="1:7" hidden="1" x14ac:dyDescent="0.25">
      <c r="A17644" s="28">
        <v>44958</v>
      </c>
      <c r="B17644" s="27" t="s">
        <v>180</v>
      </c>
      <c r="C17644" s="27" t="s">
        <v>50</v>
      </c>
      <c r="D17644" s="27" t="s">
        <v>7</v>
      </c>
      <c r="E17644" s="27" t="s">
        <v>70</v>
      </c>
      <c r="F17644" s="29"/>
      <c r="G17644" s="30">
        <f>150+1189.04+200</f>
        <v>1539.04</v>
      </c>
    </row>
    <row r="17645" spans="1:7" hidden="1" x14ac:dyDescent="0.25">
      <c r="A17645" s="28">
        <v>44958</v>
      </c>
      <c r="B17645" s="27" t="s">
        <v>181</v>
      </c>
      <c r="C17645" s="27" t="s">
        <v>50</v>
      </c>
      <c r="D17645" s="27" t="s">
        <v>6</v>
      </c>
      <c r="E17645" s="27" t="s">
        <v>68</v>
      </c>
      <c r="F17645" s="29"/>
      <c r="G17645" s="30">
        <f>735+352.27</f>
        <v>1087.27</v>
      </c>
    </row>
    <row r="17646" spans="1:7" hidden="1" x14ac:dyDescent="0.25">
      <c r="A17646" s="28">
        <v>44958</v>
      </c>
      <c r="B17646" s="27" t="s">
        <v>181</v>
      </c>
      <c r="C17646" s="27" t="s">
        <v>50</v>
      </c>
      <c r="D17646" s="27" t="s">
        <v>6</v>
      </c>
      <c r="E17646" s="27" t="s">
        <v>72</v>
      </c>
      <c r="F17646" s="29"/>
      <c r="G17646" s="30">
        <f>180+352.27</f>
        <v>532.27</v>
      </c>
    </row>
    <row r="17647" spans="1:7" hidden="1" x14ac:dyDescent="0.25">
      <c r="A17647" s="28">
        <v>44958</v>
      </c>
      <c r="B17647" s="27" t="s">
        <v>181</v>
      </c>
      <c r="C17647" s="27" t="s">
        <v>50</v>
      </c>
      <c r="D17647" s="27" t="s">
        <v>6</v>
      </c>
      <c r="E17647" s="27" t="s">
        <v>64</v>
      </c>
      <c r="F17647" s="29"/>
      <c r="G17647" s="30">
        <f>320+352.27</f>
        <v>672.27</v>
      </c>
    </row>
    <row r="17648" spans="1:7" hidden="1" x14ac:dyDescent="0.25">
      <c r="A17648" s="28">
        <v>44958</v>
      </c>
      <c r="B17648" s="27" t="s">
        <v>181</v>
      </c>
      <c r="C17648" s="27" t="s">
        <v>50</v>
      </c>
      <c r="D17648" s="27" t="s">
        <v>6</v>
      </c>
      <c r="E17648" s="27" t="s">
        <v>206</v>
      </c>
      <c r="F17648" s="29"/>
      <c r="G17648" s="30">
        <f>1260+352.27</f>
        <v>1612.27</v>
      </c>
    </row>
    <row r="17649" spans="1:7" hidden="1" x14ac:dyDescent="0.25">
      <c r="A17649" s="28">
        <v>44958</v>
      </c>
      <c r="B17649" s="27" t="s">
        <v>181</v>
      </c>
      <c r="C17649" s="27" t="s">
        <v>50</v>
      </c>
      <c r="D17649" s="27" t="s">
        <v>6</v>
      </c>
      <c r="E17649" s="27" t="s">
        <v>13</v>
      </c>
      <c r="F17649" s="29"/>
      <c r="G17649" s="30">
        <f>90+352.27</f>
        <v>442.27</v>
      </c>
    </row>
    <row r="17650" spans="1:7" hidden="1" x14ac:dyDescent="0.25">
      <c r="A17650" s="28">
        <v>44958</v>
      </c>
      <c r="B17650" s="27" t="s">
        <v>181</v>
      </c>
      <c r="C17650" s="27" t="s">
        <v>50</v>
      </c>
      <c r="D17650" s="27" t="s">
        <v>6</v>
      </c>
      <c r="E17650" s="27" t="s">
        <v>23</v>
      </c>
      <c r="F17650" s="29"/>
      <c r="G17650" s="30">
        <f>1124+352.27</f>
        <v>1476.27</v>
      </c>
    </row>
    <row r="17651" spans="1:7" hidden="1" x14ac:dyDescent="0.25">
      <c r="A17651" s="28">
        <v>44958</v>
      </c>
      <c r="B17651" s="27" t="s">
        <v>36</v>
      </c>
      <c r="C17651" s="27" t="s">
        <v>50</v>
      </c>
      <c r="D17651" s="27" t="s">
        <v>6</v>
      </c>
      <c r="E17651" s="27" t="s">
        <v>8</v>
      </c>
      <c r="F17651" s="29"/>
      <c r="G17651" s="30">
        <f t="shared" ref="G17651:G17682" si="309">15618.59/32</f>
        <v>488.0809375</v>
      </c>
    </row>
    <row r="17652" spans="1:7" hidden="1" x14ac:dyDescent="0.25">
      <c r="A17652" s="28">
        <v>44958</v>
      </c>
      <c r="B17652" s="27" t="s">
        <v>36</v>
      </c>
      <c r="C17652" s="27" t="s">
        <v>50</v>
      </c>
      <c r="D17652" s="27" t="s">
        <v>6</v>
      </c>
      <c r="E17652" s="27" t="s">
        <v>9</v>
      </c>
      <c r="F17652" s="29"/>
      <c r="G17652" s="30">
        <f t="shared" si="309"/>
        <v>488.0809375</v>
      </c>
    </row>
    <row r="17653" spans="1:7" hidden="1" x14ac:dyDescent="0.25">
      <c r="A17653" s="28">
        <v>44958</v>
      </c>
      <c r="B17653" s="27" t="s">
        <v>36</v>
      </c>
      <c r="C17653" s="27" t="s">
        <v>50</v>
      </c>
      <c r="D17653" s="27" t="s">
        <v>6</v>
      </c>
      <c r="E17653" s="27" t="s">
        <v>21</v>
      </c>
      <c r="F17653" s="29"/>
      <c r="G17653" s="30">
        <f t="shared" si="309"/>
        <v>488.0809375</v>
      </c>
    </row>
    <row r="17654" spans="1:7" hidden="1" x14ac:dyDescent="0.25">
      <c r="A17654" s="28">
        <v>44958</v>
      </c>
      <c r="B17654" s="27" t="s">
        <v>36</v>
      </c>
      <c r="C17654" s="27" t="s">
        <v>50</v>
      </c>
      <c r="D17654" s="27" t="s">
        <v>6</v>
      </c>
      <c r="E17654" s="27" t="s">
        <v>10</v>
      </c>
      <c r="F17654" s="29"/>
      <c r="G17654" s="30">
        <f t="shared" si="309"/>
        <v>488.0809375</v>
      </c>
    </row>
    <row r="17655" spans="1:7" hidden="1" x14ac:dyDescent="0.25">
      <c r="A17655" s="28">
        <v>44958</v>
      </c>
      <c r="B17655" s="27" t="s">
        <v>36</v>
      </c>
      <c r="C17655" s="27" t="s">
        <v>50</v>
      </c>
      <c r="D17655" s="27" t="s">
        <v>6</v>
      </c>
      <c r="E17655" s="27" t="s">
        <v>11</v>
      </c>
      <c r="F17655" s="29"/>
      <c r="G17655" s="30">
        <f t="shared" si="309"/>
        <v>488.0809375</v>
      </c>
    </row>
    <row r="17656" spans="1:7" hidden="1" x14ac:dyDescent="0.25">
      <c r="A17656" s="28">
        <v>44958</v>
      </c>
      <c r="B17656" s="27" t="s">
        <v>36</v>
      </c>
      <c r="C17656" s="27" t="s">
        <v>50</v>
      </c>
      <c r="D17656" s="27" t="s">
        <v>6</v>
      </c>
      <c r="E17656" s="27" t="s">
        <v>12</v>
      </c>
      <c r="F17656" s="29"/>
      <c r="G17656" s="30">
        <f t="shared" si="309"/>
        <v>488.0809375</v>
      </c>
    </row>
    <row r="17657" spans="1:7" hidden="1" x14ac:dyDescent="0.25">
      <c r="A17657" s="28">
        <v>44958</v>
      </c>
      <c r="B17657" s="27" t="s">
        <v>36</v>
      </c>
      <c r="C17657" s="27" t="s">
        <v>50</v>
      </c>
      <c r="D17657" s="27" t="s">
        <v>6</v>
      </c>
      <c r="E17657" s="27" t="s">
        <v>13</v>
      </c>
      <c r="F17657" s="29"/>
      <c r="G17657" s="30">
        <f t="shared" si="309"/>
        <v>488.0809375</v>
      </c>
    </row>
    <row r="17658" spans="1:7" hidden="1" x14ac:dyDescent="0.25">
      <c r="A17658" s="28">
        <v>44958</v>
      </c>
      <c r="B17658" s="27" t="s">
        <v>36</v>
      </c>
      <c r="C17658" s="27" t="s">
        <v>50</v>
      </c>
      <c r="D17658" s="27" t="s">
        <v>6</v>
      </c>
      <c r="E17658" s="27" t="s">
        <v>14</v>
      </c>
      <c r="F17658" s="29"/>
      <c r="G17658" s="30">
        <f t="shared" si="309"/>
        <v>488.0809375</v>
      </c>
    </row>
    <row r="17659" spans="1:7" hidden="1" x14ac:dyDescent="0.25">
      <c r="A17659" s="28">
        <v>44958</v>
      </c>
      <c r="B17659" s="27" t="s">
        <v>36</v>
      </c>
      <c r="C17659" s="27" t="s">
        <v>50</v>
      </c>
      <c r="D17659" s="27" t="s">
        <v>6</v>
      </c>
      <c r="E17659" s="27" t="s">
        <v>15</v>
      </c>
      <c r="F17659" s="29"/>
      <c r="G17659" s="30">
        <f t="shared" si="309"/>
        <v>488.0809375</v>
      </c>
    </row>
    <row r="17660" spans="1:7" hidden="1" x14ac:dyDescent="0.25">
      <c r="A17660" s="28">
        <v>44958</v>
      </c>
      <c r="B17660" s="27" t="s">
        <v>36</v>
      </c>
      <c r="C17660" s="27" t="s">
        <v>50</v>
      </c>
      <c r="D17660" s="27" t="s">
        <v>6</v>
      </c>
      <c r="E17660" s="27" t="s">
        <v>16</v>
      </c>
      <c r="F17660" s="29"/>
      <c r="G17660" s="30">
        <f t="shared" si="309"/>
        <v>488.0809375</v>
      </c>
    </row>
    <row r="17661" spans="1:7" hidden="1" x14ac:dyDescent="0.25">
      <c r="A17661" s="28">
        <v>44958</v>
      </c>
      <c r="B17661" s="27" t="s">
        <v>36</v>
      </c>
      <c r="C17661" s="27" t="s">
        <v>50</v>
      </c>
      <c r="D17661" s="27" t="s">
        <v>6</v>
      </c>
      <c r="E17661" s="27" t="s">
        <v>17</v>
      </c>
      <c r="F17661" s="29"/>
      <c r="G17661" s="30">
        <f t="shared" si="309"/>
        <v>488.0809375</v>
      </c>
    </row>
    <row r="17662" spans="1:7" hidden="1" x14ac:dyDescent="0.25">
      <c r="A17662" s="28">
        <v>44958</v>
      </c>
      <c r="B17662" s="27" t="s">
        <v>36</v>
      </c>
      <c r="C17662" s="27" t="s">
        <v>50</v>
      </c>
      <c r="D17662" s="27" t="s">
        <v>6</v>
      </c>
      <c r="E17662" s="27" t="s">
        <v>18</v>
      </c>
      <c r="F17662" s="29"/>
      <c r="G17662" s="30">
        <f t="shared" si="309"/>
        <v>488.0809375</v>
      </c>
    </row>
    <row r="17663" spans="1:7" hidden="1" x14ac:dyDescent="0.25">
      <c r="A17663" s="28">
        <v>44958</v>
      </c>
      <c r="B17663" s="27" t="s">
        <v>36</v>
      </c>
      <c r="C17663" s="27" t="s">
        <v>50</v>
      </c>
      <c r="D17663" s="27" t="s">
        <v>6</v>
      </c>
      <c r="E17663" s="27" t="s">
        <v>19</v>
      </c>
      <c r="F17663" s="29"/>
      <c r="G17663" s="30">
        <f t="shared" si="309"/>
        <v>488.0809375</v>
      </c>
    </row>
    <row r="17664" spans="1:7" hidden="1" x14ac:dyDescent="0.25">
      <c r="A17664" s="28">
        <v>44958</v>
      </c>
      <c r="B17664" s="27" t="s">
        <v>36</v>
      </c>
      <c r="C17664" s="27" t="s">
        <v>50</v>
      </c>
      <c r="D17664" s="27" t="s">
        <v>6</v>
      </c>
      <c r="E17664" s="27" t="s">
        <v>20</v>
      </c>
      <c r="F17664" s="29"/>
      <c r="G17664" s="30">
        <f t="shared" si="309"/>
        <v>488.0809375</v>
      </c>
    </row>
    <row r="17665" spans="1:7" hidden="1" x14ac:dyDescent="0.25">
      <c r="A17665" s="28">
        <v>44958</v>
      </c>
      <c r="B17665" s="27" t="s">
        <v>36</v>
      </c>
      <c r="C17665" s="27" t="s">
        <v>50</v>
      </c>
      <c r="D17665" s="27" t="s">
        <v>6</v>
      </c>
      <c r="E17665" s="27" t="s">
        <v>38</v>
      </c>
      <c r="F17665" s="29"/>
      <c r="G17665" s="30">
        <f t="shared" si="309"/>
        <v>488.0809375</v>
      </c>
    </row>
    <row r="17666" spans="1:7" hidden="1" x14ac:dyDescent="0.25">
      <c r="A17666" s="28">
        <v>44958</v>
      </c>
      <c r="B17666" s="27" t="s">
        <v>36</v>
      </c>
      <c r="C17666" s="27" t="s">
        <v>50</v>
      </c>
      <c r="D17666" s="27" t="s">
        <v>6</v>
      </c>
      <c r="E17666" s="27" t="s">
        <v>23</v>
      </c>
      <c r="F17666" s="29"/>
      <c r="G17666" s="30">
        <f t="shared" si="309"/>
        <v>488.0809375</v>
      </c>
    </row>
    <row r="17667" spans="1:7" hidden="1" x14ac:dyDescent="0.25">
      <c r="A17667" s="28">
        <v>44958</v>
      </c>
      <c r="B17667" s="27" t="s">
        <v>36</v>
      </c>
      <c r="C17667" s="27" t="s">
        <v>50</v>
      </c>
      <c r="D17667" s="27" t="s">
        <v>6</v>
      </c>
      <c r="E17667" s="27" t="s">
        <v>22</v>
      </c>
      <c r="F17667" s="29"/>
      <c r="G17667" s="30">
        <f t="shared" si="309"/>
        <v>488.0809375</v>
      </c>
    </row>
    <row r="17668" spans="1:7" hidden="1" x14ac:dyDescent="0.25">
      <c r="A17668" s="28">
        <v>44958</v>
      </c>
      <c r="B17668" s="27" t="s">
        <v>36</v>
      </c>
      <c r="C17668" s="27" t="s">
        <v>50</v>
      </c>
      <c r="D17668" s="27" t="s">
        <v>6</v>
      </c>
      <c r="E17668" s="27" t="s">
        <v>39</v>
      </c>
      <c r="F17668" s="29"/>
      <c r="G17668" s="30">
        <f t="shared" si="309"/>
        <v>488.0809375</v>
      </c>
    </row>
    <row r="17669" spans="1:7" hidden="1" x14ac:dyDescent="0.25">
      <c r="A17669" s="28">
        <v>44958</v>
      </c>
      <c r="B17669" s="27" t="s">
        <v>36</v>
      </c>
      <c r="C17669" s="27" t="s">
        <v>50</v>
      </c>
      <c r="D17669" s="27" t="s">
        <v>6</v>
      </c>
      <c r="E17669" s="27" t="s">
        <v>41</v>
      </c>
      <c r="F17669" s="29"/>
      <c r="G17669" s="30">
        <f t="shared" si="309"/>
        <v>488.0809375</v>
      </c>
    </row>
    <row r="17670" spans="1:7" hidden="1" x14ac:dyDescent="0.25">
      <c r="A17670" s="28">
        <v>44958</v>
      </c>
      <c r="B17670" s="27" t="s">
        <v>36</v>
      </c>
      <c r="C17670" s="27" t="s">
        <v>50</v>
      </c>
      <c r="D17670" s="27" t="s">
        <v>6</v>
      </c>
      <c r="E17670" s="27" t="s">
        <v>40</v>
      </c>
      <c r="F17670" s="29"/>
      <c r="G17670" s="30">
        <f t="shared" si="309"/>
        <v>488.0809375</v>
      </c>
    </row>
    <row r="17671" spans="1:7" hidden="1" x14ac:dyDescent="0.25">
      <c r="A17671" s="28">
        <v>44958</v>
      </c>
      <c r="B17671" s="27" t="s">
        <v>36</v>
      </c>
      <c r="C17671" s="27" t="s">
        <v>50</v>
      </c>
      <c r="D17671" s="27" t="s">
        <v>6</v>
      </c>
      <c r="E17671" s="27" t="s">
        <v>64</v>
      </c>
      <c r="F17671" s="29"/>
      <c r="G17671" s="30">
        <f t="shared" si="309"/>
        <v>488.0809375</v>
      </c>
    </row>
    <row r="17672" spans="1:7" hidden="1" x14ac:dyDescent="0.25">
      <c r="A17672" s="28">
        <v>44958</v>
      </c>
      <c r="B17672" s="27" t="s">
        <v>36</v>
      </c>
      <c r="C17672" s="27" t="s">
        <v>50</v>
      </c>
      <c r="D17672" s="27" t="s">
        <v>6</v>
      </c>
      <c r="E17672" s="27" t="s">
        <v>42</v>
      </c>
      <c r="F17672" s="29"/>
      <c r="G17672" s="30">
        <f t="shared" si="309"/>
        <v>488.0809375</v>
      </c>
    </row>
    <row r="17673" spans="1:7" hidden="1" x14ac:dyDescent="0.25">
      <c r="A17673" s="28">
        <v>44958</v>
      </c>
      <c r="B17673" s="27" t="s">
        <v>36</v>
      </c>
      <c r="C17673" s="27" t="s">
        <v>50</v>
      </c>
      <c r="D17673" s="27" t="s">
        <v>6</v>
      </c>
      <c r="E17673" s="27" t="s">
        <v>72</v>
      </c>
      <c r="F17673" s="29"/>
      <c r="G17673" s="30">
        <f t="shared" si="309"/>
        <v>488.0809375</v>
      </c>
    </row>
    <row r="17674" spans="1:7" hidden="1" x14ac:dyDescent="0.25">
      <c r="A17674" s="28">
        <v>44958</v>
      </c>
      <c r="B17674" s="27" t="s">
        <v>36</v>
      </c>
      <c r="C17674" s="27" t="s">
        <v>50</v>
      </c>
      <c r="D17674" s="27" t="s">
        <v>6</v>
      </c>
      <c r="E17674" s="27" t="s">
        <v>43</v>
      </c>
      <c r="F17674" s="29"/>
      <c r="G17674" s="30">
        <f t="shared" si="309"/>
        <v>488.0809375</v>
      </c>
    </row>
    <row r="17675" spans="1:7" hidden="1" x14ac:dyDescent="0.25">
      <c r="A17675" s="28">
        <v>44958</v>
      </c>
      <c r="B17675" s="27" t="s">
        <v>36</v>
      </c>
      <c r="C17675" s="27" t="s">
        <v>50</v>
      </c>
      <c r="D17675" s="27" t="s">
        <v>6</v>
      </c>
      <c r="E17675" s="27" t="s">
        <v>206</v>
      </c>
      <c r="F17675" s="29"/>
      <c r="G17675" s="30">
        <f t="shared" si="309"/>
        <v>488.0809375</v>
      </c>
    </row>
    <row r="17676" spans="1:7" hidden="1" x14ac:dyDescent="0.25">
      <c r="A17676" s="28">
        <v>44958</v>
      </c>
      <c r="B17676" s="27" t="s">
        <v>36</v>
      </c>
      <c r="C17676" s="27" t="s">
        <v>50</v>
      </c>
      <c r="D17676" s="27" t="s">
        <v>6</v>
      </c>
      <c r="E17676" s="27" t="s">
        <v>68</v>
      </c>
      <c r="F17676" s="29"/>
      <c r="G17676" s="30">
        <f t="shared" si="309"/>
        <v>488.0809375</v>
      </c>
    </row>
    <row r="17677" spans="1:7" hidden="1" x14ac:dyDescent="0.25">
      <c r="A17677" s="28">
        <v>44958</v>
      </c>
      <c r="B17677" s="27" t="s">
        <v>36</v>
      </c>
      <c r="C17677" s="27" t="s">
        <v>50</v>
      </c>
      <c r="D17677" s="27" t="s">
        <v>6</v>
      </c>
      <c r="E17677" s="27" t="s">
        <v>74</v>
      </c>
      <c r="F17677" s="29"/>
      <c r="G17677" s="30">
        <f t="shared" si="309"/>
        <v>488.0809375</v>
      </c>
    </row>
    <row r="17678" spans="1:7" hidden="1" x14ac:dyDescent="0.25">
      <c r="A17678" s="28">
        <v>44958</v>
      </c>
      <c r="B17678" s="27" t="s">
        <v>36</v>
      </c>
      <c r="C17678" s="27" t="s">
        <v>50</v>
      </c>
      <c r="D17678" s="27" t="s">
        <v>6</v>
      </c>
      <c r="E17678" s="27" t="s">
        <v>67</v>
      </c>
      <c r="F17678" s="29"/>
      <c r="G17678" s="30">
        <f t="shared" si="309"/>
        <v>488.0809375</v>
      </c>
    </row>
    <row r="17679" spans="1:7" hidden="1" x14ac:dyDescent="0.25">
      <c r="A17679" s="28">
        <v>44958</v>
      </c>
      <c r="B17679" s="27" t="s">
        <v>36</v>
      </c>
      <c r="C17679" s="27" t="s">
        <v>50</v>
      </c>
      <c r="D17679" s="27" t="s">
        <v>6</v>
      </c>
      <c r="E17679" s="27" t="s">
        <v>71</v>
      </c>
      <c r="F17679" s="29"/>
      <c r="G17679" s="30">
        <f t="shared" si="309"/>
        <v>488.0809375</v>
      </c>
    </row>
    <row r="17680" spans="1:7" hidden="1" x14ac:dyDescent="0.25">
      <c r="A17680" s="28">
        <v>44958</v>
      </c>
      <c r="B17680" s="27" t="s">
        <v>36</v>
      </c>
      <c r="C17680" s="27" t="s">
        <v>50</v>
      </c>
      <c r="D17680" s="27" t="s">
        <v>6</v>
      </c>
      <c r="E17680" s="27" t="s">
        <v>73</v>
      </c>
      <c r="F17680" s="29"/>
      <c r="G17680" s="30">
        <f t="shared" si="309"/>
        <v>488.0809375</v>
      </c>
    </row>
    <row r="17681" spans="1:7" hidden="1" x14ac:dyDescent="0.25">
      <c r="A17681" s="28">
        <v>44958</v>
      </c>
      <c r="B17681" s="27" t="s">
        <v>36</v>
      </c>
      <c r="C17681" s="27" t="s">
        <v>50</v>
      </c>
      <c r="D17681" s="27" t="s">
        <v>6</v>
      </c>
      <c r="E17681" s="27" t="s">
        <v>70</v>
      </c>
      <c r="F17681" s="29"/>
      <c r="G17681" s="30">
        <f t="shared" si="309"/>
        <v>488.0809375</v>
      </c>
    </row>
    <row r="17682" spans="1:7" hidden="1" x14ac:dyDescent="0.25">
      <c r="A17682" s="28">
        <v>44958</v>
      </c>
      <c r="B17682" s="27" t="s">
        <v>36</v>
      </c>
      <c r="C17682" s="27" t="s">
        <v>50</v>
      </c>
      <c r="D17682" s="27" t="s">
        <v>6</v>
      </c>
      <c r="E17682" s="27" t="s">
        <v>203</v>
      </c>
      <c r="F17682" s="29"/>
      <c r="G17682" s="30">
        <f t="shared" si="309"/>
        <v>488.0809375</v>
      </c>
    </row>
    <row r="17683" spans="1:7" hidden="1" x14ac:dyDescent="0.25">
      <c r="A17683" s="28">
        <v>44958</v>
      </c>
      <c r="B17683" s="27" t="s">
        <v>200</v>
      </c>
      <c r="C17683" s="27" t="s">
        <v>53</v>
      </c>
      <c r="D17683" s="27" t="s">
        <v>6</v>
      </c>
      <c r="E17683" s="27" t="s">
        <v>8</v>
      </c>
      <c r="F17683" s="29"/>
      <c r="G17683" s="30">
        <f t="shared" ref="G17683:G17714" si="310">8781.1222/32</f>
        <v>274.41006874999999</v>
      </c>
    </row>
    <row r="17684" spans="1:7" hidden="1" x14ac:dyDescent="0.25">
      <c r="A17684" s="28">
        <v>44958</v>
      </c>
      <c r="B17684" s="27" t="s">
        <v>200</v>
      </c>
      <c r="C17684" s="27" t="s">
        <v>53</v>
      </c>
      <c r="D17684" s="27" t="s">
        <v>6</v>
      </c>
      <c r="E17684" s="27" t="s">
        <v>9</v>
      </c>
      <c r="F17684" s="29"/>
      <c r="G17684" s="30">
        <f t="shared" si="310"/>
        <v>274.41006874999999</v>
      </c>
    </row>
    <row r="17685" spans="1:7" hidden="1" x14ac:dyDescent="0.25">
      <c r="A17685" s="28">
        <v>44958</v>
      </c>
      <c r="B17685" s="27" t="s">
        <v>200</v>
      </c>
      <c r="C17685" s="27" t="s">
        <v>53</v>
      </c>
      <c r="D17685" s="27" t="s">
        <v>6</v>
      </c>
      <c r="E17685" s="27" t="s">
        <v>21</v>
      </c>
      <c r="F17685" s="29"/>
      <c r="G17685" s="30">
        <f t="shared" si="310"/>
        <v>274.41006874999999</v>
      </c>
    </row>
    <row r="17686" spans="1:7" hidden="1" x14ac:dyDescent="0.25">
      <c r="A17686" s="28">
        <v>44958</v>
      </c>
      <c r="B17686" s="27" t="s">
        <v>200</v>
      </c>
      <c r="C17686" s="27" t="s">
        <v>53</v>
      </c>
      <c r="D17686" s="27" t="s">
        <v>6</v>
      </c>
      <c r="E17686" s="27" t="s">
        <v>10</v>
      </c>
      <c r="F17686" s="29"/>
      <c r="G17686" s="30">
        <f t="shared" si="310"/>
        <v>274.41006874999999</v>
      </c>
    </row>
    <row r="17687" spans="1:7" hidden="1" x14ac:dyDescent="0.25">
      <c r="A17687" s="28">
        <v>44958</v>
      </c>
      <c r="B17687" s="27" t="s">
        <v>200</v>
      </c>
      <c r="C17687" s="27" t="s">
        <v>53</v>
      </c>
      <c r="D17687" s="27" t="s">
        <v>6</v>
      </c>
      <c r="E17687" s="27" t="s">
        <v>11</v>
      </c>
      <c r="F17687" s="29"/>
      <c r="G17687" s="30">
        <f t="shared" si="310"/>
        <v>274.41006874999999</v>
      </c>
    </row>
    <row r="17688" spans="1:7" hidden="1" x14ac:dyDescent="0.25">
      <c r="A17688" s="28">
        <v>44958</v>
      </c>
      <c r="B17688" s="27" t="s">
        <v>200</v>
      </c>
      <c r="C17688" s="27" t="s">
        <v>53</v>
      </c>
      <c r="D17688" s="27" t="s">
        <v>6</v>
      </c>
      <c r="E17688" s="27" t="s">
        <v>12</v>
      </c>
      <c r="F17688" s="29"/>
      <c r="G17688" s="30">
        <f t="shared" si="310"/>
        <v>274.41006874999999</v>
      </c>
    </row>
    <row r="17689" spans="1:7" hidden="1" x14ac:dyDescent="0.25">
      <c r="A17689" s="28">
        <v>44958</v>
      </c>
      <c r="B17689" s="27" t="s">
        <v>200</v>
      </c>
      <c r="C17689" s="27" t="s">
        <v>53</v>
      </c>
      <c r="D17689" s="27" t="s">
        <v>6</v>
      </c>
      <c r="E17689" s="27" t="s">
        <v>13</v>
      </c>
      <c r="F17689" s="29"/>
      <c r="G17689" s="30">
        <f t="shared" si="310"/>
        <v>274.41006874999999</v>
      </c>
    </row>
    <row r="17690" spans="1:7" hidden="1" x14ac:dyDescent="0.25">
      <c r="A17690" s="28">
        <v>44958</v>
      </c>
      <c r="B17690" s="27" t="s">
        <v>200</v>
      </c>
      <c r="C17690" s="27" t="s">
        <v>53</v>
      </c>
      <c r="D17690" s="27" t="s">
        <v>6</v>
      </c>
      <c r="E17690" s="27" t="s">
        <v>14</v>
      </c>
      <c r="F17690" s="29"/>
      <c r="G17690" s="30">
        <f t="shared" si="310"/>
        <v>274.41006874999999</v>
      </c>
    </row>
    <row r="17691" spans="1:7" hidden="1" x14ac:dyDescent="0.25">
      <c r="A17691" s="28">
        <v>44958</v>
      </c>
      <c r="B17691" s="27" t="s">
        <v>200</v>
      </c>
      <c r="C17691" s="27" t="s">
        <v>53</v>
      </c>
      <c r="D17691" s="27" t="s">
        <v>6</v>
      </c>
      <c r="E17691" s="27" t="s">
        <v>15</v>
      </c>
      <c r="F17691" s="29"/>
      <c r="G17691" s="30">
        <f t="shared" si="310"/>
        <v>274.41006874999999</v>
      </c>
    </row>
    <row r="17692" spans="1:7" hidden="1" x14ac:dyDescent="0.25">
      <c r="A17692" s="28">
        <v>44958</v>
      </c>
      <c r="B17692" s="27" t="s">
        <v>200</v>
      </c>
      <c r="C17692" s="27" t="s">
        <v>53</v>
      </c>
      <c r="D17692" s="27" t="s">
        <v>6</v>
      </c>
      <c r="E17692" s="27" t="s">
        <v>16</v>
      </c>
      <c r="F17692" s="29"/>
      <c r="G17692" s="30">
        <f t="shared" si="310"/>
        <v>274.41006874999999</v>
      </c>
    </row>
    <row r="17693" spans="1:7" hidden="1" x14ac:dyDescent="0.25">
      <c r="A17693" s="28">
        <v>44958</v>
      </c>
      <c r="B17693" s="27" t="s">
        <v>200</v>
      </c>
      <c r="C17693" s="27" t="s">
        <v>53</v>
      </c>
      <c r="D17693" s="27" t="s">
        <v>6</v>
      </c>
      <c r="E17693" s="27" t="s">
        <v>17</v>
      </c>
      <c r="F17693" s="29"/>
      <c r="G17693" s="30">
        <f t="shared" si="310"/>
        <v>274.41006874999999</v>
      </c>
    </row>
    <row r="17694" spans="1:7" hidden="1" x14ac:dyDescent="0.25">
      <c r="A17694" s="28">
        <v>44958</v>
      </c>
      <c r="B17694" s="27" t="s">
        <v>200</v>
      </c>
      <c r="C17694" s="27" t="s">
        <v>53</v>
      </c>
      <c r="D17694" s="27" t="s">
        <v>6</v>
      </c>
      <c r="E17694" s="27" t="s">
        <v>18</v>
      </c>
      <c r="F17694" s="29"/>
      <c r="G17694" s="30">
        <f t="shared" si="310"/>
        <v>274.41006874999999</v>
      </c>
    </row>
    <row r="17695" spans="1:7" hidden="1" x14ac:dyDescent="0.25">
      <c r="A17695" s="28">
        <v>44958</v>
      </c>
      <c r="B17695" s="27" t="s">
        <v>200</v>
      </c>
      <c r="C17695" s="27" t="s">
        <v>53</v>
      </c>
      <c r="D17695" s="27" t="s">
        <v>6</v>
      </c>
      <c r="E17695" s="27" t="s">
        <v>19</v>
      </c>
      <c r="F17695" s="29"/>
      <c r="G17695" s="30">
        <f t="shared" si="310"/>
        <v>274.41006874999999</v>
      </c>
    </row>
    <row r="17696" spans="1:7" hidden="1" x14ac:dyDescent="0.25">
      <c r="A17696" s="28">
        <v>44958</v>
      </c>
      <c r="B17696" s="27" t="s">
        <v>200</v>
      </c>
      <c r="C17696" s="27" t="s">
        <v>53</v>
      </c>
      <c r="D17696" s="27" t="s">
        <v>6</v>
      </c>
      <c r="E17696" s="27" t="s">
        <v>20</v>
      </c>
      <c r="F17696" s="29"/>
      <c r="G17696" s="30">
        <f t="shared" si="310"/>
        <v>274.41006874999999</v>
      </c>
    </row>
    <row r="17697" spans="1:7" hidden="1" x14ac:dyDescent="0.25">
      <c r="A17697" s="28">
        <v>44958</v>
      </c>
      <c r="B17697" s="27" t="s">
        <v>200</v>
      </c>
      <c r="C17697" s="27" t="s">
        <v>53</v>
      </c>
      <c r="D17697" s="27" t="s">
        <v>6</v>
      </c>
      <c r="E17697" s="27" t="s">
        <v>38</v>
      </c>
      <c r="F17697" s="29"/>
      <c r="G17697" s="30">
        <f t="shared" si="310"/>
        <v>274.41006874999999</v>
      </c>
    </row>
    <row r="17698" spans="1:7" hidden="1" x14ac:dyDescent="0.25">
      <c r="A17698" s="28">
        <v>44958</v>
      </c>
      <c r="B17698" s="27" t="s">
        <v>200</v>
      </c>
      <c r="C17698" s="27" t="s">
        <v>53</v>
      </c>
      <c r="D17698" s="27" t="s">
        <v>6</v>
      </c>
      <c r="E17698" s="27" t="s">
        <v>23</v>
      </c>
      <c r="F17698" s="29"/>
      <c r="G17698" s="30">
        <f t="shared" si="310"/>
        <v>274.41006874999999</v>
      </c>
    </row>
    <row r="17699" spans="1:7" hidden="1" x14ac:dyDescent="0.25">
      <c r="A17699" s="28">
        <v>44958</v>
      </c>
      <c r="B17699" s="27" t="s">
        <v>200</v>
      </c>
      <c r="C17699" s="27" t="s">
        <v>53</v>
      </c>
      <c r="D17699" s="27" t="s">
        <v>6</v>
      </c>
      <c r="E17699" s="27" t="s">
        <v>22</v>
      </c>
      <c r="F17699" s="29"/>
      <c r="G17699" s="30">
        <f t="shared" si="310"/>
        <v>274.41006874999999</v>
      </c>
    </row>
    <row r="17700" spans="1:7" hidden="1" x14ac:dyDescent="0.25">
      <c r="A17700" s="28">
        <v>44958</v>
      </c>
      <c r="B17700" s="27" t="s">
        <v>200</v>
      </c>
      <c r="C17700" s="27" t="s">
        <v>53</v>
      </c>
      <c r="D17700" s="27" t="s">
        <v>6</v>
      </c>
      <c r="E17700" s="27" t="s">
        <v>39</v>
      </c>
      <c r="F17700" s="29"/>
      <c r="G17700" s="30">
        <f t="shared" si="310"/>
        <v>274.41006874999999</v>
      </c>
    </row>
    <row r="17701" spans="1:7" hidden="1" x14ac:dyDescent="0.25">
      <c r="A17701" s="28">
        <v>44958</v>
      </c>
      <c r="B17701" s="27" t="s">
        <v>200</v>
      </c>
      <c r="C17701" s="27" t="s">
        <v>53</v>
      </c>
      <c r="D17701" s="27" t="s">
        <v>6</v>
      </c>
      <c r="E17701" s="27" t="s">
        <v>41</v>
      </c>
      <c r="F17701" s="29"/>
      <c r="G17701" s="30">
        <f t="shared" si="310"/>
        <v>274.41006874999999</v>
      </c>
    </row>
    <row r="17702" spans="1:7" hidden="1" x14ac:dyDescent="0.25">
      <c r="A17702" s="28">
        <v>44958</v>
      </c>
      <c r="B17702" s="27" t="s">
        <v>200</v>
      </c>
      <c r="C17702" s="27" t="s">
        <v>53</v>
      </c>
      <c r="D17702" s="27" t="s">
        <v>6</v>
      </c>
      <c r="E17702" s="27" t="s">
        <v>40</v>
      </c>
      <c r="F17702" s="29"/>
      <c r="G17702" s="30">
        <f t="shared" si="310"/>
        <v>274.41006874999999</v>
      </c>
    </row>
    <row r="17703" spans="1:7" hidden="1" x14ac:dyDescent="0.25">
      <c r="A17703" s="28">
        <v>44958</v>
      </c>
      <c r="B17703" s="27" t="s">
        <v>200</v>
      </c>
      <c r="C17703" s="27" t="s">
        <v>53</v>
      </c>
      <c r="D17703" s="27" t="s">
        <v>6</v>
      </c>
      <c r="E17703" s="27" t="s">
        <v>64</v>
      </c>
      <c r="F17703" s="29"/>
      <c r="G17703" s="30">
        <f t="shared" si="310"/>
        <v>274.41006874999999</v>
      </c>
    </row>
    <row r="17704" spans="1:7" hidden="1" x14ac:dyDescent="0.25">
      <c r="A17704" s="28">
        <v>44958</v>
      </c>
      <c r="B17704" s="27" t="s">
        <v>200</v>
      </c>
      <c r="C17704" s="27" t="s">
        <v>53</v>
      </c>
      <c r="D17704" s="27" t="s">
        <v>6</v>
      </c>
      <c r="E17704" s="27" t="s">
        <v>42</v>
      </c>
      <c r="F17704" s="29"/>
      <c r="G17704" s="30">
        <f t="shared" si="310"/>
        <v>274.41006874999999</v>
      </c>
    </row>
    <row r="17705" spans="1:7" hidden="1" x14ac:dyDescent="0.25">
      <c r="A17705" s="28">
        <v>44958</v>
      </c>
      <c r="B17705" s="27" t="s">
        <v>200</v>
      </c>
      <c r="C17705" s="27" t="s">
        <v>53</v>
      </c>
      <c r="D17705" s="27" t="s">
        <v>6</v>
      </c>
      <c r="E17705" s="27" t="s">
        <v>72</v>
      </c>
      <c r="F17705" s="29"/>
      <c r="G17705" s="30">
        <f t="shared" si="310"/>
        <v>274.41006874999999</v>
      </c>
    </row>
    <row r="17706" spans="1:7" hidden="1" x14ac:dyDescent="0.25">
      <c r="A17706" s="28">
        <v>44958</v>
      </c>
      <c r="B17706" s="27" t="s">
        <v>200</v>
      </c>
      <c r="C17706" s="27" t="s">
        <v>53</v>
      </c>
      <c r="D17706" s="27" t="s">
        <v>6</v>
      </c>
      <c r="E17706" s="27" t="s">
        <v>43</v>
      </c>
      <c r="F17706" s="29"/>
      <c r="G17706" s="30">
        <f t="shared" si="310"/>
        <v>274.41006874999999</v>
      </c>
    </row>
    <row r="17707" spans="1:7" hidden="1" x14ac:dyDescent="0.25">
      <c r="A17707" s="28">
        <v>44958</v>
      </c>
      <c r="B17707" s="27" t="s">
        <v>200</v>
      </c>
      <c r="C17707" s="27" t="s">
        <v>53</v>
      </c>
      <c r="D17707" s="27" t="s">
        <v>6</v>
      </c>
      <c r="E17707" s="27" t="s">
        <v>206</v>
      </c>
      <c r="F17707" s="29"/>
      <c r="G17707" s="30">
        <f t="shared" si="310"/>
        <v>274.41006874999999</v>
      </c>
    </row>
    <row r="17708" spans="1:7" hidden="1" x14ac:dyDescent="0.25">
      <c r="A17708" s="28">
        <v>44958</v>
      </c>
      <c r="B17708" s="27" t="s">
        <v>200</v>
      </c>
      <c r="C17708" s="27" t="s">
        <v>53</v>
      </c>
      <c r="D17708" s="27" t="s">
        <v>6</v>
      </c>
      <c r="E17708" s="27" t="s">
        <v>68</v>
      </c>
      <c r="F17708" s="29"/>
      <c r="G17708" s="30">
        <f t="shared" si="310"/>
        <v>274.41006874999999</v>
      </c>
    </row>
    <row r="17709" spans="1:7" hidden="1" x14ac:dyDescent="0.25">
      <c r="A17709" s="28">
        <v>44958</v>
      </c>
      <c r="B17709" s="27" t="s">
        <v>200</v>
      </c>
      <c r="C17709" s="27" t="s">
        <v>53</v>
      </c>
      <c r="D17709" s="27" t="s">
        <v>6</v>
      </c>
      <c r="E17709" s="27" t="s">
        <v>74</v>
      </c>
      <c r="F17709" s="29"/>
      <c r="G17709" s="30">
        <f t="shared" si="310"/>
        <v>274.41006874999999</v>
      </c>
    </row>
    <row r="17710" spans="1:7" hidden="1" x14ac:dyDescent="0.25">
      <c r="A17710" s="28">
        <v>44958</v>
      </c>
      <c r="B17710" s="27" t="s">
        <v>200</v>
      </c>
      <c r="C17710" s="27" t="s">
        <v>53</v>
      </c>
      <c r="D17710" s="27" t="s">
        <v>6</v>
      </c>
      <c r="E17710" s="27" t="s">
        <v>67</v>
      </c>
      <c r="F17710" s="29"/>
      <c r="G17710" s="30">
        <f t="shared" si="310"/>
        <v>274.41006874999999</v>
      </c>
    </row>
    <row r="17711" spans="1:7" hidden="1" x14ac:dyDescent="0.25">
      <c r="A17711" s="28">
        <v>44958</v>
      </c>
      <c r="B17711" s="27" t="s">
        <v>200</v>
      </c>
      <c r="C17711" s="27" t="s">
        <v>53</v>
      </c>
      <c r="D17711" s="27" t="s">
        <v>6</v>
      </c>
      <c r="E17711" s="27" t="s">
        <v>71</v>
      </c>
      <c r="F17711" s="29"/>
      <c r="G17711" s="30">
        <f t="shared" si="310"/>
        <v>274.41006874999999</v>
      </c>
    </row>
    <row r="17712" spans="1:7" hidden="1" x14ac:dyDescent="0.25">
      <c r="A17712" s="28">
        <v>44958</v>
      </c>
      <c r="B17712" s="27" t="s">
        <v>200</v>
      </c>
      <c r="C17712" s="27" t="s">
        <v>53</v>
      </c>
      <c r="D17712" s="27" t="s">
        <v>6</v>
      </c>
      <c r="E17712" s="27" t="s">
        <v>73</v>
      </c>
      <c r="F17712" s="29"/>
      <c r="G17712" s="30">
        <f t="shared" si="310"/>
        <v>274.41006874999999</v>
      </c>
    </row>
    <row r="17713" spans="1:7" hidden="1" x14ac:dyDescent="0.25">
      <c r="A17713" s="28">
        <v>44958</v>
      </c>
      <c r="B17713" s="27" t="s">
        <v>200</v>
      </c>
      <c r="C17713" s="27" t="s">
        <v>53</v>
      </c>
      <c r="D17713" s="27" t="s">
        <v>6</v>
      </c>
      <c r="E17713" s="27" t="s">
        <v>70</v>
      </c>
      <c r="F17713" s="29"/>
      <c r="G17713" s="30">
        <f t="shared" si="310"/>
        <v>274.41006874999999</v>
      </c>
    </row>
    <row r="17714" spans="1:7" hidden="1" x14ac:dyDescent="0.25">
      <c r="A17714" s="28">
        <v>44958</v>
      </c>
      <c r="B17714" s="27" t="s">
        <v>200</v>
      </c>
      <c r="C17714" s="27" t="s">
        <v>53</v>
      </c>
      <c r="D17714" s="27" t="s">
        <v>6</v>
      </c>
      <c r="E17714" s="27" t="s">
        <v>203</v>
      </c>
      <c r="F17714" s="29"/>
      <c r="G17714" s="30">
        <f t="shared" si="310"/>
        <v>274.41006874999999</v>
      </c>
    </row>
    <row r="17715" spans="1:7" hidden="1" x14ac:dyDescent="0.25">
      <c r="A17715" s="28">
        <v>44958</v>
      </c>
      <c r="B17715" s="27" t="s">
        <v>200</v>
      </c>
      <c r="C17715" s="27" t="s">
        <v>54</v>
      </c>
      <c r="D17715" s="27" t="s">
        <v>7</v>
      </c>
      <c r="E17715" s="27" t="s">
        <v>8</v>
      </c>
      <c r="F17715" s="29"/>
      <c r="G17715" s="30">
        <f t="shared" ref="G17715:G17746" si="311">1398.47/32</f>
        <v>43.702187500000001</v>
      </c>
    </row>
    <row r="17716" spans="1:7" hidden="1" x14ac:dyDescent="0.25">
      <c r="A17716" s="28">
        <v>44958</v>
      </c>
      <c r="B17716" s="27" t="s">
        <v>200</v>
      </c>
      <c r="C17716" s="27" t="s">
        <v>54</v>
      </c>
      <c r="D17716" s="27" t="s">
        <v>7</v>
      </c>
      <c r="E17716" s="27" t="s">
        <v>9</v>
      </c>
      <c r="F17716" s="29"/>
      <c r="G17716" s="30">
        <f t="shared" si="311"/>
        <v>43.702187500000001</v>
      </c>
    </row>
    <row r="17717" spans="1:7" hidden="1" x14ac:dyDescent="0.25">
      <c r="A17717" s="28">
        <v>44958</v>
      </c>
      <c r="B17717" s="27" t="s">
        <v>200</v>
      </c>
      <c r="C17717" s="27" t="s">
        <v>54</v>
      </c>
      <c r="D17717" s="27" t="s">
        <v>7</v>
      </c>
      <c r="E17717" s="27" t="s">
        <v>21</v>
      </c>
      <c r="F17717" s="29"/>
      <c r="G17717" s="30">
        <f t="shared" si="311"/>
        <v>43.702187500000001</v>
      </c>
    </row>
    <row r="17718" spans="1:7" hidden="1" x14ac:dyDescent="0.25">
      <c r="A17718" s="28">
        <v>44958</v>
      </c>
      <c r="B17718" s="27" t="s">
        <v>200</v>
      </c>
      <c r="C17718" s="27" t="s">
        <v>54</v>
      </c>
      <c r="D17718" s="27" t="s">
        <v>7</v>
      </c>
      <c r="E17718" s="27" t="s">
        <v>10</v>
      </c>
      <c r="F17718" s="29"/>
      <c r="G17718" s="30">
        <f t="shared" si="311"/>
        <v>43.702187500000001</v>
      </c>
    </row>
    <row r="17719" spans="1:7" hidden="1" x14ac:dyDescent="0.25">
      <c r="A17719" s="28">
        <v>44958</v>
      </c>
      <c r="B17719" s="27" t="s">
        <v>200</v>
      </c>
      <c r="C17719" s="27" t="s">
        <v>54</v>
      </c>
      <c r="D17719" s="27" t="s">
        <v>7</v>
      </c>
      <c r="E17719" s="27" t="s">
        <v>11</v>
      </c>
      <c r="F17719" s="29"/>
      <c r="G17719" s="30">
        <f t="shared" si="311"/>
        <v>43.702187500000001</v>
      </c>
    </row>
    <row r="17720" spans="1:7" hidden="1" x14ac:dyDescent="0.25">
      <c r="A17720" s="28">
        <v>44958</v>
      </c>
      <c r="B17720" s="27" t="s">
        <v>200</v>
      </c>
      <c r="C17720" s="27" t="s">
        <v>54</v>
      </c>
      <c r="D17720" s="27" t="s">
        <v>7</v>
      </c>
      <c r="E17720" s="27" t="s">
        <v>12</v>
      </c>
      <c r="F17720" s="29"/>
      <c r="G17720" s="30">
        <f t="shared" si="311"/>
        <v>43.702187500000001</v>
      </c>
    </row>
    <row r="17721" spans="1:7" hidden="1" x14ac:dyDescent="0.25">
      <c r="A17721" s="28">
        <v>44958</v>
      </c>
      <c r="B17721" s="27" t="s">
        <v>200</v>
      </c>
      <c r="C17721" s="27" t="s">
        <v>54</v>
      </c>
      <c r="D17721" s="27" t="s">
        <v>7</v>
      </c>
      <c r="E17721" s="27" t="s">
        <v>13</v>
      </c>
      <c r="F17721" s="29"/>
      <c r="G17721" s="30">
        <f t="shared" si="311"/>
        <v>43.702187500000001</v>
      </c>
    </row>
    <row r="17722" spans="1:7" hidden="1" x14ac:dyDescent="0.25">
      <c r="A17722" s="28">
        <v>44958</v>
      </c>
      <c r="B17722" s="27" t="s">
        <v>200</v>
      </c>
      <c r="C17722" s="27" t="s">
        <v>54</v>
      </c>
      <c r="D17722" s="27" t="s">
        <v>7</v>
      </c>
      <c r="E17722" s="27" t="s">
        <v>14</v>
      </c>
      <c r="F17722" s="29"/>
      <c r="G17722" s="30">
        <f t="shared" si="311"/>
        <v>43.702187500000001</v>
      </c>
    </row>
    <row r="17723" spans="1:7" hidden="1" x14ac:dyDescent="0.25">
      <c r="A17723" s="28">
        <v>44958</v>
      </c>
      <c r="B17723" s="27" t="s">
        <v>200</v>
      </c>
      <c r="C17723" s="27" t="s">
        <v>54</v>
      </c>
      <c r="D17723" s="27" t="s">
        <v>7</v>
      </c>
      <c r="E17723" s="27" t="s">
        <v>15</v>
      </c>
      <c r="F17723" s="29"/>
      <c r="G17723" s="30">
        <f t="shared" si="311"/>
        <v>43.702187500000001</v>
      </c>
    </row>
    <row r="17724" spans="1:7" hidden="1" x14ac:dyDescent="0.25">
      <c r="A17724" s="28">
        <v>44958</v>
      </c>
      <c r="B17724" s="27" t="s">
        <v>200</v>
      </c>
      <c r="C17724" s="27" t="s">
        <v>54</v>
      </c>
      <c r="D17724" s="27" t="s">
        <v>7</v>
      </c>
      <c r="E17724" s="27" t="s">
        <v>16</v>
      </c>
      <c r="F17724" s="29"/>
      <c r="G17724" s="30">
        <f t="shared" si="311"/>
        <v>43.702187500000001</v>
      </c>
    </row>
    <row r="17725" spans="1:7" hidden="1" x14ac:dyDescent="0.25">
      <c r="A17725" s="28">
        <v>44958</v>
      </c>
      <c r="B17725" s="27" t="s">
        <v>200</v>
      </c>
      <c r="C17725" s="27" t="s">
        <v>54</v>
      </c>
      <c r="D17725" s="27" t="s">
        <v>7</v>
      </c>
      <c r="E17725" s="27" t="s">
        <v>17</v>
      </c>
      <c r="F17725" s="29"/>
      <c r="G17725" s="30">
        <f t="shared" si="311"/>
        <v>43.702187500000001</v>
      </c>
    </row>
    <row r="17726" spans="1:7" hidden="1" x14ac:dyDescent="0.25">
      <c r="A17726" s="28">
        <v>44958</v>
      </c>
      <c r="B17726" s="27" t="s">
        <v>200</v>
      </c>
      <c r="C17726" s="27" t="s">
        <v>54</v>
      </c>
      <c r="D17726" s="27" t="s">
        <v>7</v>
      </c>
      <c r="E17726" s="27" t="s">
        <v>18</v>
      </c>
      <c r="F17726" s="29"/>
      <c r="G17726" s="30">
        <f t="shared" si="311"/>
        <v>43.702187500000001</v>
      </c>
    </row>
    <row r="17727" spans="1:7" hidden="1" x14ac:dyDescent="0.25">
      <c r="A17727" s="28">
        <v>44958</v>
      </c>
      <c r="B17727" s="27" t="s">
        <v>200</v>
      </c>
      <c r="C17727" s="27" t="s">
        <v>54</v>
      </c>
      <c r="D17727" s="27" t="s">
        <v>7</v>
      </c>
      <c r="E17727" s="27" t="s">
        <v>19</v>
      </c>
      <c r="F17727" s="29"/>
      <c r="G17727" s="30">
        <f t="shared" si="311"/>
        <v>43.702187500000001</v>
      </c>
    </row>
    <row r="17728" spans="1:7" hidden="1" x14ac:dyDescent="0.25">
      <c r="A17728" s="28">
        <v>44958</v>
      </c>
      <c r="B17728" s="27" t="s">
        <v>200</v>
      </c>
      <c r="C17728" s="27" t="s">
        <v>54</v>
      </c>
      <c r="D17728" s="27" t="s">
        <v>7</v>
      </c>
      <c r="E17728" s="27" t="s">
        <v>20</v>
      </c>
      <c r="F17728" s="29"/>
      <c r="G17728" s="30">
        <f t="shared" si="311"/>
        <v>43.702187500000001</v>
      </c>
    </row>
    <row r="17729" spans="1:7" hidden="1" x14ac:dyDescent="0.25">
      <c r="A17729" s="28">
        <v>44958</v>
      </c>
      <c r="B17729" s="27" t="s">
        <v>200</v>
      </c>
      <c r="C17729" s="27" t="s">
        <v>54</v>
      </c>
      <c r="D17729" s="27" t="s">
        <v>7</v>
      </c>
      <c r="E17729" s="27" t="s">
        <v>38</v>
      </c>
      <c r="F17729" s="29"/>
      <c r="G17729" s="30">
        <f t="shared" si="311"/>
        <v>43.702187500000001</v>
      </c>
    </row>
    <row r="17730" spans="1:7" hidden="1" x14ac:dyDescent="0.25">
      <c r="A17730" s="28">
        <v>44958</v>
      </c>
      <c r="B17730" s="27" t="s">
        <v>200</v>
      </c>
      <c r="C17730" s="27" t="s">
        <v>54</v>
      </c>
      <c r="D17730" s="27" t="s">
        <v>7</v>
      </c>
      <c r="E17730" s="27" t="s">
        <v>23</v>
      </c>
      <c r="F17730" s="29"/>
      <c r="G17730" s="30">
        <f t="shared" si="311"/>
        <v>43.702187500000001</v>
      </c>
    </row>
    <row r="17731" spans="1:7" hidden="1" x14ac:dyDescent="0.25">
      <c r="A17731" s="28">
        <v>44958</v>
      </c>
      <c r="B17731" s="27" t="s">
        <v>200</v>
      </c>
      <c r="C17731" s="27" t="s">
        <v>54</v>
      </c>
      <c r="D17731" s="27" t="s">
        <v>7</v>
      </c>
      <c r="E17731" s="27" t="s">
        <v>22</v>
      </c>
      <c r="F17731" s="29"/>
      <c r="G17731" s="30">
        <f t="shared" si="311"/>
        <v>43.702187500000001</v>
      </c>
    </row>
    <row r="17732" spans="1:7" hidden="1" x14ac:dyDescent="0.25">
      <c r="A17732" s="28">
        <v>44958</v>
      </c>
      <c r="B17732" s="27" t="s">
        <v>200</v>
      </c>
      <c r="C17732" s="27" t="s">
        <v>54</v>
      </c>
      <c r="D17732" s="27" t="s">
        <v>7</v>
      </c>
      <c r="E17732" s="27" t="s">
        <v>39</v>
      </c>
      <c r="F17732" s="29"/>
      <c r="G17732" s="30">
        <f t="shared" si="311"/>
        <v>43.702187500000001</v>
      </c>
    </row>
    <row r="17733" spans="1:7" hidden="1" x14ac:dyDescent="0.25">
      <c r="A17733" s="28">
        <v>44958</v>
      </c>
      <c r="B17733" s="27" t="s">
        <v>200</v>
      </c>
      <c r="C17733" s="27" t="s">
        <v>54</v>
      </c>
      <c r="D17733" s="27" t="s">
        <v>7</v>
      </c>
      <c r="E17733" s="27" t="s">
        <v>41</v>
      </c>
      <c r="F17733" s="29"/>
      <c r="G17733" s="30">
        <f t="shared" si="311"/>
        <v>43.702187500000001</v>
      </c>
    </row>
    <row r="17734" spans="1:7" hidden="1" x14ac:dyDescent="0.25">
      <c r="A17734" s="28">
        <v>44958</v>
      </c>
      <c r="B17734" s="27" t="s">
        <v>200</v>
      </c>
      <c r="C17734" s="27" t="s">
        <v>54</v>
      </c>
      <c r="D17734" s="27" t="s">
        <v>7</v>
      </c>
      <c r="E17734" s="27" t="s">
        <v>40</v>
      </c>
      <c r="F17734" s="29"/>
      <c r="G17734" s="30">
        <f t="shared" si="311"/>
        <v>43.702187500000001</v>
      </c>
    </row>
    <row r="17735" spans="1:7" hidden="1" x14ac:dyDescent="0.25">
      <c r="A17735" s="28">
        <v>44958</v>
      </c>
      <c r="B17735" s="27" t="s">
        <v>200</v>
      </c>
      <c r="C17735" s="27" t="s">
        <v>54</v>
      </c>
      <c r="D17735" s="27" t="s">
        <v>7</v>
      </c>
      <c r="E17735" s="27" t="s">
        <v>64</v>
      </c>
      <c r="F17735" s="29"/>
      <c r="G17735" s="30">
        <f t="shared" si="311"/>
        <v>43.702187500000001</v>
      </c>
    </row>
    <row r="17736" spans="1:7" hidden="1" x14ac:dyDescent="0.25">
      <c r="A17736" s="28">
        <v>44958</v>
      </c>
      <c r="B17736" s="27" t="s">
        <v>200</v>
      </c>
      <c r="C17736" s="27" t="s">
        <v>54</v>
      </c>
      <c r="D17736" s="27" t="s">
        <v>7</v>
      </c>
      <c r="E17736" s="27" t="s">
        <v>42</v>
      </c>
      <c r="F17736" s="29"/>
      <c r="G17736" s="30">
        <f t="shared" si="311"/>
        <v>43.702187500000001</v>
      </c>
    </row>
    <row r="17737" spans="1:7" hidden="1" x14ac:dyDescent="0.25">
      <c r="A17737" s="28">
        <v>44958</v>
      </c>
      <c r="B17737" s="27" t="s">
        <v>200</v>
      </c>
      <c r="C17737" s="27" t="s">
        <v>54</v>
      </c>
      <c r="D17737" s="27" t="s">
        <v>7</v>
      </c>
      <c r="E17737" s="27" t="s">
        <v>72</v>
      </c>
      <c r="F17737" s="29"/>
      <c r="G17737" s="30">
        <f t="shared" si="311"/>
        <v>43.702187500000001</v>
      </c>
    </row>
    <row r="17738" spans="1:7" hidden="1" x14ac:dyDescent="0.25">
      <c r="A17738" s="28">
        <v>44958</v>
      </c>
      <c r="B17738" s="27" t="s">
        <v>200</v>
      </c>
      <c r="C17738" s="27" t="s">
        <v>54</v>
      </c>
      <c r="D17738" s="27" t="s">
        <v>7</v>
      </c>
      <c r="E17738" s="27" t="s">
        <v>43</v>
      </c>
      <c r="F17738" s="29"/>
      <c r="G17738" s="30">
        <f t="shared" si="311"/>
        <v>43.702187500000001</v>
      </c>
    </row>
    <row r="17739" spans="1:7" hidden="1" x14ac:dyDescent="0.25">
      <c r="A17739" s="28">
        <v>44958</v>
      </c>
      <c r="B17739" s="27" t="s">
        <v>200</v>
      </c>
      <c r="C17739" s="27" t="s">
        <v>54</v>
      </c>
      <c r="D17739" s="27" t="s">
        <v>7</v>
      </c>
      <c r="E17739" s="27" t="s">
        <v>206</v>
      </c>
      <c r="F17739" s="29"/>
      <c r="G17739" s="30">
        <f t="shared" si="311"/>
        <v>43.702187500000001</v>
      </c>
    </row>
    <row r="17740" spans="1:7" hidden="1" x14ac:dyDescent="0.25">
      <c r="A17740" s="28">
        <v>44958</v>
      </c>
      <c r="B17740" s="27" t="s">
        <v>200</v>
      </c>
      <c r="C17740" s="27" t="s">
        <v>54</v>
      </c>
      <c r="D17740" s="27" t="s">
        <v>7</v>
      </c>
      <c r="E17740" s="27" t="s">
        <v>68</v>
      </c>
      <c r="F17740" s="29"/>
      <c r="G17740" s="30">
        <f t="shared" si="311"/>
        <v>43.702187500000001</v>
      </c>
    </row>
    <row r="17741" spans="1:7" hidden="1" x14ac:dyDescent="0.25">
      <c r="A17741" s="28">
        <v>44958</v>
      </c>
      <c r="B17741" s="27" t="s">
        <v>200</v>
      </c>
      <c r="C17741" s="27" t="s">
        <v>54</v>
      </c>
      <c r="D17741" s="27" t="s">
        <v>7</v>
      </c>
      <c r="E17741" s="27" t="s">
        <v>74</v>
      </c>
      <c r="F17741" s="29"/>
      <c r="G17741" s="30">
        <f t="shared" si="311"/>
        <v>43.702187500000001</v>
      </c>
    </row>
    <row r="17742" spans="1:7" hidden="1" x14ac:dyDescent="0.25">
      <c r="A17742" s="28">
        <v>44958</v>
      </c>
      <c r="B17742" s="27" t="s">
        <v>200</v>
      </c>
      <c r="C17742" s="27" t="s">
        <v>54</v>
      </c>
      <c r="D17742" s="27" t="s">
        <v>7</v>
      </c>
      <c r="E17742" s="27" t="s">
        <v>67</v>
      </c>
      <c r="F17742" s="29"/>
      <c r="G17742" s="30">
        <f t="shared" si="311"/>
        <v>43.702187500000001</v>
      </c>
    </row>
    <row r="17743" spans="1:7" hidden="1" x14ac:dyDescent="0.25">
      <c r="A17743" s="28">
        <v>44958</v>
      </c>
      <c r="B17743" s="27" t="s">
        <v>200</v>
      </c>
      <c r="C17743" s="27" t="s">
        <v>54</v>
      </c>
      <c r="D17743" s="27" t="s">
        <v>7</v>
      </c>
      <c r="E17743" s="27" t="s">
        <v>71</v>
      </c>
      <c r="F17743" s="29"/>
      <c r="G17743" s="30">
        <f t="shared" si="311"/>
        <v>43.702187500000001</v>
      </c>
    </row>
    <row r="17744" spans="1:7" hidden="1" x14ac:dyDescent="0.25">
      <c r="A17744" s="28">
        <v>44958</v>
      </c>
      <c r="B17744" s="27" t="s">
        <v>200</v>
      </c>
      <c r="C17744" s="27" t="s">
        <v>54</v>
      </c>
      <c r="D17744" s="27" t="s">
        <v>7</v>
      </c>
      <c r="E17744" s="27" t="s">
        <v>73</v>
      </c>
      <c r="F17744" s="29"/>
      <c r="G17744" s="30">
        <f t="shared" si="311"/>
        <v>43.702187500000001</v>
      </c>
    </row>
    <row r="17745" spans="1:7" hidden="1" x14ac:dyDescent="0.25">
      <c r="A17745" s="28">
        <v>44958</v>
      </c>
      <c r="B17745" s="27" t="s">
        <v>200</v>
      </c>
      <c r="C17745" s="27" t="s">
        <v>54</v>
      </c>
      <c r="D17745" s="27" t="s">
        <v>7</v>
      </c>
      <c r="E17745" s="27" t="s">
        <v>70</v>
      </c>
      <c r="F17745" s="29"/>
      <c r="G17745" s="30">
        <f t="shared" si="311"/>
        <v>43.702187500000001</v>
      </c>
    </row>
    <row r="17746" spans="1:7" hidden="1" x14ac:dyDescent="0.25">
      <c r="A17746" s="28">
        <v>44958</v>
      </c>
      <c r="B17746" s="27" t="s">
        <v>200</v>
      </c>
      <c r="C17746" s="27" t="s">
        <v>54</v>
      </c>
      <c r="D17746" s="27" t="s">
        <v>7</v>
      </c>
      <c r="E17746" s="27" t="s">
        <v>203</v>
      </c>
      <c r="F17746" s="29"/>
      <c r="G17746" s="30">
        <f t="shared" si="311"/>
        <v>43.702187500000001</v>
      </c>
    </row>
    <row r="17747" spans="1:7" hidden="1" x14ac:dyDescent="0.25">
      <c r="A17747" s="28">
        <v>44958</v>
      </c>
      <c r="B17747" s="27" t="s">
        <v>200</v>
      </c>
      <c r="C17747" s="27" t="s">
        <v>55</v>
      </c>
      <c r="D17747" s="27" t="s">
        <v>6</v>
      </c>
      <c r="E17747" s="27" t="s">
        <v>8</v>
      </c>
      <c r="F17747" s="29"/>
      <c r="G17747" s="30">
        <f t="shared" ref="G17747:G17778" si="312">34421.8294/32</f>
        <v>1075.6821687500001</v>
      </c>
    </row>
    <row r="17748" spans="1:7" hidden="1" x14ac:dyDescent="0.25">
      <c r="A17748" s="28">
        <v>44958</v>
      </c>
      <c r="B17748" s="27" t="s">
        <v>200</v>
      </c>
      <c r="C17748" s="27" t="s">
        <v>55</v>
      </c>
      <c r="D17748" s="27" t="s">
        <v>6</v>
      </c>
      <c r="E17748" s="27" t="s">
        <v>9</v>
      </c>
      <c r="F17748" s="29"/>
      <c r="G17748" s="30">
        <f t="shared" si="312"/>
        <v>1075.6821687500001</v>
      </c>
    </row>
    <row r="17749" spans="1:7" hidden="1" x14ac:dyDescent="0.25">
      <c r="A17749" s="28">
        <v>44958</v>
      </c>
      <c r="B17749" s="27" t="s">
        <v>200</v>
      </c>
      <c r="C17749" s="27" t="s">
        <v>55</v>
      </c>
      <c r="D17749" s="27" t="s">
        <v>6</v>
      </c>
      <c r="E17749" s="27" t="s">
        <v>21</v>
      </c>
      <c r="F17749" s="29"/>
      <c r="G17749" s="30">
        <f t="shared" si="312"/>
        <v>1075.6821687500001</v>
      </c>
    </row>
    <row r="17750" spans="1:7" hidden="1" x14ac:dyDescent="0.25">
      <c r="A17750" s="28">
        <v>44958</v>
      </c>
      <c r="B17750" s="27" t="s">
        <v>200</v>
      </c>
      <c r="C17750" s="27" t="s">
        <v>55</v>
      </c>
      <c r="D17750" s="27" t="s">
        <v>6</v>
      </c>
      <c r="E17750" s="27" t="s">
        <v>10</v>
      </c>
      <c r="F17750" s="29"/>
      <c r="G17750" s="30">
        <f t="shared" si="312"/>
        <v>1075.6821687500001</v>
      </c>
    </row>
    <row r="17751" spans="1:7" hidden="1" x14ac:dyDescent="0.25">
      <c r="A17751" s="28">
        <v>44958</v>
      </c>
      <c r="B17751" s="27" t="s">
        <v>200</v>
      </c>
      <c r="C17751" s="27" t="s">
        <v>55</v>
      </c>
      <c r="D17751" s="27" t="s">
        <v>6</v>
      </c>
      <c r="E17751" s="27" t="s">
        <v>11</v>
      </c>
      <c r="F17751" s="29"/>
      <c r="G17751" s="30">
        <f t="shared" si="312"/>
        <v>1075.6821687500001</v>
      </c>
    </row>
    <row r="17752" spans="1:7" hidden="1" x14ac:dyDescent="0.25">
      <c r="A17752" s="28">
        <v>44958</v>
      </c>
      <c r="B17752" s="27" t="s">
        <v>200</v>
      </c>
      <c r="C17752" s="27" t="s">
        <v>55</v>
      </c>
      <c r="D17752" s="27" t="s">
        <v>6</v>
      </c>
      <c r="E17752" s="27" t="s">
        <v>12</v>
      </c>
      <c r="F17752" s="29"/>
      <c r="G17752" s="30">
        <f t="shared" si="312"/>
        <v>1075.6821687500001</v>
      </c>
    </row>
    <row r="17753" spans="1:7" hidden="1" x14ac:dyDescent="0.25">
      <c r="A17753" s="28">
        <v>44958</v>
      </c>
      <c r="B17753" s="27" t="s">
        <v>200</v>
      </c>
      <c r="C17753" s="27" t="s">
        <v>55</v>
      </c>
      <c r="D17753" s="27" t="s">
        <v>6</v>
      </c>
      <c r="E17753" s="27" t="s">
        <v>13</v>
      </c>
      <c r="F17753" s="29"/>
      <c r="G17753" s="30">
        <f t="shared" si="312"/>
        <v>1075.6821687500001</v>
      </c>
    </row>
    <row r="17754" spans="1:7" hidden="1" x14ac:dyDescent="0.25">
      <c r="A17754" s="28">
        <v>44958</v>
      </c>
      <c r="B17754" s="27" t="s">
        <v>200</v>
      </c>
      <c r="C17754" s="27" t="s">
        <v>55</v>
      </c>
      <c r="D17754" s="27" t="s">
        <v>6</v>
      </c>
      <c r="E17754" s="27" t="s">
        <v>14</v>
      </c>
      <c r="F17754" s="29"/>
      <c r="G17754" s="30">
        <f t="shared" si="312"/>
        <v>1075.6821687500001</v>
      </c>
    </row>
    <row r="17755" spans="1:7" hidden="1" x14ac:dyDescent="0.25">
      <c r="A17755" s="28">
        <v>44958</v>
      </c>
      <c r="B17755" s="27" t="s">
        <v>200</v>
      </c>
      <c r="C17755" s="27" t="s">
        <v>55</v>
      </c>
      <c r="D17755" s="27" t="s">
        <v>6</v>
      </c>
      <c r="E17755" s="27" t="s">
        <v>15</v>
      </c>
      <c r="F17755" s="29"/>
      <c r="G17755" s="30">
        <f t="shared" si="312"/>
        <v>1075.6821687500001</v>
      </c>
    </row>
    <row r="17756" spans="1:7" hidden="1" x14ac:dyDescent="0.25">
      <c r="A17756" s="28">
        <v>44958</v>
      </c>
      <c r="B17756" s="27" t="s">
        <v>200</v>
      </c>
      <c r="C17756" s="27" t="s">
        <v>55</v>
      </c>
      <c r="D17756" s="27" t="s">
        <v>6</v>
      </c>
      <c r="E17756" s="27" t="s">
        <v>16</v>
      </c>
      <c r="F17756" s="29"/>
      <c r="G17756" s="30">
        <f t="shared" si="312"/>
        <v>1075.6821687500001</v>
      </c>
    </row>
    <row r="17757" spans="1:7" hidden="1" x14ac:dyDescent="0.25">
      <c r="A17757" s="28">
        <v>44958</v>
      </c>
      <c r="B17757" s="27" t="s">
        <v>200</v>
      </c>
      <c r="C17757" s="27" t="s">
        <v>55</v>
      </c>
      <c r="D17757" s="27" t="s">
        <v>6</v>
      </c>
      <c r="E17757" s="27" t="s">
        <v>17</v>
      </c>
      <c r="F17757" s="29"/>
      <c r="G17757" s="30">
        <f t="shared" si="312"/>
        <v>1075.6821687500001</v>
      </c>
    </row>
    <row r="17758" spans="1:7" hidden="1" x14ac:dyDescent="0.25">
      <c r="A17758" s="28">
        <v>44958</v>
      </c>
      <c r="B17758" s="27" t="s">
        <v>200</v>
      </c>
      <c r="C17758" s="27" t="s">
        <v>55</v>
      </c>
      <c r="D17758" s="27" t="s">
        <v>6</v>
      </c>
      <c r="E17758" s="27" t="s">
        <v>18</v>
      </c>
      <c r="F17758" s="29"/>
      <c r="G17758" s="30">
        <f t="shared" si="312"/>
        <v>1075.6821687500001</v>
      </c>
    </row>
    <row r="17759" spans="1:7" hidden="1" x14ac:dyDescent="0.25">
      <c r="A17759" s="28">
        <v>44958</v>
      </c>
      <c r="B17759" s="27" t="s">
        <v>200</v>
      </c>
      <c r="C17759" s="27" t="s">
        <v>55</v>
      </c>
      <c r="D17759" s="27" t="s">
        <v>6</v>
      </c>
      <c r="E17759" s="27" t="s">
        <v>19</v>
      </c>
      <c r="F17759" s="29"/>
      <c r="G17759" s="30">
        <f t="shared" si="312"/>
        <v>1075.6821687500001</v>
      </c>
    </row>
    <row r="17760" spans="1:7" hidden="1" x14ac:dyDescent="0.25">
      <c r="A17760" s="28">
        <v>44958</v>
      </c>
      <c r="B17760" s="27" t="s">
        <v>200</v>
      </c>
      <c r="C17760" s="27" t="s">
        <v>55</v>
      </c>
      <c r="D17760" s="27" t="s">
        <v>6</v>
      </c>
      <c r="E17760" s="27" t="s">
        <v>20</v>
      </c>
      <c r="F17760" s="29"/>
      <c r="G17760" s="30">
        <f t="shared" si="312"/>
        <v>1075.6821687500001</v>
      </c>
    </row>
    <row r="17761" spans="1:7" hidden="1" x14ac:dyDescent="0.25">
      <c r="A17761" s="28">
        <v>44958</v>
      </c>
      <c r="B17761" s="27" t="s">
        <v>200</v>
      </c>
      <c r="C17761" s="27" t="s">
        <v>55</v>
      </c>
      <c r="D17761" s="27" t="s">
        <v>6</v>
      </c>
      <c r="E17761" s="27" t="s">
        <v>38</v>
      </c>
      <c r="F17761" s="29"/>
      <c r="G17761" s="30">
        <f t="shared" si="312"/>
        <v>1075.6821687500001</v>
      </c>
    </row>
    <row r="17762" spans="1:7" hidden="1" x14ac:dyDescent="0.25">
      <c r="A17762" s="28">
        <v>44958</v>
      </c>
      <c r="B17762" s="27" t="s">
        <v>200</v>
      </c>
      <c r="C17762" s="27" t="s">
        <v>55</v>
      </c>
      <c r="D17762" s="27" t="s">
        <v>6</v>
      </c>
      <c r="E17762" s="27" t="s">
        <v>23</v>
      </c>
      <c r="F17762" s="29"/>
      <c r="G17762" s="30">
        <f t="shared" si="312"/>
        <v>1075.6821687500001</v>
      </c>
    </row>
    <row r="17763" spans="1:7" hidden="1" x14ac:dyDescent="0.25">
      <c r="A17763" s="28">
        <v>44958</v>
      </c>
      <c r="B17763" s="27" t="s">
        <v>200</v>
      </c>
      <c r="C17763" s="27" t="s">
        <v>55</v>
      </c>
      <c r="D17763" s="27" t="s">
        <v>6</v>
      </c>
      <c r="E17763" s="27" t="s">
        <v>22</v>
      </c>
      <c r="F17763" s="29"/>
      <c r="G17763" s="30">
        <f t="shared" si="312"/>
        <v>1075.6821687500001</v>
      </c>
    </row>
    <row r="17764" spans="1:7" hidden="1" x14ac:dyDescent="0.25">
      <c r="A17764" s="28">
        <v>44958</v>
      </c>
      <c r="B17764" s="27" t="s">
        <v>200</v>
      </c>
      <c r="C17764" s="27" t="s">
        <v>55</v>
      </c>
      <c r="D17764" s="27" t="s">
        <v>6</v>
      </c>
      <c r="E17764" s="27" t="s">
        <v>39</v>
      </c>
      <c r="F17764" s="29"/>
      <c r="G17764" s="30">
        <f t="shared" si="312"/>
        <v>1075.6821687500001</v>
      </c>
    </row>
    <row r="17765" spans="1:7" hidden="1" x14ac:dyDescent="0.25">
      <c r="A17765" s="28">
        <v>44958</v>
      </c>
      <c r="B17765" s="27" t="s">
        <v>200</v>
      </c>
      <c r="C17765" s="27" t="s">
        <v>55</v>
      </c>
      <c r="D17765" s="27" t="s">
        <v>6</v>
      </c>
      <c r="E17765" s="27" t="s">
        <v>41</v>
      </c>
      <c r="F17765" s="29"/>
      <c r="G17765" s="30">
        <f t="shared" si="312"/>
        <v>1075.6821687500001</v>
      </c>
    </row>
    <row r="17766" spans="1:7" hidden="1" x14ac:dyDescent="0.25">
      <c r="A17766" s="28">
        <v>44958</v>
      </c>
      <c r="B17766" s="27" t="s">
        <v>200</v>
      </c>
      <c r="C17766" s="27" t="s">
        <v>55</v>
      </c>
      <c r="D17766" s="27" t="s">
        <v>6</v>
      </c>
      <c r="E17766" s="27" t="s">
        <v>40</v>
      </c>
      <c r="F17766" s="29"/>
      <c r="G17766" s="30">
        <f t="shared" si="312"/>
        <v>1075.6821687500001</v>
      </c>
    </row>
    <row r="17767" spans="1:7" hidden="1" x14ac:dyDescent="0.25">
      <c r="A17767" s="28">
        <v>44958</v>
      </c>
      <c r="B17767" s="27" t="s">
        <v>200</v>
      </c>
      <c r="C17767" s="27" t="s">
        <v>55</v>
      </c>
      <c r="D17767" s="27" t="s">
        <v>6</v>
      </c>
      <c r="E17767" s="27" t="s">
        <v>64</v>
      </c>
      <c r="F17767" s="29"/>
      <c r="G17767" s="30">
        <f t="shared" si="312"/>
        <v>1075.6821687500001</v>
      </c>
    </row>
    <row r="17768" spans="1:7" hidden="1" x14ac:dyDescent="0.25">
      <c r="A17768" s="28">
        <v>44958</v>
      </c>
      <c r="B17768" s="27" t="s">
        <v>200</v>
      </c>
      <c r="C17768" s="27" t="s">
        <v>55</v>
      </c>
      <c r="D17768" s="27" t="s">
        <v>6</v>
      </c>
      <c r="E17768" s="27" t="s">
        <v>42</v>
      </c>
      <c r="F17768" s="29"/>
      <c r="G17768" s="30">
        <f t="shared" si="312"/>
        <v>1075.6821687500001</v>
      </c>
    </row>
    <row r="17769" spans="1:7" hidden="1" x14ac:dyDescent="0.25">
      <c r="A17769" s="28">
        <v>44958</v>
      </c>
      <c r="B17769" s="27" t="s">
        <v>200</v>
      </c>
      <c r="C17769" s="27" t="s">
        <v>55</v>
      </c>
      <c r="D17769" s="27" t="s">
        <v>6</v>
      </c>
      <c r="E17769" s="27" t="s">
        <v>72</v>
      </c>
      <c r="F17769" s="29"/>
      <c r="G17769" s="30">
        <f t="shared" si="312"/>
        <v>1075.6821687500001</v>
      </c>
    </row>
    <row r="17770" spans="1:7" hidden="1" x14ac:dyDescent="0.25">
      <c r="A17770" s="28">
        <v>44958</v>
      </c>
      <c r="B17770" s="27" t="s">
        <v>200</v>
      </c>
      <c r="C17770" s="27" t="s">
        <v>55</v>
      </c>
      <c r="D17770" s="27" t="s">
        <v>6</v>
      </c>
      <c r="E17770" s="27" t="s">
        <v>43</v>
      </c>
      <c r="F17770" s="29"/>
      <c r="G17770" s="30">
        <f t="shared" si="312"/>
        <v>1075.6821687500001</v>
      </c>
    </row>
    <row r="17771" spans="1:7" hidden="1" x14ac:dyDescent="0.25">
      <c r="A17771" s="28">
        <v>44958</v>
      </c>
      <c r="B17771" s="27" t="s">
        <v>200</v>
      </c>
      <c r="C17771" s="27" t="s">
        <v>55</v>
      </c>
      <c r="D17771" s="27" t="s">
        <v>6</v>
      </c>
      <c r="E17771" s="27" t="s">
        <v>206</v>
      </c>
      <c r="F17771" s="29"/>
      <c r="G17771" s="30">
        <f t="shared" si="312"/>
        <v>1075.6821687500001</v>
      </c>
    </row>
    <row r="17772" spans="1:7" hidden="1" x14ac:dyDescent="0.25">
      <c r="A17772" s="28">
        <v>44958</v>
      </c>
      <c r="B17772" s="27" t="s">
        <v>200</v>
      </c>
      <c r="C17772" s="27" t="s">
        <v>55</v>
      </c>
      <c r="D17772" s="27" t="s">
        <v>6</v>
      </c>
      <c r="E17772" s="27" t="s">
        <v>68</v>
      </c>
      <c r="F17772" s="29"/>
      <c r="G17772" s="30">
        <f t="shared" si="312"/>
        <v>1075.6821687500001</v>
      </c>
    </row>
    <row r="17773" spans="1:7" hidden="1" x14ac:dyDescent="0.25">
      <c r="A17773" s="28">
        <v>44958</v>
      </c>
      <c r="B17773" s="27" t="s">
        <v>200</v>
      </c>
      <c r="C17773" s="27" t="s">
        <v>55</v>
      </c>
      <c r="D17773" s="27" t="s">
        <v>6</v>
      </c>
      <c r="E17773" s="27" t="s">
        <v>74</v>
      </c>
      <c r="F17773" s="29"/>
      <c r="G17773" s="30">
        <f t="shared" si="312"/>
        <v>1075.6821687500001</v>
      </c>
    </row>
    <row r="17774" spans="1:7" hidden="1" x14ac:dyDescent="0.25">
      <c r="A17774" s="28">
        <v>44958</v>
      </c>
      <c r="B17774" s="27" t="s">
        <v>200</v>
      </c>
      <c r="C17774" s="27" t="s">
        <v>55</v>
      </c>
      <c r="D17774" s="27" t="s">
        <v>6</v>
      </c>
      <c r="E17774" s="27" t="s">
        <v>67</v>
      </c>
      <c r="F17774" s="29"/>
      <c r="G17774" s="30">
        <f t="shared" si="312"/>
        <v>1075.6821687500001</v>
      </c>
    </row>
    <row r="17775" spans="1:7" hidden="1" x14ac:dyDescent="0.25">
      <c r="A17775" s="28">
        <v>44958</v>
      </c>
      <c r="B17775" s="27" t="s">
        <v>200</v>
      </c>
      <c r="C17775" s="27" t="s">
        <v>55</v>
      </c>
      <c r="D17775" s="27" t="s">
        <v>6</v>
      </c>
      <c r="E17775" s="27" t="s">
        <v>71</v>
      </c>
      <c r="F17775" s="29"/>
      <c r="G17775" s="30">
        <f t="shared" si="312"/>
        <v>1075.6821687500001</v>
      </c>
    </row>
    <row r="17776" spans="1:7" hidden="1" x14ac:dyDescent="0.25">
      <c r="A17776" s="28">
        <v>44958</v>
      </c>
      <c r="B17776" s="27" t="s">
        <v>200</v>
      </c>
      <c r="C17776" s="27" t="s">
        <v>55</v>
      </c>
      <c r="D17776" s="27" t="s">
        <v>6</v>
      </c>
      <c r="E17776" s="27" t="s">
        <v>73</v>
      </c>
      <c r="F17776" s="29"/>
      <c r="G17776" s="30">
        <f t="shared" si="312"/>
        <v>1075.6821687500001</v>
      </c>
    </row>
    <row r="17777" spans="1:7" hidden="1" x14ac:dyDescent="0.25">
      <c r="A17777" s="28">
        <v>44958</v>
      </c>
      <c r="B17777" s="27" t="s">
        <v>200</v>
      </c>
      <c r="C17777" s="27" t="s">
        <v>55</v>
      </c>
      <c r="D17777" s="27" t="s">
        <v>6</v>
      </c>
      <c r="E17777" s="27" t="s">
        <v>70</v>
      </c>
      <c r="F17777" s="29"/>
      <c r="G17777" s="30">
        <f t="shared" si="312"/>
        <v>1075.6821687500001</v>
      </c>
    </row>
    <row r="17778" spans="1:7" hidden="1" x14ac:dyDescent="0.25">
      <c r="A17778" s="28">
        <v>44958</v>
      </c>
      <c r="B17778" s="27" t="s">
        <v>200</v>
      </c>
      <c r="C17778" s="27" t="s">
        <v>55</v>
      </c>
      <c r="D17778" s="27" t="s">
        <v>6</v>
      </c>
      <c r="E17778" s="27" t="s">
        <v>203</v>
      </c>
      <c r="F17778" s="29"/>
      <c r="G17778" s="30">
        <f t="shared" si="312"/>
        <v>1075.6821687500001</v>
      </c>
    </row>
    <row r="17779" spans="1:7" hidden="1" x14ac:dyDescent="0.25">
      <c r="A17779" s="28">
        <v>44958</v>
      </c>
      <c r="B17779" s="27" t="s">
        <v>200</v>
      </c>
      <c r="C17779" s="27" t="s">
        <v>183</v>
      </c>
      <c r="D17779" s="27" t="s">
        <v>7</v>
      </c>
      <c r="E17779" s="27" t="s">
        <v>8</v>
      </c>
      <c r="F17779" s="29"/>
      <c r="G17779" s="30">
        <f t="shared" ref="G17779:G17810" si="313">1046.733681/32</f>
        <v>32.710427531249998</v>
      </c>
    </row>
    <row r="17780" spans="1:7" hidden="1" x14ac:dyDescent="0.25">
      <c r="A17780" s="28">
        <v>44958</v>
      </c>
      <c r="B17780" s="27" t="s">
        <v>200</v>
      </c>
      <c r="C17780" s="27" t="s">
        <v>183</v>
      </c>
      <c r="D17780" s="27" t="s">
        <v>7</v>
      </c>
      <c r="E17780" s="27" t="s">
        <v>9</v>
      </c>
      <c r="F17780" s="29"/>
      <c r="G17780" s="30">
        <f t="shared" si="313"/>
        <v>32.710427531249998</v>
      </c>
    </row>
    <row r="17781" spans="1:7" hidden="1" x14ac:dyDescent="0.25">
      <c r="A17781" s="28">
        <v>44958</v>
      </c>
      <c r="B17781" s="27" t="s">
        <v>200</v>
      </c>
      <c r="C17781" s="27" t="s">
        <v>183</v>
      </c>
      <c r="D17781" s="27" t="s">
        <v>7</v>
      </c>
      <c r="E17781" s="27" t="s">
        <v>21</v>
      </c>
      <c r="F17781" s="29"/>
      <c r="G17781" s="30">
        <f t="shared" si="313"/>
        <v>32.710427531249998</v>
      </c>
    </row>
    <row r="17782" spans="1:7" hidden="1" x14ac:dyDescent="0.25">
      <c r="A17782" s="28">
        <v>44958</v>
      </c>
      <c r="B17782" s="27" t="s">
        <v>200</v>
      </c>
      <c r="C17782" s="27" t="s">
        <v>183</v>
      </c>
      <c r="D17782" s="27" t="s">
        <v>7</v>
      </c>
      <c r="E17782" s="27" t="s">
        <v>10</v>
      </c>
      <c r="F17782" s="29"/>
      <c r="G17782" s="30">
        <f t="shared" si="313"/>
        <v>32.710427531249998</v>
      </c>
    </row>
    <row r="17783" spans="1:7" hidden="1" x14ac:dyDescent="0.25">
      <c r="A17783" s="28">
        <v>44958</v>
      </c>
      <c r="B17783" s="27" t="s">
        <v>200</v>
      </c>
      <c r="C17783" s="27" t="s">
        <v>183</v>
      </c>
      <c r="D17783" s="27" t="s">
        <v>7</v>
      </c>
      <c r="E17783" s="27" t="s">
        <v>11</v>
      </c>
      <c r="F17783" s="29"/>
      <c r="G17783" s="30">
        <f t="shared" si="313"/>
        <v>32.710427531249998</v>
      </c>
    </row>
    <row r="17784" spans="1:7" hidden="1" x14ac:dyDescent="0.25">
      <c r="A17784" s="28">
        <v>44958</v>
      </c>
      <c r="B17784" s="27" t="s">
        <v>200</v>
      </c>
      <c r="C17784" s="27" t="s">
        <v>183</v>
      </c>
      <c r="D17784" s="27" t="s">
        <v>7</v>
      </c>
      <c r="E17784" s="27" t="s">
        <v>12</v>
      </c>
      <c r="F17784" s="29"/>
      <c r="G17784" s="30">
        <f t="shared" si="313"/>
        <v>32.710427531249998</v>
      </c>
    </row>
    <row r="17785" spans="1:7" hidden="1" x14ac:dyDescent="0.25">
      <c r="A17785" s="28">
        <v>44958</v>
      </c>
      <c r="B17785" s="27" t="s">
        <v>200</v>
      </c>
      <c r="C17785" s="27" t="s">
        <v>183</v>
      </c>
      <c r="D17785" s="27" t="s">
        <v>7</v>
      </c>
      <c r="E17785" s="27" t="s">
        <v>13</v>
      </c>
      <c r="F17785" s="29"/>
      <c r="G17785" s="30">
        <f t="shared" si="313"/>
        <v>32.710427531249998</v>
      </c>
    </row>
    <row r="17786" spans="1:7" hidden="1" x14ac:dyDescent="0.25">
      <c r="A17786" s="28">
        <v>44958</v>
      </c>
      <c r="B17786" s="27" t="s">
        <v>200</v>
      </c>
      <c r="C17786" s="27" t="s">
        <v>183</v>
      </c>
      <c r="D17786" s="27" t="s">
        <v>7</v>
      </c>
      <c r="E17786" s="27" t="s">
        <v>14</v>
      </c>
      <c r="F17786" s="29"/>
      <c r="G17786" s="30">
        <f t="shared" si="313"/>
        <v>32.710427531249998</v>
      </c>
    </row>
    <row r="17787" spans="1:7" hidden="1" x14ac:dyDescent="0.25">
      <c r="A17787" s="28">
        <v>44958</v>
      </c>
      <c r="B17787" s="27" t="s">
        <v>200</v>
      </c>
      <c r="C17787" s="27" t="s">
        <v>183</v>
      </c>
      <c r="D17787" s="27" t="s">
        <v>7</v>
      </c>
      <c r="E17787" s="27" t="s">
        <v>15</v>
      </c>
      <c r="F17787" s="29"/>
      <c r="G17787" s="30">
        <f t="shared" si="313"/>
        <v>32.710427531249998</v>
      </c>
    </row>
    <row r="17788" spans="1:7" hidden="1" x14ac:dyDescent="0.25">
      <c r="A17788" s="28">
        <v>44958</v>
      </c>
      <c r="B17788" s="27" t="s">
        <v>200</v>
      </c>
      <c r="C17788" s="27" t="s">
        <v>183</v>
      </c>
      <c r="D17788" s="27" t="s">
        <v>7</v>
      </c>
      <c r="E17788" s="27" t="s">
        <v>16</v>
      </c>
      <c r="F17788" s="29"/>
      <c r="G17788" s="30">
        <f t="shared" si="313"/>
        <v>32.710427531249998</v>
      </c>
    </row>
    <row r="17789" spans="1:7" hidden="1" x14ac:dyDescent="0.25">
      <c r="A17789" s="28">
        <v>44958</v>
      </c>
      <c r="B17789" s="27" t="s">
        <v>200</v>
      </c>
      <c r="C17789" s="27" t="s">
        <v>183</v>
      </c>
      <c r="D17789" s="27" t="s">
        <v>7</v>
      </c>
      <c r="E17789" s="27" t="s">
        <v>17</v>
      </c>
      <c r="F17789" s="29"/>
      <c r="G17789" s="30">
        <f t="shared" si="313"/>
        <v>32.710427531249998</v>
      </c>
    </row>
    <row r="17790" spans="1:7" hidden="1" x14ac:dyDescent="0.25">
      <c r="A17790" s="28">
        <v>44958</v>
      </c>
      <c r="B17790" s="27" t="s">
        <v>200</v>
      </c>
      <c r="C17790" s="27" t="s">
        <v>183</v>
      </c>
      <c r="D17790" s="27" t="s">
        <v>7</v>
      </c>
      <c r="E17790" s="27" t="s">
        <v>18</v>
      </c>
      <c r="F17790" s="29"/>
      <c r="G17790" s="30">
        <f t="shared" si="313"/>
        <v>32.710427531249998</v>
      </c>
    </row>
    <row r="17791" spans="1:7" hidden="1" x14ac:dyDescent="0.25">
      <c r="A17791" s="28">
        <v>44958</v>
      </c>
      <c r="B17791" s="27" t="s">
        <v>200</v>
      </c>
      <c r="C17791" s="27" t="s">
        <v>183</v>
      </c>
      <c r="D17791" s="27" t="s">
        <v>7</v>
      </c>
      <c r="E17791" s="27" t="s">
        <v>19</v>
      </c>
      <c r="F17791" s="29"/>
      <c r="G17791" s="30">
        <f t="shared" si="313"/>
        <v>32.710427531249998</v>
      </c>
    </row>
    <row r="17792" spans="1:7" hidden="1" x14ac:dyDescent="0.25">
      <c r="A17792" s="28">
        <v>44958</v>
      </c>
      <c r="B17792" s="27" t="s">
        <v>200</v>
      </c>
      <c r="C17792" s="27" t="s">
        <v>183</v>
      </c>
      <c r="D17792" s="27" t="s">
        <v>7</v>
      </c>
      <c r="E17792" s="27" t="s">
        <v>20</v>
      </c>
      <c r="F17792" s="29"/>
      <c r="G17792" s="30">
        <f t="shared" si="313"/>
        <v>32.710427531249998</v>
      </c>
    </row>
    <row r="17793" spans="1:7" hidden="1" x14ac:dyDescent="0.25">
      <c r="A17793" s="28">
        <v>44958</v>
      </c>
      <c r="B17793" s="27" t="s">
        <v>200</v>
      </c>
      <c r="C17793" s="27" t="s">
        <v>183</v>
      </c>
      <c r="D17793" s="27" t="s">
        <v>7</v>
      </c>
      <c r="E17793" s="27" t="s">
        <v>38</v>
      </c>
      <c r="F17793" s="29"/>
      <c r="G17793" s="30">
        <f t="shared" si="313"/>
        <v>32.710427531249998</v>
      </c>
    </row>
    <row r="17794" spans="1:7" hidden="1" x14ac:dyDescent="0.25">
      <c r="A17794" s="28">
        <v>44958</v>
      </c>
      <c r="B17794" s="27" t="s">
        <v>200</v>
      </c>
      <c r="C17794" s="27" t="s">
        <v>183</v>
      </c>
      <c r="D17794" s="27" t="s">
        <v>7</v>
      </c>
      <c r="E17794" s="27" t="s">
        <v>23</v>
      </c>
      <c r="F17794" s="29"/>
      <c r="G17794" s="30">
        <f t="shared" si="313"/>
        <v>32.710427531249998</v>
      </c>
    </row>
    <row r="17795" spans="1:7" hidden="1" x14ac:dyDescent="0.25">
      <c r="A17795" s="28">
        <v>44958</v>
      </c>
      <c r="B17795" s="27" t="s">
        <v>200</v>
      </c>
      <c r="C17795" s="27" t="s">
        <v>183</v>
      </c>
      <c r="D17795" s="27" t="s">
        <v>7</v>
      </c>
      <c r="E17795" s="27" t="s">
        <v>22</v>
      </c>
      <c r="F17795" s="29"/>
      <c r="G17795" s="30">
        <f t="shared" si="313"/>
        <v>32.710427531249998</v>
      </c>
    </row>
    <row r="17796" spans="1:7" hidden="1" x14ac:dyDescent="0.25">
      <c r="A17796" s="28">
        <v>44958</v>
      </c>
      <c r="B17796" s="27" t="s">
        <v>200</v>
      </c>
      <c r="C17796" s="27" t="s">
        <v>183</v>
      </c>
      <c r="D17796" s="27" t="s">
        <v>7</v>
      </c>
      <c r="E17796" s="27" t="s">
        <v>39</v>
      </c>
      <c r="F17796" s="29"/>
      <c r="G17796" s="30">
        <f t="shared" si="313"/>
        <v>32.710427531249998</v>
      </c>
    </row>
    <row r="17797" spans="1:7" hidden="1" x14ac:dyDescent="0.25">
      <c r="A17797" s="28">
        <v>44958</v>
      </c>
      <c r="B17797" s="27" t="s">
        <v>200</v>
      </c>
      <c r="C17797" s="27" t="s">
        <v>183</v>
      </c>
      <c r="D17797" s="27" t="s">
        <v>7</v>
      </c>
      <c r="E17797" s="27" t="s">
        <v>41</v>
      </c>
      <c r="F17797" s="29"/>
      <c r="G17797" s="30">
        <f t="shared" si="313"/>
        <v>32.710427531249998</v>
      </c>
    </row>
    <row r="17798" spans="1:7" hidden="1" x14ac:dyDescent="0.25">
      <c r="A17798" s="28">
        <v>44958</v>
      </c>
      <c r="B17798" s="27" t="s">
        <v>200</v>
      </c>
      <c r="C17798" s="27" t="s">
        <v>183</v>
      </c>
      <c r="D17798" s="27" t="s">
        <v>7</v>
      </c>
      <c r="E17798" s="27" t="s">
        <v>40</v>
      </c>
      <c r="F17798" s="29"/>
      <c r="G17798" s="30">
        <f t="shared" si="313"/>
        <v>32.710427531249998</v>
      </c>
    </row>
    <row r="17799" spans="1:7" hidden="1" x14ac:dyDescent="0.25">
      <c r="A17799" s="28">
        <v>44958</v>
      </c>
      <c r="B17799" s="27" t="s">
        <v>200</v>
      </c>
      <c r="C17799" s="27" t="s">
        <v>183</v>
      </c>
      <c r="D17799" s="27" t="s">
        <v>7</v>
      </c>
      <c r="E17799" s="27" t="s">
        <v>64</v>
      </c>
      <c r="F17799" s="29"/>
      <c r="G17799" s="30">
        <f t="shared" si="313"/>
        <v>32.710427531249998</v>
      </c>
    </row>
    <row r="17800" spans="1:7" hidden="1" x14ac:dyDescent="0.25">
      <c r="A17800" s="28">
        <v>44958</v>
      </c>
      <c r="B17800" s="27" t="s">
        <v>200</v>
      </c>
      <c r="C17800" s="27" t="s">
        <v>183</v>
      </c>
      <c r="D17800" s="27" t="s">
        <v>7</v>
      </c>
      <c r="E17800" s="27" t="s">
        <v>42</v>
      </c>
      <c r="F17800" s="29"/>
      <c r="G17800" s="30">
        <f t="shared" si="313"/>
        <v>32.710427531249998</v>
      </c>
    </row>
    <row r="17801" spans="1:7" hidden="1" x14ac:dyDescent="0.25">
      <c r="A17801" s="28">
        <v>44958</v>
      </c>
      <c r="B17801" s="27" t="s">
        <v>200</v>
      </c>
      <c r="C17801" s="27" t="s">
        <v>183</v>
      </c>
      <c r="D17801" s="27" t="s">
        <v>7</v>
      </c>
      <c r="E17801" s="27" t="s">
        <v>72</v>
      </c>
      <c r="F17801" s="29"/>
      <c r="G17801" s="30">
        <f t="shared" si="313"/>
        <v>32.710427531249998</v>
      </c>
    </row>
    <row r="17802" spans="1:7" hidden="1" x14ac:dyDescent="0.25">
      <c r="A17802" s="28">
        <v>44958</v>
      </c>
      <c r="B17802" s="27" t="s">
        <v>200</v>
      </c>
      <c r="C17802" s="27" t="s">
        <v>183</v>
      </c>
      <c r="D17802" s="27" t="s">
        <v>7</v>
      </c>
      <c r="E17802" s="27" t="s">
        <v>43</v>
      </c>
      <c r="F17802" s="29"/>
      <c r="G17802" s="30">
        <f t="shared" si="313"/>
        <v>32.710427531249998</v>
      </c>
    </row>
    <row r="17803" spans="1:7" hidden="1" x14ac:dyDescent="0.25">
      <c r="A17803" s="28">
        <v>44958</v>
      </c>
      <c r="B17803" s="27" t="s">
        <v>200</v>
      </c>
      <c r="C17803" s="27" t="s">
        <v>183</v>
      </c>
      <c r="D17803" s="27" t="s">
        <v>7</v>
      </c>
      <c r="E17803" s="27" t="s">
        <v>206</v>
      </c>
      <c r="F17803" s="29"/>
      <c r="G17803" s="30">
        <f t="shared" si="313"/>
        <v>32.710427531249998</v>
      </c>
    </row>
    <row r="17804" spans="1:7" hidden="1" x14ac:dyDescent="0.25">
      <c r="A17804" s="28">
        <v>44958</v>
      </c>
      <c r="B17804" s="27" t="s">
        <v>200</v>
      </c>
      <c r="C17804" s="27" t="s">
        <v>183</v>
      </c>
      <c r="D17804" s="27" t="s">
        <v>7</v>
      </c>
      <c r="E17804" s="27" t="s">
        <v>68</v>
      </c>
      <c r="F17804" s="29"/>
      <c r="G17804" s="30">
        <f t="shared" si="313"/>
        <v>32.710427531249998</v>
      </c>
    </row>
    <row r="17805" spans="1:7" hidden="1" x14ac:dyDescent="0.25">
      <c r="A17805" s="28">
        <v>44958</v>
      </c>
      <c r="B17805" s="27" t="s">
        <v>200</v>
      </c>
      <c r="C17805" s="27" t="s">
        <v>183</v>
      </c>
      <c r="D17805" s="27" t="s">
        <v>7</v>
      </c>
      <c r="E17805" s="27" t="s">
        <v>74</v>
      </c>
      <c r="F17805" s="29"/>
      <c r="G17805" s="30">
        <f t="shared" si="313"/>
        <v>32.710427531249998</v>
      </c>
    </row>
    <row r="17806" spans="1:7" hidden="1" x14ac:dyDescent="0.25">
      <c r="A17806" s="28">
        <v>44958</v>
      </c>
      <c r="B17806" s="27" t="s">
        <v>200</v>
      </c>
      <c r="C17806" s="27" t="s">
        <v>183</v>
      </c>
      <c r="D17806" s="27" t="s">
        <v>7</v>
      </c>
      <c r="E17806" s="27" t="s">
        <v>67</v>
      </c>
      <c r="F17806" s="29"/>
      <c r="G17806" s="30">
        <f t="shared" si="313"/>
        <v>32.710427531249998</v>
      </c>
    </row>
    <row r="17807" spans="1:7" hidden="1" x14ac:dyDescent="0.25">
      <c r="A17807" s="28">
        <v>44958</v>
      </c>
      <c r="B17807" s="27" t="s">
        <v>200</v>
      </c>
      <c r="C17807" s="27" t="s">
        <v>183</v>
      </c>
      <c r="D17807" s="27" t="s">
        <v>7</v>
      </c>
      <c r="E17807" s="27" t="s">
        <v>71</v>
      </c>
      <c r="F17807" s="29"/>
      <c r="G17807" s="30">
        <f t="shared" si="313"/>
        <v>32.710427531249998</v>
      </c>
    </row>
    <row r="17808" spans="1:7" hidden="1" x14ac:dyDescent="0.25">
      <c r="A17808" s="28">
        <v>44958</v>
      </c>
      <c r="B17808" s="27" t="s">
        <v>200</v>
      </c>
      <c r="C17808" s="27" t="s">
        <v>183</v>
      </c>
      <c r="D17808" s="27" t="s">
        <v>7</v>
      </c>
      <c r="E17808" s="27" t="s">
        <v>73</v>
      </c>
      <c r="F17808" s="29"/>
      <c r="G17808" s="30">
        <f t="shared" si="313"/>
        <v>32.710427531249998</v>
      </c>
    </row>
    <row r="17809" spans="1:7" hidden="1" x14ac:dyDescent="0.25">
      <c r="A17809" s="28">
        <v>44958</v>
      </c>
      <c r="B17809" s="27" t="s">
        <v>200</v>
      </c>
      <c r="C17809" s="27" t="s">
        <v>183</v>
      </c>
      <c r="D17809" s="27" t="s">
        <v>7</v>
      </c>
      <c r="E17809" s="27" t="s">
        <v>70</v>
      </c>
      <c r="F17809" s="29"/>
      <c r="G17809" s="30">
        <f t="shared" si="313"/>
        <v>32.710427531249998</v>
      </c>
    </row>
    <row r="17810" spans="1:7" hidden="1" x14ac:dyDescent="0.25">
      <c r="A17810" s="28">
        <v>44958</v>
      </c>
      <c r="B17810" s="27" t="s">
        <v>200</v>
      </c>
      <c r="C17810" s="27" t="s">
        <v>183</v>
      </c>
      <c r="D17810" s="27" t="s">
        <v>7</v>
      </c>
      <c r="E17810" s="27" t="s">
        <v>203</v>
      </c>
      <c r="F17810" s="29"/>
      <c r="G17810" s="30">
        <f t="shared" si="313"/>
        <v>32.710427531249998</v>
      </c>
    </row>
    <row r="17811" spans="1:7" hidden="1" x14ac:dyDescent="0.25">
      <c r="A17811" s="28">
        <v>44958</v>
      </c>
      <c r="B17811" s="27" t="s">
        <v>200</v>
      </c>
      <c r="C17811" s="27" t="s">
        <v>56</v>
      </c>
      <c r="D17811" s="27" t="s">
        <v>6</v>
      </c>
      <c r="E17811" s="27" t="s">
        <v>8</v>
      </c>
      <c r="F17811" s="29"/>
      <c r="G17811" s="30">
        <f t="shared" ref="G17811:G17842" si="314">73212.74/32</f>
        <v>2287.8981250000002</v>
      </c>
    </row>
    <row r="17812" spans="1:7" hidden="1" x14ac:dyDescent="0.25">
      <c r="A17812" s="28">
        <v>44958</v>
      </c>
      <c r="B17812" s="27" t="s">
        <v>200</v>
      </c>
      <c r="C17812" s="27" t="s">
        <v>56</v>
      </c>
      <c r="D17812" s="27" t="s">
        <v>6</v>
      </c>
      <c r="E17812" s="27" t="s">
        <v>9</v>
      </c>
      <c r="F17812" s="29"/>
      <c r="G17812" s="30">
        <f t="shared" si="314"/>
        <v>2287.8981250000002</v>
      </c>
    </row>
    <row r="17813" spans="1:7" hidden="1" x14ac:dyDescent="0.25">
      <c r="A17813" s="28">
        <v>44958</v>
      </c>
      <c r="B17813" s="27" t="s">
        <v>200</v>
      </c>
      <c r="C17813" s="27" t="s">
        <v>56</v>
      </c>
      <c r="D17813" s="27" t="s">
        <v>6</v>
      </c>
      <c r="E17813" s="27" t="s">
        <v>21</v>
      </c>
      <c r="F17813" s="29"/>
      <c r="G17813" s="30">
        <f t="shared" si="314"/>
        <v>2287.8981250000002</v>
      </c>
    </row>
    <row r="17814" spans="1:7" hidden="1" x14ac:dyDescent="0.25">
      <c r="A17814" s="28">
        <v>44958</v>
      </c>
      <c r="B17814" s="27" t="s">
        <v>200</v>
      </c>
      <c r="C17814" s="27" t="s">
        <v>56</v>
      </c>
      <c r="D17814" s="27" t="s">
        <v>6</v>
      </c>
      <c r="E17814" s="27" t="s">
        <v>10</v>
      </c>
      <c r="F17814" s="29"/>
      <c r="G17814" s="30">
        <f t="shared" si="314"/>
        <v>2287.8981250000002</v>
      </c>
    </row>
    <row r="17815" spans="1:7" hidden="1" x14ac:dyDescent="0.25">
      <c r="A17815" s="28">
        <v>44958</v>
      </c>
      <c r="B17815" s="27" t="s">
        <v>200</v>
      </c>
      <c r="C17815" s="27" t="s">
        <v>56</v>
      </c>
      <c r="D17815" s="27" t="s">
        <v>6</v>
      </c>
      <c r="E17815" s="27" t="s">
        <v>11</v>
      </c>
      <c r="F17815" s="29"/>
      <c r="G17815" s="30">
        <f t="shared" si="314"/>
        <v>2287.8981250000002</v>
      </c>
    </row>
    <row r="17816" spans="1:7" hidden="1" x14ac:dyDescent="0.25">
      <c r="A17816" s="28">
        <v>44958</v>
      </c>
      <c r="B17816" s="27" t="s">
        <v>200</v>
      </c>
      <c r="C17816" s="27" t="s">
        <v>56</v>
      </c>
      <c r="D17816" s="27" t="s">
        <v>6</v>
      </c>
      <c r="E17816" s="27" t="s">
        <v>12</v>
      </c>
      <c r="F17816" s="29"/>
      <c r="G17816" s="30">
        <f t="shared" si="314"/>
        <v>2287.8981250000002</v>
      </c>
    </row>
    <row r="17817" spans="1:7" hidden="1" x14ac:dyDescent="0.25">
      <c r="A17817" s="28">
        <v>44958</v>
      </c>
      <c r="B17817" s="27" t="s">
        <v>200</v>
      </c>
      <c r="C17817" s="27" t="s">
        <v>56</v>
      </c>
      <c r="D17817" s="27" t="s">
        <v>6</v>
      </c>
      <c r="E17817" s="27" t="s">
        <v>13</v>
      </c>
      <c r="F17817" s="29"/>
      <c r="G17817" s="30">
        <f t="shared" si="314"/>
        <v>2287.8981250000002</v>
      </c>
    </row>
    <row r="17818" spans="1:7" hidden="1" x14ac:dyDescent="0.25">
      <c r="A17818" s="28">
        <v>44958</v>
      </c>
      <c r="B17818" s="27" t="s">
        <v>200</v>
      </c>
      <c r="C17818" s="27" t="s">
        <v>56</v>
      </c>
      <c r="D17818" s="27" t="s">
        <v>6</v>
      </c>
      <c r="E17818" s="27" t="s">
        <v>14</v>
      </c>
      <c r="F17818" s="29"/>
      <c r="G17818" s="30">
        <f t="shared" si="314"/>
        <v>2287.8981250000002</v>
      </c>
    </row>
    <row r="17819" spans="1:7" hidden="1" x14ac:dyDescent="0.25">
      <c r="A17819" s="28">
        <v>44958</v>
      </c>
      <c r="B17819" s="27" t="s">
        <v>200</v>
      </c>
      <c r="C17819" s="27" t="s">
        <v>56</v>
      </c>
      <c r="D17819" s="27" t="s">
        <v>6</v>
      </c>
      <c r="E17819" s="27" t="s">
        <v>15</v>
      </c>
      <c r="F17819" s="29"/>
      <c r="G17819" s="30">
        <f t="shared" si="314"/>
        <v>2287.8981250000002</v>
      </c>
    </row>
    <row r="17820" spans="1:7" hidden="1" x14ac:dyDescent="0.25">
      <c r="A17820" s="28">
        <v>44958</v>
      </c>
      <c r="B17820" s="27" t="s">
        <v>200</v>
      </c>
      <c r="C17820" s="27" t="s">
        <v>56</v>
      </c>
      <c r="D17820" s="27" t="s">
        <v>6</v>
      </c>
      <c r="E17820" s="27" t="s">
        <v>16</v>
      </c>
      <c r="F17820" s="29"/>
      <c r="G17820" s="30">
        <f t="shared" si="314"/>
        <v>2287.8981250000002</v>
      </c>
    </row>
    <row r="17821" spans="1:7" hidden="1" x14ac:dyDescent="0.25">
      <c r="A17821" s="28">
        <v>44958</v>
      </c>
      <c r="B17821" s="27" t="s">
        <v>200</v>
      </c>
      <c r="C17821" s="27" t="s">
        <v>56</v>
      </c>
      <c r="D17821" s="27" t="s">
        <v>6</v>
      </c>
      <c r="E17821" s="27" t="s">
        <v>17</v>
      </c>
      <c r="F17821" s="29"/>
      <c r="G17821" s="30">
        <f t="shared" si="314"/>
        <v>2287.8981250000002</v>
      </c>
    </row>
    <row r="17822" spans="1:7" hidden="1" x14ac:dyDescent="0.25">
      <c r="A17822" s="28">
        <v>44958</v>
      </c>
      <c r="B17822" s="27" t="s">
        <v>200</v>
      </c>
      <c r="C17822" s="27" t="s">
        <v>56</v>
      </c>
      <c r="D17822" s="27" t="s">
        <v>6</v>
      </c>
      <c r="E17822" s="27" t="s">
        <v>18</v>
      </c>
      <c r="F17822" s="29"/>
      <c r="G17822" s="30">
        <f t="shared" si="314"/>
        <v>2287.8981250000002</v>
      </c>
    </row>
    <row r="17823" spans="1:7" hidden="1" x14ac:dyDescent="0.25">
      <c r="A17823" s="28">
        <v>44958</v>
      </c>
      <c r="B17823" s="27" t="s">
        <v>200</v>
      </c>
      <c r="C17823" s="27" t="s">
        <v>56</v>
      </c>
      <c r="D17823" s="27" t="s">
        <v>6</v>
      </c>
      <c r="E17823" s="27" t="s">
        <v>19</v>
      </c>
      <c r="F17823" s="29"/>
      <c r="G17823" s="30">
        <f t="shared" si="314"/>
        <v>2287.8981250000002</v>
      </c>
    </row>
    <row r="17824" spans="1:7" hidden="1" x14ac:dyDescent="0.25">
      <c r="A17824" s="28">
        <v>44958</v>
      </c>
      <c r="B17824" s="27" t="s">
        <v>200</v>
      </c>
      <c r="C17824" s="27" t="s">
        <v>56</v>
      </c>
      <c r="D17824" s="27" t="s">
        <v>6</v>
      </c>
      <c r="E17824" s="27" t="s">
        <v>20</v>
      </c>
      <c r="F17824" s="29"/>
      <c r="G17824" s="30">
        <f t="shared" si="314"/>
        <v>2287.8981250000002</v>
      </c>
    </row>
    <row r="17825" spans="1:7" hidden="1" x14ac:dyDescent="0.25">
      <c r="A17825" s="28">
        <v>44958</v>
      </c>
      <c r="B17825" s="27" t="s">
        <v>200</v>
      </c>
      <c r="C17825" s="27" t="s">
        <v>56</v>
      </c>
      <c r="D17825" s="27" t="s">
        <v>6</v>
      </c>
      <c r="E17825" s="27" t="s">
        <v>38</v>
      </c>
      <c r="F17825" s="29"/>
      <c r="G17825" s="30">
        <f t="shared" si="314"/>
        <v>2287.8981250000002</v>
      </c>
    </row>
    <row r="17826" spans="1:7" hidden="1" x14ac:dyDescent="0.25">
      <c r="A17826" s="28">
        <v>44958</v>
      </c>
      <c r="B17826" s="27" t="s">
        <v>200</v>
      </c>
      <c r="C17826" s="27" t="s">
        <v>56</v>
      </c>
      <c r="D17826" s="27" t="s">
        <v>6</v>
      </c>
      <c r="E17826" s="27" t="s">
        <v>23</v>
      </c>
      <c r="F17826" s="29"/>
      <c r="G17826" s="30">
        <f t="shared" si="314"/>
        <v>2287.8981250000002</v>
      </c>
    </row>
    <row r="17827" spans="1:7" hidden="1" x14ac:dyDescent="0.25">
      <c r="A17827" s="28">
        <v>44958</v>
      </c>
      <c r="B17827" s="27" t="s">
        <v>200</v>
      </c>
      <c r="C17827" s="27" t="s">
        <v>56</v>
      </c>
      <c r="D17827" s="27" t="s">
        <v>6</v>
      </c>
      <c r="E17827" s="27" t="s">
        <v>22</v>
      </c>
      <c r="F17827" s="29"/>
      <c r="G17827" s="30">
        <f t="shared" si="314"/>
        <v>2287.8981250000002</v>
      </c>
    </row>
    <row r="17828" spans="1:7" hidden="1" x14ac:dyDescent="0.25">
      <c r="A17828" s="28">
        <v>44958</v>
      </c>
      <c r="B17828" s="27" t="s">
        <v>200</v>
      </c>
      <c r="C17828" s="27" t="s">
        <v>56</v>
      </c>
      <c r="D17828" s="27" t="s">
        <v>6</v>
      </c>
      <c r="E17828" s="27" t="s">
        <v>39</v>
      </c>
      <c r="F17828" s="29"/>
      <c r="G17828" s="30">
        <f t="shared" si="314"/>
        <v>2287.8981250000002</v>
      </c>
    </row>
    <row r="17829" spans="1:7" hidden="1" x14ac:dyDescent="0.25">
      <c r="A17829" s="28">
        <v>44958</v>
      </c>
      <c r="B17829" s="27" t="s">
        <v>200</v>
      </c>
      <c r="C17829" s="27" t="s">
        <v>56</v>
      </c>
      <c r="D17829" s="27" t="s">
        <v>6</v>
      </c>
      <c r="E17829" s="27" t="s">
        <v>41</v>
      </c>
      <c r="F17829" s="29"/>
      <c r="G17829" s="30">
        <f t="shared" si="314"/>
        <v>2287.8981250000002</v>
      </c>
    </row>
    <row r="17830" spans="1:7" hidden="1" x14ac:dyDescent="0.25">
      <c r="A17830" s="28">
        <v>44958</v>
      </c>
      <c r="B17830" s="27" t="s">
        <v>200</v>
      </c>
      <c r="C17830" s="27" t="s">
        <v>56</v>
      </c>
      <c r="D17830" s="27" t="s">
        <v>6</v>
      </c>
      <c r="E17830" s="27" t="s">
        <v>40</v>
      </c>
      <c r="F17830" s="29"/>
      <c r="G17830" s="30">
        <f t="shared" si="314"/>
        <v>2287.8981250000002</v>
      </c>
    </row>
    <row r="17831" spans="1:7" hidden="1" x14ac:dyDescent="0.25">
      <c r="A17831" s="28">
        <v>44958</v>
      </c>
      <c r="B17831" s="27" t="s">
        <v>200</v>
      </c>
      <c r="C17831" s="27" t="s">
        <v>56</v>
      </c>
      <c r="D17831" s="27" t="s">
        <v>6</v>
      </c>
      <c r="E17831" s="27" t="s">
        <v>64</v>
      </c>
      <c r="F17831" s="29"/>
      <c r="G17831" s="30">
        <f t="shared" si="314"/>
        <v>2287.8981250000002</v>
      </c>
    </row>
    <row r="17832" spans="1:7" hidden="1" x14ac:dyDescent="0.25">
      <c r="A17832" s="28">
        <v>44958</v>
      </c>
      <c r="B17832" s="27" t="s">
        <v>200</v>
      </c>
      <c r="C17832" s="27" t="s">
        <v>56</v>
      </c>
      <c r="D17832" s="27" t="s">
        <v>6</v>
      </c>
      <c r="E17832" s="27" t="s">
        <v>42</v>
      </c>
      <c r="F17832" s="29"/>
      <c r="G17832" s="30">
        <f t="shared" si="314"/>
        <v>2287.8981250000002</v>
      </c>
    </row>
    <row r="17833" spans="1:7" hidden="1" x14ac:dyDescent="0.25">
      <c r="A17833" s="28">
        <v>44958</v>
      </c>
      <c r="B17833" s="27" t="s">
        <v>200</v>
      </c>
      <c r="C17833" s="27" t="s">
        <v>56</v>
      </c>
      <c r="D17833" s="27" t="s">
        <v>6</v>
      </c>
      <c r="E17833" s="27" t="s">
        <v>72</v>
      </c>
      <c r="F17833" s="29"/>
      <c r="G17833" s="30">
        <f t="shared" si="314"/>
        <v>2287.8981250000002</v>
      </c>
    </row>
    <row r="17834" spans="1:7" hidden="1" x14ac:dyDescent="0.25">
      <c r="A17834" s="28">
        <v>44958</v>
      </c>
      <c r="B17834" s="27" t="s">
        <v>200</v>
      </c>
      <c r="C17834" s="27" t="s">
        <v>56</v>
      </c>
      <c r="D17834" s="27" t="s">
        <v>6</v>
      </c>
      <c r="E17834" s="27" t="s">
        <v>43</v>
      </c>
      <c r="F17834" s="29"/>
      <c r="G17834" s="30">
        <f t="shared" si="314"/>
        <v>2287.8981250000002</v>
      </c>
    </row>
    <row r="17835" spans="1:7" hidden="1" x14ac:dyDescent="0.25">
      <c r="A17835" s="28">
        <v>44958</v>
      </c>
      <c r="B17835" s="27" t="s">
        <v>200</v>
      </c>
      <c r="C17835" s="27" t="s">
        <v>56</v>
      </c>
      <c r="D17835" s="27" t="s">
        <v>6</v>
      </c>
      <c r="E17835" s="27" t="s">
        <v>206</v>
      </c>
      <c r="F17835" s="29"/>
      <c r="G17835" s="30">
        <f t="shared" si="314"/>
        <v>2287.8981250000002</v>
      </c>
    </row>
    <row r="17836" spans="1:7" hidden="1" x14ac:dyDescent="0.25">
      <c r="A17836" s="28">
        <v>44958</v>
      </c>
      <c r="B17836" s="27" t="s">
        <v>200</v>
      </c>
      <c r="C17836" s="27" t="s">
        <v>56</v>
      </c>
      <c r="D17836" s="27" t="s">
        <v>6</v>
      </c>
      <c r="E17836" s="27" t="s">
        <v>68</v>
      </c>
      <c r="F17836" s="29"/>
      <c r="G17836" s="30">
        <f t="shared" si="314"/>
        <v>2287.8981250000002</v>
      </c>
    </row>
    <row r="17837" spans="1:7" hidden="1" x14ac:dyDescent="0.25">
      <c r="A17837" s="28">
        <v>44958</v>
      </c>
      <c r="B17837" s="27" t="s">
        <v>200</v>
      </c>
      <c r="C17837" s="27" t="s">
        <v>56</v>
      </c>
      <c r="D17837" s="27" t="s">
        <v>6</v>
      </c>
      <c r="E17837" s="27" t="s">
        <v>74</v>
      </c>
      <c r="F17837" s="29"/>
      <c r="G17837" s="30">
        <f t="shared" si="314"/>
        <v>2287.8981250000002</v>
      </c>
    </row>
    <row r="17838" spans="1:7" hidden="1" x14ac:dyDescent="0.25">
      <c r="A17838" s="28">
        <v>44958</v>
      </c>
      <c r="B17838" s="27" t="s">
        <v>200</v>
      </c>
      <c r="C17838" s="27" t="s">
        <v>56</v>
      </c>
      <c r="D17838" s="27" t="s">
        <v>6</v>
      </c>
      <c r="E17838" s="27" t="s">
        <v>67</v>
      </c>
      <c r="F17838" s="29"/>
      <c r="G17838" s="30">
        <f t="shared" si="314"/>
        <v>2287.8981250000002</v>
      </c>
    </row>
    <row r="17839" spans="1:7" hidden="1" x14ac:dyDescent="0.25">
      <c r="A17839" s="28">
        <v>44958</v>
      </c>
      <c r="B17839" s="27" t="s">
        <v>200</v>
      </c>
      <c r="C17839" s="27" t="s">
        <v>56</v>
      </c>
      <c r="D17839" s="27" t="s">
        <v>6</v>
      </c>
      <c r="E17839" s="27" t="s">
        <v>71</v>
      </c>
      <c r="F17839" s="29"/>
      <c r="G17839" s="30">
        <f t="shared" si="314"/>
        <v>2287.8981250000002</v>
      </c>
    </row>
    <row r="17840" spans="1:7" hidden="1" x14ac:dyDescent="0.25">
      <c r="A17840" s="28">
        <v>44958</v>
      </c>
      <c r="B17840" s="27" t="s">
        <v>200</v>
      </c>
      <c r="C17840" s="27" t="s">
        <v>56</v>
      </c>
      <c r="D17840" s="27" t="s">
        <v>6</v>
      </c>
      <c r="E17840" s="27" t="s">
        <v>73</v>
      </c>
      <c r="F17840" s="29"/>
      <c r="G17840" s="30">
        <f t="shared" si="314"/>
        <v>2287.8981250000002</v>
      </c>
    </row>
    <row r="17841" spans="1:7" hidden="1" x14ac:dyDescent="0.25">
      <c r="A17841" s="28">
        <v>44958</v>
      </c>
      <c r="B17841" s="27" t="s">
        <v>200</v>
      </c>
      <c r="C17841" s="27" t="s">
        <v>56</v>
      </c>
      <c r="D17841" s="27" t="s">
        <v>6</v>
      </c>
      <c r="E17841" s="27" t="s">
        <v>70</v>
      </c>
      <c r="F17841" s="29"/>
      <c r="G17841" s="30">
        <f t="shared" si="314"/>
        <v>2287.8981250000002</v>
      </c>
    </row>
    <row r="17842" spans="1:7" hidden="1" x14ac:dyDescent="0.25">
      <c r="A17842" s="28">
        <v>44958</v>
      </c>
      <c r="B17842" s="27" t="s">
        <v>200</v>
      </c>
      <c r="C17842" s="27" t="s">
        <v>56</v>
      </c>
      <c r="D17842" s="27" t="s">
        <v>6</v>
      </c>
      <c r="E17842" s="27" t="s">
        <v>203</v>
      </c>
      <c r="F17842" s="29"/>
      <c r="G17842" s="30">
        <f t="shared" si="314"/>
        <v>2287.8981250000002</v>
      </c>
    </row>
    <row r="17843" spans="1:7" hidden="1" x14ac:dyDescent="0.25">
      <c r="A17843" s="28">
        <v>44958</v>
      </c>
      <c r="B17843" s="27" t="s">
        <v>200</v>
      </c>
      <c r="C17843" s="27" t="s">
        <v>182</v>
      </c>
      <c r="D17843" s="27" t="s">
        <v>7</v>
      </c>
      <c r="E17843" s="27" t="s">
        <v>8</v>
      </c>
      <c r="F17843" s="29"/>
      <c r="G17843" s="30">
        <f t="shared" ref="G17843:G17874" si="315">9429.29/32</f>
        <v>294.66531250000003</v>
      </c>
    </row>
    <row r="17844" spans="1:7" hidden="1" x14ac:dyDescent="0.25">
      <c r="A17844" s="28">
        <v>44958</v>
      </c>
      <c r="B17844" s="27" t="s">
        <v>200</v>
      </c>
      <c r="C17844" s="27" t="s">
        <v>182</v>
      </c>
      <c r="D17844" s="27" t="s">
        <v>7</v>
      </c>
      <c r="E17844" s="27" t="s">
        <v>9</v>
      </c>
      <c r="F17844" s="29"/>
      <c r="G17844" s="30">
        <f t="shared" si="315"/>
        <v>294.66531250000003</v>
      </c>
    </row>
    <row r="17845" spans="1:7" hidden="1" x14ac:dyDescent="0.25">
      <c r="A17845" s="28">
        <v>44958</v>
      </c>
      <c r="B17845" s="27" t="s">
        <v>200</v>
      </c>
      <c r="C17845" s="27" t="s">
        <v>182</v>
      </c>
      <c r="D17845" s="27" t="s">
        <v>7</v>
      </c>
      <c r="E17845" s="27" t="s">
        <v>21</v>
      </c>
      <c r="F17845" s="29"/>
      <c r="G17845" s="30">
        <f t="shared" si="315"/>
        <v>294.66531250000003</v>
      </c>
    </row>
    <row r="17846" spans="1:7" hidden="1" x14ac:dyDescent="0.25">
      <c r="A17846" s="28">
        <v>44958</v>
      </c>
      <c r="B17846" s="27" t="s">
        <v>200</v>
      </c>
      <c r="C17846" s="27" t="s">
        <v>182</v>
      </c>
      <c r="D17846" s="27" t="s">
        <v>7</v>
      </c>
      <c r="E17846" s="27" t="s">
        <v>10</v>
      </c>
      <c r="F17846" s="29"/>
      <c r="G17846" s="30">
        <f t="shared" si="315"/>
        <v>294.66531250000003</v>
      </c>
    </row>
    <row r="17847" spans="1:7" hidden="1" x14ac:dyDescent="0.25">
      <c r="A17847" s="28">
        <v>44958</v>
      </c>
      <c r="B17847" s="27" t="s">
        <v>200</v>
      </c>
      <c r="C17847" s="27" t="s">
        <v>182</v>
      </c>
      <c r="D17847" s="27" t="s">
        <v>7</v>
      </c>
      <c r="E17847" s="27" t="s">
        <v>11</v>
      </c>
      <c r="F17847" s="29"/>
      <c r="G17847" s="30">
        <f t="shared" si="315"/>
        <v>294.66531250000003</v>
      </c>
    </row>
    <row r="17848" spans="1:7" hidden="1" x14ac:dyDescent="0.25">
      <c r="A17848" s="28">
        <v>44958</v>
      </c>
      <c r="B17848" s="27" t="s">
        <v>200</v>
      </c>
      <c r="C17848" s="27" t="s">
        <v>182</v>
      </c>
      <c r="D17848" s="27" t="s">
        <v>7</v>
      </c>
      <c r="E17848" s="27" t="s">
        <v>12</v>
      </c>
      <c r="F17848" s="29"/>
      <c r="G17848" s="30">
        <f t="shared" si="315"/>
        <v>294.66531250000003</v>
      </c>
    </row>
    <row r="17849" spans="1:7" hidden="1" x14ac:dyDescent="0.25">
      <c r="A17849" s="28">
        <v>44958</v>
      </c>
      <c r="B17849" s="27" t="s">
        <v>200</v>
      </c>
      <c r="C17849" s="27" t="s">
        <v>182</v>
      </c>
      <c r="D17849" s="27" t="s">
        <v>7</v>
      </c>
      <c r="E17849" s="27" t="s">
        <v>13</v>
      </c>
      <c r="F17849" s="29"/>
      <c r="G17849" s="30">
        <f t="shared" si="315"/>
        <v>294.66531250000003</v>
      </c>
    </row>
    <row r="17850" spans="1:7" hidden="1" x14ac:dyDescent="0.25">
      <c r="A17850" s="28">
        <v>44958</v>
      </c>
      <c r="B17850" s="27" t="s">
        <v>200</v>
      </c>
      <c r="C17850" s="27" t="s">
        <v>182</v>
      </c>
      <c r="D17850" s="27" t="s">
        <v>7</v>
      </c>
      <c r="E17850" s="27" t="s">
        <v>14</v>
      </c>
      <c r="F17850" s="29"/>
      <c r="G17850" s="30">
        <f t="shared" si="315"/>
        <v>294.66531250000003</v>
      </c>
    </row>
    <row r="17851" spans="1:7" hidden="1" x14ac:dyDescent="0.25">
      <c r="A17851" s="28">
        <v>44958</v>
      </c>
      <c r="B17851" s="27" t="s">
        <v>200</v>
      </c>
      <c r="C17851" s="27" t="s">
        <v>182</v>
      </c>
      <c r="D17851" s="27" t="s">
        <v>7</v>
      </c>
      <c r="E17851" s="27" t="s">
        <v>15</v>
      </c>
      <c r="F17851" s="29"/>
      <c r="G17851" s="30">
        <f t="shared" si="315"/>
        <v>294.66531250000003</v>
      </c>
    </row>
    <row r="17852" spans="1:7" hidden="1" x14ac:dyDescent="0.25">
      <c r="A17852" s="28">
        <v>44958</v>
      </c>
      <c r="B17852" s="27" t="s">
        <v>200</v>
      </c>
      <c r="C17852" s="27" t="s">
        <v>182</v>
      </c>
      <c r="D17852" s="27" t="s">
        <v>7</v>
      </c>
      <c r="E17852" s="27" t="s">
        <v>16</v>
      </c>
      <c r="F17852" s="29"/>
      <c r="G17852" s="30">
        <f t="shared" si="315"/>
        <v>294.66531250000003</v>
      </c>
    </row>
    <row r="17853" spans="1:7" hidden="1" x14ac:dyDescent="0.25">
      <c r="A17853" s="28">
        <v>44958</v>
      </c>
      <c r="B17853" s="27" t="s">
        <v>200</v>
      </c>
      <c r="C17853" s="27" t="s">
        <v>182</v>
      </c>
      <c r="D17853" s="27" t="s">
        <v>7</v>
      </c>
      <c r="E17853" s="27" t="s">
        <v>17</v>
      </c>
      <c r="F17853" s="29"/>
      <c r="G17853" s="30">
        <f t="shared" si="315"/>
        <v>294.66531250000003</v>
      </c>
    </row>
    <row r="17854" spans="1:7" hidden="1" x14ac:dyDescent="0.25">
      <c r="A17854" s="28">
        <v>44958</v>
      </c>
      <c r="B17854" s="27" t="s">
        <v>200</v>
      </c>
      <c r="C17854" s="27" t="s">
        <v>182</v>
      </c>
      <c r="D17854" s="27" t="s">
        <v>7</v>
      </c>
      <c r="E17854" s="27" t="s">
        <v>18</v>
      </c>
      <c r="F17854" s="29"/>
      <c r="G17854" s="30">
        <f t="shared" si="315"/>
        <v>294.66531250000003</v>
      </c>
    </row>
    <row r="17855" spans="1:7" hidden="1" x14ac:dyDescent="0.25">
      <c r="A17855" s="28">
        <v>44958</v>
      </c>
      <c r="B17855" s="27" t="s">
        <v>200</v>
      </c>
      <c r="C17855" s="27" t="s">
        <v>182</v>
      </c>
      <c r="D17855" s="27" t="s">
        <v>7</v>
      </c>
      <c r="E17855" s="27" t="s">
        <v>19</v>
      </c>
      <c r="F17855" s="29"/>
      <c r="G17855" s="30">
        <f t="shared" si="315"/>
        <v>294.66531250000003</v>
      </c>
    </row>
    <row r="17856" spans="1:7" hidden="1" x14ac:dyDescent="0.25">
      <c r="A17856" s="28">
        <v>44958</v>
      </c>
      <c r="B17856" s="27" t="s">
        <v>200</v>
      </c>
      <c r="C17856" s="27" t="s">
        <v>182</v>
      </c>
      <c r="D17856" s="27" t="s">
        <v>7</v>
      </c>
      <c r="E17856" s="27" t="s">
        <v>20</v>
      </c>
      <c r="F17856" s="29"/>
      <c r="G17856" s="30">
        <f t="shared" si="315"/>
        <v>294.66531250000003</v>
      </c>
    </row>
    <row r="17857" spans="1:7" hidden="1" x14ac:dyDescent="0.25">
      <c r="A17857" s="28">
        <v>44958</v>
      </c>
      <c r="B17857" s="27" t="s">
        <v>200</v>
      </c>
      <c r="C17857" s="27" t="s">
        <v>182</v>
      </c>
      <c r="D17857" s="27" t="s">
        <v>7</v>
      </c>
      <c r="E17857" s="27" t="s">
        <v>38</v>
      </c>
      <c r="F17857" s="29"/>
      <c r="G17857" s="30">
        <f t="shared" si="315"/>
        <v>294.66531250000003</v>
      </c>
    </row>
    <row r="17858" spans="1:7" hidden="1" x14ac:dyDescent="0.25">
      <c r="A17858" s="28">
        <v>44958</v>
      </c>
      <c r="B17858" s="27" t="s">
        <v>200</v>
      </c>
      <c r="C17858" s="27" t="s">
        <v>182</v>
      </c>
      <c r="D17858" s="27" t="s">
        <v>7</v>
      </c>
      <c r="E17858" s="27" t="s">
        <v>23</v>
      </c>
      <c r="F17858" s="29"/>
      <c r="G17858" s="30">
        <f t="shared" si="315"/>
        <v>294.66531250000003</v>
      </c>
    </row>
    <row r="17859" spans="1:7" hidden="1" x14ac:dyDescent="0.25">
      <c r="A17859" s="28">
        <v>44958</v>
      </c>
      <c r="B17859" s="27" t="s">
        <v>200</v>
      </c>
      <c r="C17859" s="27" t="s">
        <v>182</v>
      </c>
      <c r="D17859" s="27" t="s">
        <v>7</v>
      </c>
      <c r="E17859" s="27" t="s">
        <v>22</v>
      </c>
      <c r="F17859" s="29"/>
      <c r="G17859" s="30">
        <f t="shared" si="315"/>
        <v>294.66531250000003</v>
      </c>
    </row>
    <row r="17860" spans="1:7" hidden="1" x14ac:dyDescent="0.25">
      <c r="A17860" s="28">
        <v>44958</v>
      </c>
      <c r="B17860" s="27" t="s">
        <v>200</v>
      </c>
      <c r="C17860" s="27" t="s">
        <v>182</v>
      </c>
      <c r="D17860" s="27" t="s">
        <v>7</v>
      </c>
      <c r="E17860" s="27" t="s">
        <v>39</v>
      </c>
      <c r="F17860" s="29"/>
      <c r="G17860" s="30">
        <f t="shared" si="315"/>
        <v>294.66531250000003</v>
      </c>
    </row>
    <row r="17861" spans="1:7" hidden="1" x14ac:dyDescent="0.25">
      <c r="A17861" s="28">
        <v>44958</v>
      </c>
      <c r="B17861" s="27" t="s">
        <v>200</v>
      </c>
      <c r="C17861" s="27" t="s">
        <v>182</v>
      </c>
      <c r="D17861" s="27" t="s">
        <v>7</v>
      </c>
      <c r="E17861" s="27" t="s">
        <v>41</v>
      </c>
      <c r="F17861" s="29"/>
      <c r="G17861" s="30">
        <f t="shared" si="315"/>
        <v>294.66531250000003</v>
      </c>
    </row>
    <row r="17862" spans="1:7" hidden="1" x14ac:dyDescent="0.25">
      <c r="A17862" s="28">
        <v>44958</v>
      </c>
      <c r="B17862" s="27" t="s">
        <v>200</v>
      </c>
      <c r="C17862" s="27" t="s">
        <v>182</v>
      </c>
      <c r="D17862" s="27" t="s">
        <v>7</v>
      </c>
      <c r="E17862" s="27" t="s">
        <v>40</v>
      </c>
      <c r="F17862" s="29"/>
      <c r="G17862" s="30">
        <f t="shared" si="315"/>
        <v>294.66531250000003</v>
      </c>
    </row>
    <row r="17863" spans="1:7" hidden="1" x14ac:dyDescent="0.25">
      <c r="A17863" s="28">
        <v>44958</v>
      </c>
      <c r="B17863" s="27" t="s">
        <v>200</v>
      </c>
      <c r="C17863" s="27" t="s">
        <v>182</v>
      </c>
      <c r="D17863" s="27" t="s">
        <v>7</v>
      </c>
      <c r="E17863" s="27" t="s">
        <v>64</v>
      </c>
      <c r="F17863" s="29"/>
      <c r="G17863" s="30">
        <f t="shared" si="315"/>
        <v>294.66531250000003</v>
      </c>
    </row>
    <row r="17864" spans="1:7" hidden="1" x14ac:dyDescent="0.25">
      <c r="A17864" s="28">
        <v>44958</v>
      </c>
      <c r="B17864" s="27" t="s">
        <v>200</v>
      </c>
      <c r="C17864" s="27" t="s">
        <v>182</v>
      </c>
      <c r="D17864" s="27" t="s">
        <v>7</v>
      </c>
      <c r="E17864" s="27" t="s">
        <v>42</v>
      </c>
      <c r="F17864" s="29"/>
      <c r="G17864" s="30">
        <f t="shared" si="315"/>
        <v>294.66531250000003</v>
      </c>
    </row>
    <row r="17865" spans="1:7" hidden="1" x14ac:dyDescent="0.25">
      <c r="A17865" s="28">
        <v>44958</v>
      </c>
      <c r="B17865" s="27" t="s">
        <v>200</v>
      </c>
      <c r="C17865" s="27" t="s">
        <v>182</v>
      </c>
      <c r="D17865" s="27" t="s">
        <v>7</v>
      </c>
      <c r="E17865" s="27" t="s">
        <v>72</v>
      </c>
      <c r="F17865" s="29"/>
      <c r="G17865" s="30">
        <f t="shared" si="315"/>
        <v>294.66531250000003</v>
      </c>
    </row>
    <row r="17866" spans="1:7" hidden="1" x14ac:dyDescent="0.25">
      <c r="A17866" s="28">
        <v>44958</v>
      </c>
      <c r="B17866" s="27" t="s">
        <v>200</v>
      </c>
      <c r="C17866" s="27" t="s">
        <v>182</v>
      </c>
      <c r="D17866" s="27" t="s">
        <v>7</v>
      </c>
      <c r="E17866" s="27" t="s">
        <v>43</v>
      </c>
      <c r="F17866" s="29"/>
      <c r="G17866" s="30">
        <f t="shared" si="315"/>
        <v>294.66531250000003</v>
      </c>
    </row>
    <row r="17867" spans="1:7" hidden="1" x14ac:dyDescent="0.25">
      <c r="A17867" s="28">
        <v>44958</v>
      </c>
      <c r="B17867" s="27" t="s">
        <v>200</v>
      </c>
      <c r="C17867" s="27" t="s">
        <v>182</v>
      </c>
      <c r="D17867" s="27" t="s">
        <v>7</v>
      </c>
      <c r="E17867" s="27" t="s">
        <v>206</v>
      </c>
      <c r="F17867" s="29"/>
      <c r="G17867" s="30">
        <f t="shared" si="315"/>
        <v>294.66531250000003</v>
      </c>
    </row>
    <row r="17868" spans="1:7" hidden="1" x14ac:dyDescent="0.25">
      <c r="A17868" s="28">
        <v>44958</v>
      </c>
      <c r="B17868" s="27" t="s">
        <v>200</v>
      </c>
      <c r="C17868" s="27" t="s">
        <v>182</v>
      </c>
      <c r="D17868" s="27" t="s">
        <v>7</v>
      </c>
      <c r="E17868" s="27" t="s">
        <v>68</v>
      </c>
      <c r="F17868" s="29"/>
      <c r="G17868" s="30">
        <f t="shared" si="315"/>
        <v>294.66531250000003</v>
      </c>
    </row>
    <row r="17869" spans="1:7" hidden="1" x14ac:dyDescent="0.25">
      <c r="A17869" s="28">
        <v>44958</v>
      </c>
      <c r="B17869" s="27" t="s">
        <v>200</v>
      </c>
      <c r="C17869" s="27" t="s">
        <v>182</v>
      </c>
      <c r="D17869" s="27" t="s">
        <v>7</v>
      </c>
      <c r="E17869" s="27" t="s">
        <v>74</v>
      </c>
      <c r="F17869" s="29"/>
      <c r="G17869" s="30">
        <f t="shared" si="315"/>
        <v>294.66531250000003</v>
      </c>
    </row>
    <row r="17870" spans="1:7" hidden="1" x14ac:dyDescent="0.25">
      <c r="A17870" s="28">
        <v>44958</v>
      </c>
      <c r="B17870" s="27" t="s">
        <v>200</v>
      </c>
      <c r="C17870" s="27" t="s">
        <v>182</v>
      </c>
      <c r="D17870" s="27" t="s">
        <v>7</v>
      </c>
      <c r="E17870" s="27" t="s">
        <v>67</v>
      </c>
      <c r="F17870" s="29"/>
      <c r="G17870" s="30">
        <f t="shared" si="315"/>
        <v>294.66531250000003</v>
      </c>
    </row>
    <row r="17871" spans="1:7" hidden="1" x14ac:dyDescent="0.25">
      <c r="A17871" s="28">
        <v>44958</v>
      </c>
      <c r="B17871" s="27" t="s">
        <v>200</v>
      </c>
      <c r="C17871" s="27" t="s">
        <v>182</v>
      </c>
      <c r="D17871" s="27" t="s">
        <v>7</v>
      </c>
      <c r="E17871" s="27" t="s">
        <v>71</v>
      </c>
      <c r="F17871" s="29"/>
      <c r="G17871" s="30">
        <f t="shared" si="315"/>
        <v>294.66531250000003</v>
      </c>
    </row>
    <row r="17872" spans="1:7" hidden="1" x14ac:dyDescent="0.25">
      <c r="A17872" s="28">
        <v>44958</v>
      </c>
      <c r="B17872" s="27" t="s">
        <v>200</v>
      </c>
      <c r="C17872" s="27" t="s">
        <v>182</v>
      </c>
      <c r="D17872" s="27" t="s">
        <v>7</v>
      </c>
      <c r="E17872" s="27" t="s">
        <v>73</v>
      </c>
      <c r="F17872" s="29"/>
      <c r="G17872" s="30">
        <f t="shared" si="315"/>
        <v>294.66531250000003</v>
      </c>
    </row>
    <row r="17873" spans="1:7" hidden="1" x14ac:dyDescent="0.25">
      <c r="A17873" s="28">
        <v>44958</v>
      </c>
      <c r="B17873" s="27" t="s">
        <v>200</v>
      </c>
      <c r="C17873" s="27" t="s">
        <v>182</v>
      </c>
      <c r="D17873" s="27" t="s">
        <v>7</v>
      </c>
      <c r="E17873" s="27" t="s">
        <v>70</v>
      </c>
      <c r="F17873" s="29"/>
      <c r="G17873" s="30">
        <f t="shared" si="315"/>
        <v>294.66531250000003</v>
      </c>
    </row>
    <row r="17874" spans="1:7" hidden="1" x14ac:dyDescent="0.25">
      <c r="A17874" s="28">
        <v>44958</v>
      </c>
      <c r="B17874" s="27" t="s">
        <v>200</v>
      </c>
      <c r="C17874" s="27" t="s">
        <v>182</v>
      </c>
      <c r="D17874" s="27" t="s">
        <v>7</v>
      </c>
      <c r="E17874" s="27" t="s">
        <v>203</v>
      </c>
      <c r="F17874" s="29"/>
      <c r="G17874" s="30">
        <f t="shared" si="315"/>
        <v>294.66531250000003</v>
      </c>
    </row>
    <row r="17875" spans="1:7" hidden="1" x14ac:dyDescent="0.25">
      <c r="A17875" s="28">
        <v>44986</v>
      </c>
      <c r="B17875" s="27" t="s">
        <v>33</v>
      </c>
      <c r="C17875" s="27" t="s">
        <v>50</v>
      </c>
      <c r="D17875" s="27" t="s">
        <v>7</v>
      </c>
      <c r="E17875" s="27" t="s">
        <v>8</v>
      </c>
      <c r="F17875" s="29"/>
      <c r="G17875" s="30">
        <f t="shared" ref="G17875:G17906" si="316">52848.79/32</f>
        <v>1651.5246875</v>
      </c>
    </row>
    <row r="17876" spans="1:7" hidden="1" x14ac:dyDescent="0.25">
      <c r="A17876" s="28">
        <v>44986</v>
      </c>
      <c r="B17876" s="27" t="s">
        <v>33</v>
      </c>
      <c r="C17876" s="27" t="s">
        <v>50</v>
      </c>
      <c r="D17876" s="27" t="s">
        <v>7</v>
      </c>
      <c r="E17876" s="27" t="s">
        <v>9</v>
      </c>
      <c r="F17876" s="29"/>
      <c r="G17876" s="30">
        <f t="shared" si="316"/>
        <v>1651.5246875</v>
      </c>
    </row>
    <row r="17877" spans="1:7" hidden="1" x14ac:dyDescent="0.25">
      <c r="A17877" s="28">
        <v>44986</v>
      </c>
      <c r="B17877" s="27" t="s">
        <v>33</v>
      </c>
      <c r="C17877" s="27" t="s">
        <v>50</v>
      </c>
      <c r="D17877" s="27" t="s">
        <v>7</v>
      </c>
      <c r="E17877" s="27" t="s">
        <v>21</v>
      </c>
      <c r="F17877" s="29"/>
      <c r="G17877" s="30">
        <f t="shared" si="316"/>
        <v>1651.5246875</v>
      </c>
    </row>
    <row r="17878" spans="1:7" hidden="1" x14ac:dyDescent="0.25">
      <c r="A17878" s="28">
        <v>44986</v>
      </c>
      <c r="B17878" s="27" t="s">
        <v>33</v>
      </c>
      <c r="C17878" s="27" t="s">
        <v>50</v>
      </c>
      <c r="D17878" s="27" t="s">
        <v>7</v>
      </c>
      <c r="E17878" s="27" t="s">
        <v>10</v>
      </c>
      <c r="F17878" s="29"/>
      <c r="G17878" s="30">
        <f t="shared" si="316"/>
        <v>1651.5246875</v>
      </c>
    </row>
    <row r="17879" spans="1:7" hidden="1" x14ac:dyDescent="0.25">
      <c r="A17879" s="28">
        <v>44986</v>
      </c>
      <c r="B17879" s="27" t="s">
        <v>33</v>
      </c>
      <c r="C17879" s="27" t="s">
        <v>50</v>
      </c>
      <c r="D17879" s="27" t="s">
        <v>7</v>
      </c>
      <c r="E17879" s="27" t="s">
        <v>11</v>
      </c>
      <c r="F17879" s="29"/>
      <c r="G17879" s="30">
        <f t="shared" si="316"/>
        <v>1651.5246875</v>
      </c>
    </row>
    <row r="17880" spans="1:7" hidden="1" x14ac:dyDescent="0.25">
      <c r="A17880" s="28">
        <v>44986</v>
      </c>
      <c r="B17880" s="27" t="s">
        <v>33</v>
      </c>
      <c r="C17880" s="27" t="s">
        <v>50</v>
      </c>
      <c r="D17880" s="27" t="s">
        <v>7</v>
      </c>
      <c r="E17880" s="27" t="s">
        <v>12</v>
      </c>
      <c r="F17880" s="29"/>
      <c r="G17880" s="30">
        <f t="shared" si="316"/>
        <v>1651.5246875</v>
      </c>
    </row>
    <row r="17881" spans="1:7" hidden="1" x14ac:dyDescent="0.25">
      <c r="A17881" s="28">
        <v>44986</v>
      </c>
      <c r="B17881" s="27" t="s">
        <v>33</v>
      </c>
      <c r="C17881" s="27" t="s">
        <v>50</v>
      </c>
      <c r="D17881" s="27" t="s">
        <v>7</v>
      </c>
      <c r="E17881" s="27" t="s">
        <v>13</v>
      </c>
      <c r="F17881" s="29"/>
      <c r="G17881" s="30">
        <f t="shared" si="316"/>
        <v>1651.5246875</v>
      </c>
    </row>
    <row r="17882" spans="1:7" hidden="1" x14ac:dyDescent="0.25">
      <c r="A17882" s="28">
        <v>44986</v>
      </c>
      <c r="B17882" s="27" t="s">
        <v>33</v>
      </c>
      <c r="C17882" s="27" t="s">
        <v>50</v>
      </c>
      <c r="D17882" s="27" t="s">
        <v>7</v>
      </c>
      <c r="E17882" s="27" t="s">
        <v>14</v>
      </c>
      <c r="F17882" s="29"/>
      <c r="G17882" s="30">
        <f t="shared" si="316"/>
        <v>1651.5246875</v>
      </c>
    </row>
    <row r="17883" spans="1:7" hidden="1" x14ac:dyDescent="0.25">
      <c r="A17883" s="28">
        <v>44986</v>
      </c>
      <c r="B17883" s="27" t="s">
        <v>33</v>
      </c>
      <c r="C17883" s="27" t="s">
        <v>50</v>
      </c>
      <c r="D17883" s="27" t="s">
        <v>7</v>
      </c>
      <c r="E17883" s="27" t="s">
        <v>15</v>
      </c>
      <c r="F17883" s="29"/>
      <c r="G17883" s="30">
        <f t="shared" si="316"/>
        <v>1651.5246875</v>
      </c>
    </row>
    <row r="17884" spans="1:7" hidden="1" x14ac:dyDescent="0.25">
      <c r="A17884" s="28">
        <v>44986</v>
      </c>
      <c r="B17884" s="27" t="s">
        <v>33</v>
      </c>
      <c r="C17884" s="27" t="s">
        <v>50</v>
      </c>
      <c r="D17884" s="27" t="s">
        <v>7</v>
      </c>
      <c r="E17884" s="27" t="s">
        <v>16</v>
      </c>
      <c r="F17884" s="29"/>
      <c r="G17884" s="30">
        <f t="shared" si="316"/>
        <v>1651.5246875</v>
      </c>
    </row>
    <row r="17885" spans="1:7" hidden="1" x14ac:dyDescent="0.25">
      <c r="A17885" s="28">
        <v>44986</v>
      </c>
      <c r="B17885" s="27" t="s">
        <v>33</v>
      </c>
      <c r="C17885" s="27" t="s">
        <v>50</v>
      </c>
      <c r="D17885" s="27" t="s">
        <v>7</v>
      </c>
      <c r="E17885" s="27" t="s">
        <v>17</v>
      </c>
      <c r="F17885" s="29"/>
      <c r="G17885" s="30">
        <f t="shared" si="316"/>
        <v>1651.5246875</v>
      </c>
    </row>
    <row r="17886" spans="1:7" hidden="1" x14ac:dyDescent="0.25">
      <c r="A17886" s="28">
        <v>44986</v>
      </c>
      <c r="B17886" s="27" t="s">
        <v>33</v>
      </c>
      <c r="C17886" s="27" t="s">
        <v>50</v>
      </c>
      <c r="D17886" s="27" t="s">
        <v>7</v>
      </c>
      <c r="E17886" s="27" t="s">
        <v>18</v>
      </c>
      <c r="F17886" s="29"/>
      <c r="G17886" s="30">
        <f t="shared" si="316"/>
        <v>1651.5246875</v>
      </c>
    </row>
    <row r="17887" spans="1:7" hidden="1" x14ac:dyDescent="0.25">
      <c r="A17887" s="28">
        <v>44986</v>
      </c>
      <c r="B17887" s="27" t="s">
        <v>33</v>
      </c>
      <c r="C17887" s="27" t="s">
        <v>50</v>
      </c>
      <c r="D17887" s="27" t="s">
        <v>7</v>
      </c>
      <c r="E17887" s="27" t="s">
        <v>19</v>
      </c>
      <c r="F17887" s="29"/>
      <c r="G17887" s="30">
        <f t="shared" si="316"/>
        <v>1651.5246875</v>
      </c>
    </row>
    <row r="17888" spans="1:7" hidden="1" x14ac:dyDescent="0.25">
      <c r="A17888" s="28">
        <v>44986</v>
      </c>
      <c r="B17888" s="27" t="s">
        <v>33</v>
      </c>
      <c r="C17888" s="27" t="s">
        <v>50</v>
      </c>
      <c r="D17888" s="27" t="s">
        <v>7</v>
      </c>
      <c r="E17888" s="27" t="s">
        <v>20</v>
      </c>
      <c r="F17888" s="29"/>
      <c r="G17888" s="30">
        <f t="shared" si="316"/>
        <v>1651.5246875</v>
      </c>
    </row>
    <row r="17889" spans="1:7" hidden="1" x14ac:dyDescent="0.25">
      <c r="A17889" s="28">
        <v>44986</v>
      </c>
      <c r="B17889" s="27" t="s">
        <v>33</v>
      </c>
      <c r="C17889" s="27" t="s">
        <v>50</v>
      </c>
      <c r="D17889" s="27" t="s">
        <v>7</v>
      </c>
      <c r="E17889" s="27" t="s">
        <v>38</v>
      </c>
      <c r="F17889" s="29"/>
      <c r="G17889" s="30">
        <f t="shared" si="316"/>
        <v>1651.5246875</v>
      </c>
    </row>
    <row r="17890" spans="1:7" hidden="1" x14ac:dyDescent="0.25">
      <c r="A17890" s="28">
        <v>44986</v>
      </c>
      <c r="B17890" s="27" t="s">
        <v>33</v>
      </c>
      <c r="C17890" s="27" t="s">
        <v>50</v>
      </c>
      <c r="D17890" s="27" t="s">
        <v>7</v>
      </c>
      <c r="E17890" s="27" t="s">
        <v>23</v>
      </c>
      <c r="F17890" s="29"/>
      <c r="G17890" s="30">
        <f t="shared" si="316"/>
        <v>1651.5246875</v>
      </c>
    </row>
    <row r="17891" spans="1:7" hidden="1" x14ac:dyDescent="0.25">
      <c r="A17891" s="28">
        <v>44986</v>
      </c>
      <c r="B17891" s="27" t="s">
        <v>33</v>
      </c>
      <c r="C17891" s="27" t="s">
        <v>50</v>
      </c>
      <c r="D17891" s="27" t="s">
        <v>7</v>
      </c>
      <c r="E17891" s="27" t="s">
        <v>22</v>
      </c>
      <c r="F17891" s="29"/>
      <c r="G17891" s="30">
        <f t="shared" si="316"/>
        <v>1651.5246875</v>
      </c>
    </row>
    <row r="17892" spans="1:7" hidden="1" x14ac:dyDescent="0.25">
      <c r="A17892" s="28">
        <v>44986</v>
      </c>
      <c r="B17892" s="27" t="s">
        <v>33</v>
      </c>
      <c r="C17892" s="27" t="s">
        <v>50</v>
      </c>
      <c r="D17892" s="27" t="s">
        <v>7</v>
      </c>
      <c r="E17892" s="27" t="s">
        <v>39</v>
      </c>
      <c r="F17892" s="29"/>
      <c r="G17892" s="30">
        <f t="shared" si="316"/>
        <v>1651.5246875</v>
      </c>
    </row>
    <row r="17893" spans="1:7" hidden="1" x14ac:dyDescent="0.25">
      <c r="A17893" s="28">
        <v>44986</v>
      </c>
      <c r="B17893" s="27" t="s">
        <v>33</v>
      </c>
      <c r="C17893" s="27" t="s">
        <v>50</v>
      </c>
      <c r="D17893" s="27" t="s">
        <v>7</v>
      </c>
      <c r="E17893" s="27" t="s">
        <v>41</v>
      </c>
      <c r="F17893" s="29"/>
      <c r="G17893" s="30">
        <f t="shared" si="316"/>
        <v>1651.5246875</v>
      </c>
    </row>
    <row r="17894" spans="1:7" hidden="1" x14ac:dyDescent="0.25">
      <c r="A17894" s="28">
        <v>44986</v>
      </c>
      <c r="B17894" s="27" t="s">
        <v>33</v>
      </c>
      <c r="C17894" s="27" t="s">
        <v>50</v>
      </c>
      <c r="D17894" s="27" t="s">
        <v>7</v>
      </c>
      <c r="E17894" s="27" t="s">
        <v>40</v>
      </c>
      <c r="F17894" s="29"/>
      <c r="G17894" s="30">
        <f t="shared" si="316"/>
        <v>1651.5246875</v>
      </c>
    </row>
    <row r="17895" spans="1:7" hidden="1" x14ac:dyDescent="0.25">
      <c r="A17895" s="28">
        <v>44986</v>
      </c>
      <c r="B17895" s="27" t="s">
        <v>33</v>
      </c>
      <c r="C17895" s="27" t="s">
        <v>50</v>
      </c>
      <c r="D17895" s="27" t="s">
        <v>7</v>
      </c>
      <c r="E17895" s="27" t="s">
        <v>64</v>
      </c>
      <c r="F17895" s="29"/>
      <c r="G17895" s="30">
        <f t="shared" si="316"/>
        <v>1651.5246875</v>
      </c>
    </row>
    <row r="17896" spans="1:7" hidden="1" x14ac:dyDescent="0.25">
      <c r="A17896" s="28">
        <v>44986</v>
      </c>
      <c r="B17896" s="27" t="s">
        <v>33</v>
      </c>
      <c r="C17896" s="27" t="s">
        <v>50</v>
      </c>
      <c r="D17896" s="27" t="s">
        <v>7</v>
      </c>
      <c r="E17896" s="27" t="s">
        <v>42</v>
      </c>
      <c r="F17896" s="29"/>
      <c r="G17896" s="30">
        <f t="shared" si="316"/>
        <v>1651.5246875</v>
      </c>
    </row>
    <row r="17897" spans="1:7" hidden="1" x14ac:dyDescent="0.25">
      <c r="A17897" s="28">
        <v>44986</v>
      </c>
      <c r="B17897" s="27" t="s">
        <v>33</v>
      </c>
      <c r="C17897" s="27" t="s">
        <v>50</v>
      </c>
      <c r="D17897" s="27" t="s">
        <v>7</v>
      </c>
      <c r="E17897" s="27" t="s">
        <v>72</v>
      </c>
      <c r="F17897" s="29"/>
      <c r="G17897" s="30">
        <f t="shared" si="316"/>
        <v>1651.5246875</v>
      </c>
    </row>
    <row r="17898" spans="1:7" hidden="1" x14ac:dyDescent="0.25">
      <c r="A17898" s="28">
        <v>44986</v>
      </c>
      <c r="B17898" s="27" t="s">
        <v>33</v>
      </c>
      <c r="C17898" s="27" t="s">
        <v>50</v>
      </c>
      <c r="D17898" s="27" t="s">
        <v>7</v>
      </c>
      <c r="E17898" s="27" t="s">
        <v>43</v>
      </c>
      <c r="F17898" s="29"/>
      <c r="G17898" s="30">
        <f t="shared" si="316"/>
        <v>1651.5246875</v>
      </c>
    </row>
    <row r="17899" spans="1:7" hidden="1" x14ac:dyDescent="0.25">
      <c r="A17899" s="28">
        <v>44986</v>
      </c>
      <c r="B17899" s="27" t="s">
        <v>33</v>
      </c>
      <c r="C17899" s="27" t="s">
        <v>50</v>
      </c>
      <c r="D17899" s="27" t="s">
        <v>7</v>
      </c>
      <c r="E17899" s="27" t="s">
        <v>206</v>
      </c>
      <c r="F17899" s="29"/>
      <c r="G17899" s="30">
        <f t="shared" si="316"/>
        <v>1651.5246875</v>
      </c>
    </row>
    <row r="17900" spans="1:7" hidden="1" x14ac:dyDescent="0.25">
      <c r="A17900" s="28">
        <v>44986</v>
      </c>
      <c r="B17900" s="27" t="s">
        <v>33</v>
      </c>
      <c r="C17900" s="27" t="s">
        <v>50</v>
      </c>
      <c r="D17900" s="27" t="s">
        <v>7</v>
      </c>
      <c r="E17900" s="27" t="s">
        <v>68</v>
      </c>
      <c r="F17900" s="29"/>
      <c r="G17900" s="30">
        <f t="shared" si="316"/>
        <v>1651.5246875</v>
      </c>
    </row>
    <row r="17901" spans="1:7" hidden="1" x14ac:dyDescent="0.25">
      <c r="A17901" s="28">
        <v>44986</v>
      </c>
      <c r="B17901" s="27" t="s">
        <v>33</v>
      </c>
      <c r="C17901" s="27" t="s">
        <v>50</v>
      </c>
      <c r="D17901" s="27" t="s">
        <v>7</v>
      </c>
      <c r="E17901" s="27" t="s">
        <v>74</v>
      </c>
      <c r="F17901" s="29"/>
      <c r="G17901" s="30">
        <f t="shared" si="316"/>
        <v>1651.5246875</v>
      </c>
    </row>
    <row r="17902" spans="1:7" hidden="1" x14ac:dyDescent="0.25">
      <c r="A17902" s="28">
        <v>44986</v>
      </c>
      <c r="B17902" s="27" t="s">
        <v>33</v>
      </c>
      <c r="C17902" s="27" t="s">
        <v>50</v>
      </c>
      <c r="D17902" s="27" t="s">
        <v>7</v>
      </c>
      <c r="E17902" s="27" t="s">
        <v>67</v>
      </c>
      <c r="F17902" s="29"/>
      <c r="G17902" s="30">
        <f t="shared" si="316"/>
        <v>1651.5246875</v>
      </c>
    </row>
    <row r="17903" spans="1:7" hidden="1" x14ac:dyDescent="0.25">
      <c r="A17903" s="28">
        <v>44986</v>
      </c>
      <c r="B17903" s="27" t="s">
        <v>33</v>
      </c>
      <c r="C17903" s="27" t="s">
        <v>50</v>
      </c>
      <c r="D17903" s="27" t="s">
        <v>7</v>
      </c>
      <c r="E17903" s="27" t="s">
        <v>71</v>
      </c>
      <c r="F17903" s="29"/>
      <c r="G17903" s="30">
        <f t="shared" si="316"/>
        <v>1651.5246875</v>
      </c>
    </row>
    <row r="17904" spans="1:7" hidden="1" x14ac:dyDescent="0.25">
      <c r="A17904" s="28">
        <v>44986</v>
      </c>
      <c r="B17904" s="27" t="s">
        <v>33</v>
      </c>
      <c r="C17904" s="27" t="s">
        <v>50</v>
      </c>
      <c r="D17904" s="27" t="s">
        <v>7</v>
      </c>
      <c r="E17904" s="27" t="s">
        <v>73</v>
      </c>
      <c r="F17904" s="29"/>
      <c r="G17904" s="30">
        <f t="shared" si="316"/>
        <v>1651.5246875</v>
      </c>
    </row>
    <row r="17905" spans="1:7" hidden="1" x14ac:dyDescent="0.25">
      <c r="A17905" s="28">
        <v>44986</v>
      </c>
      <c r="B17905" s="27" t="s">
        <v>33</v>
      </c>
      <c r="C17905" s="27" t="s">
        <v>50</v>
      </c>
      <c r="D17905" s="27" t="s">
        <v>7</v>
      </c>
      <c r="E17905" s="27" t="s">
        <v>70</v>
      </c>
      <c r="F17905" s="29"/>
      <c r="G17905" s="30">
        <f t="shared" si="316"/>
        <v>1651.5246875</v>
      </c>
    </row>
    <row r="17906" spans="1:7" hidden="1" x14ac:dyDescent="0.25">
      <c r="A17906" s="28">
        <v>44986</v>
      </c>
      <c r="B17906" s="27" t="s">
        <v>33</v>
      </c>
      <c r="C17906" s="27" t="s">
        <v>50</v>
      </c>
      <c r="D17906" s="27" t="s">
        <v>7</v>
      </c>
      <c r="E17906" s="27" t="s">
        <v>203</v>
      </c>
      <c r="F17906" s="29"/>
      <c r="G17906" s="30">
        <f t="shared" si="316"/>
        <v>1651.5246875</v>
      </c>
    </row>
    <row r="17907" spans="1:7" hidden="1" x14ac:dyDescent="0.25">
      <c r="A17907" s="28">
        <v>44986</v>
      </c>
      <c r="B17907" s="27" t="s">
        <v>4</v>
      </c>
      <c r="C17907" s="27" t="s">
        <v>50</v>
      </c>
      <c r="D17907" s="27" t="s">
        <v>7</v>
      </c>
      <c r="E17907" s="27" t="s">
        <v>68</v>
      </c>
      <c r="F17907" s="29"/>
      <c r="G17907" s="30">
        <f>22522.19784+1673.57</f>
        <v>24195.76784</v>
      </c>
    </row>
    <row r="17908" spans="1:7" hidden="1" x14ac:dyDescent="0.25">
      <c r="A17908" s="28">
        <v>44986</v>
      </c>
      <c r="B17908" s="27" t="s">
        <v>4</v>
      </c>
      <c r="C17908" s="27" t="s">
        <v>50</v>
      </c>
      <c r="D17908" s="27" t="s">
        <v>7</v>
      </c>
      <c r="E17908" s="27" t="s">
        <v>43</v>
      </c>
      <c r="F17908" s="29"/>
      <c r="G17908" s="30">
        <f>3098.78551+1673.57</f>
        <v>4772.3555100000003</v>
      </c>
    </row>
    <row r="17909" spans="1:7" hidden="1" x14ac:dyDescent="0.25">
      <c r="A17909" s="28">
        <v>44986</v>
      </c>
      <c r="B17909" s="27" t="s">
        <v>4</v>
      </c>
      <c r="C17909" s="27" t="s">
        <v>50</v>
      </c>
      <c r="D17909" s="27" t="s">
        <v>7</v>
      </c>
      <c r="E17909" s="27" t="s">
        <v>8</v>
      </c>
      <c r="F17909" s="29"/>
      <c r="G17909" s="30">
        <f>961.5108+1673.57</f>
        <v>2635.0807999999997</v>
      </c>
    </row>
    <row r="17910" spans="1:7" hidden="1" x14ac:dyDescent="0.25">
      <c r="A17910" s="28">
        <v>44986</v>
      </c>
      <c r="B17910" s="27" t="s">
        <v>4</v>
      </c>
      <c r="C17910" s="27" t="s">
        <v>50</v>
      </c>
      <c r="D17910" s="27" t="s">
        <v>7</v>
      </c>
      <c r="E17910" s="27" t="s">
        <v>9</v>
      </c>
      <c r="F17910" s="29"/>
      <c r="G17910" s="30">
        <f>7253.1949+1673.57</f>
        <v>8926.7649000000001</v>
      </c>
    </row>
    <row r="17911" spans="1:7" hidden="1" x14ac:dyDescent="0.25">
      <c r="A17911" s="28">
        <v>44986</v>
      </c>
      <c r="B17911" s="27" t="s">
        <v>4</v>
      </c>
      <c r="C17911" s="27" t="s">
        <v>50</v>
      </c>
      <c r="D17911" s="27" t="s">
        <v>7</v>
      </c>
      <c r="E17911" s="27" t="s">
        <v>42</v>
      </c>
      <c r="F17911" s="29"/>
      <c r="G17911" s="30">
        <f>410.02149+1673.57</f>
        <v>2083.5914899999998</v>
      </c>
    </row>
    <row r="17912" spans="1:7" hidden="1" x14ac:dyDescent="0.25">
      <c r="A17912" s="28">
        <v>44986</v>
      </c>
      <c r="B17912" s="27" t="s">
        <v>4</v>
      </c>
      <c r="C17912" s="27" t="s">
        <v>50</v>
      </c>
      <c r="D17912" s="27" t="s">
        <v>7</v>
      </c>
      <c r="E17912" s="27" t="s">
        <v>222</v>
      </c>
      <c r="F17912" s="29"/>
      <c r="G17912" s="30">
        <f>4552.1085+1673.57</f>
        <v>6225.6785</v>
      </c>
    </row>
    <row r="17913" spans="1:7" hidden="1" x14ac:dyDescent="0.25">
      <c r="A17913" s="28">
        <v>44986</v>
      </c>
      <c r="B17913" s="27" t="s">
        <v>4</v>
      </c>
      <c r="C17913" s="27" t="s">
        <v>50</v>
      </c>
      <c r="D17913" s="27" t="s">
        <v>7</v>
      </c>
      <c r="E17913" s="27" t="s">
        <v>67</v>
      </c>
      <c r="F17913" s="29"/>
      <c r="G17913" s="30">
        <f>7509.51596+1673.57</f>
        <v>9183.0859600000003</v>
      </c>
    </row>
    <row r="17914" spans="1:7" hidden="1" x14ac:dyDescent="0.25">
      <c r="A17914" s="28">
        <v>44986</v>
      </c>
      <c r="B17914" s="27" t="s">
        <v>4</v>
      </c>
      <c r="C17914" s="27" t="s">
        <v>50</v>
      </c>
      <c r="D17914" s="27" t="s">
        <v>7</v>
      </c>
      <c r="E17914" s="27" t="s">
        <v>22</v>
      </c>
      <c r="F17914" s="29"/>
      <c r="G17914" s="30">
        <f>3252.22802+1673.57</f>
        <v>4925.7980200000002</v>
      </c>
    </row>
    <row r="17915" spans="1:7" hidden="1" x14ac:dyDescent="0.25">
      <c r="A17915" s="28">
        <v>44986</v>
      </c>
      <c r="B17915" s="27" t="s">
        <v>4</v>
      </c>
      <c r="C17915" s="27" t="s">
        <v>50</v>
      </c>
      <c r="D17915" s="27" t="s">
        <v>7</v>
      </c>
      <c r="E17915" s="27" t="s">
        <v>39</v>
      </c>
      <c r="F17915" s="29"/>
      <c r="G17915" s="30">
        <f>2723.1823+1673.57</f>
        <v>4396.7523000000001</v>
      </c>
    </row>
    <row r="17916" spans="1:7" hidden="1" x14ac:dyDescent="0.25">
      <c r="A17916" s="28">
        <v>44986</v>
      </c>
      <c r="B17916" s="27" t="s">
        <v>4</v>
      </c>
      <c r="C17916" s="27" t="s">
        <v>50</v>
      </c>
      <c r="D17916" s="27" t="s">
        <v>7</v>
      </c>
      <c r="E17916" s="27" t="s">
        <v>70</v>
      </c>
      <c r="F17916" s="29"/>
      <c r="G17916" s="30">
        <f>16871.355+1673.57</f>
        <v>18544.924999999999</v>
      </c>
    </row>
    <row r="17917" spans="1:7" hidden="1" x14ac:dyDescent="0.25">
      <c r="A17917" s="28">
        <v>44986</v>
      </c>
      <c r="B17917" s="27" t="s">
        <v>4</v>
      </c>
      <c r="C17917" s="27" t="s">
        <v>50</v>
      </c>
      <c r="D17917" s="27" t="s">
        <v>7</v>
      </c>
      <c r="E17917" s="27" t="s">
        <v>203</v>
      </c>
      <c r="F17917" s="29"/>
      <c r="G17917" s="30">
        <f>2140.02965+1673.57</f>
        <v>3813.5996500000001</v>
      </c>
    </row>
    <row r="17918" spans="1:7" hidden="1" x14ac:dyDescent="0.25">
      <c r="A17918" s="28">
        <v>44986</v>
      </c>
      <c r="B17918" s="27" t="s">
        <v>4</v>
      </c>
      <c r="C17918" s="27" t="s">
        <v>50</v>
      </c>
      <c r="D17918" s="27" t="s">
        <v>7</v>
      </c>
      <c r="E17918" s="27" t="s">
        <v>72</v>
      </c>
      <c r="F17918" s="29"/>
      <c r="G17918" s="30">
        <f>1882.49393+1673.57</f>
        <v>3556.0639300000003</v>
      </c>
    </row>
    <row r="17919" spans="1:7" hidden="1" x14ac:dyDescent="0.25">
      <c r="A17919" s="28">
        <v>44986</v>
      </c>
      <c r="B17919" s="27" t="s">
        <v>4</v>
      </c>
      <c r="C17919" s="27" t="s">
        <v>50</v>
      </c>
      <c r="D17919" s="27" t="s">
        <v>7</v>
      </c>
      <c r="E17919" s="27" t="s">
        <v>73</v>
      </c>
      <c r="F17919" s="29"/>
      <c r="G17919" s="30">
        <f>3810.9346+1673.57</f>
        <v>5484.5046000000002</v>
      </c>
    </row>
    <row r="17920" spans="1:7" hidden="1" x14ac:dyDescent="0.25">
      <c r="A17920" s="28">
        <v>44986</v>
      </c>
      <c r="B17920" s="27" t="s">
        <v>4</v>
      </c>
      <c r="C17920" s="27" t="s">
        <v>50</v>
      </c>
      <c r="D17920" s="27" t="s">
        <v>7</v>
      </c>
      <c r="E17920" s="27" t="s">
        <v>71</v>
      </c>
      <c r="F17920" s="29"/>
      <c r="G17920" s="30">
        <f>13923.33026+1673.57</f>
        <v>15596.90026</v>
      </c>
    </row>
    <row r="17921" spans="1:7" hidden="1" x14ac:dyDescent="0.25">
      <c r="A17921" s="28">
        <v>44986</v>
      </c>
      <c r="B17921" s="27" t="s">
        <v>4</v>
      </c>
      <c r="C17921" s="27" t="s">
        <v>50</v>
      </c>
      <c r="D17921" s="27" t="s">
        <v>7</v>
      </c>
      <c r="E17921" s="27" t="s">
        <v>64</v>
      </c>
      <c r="F17921" s="29"/>
      <c r="G17921" s="30">
        <f>9129.7471+1673.57</f>
        <v>10803.3171</v>
      </c>
    </row>
    <row r="17922" spans="1:7" hidden="1" x14ac:dyDescent="0.25">
      <c r="A17922" s="28">
        <v>44986</v>
      </c>
      <c r="B17922" s="27" t="s">
        <v>4</v>
      </c>
      <c r="C17922" s="27" t="s">
        <v>50</v>
      </c>
      <c r="D17922" s="27" t="s">
        <v>7</v>
      </c>
      <c r="E17922" s="27" t="s">
        <v>21</v>
      </c>
      <c r="F17922" s="29"/>
      <c r="G17922" s="30">
        <f>6098.79927+1673.57</f>
        <v>7772.3692700000001</v>
      </c>
    </row>
    <row r="17923" spans="1:7" hidden="1" x14ac:dyDescent="0.25">
      <c r="A17923" s="28">
        <v>44986</v>
      </c>
      <c r="B17923" s="27" t="s">
        <v>4</v>
      </c>
      <c r="C17923" s="27" t="s">
        <v>50</v>
      </c>
      <c r="D17923" s="27" t="s">
        <v>7</v>
      </c>
      <c r="E17923" s="27" t="s">
        <v>207</v>
      </c>
      <c r="F17923" s="29"/>
      <c r="G17923" s="30">
        <f>20.00007+1673.57</f>
        <v>1693.57007</v>
      </c>
    </row>
    <row r="17924" spans="1:7" hidden="1" x14ac:dyDescent="0.25">
      <c r="A17924" s="28">
        <v>44986</v>
      </c>
      <c r="B17924" s="27" t="s">
        <v>4</v>
      </c>
      <c r="C17924" s="27" t="s">
        <v>50</v>
      </c>
      <c r="D17924" s="27" t="s">
        <v>7</v>
      </c>
      <c r="E17924" s="27" t="s">
        <v>41</v>
      </c>
      <c r="F17924" s="29"/>
      <c r="G17924" s="30">
        <f>5545.34009+1673.57</f>
        <v>7218.9100899999994</v>
      </c>
    </row>
    <row r="17925" spans="1:7" hidden="1" x14ac:dyDescent="0.25">
      <c r="A17925" s="28">
        <v>44986</v>
      </c>
      <c r="B17925" s="27" t="s">
        <v>4</v>
      </c>
      <c r="C17925" s="27" t="s">
        <v>50</v>
      </c>
      <c r="D17925" s="27" t="s">
        <v>7</v>
      </c>
      <c r="E17925" s="27" t="s">
        <v>10</v>
      </c>
      <c r="F17925" s="29"/>
      <c r="G17925" s="30">
        <f>5653.1786+1673.57</f>
        <v>7326.7485999999999</v>
      </c>
    </row>
    <row r="17926" spans="1:7" hidden="1" x14ac:dyDescent="0.25">
      <c r="A17926" s="28">
        <v>44986</v>
      </c>
      <c r="B17926" s="27" t="s">
        <v>4</v>
      </c>
      <c r="C17926" s="27" t="s">
        <v>50</v>
      </c>
      <c r="D17926" s="27" t="s">
        <v>7</v>
      </c>
      <c r="E17926" s="27" t="s">
        <v>11</v>
      </c>
      <c r="F17926" s="29"/>
      <c r="G17926" s="30">
        <f>2500.2294+1673.57</f>
        <v>4173.7993999999999</v>
      </c>
    </row>
    <row r="17927" spans="1:7" hidden="1" x14ac:dyDescent="0.25">
      <c r="A17927" s="28">
        <v>44986</v>
      </c>
      <c r="B17927" s="27" t="s">
        <v>4</v>
      </c>
      <c r="C17927" s="27" t="s">
        <v>50</v>
      </c>
      <c r="D17927" s="27" t="s">
        <v>7</v>
      </c>
      <c r="E17927" s="27" t="s">
        <v>206</v>
      </c>
      <c r="F17927" s="29"/>
      <c r="G17927" s="30">
        <f>14739.2504+1673.57</f>
        <v>16412.820400000001</v>
      </c>
    </row>
    <row r="17928" spans="1:7" hidden="1" x14ac:dyDescent="0.25">
      <c r="A17928" s="28">
        <v>44986</v>
      </c>
      <c r="B17928" s="27" t="s">
        <v>4</v>
      </c>
      <c r="C17928" s="27" t="s">
        <v>50</v>
      </c>
      <c r="D17928" s="27" t="s">
        <v>7</v>
      </c>
      <c r="E17928" s="27" t="s">
        <v>12</v>
      </c>
      <c r="F17928" s="29"/>
      <c r="G17928" s="30">
        <f>1814.9208+1673.57</f>
        <v>3488.4908</v>
      </c>
    </row>
    <row r="17929" spans="1:7" hidden="1" x14ac:dyDescent="0.25">
      <c r="A17929" s="28">
        <v>44986</v>
      </c>
      <c r="B17929" s="27" t="s">
        <v>4</v>
      </c>
      <c r="C17929" s="27" t="s">
        <v>50</v>
      </c>
      <c r="D17929" s="27" t="s">
        <v>7</v>
      </c>
      <c r="E17929" s="27" t="s">
        <v>13</v>
      </c>
      <c r="F17929" s="29"/>
      <c r="G17929" s="30">
        <f>10510.958636+1673.57</f>
        <v>12184.528635999999</v>
      </c>
    </row>
    <row r="17930" spans="1:7" hidden="1" x14ac:dyDescent="0.25">
      <c r="A17930" s="28">
        <v>44986</v>
      </c>
      <c r="B17930" s="27" t="s">
        <v>4</v>
      </c>
      <c r="C17930" s="27" t="s">
        <v>50</v>
      </c>
      <c r="D17930" s="27" t="s">
        <v>7</v>
      </c>
      <c r="E17930" s="27" t="s">
        <v>14</v>
      </c>
      <c r="F17930" s="29"/>
      <c r="G17930" s="30">
        <f>129.6321+1673.57</f>
        <v>1803.2021</v>
      </c>
    </row>
    <row r="17931" spans="1:7" hidden="1" x14ac:dyDescent="0.25">
      <c r="A17931" s="28">
        <v>44986</v>
      </c>
      <c r="B17931" s="27" t="s">
        <v>4</v>
      </c>
      <c r="C17931" s="27" t="s">
        <v>50</v>
      </c>
      <c r="D17931" s="27" t="s">
        <v>7</v>
      </c>
      <c r="E17931" s="27" t="s">
        <v>15</v>
      </c>
      <c r="F17931" s="29"/>
      <c r="G17931" s="30">
        <f>1953.04336+1673.57</f>
        <v>3626.6133599999998</v>
      </c>
    </row>
    <row r="17932" spans="1:7" hidden="1" x14ac:dyDescent="0.25">
      <c r="A17932" s="28">
        <v>44986</v>
      </c>
      <c r="B17932" s="27" t="s">
        <v>4</v>
      </c>
      <c r="C17932" s="27" t="s">
        <v>50</v>
      </c>
      <c r="D17932" s="27" t="s">
        <v>7</v>
      </c>
      <c r="E17932" s="27" t="s">
        <v>16</v>
      </c>
      <c r="F17932" s="29"/>
      <c r="G17932" s="30">
        <f>1487.78357+1673.57</f>
        <v>3161.3535700000002</v>
      </c>
    </row>
    <row r="17933" spans="1:7" hidden="1" x14ac:dyDescent="0.25">
      <c r="A17933" s="28">
        <v>44986</v>
      </c>
      <c r="B17933" s="27" t="s">
        <v>4</v>
      </c>
      <c r="C17933" s="27" t="s">
        <v>50</v>
      </c>
      <c r="D17933" s="27" t="s">
        <v>7</v>
      </c>
      <c r="E17933" s="27" t="s">
        <v>17</v>
      </c>
      <c r="F17933" s="29"/>
      <c r="G17933" s="30">
        <f>5033.22181+1673.57</f>
        <v>6706.7918099999997</v>
      </c>
    </row>
    <row r="17934" spans="1:7" hidden="1" x14ac:dyDescent="0.25">
      <c r="A17934" s="28">
        <v>44986</v>
      </c>
      <c r="B17934" s="27" t="s">
        <v>4</v>
      </c>
      <c r="C17934" s="27" t="s">
        <v>50</v>
      </c>
      <c r="D17934" s="27" t="s">
        <v>7</v>
      </c>
      <c r="E17934" s="27" t="s">
        <v>18</v>
      </c>
      <c r="F17934" s="29"/>
      <c r="G17934" s="30">
        <f>2419.80375+1673.57</f>
        <v>4093.3737499999997</v>
      </c>
    </row>
    <row r="17935" spans="1:7" hidden="1" x14ac:dyDescent="0.25">
      <c r="A17935" s="28">
        <v>44986</v>
      </c>
      <c r="B17935" s="27" t="s">
        <v>4</v>
      </c>
      <c r="C17935" s="27" t="s">
        <v>50</v>
      </c>
      <c r="D17935" s="27" t="s">
        <v>7</v>
      </c>
      <c r="E17935" s="27" t="s">
        <v>19</v>
      </c>
      <c r="F17935" s="29"/>
      <c r="G17935" s="30">
        <f>2925.40705+1673.57</f>
        <v>4598.9770499999995</v>
      </c>
    </row>
    <row r="17936" spans="1:7" hidden="1" x14ac:dyDescent="0.25">
      <c r="A17936" s="28">
        <v>44986</v>
      </c>
      <c r="B17936" s="27" t="s">
        <v>4</v>
      </c>
      <c r="C17936" s="27" t="s">
        <v>50</v>
      </c>
      <c r="D17936" s="27" t="s">
        <v>7</v>
      </c>
      <c r="E17936" s="27" t="s">
        <v>20</v>
      </c>
      <c r="F17936" s="29"/>
      <c r="G17936" s="30">
        <f>3649.93504+1673.57</f>
        <v>5323.50504</v>
      </c>
    </row>
    <row r="17937" spans="1:7" hidden="1" x14ac:dyDescent="0.25">
      <c r="A17937" s="28">
        <v>44986</v>
      </c>
      <c r="B17937" s="27" t="s">
        <v>4</v>
      </c>
      <c r="C17937" s="27" t="s">
        <v>50</v>
      </c>
      <c r="D17937" s="27" t="s">
        <v>7</v>
      </c>
      <c r="E17937" s="27" t="s">
        <v>38</v>
      </c>
      <c r="F17937" s="29"/>
      <c r="G17937" s="30">
        <f>1176.73338+1673.57</f>
        <v>2850.3033799999998</v>
      </c>
    </row>
    <row r="17938" spans="1:7" hidden="1" x14ac:dyDescent="0.25">
      <c r="A17938" s="28">
        <v>44986</v>
      </c>
      <c r="B17938" s="27" t="s">
        <v>4</v>
      </c>
      <c r="C17938" s="27" t="s">
        <v>50</v>
      </c>
      <c r="D17938" s="27" t="s">
        <v>7</v>
      </c>
      <c r="E17938" s="27" t="s">
        <v>23</v>
      </c>
      <c r="F17938" s="29"/>
      <c r="G17938" s="30">
        <f>6532.43096+1673.57</f>
        <v>8206.0009599999994</v>
      </c>
    </row>
    <row r="17939" spans="1:7" hidden="1" x14ac:dyDescent="0.25">
      <c r="A17939" s="28">
        <v>44986</v>
      </c>
      <c r="B17939" s="27" t="s">
        <v>4</v>
      </c>
      <c r="C17939" s="27" t="s">
        <v>50</v>
      </c>
      <c r="D17939" s="27" t="s">
        <v>7</v>
      </c>
      <c r="E17939" s="27" t="s">
        <v>40</v>
      </c>
      <c r="F17939" s="29"/>
      <c r="G17939" s="30">
        <f>200.50771+1673.57</f>
        <v>1874.07771</v>
      </c>
    </row>
    <row r="17940" spans="1:7" hidden="1" x14ac:dyDescent="0.25">
      <c r="A17940" s="28">
        <v>44986</v>
      </c>
      <c r="B17940" s="27" t="s">
        <v>4</v>
      </c>
      <c r="C17940" s="27" t="s">
        <v>50</v>
      </c>
      <c r="D17940" s="27" t="s">
        <v>7</v>
      </c>
      <c r="E17940" s="27" t="s">
        <v>74</v>
      </c>
      <c r="F17940" s="29"/>
      <c r="G17940" s="30">
        <f>4334.21585+1673.57</f>
        <v>6007.7858499999993</v>
      </c>
    </row>
    <row r="17941" spans="1:7" hidden="1" x14ac:dyDescent="0.25">
      <c r="A17941" s="28">
        <v>44986</v>
      </c>
      <c r="B17941" s="27" t="s">
        <v>3</v>
      </c>
      <c r="C17941" s="27" t="s">
        <v>50</v>
      </c>
      <c r="D17941" s="27" t="s">
        <v>7</v>
      </c>
      <c r="E17941" s="27" t="s">
        <v>8</v>
      </c>
      <c r="F17941" s="29"/>
      <c r="G17941" s="30">
        <f t="shared" ref="G17941:G17972" si="317">29244.72/32</f>
        <v>913.89750000000004</v>
      </c>
    </row>
    <row r="17942" spans="1:7" hidden="1" x14ac:dyDescent="0.25">
      <c r="A17942" s="28">
        <v>44986</v>
      </c>
      <c r="B17942" s="27" t="s">
        <v>3</v>
      </c>
      <c r="C17942" s="27" t="s">
        <v>50</v>
      </c>
      <c r="D17942" s="27" t="s">
        <v>7</v>
      </c>
      <c r="E17942" s="27" t="s">
        <v>9</v>
      </c>
      <c r="F17942" s="29"/>
      <c r="G17942" s="30">
        <f t="shared" si="317"/>
        <v>913.89750000000004</v>
      </c>
    </row>
    <row r="17943" spans="1:7" hidden="1" x14ac:dyDescent="0.25">
      <c r="A17943" s="28">
        <v>44986</v>
      </c>
      <c r="B17943" s="27" t="s">
        <v>3</v>
      </c>
      <c r="C17943" s="27" t="s">
        <v>50</v>
      </c>
      <c r="D17943" s="27" t="s">
        <v>7</v>
      </c>
      <c r="E17943" s="27" t="s">
        <v>21</v>
      </c>
      <c r="F17943" s="29"/>
      <c r="G17943" s="30">
        <f t="shared" si="317"/>
        <v>913.89750000000004</v>
      </c>
    </row>
    <row r="17944" spans="1:7" hidden="1" x14ac:dyDescent="0.25">
      <c r="A17944" s="28">
        <v>44986</v>
      </c>
      <c r="B17944" s="27" t="s">
        <v>3</v>
      </c>
      <c r="C17944" s="27" t="s">
        <v>50</v>
      </c>
      <c r="D17944" s="27" t="s">
        <v>7</v>
      </c>
      <c r="E17944" s="27" t="s">
        <v>10</v>
      </c>
      <c r="F17944" s="29"/>
      <c r="G17944" s="30">
        <f t="shared" si="317"/>
        <v>913.89750000000004</v>
      </c>
    </row>
    <row r="17945" spans="1:7" hidden="1" x14ac:dyDescent="0.25">
      <c r="A17945" s="28">
        <v>44986</v>
      </c>
      <c r="B17945" s="27" t="s">
        <v>3</v>
      </c>
      <c r="C17945" s="27" t="s">
        <v>50</v>
      </c>
      <c r="D17945" s="27" t="s">
        <v>7</v>
      </c>
      <c r="E17945" s="27" t="s">
        <v>11</v>
      </c>
      <c r="F17945" s="29"/>
      <c r="G17945" s="30">
        <f t="shared" si="317"/>
        <v>913.89750000000004</v>
      </c>
    </row>
    <row r="17946" spans="1:7" hidden="1" x14ac:dyDescent="0.25">
      <c r="A17946" s="28">
        <v>44986</v>
      </c>
      <c r="B17946" s="27" t="s">
        <v>3</v>
      </c>
      <c r="C17946" s="27" t="s">
        <v>50</v>
      </c>
      <c r="D17946" s="27" t="s">
        <v>7</v>
      </c>
      <c r="E17946" s="27" t="s">
        <v>12</v>
      </c>
      <c r="F17946" s="29"/>
      <c r="G17946" s="30">
        <f t="shared" si="317"/>
        <v>913.89750000000004</v>
      </c>
    </row>
    <row r="17947" spans="1:7" hidden="1" x14ac:dyDescent="0.25">
      <c r="A17947" s="28">
        <v>44986</v>
      </c>
      <c r="B17947" s="27" t="s">
        <v>3</v>
      </c>
      <c r="C17947" s="27" t="s">
        <v>50</v>
      </c>
      <c r="D17947" s="27" t="s">
        <v>7</v>
      </c>
      <c r="E17947" s="27" t="s">
        <v>13</v>
      </c>
      <c r="F17947" s="29"/>
      <c r="G17947" s="30">
        <f t="shared" si="317"/>
        <v>913.89750000000004</v>
      </c>
    </row>
    <row r="17948" spans="1:7" hidden="1" x14ac:dyDescent="0.25">
      <c r="A17948" s="28">
        <v>44986</v>
      </c>
      <c r="B17948" s="27" t="s">
        <v>3</v>
      </c>
      <c r="C17948" s="27" t="s">
        <v>50</v>
      </c>
      <c r="D17948" s="27" t="s">
        <v>7</v>
      </c>
      <c r="E17948" s="27" t="s">
        <v>14</v>
      </c>
      <c r="F17948" s="29"/>
      <c r="G17948" s="30">
        <f t="shared" si="317"/>
        <v>913.89750000000004</v>
      </c>
    </row>
    <row r="17949" spans="1:7" hidden="1" x14ac:dyDescent="0.25">
      <c r="A17949" s="28">
        <v>44986</v>
      </c>
      <c r="B17949" s="27" t="s">
        <v>3</v>
      </c>
      <c r="C17949" s="27" t="s">
        <v>50</v>
      </c>
      <c r="D17949" s="27" t="s">
        <v>7</v>
      </c>
      <c r="E17949" s="27" t="s">
        <v>15</v>
      </c>
      <c r="F17949" s="29"/>
      <c r="G17949" s="30">
        <f t="shared" si="317"/>
        <v>913.89750000000004</v>
      </c>
    </row>
    <row r="17950" spans="1:7" hidden="1" x14ac:dyDescent="0.25">
      <c r="A17950" s="28">
        <v>44986</v>
      </c>
      <c r="B17950" s="27" t="s">
        <v>3</v>
      </c>
      <c r="C17950" s="27" t="s">
        <v>50</v>
      </c>
      <c r="D17950" s="27" t="s">
        <v>7</v>
      </c>
      <c r="E17950" s="27" t="s">
        <v>16</v>
      </c>
      <c r="F17950" s="29"/>
      <c r="G17950" s="30">
        <f t="shared" si="317"/>
        <v>913.89750000000004</v>
      </c>
    </row>
    <row r="17951" spans="1:7" hidden="1" x14ac:dyDescent="0.25">
      <c r="A17951" s="28">
        <v>44986</v>
      </c>
      <c r="B17951" s="27" t="s">
        <v>3</v>
      </c>
      <c r="C17951" s="27" t="s">
        <v>50</v>
      </c>
      <c r="D17951" s="27" t="s">
        <v>7</v>
      </c>
      <c r="E17951" s="27" t="s">
        <v>17</v>
      </c>
      <c r="F17951" s="29"/>
      <c r="G17951" s="30">
        <f t="shared" si="317"/>
        <v>913.89750000000004</v>
      </c>
    </row>
    <row r="17952" spans="1:7" hidden="1" x14ac:dyDescent="0.25">
      <c r="A17952" s="28">
        <v>44986</v>
      </c>
      <c r="B17952" s="27" t="s">
        <v>3</v>
      </c>
      <c r="C17952" s="27" t="s">
        <v>50</v>
      </c>
      <c r="D17952" s="27" t="s">
        <v>7</v>
      </c>
      <c r="E17952" s="27" t="s">
        <v>18</v>
      </c>
      <c r="F17952" s="29"/>
      <c r="G17952" s="30">
        <f t="shared" si="317"/>
        <v>913.89750000000004</v>
      </c>
    </row>
    <row r="17953" spans="1:7" hidden="1" x14ac:dyDescent="0.25">
      <c r="A17953" s="28">
        <v>44986</v>
      </c>
      <c r="B17953" s="27" t="s">
        <v>3</v>
      </c>
      <c r="C17953" s="27" t="s">
        <v>50</v>
      </c>
      <c r="D17953" s="27" t="s">
        <v>7</v>
      </c>
      <c r="E17953" s="27" t="s">
        <v>19</v>
      </c>
      <c r="F17953" s="29"/>
      <c r="G17953" s="30">
        <f t="shared" si="317"/>
        <v>913.89750000000004</v>
      </c>
    </row>
    <row r="17954" spans="1:7" hidden="1" x14ac:dyDescent="0.25">
      <c r="A17954" s="28">
        <v>44986</v>
      </c>
      <c r="B17954" s="27" t="s">
        <v>3</v>
      </c>
      <c r="C17954" s="27" t="s">
        <v>50</v>
      </c>
      <c r="D17954" s="27" t="s">
        <v>7</v>
      </c>
      <c r="E17954" s="27" t="s">
        <v>20</v>
      </c>
      <c r="F17954" s="29"/>
      <c r="G17954" s="30">
        <f t="shared" si="317"/>
        <v>913.89750000000004</v>
      </c>
    </row>
    <row r="17955" spans="1:7" hidden="1" x14ac:dyDescent="0.25">
      <c r="A17955" s="28">
        <v>44986</v>
      </c>
      <c r="B17955" s="27" t="s">
        <v>3</v>
      </c>
      <c r="C17955" s="27" t="s">
        <v>50</v>
      </c>
      <c r="D17955" s="27" t="s">
        <v>7</v>
      </c>
      <c r="E17955" s="27" t="s">
        <v>38</v>
      </c>
      <c r="F17955" s="29"/>
      <c r="G17955" s="30">
        <f t="shared" si="317"/>
        <v>913.89750000000004</v>
      </c>
    </row>
    <row r="17956" spans="1:7" hidden="1" x14ac:dyDescent="0.25">
      <c r="A17956" s="28">
        <v>44986</v>
      </c>
      <c r="B17956" s="27" t="s">
        <v>3</v>
      </c>
      <c r="C17956" s="27" t="s">
        <v>50</v>
      </c>
      <c r="D17956" s="27" t="s">
        <v>7</v>
      </c>
      <c r="E17956" s="27" t="s">
        <v>23</v>
      </c>
      <c r="F17956" s="29"/>
      <c r="G17956" s="30">
        <f t="shared" si="317"/>
        <v>913.89750000000004</v>
      </c>
    </row>
    <row r="17957" spans="1:7" hidden="1" x14ac:dyDescent="0.25">
      <c r="A17957" s="28">
        <v>44986</v>
      </c>
      <c r="B17957" s="27" t="s">
        <v>3</v>
      </c>
      <c r="C17957" s="27" t="s">
        <v>50</v>
      </c>
      <c r="D17957" s="27" t="s">
        <v>7</v>
      </c>
      <c r="E17957" s="27" t="s">
        <v>22</v>
      </c>
      <c r="F17957" s="29"/>
      <c r="G17957" s="30">
        <f t="shared" si="317"/>
        <v>913.89750000000004</v>
      </c>
    </row>
    <row r="17958" spans="1:7" hidden="1" x14ac:dyDescent="0.25">
      <c r="A17958" s="28">
        <v>44986</v>
      </c>
      <c r="B17958" s="27" t="s">
        <v>3</v>
      </c>
      <c r="C17958" s="27" t="s">
        <v>50</v>
      </c>
      <c r="D17958" s="27" t="s">
        <v>7</v>
      </c>
      <c r="E17958" s="27" t="s">
        <v>39</v>
      </c>
      <c r="F17958" s="29"/>
      <c r="G17958" s="30">
        <f t="shared" si="317"/>
        <v>913.89750000000004</v>
      </c>
    </row>
    <row r="17959" spans="1:7" hidden="1" x14ac:dyDescent="0.25">
      <c r="A17959" s="28">
        <v>44986</v>
      </c>
      <c r="B17959" s="27" t="s">
        <v>3</v>
      </c>
      <c r="C17959" s="27" t="s">
        <v>50</v>
      </c>
      <c r="D17959" s="27" t="s">
        <v>7</v>
      </c>
      <c r="E17959" s="27" t="s">
        <v>41</v>
      </c>
      <c r="F17959" s="29"/>
      <c r="G17959" s="30">
        <f t="shared" si="317"/>
        <v>913.89750000000004</v>
      </c>
    </row>
    <row r="17960" spans="1:7" hidden="1" x14ac:dyDescent="0.25">
      <c r="A17960" s="28">
        <v>44986</v>
      </c>
      <c r="B17960" s="27" t="s">
        <v>3</v>
      </c>
      <c r="C17960" s="27" t="s">
        <v>50</v>
      </c>
      <c r="D17960" s="27" t="s">
        <v>7</v>
      </c>
      <c r="E17960" s="27" t="s">
        <v>40</v>
      </c>
      <c r="F17960" s="29"/>
      <c r="G17960" s="30">
        <f t="shared" si="317"/>
        <v>913.89750000000004</v>
      </c>
    </row>
    <row r="17961" spans="1:7" hidden="1" x14ac:dyDescent="0.25">
      <c r="A17961" s="28">
        <v>44986</v>
      </c>
      <c r="B17961" s="27" t="s">
        <v>3</v>
      </c>
      <c r="C17961" s="27" t="s">
        <v>50</v>
      </c>
      <c r="D17961" s="27" t="s">
        <v>7</v>
      </c>
      <c r="E17961" s="27" t="s">
        <v>64</v>
      </c>
      <c r="F17961" s="29"/>
      <c r="G17961" s="30">
        <f t="shared" si="317"/>
        <v>913.89750000000004</v>
      </c>
    </row>
    <row r="17962" spans="1:7" hidden="1" x14ac:dyDescent="0.25">
      <c r="A17962" s="28">
        <v>44986</v>
      </c>
      <c r="B17962" s="27" t="s">
        <v>3</v>
      </c>
      <c r="C17962" s="27" t="s">
        <v>50</v>
      </c>
      <c r="D17962" s="27" t="s">
        <v>7</v>
      </c>
      <c r="E17962" s="27" t="s">
        <v>42</v>
      </c>
      <c r="F17962" s="29"/>
      <c r="G17962" s="30">
        <f t="shared" si="317"/>
        <v>913.89750000000004</v>
      </c>
    </row>
    <row r="17963" spans="1:7" hidden="1" x14ac:dyDescent="0.25">
      <c r="A17963" s="28">
        <v>44986</v>
      </c>
      <c r="B17963" s="27" t="s">
        <v>3</v>
      </c>
      <c r="C17963" s="27" t="s">
        <v>50</v>
      </c>
      <c r="D17963" s="27" t="s">
        <v>7</v>
      </c>
      <c r="E17963" s="27" t="s">
        <v>72</v>
      </c>
      <c r="F17963" s="29"/>
      <c r="G17963" s="30">
        <f t="shared" si="317"/>
        <v>913.89750000000004</v>
      </c>
    </row>
    <row r="17964" spans="1:7" hidden="1" x14ac:dyDescent="0.25">
      <c r="A17964" s="28">
        <v>44986</v>
      </c>
      <c r="B17964" s="27" t="s">
        <v>3</v>
      </c>
      <c r="C17964" s="27" t="s">
        <v>50</v>
      </c>
      <c r="D17964" s="27" t="s">
        <v>7</v>
      </c>
      <c r="E17964" s="27" t="s">
        <v>43</v>
      </c>
      <c r="F17964" s="29"/>
      <c r="G17964" s="30">
        <f t="shared" si="317"/>
        <v>913.89750000000004</v>
      </c>
    </row>
    <row r="17965" spans="1:7" hidden="1" x14ac:dyDescent="0.25">
      <c r="A17965" s="28">
        <v>44986</v>
      </c>
      <c r="B17965" s="27" t="s">
        <v>3</v>
      </c>
      <c r="C17965" s="27" t="s">
        <v>50</v>
      </c>
      <c r="D17965" s="27" t="s">
        <v>7</v>
      </c>
      <c r="E17965" s="27" t="s">
        <v>206</v>
      </c>
      <c r="F17965" s="29"/>
      <c r="G17965" s="30">
        <f t="shared" si="317"/>
        <v>913.89750000000004</v>
      </c>
    </row>
    <row r="17966" spans="1:7" hidden="1" x14ac:dyDescent="0.25">
      <c r="A17966" s="28">
        <v>44986</v>
      </c>
      <c r="B17966" s="27" t="s">
        <v>3</v>
      </c>
      <c r="C17966" s="27" t="s">
        <v>50</v>
      </c>
      <c r="D17966" s="27" t="s">
        <v>7</v>
      </c>
      <c r="E17966" s="27" t="s">
        <v>68</v>
      </c>
      <c r="F17966" s="29"/>
      <c r="G17966" s="30">
        <f t="shared" si="317"/>
        <v>913.89750000000004</v>
      </c>
    </row>
    <row r="17967" spans="1:7" hidden="1" x14ac:dyDescent="0.25">
      <c r="A17967" s="28">
        <v>44986</v>
      </c>
      <c r="B17967" s="27" t="s">
        <v>3</v>
      </c>
      <c r="C17967" s="27" t="s">
        <v>50</v>
      </c>
      <c r="D17967" s="27" t="s">
        <v>7</v>
      </c>
      <c r="E17967" s="27" t="s">
        <v>74</v>
      </c>
      <c r="F17967" s="29"/>
      <c r="G17967" s="30">
        <f t="shared" si="317"/>
        <v>913.89750000000004</v>
      </c>
    </row>
    <row r="17968" spans="1:7" hidden="1" x14ac:dyDescent="0.25">
      <c r="A17968" s="28">
        <v>44986</v>
      </c>
      <c r="B17968" s="27" t="s">
        <v>3</v>
      </c>
      <c r="C17968" s="27" t="s">
        <v>50</v>
      </c>
      <c r="D17968" s="27" t="s">
        <v>7</v>
      </c>
      <c r="E17968" s="27" t="s">
        <v>67</v>
      </c>
      <c r="F17968" s="29"/>
      <c r="G17968" s="30">
        <f t="shared" si="317"/>
        <v>913.89750000000004</v>
      </c>
    </row>
    <row r="17969" spans="1:7" hidden="1" x14ac:dyDescent="0.25">
      <c r="A17969" s="28">
        <v>44986</v>
      </c>
      <c r="B17969" s="27" t="s">
        <v>3</v>
      </c>
      <c r="C17969" s="27" t="s">
        <v>50</v>
      </c>
      <c r="D17969" s="27" t="s">
        <v>7</v>
      </c>
      <c r="E17969" s="27" t="s">
        <v>71</v>
      </c>
      <c r="F17969" s="29"/>
      <c r="G17969" s="30">
        <f t="shared" si="317"/>
        <v>913.89750000000004</v>
      </c>
    </row>
    <row r="17970" spans="1:7" hidden="1" x14ac:dyDescent="0.25">
      <c r="A17970" s="28">
        <v>44986</v>
      </c>
      <c r="B17970" s="27" t="s">
        <v>3</v>
      </c>
      <c r="C17970" s="27" t="s">
        <v>50</v>
      </c>
      <c r="D17970" s="27" t="s">
        <v>7</v>
      </c>
      <c r="E17970" s="27" t="s">
        <v>73</v>
      </c>
      <c r="F17970" s="29"/>
      <c r="G17970" s="30">
        <f t="shared" si="317"/>
        <v>913.89750000000004</v>
      </c>
    </row>
    <row r="17971" spans="1:7" hidden="1" x14ac:dyDescent="0.25">
      <c r="A17971" s="28">
        <v>44986</v>
      </c>
      <c r="B17971" s="27" t="s">
        <v>3</v>
      </c>
      <c r="C17971" s="27" t="s">
        <v>50</v>
      </c>
      <c r="D17971" s="27" t="s">
        <v>7</v>
      </c>
      <c r="E17971" s="27" t="s">
        <v>70</v>
      </c>
      <c r="F17971" s="29"/>
      <c r="G17971" s="30">
        <f t="shared" si="317"/>
        <v>913.89750000000004</v>
      </c>
    </row>
    <row r="17972" spans="1:7" hidden="1" x14ac:dyDescent="0.25">
      <c r="A17972" s="28">
        <v>44986</v>
      </c>
      <c r="B17972" s="27" t="s">
        <v>3</v>
      </c>
      <c r="C17972" s="27" t="s">
        <v>50</v>
      </c>
      <c r="D17972" s="27" t="s">
        <v>7</v>
      </c>
      <c r="E17972" s="27" t="s">
        <v>203</v>
      </c>
      <c r="F17972" s="29"/>
      <c r="G17972" s="30">
        <f t="shared" si="317"/>
        <v>913.89750000000004</v>
      </c>
    </row>
    <row r="17973" spans="1:7" hidden="1" x14ac:dyDescent="0.25">
      <c r="A17973" s="28">
        <v>44986</v>
      </c>
      <c r="B17973" s="27" t="s">
        <v>179</v>
      </c>
      <c r="C17973" s="27" t="s">
        <v>50</v>
      </c>
      <c r="D17973" s="27" t="s">
        <v>6</v>
      </c>
      <c r="E17973" s="27" t="s">
        <v>42</v>
      </c>
      <c r="F17973" s="29"/>
      <c r="G17973" s="30">
        <v>689.11</v>
      </c>
    </row>
    <row r="17974" spans="1:7" hidden="1" x14ac:dyDescent="0.25">
      <c r="A17974" s="28">
        <v>44986</v>
      </c>
      <c r="B17974" s="27" t="s">
        <v>179</v>
      </c>
      <c r="C17974" s="27" t="s">
        <v>50</v>
      </c>
      <c r="D17974" s="27" t="s">
        <v>6</v>
      </c>
      <c r="E17974" s="27" t="s">
        <v>66</v>
      </c>
      <c r="F17974" s="29"/>
      <c r="G17974" s="30">
        <v>33.659999999999997</v>
      </c>
    </row>
    <row r="17975" spans="1:7" hidden="1" x14ac:dyDescent="0.25">
      <c r="A17975" s="28">
        <v>44986</v>
      </c>
      <c r="B17975" s="27" t="s">
        <v>179</v>
      </c>
      <c r="C17975" s="27" t="s">
        <v>50</v>
      </c>
      <c r="D17975" s="27" t="s">
        <v>6</v>
      </c>
      <c r="E17975" s="27" t="s">
        <v>39</v>
      </c>
      <c r="F17975" s="29"/>
      <c r="G17975" s="30">
        <v>90.09</v>
      </c>
    </row>
    <row r="17976" spans="1:7" hidden="1" x14ac:dyDescent="0.25">
      <c r="A17976" s="28">
        <v>44986</v>
      </c>
      <c r="B17976" s="27" t="s">
        <v>179</v>
      </c>
      <c r="C17976" s="27" t="s">
        <v>50</v>
      </c>
      <c r="D17976" s="27" t="s">
        <v>6</v>
      </c>
      <c r="E17976" s="27" t="s">
        <v>70</v>
      </c>
      <c r="F17976" s="29"/>
      <c r="G17976" s="30">
        <v>4414.1100000000006</v>
      </c>
    </row>
    <row r="17977" spans="1:7" hidden="1" x14ac:dyDescent="0.25">
      <c r="A17977" s="28">
        <v>44986</v>
      </c>
      <c r="B17977" s="27" t="s">
        <v>179</v>
      </c>
      <c r="C17977" s="27" t="s">
        <v>50</v>
      </c>
      <c r="D17977" s="27" t="s">
        <v>6</v>
      </c>
      <c r="E17977" s="27" t="s">
        <v>203</v>
      </c>
      <c r="F17977" s="29"/>
      <c r="G17977" s="30">
        <v>1437.39</v>
      </c>
    </row>
    <row r="17978" spans="1:7" hidden="1" x14ac:dyDescent="0.25">
      <c r="A17978" s="28">
        <v>44986</v>
      </c>
      <c r="B17978" s="27" t="s">
        <v>179</v>
      </c>
      <c r="C17978" s="27" t="s">
        <v>50</v>
      </c>
      <c r="D17978" s="27" t="s">
        <v>6</v>
      </c>
      <c r="E17978" s="27" t="s">
        <v>73</v>
      </c>
      <c r="F17978" s="29"/>
      <c r="G17978" s="30">
        <v>3974.93</v>
      </c>
    </row>
    <row r="17979" spans="1:7" hidden="1" x14ac:dyDescent="0.25">
      <c r="A17979" s="28">
        <v>44986</v>
      </c>
      <c r="B17979" s="27" t="s">
        <v>179</v>
      </c>
      <c r="C17979" s="27" t="s">
        <v>50</v>
      </c>
      <c r="D17979" s="27" t="s">
        <v>6</v>
      </c>
      <c r="E17979" s="27" t="s">
        <v>71</v>
      </c>
      <c r="F17979" s="29"/>
      <c r="G17979" s="30">
        <v>4418.45</v>
      </c>
    </row>
    <row r="17980" spans="1:7" hidden="1" x14ac:dyDescent="0.25">
      <c r="A17980" s="28">
        <v>44986</v>
      </c>
      <c r="B17980" s="27" t="s">
        <v>179</v>
      </c>
      <c r="C17980" s="27" t="s">
        <v>50</v>
      </c>
      <c r="D17980" s="27" t="s">
        <v>6</v>
      </c>
      <c r="E17980" s="27" t="s">
        <v>65</v>
      </c>
      <c r="F17980" s="29"/>
      <c r="G17980" s="30">
        <v>33.659999999999997</v>
      </c>
    </row>
    <row r="17981" spans="1:7" hidden="1" x14ac:dyDescent="0.25">
      <c r="A17981" s="28">
        <v>44986</v>
      </c>
      <c r="B17981" s="27" t="s">
        <v>179</v>
      </c>
      <c r="C17981" s="27" t="s">
        <v>50</v>
      </c>
      <c r="D17981" s="27" t="s">
        <v>6</v>
      </c>
      <c r="E17981" s="27" t="s">
        <v>69</v>
      </c>
      <c r="F17981" s="29"/>
      <c r="G17981" s="30">
        <v>33.659999999999997</v>
      </c>
    </row>
    <row r="17982" spans="1:7" hidden="1" x14ac:dyDescent="0.25">
      <c r="A17982" s="28">
        <v>44986</v>
      </c>
      <c r="B17982" s="27" t="s">
        <v>179</v>
      </c>
      <c r="C17982" s="27" t="s">
        <v>50</v>
      </c>
      <c r="D17982" s="27" t="s">
        <v>6</v>
      </c>
      <c r="E17982" s="27" t="s">
        <v>20</v>
      </c>
      <c r="F17982" s="29"/>
      <c r="G17982" s="30">
        <v>3748</v>
      </c>
    </row>
    <row r="17983" spans="1:7" hidden="1" x14ac:dyDescent="0.25">
      <c r="A17983" s="28">
        <v>44986</v>
      </c>
      <c r="B17983" s="27" t="s">
        <v>179</v>
      </c>
      <c r="C17983" s="27" t="s">
        <v>50</v>
      </c>
      <c r="D17983" s="27" t="s">
        <v>6</v>
      </c>
      <c r="E17983" s="27" t="s">
        <v>74</v>
      </c>
      <c r="F17983" s="29"/>
      <c r="G17983" s="30">
        <v>5297.31</v>
      </c>
    </row>
    <row r="17984" spans="1:7" hidden="1" x14ac:dyDescent="0.25">
      <c r="A17984" s="28">
        <v>44986</v>
      </c>
      <c r="B17984" s="27" t="s">
        <v>5</v>
      </c>
      <c r="C17984" s="27" t="s">
        <v>51</v>
      </c>
      <c r="D17984" s="27" t="s">
        <v>51</v>
      </c>
      <c r="E17984" s="27" t="s">
        <v>222</v>
      </c>
      <c r="F17984" s="29">
        <v>1084</v>
      </c>
      <c r="G17984" s="30">
        <v>0</v>
      </c>
    </row>
    <row r="17985" spans="1:7" hidden="1" x14ac:dyDescent="0.25">
      <c r="A17985" s="28">
        <v>44986</v>
      </c>
      <c r="B17985" s="27" t="s">
        <v>5</v>
      </c>
      <c r="C17985" s="27" t="s">
        <v>51</v>
      </c>
      <c r="D17985" s="27" t="s">
        <v>51</v>
      </c>
      <c r="E17985" s="27" t="s">
        <v>9</v>
      </c>
      <c r="F17985" s="29">
        <v>5438</v>
      </c>
      <c r="G17985" s="30">
        <v>0</v>
      </c>
    </row>
    <row r="17986" spans="1:7" hidden="1" x14ac:dyDescent="0.25">
      <c r="A17986" s="28">
        <v>44986</v>
      </c>
      <c r="B17986" s="27" t="s">
        <v>5</v>
      </c>
      <c r="C17986" s="27" t="s">
        <v>51</v>
      </c>
      <c r="D17986" s="27" t="s">
        <v>51</v>
      </c>
      <c r="E17986" s="27" t="s">
        <v>21</v>
      </c>
      <c r="F17986" s="29">
        <v>4752</v>
      </c>
      <c r="G17986" s="30">
        <v>0</v>
      </c>
    </row>
    <row r="17987" spans="1:7" hidden="1" x14ac:dyDescent="0.25">
      <c r="A17987" s="28">
        <v>44986</v>
      </c>
      <c r="B17987" s="27" t="s">
        <v>5</v>
      </c>
      <c r="C17987" s="27" t="s">
        <v>51</v>
      </c>
      <c r="D17987" s="27" t="s">
        <v>51</v>
      </c>
      <c r="E17987" s="27" t="s">
        <v>10</v>
      </c>
      <c r="F17987" s="29">
        <v>3697</v>
      </c>
      <c r="G17987" s="30">
        <v>0</v>
      </c>
    </row>
    <row r="17988" spans="1:7" hidden="1" x14ac:dyDescent="0.25">
      <c r="A17988" s="28">
        <v>44986</v>
      </c>
      <c r="B17988" s="27" t="s">
        <v>5</v>
      </c>
      <c r="C17988" s="27" t="s">
        <v>51</v>
      </c>
      <c r="D17988" s="27" t="s">
        <v>51</v>
      </c>
      <c r="E17988" s="27" t="s">
        <v>11</v>
      </c>
      <c r="F17988" s="29">
        <v>578</v>
      </c>
      <c r="G17988" s="30">
        <v>0</v>
      </c>
    </row>
    <row r="17989" spans="1:7" hidden="1" x14ac:dyDescent="0.25">
      <c r="A17989" s="28">
        <v>44986</v>
      </c>
      <c r="B17989" s="27" t="s">
        <v>5</v>
      </c>
      <c r="C17989" s="27" t="s">
        <v>51</v>
      </c>
      <c r="D17989" s="27" t="s">
        <v>51</v>
      </c>
      <c r="E17989" s="27" t="s">
        <v>12</v>
      </c>
      <c r="F17989" s="29">
        <v>2311</v>
      </c>
      <c r="G17989" s="30">
        <v>0</v>
      </c>
    </row>
    <row r="17990" spans="1:7" hidden="1" x14ac:dyDescent="0.25">
      <c r="A17990" s="28">
        <v>44986</v>
      </c>
      <c r="B17990" s="27" t="s">
        <v>5</v>
      </c>
      <c r="C17990" s="27" t="s">
        <v>51</v>
      </c>
      <c r="D17990" s="27" t="s">
        <v>51</v>
      </c>
      <c r="E17990" s="27" t="s">
        <v>13</v>
      </c>
      <c r="F17990" s="29">
        <v>9913</v>
      </c>
      <c r="G17990" s="30">
        <v>0</v>
      </c>
    </row>
    <row r="17991" spans="1:7" hidden="1" x14ac:dyDescent="0.25">
      <c r="A17991" s="28">
        <v>44986</v>
      </c>
      <c r="B17991" s="27" t="s">
        <v>5</v>
      </c>
      <c r="C17991" s="27" t="s">
        <v>51</v>
      </c>
      <c r="D17991" s="27" t="s">
        <v>51</v>
      </c>
      <c r="E17991" s="27" t="s">
        <v>14</v>
      </c>
      <c r="F17991" s="29">
        <v>474</v>
      </c>
      <c r="G17991" s="30">
        <v>0</v>
      </c>
    </row>
    <row r="17992" spans="1:7" hidden="1" x14ac:dyDescent="0.25">
      <c r="A17992" s="28">
        <v>44986</v>
      </c>
      <c r="B17992" s="27" t="s">
        <v>5</v>
      </c>
      <c r="C17992" s="27" t="s">
        <v>51</v>
      </c>
      <c r="D17992" s="27" t="s">
        <v>51</v>
      </c>
      <c r="E17992" s="27" t="s">
        <v>15</v>
      </c>
      <c r="F17992" s="29">
        <v>4810</v>
      </c>
      <c r="G17992" s="30">
        <v>0</v>
      </c>
    </row>
    <row r="17993" spans="1:7" hidden="1" x14ac:dyDescent="0.25">
      <c r="A17993" s="28">
        <v>44986</v>
      </c>
      <c r="B17993" s="27" t="s">
        <v>5</v>
      </c>
      <c r="C17993" s="27" t="s">
        <v>51</v>
      </c>
      <c r="D17993" s="27" t="s">
        <v>51</v>
      </c>
      <c r="E17993" s="27" t="s">
        <v>16</v>
      </c>
      <c r="F17993" s="29">
        <v>1086</v>
      </c>
      <c r="G17993" s="30">
        <v>0</v>
      </c>
    </row>
    <row r="17994" spans="1:7" hidden="1" x14ac:dyDescent="0.25">
      <c r="A17994" s="28">
        <v>44986</v>
      </c>
      <c r="B17994" s="27" t="s">
        <v>5</v>
      </c>
      <c r="C17994" s="27" t="s">
        <v>51</v>
      </c>
      <c r="D17994" s="27" t="s">
        <v>51</v>
      </c>
      <c r="E17994" s="27" t="s">
        <v>17</v>
      </c>
      <c r="F17994" s="29">
        <v>4567</v>
      </c>
      <c r="G17994" s="30">
        <v>0</v>
      </c>
    </row>
    <row r="17995" spans="1:7" hidden="1" x14ac:dyDescent="0.25">
      <c r="A17995" s="28">
        <v>44986</v>
      </c>
      <c r="B17995" s="27" t="s">
        <v>5</v>
      </c>
      <c r="C17995" s="27" t="s">
        <v>51</v>
      </c>
      <c r="D17995" s="27" t="s">
        <v>51</v>
      </c>
      <c r="E17995" s="27" t="s">
        <v>18</v>
      </c>
      <c r="F17995" s="29">
        <v>5246</v>
      </c>
      <c r="G17995" s="30">
        <v>0</v>
      </c>
    </row>
    <row r="17996" spans="1:7" hidden="1" x14ac:dyDescent="0.25">
      <c r="A17996" s="28">
        <v>44986</v>
      </c>
      <c r="B17996" s="27" t="s">
        <v>5</v>
      </c>
      <c r="C17996" s="27" t="s">
        <v>51</v>
      </c>
      <c r="D17996" s="27" t="s">
        <v>51</v>
      </c>
      <c r="E17996" s="27" t="s">
        <v>19</v>
      </c>
      <c r="F17996" s="29">
        <v>5317</v>
      </c>
      <c r="G17996" s="30">
        <v>0</v>
      </c>
    </row>
    <row r="17997" spans="1:7" hidden="1" x14ac:dyDescent="0.25">
      <c r="A17997" s="28">
        <v>44986</v>
      </c>
      <c r="B17997" s="27" t="s">
        <v>5</v>
      </c>
      <c r="C17997" s="27" t="s">
        <v>51</v>
      </c>
      <c r="D17997" s="27" t="s">
        <v>51</v>
      </c>
      <c r="E17997" s="27" t="s">
        <v>20</v>
      </c>
      <c r="F17997" s="29">
        <v>8084</v>
      </c>
      <c r="G17997" s="30">
        <v>0</v>
      </c>
    </row>
    <row r="17998" spans="1:7" hidden="1" x14ac:dyDescent="0.25">
      <c r="A17998" s="28">
        <v>44986</v>
      </c>
      <c r="B17998" s="27" t="s">
        <v>5</v>
      </c>
      <c r="C17998" s="27" t="s">
        <v>51</v>
      </c>
      <c r="D17998" s="27" t="s">
        <v>51</v>
      </c>
      <c r="E17998" s="27" t="s">
        <v>23</v>
      </c>
      <c r="F17998" s="29">
        <v>5061</v>
      </c>
      <c r="G17998" s="30">
        <v>0</v>
      </c>
    </row>
    <row r="17999" spans="1:7" hidden="1" x14ac:dyDescent="0.25">
      <c r="A17999" s="28">
        <v>44986</v>
      </c>
      <c r="B17999" s="27" t="s">
        <v>5</v>
      </c>
      <c r="C17999" s="27" t="s">
        <v>51</v>
      </c>
      <c r="D17999" s="27" t="s">
        <v>51</v>
      </c>
      <c r="E17999" s="27" t="s">
        <v>22</v>
      </c>
      <c r="F17999" s="29">
        <v>2044</v>
      </c>
      <c r="G17999" s="30">
        <v>0</v>
      </c>
    </row>
    <row r="18000" spans="1:7" hidden="1" x14ac:dyDescent="0.25">
      <c r="A18000" s="28">
        <v>44986</v>
      </c>
      <c r="B18000" s="27" t="s">
        <v>5</v>
      </c>
      <c r="C18000" s="27" t="s">
        <v>51</v>
      </c>
      <c r="D18000" s="27" t="s">
        <v>51</v>
      </c>
      <c r="E18000" s="27" t="s">
        <v>39</v>
      </c>
      <c r="F18000" s="29">
        <v>2448</v>
      </c>
      <c r="G18000" s="30">
        <v>0</v>
      </c>
    </row>
    <row r="18001" spans="1:7" hidden="1" x14ac:dyDescent="0.25">
      <c r="A18001" s="28">
        <v>44986</v>
      </c>
      <c r="B18001" s="27" t="s">
        <v>5</v>
      </c>
      <c r="C18001" s="27" t="s">
        <v>51</v>
      </c>
      <c r="D18001" s="27" t="s">
        <v>51</v>
      </c>
      <c r="E18001" s="27" t="s">
        <v>41</v>
      </c>
      <c r="F18001" s="29">
        <v>4608</v>
      </c>
      <c r="G18001" s="30">
        <v>0</v>
      </c>
    </row>
    <row r="18002" spans="1:7" hidden="1" x14ac:dyDescent="0.25">
      <c r="A18002" s="28">
        <v>44986</v>
      </c>
      <c r="B18002" s="27" t="s">
        <v>5</v>
      </c>
      <c r="C18002" s="27" t="s">
        <v>51</v>
      </c>
      <c r="D18002" s="27" t="s">
        <v>51</v>
      </c>
      <c r="E18002" s="27" t="s">
        <v>40</v>
      </c>
      <c r="F18002" s="29">
        <v>7573</v>
      </c>
      <c r="G18002" s="30">
        <v>0</v>
      </c>
    </row>
    <row r="18003" spans="1:7" hidden="1" x14ac:dyDescent="0.25">
      <c r="A18003" s="28">
        <v>44986</v>
      </c>
      <c r="B18003" s="27" t="s">
        <v>5</v>
      </c>
      <c r="C18003" s="27" t="s">
        <v>51</v>
      </c>
      <c r="D18003" s="27" t="s">
        <v>51</v>
      </c>
      <c r="E18003" s="27" t="s">
        <v>64</v>
      </c>
      <c r="F18003" s="29">
        <v>4970</v>
      </c>
      <c r="G18003" s="30">
        <v>0</v>
      </c>
    </row>
    <row r="18004" spans="1:7" hidden="1" x14ac:dyDescent="0.25">
      <c r="A18004" s="28">
        <v>44986</v>
      </c>
      <c r="B18004" s="27" t="s">
        <v>5</v>
      </c>
      <c r="C18004" s="27" t="s">
        <v>51</v>
      </c>
      <c r="D18004" s="27" t="s">
        <v>51</v>
      </c>
      <c r="E18004" s="27" t="s">
        <v>42</v>
      </c>
      <c r="F18004" s="29">
        <v>2028</v>
      </c>
      <c r="G18004" s="30">
        <v>0</v>
      </c>
    </row>
    <row r="18005" spans="1:7" hidden="1" x14ac:dyDescent="0.25">
      <c r="A18005" s="28">
        <v>44986</v>
      </c>
      <c r="B18005" s="27" t="s">
        <v>5</v>
      </c>
      <c r="C18005" s="27" t="s">
        <v>51</v>
      </c>
      <c r="D18005" s="27" t="s">
        <v>51</v>
      </c>
      <c r="E18005" s="27" t="s">
        <v>72</v>
      </c>
      <c r="F18005" s="29">
        <v>6280</v>
      </c>
      <c r="G18005" s="30">
        <v>0</v>
      </c>
    </row>
    <row r="18006" spans="1:7" hidden="1" x14ac:dyDescent="0.25">
      <c r="A18006" s="28">
        <v>44986</v>
      </c>
      <c r="B18006" s="27" t="s">
        <v>5</v>
      </c>
      <c r="C18006" s="27" t="s">
        <v>51</v>
      </c>
      <c r="D18006" s="27" t="s">
        <v>51</v>
      </c>
      <c r="E18006" s="27" t="s">
        <v>43</v>
      </c>
      <c r="F18006" s="29">
        <v>8011</v>
      </c>
      <c r="G18006" s="30">
        <v>0</v>
      </c>
    </row>
    <row r="18007" spans="1:7" hidden="1" x14ac:dyDescent="0.25">
      <c r="A18007" s="28">
        <v>44986</v>
      </c>
      <c r="B18007" s="27" t="s">
        <v>5</v>
      </c>
      <c r="C18007" s="27" t="s">
        <v>51</v>
      </c>
      <c r="D18007" s="27" t="s">
        <v>51</v>
      </c>
      <c r="E18007" s="27" t="s">
        <v>206</v>
      </c>
      <c r="F18007" s="29">
        <v>8465</v>
      </c>
      <c r="G18007" s="30">
        <v>0</v>
      </c>
    </row>
    <row r="18008" spans="1:7" hidden="1" x14ac:dyDescent="0.25">
      <c r="A18008" s="28">
        <v>44986</v>
      </c>
      <c r="B18008" s="27" t="s">
        <v>5</v>
      </c>
      <c r="C18008" s="27" t="s">
        <v>51</v>
      </c>
      <c r="D18008" s="27" t="s">
        <v>51</v>
      </c>
      <c r="E18008" s="27" t="s">
        <v>68</v>
      </c>
      <c r="F18008" s="29">
        <v>11037</v>
      </c>
      <c r="G18008" s="30">
        <v>0</v>
      </c>
    </row>
    <row r="18009" spans="1:7" hidden="1" x14ac:dyDescent="0.25">
      <c r="A18009" s="28">
        <v>44986</v>
      </c>
      <c r="B18009" s="27" t="s">
        <v>5</v>
      </c>
      <c r="C18009" s="27" t="s">
        <v>51</v>
      </c>
      <c r="D18009" s="27" t="s">
        <v>51</v>
      </c>
      <c r="E18009" s="27" t="s">
        <v>74</v>
      </c>
      <c r="F18009" s="29">
        <v>7300</v>
      </c>
      <c r="G18009" s="30">
        <v>0</v>
      </c>
    </row>
    <row r="18010" spans="1:7" hidden="1" x14ac:dyDescent="0.25">
      <c r="A18010" s="28">
        <v>44986</v>
      </c>
      <c r="B18010" s="27" t="s">
        <v>5</v>
      </c>
      <c r="C18010" s="27" t="s">
        <v>51</v>
      </c>
      <c r="D18010" s="27" t="s">
        <v>51</v>
      </c>
      <c r="E18010" s="27" t="s">
        <v>67</v>
      </c>
      <c r="F18010" s="29">
        <v>3788</v>
      </c>
      <c r="G18010" s="30">
        <v>0</v>
      </c>
    </row>
    <row r="18011" spans="1:7" hidden="1" x14ac:dyDescent="0.25">
      <c r="A18011" s="28">
        <v>44986</v>
      </c>
      <c r="B18011" s="27" t="s">
        <v>5</v>
      </c>
      <c r="C18011" s="27" t="s">
        <v>51</v>
      </c>
      <c r="D18011" s="27" t="s">
        <v>51</v>
      </c>
      <c r="E18011" s="27" t="s">
        <v>71</v>
      </c>
      <c r="F18011" s="29">
        <v>7502</v>
      </c>
      <c r="G18011" s="30">
        <v>0</v>
      </c>
    </row>
    <row r="18012" spans="1:7" hidden="1" x14ac:dyDescent="0.25">
      <c r="A18012" s="28">
        <v>44986</v>
      </c>
      <c r="B18012" s="27" t="s">
        <v>5</v>
      </c>
      <c r="C18012" s="27" t="s">
        <v>51</v>
      </c>
      <c r="D18012" s="27" t="s">
        <v>51</v>
      </c>
      <c r="E18012" s="27" t="s">
        <v>73</v>
      </c>
      <c r="F18012" s="29">
        <v>3111</v>
      </c>
      <c r="G18012" s="30">
        <v>0</v>
      </c>
    </row>
    <row r="18013" spans="1:7" hidden="1" x14ac:dyDescent="0.25">
      <c r="A18013" s="28">
        <v>44986</v>
      </c>
      <c r="B18013" s="27" t="s">
        <v>5</v>
      </c>
      <c r="C18013" s="27" t="s">
        <v>51</v>
      </c>
      <c r="D18013" s="27" t="s">
        <v>51</v>
      </c>
      <c r="E18013" s="27" t="s">
        <v>70</v>
      </c>
      <c r="F18013" s="29">
        <v>8118</v>
      </c>
      <c r="G18013" s="30">
        <v>0</v>
      </c>
    </row>
    <row r="18014" spans="1:7" hidden="1" x14ac:dyDescent="0.25">
      <c r="A18014" s="28">
        <v>44986</v>
      </c>
      <c r="B18014" s="27" t="s">
        <v>5</v>
      </c>
      <c r="C18014" s="27" t="s">
        <v>51</v>
      </c>
      <c r="D18014" s="27" t="s">
        <v>51</v>
      </c>
      <c r="E18014" s="27" t="s">
        <v>203</v>
      </c>
      <c r="F18014" s="29">
        <v>7286</v>
      </c>
      <c r="G18014" s="30">
        <v>0</v>
      </c>
    </row>
    <row r="18015" spans="1:7" hidden="1" x14ac:dyDescent="0.25">
      <c r="A18015" s="28">
        <v>44986</v>
      </c>
      <c r="B18015" s="27" t="s">
        <v>180</v>
      </c>
      <c r="C18015" s="27" t="s">
        <v>50</v>
      </c>
      <c r="D18015" s="27" t="s">
        <v>7</v>
      </c>
      <c r="E18015" s="27" t="s">
        <v>8</v>
      </c>
      <c r="F18015" s="29"/>
      <c r="G18015" s="30">
        <f>16590+697</f>
        <v>17287</v>
      </c>
    </row>
    <row r="18016" spans="1:7" hidden="1" x14ac:dyDescent="0.25">
      <c r="A18016" s="28">
        <v>44986</v>
      </c>
      <c r="B18016" s="27" t="s">
        <v>180</v>
      </c>
      <c r="C18016" s="27" t="s">
        <v>50</v>
      </c>
      <c r="D18016" s="27" t="s">
        <v>7</v>
      </c>
      <c r="E18016" s="27" t="s">
        <v>9</v>
      </c>
      <c r="F18016" s="29"/>
      <c r="G18016" s="30">
        <f>3494+697.09</f>
        <v>4191.09</v>
      </c>
    </row>
    <row r="18017" spans="1:7" hidden="1" x14ac:dyDescent="0.25">
      <c r="A18017" s="28">
        <v>44986</v>
      </c>
      <c r="B18017" s="27" t="s">
        <v>180</v>
      </c>
      <c r="C18017" s="27" t="s">
        <v>50</v>
      </c>
      <c r="D18017" s="27" t="s">
        <v>7</v>
      </c>
      <c r="E18017" s="27" t="s">
        <v>72</v>
      </c>
      <c r="F18017" s="29"/>
      <c r="G18017" s="30">
        <f>300+697.09</f>
        <v>997.09</v>
      </c>
    </row>
    <row r="18018" spans="1:7" hidden="1" x14ac:dyDescent="0.25">
      <c r="A18018" s="28">
        <v>44986</v>
      </c>
      <c r="B18018" s="27" t="s">
        <v>180</v>
      </c>
      <c r="C18018" s="27" t="s">
        <v>50</v>
      </c>
      <c r="D18018" s="27" t="s">
        <v>7</v>
      </c>
      <c r="E18018" s="27" t="s">
        <v>64</v>
      </c>
      <c r="F18018" s="29"/>
      <c r="G18018" s="30">
        <f>650+697.09</f>
        <v>1347.0900000000001</v>
      </c>
    </row>
    <row r="18019" spans="1:7" hidden="1" x14ac:dyDescent="0.25">
      <c r="A18019" s="28">
        <v>44986</v>
      </c>
      <c r="B18019" s="27" t="s">
        <v>180</v>
      </c>
      <c r="C18019" s="27" t="s">
        <v>50</v>
      </c>
      <c r="D18019" s="27" t="s">
        <v>7</v>
      </c>
      <c r="E18019" s="27" t="s">
        <v>10</v>
      </c>
      <c r="F18019" s="29"/>
      <c r="G18019" s="30">
        <f>380+697.09</f>
        <v>1077.0900000000001</v>
      </c>
    </row>
    <row r="18020" spans="1:7" hidden="1" x14ac:dyDescent="0.25">
      <c r="A18020" s="28">
        <v>44986</v>
      </c>
      <c r="B18020" s="27" t="s">
        <v>180</v>
      </c>
      <c r="C18020" s="27" t="s">
        <v>50</v>
      </c>
      <c r="D18020" s="27" t="s">
        <v>7</v>
      </c>
      <c r="E18020" s="27" t="s">
        <v>206</v>
      </c>
      <c r="F18020" s="29"/>
      <c r="G18020" s="30">
        <f>1456+697.09</f>
        <v>2153.09</v>
      </c>
    </row>
    <row r="18021" spans="1:7" hidden="1" x14ac:dyDescent="0.25">
      <c r="A18021" s="28">
        <v>44986</v>
      </c>
      <c r="B18021" s="27" t="s">
        <v>180</v>
      </c>
      <c r="C18021" s="27" t="s">
        <v>50</v>
      </c>
      <c r="D18021" s="27" t="s">
        <v>7</v>
      </c>
      <c r="E18021" s="27" t="s">
        <v>222</v>
      </c>
      <c r="F18021" s="29"/>
      <c r="G18021" s="30">
        <f>900+697.09</f>
        <v>1597.0900000000001</v>
      </c>
    </row>
    <row r="18022" spans="1:7" hidden="1" x14ac:dyDescent="0.25">
      <c r="A18022" s="28">
        <v>44986</v>
      </c>
      <c r="B18022" s="27" t="s">
        <v>180</v>
      </c>
      <c r="C18022" s="27" t="s">
        <v>50</v>
      </c>
      <c r="D18022" s="27" t="s">
        <v>7</v>
      </c>
      <c r="E18022" s="27" t="s">
        <v>70</v>
      </c>
      <c r="F18022" s="29"/>
      <c r="G18022" s="30">
        <f>280+697.09</f>
        <v>977.09</v>
      </c>
    </row>
    <row r="18023" spans="1:7" hidden="1" x14ac:dyDescent="0.25">
      <c r="A18023" s="28">
        <v>44986</v>
      </c>
      <c r="B18023" s="27" t="s">
        <v>180</v>
      </c>
      <c r="C18023" s="27" t="s">
        <v>50</v>
      </c>
      <c r="D18023" s="27" t="s">
        <v>7</v>
      </c>
      <c r="E18023" s="27" t="s">
        <v>69</v>
      </c>
      <c r="F18023" s="29"/>
      <c r="G18023" s="30">
        <f>3250+697.09</f>
        <v>3947.09</v>
      </c>
    </row>
    <row r="18024" spans="1:7" hidden="1" x14ac:dyDescent="0.25">
      <c r="A18024" s="28">
        <v>44986</v>
      </c>
      <c r="B18024" s="27" t="s">
        <v>180</v>
      </c>
      <c r="C18024" s="27" t="s">
        <v>50</v>
      </c>
      <c r="D18024" s="27" t="s">
        <v>7</v>
      </c>
      <c r="E18024" s="27" t="s">
        <v>13</v>
      </c>
      <c r="F18024" s="29"/>
      <c r="G18024" s="30">
        <f>280+697.09</f>
        <v>977.09</v>
      </c>
    </row>
    <row r="18025" spans="1:7" hidden="1" x14ac:dyDescent="0.25">
      <c r="A18025" s="28">
        <v>44986</v>
      </c>
      <c r="B18025" s="27" t="s">
        <v>180</v>
      </c>
      <c r="C18025" s="27" t="s">
        <v>50</v>
      </c>
      <c r="D18025" s="27" t="s">
        <v>7</v>
      </c>
      <c r="E18025" s="27" t="s">
        <v>15</v>
      </c>
      <c r="F18025" s="29"/>
      <c r="G18025" s="30">
        <f>1200+697.09</f>
        <v>1897.0900000000001</v>
      </c>
    </row>
    <row r="18026" spans="1:7" hidden="1" x14ac:dyDescent="0.25">
      <c r="A18026" s="28">
        <v>44986</v>
      </c>
      <c r="B18026" s="27" t="s">
        <v>180</v>
      </c>
      <c r="C18026" s="27" t="s">
        <v>50</v>
      </c>
      <c r="D18026" s="27" t="s">
        <v>7</v>
      </c>
      <c r="E18026" s="27" t="s">
        <v>19</v>
      </c>
      <c r="F18026" s="29"/>
      <c r="G18026" s="30">
        <f>299+697.09</f>
        <v>996.09</v>
      </c>
    </row>
    <row r="18027" spans="1:7" hidden="1" x14ac:dyDescent="0.25">
      <c r="A18027" s="28">
        <v>44986</v>
      </c>
      <c r="B18027" s="27" t="s">
        <v>181</v>
      </c>
      <c r="C18027" s="27" t="s">
        <v>50</v>
      </c>
      <c r="D18027" s="27" t="s">
        <v>6</v>
      </c>
      <c r="E18027" s="27" t="s">
        <v>68</v>
      </c>
      <c r="F18027" s="29"/>
      <c r="G18027" s="30">
        <v>1665</v>
      </c>
    </row>
    <row r="18028" spans="1:7" hidden="1" x14ac:dyDescent="0.25">
      <c r="A18028" s="28">
        <v>44986</v>
      </c>
      <c r="B18028" s="27" t="s">
        <v>181</v>
      </c>
      <c r="C18028" s="27" t="s">
        <v>50</v>
      </c>
      <c r="D18028" s="27" t="s">
        <v>6</v>
      </c>
      <c r="E18028" s="27" t="s">
        <v>39</v>
      </c>
      <c r="F18028" s="29"/>
      <c r="G18028" s="30">
        <v>1845</v>
      </c>
    </row>
    <row r="18029" spans="1:7" hidden="1" x14ac:dyDescent="0.25">
      <c r="A18029" s="28">
        <v>44986</v>
      </c>
      <c r="B18029" s="27" t="s">
        <v>181</v>
      </c>
      <c r="C18029" s="27" t="s">
        <v>50</v>
      </c>
      <c r="D18029" s="27" t="s">
        <v>6</v>
      </c>
      <c r="E18029" s="27" t="s">
        <v>70</v>
      </c>
      <c r="F18029" s="29"/>
      <c r="G18029" s="30">
        <v>2450</v>
      </c>
    </row>
    <row r="18030" spans="1:7" hidden="1" x14ac:dyDescent="0.25">
      <c r="A18030" s="28">
        <v>44986</v>
      </c>
      <c r="B18030" s="27" t="s">
        <v>181</v>
      </c>
      <c r="C18030" s="27" t="s">
        <v>50</v>
      </c>
      <c r="D18030" s="27" t="s">
        <v>6</v>
      </c>
      <c r="E18030" s="27" t="s">
        <v>72</v>
      </c>
      <c r="F18030" s="29"/>
      <c r="G18030" s="30">
        <v>2063</v>
      </c>
    </row>
    <row r="18031" spans="1:7" hidden="1" x14ac:dyDescent="0.25">
      <c r="A18031" s="28">
        <v>44986</v>
      </c>
      <c r="B18031" s="27" t="s">
        <v>181</v>
      </c>
      <c r="C18031" s="27" t="s">
        <v>50</v>
      </c>
      <c r="D18031" s="27" t="s">
        <v>6</v>
      </c>
      <c r="E18031" s="27" t="s">
        <v>64</v>
      </c>
      <c r="F18031" s="29"/>
      <c r="G18031" s="30">
        <v>2683</v>
      </c>
    </row>
    <row r="18032" spans="1:7" hidden="1" x14ac:dyDescent="0.25">
      <c r="A18032" s="28">
        <v>44986</v>
      </c>
      <c r="B18032" s="27" t="s">
        <v>181</v>
      </c>
      <c r="C18032" s="27" t="s">
        <v>50</v>
      </c>
      <c r="D18032" s="27" t="s">
        <v>6</v>
      </c>
      <c r="E18032" s="27" t="s">
        <v>206</v>
      </c>
      <c r="F18032" s="29"/>
      <c r="G18032" s="30">
        <v>3610</v>
      </c>
    </row>
    <row r="18033" spans="1:7" hidden="1" x14ac:dyDescent="0.25">
      <c r="A18033" s="28">
        <v>44986</v>
      </c>
      <c r="B18033" s="27" t="s">
        <v>181</v>
      </c>
      <c r="C18033" s="27" t="s">
        <v>50</v>
      </c>
      <c r="D18033" s="27" t="s">
        <v>6</v>
      </c>
      <c r="E18033" s="27" t="s">
        <v>13</v>
      </c>
      <c r="F18033" s="29"/>
      <c r="G18033" s="30">
        <v>2110</v>
      </c>
    </row>
    <row r="18034" spans="1:7" hidden="1" x14ac:dyDescent="0.25">
      <c r="A18034" s="28">
        <v>44986</v>
      </c>
      <c r="B18034" s="27" t="s">
        <v>181</v>
      </c>
      <c r="C18034" s="27" t="s">
        <v>50</v>
      </c>
      <c r="D18034" s="27" t="s">
        <v>6</v>
      </c>
      <c r="E18034" s="27" t="s">
        <v>17</v>
      </c>
      <c r="F18034" s="29"/>
      <c r="G18034" s="30">
        <v>1515</v>
      </c>
    </row>
    <row r="18035" spans="1:7" hidden="1" x14ac:dyDescent="0.25">
      <c r="A18035" s="28">
        <v>44986</v>
      </c>
      <c r="B18035" s="27" t="s">
        <v>181</v>
      </c>
      <c r="C18035" s="27" t="s">
        <v>50</v>
      </c>
      <c r="D18035" s="27" t="s">
        <v>6</v>
      </c>
      <c r="E18035" s="27" t="s">
        <v>74</v>
      </c>
      <c r="F18035" s="29"/>
      <c r="G18035" s="30">
        <v>3195.1</v>
      </c>
    </row>
    <row r="18036" spans="1:7" hidden="1" x14ac:dyDescent="0.25">
      <c r="A18036" s="28">
        <v>44986</v>
      </c>
      <c r="B18036" s="27" t="s">
        <v>2</v>
      </c>
      <c r="C18036" s="27" t="s">
        <v>50</v>
      </c>
      <c r="D18036" s="27" t="s">
        <v>7</v>
      </c>
      <c r="E18036" s="27" t="s">
        <v>8</v>
      </c>
      <c r="F18036" s="29"/>
      <c r="G18036" s="30">
        <f t="shared" ref="G18036:G18067" si="318">27570.92/32</f>
        <v>861.59124999999995</v>
      </c>
    </row>
    <row r="18037" spans="1:7" hidden="1" x14ac:dyDescent="0.25">
      <c r="A18037" s="28">
        <v>44986</v>
      </c>
      <c r="B18037" s="27" t="s">
        <v>2</v>
      </c>
      <c r="C18037" s="27" t="s">
        <v>50</v>
      </c>
      <c r="D18037" s="27" t="s">
        <v>7</v>
      </c>
      <c r="E18037" s="27" t="s">
        <v>9</v>
      </c>
      <c r="F18037" s="29"/>
      <c r="G18037" s="30">
        <f t="shared" si="318"/>
        <v>861.59124999999995</v>
      </c>
    </row>
    <row r="18038" spans="1:7" hidden="1" x14ac:dyDescent="0.25">
      <c r="A18038" s="28">
        <v>44986</v>
      </c>
      <c r="B18038" s="27" t="s">
        <v>2</v>
      </c>
      <c r="C18038" s="27" t="s">
        <v>50</v>
      </c>
      <c r="D18038" s="27" t="s">
        <v>7</v>
      </c>
      <c r="E18038" s="27" t="s">
        <v>21</v>
      </c>
      <c r="F18038" s="29"/>
      <c r="G18038" s="30">
        <f t="shared" si="318"/>
        <v>861.59124999999995</v>
      </c>
    </row>
    <row r="18039" spans="1:7" hidden="1" x14ac:dyDescent="0.25">
      <c r="A18039" s="28">
        <v>44986</v>
      </c>
      <c r="B18039" s="27" t="s">
        <v>2</v>
      </c>
      <c r="C18039" s="27" t="s">
        <v>50</v>
      </c>
      <c r="D18039" s="27" t="s">
        <v>7</v>
      </c>
      <c r="E18039" s="27" t="s">
        <v>10</v>
      </c>
      <c r="F18039" s="29"/>
      <c r="G18039" s="30">
        <f t="shared" si="318"/>
        <v>861.59124999999995</v>
      </c>
    </row>
    <row r="18040" spans="1:7" hidden="1" x14ac:dyDescent="0.25">
      <c r="A18040" s="28">
        <v>44986</v>
      </c>
      <c r="B18040" s="27" t="s">
        <v>2</v>
      </c>
      <c r="C18040" s="27" t="s">
        <v>50</v>
      </c>
      <c r="D18040" s="27" t="s">
        <v>7</v>
      </c>
      <c r="E18040" s="27" t="s">
        <v>11</v>
      </c>
      <c r="F18040" s="29"/>
      <c r="G18040" s="30">
        <f t="shared" si="318"/>
        <v>861.59124999999995</v>
      </c>
    </row>
    <row r="18041" spans="1:7" hidden="1" x14ac:dyDescent="0.25">
      <c r="A18041" s="28">
        <v>44986</v>
      </c>
      <c r="B18041" s="27" t="s">
        <v>2</v>
      </c>
      <c r="C18041" s="27" t="s">
        <v>50</v>
      </c>
      <c r="D18041" s="27" t="s">
        <v>7</v>
      </c>
      <c r="E18041" s="27" t="s">
        <v>12</v>
      </c>
      <c r="F18041" s="29"/>
      <c r="G18041" s="30">
        <f t="shared" si="318"/>
        <v>861.59124999999995</v>
      </c>
    </row>
    <row r="18042" spans="1:7" hidden="1" x14ac:dyDescent="0.25">
      <c r="A18042" s="28">
        <v>44986</v>
      </c>
      <c r="B18042" s="27" t="s">
        <v>2</v>
      </c>
      <c r="C18042" s="27" t="s">
        <v>50</v>
      </c>
      <c r="D18042" s="27" t="s">
        <v>7</v>
      </c>
      <c r="E18042" s="27" t="s">
        <v>13</v>
      </c>
      <c r="F18042" s="29"/>
      <c r="G18042" s="30">
        <f t="shared" si="318"/>
        <v>861.59124999999995</v>
      </c>
    </row>
    <row r="18043" spans="1:7" hidden="1" x14ac:dyDescent="0.25">
      <c r="A18043" s="28">
        <v>44986</v>
      </c>
      <c r="B18043" s="27" t="s">
        <v>2</v>
      </c>
      <c r="C18043" s="27" t="s">
        <v>50</v>
      </c>
      <c r="D18043" s="27" t="s">
        <v>7</v>
      </c>
      <c r="E18043" s="27" t="s">
        <v>14</v>
      </c>
      <c r="F18043" s="29"/>
      <c r="G18043" s="30">
        <f t="shared" si="318"/>
        <v>861.59124999999995</v>
      </c>
    </row>
    <row r="18044" spans="1:7" hidden="1" x14ac:dyDescent="0.25">
      <c r="A18044" s="28">
        <v>44986</v>
      </c>
      <c r="B18044" s="27" t="s">
        <v>2</v>
      </c>
      <c r="C18044" s="27" t="s">
        <v>50</v>
      </c>
      <c r="D18044" s="27" t="s">
        <v>7</v>
      </c>
      <c r="E18044" s="27" t="s">
        <v>15</v>
      </c>
      <c r="F18044" s="29"/>
      <c r="G18044" s="30">
        <f t="shared" si="318"/>
        <v>861.59124999999995</v>
      </c>
    </row>
    <row r="18045" spans="1:7" hidden="1" x14ac:dyDescent="0.25">
      <c r="A18045" s="28">
        <v>44986</v>
      </c>
      <c r="B18045" s="27" t="s">
        <v>2</v>
      </c>
      <c r="C18045" s="27" t="s">
        <v>50</v>
      </c>
      <c r="D18045" s="27" t="s">
        <v>7</v>
      </c>
      <c r="E18045" s="27" t="s">
        <v>16</v>
      </c>
      <c r="F18045" s="29"/>
      <c r="G18045" s="30">
        <f t="shared" si="318"/>
        <v>861.59124999999995</v>
      </c>
    </row>
    <row r="18046" spans="1:7" hidden="1" x14ac:dyDescent="0.25">
      <c r="A18046" s="28">
        <v>44986</v>
      </c>
      <c r="B18046" s="27" t="s">
        <v>2</v>
      </c>
      <c r="C18046" s="27" t="s">
        <v>50</v>
      </c>
      <c r="D18046" s="27" t="s">
        <v>7</v>
      </c>
      <c r="E18046" s="27" t="s">
        <v>17</v>
      </c>
      <c r="F18046" s="29"/>
      <c r="G18046" s="30">
        <f t="shared" si="318"/>
        <v>861.59124999999995</v>
      </c>
    </row>
    <row r="18047" spans="1:7" hidden="1" x14ac:dyDescent="0.25">
      <c r="A18047" s="28">
        <v>44986</v>
      </c>
      <c r="B18047" s="27" t="s">
        <v>2</v>
      </c>
      <c r="C18047" s="27" t="s">
        <v>50</v>
      </c>
      <c r="D18047" s="27" t="s">
        <v>7</v>
      </c>
      <c r="E18047" s="27" t="s">
        <v>18</v>
      </c>
      <c r="F18047" s="29"/>
      <c r="G18047" s="30">
        <f t="shared" si="318"/>
        <v>861.59124999999995</v>
      </c>
    </row>
    <row r="18048" spans="1:7" hidden="1" x14ac:dyDescent="0.25">
      <c r="A18048" s="28">
        <v>44986</v>
      </c>
      <c r="B18048" s="27" t="s">
        <v>2</v>
      </c>
      <c r="C18048" s="27" t="s">
        <v>50</v>
      </c>
      <c r="D18048" s="27" t="s">
        <v>7</v>
      </c>
      <c r="E18048" s="27" t="s">
        <v>19</v>
      </c>
      <c r="F18048" s="29"/>
      <c r="G18048" s="30">
        <f t="shared" si="318"/>
        <v>861.59124999999995</v>
      </c>
    </row>
    <row r="18049" spans="1:7" hidden="1" x14ac:dyDescent="0.25">
      <c r="A18049" s="28">
        <v>44986</v>
      </c>
      <c r="B18049" s="27" t="s">
        <v>2</v>
      </c>
      <c r="C18049" s="27" t="s">
        <v>50</v>
      </c>
      <c r="D18049" s="27" t="s">
        <v>7</v>
      </c>
      <c r="E18049" s="27" t="s">
        <v>20</v>
      </c>
      <c r="F18049" s="29"/>
      <c r="G18049" s="30">
        <f t="shared" si="318"/>
        <v>861.59124999999995</v>
      </c>
    </row>
    <row r="18050" spans="1:7" hidden="1" x14ac:dyDescent="0.25">
      <c r="A18050" s="28">
        <v>44986</v>
      </c>
      <c r="B18050" s="27" t="s">
        <v>2</v>
      </c>
      <c r="C18050" s="27" t="s">
        <v>50</v>
      </c>
      <c r="D18050" s="27" t="s">
        <v>7</v>
      </c>
      <c r="E18050" s="27" t="s">
        <v>38</v>
      </c>
      <c r="F18050" s="29"/>
      <c r="G18050" s="30">
        <f t="shared" si="318"/>
        <v>861.59124999999995</v>
      </c>
    </row>
    <row r="18051" spans="1:7" hidden="1" x14ac:dyDescent="0.25">
      <c r="A18051" s="28">
        <v>44986</v>
      </c>
      <c r="B18051" s="27" t="s">
        <v>2</v>
      </c>
      <c r="C18051" s="27" t="s">
        <v>50</v>
      </c>
      <c r="D18051" s="27" t="s">
        <v>7</v>
      </c>
      <c r="E18051" s="27" t="s">
        <v>23</v>
      </c>
      <c r="F18051" s="29"/>
      <c r="G18051" s="30">
        <f t="shared" si="318"/>
        <v>861.59124999999995</v>
      </c>
    </row>
    <row r="18052" spans="1:7" hidden="1" x14ac:dyDescent="0.25">
      <c r="A18052" s="28">
        <v>44986</v>
      </c>
      <c r="B18052" s="27" t="s">
        <v>2</v>
      </c>
      <c r="C18052" s="27" t="s">
        <v>50</v>
      </c>
      <c r="D18052" s="27" t="s">
        <v>7</v>
      </c>
      <c r="E18052" s="27" t="s">
        <v>22</v>
      </c>
      <c r="F18052" s="29"/>
      <c r="G18052" s="30">
        <f t="shared" si="318"/>
        <v>861.59124999999995</v>
      </c>
    </row>
    <row r="18053" spans="1:7" hidden="1" x14ac:dyDescent="0.25">
      <c r="A18053" s="28">
        <v>44986</v>
      </c>
      <c r="B18053" s="27" t="s">
        <v>2</v>
      </c>
      <c r="C18053" s="27" t="s">
        <v>50</v>
      </c>
      <c r="D18053" s="27" t="s">
        <v>7</v>
      </c>
      <c r="E18053" s="27" t="s">
        <v>39</v>
      </c>
      <c r="F18053" s="29"/>
      <c r="G18053" s="30">
        <f t="shared" si="318"/>
        <v>861.59124999999995</v>
      </c>
    </row>
    <row r="18054" spans="1:7" hidden="1" x14ac:dyDescent="0.25">
      <c r="A18054" s="28">
        <v>44986</v>
      </c>
      <c r="B18054" s="27" t="s">
        <v>2</v>
      </c>
      <c r="C18054" s="27" t="s">
        <v>50</v>
      </c>
      <c r="D18054" s="27" t="s">
        <v>7</v>
      </c>
      <c r="E18054" s="27" t="s">
        <v>41</v>
      </c>
      <c r="F18054" s="29"/>
      <c r="G18054" s="30">
        <f t="shared" si="318"/>
        <v>861.59124999999995</v>
      </c>
    </row>
    <row r="18055" spans="1:7" hidden="1" x14ac:dyDescent="0.25">
      <c r="A18055" s="28">
        <v>44986</v>
      </c>
      <c r="B18055" s="27" t="s">
        <v>2</v>
      </c>
      <c r="C18055" s="27" t="s">
        <v>50</v>
      </c>
      <c r="D18055" s="27" t="s">
        <v>7</v>
      </c>
      <c r="E18055" s="27" t="s">
        <v>40</v>
      </c>
      <c r="F18055" s="29"/>
      <c r="G18055" s="30">
        <f t="shared" si="318"/>
        <v>861.59124999999995</v>
      </c>
    </row>
    <row r="18056" spans="1:7" hidden="1" x14ac:dyDescent="0.25">
      <c r="A18056" s="28">
        <v>44986</v>
      </c>
      <c r="B18056" s="27" t="s">
        <v>2</v>
      </c>
      <c r="C18056" s="27" t="s">
        <v>50</v>
      </c>
      <c r="D18056" s="27" t="s">
        <v>7</v>
      </c>
      <c r="E18056" s="27" t="s">
        <v>64</v>
      </c>
      <c r="F18056" s="29"/>
      <c r="G18056" s="30">
        <f t="shared" si="318"/>
        <v>861.59124999999995</v>
      </c>
    </row>
    <row r="18057" spans="1:7" hidden="1" x14ac:dyDescent="0.25">
      <c r="A18057" s="28">
        <v>44986</v>
      </c>
      <c r="B18057" s="27" t="s">
        <v>2</v>
      </c>
      <c r="C18057" s="27" t="s">
        <v>50</v>
      </c>
      <c r="D18057" s="27" t="s">
        <v>7</v>
      </c>
      <c r="E18057" s="27" t="s">
        <v>42</v>
      </c>
      <c r="F18057" s="29"/>
      <c r="G18057" s="30">
        <f t="shared" si="318"/>
        <v>861.59124999999995</v>
      </c>
    </row>
    <row r="18058" spans="1:7" hidden="1" x14ac:dyDescent="0.25">
      <c r="A18058" s="28">
        <v>44986</v>
      </c>
      <c r="B18058" s="27" t="s">
        <v>2</v>
      </c>
      <c r="C18058" s="27" t="s">
        <v>50</v>
      </c>
      <c r="D18058" s="27" t="s">
        <v>7</v>
      </c>
      <c r="E18058" s="27" t="s">
        <v>72</v>
      </c>
      <c r="F18058" s="29"/>
      <c r="G18058" s="30">
        <f t="shared" si="318"/>
        <v>861.59124999999995</v>
      </c>
    </row>
    <row r="18059" spans="1:7" hidden="1" x14ac:dyDescent="0.25">
      <c r="A18059" s="28">
        <v>44986</v>
      </c>
      <c r="B18059" s="27" t="s">
        <v>2</v>
      </c>
      <c r="C18059" s="27" t="s">
        <v>50</v>
      </c>
      <c r="D18059" s="27" t="s">
        <v>7</v>
      </c>
      <c r="E18059" s="27" t="s">
        <v>43</v>
      </c>
      <c r="F18059" s="29"/>
      <c r="G18059" s="30">
        <f t="shared" si="318"/>
        <v>861.59124999999995</v>
      </c>
    </row>
    <row r="18060" spans="1:7" hidden="1" x14ac:dyDescent="0.25">
      <c r="A18060" s="28">
        <v>44986</v>
      </c>
      <c r="B18060" s="27" t="s">
        <v>2</v>
      </c>
      <c r="C18060" s="27" t="s">
        <v>50</v>
      </c>
      <c r="D18060" s="27" t="s">
        <v>7</v>
      </c>
      <c r="E18060" s="27" t="s">
        <v>206</v>
      </c>
      <c r="F18060" s="29"/>
      <c r="G18060" s="30">
        <f t="shared" si="318"/>
        <v>861.59124999999995</v>
      </c>
    </row>
    <row r="18061" spans="1:7" hidden="1" x14ac:dyDescent="0.25">
      <c r="A18061" s="28">
        <v>44986</v>
      </c>
      <c r="B18061" s="27" t="s">
        <v>2</v>
      </c>
      <c r="C18061" s="27" t="s">
        <v>50</v>
      </c>
      <c r="D18061" s="27" t="s">
        <v>7</v>
      </c>
      <c r="E18061" s="27" t="s">
        <v>68</v>
      </c>
      <c r="F18061" s="29"/>
      <c r="G18061" s="30">
        <f t="shared" si="318"/>
        <v>861.59124999999995</v>
      </c>
    </row>
    <row r="18062" spans="1:7" hidden="1" x14ac:dyDescent="0.25">
      <c r="A18062" s="28">
        <v>44986</v>
      </c>
      <c r="B18062" s="27" t="s">
        <v>2</v>
      </c>
      <c r="C18062" s="27" t="s">
        <v>50</v>
      </c>
      <c r="D18062" s="27" t="s">
        <v>7</v>
      </c>
      <c r="E18062" s="27" t="s">
        <v>74</v>
      </c>
      <c r="F18062" s="29"/>
      <c r="G18062" s="30">
        <f t="shared" si="318"/>
        <v>861.59124999999995</v>
      </c>
    </row>
    <row r="18063" spans="1:7" hidden="1" x14ac:dyDescent="0.25">
      <c r="A18063" s="28">
        <v>44986</v>
      </c>
      <c r="B18063" s="27" t="s">
        <v>2</v>
      </c>
      <c r="C18063" s="27" t="s">
        <v>50</v>
      </c>
      <c r="D18063" s="27" t="s">
        <v>7</v>
      </c>
      <c r="E18063" s="27" t="s">
        <v>67</v>
      </c>
      <c r="F18063" s="29"/>
      <c r="G18063" s="30">
        <f t="shared" si="318"/>
        <v>861.59124999999995</v>
      </c>
    </row>
    <row r="18064" spans="1:7" hidden="1" x14ac:dyDescent="0.25">
      <c r="A18064" s="28">
        <v>44986</v>
      </c>
      <c r="B18064" s="27" t="s">
        <v>2</v>
      </c>
      <c r="C18064" s="27" t="s">
        <v>50</v>
      </c>
      <c r="D18064" s="27" t="s">
        <v>7</v>
      </c>
      <c r="E18064" s="27" t="s">
        <v>71</v>
      </c>
      <c r="F18064" s="29"/>
      <c r="G18064" s="30">
        <f t="shared" si="318"/>
        <v>861.59124999999995</v>
      </c>
    </row>
    <row r="18065" spans="1:7" hidden="1" x14ac:dyDescent="0.25">
      <c r="A18065" s="28">
        <v>44986</v>
      </c>
      <c r="B18065" s="27" t="s">
        <v>2</v>
      </c>
      <c r="C18065" s="27" t="s">
        <v>50</v>
      </c>
      <c r="D18065" s="27" t="s">
        <v>7</v>
      </c>
      <c r="E18065" s="27" t="s">
        <v>73</v>
      </c>
      <c r="F18065" s="29"/>
      <c r="G18065" s="30">
        <f t="shared" si="318"/>
        <v>861.59124999999995</v>
      </c>
    </row>
    <row r="18066" spans="1:7" hidden="1" x14ac:dyDescent="0.25">
      <c r="A18066" s="28">
        <v>44986</v>
      </c>
      <c r="B18066" s="27" t="s">
        <v>2</v>
      </c>
      <c r="C18066" s="27" t="s">
        <v>50</v>
      </c>
      <c r="D18066" s="27" t="s">
        <v>7</v>
      </c>
      <c r="E18066" s="27" t="s">
        <v>70</v>
      </c>
      <c r="F18066" s="29"/>
      <c r="G18066" s="30">
        <f t="shared" si="318"/>
        <v>861.59124999999995</v>
      </c>
    </row>
    <row r="18067" spans="1:7" hidden="1" x14ac:dyDescent="0.25">
      <c r="A18067" s="28">
        <v>44986</v>
      </c>
      <c r="B18067" s="27" t="s">
        <v>2</v>
      </c>
      <c r="C18067" s="27" t="s">
        <v>50</v>
      </c>
      <c r="D18067" s="27" t="s">
        <v>7</v>
      </c>
      <c r="E18067" s="27" t="s">
        <v>203</v>
      </c>
      <c r="F18067" s="29"/>
      <c r="G18067" s="30">
        <f t="shared" si="318"/>
        <v>861.59124999999995</v>
      </c>
    </row>
    <row r="18068" spans="1:7" hidden="1" x14ac:dyDescent="0.25">
      <c r="A18068" s="28">
        <v>44986</v>
      </c>
      <c r="B18068" s="27" t="s">
        <v>36</v>
      </c>
      <c r="C18068" s="27" t="s">
        <v>50</v>
      </c>
      <c r="D18068" s="27" t="s">
        <v>6</v>
      </c>
      <c r="E18068" s="27" t="s">
        <v>8</v>
      </c>
      <c r="F18068" s="29"/>
      <c r="G18068" s="30">
        <f t="shared" ref="G18068:G18099" si="319">15822.38/32</f>
        <v>494.44937499999997</v>
      </c>
    </row>
    <row r="18069" spans="1:7" hidden="1" x14ac:dyDescent="0.25">
      <c r="A18069" s="28">
        <v>44986</v>
      </c>
      <c r="B18069" s="27" t="s">
        <v>36</v>
      </c>
      <c r="C18069" s="27" t="s">
        <v>50</v>
      </c>
      <c r="D18069" s="27" t="s">
        <v>6</v>
      </c>
      <c r="E18069" s="27" t="s">
        <v>9</v>
      </c>
      <c r="F18069" s="29"/>
      <c r="G18069" s="30">
        <f t="shared" si="319"/>
        <v>494.44937499999997</v>
      </c>
    </row>
    <row r="18070" spans="1:7" hidden="1" x14ac:dyDescent="0.25">
      <c r="A18070" s="28">
        <v>44986</v>
      </c>
      <c r="B18070" s="27" t="s">
        <v>36</v>
      </c>
      <c r="C18070" s="27" t="s">
        <v>50</v>
      </c>
      <c r="D18070" s="27" t="s">
        <v>6</v>
      </c>
      <c r="E18070" s="27" t="s">
        <v>21</v>
      </c>
      <c r="F18070" s="29"/>
      <c r="G18070" s="30">
        <f t="shared" si="319"/>
        <v>494.44937499999997</v>
      </c>
    </row>
    <row r="18071" spans="1:7" hidden="1" x14ac:dyDescent="0.25">
      <c r="A18071" s="28">
        <v>44986</v>
      </c>
      <c r="B18071" s="27" t="s">
        <v>36</v>
      </c>
      <c r="C18071" s="27" t="s">
        <v>50</v>
      </c>
      <c r="D18071" s="27" t="s">
        <v>6</v>
      </c>
      <c r="E18071" s="27" t="s">
        <v>10</v>
      </c>
      <c r="F18071" s="29"/>
      <c r="G18071" s="30">
        <f t="shared" si="319"/>
        <v>494.44937499999997</v>
      </c>
    </row>
    <row r="18072" spans="1:7" hidden="1" x14ac:dyDescent="0.25">
      <c r="A18072" s="28">
        <v>44986</v>
      </c>
      <c r="B18072" s="27" t="s">
        <v>36</v>
      </c>
      <c r="C18072" s="27" t="s">
        <v>50</v>
      </c>
      <c r="D18072" s="27" t="s">
        <v>6</v>
      </c>
      <c r="E18072" s="27" t="s">
        <v>11</v>
      </c>
      <c r="F18072" s="29"/>
      <c r="G18072" s="30">
        <f t="shared" si="319"/>
        <v>494.44937499999997</v>
      </c>
    </row>
    <row r="18073" spans="1:7" hidden="1" x14ac:dyDescent="0.25">
      <c r="A18073" s="28">
        <v>44986</v>
      </c>
      <c r="B18073" s="27" t="s">
        <v>36</v>
      </c>
      <c r="C18073" s="27" t="s">
        <v>50</v>
      </c>
      <c r="D18073" s="27" t="s">
        <v>6</v>
      </c>
      <c r="E18073" s="27" t="s">
        <v>12</v>
      </c>
      <c r="F18073" s="29"/>
      <c r="G18073" s="30">
        <f t="shared" si="319"/>
        <v>494.44937499999997</v>
      </c>
    </row>
    <row r="18074" spans="1:7" hidden="1" x14ac:dyDescent="0.25">
      <c r="A18074" s="28">
        <v>44986</v>
      </c>
      <c r="B18074" s="27" t="s">
        <v>36</v>
      </c>
      <c r="C18074" s="27" t="s">
        <v>50</v>
      </c>
      <c r="D18074" s="27" t="s">
        <v>6</v>
      </c>
      <c r="E18074" s="27" t="s">
        <v>13</v>
      </c>
      <c r="F18074" s="29"/>
      <c r="G18074" s="30">
        <f t="shared" si="319"/>
        <v>494.44937499999997</v>
      </c>
    </row>
    <row r="18075" spans="1:7" hidden="1" x14ac:dyDescent="0.25">
      <c r="A18075" s="28">
        <v>44986</v>
      </c>
      <c r="B18075" s="27" t="s">
        <v>36</v>
      </c>
      <c r="C18075" s="27" t="s">
        <v>50</v>
      </c>
      <c r="D18075" s="27" t="s">
        <v>6</v>
      </c>
      <c r="E18075" s="27" t="s">
        <v>14</v>
      </c>
      <c r="F18075" s="29"/>
      <c r="G18075" s="30">
        <f t="shared" si="319"/>
        <v>494.44937499999997</v>
      </c>
    </row>
    <row r="18076" spans="1:7" hidden="1" x14ac:dyDescent="0.25">
      <c r="A18076" s="28">
        <v>44986</v>
      </c>
      <c r="B18076" s="27" t="s">
        <v>36</v>
      </c>
      <c r="C18076" s="27" t="s">
        <v>50</v>
      </c>
      <c r="D18076" s="27" t="s">
        <v>6</v>
      </c>
      <c r="E18076" s="27" t="s">
        <v>15</v>
      </c>
      <c r="F18076" s="29"/>
      <c r="G18076" s="30">
        <f t="shared" si="319"/>
        <v>494.44937499999997</v>
      </c>
    </row>
    <row r="18077" spans="1:7" hidden="1" x14ac:dyDescent="0.25">
      <c r="A18077" s="28">
        <v>44986</v>
      </c>
      <c r="B18077" s="27" t="s">
        <v>36</v>
      </c>
      <c r="C18077" s="27" t="s">
        <v>50</v>
      </c>
      <c r="D18077" s="27" t="s">
        <v>6</v>
      </c>
      <c r="E18077" s="27" t="s">
        <v>16</v>
      </c>
      <c r="F18077" s="29"/>
      <c r="G18077" s="30">
        <f t="shared" si="319"/>
        <v>494.44937499999997</v>
      </c>
    </row>
    <row r="18078" spans="1:7" hidden="1" x14ac:dyDescent="0.25">
      <c r="A18078" s="28">
        <v>44986</v>
      </c>
      <c r="B18078" s="27" t="s">
        <v>36</v>
      </c>
      <c r="C18078" s="27" t="s">
        <v>50</v>
      </c>
      <c r="D18078" s="27" t="s">
        <v>6</v>
      </c>
      <c r="E18078" s="27" t="s">
        <v>17</v>
      </c>
      <c r="F18078" s="29"/>
      <c r="G18078" s="30">
        <f t="shared" si="319"/>
        <v>494.44937499999997</v>
      </c>
    </row>
    <row r="18079" spans="1:7" hidden="1" x14ac:dyDescent="0.25">
      <c r="A18079" s="28">
        <v>44986</v>
      </c>
      <c r="B18079" s="27" t="s">
        <v>36</v>
      </c>
      <c r="C18079" s="27" t="s">
        <v>50</v>
      </c>
      <c r="D18079" s="27" t="s">
        <v>6</v>
      </c>
      <c r="E18079" s="27" t="s">
        <v>18</v>
      </c>
      <c r="F18079" s="29"/>
      <c r="G18079" s="30">
        <f t="shared" si="319"/>
        <v>494.44937499999997</v>
      </c>
    </row>
    <row r="18080" spans="1:7" hidden="1" x14ac:dyDescent="0.25">
      <c r="A18080" s="28">
        <v>44986</v>
      </c>
      <c r="B18080" s="27" t="s">
        <v>36</v>
      </c>
      <c r="C18080" s="27" t="s">
        <v>50</v>
      </c>
      <c r="D18080" s="27" t="s">
        <v>6</v>
      </c>
      <c r="E18080" s="27" t="s">
        <v>19</v>
      </c>
      <c r="F18080" s="29"/>
      <c r="G18080" s="30">
        <f t="shared" si="319"/>
        <v>494.44937499999997</v>
      </c>
    </row>
    <row r="18081" spans="1:7" hidden="1" x14ac:dyDescent="0.25">
      <c r="A18081" s="28">
        <v>44986</v>
      </c>
      <c r="B18081" s="27" t="s">
        <v>36</v>
      </c>
      <c r="C18081" s="27" t="s">
        <v>50</v>
      </c>
      <c r="D18081" s="27" t="s">
        <v>6</v>
      </c>
      <c r="E18081" s="27" t="s">
        <v>20</v>
      </c>
      <c r="F18081" s="29"/>
      <c r="G18081" s="30">
        <f t="shared" si="319"/>
        <v>494.44937499999997</v>
      </c>
    </row>
    <row r="18082" spans="1:7" hidden="1" x14ac:dyDescent="0.25">
      <c r="A18082" s="28">
        <v>44986</v>
      </c>
      <c r="B18082" s="27" t="s">
        <v>36</v>
      </c>
      <c r="C18082" s="27" t="s">
        <v>50</v>
      </c>
      <c r="D18082" s="27" t="s">
        <v>6</v>
      </c>
      <c r="E18082" s="27" t="s">
        <v>38</v>
      </c>
      <c r="F18082" s="29"/>
      <c r="G18082" s="30">
        <f t="shared" si="319"/>
        <v>494.44937499999997</v>
      </c>
    </row>
    <row r="18083" spans="1:7" hidden="1" x14ac:dyDescent="0.25">
      <c r="A18083" s="28">
        <v>44986</v>
      </c>
      <c r="B18083" s="27" t="s">
        <v>36</v>
      </c>
      <c r="C18083" s="27" t="s">
        <v>50</v>
      </c>
      <c r="D18083" s="27" t="s">
        <v>6</v>
      </c>
      <c r="E18083" s="27" t="s">
        <v>23</v>
      </c>
      <c r="F18083" s="29"/>
      <c r="G18083" s="30">
        <f t="shared" si="319"/>
        <v>494.44937499999997</v>
      </c>
    </row>
    <row r="18084" spans="1:7" hidden="1" x14ac:dyDescent="0.25">
      <c r="A18084" s="28">
        <v>44986</v>
      </c>
      <c r="B18084" s="27" t="s">
        <v>36</v>
      </c>
      <c r="C18084" s="27" t="s">
        <v>50</v>
      </c>
      <c r="D18084" s="27" t="s">
        <v>6</v>
      </c>
      <c r="E18084" s="27" t="s">
        <v>22</v>
      </c>
      <c r="F18084" s="29"/>
      <c r="G18084" s="30">
        <f t="shared" si="319"/>
        <v>494.44937499999997</v>
      </c>
    </row>
    <row r="18085" spans="1:7" hidden="1" x14ac:dyDescent="0.25">
      <c r="A18085" s="28">
        <v>44986</v>
      </c>
      <c r="B18085" s="27" t="s">
        <v>36</v>
      </c>
      <c r="C18085" s="27" t="s">
        <v>50</v>
      </c>
      <c r="D18085" s="27" t="s">
        <v>6</v>
      </c>
      <c r="E18085" s="27" t="s">
        <v>39</v>
      </c>
      <c r="F18085" s="29"/>
      <c r="G18085" s="30">
        <f t="shared" si="319"/>
        <v>494.44937499999997</v>
      </c>
    </row>
    <row r="18086" spans="1:7" hidden="1" x14ac:dyDescent="0.25">
      <c r="A18086" s="28">
        <v>44986</v>
      </c>
      <c r="B18086" s="27" t="s">
        <v>36</v>
      </c>
      <c r="C18086" s="27" t="s">
        <v>50</v>
      </c>
      <c r="D18086" s="27" t="s">
        <v>6</v>
      </c>
      <c r="E18086" s="27" t="s">
        <v>41</v>
      </c>
      <c r="F18086" s="29"/>
      <c r="G18086" s="30">
        <f t="shared" si="319"/>
        <v>494.44937499999997</v>
      </c>
    </row>
    <row r="18087" spans="1:7" hidden="1" x14ac:dyDescent="0.25">
      <c r="A18087" s="28">
        <v>44986</v>
      </c>
      <c r="B18087" s="27" t="s">
        <v>36</v>
      </c>
      <c r="C18087" s="27" t="s">
        <v>50</v>
      </c>
      <c r="D18087" s="27" t="s">
        <v>6</v>
      </c>
      <c r="E18087" s="27" t="s">
        <v>40</v>
      </c>
      <c r="F18087" s="29"/>
      <c r="G18087" s="30">
        <f t="shared" si="319"/>
        <v>494.44937499999997</v>
      </c>
    </row>
    <row r="18088" spans="1:7" hidden="1" x14ac:dyDescent="0.25">
      <c r="A18088" s="28">
        <v>44986</v>
      </c>
      <c r="B18088" s="27" t="s">
        <v>36</v>
      </c>
      <c r="C18088" s="27" t="s">
        <v>50</v>
      </c>
      <c r="D18088" s="27" t="s">
        <v>6</v>
      </c>
      <c r="E18088" s="27" t="s">
        <v>64</v>
      </c>
      <c r="F18088" s="29"/>
      <c r="G18088" s="30">
        <f t="shared" si="319"/>
        <v>494.44937499999997</v>
      </c>
    </row>
    <row r="18089" spans="1:7" hidden="1" x14ac:dyDescent="0.25">
      <c r="A18089" s="28">
        <v>44986</v>
      </c>
      <c r="B18089" s="27" t="s">
        <v>36</v>
      </c>
      <c r="C18089" s="27" t="s">
        <v>50</v>
      </c>
      <c r="D18089" s="27" t="s">
        <v>6</v>
      </c>
      <c r="E18089" s="27" t="s">
        <v>42</v>
      </c>
      <c r="F18089" s="29"/>
      <c r="G18089" s="30">
        <f t="shared" si="319"/>
        <v>494.44937499999997</v>
      </c>
    </row>
    <row r="18090" spans="1:7" hidden="1" x14ac:dyDescent="0.25">
      <c r="A18090" s="28">
        <v>44986</v>
      </c>
      <c r="B18090" s="27" t="s">
        <v>36</v>
      </c>
      <c r="C18090" s="27" t="s">
        <v>50</v>
      </c>
      <c r="D18090" s="27" t="s">
        <v>6</v>
      </c>
      <c r="E18090" s="27" t="s">
        <v>72</v>
      </c>
      <c r="F18090" s="29"/>
      <c r="G18090" s="30">
        <f t="shared" si="319"/>
        <v>494.44937499999997</v>
      </c>
    </row>
    <row r="18091" spans="1:7" hidden="1" x14ac:dyDescent="0.25">
      <c r="A18091" s="28">
        <v>44986</v>
      </c>
      <c r="B18091" s="27" t="s">
        <v>36</v>
      </c>
      <c r="C18091" s="27" t="s">
        <v>50</v>
      </c>
      <c r="D18091" s="27" t="s">
        <v>6</v>
      </c>
      <c r="E18091" s="27" t="s">
        <v>43</v>
      </c>
      <c r="F18091" s="29"/>
      <c r="G18091" s="30">
        <f t="shared" si="319"/>
        <v>494.44937499999997</v>
      </c>
    </row>
    <row r="18092" spans="1:7" hidden="1" x14ac:dyDescent="0.25">
      <c r="A18092" s="28">
        <v>44986</v>
      </c>
      <c r="B18092" s="27" t="s">
        <v>36</v>
      </c>
      <c r="C18092" s="27" t="s">
        <v>50</v>
      </c>
      <c r="D18092" s="27" t="s">
        <v>6</v>
      </c>
      <c r="E18092" s="27" t="s">
        <v>206</v>
      </c>
      <c r="F18092" s="29"/>
      <c r="G18092" s="30">
        <f t="shared" si="319"/>
        <v>494.44937499999997</v>
      </c>
    </row>
    <row r="18093" spans="1:7" hidden="1" x14ac:dyDescent="0.25">
      <c r="A18093" s="28">
        <v>44986</v>
      </c>
      <c r="B18093" s="27" t="s">
        <v>36</v>
      </c>
      <c r="C18093" s="27" t="s">
        <v>50</v>
      </c>
      <c r="D18093" s="27" t="s">
        <v>6</v>
      </c>
      <c r="E18093" s="27" t="s">
        <v>68</v>
      </c>
      <c r="F18093" s="29"/>
      <c r="G18093" s="30">
        <f t="shared" si="319"/>
        <v>494.44937499999997</v>
      </c>
    </row>
    <row r="18094" spans="1:7" hidden="1" x14ac:dyDescent="0.25">
      <c r="A18094" s="28">
        <v>44986</v>
      </c>
      <c r="B18094" s="27" t="s">
        <v>36</v>
      </c>
      <c r="C18094" s="27" t="s">
        <v>50</v>
      </c>
      <c r="D18094" s="27" t="s">
        <v>6</v>
      </c>
      <c r="E18094" s="27" t="s">
        <v>74</v>
      </c>
      <c r="F18094" s="29"/>
      <c r="G18094" s="30">
        <f t="shared" si="319"/>
        <v>494.44937499999997</v>
      </c>
    </row>
    <row r="18095" spans="1:7" hidden="1" x14ac:dyDescent="0.25">
      <c r="A18095" s="28">
        <v>44986</v>
      </c>
      <c r="B18095" s="27" t="s">
        <v>36</v>
      </c>
      <c r="C18095" s="27" t="s">
        <v>50</v>
      </c>
      <c r="D18095" s="27" t="s">
        <v>6</v>
      </c>
      <c r="E18095" s="27" t="s">
        <v>67</v>
      </c>
      <c r="F18095" s="29"/>
      <c r="G18095" s="30">
        <f t="shared" si="319"/>
        <v>494.44937499999997</v>
      </c>
    </row>
    <row r="18096" spans="1:7" hidden="1" x14ac:dyDescent="0.25">
      <c r="A18096" s="28">
        <v>44986</v>
      </c>
      <c r="B18096" s="27" t="s">
        <v>36</v>
      </c>
      <c r="C18096" s="27" t="s">
        <v>50</v>
      </c>
      <c r="D18096" s="27" t="s">
        <v>6</v>
      </c>
      <c r="E18096" s="27" t="s">
        <v>71</v>
      </c>
      <c r="F18096" s="29"/>
      <c r="G18096" s="30">
        <f t="shared" si="319"/>
        <v>494.44937499999997</v>
      </c>
    </row>
    <row r="18097" spans="1:7" hidden="1" x14ac:dyDescent="0.25">
      <c r="A18097" s="28">
        <v>44986</v>
      </c>
      <c r="B18097" s="27" t="s">
        <v>36</v>
      </c>
      <c r="C18097" s="27" t="s">
        <v>50</v>
      </c>
      <c r="D18097" s="27" t="s">
        <v>6</v>
      </c>
      <c r="E18097" s="27" t="s">
        <v>73</v>
      </c>
      <c r="F18097" s="29"/>
      <c r="G18097" s="30">
        <f t="shared" si="319"/>
        <v>494.44937499999997</v>
      </c>
    </row>
    <row r="18098" spans="1:7" hidden="1" x14ac:dyDescent="0.25">
      <c r="A18098" s="28">
        <v>44986</v>
      </c>
      <c r="B18098" s="27" t="s">
        <v>36</v>
      </c>
      <c r="C18098" s="27" t="s">
        <v>50</v>
      </c>
      <c r="D18098" s="27" t="s">
        <v>6</v>
      </c>
      <c r="E18098" s="27" t="s">
        <v>70</v>
      </c>
      <c r="F18098" s="29"/>
      <c r="G18098" s="30">
        <f t="shared" si="319"/>
        <v>494.44937499999997</v>
      </c>
    </row>
    <row r="18099" spans="1:7" hidden="1" x14ac:dyDescent="0.25">
      <c r="A18099" s="28">
        <v>44986</v>
      </c>
      <c r="B18099" s="27" t="s">
        <v>36</v>
      </c>
      <c r="C18099" s="27" t="s">
        <v>50</v>
      </c>
      <c r="D18099" s="27" t="s">
        <v>6</v>
      </c>
      <c r="E18099" s="27" t="s">
        <v>203</v>
      </c>
      <c r="F18099" s="29"/>
      <c r="G18099" s="30">
        <f t="shared" si="319"/>
        <v>494.44937499999997</v>
      </c>
    </row>
    <row r="18100" spans="1:7" hidden="1" x14ac:dyDescent="0.25">
      <c r="A18100" s="28">
        <v>44986</v>
      </c>
      <c r="B18100" s="27" t="s">
        <v>200</v>
      </c>
      <c r="C18100" s="27" t="s">
        <v>53</v>
      </c>
      <c r="D18100" s="27" t="s">
        <v>6</v>
      </c>
      <c r="E18100" s="27" t="s">
        <v>8</v>
      </c>
      <c r="F18100" s="29"/>
      <c r="G18100" s="30">
        <f t="shared" ref="G18100:G18131" si="320">14267.585/32</f>
        <v>445.86203124999997</v>
      </c>
    </row>
    <row r="18101" spans="1:7" hidden="1" x14ac:dyDescent="0.25">
      <c r="A18101" s="28">
        <v>44986</v>
      </c>
      <c r="B18101" s="27" t="s">
        <v>200</v>
      </c>
      <c r="C18101" s="27" t="s">
        <v>53</v>
      </c>
      <c r="D18101" s="27" t="s">
        <v>6</v>
      </c>
      <c r="E18101" s="27" t="s">
        <v>9</v>
      </c>
      <c r="F18101" s="29"/>
      <c r="G18101" s="30">
        <f t="shared" si="320"/>
        <v>445.86203124999997</v>
      </c>
    </row>
    <row r="18102" spans="1:7" hidden="1" x14ac:dyDescent="0.25">
      <c r="A18102" s="28">
        <v>44986</v>
      </c>
      <c r="B18102" s="27" t="s">
        <v>200</v>
      </c>
      <c r="C18102" s="27" t="s">
        <v>53</v>
      </c>
      <c r="D18102" s="27" t="s">
        <v>6</v>
      </c>
      <c r="E18102" s="27" t="s">
        <v>21</v>
      </c>
      <c r="F18102" s="29"/>
      <c r="G18102" s="30">
        <f t="shared" si="320"/>
        <v>445.86203124999997</v>
      </c>
    </row>
    <row r="18103" spans="1:7" hidden="1" x14ac:dyDescent="0.25">
      <c r="A18103" s="28">
        <v>44986</v>
      </c>
      <c r="B18103" s="27" t="s">
        <v>200</v>
      </c>
      <c r="C18103" s="27" t="s">
        <v>53</v>
      </c>
      <c r="D18103" s="27" t="s">
        <v>6</v>
      </c>
      <c r="E18103" s="27" t="s">
        <v>10</v>
      </c>
      <c r="F18103" s="29"/>
      <c r="G18103" s="30">
        <f t="shared" si="320"/>
        <v>445.86203124999997</v>
      </c>
    </row>
    <row r="18104" spans="1:7" hidden="1" x14ac:dyDescent="0.25">
      <c r="A18104" s="28">
        <v>44986</v>
      </c>
      <c r="B18104" s="27" t="s">
        <v>200</v>
      </c>
      <c r="C18104" s="27" t="s">
        <v>53</v>
      </c>
      <c r="D18104" s="27" t="s">
        <v>6</v>
      </c>
      <c r="E18104" s="27" t="s">
        <v>11</v>
      </c>
      <c r="F18104" s="29"/>
      <c r="G18104" s="30">
        <f t="shared" si="320"/>
        <v>445.86203124999997</v>
      </c>
    </row>
    <row r="18105" spans="1:7" hidden="1" x14ac:dyDescent="0.25">
      <c r="A18105" s="28">
        <v>44986</v>
      </c>
      <c r="B18105" s="27" t="s">
        <v>200</v>
      </c>
      <c r="C18105" s="27" t="s">
        <v>53</v>
      </c>
      <c r="D18105" s="27" t="s">
        <v>6</v>
      </c>
      <c r="E18105" s="27" t="s">
        <v>12</v>
      </c>
      <c r="F18105" s="29"/>
      <c r="G18105" s="30">
        <f t="shared" si="320"/>
        <v>445.86203124999997</v>
      </c>
    </row>
    <row r="18106" spans="1:7" hidden="1" x14ac:dyDescent="0.25">
      <c r="A18106" s="28">
        <v>44986</v>
      </c>
      <c r="B18106" s="27" t="s">
        <v>200</v>
      </c>
      <c r="C18106" s="27" t="s">
        <v>53</v>
      </c>
      <c r="D18106" s="27" t="s">
        <v>6</v>
      </c>
      <c r="E18106" s="27" t="s">
        <v>13</v>
      </c>
      <c r="F18106" s="29"/>
      <c r="G18106" s="30">
        <f t="shared" si="320"/>
        <v>445.86203124999997</v>
      </c>
    </row>
    <row r="18107" spans="1:7" hidden="1" x14ac:dyDescent="0.25">
      <c r="A18107" s="28">
        <v>44986</v>
      </c>
      <c r="B18107" s="27" t="s">
        <v>200</v>
      </c>
      <c r="C18107" s="27" t="s">
        <v>53</v>
      </c>
      <c r="D18107" s="27" t="s">
        <v>6</v>
      </c>
      <c r="E18107" s="27" t="s">
        <v>14</v>
      </c>
      <c r="F18107" s="29"/>
      <c r="G18107" s="30">
        <f t="shared" si="320"/>
        <v>445.86203124999997</v>
      </c>
    </row>
    <row r="18108" spans="1:7" hidden="1" x14ac:dyDescent="0.25">
      <c r="A18108" s="28">
        <v>44986</v>
      </c>
      <c r="B18108" s="27" t="s">
        <v>200</v>
      </c>
      <c r="C18108" s="27" t="s">
        <v>53</v>
      </c>
      <c r="D18108" s="27" t="s">
        <v>6</v>
      </c>
      <c r="E18108" s="27" t="s">
        <v>15</v>
      </c>
      <c r="F18108" s="29"/>
      <c r="G18108" s="30">
        <f t="shared" si="320"/>
        <v>445.86203124999997</v>
      </c>
    </row>
    <row r="18109" spans="1:7" hidden="1" x14ac:dyDescent="0.25">
      <c r="A18109" s="28">
        <v>44986</v>
      </c>
      <c r="B18109" s="27" t="s">
        <v>200</v>
      </c>
      <c r="C18109" s="27" t="s">
        <v>53</v>
      </c>
      <c r="D18109" s="27" t="s">
        <v>6</v>
      </c>
      <c r="E18109" s="27" t="s">
        <v>16</v>
      </c>
      <c r="F18109" s="29"/>
      <c r="G18109" s="30">
        <f t="shared" si="320"/>
        <v>445.86203124999997</v>
      </c>
    </row>
    <row r="18110" spans="1:7" hidden="1" x14ac:dyDescent="0.25">
      <c r="A18110" s="28">
        <v>44986</v>
      </c>
      <c r="B18110" s="27" t="s">
        <v>200</v>
      </c>
      <c r="C18110" s="27" t="s">
        <v>53</v>
      </c>
      <c r="D18110" s="27" t="s">
        <v>6</v>
      </c>
      <c r="E18110" s="27" t="s">
        <v>17</v>
      </c>
      <c r="F18110" s="29"/>
      <c r="G18110" s="30">
        <f t="shared" si="320"/>
        <v>445.86203124999997</v>
      </c>
    </row>
    <row r="18111" spans="1:7" hidden="1" x14ac:dyDescent="0.25">
      <c r="A18111" s="28">
        <v>44986</v>
      </c>
      <c r="B18111" s="27" t="s">
        <v>200</v>
      </c>
      <c r="C18111" s="27" t="s">
        <v>53</v>
      </c>
      <c r="D18111" s="27" t="s">
        <v>6</v>
      </c>
      <c r="E18111" s="27" t="s">
        <v>18</v>
      </c>
      <c r="F18111" s="29"/>
      <c r="G18111" s="30">
        <f t="shared" si="320"/>
        <v>445.86203124999997</v>
      </c>
    </row>
    <row r="18112" spans="1:7" hidden="1" x14ac:dyDescent="0.25">
      <c r="A18112" s="28">
        <v>44986</v>
      </c>
      <c r="B18112" s="27" t="s">
        <v>200</v>
      </c>
      <c r="C18112" s="27" t="s">
        <v>53</v>
      </c>
      <c r="D18112" s="27" t="s">
        <v>6</v>
      </c>
      <c r="E18112" s="27" t="s">
        <v>19</v>
      </c>
      <c r="F18112" s="29"/>
      <c r="G18112" s="30">
        <f t="shared" si="320"/>
        <v>445.86203124999997</v>
      </c>
    </row>
    <row r="18113" spans="1:7" hidden="1" x14ac:dyDescent="0.25">
      <c r="A18113" s="28">
        <v>44986</v>
      </c>
      <c r="B18113" s="27" t="s">
        <v>200</v>
      </c>
      <c r="C18113" s="27" t="s">
        <v>53</v>
      </c>
      <c r="D18113" s="27" t="s">
        <v>6</v>
      </c>
      <c r="E18113" s="27" t="s">
        <v>20</v>
      </c>
      <c r="F18113" s="29"/>
      <c r="G18113" s="30">
        <f t="shared" si="320"/>
        <v>445.86203124999997</v>
      </c>
    </row>
    <row r="18114" spans="1:7" hidden="1" x14ac:dyDescent="0.25">
      <c r="A18114" s="28">
        <v>44986</v>
      </c>
      <c r="B18114" s="27" t="s">
        <v>200</v>
      </c>
      <c r="C18114" s="27" t="s">
        <v>53</v>
      </c>
      <c r="D18114" s="27" t="s">
        <v>6</v>
      </c>
      <c r="E18114" s="27" t="s">
        <v>38</v>
      </c>
      <c r="F18114" s="29"/>
      <c r="G18114" s="30">
        <f t="shared" si="320"/>
        <v>445.86203124999997</v>
      </c>
    </row>
    <row r="18115" spans="1:7" hidden="1" x14ac:dyDescent="0.25">
      <c r="A18115" s="28">
        <v>44986</v>
      </c>
      <c r="B18115" s="27" t="s">
        <v>200</v>
      </c>
      <c r="C18115" s="27" t="s">
        <v>53</v>
      </c>
      <c r="D18115" s="27" t="s">
        <v>6</v>
      </c>
      <c r="E18115" s="27" t="s">
        <v>23</v>
      </c>
      <c r="F18115" s="29"/>
      <c r="G18115" s="30">
        <f t="shared" si="320"/>
        <v>445.86203124999997</v>
      </c>
    </row>
    <row r="18116" spans="1:7" hidden="1" x14ac:dyDescent="0.25">
      <c r="A18116" s="28">
        <v>44986</v>
      </c>
      <c r="B18116" s="27" t="s">
        <v>200</v>
      </c>
      <c r="C18116" s="27" t="s">
        <v>53</v>
      </c>
      <c r="D18116" s="27" t="s">
        <v>6</v>
      </c>
      <c r="E18116" s="27" t="s">
        <v>22</v>
      </c>
      <c r="F18116" s="29"/>
      <c r="G18116" s="30">
        <f t="shared" si="320"/>
        <v>445.86203124999997</v>
      </c>
    </row>
    <row r="18117" spans="1:7" hidden="1" x14ac:dyDescent="0.25">
      <c r="A18117" s="28">
        <v>44986</v>
      </c>
      <c r="B18117" s="27" t="s">
        <v>200</v>
      </c>
      <c r="C18117" s="27" t="s">
        <v>53</v>
      </c>
      <c r="D18117" s="27" t="s">
        <v>6</v>
      </c>
      <c r="E18117" s="27" t="s">
        <v>39</v>
      </c>
      <c r="F18117" s="29"/>
      <c r="G18117" s="30">
        <f t="shared" si="320"/>
        <v>445.86203124999997</v>
      </c>
    </row>
    <row r="18118" spans="1:7" hidden="1" x14ac:dyDescent="0.25">
      <c r="A18118" s="28">
        <v>44986</v>
      </c>
      <c r="B18118" s="27" t="s">
        <v>200</v>
      </c>
      <c r="C18118" s="27" t="s">
        <v>53</v>
      </c>
      <c r="D18118" s="27" t="s">
        <v>6</v>
      </c>
      <c r="E18118" s="27" t="s">
        <v>41</v>
      </c>
      <c r="F18118" s="29"/>
      <c r="G18118" s="30">
        <f t="shared" si="320"/>
        <v>445.86203124999997</v>
      </c>
    </row>
    <row r="18119" spans="1:7" hidden="1" x14ac:dyDescent="0.25">
      <c r="A18119" s="28">
        <v>44986</v>
      </c>
      <c r="B18119" s="27" t="s">
        <v>200</v>
      </c>
      <c r="C18119" s="27" t="s">
        <v>53</v>
      </c>
      <c r="D18119" s="27" t="s">
        <v>6</v>
      </c>
      <c r="E18119" s="27" t="s">
        <v>40</v>
      </c>
      <c r="F18119" s="29"/>
      <c r="G18119" s="30">
        <f t="shared" si="320"/>
        <v>445.86203124999997</v>
      </c>
    </row>
    <row r="18120" spans="1:7" hidden="1" x14ac:dyDescent="0.25">
      <c r="A18120" s="28">
        <v>44986</v>
      </c>
      <c r="B18120" s="27" t="s">
        <v>200</v>
      </c>
      <c r="C18120" s="27" t="s">
        <v>53</v>
      </c>
      <c r="D18120" s="27" t="s">
        <v>6</v>
      </c>
      <c r="E18120" s="27" t="s">
        <v>64</v>
      </c>
      <c r="F18120" s="29"/>
      <c r="G18120" s="30">
        <f t="shared" si="320"/>
        <v>445.86203124999997</v>
      </c>
    </row>
    <row r="18121" spans="1:7" hidden="1" x14ac:dyDescent="0.25">
      <c r="A18121" s="28">
        <v>44986</v>
      </c>
      <c r="B18121" s="27" t="s">
        <v>200</v>
      </c>
      <c r="C18121" s="27" t="s">
        <v>53</v>
      </c>
      <c r="D18121" s="27" t="s">
        <v>6</v>
      </c>
      <c r="E18121" s="27" t="s">
        <v>42</v>
      </c>
      <c r="F18121" s="29"/>
      <c r="G18121" s="30">
        <f t="shared" si="320"/>
        <v>445.86203124999997</v>
      </c>
    </row>
    <row r="18122" spans="1:7" hidden="1" x14ac:dyDescent="0.25">
      <c r="A18122" s="28">
        <v>44986</v>
      </c>
      <c r="B18122" s="27" t="s">
        <v>200</v>
      </c>
      <c r="C18122" s="27" t="s">
        <v>53</v>
      </c>
      <c r="D18122" s="27" t="s">
        <v>6</v>
      </c>
      <c r="E18122" s="27" t="s">
        <v>72</v>
      </c>
      <c r="F18122" s="29"/>
      <c r="G18122" s="30">
        <f t="shared" si="320"/>
        <v>445.86203124999997</v>
      </c>
    </row>
    <row r="18123" spans="1:7" hidden="1" x14ac:dyDescent="0.25">
      <c r="A18123" s="28">
        <v>44986</v>
      </c>
      <c r="B18123" s="27" t="s">
        <v>200</v>
      </c>
      <c r="C18123" s="27" t="s">
        <v>53</v>
      </c>
      <c r="D18123" s="27" t="s">
        <v>6</v>
      </c>
      <c r="E18123" s="27" t="s">
        <v>43</v>
      </c>
      <c r="F18123" s="29"/>
      <c r="G18123" s="30">
        <f t="shared" si="320"/>
        <v>445.86203124999997</v>
      </c>
    </row>
    <row r="18124" spans="1:7" hidden="1" x14ac:dyDescent="0.25">
      <c r="A18124" s="28">
        <v>44986</v>
      </c>
      <c r="B18124" s="27" t="s">
        <v>200</v>
      </c>
      <c r="C18124" s="27" t="s">
        <v>53</v>
      </c>
      <c r="D18124" s="27" t="s">
        <v>6</v>
      </c>
      <c r="E18124" s="27" t="s">
        <v>206</v>
      </c>
      <c r="F18124" s="29"/>
      <c r="G18124" s="30">
        <f t="shared" si="320"/>
        <v>445.86203124999997</v>
      </c>
    </row>
    <row r="18125" spans="1:7" hidden="1" x14ac:dyDescent="0.25">
      <c r="A18125" s="28">
        <v>44986</v>
      </c>
      <c r="B18125" s="27" t="s">
        <v>200</v>
      </c>
      <c r="C18125" s="27" t="s">
        <v>53</v>
      </c>
      <c r="D18125" s="27" t="s">
        <v>6</v>
      </c>
      <c r="E18125" s="27" t="s">
        <v>68</v>
      </c>
      <c r="F18125" s="29"/>
      <c r="G18125" s="30">
        <f t="shared" si="320"/>
        <v>445.86203124999997</v>
      </c>
    </row>
    <row r="18126" spans="1:7" hidden="1" x14ac:dyDescent="0.25">
      <c r="A18126" s="28">
        <v>44986</v>
      </c>
      <c r="B18126" s="27" t="s">
        <v>200</v>
      </c>
      <c r="C18126" s="27" t="s">
        <v>53</v>
      </c>
      <c r="D18126" s="27" t="s">
        <v>6</v>
      </c>
      <c r="E18126" s="27" t="s">
        <v>74</v>
      </c>
      <c r="F18126" s="29"/>
      <c r="G18126" s="30">
        <f t="shared" si="320"/>
        <v>445.86203124999997</v>
      </c>
    </row>
    <row r="18127" spans="1:7" hidden="1" x14ac:dyDescent="0.25">
      <c r="A18127" s="28">
        <v>44986</v>
      </c>
      <c r="B18127" s="27" t="s">
        <v>200</v>
      </c>
      <c r="C18127" s="27" t="s">
        <v>53</v>
      </c>
      <c r="D18127" s="27" t="s">
        <v>6</v>
      </c>
      <c r="E18127" s="27" t="s">
        <v>67</v>
      </c>
      <c r="F18127" s="29"/>
      <c r="G18127" s="30">
        <f t="shared" si="320"/>
        <v>445.86203124999997</v>
      </c>
    </row>
    <row r="18128" spans="1:7" hidden="1" x14ac:dyDescent="0.25">
      <c r="A18128" s="28">
        <v>44986</v>
      </c>
      <c r="B18128" s="27" t="s">
        <v>200</v>
      </c>
      <c r="C18128" s="27" t="s">
        <v>53</v>
      </c>
      <c r="D18128" s="27" t="s">
        <v>6</v>
      </c>
      <c r="E18128" s="27" t="s">
        <v>71</v>
      </c>
      <c r="F18128" s="29"/>
      <c r="G18128" s="30">
        <f t="shared" si="320"/>
        <v>445.86203124999997</v>
      </c>
    </row>
    <row r="18129" spans="1:7" hidden="1" x14ac:dyDescent="0.25">
      <c r="A18129" s="28">
        <v>44986</v>
      </c>
      <c r="B18129" s="27" t="s">
        <v>200</v>
      </c>
      <c r="C18129" s="27" t="s">
        <v>53</v>
      </c>
      <c r="D18129" s="27" t="s">
        <v>6</v>
      </c>
      <c r="E18129" s="27" t="s">
        <v>73</v>
      </c>
      <c r="F18129" s="29"/>
      <c r="G18129" s="30">
        <f t="shared" si="320"/>
        <v>445.86203124999997</v>
      </c>
    </row>
    <row r="18130" spans="1:7" hidden="1" x14ac:dyDescent="0.25">
      <c r="A18130" s="28">
        <v>44986</v>
      </c>
      <c r="B18130" s="27" t="s">
        <v>200</v>
      </c>
      <c r="C18130" s="27" t="s">
        <v>53</v>
      </c>
      <c r="D18130" s="27" t="s">
        <v>6</v>
      </c>
      <c r="E18130" s="27" t="s">
        <v>70</v>
      </c>
      <c r="F18130" s="29"/>
      <c r="G18130" s="30">
        <f t="shared" si="320"/>
        <v>445.86203124999997</v>
      </c>
    </row>
    <row r="18131" spans="1:7" hidden="1" x14ac:dyDescent="0.25">
      <c r="A18131" s="28">
        <v>44986</v>
      </c>
      <c r="B18131" s="27" t="s">
        <v>200</v>
      </c>
      <c r="C18131" s="27" t="s">
        <v>53</v>
      </c>
      <c r="D18131" s="27" t="s">
        <v>6</v>
      </c>
      <c r="E18131" s="27" t="s">
        <v>203</v>
      </c>
      <c r="F18131" s="29"/>
      <c r="G18131" s="30">
        <f t="shared" si="320"/>
        <v>445.86203124999997</v>
      </c>
    </row>
    <row r="18132" spans="1:7" hidden="1" x14ac:dyDescent="0.25">
      <c r="A18132" s="28">
        <v>44986</v>
      </c>
      <c r="B18132" s="27" t="s">
        <v>200</v>
      </c>
      <c r="C18132" s="27" t="s">
        <v>54</v>
      </c>
      <c r="D18132" s="27" t="s">
        <v>7</v>
      </c>
      <c r="E18132" s="27" t="s">
        <v>8</v>
      </c>
      <c r="F18132" s="29"/>
      <c r="G18132" s="30">
        <f t="shared" ref="G18132:G18163" si="321">2842.709843/32</f>
        <v>88.834682593750003</v>
      </c>
    </row>
    <row r="18133" spans="1:7" hidden="1" x14ac:dyDescent="0.25">
      <c r="A18133" s="28">
        <v>44986</v>
      </c>
      <c r="B18133" s="27" t="s">
        <v>200</v>
      </c>
      <c r="C18133" s="27" t="s">
        <v>54</v>
      </c>
      <c r="D18133" s="27" t="s">
        <v>7</v>
      </c>
      <c r="E18133" s="27" t="s">
        <v>9</v>
      </c>
      <c r="F18133" s="29"/>
      <c r="G18133" s="30">
        <f t="shared" si="321"/>
        <v>88.834682593750003</v>
      </c>
    </row>
    <row r="18134" spans="1:7" hidden="1" x14ac:dyDescent="0.25">
      <c r="A18134" s="28">
        <v>44986</v>
      </c>
      <c r="B18134" s="27" t="s">
        <v>200</v>
      </c>
      <c r="C18134" s="27" t="s">
        <v>54</v>
      </c>
      <c r="D18134" s="27" t="s">
        <v>7</v>
      </c>
      <c r="E18134" s="27" t="s">
        <v>21</v>
      </c>
      <c r="F18134" s="29"/>
      <c r="G18134" s="30">
        <f t="shared" si="321"/>
        <v>88.834682593750003</v>
      </c>
    </row>
    <row r="18135" spans="1:7" hidden="1" x14ac:dyDescent="0.25">
      <c r="A18135" s="28">
        <v>44986</v>
      </c>
      <c r="B18135" s="27" t="s">
        <v>200</v>
      </c>
      <c r="C18135" s="27" t="s">
        <v>54</v>
      </c>
      <c r="D18135" s="27" t="s">
        <v>7</v>
      </c>
      <c r="E18135" s="27" t="s">
        <v>10</v>
      </c>
      <c r="F18135" s="29"/>
      <c r="G18135" s="30">
        <f t="shared" si="321"/>
        <v>88.834682593750003</v>
      </c>
    </row>
    <row r="18136" spans="1:7" hidden="1" x14ac:dyDescent="0.25">
      <c r="A18136" s="28">
        <v>44986</v>
      </c>
      <c r="B18136" s="27" t="s">
        <v>200</v>
      </c>
      <c r="C18136" s="27" t="s">
        <v>54</v>
      </c>
      <c r="D18136" s="27" t="s">
        <v>7</v>
      </c>
      <c r="E18136" s="27" t="s">
        <v>11</v>
      </c>
      <c r="F18136" s="29"/>
      <c r="G18136" s="30">
        <f t="shared" si="321"/>
        <v>88.834682593750003</v>
      </c>
    </row>
    <row r="18137" spans="1:7" hidden="1" x14ac:dyDescent="0.25">
      <c r="A18137" s="28">
        <v>44986</v>
      </c>
      <c r="B18137" s="27" t="s">
        <v>200</v>
      </c>
      <c r="C18137" s="27" t="s">
        <v>54</v>
      </c>
      <c r="D18137" s="27" t="s">
        <v>7</v>
      </c>
      <c r="E18137" s="27" t="s">
        <v>12</v>
      </c>
      <c r="F18137" s="29"/>
      <c r="G18137" s="30">
        <f t="shared" si="321"/>
        <v>88.834682593750003</v>
      </c>
    </row>
    <row r="18138" spans="1:7" hidden="1" x14ac:dyDescent="0.25">
      <c r="A18138" s="28">
        <v>44986</v>
      </c>
      <c r="B18138" s="27" t="s">
        <v>200</v>
      </c>
      <c r="C18138" s="27" t="s">
        <v>54</v>
      </c>
      <c r="D18138" s="27" t="s">
        <v>7</v>
      </c>
      <c r="E18138" s="27" t="s">
        <v>13</v>
      </c>
      <c r="F18138" s="29"/>
      <c r="G18138" s="30">
        <f t="shared" si="321"/>
        <v>88.834682593750003</v>
      </c>
    </row>
    <row r="18139" spans="1:7" hidden="1" x14ac:dyDescent="0.25">
      <c r="A18139" s="28">
        <v>44986</v>
      </c>
      <c r="B18139" s="27" t="s">
        <v>200</v>
      </c>
      <c r="C18139" s="27" t="s">
        <v>54</v>
      </c>
      <c r="D18139" s="27" t="s">
        <v>7</v>
      </c>
      <c r="E18139" s="27" t="s">
        <v>14</v>
      </c>
      <c r="F18139" s="29"/>
      <c r="G18139" s="30">
        <f t="shared" si="321"/>
        <v>88.834682593750003</v>
      </c>
    </row>
    <row r="18140" spans="1:7" hidden="1" x14ac:dyDescent="0.25">
      <c r="A18140" s="28">
        <v>44986</v>
      </c>
      <c r="B18140" s="27" t="s">
        <v>200</v>
      </c>
      <c r="C18140" s="27" t="s">
        <v>54</v>
      </c>
      <c r="D18140" s="27" t="s">
        <v>7</v>
      </c>
      <c r="E18140" s="27" t="s">
        <v>15</v>
      </c>
      <c r="F18140" s="29"/>
      <c r="G18140" s="30">
        <f t="shared" si="321"/>
        <v>88.834682593750003</v>
      </c>
    </row>
    <row r="18141" spans="1:7" hidden="1" x14ac:dyDescent="0.25">
      <c r="A18141" s="28">
        <v>44986</v>
      </c>
      <c r="B18141" s="27" t="s">
        <v>200</v>
      </c>
      <c r="C18141" s="27" t="s">
        <v>54</v>
      </c>
      <c r="D18141" s="27" t="s">
        <v>7</v>
      </c>
      <c r="E18141" s="27" t="s">
        <v>16</v>
      </c>
      <c r="F18141" s="29"/>
      <c r="G18141" s="30">
        <f t="shared" si="321"/>
        <v>88.834682593750003</v>
      </c>
    </row>
    <row r="18142" spans="1:7" hidden="1" x14ac:dyDescent="0.25">
      <c r="A18142" s="28">
        <v>44986</v>
      </c>
      <c r="B18142" s="27" t="s">
        <v>200</v>
      </c>
      <c r="C18142" s="27" t="s">
        <v>54</v>
      </c>
      <c r="D18142" s="27" t="s">
        <v>7</v>
      </c>
      <c r="E18142" s="27" t="s">
        <v>17</v>
      </c>
      <c r="F18142" s="29"/>
      <c r="G18142" s="30">
        <f t="shared" si="321"/>
        <v>88.834682593750003</v>
      </c>
    </row>
    <row r="18143" spans="1:7" hidden="1" x14ac:dyDescent="0.25">
      <c r="A18143" s="28">
        <v>44986</v>
      </c>
      <c r="B18143" s="27" t="s">
        <v>200</v>
      </c>
      <c r="C18143" s="27" t="s">
        <v>54</v>
      </c>
      <c r="D18143" s="27" t="s">
        <v>7</v>
      </c>
      <c r="E18143" s="27" t="s">
        <v>18</v>
      </c>
      <c r="F18143" s="29"/>
      <c r="G18143" s="30">
        <f t="shared" si="321"/>
        <v>88.834682593750003</v>
      </c>
    </row>
    <row r="18144" spans="1:7" hidden="1" x14ac:dyDescent="0.25">
      <c r="A18144" s="28">
        <v>44986</v>
      </c>
      <c r="B18144" s="27" t="s">
        <v>200</v>
      </c>
      <c r="C18144" s="27" t="s">
        <v>54</v>
      </c>
      <c r="D18144" s="27" t="s">
        <v>7</v>
      </c>
      <c r="E18144" s="27" t="s">
        <v>19</v>
      </c>
      <c r="F18144" s="29"/>
      <c r="G18144" s="30">
        <f t="shared" si="321"/>
        <v>88.834682593750003</v>
      </c>
    </row>
    <row r="18145" spans="1:7" hidden="1" x14ac:dyDescent="0.25">
      <c r="A18145" s="28">
        <v>44986</v>
      </c>
      <c r="B18145" s="27" t="s">
        <v>200</v>
      </c>
      <c r="C18145" s="27" t="s">
        <v>54</v>
      </c>
      <c r="D18145" s="27" t="s">
        <v>7</v>
      </c>
      <c r="E18145" s="27" t="s">
        <v>20</v>
      </c>
      <c r="F18145" s="29"/>
      <c r="G18145" s="30">
        <f t="shared" si="321"/>
        <v>88.834682593750003</v>
      </c>
    </row>
    <row r="18146" spans="1:7" hidden="1" x14ac:dyDescent="0.25">
      <c r="A18146" s="28">
        <v>44986</v>
      </c>
      <c r="B18146" s="27" t="s">
        <v>200</v>
      </c>
      <c r="C18146" s="27" t="s">
        <v>54</v>
      </c>
      <c r="D18146" s="27" t="s">
        <v>7</v>
      </c>
      <c r="E18146" s="27" t="s">
        <v>38</v>
      </c>
      <c r="F18146" s="29"/>
      <c r="G18146" s="30">
        <f t="shared" si="321"/>
        <v>88.834682593750003</v>
      </c>
    </row>
    <row r="18147" spans="1:7" hidden="1" x14ac:dyDescent="0.25">
      <c r="A18147" s="28">
        <v>44986</v>
      </c>
      <c r="B18147" s="27" t="s">
        <v>200</v>
      </c>
      <c r="C18147" s="27" t="s">
        <v>54</v>
      </c>
      <c r="D18147" s="27" t="s">
        <v>7</v>
      </c>
      <c r="E18147" s="27" t="s">
        <v>23</v>
      </c>
      <c r="F18147" s="29"/>
      <c r="G18147" s="30">
        <f t="shared" si="321"/>
        <v>88.834682593750003</v>
      </c>
    </row>
    <row r="18148" spans="1:7" hidden="1" x14ac:dyDescent="0.25">
      <c r="A18148" s="28">
        <v>44986</v>
      </c>
      <c r="B18148" s="27" t="s">
        <v>200</v>
      </c>
      <c r="C18148" s="27" t="s">
        <v>54</v>
      </c>
      <c r="D18148" s="27" t="s">
        <v>7</v>
      </c>
      <c r="E18148" s="27" t="s">
        <v>22</v>
      </c>
      <c r="F18148" s="29"/>
      <c r="G18148" s="30">
        <f t="shared" si="321"/>
        <v>88.834682593750003</v>
      </c>
    </row>
    <row r="18149" spans="1:7" hidden="1" x14ac:dyDescent="0.25">
      <c r="A18149" s="28">
        <v>44986</v>
      </c>
      <c r="B18149" s="27" t="s">
        <v>200</v>
      </c>
      <c r="C18149" s="27" t="s">
        <v>54</v>
      </c>
      <c r="D18149" s="27" t="s">
        <v>7</v>
      </c>
      <c r="E18149" s="27" t="s">
        <v>39</v>
      </c>
      <c r="F18149" s="29"/>
      <c r="G18149" s="30">
        <f t="shared" si="321"/>
        <v>88.834682593750003</v>
      </c>
    </row>
    <row r="18150" spans="1:7" hidden="1" x14ac:dyDescent="0.25">
      <c r="A18150" s="28">
        <v>44986</v>
      </c>
      <c r="B18150" s="27" t="s">
        <v>200</v>
      </c>
      <c r="C18150" s="27" t="s">
        <v>54</v>
      </c>
      <c r="D18150" s="27" t="s">
        <v>7</v>
      </c>
      <c r="E18150" s="27" t="s">
        <v>41</v>
      </c>
      <c r="F18150" s="29"/>
      <c r="G18150" s="30">
        <f t="shared" si="321"/>
        <v>88.834682593750003</v>
      </c>
    </row>
    <row r="18151" spans="1:7" hidden="1" x14ac:dyDescent="0.25">
      <c r="A18151" s="28">
        <v>44986</v>
      </c>
      <c r="B18151" s="27" t="s">
        <v>200</v>
      </c>
      <c r="C18151" s="27" t="s">
        <v>54</v>
      </c>
      <c r="D18151" s="27" t="s">
        <v>7</v>
      </c>
      <c r="E18151" s="27" t="s">
        <v>40</v>
      </c>
      <c r="F18151" s="29"/>
      <c r="G18151" s="30">
        <f t="shared" si="321"/>
        <v>88.834682593750003</v>
      </c>
    </row>
    <row r="18152" spans="1:7" hidden="1" x14ac:dyDescent="0.25">
      <c r="A18152" s="28">
        <v>44986</v>
      </c>
      <c r="B18152" s="27" t="s">
        <v>200</v>
      </c>
      <c r="C18152" s="27" t="s">
        <v>54</v>
      </c>
      <c r="D18152" s="27" t="s">
        <v>7</v>
      </c>
      <c r="E18152" s="27" t="s">
        <v>64</v>
      </c>
      <c r="F18152" s="29"/>
      <c r="G18152" s="30">
        <f t="shared" si="321"/>
        <v>88.834682593750003</v>
      </c>
    </row>
    <row r="18153" spans="1:7" hidden="1" x14ac:dyDescent="0.25">
      <c r="A18153" s="28">
        <v>44986</v>
      </c>
      <c r="B18153" s="27" t="s">
        <v>200</v>
      </c>
      <c r="C18153" s="27" t="s">
        <v>54</v>
      </c>
      <c r="D18153" s="27" t="s">
        <v>7</v>
      </c>
      <c r="E18153" s="27" t="s">
        <v>42</v>
      </c>
      <c r="F18153" s="29"/>
      <c r="G18153" s="30">
        <f t="shared" si="321"/>
        <v>88.834682593750003</v>
      </c>
    </row>
    <row r="18154" spans="1:7" hidden="1" x14ac:dyDescent="0.25">
      <c r="A18154" s="28">
        <v>44986</v>
      </c>
      <c r="B18154" s="27" t="s">
        <v>200</v>
      </c>
      <c r="C18154" s="27" t="s">
        <v>54</v>
      </c>
      <c r="D18154" s="27" t="s">
        <v>7</v>
      </c>
      <c r="E18154" s="27" t="s">
        <v>72</v>
      </c>
      <c r="F18154" s="29"/>
      <c r="G18154" s="30">
        <f t="shared" si="321"/>
        <v>88.834682593750003</v>
      </c>
    </row>
    <row r="18155" spans="1:7" hidden="1" x14ac:dyDescent="0.25">
      <c r="A18155" s="28">
        <v>44986</v>
      </c>
      <c r="B18155" s="27" t="s">
        <v>200</v>
      </c>
      <c r="C18155" s="27" t="s">
        <v>54</v>
      </c>
      <c r="D18155" s="27" t="s">
        <v>7</v>
      </c>
      <c r="E18155" s="27" t="s">
        <v>43</v>
      </c>
      <c r="F18155" s="29"/>
      <c r="G18155" s="30">
        <f t="shared" si="321"/>
        <v>88.834682593750003</v>
      </c>
    </row>
    <row r="18156" spans="1:7" hidden="1" x14ac:dyDescent="0.25">
      <c r="A18156" s="28">
        <v>44986</v>
      </c>
      <c r="B18156" s="27" t="s">
        <v>200</v>
      </c>
      <c r="C18156" s="27" t="s">
        <v>54</v>
      </c>
      <c r="D18156" s="27" t="s">
        <v>7</v>
      </c>
      <c r="E18156" s="27" t="s">
        <v>206</v>
      </c>
      <c r="F18156" s="29"/>
      <c r="G18156" s="30">
        <f t="shared" si="321"/>
        <v>88.834682593750003</v>
      </c>
    </row>
    <row r="18157" spans="1:7" hidden="1" x14ac:dyDescent="0.25">
      <c r="A18157" s="28">
        <v>44986</v>
      </c>
      <c r="B18157" s="27" t="s">
        <v>200</v>
      </c>
      <c r="C18157" s="27" t="s">
        <v>54</v>
      </c>
      <c r="D18157" s="27" t="s">
        <v>7</v>
      </c>
      <c r="E18157" s="27" t="s">
        <v>68</v>
      </c>
      <c r="F18157" s="29"/>
      <c r="G18157" s="30">
        <f t="shared" si="321"/>
        <v>88.834682593750003</v>
      </c>
    </row>
    <row r="18158" spans="1:7" hidden="1" x14ac:dyDescent="0.25">
      <c r="A18158" s="28">
        <v>44986</v>
      </c>
      <c r="B18158" s="27" t="s">
        <v>200</v>
      </c>
      <c r="C18158" s="27" t="s">
        <v>54</v>
      </c>
      <c r="D18158" s="27" t="s">
        <v>7</v>
      </c>
      <c r="E18158" s="27" t="s">
        <v>74</v>
      </c>
      <c r="F18158" s="29"/>
      <c r="G18158" s="30">
        <f t="shared" si="321"/>
        <v>88.834682593750003</v>
      </c>
    </row>
    <row r="18159" spans="1:7" hidden="1" x14ac:dyDescent="0.25">
      <c r="A18159" s="28">
        <v>44986</v>
      </c>
      <c r="B18159" s="27" t="s">
        <v>200</v>
      </c>
      <c r="C18159" s="27" t="s">
        <v>54</v>
      </c>
      <c r="D18159" s="27" t="s">
        <v>7</v>
      </c>
      <c r="E18159" s="27" t="s">
        <v>67</v>
      </c>
      <c r="F18159" s="29"/>
      <c r="G18159" s="30">
        <f t="shared" si="321"/>
        <v>88.834682593750003</v>
      </c>
    </row>
    <row r="18160" spans="1:7" hidden="1" x14ac:dyDescent="0.25">
      <c r="A18160" s="28">
        <v>44986</v>
      </c>
      <c r="B18160" s="27" t="s">
        <v>200</v>
      </c>
      <c r="C18160" s="27" t="s">
        <v>54</v>
      </c>
      <c r="D18160" s="27" t="s">
        <v>7</v>
      </c>
      <c r="E18160" s="27" t="s">
        <v>71</v>
      </c>
      <c r="F18160" s="29"/>
      <c r="G18160" s="30">
        <f t="shared" si="321"/>
        <v>88.834682593750003</v>
      </c>
    </row>
    <row r="18161" spans="1:7" hidden="1" x14ac:dyDescent="0.25">
      <c r="A18161" s="28">
        <v>44986</v>
      </c>
      <c r="B18161" s="27" t="s">
        <v>200</v>
      </c>
      <c r="C18161" s="27" t="s">
        <v>54</v>
      </c>
      <c r="D18161" s="27" t="s">
        <v>7</v>
      </c>
      <c r="E18161" s="27" t="s">
        <v>73</v>
      </c>
      <c r="F18161" s="29"/>
      <c r="G18161" s="30">
        <f t="shared" si="321"/>
        <v>88.834682593750003</v>
      </c>
    </row>
    <row r="18162" spans="1:7" hidden="1" x14ac:dyDescent="0.25">
      <c r="A18162" s="28">
        <v>44986</v>
      </c>
      <c r="B18162" s="27" t="s">
        <v>200</v>
      </c>
      <c r="C18162" s="27" t="s">
        <v>54</v>
      </c>
      <c r="D18162" s="27" t="s">
        <v>7</v>
      </c>
      <c r="E18162" s="27" t="s">
        <v>70</v>
      </c>
      <c r="F18162" s="29"/>
      <c r="G18162" s="30">
        <f t="shared" si="321"/>
        <v>88.834682593750003</v>
      </c>
    </row>
    <row r="18163" spans="1:7" hidden="1" x14ac:dyDescent="0.25">
      <c r="A18163" s="28">
        <v>44986</v>
      </c>
      <c r="B18163" s="27" t="s">
        <v>200</v>
      </c>
      <c r="C18163" s="27" t="s">
        <v>54</v>
      </c>
      <c r="D18163" s="27" t="s">
        <v>7</v>
      </c>
      <c r="E18163" s="27" t="s">
        <v>203</v>
      </c>
      <c r="F18163" s="29"/>
      <c r="G18163" s="30">
        <f t="shared" si="321"/>
        <v>88.834682593750003</v>
      </c>
    </row>
    <row r="18164" spans="1:7" hidden="1" x14ac:dyDescent="0.25">
      <c r="A18164" s="28">
        <v>44986</v>
      </c>
      <c r="B18164" s="27" t="s">
        <v>200</v>
      </c>
      <c r="C18164" s="27" t="s">
        <v>55</v>
      </c>
      <c r="D18164" s="27" t="s">
        <v>6</v>
      </c>
      <c r="E18164" s="27" t="s">
        <v>8</v>
      </c>
      <c r="F18164" s="29"/>
      <c r="G18164" s="30">
        <f t="shared" ref="G18164:G18195" si="322">38602.05/32</f>
        <v>1206.3140625000001</v>
      </c>
    </row>
    <row r="18165" spans="1:7" hidden="1" x14ac:dyDescent="0.25">
      <c r="A18165" s="28">
        <v>44986</v>
      </c>
      <c r="B18165" s="27" t="s">
        <v>200</v>
      </c>
      <c r="C18165" s="27" t="s">
        <v>55</v>
      </c>
      <c r="D18165" s="27" t="s">
        <v>6</v>
      </c>
      <c r="E18165" s="27" t="s">
        <v>9</v>
      </c>
      <c r="F18165" s="29"/>
      <c r="G18165" s="30">
        <f t="shared" si="322"/>
        <v>1206.3140625000001</v>
      </c>
    </row>
    <row r="18166" spans="1:7" hidden="1" x14ac:dyDescent="0.25">
      <c r="A18166" s="28">
        <v>44986</v>
      </c>
      <c r="B18166" s="27" t="s">
        <v>200</v>
      </c>
      <c r="C18166" s="27" t="s">
        <v>55</v>
      </c>
      <c r="D18166" s="27" t="s">
        <v>6</v>
      </c>
      <c r="E18166" s="27" t="s">
        <v>21</v>
      </c>
      <c r="F18166" s="29"/>
      <c r="G18166" s="30">
        <f t="shared" si="322"/>
        <v>1206.3140625000001</v>
      </c>
    </row>
    <row r="18167" spans="1:7" hidden="1" x14ac:dyDescent="0.25">
      <c r="A18167" s="28">
        <v>44986</v>
      </c>
      <c r="B18167" s="27" t="s">
        <v>200</v>
      </c>
      <c r="C18167" s="27" t="s">
        <v>55</v>
      </c>
      <c r="D18167" s="27" t="s">
        <v>6</v>
      </c>
      <c r="E18167" s="27" t="s">
        <v>10</v>
      </c>
      <c r="F18167" s="29"/>
      <c r="G18167" s="30">
        <f t="shared" si="322"/>
        <v>1206.3140625000001</v>
      </c>
    </row>
    <row r="18168" spans="1:7" hidden="1" x14ac:dyDescent="0.25">
      <c r="A18168" s="28">
        <v>44986</v>
      </c>
      <c r="B18168" s="27" t="s">
        <v>200</v>
      </c>
      <c r="C18168" s="27" t="s">
        <v>55</v>
      </c>
      <c r="D18168" s="27" t="s">
        <v>6</v>
      </c>
      <c r="E18168" s="27" t="s">
        <v>11</v>
      </c>
      <c r="F18168" s="29"/>
      <c r="G18168" s="30">
        <f t="shared" si="322"/>
        <v>1206.3140625000001</v>
      </c>
    </row>
    <row r="18169" spans="1:7" hidden="1" x14ac:dyDescent="0.25">
      <c r="A18169" s="28">
        <v>44986</v>
      </c>
      <c r="B18169" s="27" t="s">
        <v>200</v>
      </c>
      <c r="C18169" s="27" t="s">
        <v>55</v>
      </c>
      <c r="D18169" s="27" t="s">
        <v>6</v>
      </c>
      <c r="E18169" s="27" t="s">
        <v>12</v>
      </c>
      <c r="F18169" s="29"/>
      <c r="G18169" s="30">
        <f t="shared" si="322"/>
        <v>1206.3140625000001</v>
      </c>
    </row>
    <row r="18170" spans="1:7" hidden="1" x14ac:dyDescent="0.25">
      <c r="A18170" s="28">
        <v>44986</v>
      </c>
      <c r="B18170" s="27" t="s">
        <v>200</v>
      </c>
      <c r="C18170" s="27" t="s">
        <v>55</v>
      </c>
      <c r="D18170" s="27" t="s">
        <v>6</v>
      </c>
      <c r="E18170" s="27" t="s">
        <v>13</v>
      </c>
      <c r="F18170" s="29"/>
      <c r="G18170" s="30">
        <f t="shared" si="322"/>
        <v>1206.3140625000001</v>
      </c>
    </row>
    <row r="18171" spans="1:7" hidden="1" x14ac:dyDescent="0.25">
      <c r="A18171" s="28">
        <v>44986</v>
      </c>
      <c r="B18171" s="27" t="s">
        <v>200</v>
      </c>
      <c r="C18171" s="27" t="s">
        <v>55</v>
      </c>
      <c r="D18171" s="27" t="s">
        <v>6</v>
      </c>
      <c r="E18171" s="27" t="s">
        <v>14</v>
      </c>
      <c r="F18171" s="29"/>
      <c r="G18171" s="30">
        <f t="shared" si="322"/>
        <v>1206.3140625000001</v>
      </c>
    </row>
    <row r="18172" spans="1:7" hidden="1" x14ac:dyDescent="0.25">
      <c r="A18172" s="28">
        <v>44986</v>
      </c>
      <c r="B18172" s="27" t="s">
        <v>200</v>
      </c>
      <c r="C18172" s="27" t="s">
        <v>55</v>
      </c>
      <c r="D18172" s="27" t="s">
        <v>6</v>
      </c>
      <c r="E18172" s="27" t="s">
        <v>15</v>
      </c>
      <c r="F18172" s="29"/>
      <c r="G18172" s="30">
        <f t="shared" si="322"/>
        <v>1206.3140625000001</v>
      </c>
    </row>
    <row r="18173" spans="1:7" hidden="1" x14ac:dyDescent="0.25">
      <c r="A18173" s="28">
        <v>44986</v>
      </c>
      <c r="B18173" s="27" t="s">
        <v>200</v>
      </c>
      <c r="C18173" s="27" t="s">
        <v>55</v>
      </c>
      <c r="D18173" s="27" t="s">
        <v>6</v>
      </c>
      <c r="E18173" s="27" t="s">
        <v>16</v>
      </c>
      <c r="F18173" s="29"/>
      <c r="G18173" s="30">
        <f t="shared" si="322"/>
        <v>1206.3140625000001</v>
      </c>
    </row>
    <row r="18174" spans="1:7" hidden="1" x14ac:dyDescent="0.25">
      <c r="A18174" s="28">
        <v>44986</v>
      </c>
      <c r="B18174" s="27" t="s">
        <v>200</v>
      </c>
      <c r="C18174" s="27" t="s">
        <v>55</v>
      </c>
      <c r="D18174" s="27" t="s">
        <v>6</v>
      </c>
      <c r="E18174" s="27" t="s">
        <v>17</v>
      </c>
      <c r="F18174" s="29"/>
      <c r="G18174" s="30">
        <f t="shared" si="322"/>
        <v>1206.3140625000001</v>
      </c>
    </row>
    <row r="18175" spans="1:7" hidden="1" x14ac:dyDescent="0.25">
      <c r="A18175" s="28">
        <v>44986</v>
      </c>
      <c r="B18175" s="27" t="s">
        <v>200</v>
      </c>
      <c r="C18175" s="27" t="s">
        <v>55</v>
      </c>
      <c r="D18175" s="27" t="s">
        <v>6</v>
      </c>
      <c r="E18175" s="27" t="s">
        <v>18</v>
      </c>
      <c r="F18175" s="29"/>
      <c r="G18175" s="30">
        <f t="shared" si="322"/>
        <v>1206.3140625000001</v>
      </c>
    </row>
    <row r="18176" spans="1:7" hidden="1" x14ac:dyDescent="0.25">
      <c r="A18176" s="28">
        <v>44986</v>
      </c>
      <c r="B18176" s="27" t="s">
        <v>200</v>
      </c>
      <c r="C18176" s="27" t="s">
        <v>55</v>
      </c>
      <c r="D18176" s="27" t="s">
        <v>6</v>
      </c>
      <c r="E18176" s="27" t="s">
        <v>19</v>
      </c>
      <c r="F18176" s="29"/>
      <c r="G18176" s="30">
        <f t="shared" si="322"/>
        <v>1206.3140625000001</v>
      </c>
    </row>
    <row r="18177" spans="1:7" hidden="1" x14ac:dyDescent="0.25">
      <c r="A18177" s="28">
        <v>44986</v>
      </c>
      <c r="B18177" s="27" t="s">
        <v>200</v>
      </c>
      <c r="C18177" s="27" t="s">
        <v>55</v>
      </c>
      <c r="D18177" s="27" t="s">
        <v>6</v>
      </c>
      <c r="E18177" s="27" t="s">
        <v>20</v>
      </c>
      <c r="F18177" s="29"/>
      <c r="G18177" s="30">
        <f t="shared" si="322"/>
        <v>1206.3140625000001</v>
      </c>
    </row>
    <row r="18178" spans="1:7" hidden="1" x14ac:dyDescent="0.25">
      <c r="A18178" s="28">
        <v>44986</v>
      </c>
      <c r="B18178" s="27" t="s">
        <v>200</v>
      </c>
      <c r="C18178" s="27" t="s">
        <v>55</v>
      </c>
      <c r="D18178" s="27" t="s">
        <v>6</v>
      </c>
      <c r="E18178" s="27" t="s">
        <v>38</v>
      </c>
      <c r="F18178" s="29"/>
      <c r="G18178" s="30">
        <f t="shared" si="322"/>
        <v>1206.3140625000001</v>
      </c>
    </row>
    <row r="18179" spans="1:7" hidden="1" x14ac:dyDescent="0.25">
      <c r="A18179" s="28">
        <v>44986</v>
      </c>
      <c r="B18179" s="27" t="s">
        <v>200</v>
      </c>
      <c r="C18179" s="27" t="s">
        <v>55</v>
      </c>
      <c r="D18179" s="27" t="s">
        <v>6</v>
      </c>
      <c r="E18179" s="27" t="s">
        <v>23</v>
      </c>
      <c r="F18179" s="29"/>
      <c r="G18179" s="30">
        <f t="shared" si="322"/>
        <v>1206.3140625000001</v>
      </c>
    </row>
    <row r="18180" spans="1:7" hidden="1" x14ac:dyDescent="0.25">
      <c r="A18180" s="28">
        <v>44986</v>
      </c>
      <c r="B18180" s="27" t="s">
        <v>200</v>
      </c>
      <c r="C18180" s="27" t="s">
        <v>55</v>
      </c>
      <c r="D18180" s="27" t="s">
        <v>6</v>
      </c>
      <c r="E18180" s="27" t="s">
        <v>22</v>
      </c>
      <c r="F18180" s="29"/>
      <c r="G18180" s="30">
        <f t="shared" si="322"/>
        <v>1206.3140625000001</v>
      </c>
    </row>
    <row r="18181" spans="1:7" hidden="1" x14ac:dyDescent="0.25">
      <c r="A18181" s="28">
        <v>44986</v>
      </c>
      <c r="B18181" s="27" t="s">
        <v>200</v>
      </c>
      <c r="C18181" s="27" t="s">
        <v>55</v>
      </c>
      <c r="D18181" s="27" t="s">
        <v>6</v>
      </c>
      <c r="E18181" s="27" t="s">
        <v>39</v>
      </c>
      <c r="F18181" s="29"/>
      <c r="G18181" s="30">
        <f t="shared" si="322"/>
        <v>1206.3140625000001</v>
      </c>
    </row>
    <row r="18182" spans="1:7" hidden="1" x14ac:dyDescent="0.25">
      <c r="A18182" s="28">
        <v>44986</v>
      </c>
      <c r="B18182" s="27" t="s">
        <v>200</v>
      </c>
      <c r="C18182" s="27" t="s">
        <v>55</v>
      </c>
      <c r="D18182" s="27" t="s">
        <v>6</v>
      </c>
      <c r="E18182" s="27" t="s">
        <v>41</v>
      </c>
      <c r="F18182" s="29"/>
      <c r="G18182" s="30">
        <f t="shared" si="322"/>
        <v>1206.3140625000001</v>
      </c>
    </row>
    <row r="18183" spans="1:7" hidden="1" x14ac:dyDescent="0.25">
      <c r="A18183" s="28">
        <v>44986</v>
      </c>
      <c r="B18183" s="27" t="s">
        <v>200</v>
      </c>
      <c r="C18183" s="27" t="s">
        <v>55</v>
      </c>
      <c r="D18183" s="27" t="s">
        <v>6</v>
      </c>
      <c r="E18183" s="27" t="s">
        <v>40</v>
      </c>
      <c r="F18183" s="29"/>
      <c r="G18183" s="30">
        <f t="shared" si="322"/>
        <v>1206.3140625000001</v>
      </c>
    </row>
    <row r="18184" spans="1:7" hidden="1" x14ac:dyDescent="0.25">
      <c r="A18184" s="28">
        <v>44986</v>
      </c>
      <c r="B18184" s="27" t="s">
        <v>200</v>
      </c>
      <c r="C18184" s="27" t="s">
        <v>55</v>
      </c>
      <c r="D18184" s="27" t="s">
        <v>6</v>
      </c>
      <c r="E18184" s="27" t="s">
        <v>64</v>
      </c>
      <c r="F18184" s="29"/>
      <c r="G18184" s="30">
        <f t="shared" si="322"/>
        <v>1206.3140625000001</v>
      </c>
    </row>
    <row r="18185" spans="1:7" hidden="1" x14ac:dyDescent="0.25">
      <c r="A18185" s="28">
        <v>44986</v>
      </c>
      <c r="B18185" s="27" t="s">
        <v>200</v>
      </c>
      <c r="C18185" s="27" t="s">
        <v>55</v>
      </c>
      <c r="D18185" s="27" t="s">
        <v>6</v>
      </c>
      <c r="E18185" s="27" t="s">
        <v>42</v>
      </c>
      <c r="F18185" s="29"/>
      <c r="G18185" s="30">
        <f t="shared" si="322"/>
        <v>1206.3140625000001</v>
      </c>
    </row>
    <row r="18186" spans="1:7" hidden="1" x14ac:dyDescent="0.25">
      <c r="A18186" s="28">
        <v>44986</v>
      </c>
      <c r="B18186" s="27" t="s">
        <v>200</v>
      </c>
      <c r="C18186" s="27" t="s">
        <v>55</v>
      </c>
      <c r="D18186" s="27" t="s">
        <v>6</v>
      </c>
      <c r="E18186" s="27" t="s">
        <v>72</v>
      </c>
      <c r="F18186" s="29"/>
      <c r="G18186" s="30">
        <f t="shared" si="322"/>
        <v>1206.3140625000001</v>
      </c>
    </row>
    <row r="18187" spans="1:7" hidden="1" x14ac:dyDescent="0.25">
      <c r="A18187" s="28">
        <v>44986</v>
      </c>
      <c r="B18187" s="27" t="s">
        <v>200</v>
      </c>
      <c r="C18187" s="27" t="s">
        <v>55</v>
      </c>
      <c r="D18187" s="27" t="s">
        <v>6</v>
      </c>
      <c r="E18187" s="27" t="s">
        <v>43</v>
      </c>
      <c r="F18187" s="29"/>
      <c r="G18187" s="30">
        <f t="shared" si="322"/>
        <v>1206.3140625000001</v>
      </c>
    </row>
    <row r="18188" spans="1:7" hidden="1" x14ac:dyDescent="0.25">
      <c r="A18188" s="28">
        <v>44986</v>
      </c>
      <c r="B18188" s="27" t="s">
        <v>200</v>
      </c>
      <c r="C18188" s="27" t="s">
        <v>55</v>
      </c>
      <c r="D18188" s="27" t="s">
        <v>6</v>
      </c>
      <c r="E18188" s="27" t="s">
        <v>206</v>
      </c>
      <c r="F18188" s="29"/>
      <c r="G18188" s="30">
        <f t="shared" si="322"/>
        <v>1206.3140625000001</v>
      </c>
    </row>
    <row r="18189" spans="1:7" hidden="1" x14ac:dyDescent="0.25">
      <c r="A18189" s="28">
        <v>44986</v>
      </c>
      <c r="B18189" s="27" t="s">
        <v>200</v>
      </c>
      <c r="C18189" s="27" t="s">
        <v>55</v>
      </c>
      <c r="D18189" s="27" t="s">
        <v>6</v>
      </c>
      <c r="E18189" s="27" t="s">
        <v>68</v>
      </c>
      <c r="F18189" s="29"/>
      <c r="G18189" s="30">
        <f t="shared" si="322"/>
        <v>1206.3140625000001</v>
      </c>
    </row>
    <row r="18190" spans="1:7" hidden="1" x14ac:dyDescent="0.25">
      <c r="A18190" s="28">
        <v>44986</v>
      </c>
      <c r="B18190" s="27" t="s">
        <v>200</v>
      </c>
      <c r="C18190" s="27" t="s">
        <v>55</v>
      </c>
      <c r="D18190" s="27" t="s">
        <v>6</v>
      </c>
      <c r="E18190" s="27" t="s">
        <v>74</v>
      </c>
      <c r="F18190" s="29"/>
      <c r="G18190" s="30">
        <f t="shared" si="322"/>
        <v>1206.3140625000001</v>
      </c>
    </row>
    <row r="18191" spans="1:7" hidden="1" x14ac:dyDescent="0.25">
      <c r="A18191" s="28">
        <v>44986</v>
      </c>
      <c r="B18191" s="27" t="s">
        <v>200</v>
      </c>
      <c r="C18191" s="27" t="s">
        <v>55</v>
      </c>
      <c r="D18191" s="27" t="s">
        <v>6</v>
      </c>
      <c r="E18191" s="27" t="s">
        <v>67</v>
      </c>
      <c r="F18191" s="29"/>
      <c r="G18191" s="30">
        <f t="shared" si="322"/>
        <v>1206.3140625000001</v>
      </c>
    </row>
    <row r="18192" spans="1:7" hidden="1" x14ac:dyDescent="0.25">
      <c r="A18192" s="28">
        <v>44986</v>
      </c>
      <c r="B18192" s="27" t="s">
        <v>200</v>
      </c>
      <c r="C18192" s="27" t="s">
        <v>55</v>
      </c>
      <c r="D18192" s="27" t="s">
        <v>6</v>
      </c>
      <c r="E18192" s="27" t="s">
        <v>71</v>
      </c>
      <c r="F18192" s="29"/>
      <c r="G18192" s="30">
        <f t="shared" si="322"/>
        <v>1206.3140625000001</v>
      </c>
    </row>
    <row r="18193" spans="1:7" hidden="1" x14ac:dyDescent="0.25">
      <c r="A18193" s="28">
        <v>44986</v>
      </c>
      <c r="B18193" s="27" t="s">
        <v>200</v>
      </c>
      <c r="C18193" s="27" t="s">
        <v>55</v>
      </c>
      <c r="D18193" s="27" t="s">
        <v>6</v>
      </c>
      <c r="E18193" s="27" t="s">
        <v>73</v>
      </c>
      <c r="F18193" s="29"/>
      <c r="G18193" s="30">
        <f t="shared" si="322"/>
        <v>1206.3140625000001</v>
      </c>
    </row>
    <row r="18194" spans="1:7" hidden="1" x14ac:dyDescent="0.25">
      <c r="A18194" s="28">
        <v>44986</v>
      </c>
      <c r="B18194" s="27" t="s">
        <v>200</v>
      </c>
      <c r="C18194" s="27" t="s">
        <v>55</v>
      </c>
      <c r="D18194" s="27" t="s">
        <v>6</v>
      </c>
      <c r="E18194" s="27" t="s">
        <v>70</v>
      </c>
      <c r="F18194" s="29"/>
      <c r="G18194" s="30">
        <f t="shared" si="322"/>
        <v>1206.3140625000001</v>
      </c>
    </row>
    <row r="18195" spans="1:7" hidden="1" x14ac:dyDescent="0.25">
      <c r="A18195" s="28">
        <v>44986</v>
      </c>
      <c r="B18195" s="27" t="s">
        <v>200</v>
      </c>
      <c r="C18195" s="27" t="s">
        <v>55</v>
      </c>
      <c r="D18195" s="27" t="s">
        <v>6</v>
      </c>
      <c r="E18195" s="27" t="s">
        <v>203</v>
      </c>
      <c r="F18195" s="29"/>
      <c r="G18195" s="30">
        <f t="shared" si="322"/>
        <v>1206.3140625000001</v>
      </c>
    </row>
    <row r="18196" spans="1:7" hidden="1" x14ac:dyDescent="0.25">
      <c r="A18196" s="28">
        <v>44986</v>
      </c>
      <c r="B18196" s="27" t="s">
        <v>200</v>
      </c>
      <c r="C18196" s="27" t="s">
        <v>183</v>
      </c>
      <c r="D18196" s="27" t="s">
        <v>7</v>
      </c>
      <c r="E18196" s="27" t="s">
        <v>8</v>
      </c>
      <c r="F18196" s="29"/>
      <c r="G18196" s="30">
        <f t="shared" ref="G18196:G18227" si="323">8393.01/32</f>
        <v>262.28156250000001</v>
      </c>
    </row>
    <row r="18197" spans="1:7" hidden="1" x14ac:dyDescent="0.25">
      <c r="A18197" s="28">
        <v>44986</v>
      </c>
      <c r="B18197" s="27" t="s">
        <v>200</v>
      </c>
      <c r="C18197" s="27" t="s">
        <v>183</v>
      </c>
      <c r="D18197" s="27" t="s">
        <v>7</v>
      </c>
      <c r="E18197" s="27" t="s">
        <v>9</v>
      </c>
      <c r="F18197" s="29"/>
      <c r="G18197" s="30">
        <f t="shared" si="323"/>
        <v>262.28156250000001</v>
      </c>
    </row>
    <row r="18198" spans="1:7" hidden="1" x14ac:dyDescent="0.25">
      <c r="A18198" s="28">
        <v>44986</v>
      </c>
      <c r="B18198" s="27" t="s">
        <v>200</v>
      </c>
      <c r="C18198" s="27" t="s">
        <v>183</v>
      </c>
      <c r="D18198" s="27" t="s">
        <v>7</v>
      </c>
      <c r="E18198" s="27" t="s">
        <v>21</v>
      </c>
      <c r="F18198" s="29"/>
      <c r="G18198" s="30">
        <f t="shared" si="323"/>
        <v>262.28156250000001</v>
      </c>
    </row>
    <row r="18199" spans="1:7" hidden="1" x14ac:dyDescent="0.25">
      <c r="A18199" s="28">
        <v>44986</v>
      </c>
      <c r="B18199" s="27" t="s">
        <v>200</v>
      </c>
      <c r="C18199" s="27" t="s">
        <v>183</v>
      </c>
      <c r="D18199" s="27" t="s">
        <v>7</v>
      </c>
      <c r="E18199" s="27" t="s">
        <v>10</v>
      </c>
      <c r="F18199" s="29"/>
      <c r="G18199" s="30">
        <f t="shared" si="323"/>
        <v>262.28156250000001</v>
      </c>
    </row>
    <row r="18200" spans="1:7" hidden="1" x14ac:dyDescent="0.25">
      <c r="A18200" s="28">
        <v>44986</v>
      </c>
      <c r="B18200" s="27" t="s">
        <v>200</v>
      </c>
      <c r="C18200" s="27" t="s">
        <v>183</v>
      </c>
      <c r="D18200" s="27" t="s">
        <v>7</v>
      </c>
      <c r="E18200" s="27" t="s">
        <v>11</v>
      </c>
      <c r="F18200" s="29"/>
      <c r="G18200" s="30">
        <f t="shared" si="323"/>
        <v>262.28156250000001</v>
      </c>
    </row>
    <row r="18201" spans="1:7" hidden="1" x14ac:dyDescent="0.25">
      <c r="A18201" s="28">
        <v>44986</v>
      </c>
      <c r="B18201" s="27" t="s">
        <v>200</v>
      </c>
      <c r="C18201" s="27" t="s">
        <v>183</v>
      </c>
      <c r="D18201" s="27" t="s">
        <v>7</v>
      </c>
      <c r="E18201" s="27" t="s">
        <v>12</v>
      </c>
      <c r="F18201" s="29"/>
      <c r="G18201" s="30">
        <f t="shared" si="323"/>
        <v>262.28156250000001</v>
      </c>
    </row>
    <row r="18202" spans="1:7" hidden="1" x14ac:dyDescent="0.25">
      <c r="A18202" s="28">
        <v>44986</v>
      </c>
      <c r="B18202" s="27" t="s">
        <v>200</v>
      </c>
      <c r="C18202" s="27" t="s">
        <v>183</v>
      </c>
      <c r="D18202" s="27" t="s">
        <v>7</v>
      </c>
      <c r="E18202" s="27" t="s">
        <v>13</v>
      </c>
      <c r="F18202" s="29"/>
      <c r="G18202" s="30">
        <f t="shared" si="323"/>
        <v>262.28156250000001</v>
      </c>
    </row>
    <row r="18203" spans="1:7" hidden="1" x14ac:dyDescent="0.25">
      <c r="A18203" s="28">
        <v>44986</v>
      </c>
      <c r="B18203" s="27" t="s">
        <v>200</v>
      </c>
      <c r="C18203" s="27" t="s">
        <v>183</v>
      </c>
      <c r="D18203" s="27" t="s">
        <v>7</v>
      </c>
      <c r="E18203" s="27" t="s">
        <v>14</v>
      </c>
      <c r="F18203" s="29"/>
      <c r="G18203" s="30">
        <f t="shared" si="323"/>
        <v>262.28156250000001</v>
      </c>
    </row>
    <row r="18204" spans="1:7" hidden="1" x14ac:dyDescent="0.25">
      <c r="A18204" s="28">
        <v>44986</v>
      </c>
      <c r="B18204" s="27" t="s">
        <v>200</v>
      </c>
      <c r="C18204" s="27" t="s">
        <v>183</v>
      </c>
      <c r="D18204" s="27" t="s">
        <v>7</v>
      </c>
      <c r="E18204" s="27" t="s">
        <v>15</v>
      </c>
      <c r="F18204" s="29"/>
      <c r="G18204" s="30">
        <f t="shared" si="323"/>
        <v>262.28156250000001</v>
      </c>
    </row>
    <row r="18205" spans="1:7" hidden="1" x14ac:dyDescent="0.25">
      <c r="A18205" s="28">
        <v>44986</v>
      </c>
      <c r="B18205" s="27" t="s">
        <v>200</v>
      </c>
      <c r="C18205" s="27" t="s">
        <v>183</v>
      </c>
      <c r="D18205" s="27" t="s">
        <v>7</v>
      </c>
      <c r="E18205" s="27" t="s">
        <v>16</v>
      </c>
      <c r="F18205" s="29"/>
      <c r="G18205" s="30">
        <f t="shared" si="323"/>
        <v>262.28156250000001</v>
      </c>
    </row>
    <row r="18206" spans="1:7" hidden="1" x14ac:dyDescent="0.25">
      <c r="A18206" s="28">
        <v>44986</v>
      </c>
      <c r="B18206" s="27" t="s">
        <v>200</v>
      </c>
      <c r="C18206" s="27" t="s">
        <v>183</v>
      </c>
      <c r="D18206" s="27" t="s">
        <v>7</v>
      </c>
      <c r="E18206" s="27" t="s">
        <v>17</v>
      </c>
      <c r="F18206" s="29"/>
      <c r="G18206" s="30">
        <f t="shared" si="323"/>
        <v>262.28156250000001</v>
      </c>
    </row>
    <row r="18207" spans="1:7" hidden="1" x14ac:dyDescent="0.25">
      <c r="A18207" s="28">
        <v>44986</v>
      </c>
      <c r="B18207" s="27" t="s">
        <v>200</v>
      </c>
      <c r="C18207" s="27" t="s">
        <v>183</v>
      </c>
      <c r="D18207" s="27" t="s">
        <v>7</v>
      </c>
      <c r="E18207" s="27" t="s">
        <v>18</v>
      </c>
      <c r="F18207" s="29"/>
      <c r="G18207" s="30">
        <f t="shared" si="323"/>
        <v>262.28156250000001</v>
      </c>
    </row>
    <row r="18208" spans="1:7" hidden="1" x14ac:dyDescent="0.25">
      <c r="A18208" s="28">
        <v>44986</v>
      </c>
      <c r="B18208" s="27" t="s">
        <v>200</v>
      </c>
      <c r="C18208" s="27" t="s">
        <v>183</v>
      </c>
      <c r="D18208" s="27" t="s">
        <v>7</v>
      </c>
      <c r="E18208" s="27" t="s">
        <v>19</v>
      </c>
      <c r="F18208" s="29"/>
      <c r="G18208" s="30">
        <f t="shared" si="323"/>
        <v>262.28156250000001</v>
      </c>
    </row>
    <row r="18209" spans="1:7" hidden="1" x14ac:dyDescent="0.25">
      <c r="A18209" s="28">
        <v>44986</v>
      </c>
      <c r="B18209" s="27" t="s">
        <v>200</v>
      </c>
      <c r="C18209" s="27" t="s">
        <v>183</v>
      </c>
      <c r="D18209" s="27" t="s">
        <v>7</v>
      </c>
      <c r="E18209" s="27" t="s">
        <v>20</v>
      </c>
      <c r="F18209" s="29"/>
      <c r="G18209" s="30">
        <f t="shared" si="323"/>
        <v>262.28156250000001</v>
      </c>
    </row>
    <row r="18210" spans="1:7" hidden="1" x14ac:dyDescent="0.25">
      <c r="A18210" s="28">
        <v>44986</v>
      </c>
      <c r="B18210" s="27" t="s">
        <v>200</v>
      </c>
      <c r="C18210" s="27" t="s">
        <v>183</v>
      </c>
      <c r="D18210" s="27" t="s">
        <v>7</v>
      </c>
      <c r="E18210" s="27" t="s">
        <v>38</v>
      </c>
      <c r="F18210" s="29"/>
      <c r="G18210" s="30">
        <f t="shared" si="323"/>
        <v>262.28156250000001</v>
      </c>
    </row>
    <row r="18211" spans="1:7" hidden="1" x14ac:dyDescent="0.25">
      <c r="A18211" s="28">
        <v>44986</v>
      </c>
      <c r="B18211" s="27" t="s">
        <v>200</v>
      </c>
      <c r="C18211" s="27" t="s">
        <v>183</v>
      </c>
      <c r="D18211" s="27" t="s">
        <v>7</v>
      </c>
      <c r="E18211" s="27" t="s">
        <v>23</v>
      </c>
      <c r="F18211" s="29"/>
      <c r="G18211" s="30">
        <f t="shared" si="323"/>
        <v>262.28156250000001</v>
      </c>
    </row>
    <row r="18212" spans="1:7" hidden="1" x14ac:dyDescent="0.25">
      <c r="A18212" s="28">
        <v>44986</v>
      </c>
      <c r="B18212" s="27" t="s">
        <v>200</v>
      </c>
      <c r="C18212" s="27" t="s">
        <v>183</v>
      </c>
      <c r="D18212" s="27" t="s">
        <v>7</v>
      </c>
      <c r="E18212" s="27" t="s">
        <v>22</v>
      </c>
      <c r="F18212" s="29"/>
      <c r="G18212" s="30">
        <f t="shared" si="323"/>
        <v>262.28156250000001</v>
      </c>
    </row>
    <row r="18213" spans="1:7" hidden="1" x14ac:dyDescent="0.25">
      <c r="A18213" s="28">
        <v>44986</v>
      </c>
      <c r="B18213" s="27" t="s">
        <v>200</v>
      </c>
      <c r="C18213" s="27" t="s">
        <v>183</v>
      </c>
      <c r="D18213" s="27" t="s">
        <v>7</v>
      </c>
      <c r="E18213" s="27" t="s">
        <v>39</v>
      </c>
      <c r="F18213" s="29"/>
      <c r="G18213" s="30">
        <f t="shared" si="323"/>
        <v>262.28156250000001</v>
      </c>
    </row>
    <row r="18214" spans="1:7" hidden="1" x14ac:dyDescent="0.25">
      <c r="A18214" s="28">
        <v>44986</v>
      </c>
      <c r="B18214" s="27" t="s">
        <v>200</v>
      </c>
      <c r="C18214" s="27" t="s">
        <v>183</v>
      </c>
      <c r="D18214" s="27" t="s">
        <v>7</v>
      </c>
      <c r="E18214" s="27" t="s">
        <v>41</v>
      </c>
      <c r="F18214" s="29"/>
      <c r="G18214" s="30">
        <f t="shared" si="323"/>
        <v>262.28156250000001</v>
      </c>
    </row>
    <row r="18215" spans="1:7" hidden="1" x14ac:dyDescent="0.25">
      <c r="A18215" s="28">
        <v>44986</v>
      </c>
      <c r="B18215" s="27" t="s">
        <v>200</v>
      </c>
      <c r="C18215" s="27" t="s">
        <v>183</v>
      </c>
      <c r="D18215" s="27" t="s">
        <v>7</v>
      </c>
      <c r="E18215" s="27" t="s">
        <v>40</v>
      </c>
      <c r="F18215" s="29"/>
      <c r="G18215" s="30">
        <f t="shared" si="323"/>
        <v>262.28156250000001</v>
      </c>
    </row>
    <row r="18216" spans="1:7" hidden="1" x14ac:dyDescent="0.25">
      <c r="A18216" s="28">
        <v>44986</v>
      </c>
      <c r="B18216" s="27" t="s">
        <v>200</v>
      </c>
      <c r="C18216" s="27" t="s">
        <v>183</v>
      </c>
      <c r="D18216" s="27" t="s">
        <v>7</v>
      </c>
      <c r="E18216" s="27" t="s">
        <v>64</v>
      </c>
      <c r="F18216" s="29"/>
      <c r="G18216" s="30">
        <f t="shared" si="323"/>
        <v>262.28156250000001</v>
      </c>
    </row>
    <row r="18217" spans="1:7" hidden="1" x14ac:dyDescent="0.25">
      <c r="A18217" s="28">
        <v>44986</v>
      </c>
      <c r="B18217" s="27" t="s">
        <v>200</v>
      </c>
      <c r="C18217" s="27" t="s">
        <v>183</v>
      </c>
      <c r="D18217" s="27" t="s">
        <v>7</v>
      </c>
      <c r="E18217" s="27" t="s">
        <v>42</v>
      </c>
      <c r="F18217" s="29"/>
      <c r="G18217" s="30">
        <f t="shared" si="323"/>
        <v>262.28156250000001</v>
      </c>
    </row>
    <row r="18218" spans="1:7" hidden="1" x14ac:dyDescent="0.25">
      <c r="A18218" s="28">
        <v>44986</v>
      </c>
      <c r="B18218" s="27" t="s">
        <v>200</v>
      </c>
      <c r="C18218" s="27" t="s">
        <v>183</v>
      </c>
      <c r="D18218" s="27" t="s">
        <v>7</v>
      </c>
      <c r="E18218" s="27" t="s">
        <v>72</v>
      </c>
      <c r="F18218" s="29"/>
      <c r="G18218" s="30">
        <f t="shared" si="323"/>
        <v>262.28156250000001</v>
      </c>
    </row>
    <row r="18219" spans="1:7" hidden="1" x14ac:dyDescent="0.25">
      <c r="A18219" s="28">
        <v>44986</v>
      </c>
      <c r="B18219" s="27" t="s">
        <v>200</v>
      </c>
      <c r="C18219" s="27" t="s">
        <v>183</v>
      </c>
      <c r="D18219" s="27" t="s">
        <v>7</v>
      </c>
      <c r="E18219" s="27" t="s">
        <v>43</v>
      </c>
      <c r="F18219" s="29"/>
      <c r="G18219" s="30">
        <f t="shared" si="323"/>
        <v>262.28156250000001</v>
      </c>
    </row>
    <row r="18220" spans="1:7" hidden="1" x14ac:dyDescent="0.25">
      <c r="A18220" s="28">
        <v>44986</v>
      </c>
      <c r="B18220" s="27" t="s">
        <v>200</v>
      </c>
      <c r="C18220" s="27" t="s">
        <v>183</v>
      </c>
      <c r="D18220" s="27" t="s">
        <v>7</v>
      </c>
      <c r="E18220" s="27" t="s">
        <v>206</v>
      </c>
      <c r="F18220" s="29"/>
      <c r="G18220" s="30">
        <f t="shared" si="323"/>
        <v>262.28156250000001</v>
      </c>
    </row>
    <row r="18221" spans="1:7" hidden="1" x14ac:dyDescent="0.25">
      <c r="A18221" s="28">
        <v>44986</v>
      </c>
      <c r="B18221" s="27" t="s">
        <v>200</v>
      </c>
      <c r="C18221" s="27" t="s">
        <v>183</v>
      </c>
      <c r="D18221" s="27" t="s">
        <v>7</v>
      </c>
      <c r="E18221" s="27" t="s">
        <v>68</v>
      </c>
      <c r="F18221" s="29"/>
      <c r="G18221" s="30">
        <f t="shared" si="323"/>
        <v>262.28156250000001</v>
      </c>
    </row>
    <row r="18222" spans="1:7" hidden="1" x14ac:dyDescent="0.25">
      <c r="A18222" s="28">
        <v>44986</v>
      </c>
      <c r="B18222" s="27" t="s">
        <v>200</v>
      </c>
      <c r="C18222" s="27" t="s">
        <v>183</v>
      </c>
      <c r="D18222" s="27" t="s">
        <v>7</v>
      </c>
      <c r="E18222" s="27" t="s">
        <v>74</v>
      </c>
      <c r="F18222" s="29"/>
      <c r="G18222" s="30">
        <f t="shared" si="323"/>
        <v>262.28156250000001</v>
      </c>
    </row>
    <row r="18223" spans="1:7" hidden="1" x14ac:dyDescent="0.25">
      <c r="A18223" s="28">
        <v>44986</v>
      </c>
      <c r="B18223" s="27" t="s">
        <v>200</v>
      </c>
      <c r="C18223" s="27" t="s">
        <v>183</v>
      </c>
      <c r="D18223" s="27" t="s">
        <v>7</v>
      </c>
      <c r="E18223" s="27" t="s">
        <v>67</v>
      </c>
      <c r="F18223" s="29"/>
      <c r="G18223" s="30">
        <f t="shared" si="323"/>
        <v>262.28156250000001</v>
      </c>
    </row>
    <row r="18224" spans="1:7" hidden="1" x14ac:dyDescent="0.25">
      <c r="A18224" s="28">
        <v>44986</v>
      </c>
      <c r="B18224" s="27" t="s">
        <v>200</v>
      </c>
      <c r="C18224" s="27" t="s">
        <v>183</v>
      </c>
      <c r="D18224" s="27" t="s">
        <v>7</v>
      </c>
      <c r="E18224" s="27" t="s">
        <v>71</v>
      </c>
      <c r="F18224" s="29"/>
      <c r="G18224" s="30">
        <f t="shared" si="323"/>
        <v>262.28156250000001</v>
      </c>
    </row>
    <row r="18225" spans="1:7" hidden="1" x14ac:dyDescent="0.25">
      <c r="A18225" s="28">
        <v>44986</v>
      </c>
      <c r="B18225" s="27" t="s">
        <v>200</v>
      </c>
      <c r="C18225" s="27" t="s">
        <v>183</v>
      </c>
      <c r="D18225" s="27" t="s">
        <v>7</v>
      </c>
      <c r="E18225" s="27" t="s">
        <v>73</v>
      </c>
      <c r="F18225" s="29"/>
      <c r="G18225" s="30">
        <f t="shared" si="323"/>
        <v>262.28156250000001</v>
      </c>
    </row>
    <row r="18226" spans="1:7" hidden="1" x14ac:dyDescent="0.25">
      <c r="A18226" s="28">
        <v>44986</v>
      </c>
      <c r="B18226" s="27" t="s">
        <v>200</v>
      </c>
      <c r="C18226" s="27" t="s">
        <v>183</v>
      </c>
      <c r="D18226" s="27" t="s">
        <v>7</v>
      </c>
      <c r="E18226" s="27" t="s">
        <v>70</v>
      </c>
      <c r="F18226" s="29"/>
      <c r="G18226" s="30">
        <f t="shared" si="323"/>
        <v>262.28156250000001</v>
      </c>
    </row>
    <row r="18227" spans="1:7" hidden="1" x14ac:dyDescent="0.25">
      <c r="A18227" s="28">
        <v>44986</v>
      </c>
      <c r="B18227" s="27" t="s">
        <v>200</v>
      </c>
      <c r="C18227" s="27" t="s">
        <v>183</v>
      </c>
      <c r="D18227" s="27" t="s">
        <v>7</v>
      </c>
      <c r="E18227" s="27" t="s">
        <v>203</v>
      </c>
      <c r="F18227" s="29"/>
      <c r="G18227" s="30">
        <f t="shared" si="323"/>
        <v>262.28156250000001</v>
      </c>
    </row>
    <row r="18228" spans="1:7" hidden="1" x14ac:dyDescent="0.25">
      <c r="A18228" s="28">
        <v>44986</v>
      </c>
      <c r="B18228" s="27" t="s">
        <v>200</v>
      </c>
      <c r="C18228" s="27" t="s">
        <v>56</v>
      </c>
      <c r="D18228" s="27" t="s">
        <v>6</v>
      </c>
      <c r="E18228" s="27" t="s">
        <v>8</v>
      </c>
      <c r="F18228" s="29"/>
      <c r="G18228" s="30">
        <f t="shared" ref="G18228:G18259" si="324">69289.6996/32</f>
        <v>2165.3031125000002</v>
      </c>
    </row>
    <row r="18229" spans="1:7" hidden="1" x14ac:dyDescent="0.25">
      <c r="A18229" s="28">
        <v>44986</v>
      </c>
      <c r="B18229" s="27" t="s">
        <v>200</v>
      </c>
      <c r="C18229" s="27" t="s">
        <v>56</v>
      </c>
      <c r="D18229" s="27" t="s">
        <v>6</v>
      </c>
      <c r="E18229" s="27" t="s">
        <v>9</v>
      </c>
      <c r="F18229" s="29"/>
      <c r="G18229" s="30">
        <f t="shared" si="324"/>
        <v>2165.3031125000002</v>
      </c>
    </row>
    <row r="18230" spans="1:7" hidden="1" x14ac:dyDescent="0.25">
      <c r="A18230" s="28">
        <v>44986</v>
      </c>
      <c r="B18230" s="27" t="s">
        <v>200</v>
      </c>
      <c r="C18230" s="27" t="s">
        <v>56</v>
      </c>
      <c r="D18230" s="27" t="s">
        <v>6</v>
      </c>
      <c r="E18230" s="27" t="s">
        <v>21</v>
      </c>
      <c r="F18230" s="29"/>
      <c r="G18230" s="30">
        <f t="shared" si="324"/>
        <v>2165.3031125000002</v>
      </c>
    </row>
    <row r="18231" spans="1:7" hidden="1" x14ac:dyDescent="0.25">
      <c r="A18231" s="28">
        <v>44986</v>
      </c>
      <c r="B18231" s="27" t="s">
        <v>200</v>
      </c>
      <c r="C18231" s="27" t="s">
        <v>56</v>
      </c>
      <c r="D18231" s="27" t="s">
        <v>6</v>
      </c>
      <c r="E18231" s="27" t="s">
        <v>10</v>
      </c>
      <c r="F18231" s="29"/>
      <c r="G18231" s="30">
        <f t="shared" si="324"/>
        <v>2165.3031125000002</v>
      </c>
    </row>
    <row r="18232" spans="1:7" hidden="1" x14ac:dyDescent="0.25">
      <c r="A18232" s="28">
        <v>44986</v>
      </c>
      <c r="B18232" s="27" t="s">
        <v>200</v>
      </c>
      <c r="C18232" s="27" t="s">
        <v>56</v>
      </c>
      <c r="D18232" s="27" t="s">
        <v>6</v>
      </c>
      <c r="E18232" s="27" t="s">
        <v>11</v>
      </c>
      <c r="F18232" s="29"/>
      <c r="G18232" s="30">
        <f t="shared" si="324"/>
        <v>2165.3031125000002</v>
      </c>
    </row>
    <row r="18233" spans="1:7" hidden="1" x14ac:dyDescent="0.25">
      <c r="A18233" s="28">
        <v>44986</v>
      </c>
      <c r="B18233" s="27" t="s">
        <v>200</v>
      </c>
      <c r="C18233" s="27" t="s">
        <v>56</v>
      </c>
      <c r="D18233" s="27" t="s">
        <v>6</v>
      </c>
      <c r="E18233" s="27" t="s">
        <v>12</v>
      </c>
      <c r="F18233" s="29"/>
      <c r="G18233" s="30">
        <f t="shared" si="324"/>
        <v>2165.3031125000002</v>
      </c>
    </row>
    <row r="18234" spans="1:7" hidden="1" x14ac:dyDescent="0.25">
      <c r="A18234" s="28">
        <v>44986</v>
      </c>
      <c r="B18234" s="27" t="s">
        <v>200</v>
      </c>
      <c r="C18234" s="27" t="s">
        <v>56</v>
      </c>
      <c r="D18234" s="27" t="s">
        <v>6</v>
      </c>
      <c r="E18234" s="27" t="s">
        <v>13</v>
      </c>
      <c r="F18234" s="29"/>
      <c r="G18234" s="30">
        <f t="shared" si="324"/>
        <v>2165.3031125000002</v>
      </c>
    </row>
    <row r="18235" spans="1:7" hidden="1" x14ac:dyDescent="0.25">
      <c r="A18235" s="28">
        <v>44986</v>
      </c>
      <c r="B18235" s="27" t="s">
        <v>200</v>
      </c>
      <c r="C18235" s="27" t="s">
        <v>56</v>
      </c>
      <c r="D18235" s="27" t="s">
        <v>6</v>
      </c>
      <c r="E18235" s="27" t="s">
        <v>14</v>
      </c>
      <c r="F18235" s="29"/>
      <c r="G18235" s="30">
        <f t="shared" si="324"/>
        <v>2165.3031125000002</v>
      </c>
    </row>
    <row r="18236" spans="1:7" hidden="1" x14ac:dyDescent="0.25">
      <c r="A18236" s="28">
        <v>44986</v>
      </c>
      <c r="B18236" s="27" t="s">
        <v>200</v>
      </c>
      <c r="C18236" s="27" t="s">
        <v>56</v>
      </c>
      <c r="D18236" s="27" t="s">
        <v>6</v>
      </c>
      <c r="E18236" s="27" t="s">
        <v>15</v>
      </c>
      <c r="F18236" s="29"/>
      <c r="G18236" s="30">
        <f t="shared" si="324"/>
        <v>2165.3031125000002</v>
      </c>
    </row>
    <row r="18237" spans="1:7" hidden="1" x14ac:dyDescent="0.25">
      <c r="A18237" s="28">
        <v>44986</v>
      </c>
      <c r="B18237" s="27" t="s">
        <v>200</v>
      </c>
      <c r="C18237" s="27" t="s">
        <v>56</v>
      </c>
      <c r="D18237" s="27" t="s">
        <v>6</v>
      </c>
      <c r="E18237" s="27" t="s">
        <v>16</v>
      </c>
      <c r="F18237" s="29"/>
      <c r="G18237" s="30">
        <f t="shared" si="324"/>
        <v>2165.3031125000002</v>
      </c>
    </row>
    <row r="18238" spans="1:7" hidden="1" x14ac:dyDescent="0.25">
      <c r="A18238" s="28">
        <v>44986</v>
      </c>
      <c r="B18238" s="27" t="s">
        <v>200</v>
      </c>
      <c r="C18238" s="27" t="s">
        <v>56</v>
      </c>
      <c r="D18238" s="27" t="s">
        <v>6</v>
      </c>
      <c r="E18238" s="27" t="s">
        <v>17</v>
      </c>
      <c r="F18238" s="29"/>
      <c r="G18238" s="30">
        <f t="shared" si="324"/>
        <v>2165.3031125000002</v>
      </c>
    </row>
    <row r="18239" spans="1:7" hidden="1" x14ac:dyDescent="0.25">
      <c r="A18239" s="28">
        <v>44986</v>
      </c>
      <c r="B18239" s="27" t="s">
        <v>200</v>
      </c>
      <c r="C18239" s="27" t="s">
        <v>56</v>
      </c>
      <c r="D18239" s="27" t="s">
        <v>6</v>
      </c>
      <c r="E18239" s="27" t="s">
        <v>18</v>
      </c>
      <c r="F18239" s="29"/>
      <c r="G18239" s="30">
        <f t="shared" si="324"/>
        <v>2165.3031125000002</v>
      </c>
    </row>
    <row r="18240" spans="1:7" hidden="1" x14ac:dyDescent="0.25">
      <c r="A18240" s="28">
        <v>44986</v>
      </c>
      <c r="B18240" s="27" t="s">
        <v>200</v>
      </c>
      <c r="C18240" s="27" t="s">
        <v>56</v>
      </c>
      <c r="D18240" s="27" t="s">
        <v>6</v>
      </c>
      <c r="E18240" s="27" t="s">
        <v>19</v>
      </c>
      <c r="F18240" s="29"/>
      <c r="G18240" s="30">
        <f t="shared" si="324"/>
        <v>2165.3031125000002</v>
      </c>
    </row>
    <row r="18241" spans="1:7" hidden="1" x14ac:dyDescent="0.25">
      <c r="A18241" s="28">
        <v>44986</v>
      </c>
      <c r="B18241" s="27" t="s">
        <v>200</v>
      </c>
      <c r="C18241" s="27" t="s">
        <v>56</v>
      </c>
      <c r="D18241" s="27" t="s">
        <v>6</v>
      </c>
      <c r="E18241" s="27" t="s">
        <v>20</v>
      </c>
      <c r="F18241" s="29"/>
      <c r="G18241" s="30">
        <f t="shared" si="324"/>
        <v>2165.3031125000002</v>
      </c>
    </row>
    <row r="18242" spans="1:7" hidden="1" x14ac:dyDescent="0.25">
      <c r="A18242" s="28">
        <v>44986</v>
      </c>
      <c r="B18242" s="27" t="s">
        <v>200</v>
      </c>
      <c r="C18242" s="27" t="s">
        <v>56</v>
      </c>
      <c r="D18242" s="27" t="s">
        <v>6</v>
      </c>
      <c r="E18242" s="27" t="s">
        <v>38</v>
      </c>
      <c r="F18242" s="29"/>
      <c r="G18242" s="30">
        <f t="shared" si="324"/>
        <v>2165.3031125000002</v>
      </c>
    </row>
    <row r="18243" spans="1:7" hidden="1" x14ac:dyDescent="0.25">
      <c r="A18243" s="28">
        <v>44986</v>
      </c>
      <c r="B18243" s="27" t="s">
        <v>200</v>
      </c>
      <c r="C18243" s="27" t="s">
        <v>56</v>
      </c>
      <c r="D18243" s="27" t="s">
        <v>6</v>
      </c>
      <c r="E18243" s="27" t="s">
        <v>23</v>
      </c>
      <c r="F18243" s="29"/>
      <c r="G18243" s="30">
        <f t="shared" si="324"/>
        <v>2165.3031125000002</v>
      </c>
    </row>
    <row r="18244" spans="1:7" hidden="1" x14ac:dyDescent="0.25">
      <c r="A18244" s="28">
        <v>44986</v>
      </c>
      <c r="B18244" s="27" t="s">
        <v>200</v>
      </c>
      <c r="C18244" s="27" t="s">
        <v>56</v>
      </c>
      <c r="D18244" s="27" t="s">
        <v>6</v>
      </c>
      <c r="E18244" s="27" t="s">
        <v>22</v>
      </c>
      <c r="F18244" s="29"/>
      <c r="G18244" s="30">
        <f t="shared" si="324"/>
        <v>2165.3031125000002</v>
      </c>
    </row>
    <row r="18245" spans="1:7" hidden="1" x14ac:dyDescent="0.25">
      <c r="A18245" s="28">
        <v>44986</v>
      </c>
      <c r="B18245" s="27" t="s">
        <v>200</v>
      </c>
      <c r="C18245" s="27" t="s">
        <v>56</v>
      </c>
      <c r="D18245" s="27" t="s">
        <v>6</v>
      </c>
      <c r="E18245" s="27" t="s">
        <v>39</v>
      </c>
      <c r="F18245" s="29"/>
      <c r="G18245" s="30">
        <f t="shared" si="324"/>
        <v>2165.3031125000002</v>
      </c>
    </row>
    <row r="18246" spans="1:7" hidden="1" x14ac:dyDescent="0.25">
      <c r="A18246" s="28">
        <v>44986</v>
      </c>
      <c r="B18246" s="27" t="s">
        <v>200</v>
      </c>
      <c r="C18246" s="27" t="s">
        <v>56</v>
      </c>
      <c r="D18246" s="27" t="s">
        <v>6</v>
      </c>
      <c r="E18246" s="27" t="s">
        <v>41</v>
      </c>
      <c r="F18246" s="29"/>
      <c r="G18246" s="30">
        <f t="shared" si="324"/>
        <v>2165.3031125000002</v>
      </c>
    </row>
    <row r="18247" spans="1:7" hidden="1" x14ac:dyDescent="0.25">
      <c r="A18247" s="28">
        <v>44986</v>
      </c>
      <c r="B18247" s="27" t="s">
        <v>200</v>
      </c>
      <c r="C18247" s="27" t="s">
        <v>56</v>
      </c>
      <c r="D18247" s="27" t="s">
        <v>6</v>
      </c>
      <c r="E18247" s="27" t="s">
        <v>40</v>
      </c>
      <c r="F18247" s="29"/>
      <c r="G18247" s="30">
        <f t="shared" si="324"/>
        <v>2165.3031125000002</v>
      </c>
    </row>
    <row r="18248" spans="1:7" hidden="1" x14ac:dyDescent="0.25">
      <c r="A18248" s="28">
        <v>44986</v>
      </c>
      <c r="B18248" s="27" t="s">
        <v>200</v>
      </c>
      <c r="C18248" s="27" t="s">
        <v>56</v>
      </c>
      <c r="D18248" s="27" t="s">
        <v>6</v>
      </c>
      <c r="E18248" s="27" t="s">
        <v>64</v>
      </c>
      <c r="F18248" s="29"/>
      <c r="G18248" s="30">
        <f t="shared" si="324"/>
        <v>2165.3031125000002</v>
      </c>
    </row>
    <row r="18249" spans="1:7" hidden="1" x14ac:dyDescent="0.25">
      <c r="A18249" s="28">
        <v>44986</v>
      </c>
      <c r="B18249" s="27" t="s">
        <v>200</v>
      </c>
      <c r="C18249" s="27" t="s">
        <v>56</v>
      </c>
      <c r="D18249" s="27" t="s">
        <v>6</v>
      </c>
      <c r="E18249" s="27" t="s">
        <v>42</v>
      </c>
      <c r="F18249" s="29"/>
      <c r="G18249" s="30">
        <f t="shared" si="324"/>
        <v>2165.3031125000002</v>
      </c>
    </row>
    <row r="18250" spans="1:7" hidden="1" x14ac:dyDescent="0.25">
      <c r="A18250" s="28">
        <v>44986</v>
      </c>
      <c r="B18250" s="27" t="s">
        <v>200</v>
      </c>
      <c r="C18250" s="27" t="s">
        <v>56</v>
      </c>
      <c r="D18250" s="27" t="s">
        <v>6</v>
      </c>
      <c r="E18250" s="27" t="s">
        <v>72</v>
      </c>
      <c r="F18250" s="29"/>
      <c r="G18250" s="30">
        <f t="shared" si="324"/>
        <v>2165.3031125000002</v>
      </c>
    </row>
    <row r="18251" spans="1:7" hidden="1" x14ac:dyDescent="0.25">
      <c r="A18251" s="28">
        <v>44986</v>
      </c>
      <c r="B18251" s="27" t="s">
        <v>200</v>
      </c>
      <c r="C18251" s="27" t="s">
        <v>56</v>
      </c>
      <c r="D18251" s="27" t="s">
        <v>6</v>
      </c>
      <c r="E18251" s="27" t="s">
        <v>43</v>
      </c>
      <c r="F18251" s="29"/>
      <c r="G18251" s="30">
        <f t="shared" si="324"/>
        <v>2165.3031125000002</v>
      </c>
    </row>
    <row r="18252" spans="1:7" hidden="1" x14ac:dyDescent="0.25">
      <c r="A18252" s="28">
        <v>44986</v>
      </c>
      <c r="B18252" s="27" t="s">
        <v>200</v>
      </c>
      <c r="C18252" s="27" t="s">
        <v>56</v>
      </c>
      <c r="D18252" s="27" t="s">
        <v>6</v>
      </c>
      <c r="E18252" s="27" t="s">
        <v>206</v>
      </c>
      <c r="F18252" s="29"/>
      <c r="G18252" s="30">
        <f t="shared" si="324"/>
        <v>2165.3031125000002</v>
      </c>
    </row>
    <row r="18253" spans="1:7" hidden="1" x14ac:dyDescent="0.25">
      <c r="A18253" s="28">
        <v>44986</v>
      </c>
      <c r="B18253" s="27" t="s">
        <v>200</v>
      </c>
      <c r="C18253" s="27" t="s">
        <v>56</v>
      </c>
      <c r="D18253" s="27" t="s">
        <v>6</v>
      </c>
      <c r="E18253" s="27" t="s">
        <v>68</v>
      </c>
      <c r="F18253" s="29"/>
      <c r="G18253" s="30">
        <f t="shared" si="324"/>
        <v>2165.3031125000002</v>
      </c>
    </row>
    <row r="18254" spans="1:7" hidden="1" x14ac:dyDescent="0.25">
      <c r="A18254" s="28">
        <v>44986</v>
      </c>
      <c r="B18254" s="27" t="s">
        <v>200</v>
      </c>
      <c r="C18254" s="27" t="s">
        <v>56</v>
      </c>
      <c r="D18254" s="27" t="s">
        <v>6</v>
      </c>
      <c r="E18254" s="27" t="s">
        <v>74</v>
      </c>
      <c r="F18254" s="29"/>
      <c r="G18254" s="30">
        <f t="shared" si="324"/>
        <v>2165.3031125000002</v>
      </c>
    </row>
    <row r="18255" spans="1:7" hidden="1" x14ac:dyDescent="0.25">
      <c r="A18255" s="28">
        <v>44986</v>
      </c>
      <c r="B18255" s="27" t="s">
        <v>200</v>
      </c>
      <c r="C18255" s="27" t="s">
        <v>56</v>
      </c>
      <c r="D18255" s="27" t="s">
        <v>6</v>
      </c>
      <c r="E18255" s="27" t="s">
        <v>67</v>
      </c>
      <c r="F18255" s="29"/>
      <c r="G18255" s="30">
        <f t="shared" si="324"/>
        <v>2165.3031125000002</v>
      </c>
    </row>
    <row r="18256" spans="1:7" hidden="1" x14ac:dyDescent="0.25">
      <c r="A18256" s="28">
        <v>44986</v>
      </c>
      <c r="B18256" s="27" t="s">
        <v>200</v>
      </c>
      <c r="C18256" s="27" t="s">
        <v>56</v>
      </c>
      <c r="D18256" s="27" t="s">
        <v>6</v>
      </c>
      <c r="E18256" s="27" t="s">
        <v>71</v>
      </c>
      <c r="F18256" s="29"/>
      <c r="G18256" s="30">
        <f t="shared" si="324"/>
        <v>2165.3031125000002</v>
      </c>
    </row>
    <row r="18257" spans="1:7" hidden="1" x14ac:dyDescent="0.25">
      <c r="A18257" s="28">
        <v>44986</v>
      </c>
      <c r="B18257" s="27" t="s">
        <v>200</v>
      </c>
      <c r="C18257" s="27" t="s">
        <v>56</v>
      </c>
      <c r="D18257" s="27" t="s">
        <v>6</v>
      </c>
      <c r="E18257" s="27" t="s">
        <v>73</v>
      </c>
      <c r="F18257" s="29"/>
      <c r="G18257" s="30">
        <f t="shared" si="324"/>
        <v>2165.3031125000002</v>
      </c>
    </row>
    <row r="18258" spans="1:7" hidden="1" x14ac:dyDescent="0.25">
      <c r="A18258" s="28">
        <v>44986</v>
      </c>
      <c r="B18258" s="27" t="s">
        <v>200</v>
      </c>
      <c r="C18258" s="27" t="s">
        <v>56</v>
      </c>
      <c r="D18258" s="27" t="s">
        <v>6</v>
      </c>
      <c r="E18258" s="27" t="s">
        <v>70</v>
      </c>
      <c r="F18258" s="29"/>
      <c r="G18258" s="30">
        <f t="shared" si="324"/>
        <v>2165.3031125000002</v>
      </c>
    </row>
    <row r="18259" spans="1:7" hidden="1" x14ac:dyDescent="0.25">
      <c r="A18259" s="28">
        <v>44986</v>
      </c>
      <c r="B18259" s="27" t="s">
        <v>200</v>
      </c>
      <c r="C18259" s="27" t="s">
        <v>56</v>
      </c>
      <c r="D18259" s="27" t="s">
        <v>6</v>
      </c>
      <c r="E18259" s="27" t="s">
        <v>203</v>
      </c>
      <c r="F18259" s="29"/>
      <c r="G18259" s="30">
        <f t="shared" si="324"/>
        <v>2165.3031125000002</v>
      </c>
    </row>
    <row r="18260" spans="1:7" hidden="1" x14ac:dyDescent="0.25">
      <c r="A18260" s="28">
        <v>44986</v>
      </c>
      <c r="B18260" s="27" t="s">
        <v>200</v>
      </c>
      <c r="C18260" s="27" t="s">
        <v>182</v>
      </c>
      <c r="D18260" s="27" t="s">
        <v>7</v>
      </c>
      <c r="E18260" s="27" t="s">
        <v>8</v>
      </c>
      <c r="F18260" s="29"/>
      <c r="G18260" s="30">
        <f t="shared" ref="G18260:G18291" si="325">10003.27/32</f>
        <v>312.60218750000001</v>
      </c>
    </row>
    <row r="18261" spans="1:7" hidden="1" x14ac:dyDescent="0.25">
      <c r="A18261" s="28">
        <v>44986</v>
      </c>
      <c r="B18261" s="27" t="s">
        <v>200</v>
      </c>
      <c r="C18261" s="27" t="s">
        <v>182</v>
      </c>
      <c r="D18261" s="27" t="s">
        <v>7</v>
      </c>
      <c r="E18261" s="27" t="s">
        <v>9</v>
      </c>
      <c r="F18261" s="29"/>
      <c r="G18261" s="30">
        <f t="shared" si="325"/>
        <v>312.60218750000001</v>
      </c>
    </row>
    <row r="18262" spans="1:7" hidden="1" x14ac:dyDescent="0.25">
      <c r="A18262" s="28">
        <v>44986</v>
      </c>
      <c r="B18262" s="27" t="s">
        <v>200</v>
      </c>
      <c r="C18262" s="27" t="s">
        <v>182</v>
      </c>
      <c r="D18262" s="27" t="s">
        <v>7</v>
      </c>
      <c r="E18262" s="27" t="s">
        <v>21</v>
      </c>
      <c r="F18262" s="29"/>
      <c r="G18262" s="30">
        <f t="shared" si="325"/>
        <v>312.60218750000001</v>
      </c>
    </row>
    <row r="18263" spans="1:7" hidden="1" x14ac:dyDescent="0.25">
      <c r="A18263" s="28">
        <v>44986</v>
      </c>
      <c r="B18263" s="27" t="s">
        <v>200</v>
      </c>
      <c r="C18263" s="27" t="s">
        <v>182</v>
      </c>
      <c r="D18263" s="27" t="s">
        <v>7</v>
      </c>
      <c r="E18263" s="27" t="s">
        <v>10</v>
      </c>
      <c r="F18263" s="29"/>
      <c r="G18263" s="30">
        <f t="shared" si="325"/>
        <v>312.60218750000001</v>
      </c>
    </row>
    <row r="18264" spans="1:7" hidden="1" x14ac:dyDescent="0.25">
      <c r="A18264" s="28">
        <v>44986</v>
      </c>
      <c r="B18264" s="27" t="s">
        <v>200</v>
      </c>
      <c r="C18264" s="27" t="s">
        <v>182</v>
      </c>
      <c r="D18264" s="27" t="s">
        <v>7</v>
      </c>
      <c r="E18264" s="27" t="s">
        <v>11</v>
      </c>
      <c r="F18264" s="29"/>
      <c r="G18264" s="30">
        <f t="shared" si="325"/>
        <v>312.60218750000001</v>
      </c>
    </row>
    <row r="18265" spans="1:7" hidden="1" x14ac:dyDescent="0.25">
      <c r="A18265" s="28">
        <v>44986</v>
      </c>
      <c r="B18265" s="27" t="s">
        <v>200</v>
      </c>
      <c r="C18265" s="27" t="s">
        <v>182</v>
      </c>
      <c r="D18265" s="27" t="s">
        <v>7</v>
      </c>
      <c r="E18265" s="27" t="s">
        <v>12</v>
      </c>
      <c r="F18265" s="29"/>
      <c r="G18265" s="30">
        <f t="shared" si="325"/>
        <v>312.60218750000001</v>
      </c>
    </row>
    <row r="18266" spans="1:7" hidden="1" x14ac:dyDescent="0.25">
      <c r="A18266" s="28">
        <v>44986</v>
      </c>
      <c r="B18266" s="27" t="s">
        <v>200</v>
      </c>
      <c r="C18266" s="27" t="s">
        <v>182</v>
      </c>
      <c r="D18266" s="27" t="s">
        <v>7</v>
      </c>
      <c r="E18266" s="27" t="s">
        <v>13</v>
      </c>
      <c r="F18266" s="29"/>
      <c r="G18266" s="30">
        <f t="shared" si="325"/>
        <v>312.60218750000001</v>
      </c>
    </row>
    <row r="18267" spans="1:7" hidden="1" x14ac:dyDescent="0.25">
      <c r="A18267" s="28">
        <v>44986</v>
      </c>
      <c r="B18267" s="27" t="s">
        <v>200</v>
      </c>
      <c r="C18267" s="27" t="s">
        <v>182</v>
      </c>
      <c r="D18267" s="27" t="s">
        <v>7</v>
      </c>
      <c r="E18267" s="27" t="s">
        <v>14</v>
      </c>
      <c r="F18267" s="29"/>
      <c r="G18267" s="30">
        <f t="shared" si="325"/>
        <v>312.60218750000001</v>
      </c>
    </row>
    <row r="18268" spans="1:7" hidden="1" x14ac:dyDescent="0.25">
      <c r="A18268" s="28">
        <v>44986</v>
      </c>
      <c r="B18268" s="27" t="s">
        <v>200</v>
      </c>
      <c r="C18268" s="27" t="s">
        <v>182</v>
      </c>
      <c r="D18268" s="27" t="s">
        <v>7</v>
      </c>
      <c r="E18268" s="27" t="s">
        <v>15</v>
      </c>
      <c r="F18268" s="29"/>
      <c r="G18268" s="30">
        <f t="shared" si="325"/>
        <v>312.60218750000001</v>
      </c>
    </row>
    <row r="18269" spans="1:7" hidden="1" x14ac:dyDescent="0.25">
      <c r="A18269" s="28">
        <v>44986</v>
      </c>
      <c r="B18269" s="27" t="s">
        <v>200</v>
      </c>
      <c r="C18269" s="27" t="s">
        <v>182</v>
      </c>
      <c r="D18269" s="27" t="s">
        <v>7</v>
      </c>
      <c r="E18269" s="27" t="s">
        <v>16</v>
      </c>
      <c r="F18269" s="29"/>
      <c r="G18269" s="30">
        <f t="shared" si="325"/>
        <v>312.60218750000001</v>
      </c>
    </row>
    <row r="18270" spans="1:7" hidden="1" x14ac:dyDescent="0.25">
      <c r="A18270" s="28">
        <v>44986</v>
      </c>
      <c r="B18270" s="27" t="s">
        <v>200</v>
      </c>
      <c r="C18270" s="27" t="s">
        <v>182</v>
      </c>
      <c r="D18270" s="27" t="s">
        <v>7</v>
      </c>
      <c r="E18270" s="27" t="s">
        <v>17</v>
      </c>
      <c r="F18270" s="29"/>
      <c r="G18270" s="30">
        <f t="shared" si="325"/>
        <v>312.60218750000001</v>
      </c>
    </row>
    <row r="18271" spans="1:7" hidden="1" x14ac:dyDescent="0.25">
      <c r="A18271" s="28">
        <v>44986</v>
      </c>
      <c r="B18271" s="27" t="s">
        <v>200</v>
      </c>
      <c r="C18271" s="27" t="s">
        <v>182</v>
      </c>
      <c r="D18271" s="27" t="s">
        <v>7</v>
      </c>
      <c r="E18271" s="27" t="s">
        <v>18</v>
      </c>
      <c r="F18271" s="29"/>
      <c r="G18271" s="30">
        <f t="shared" si="325"/>
        <v>312.60218750000001</v>
      </c>
    </row>
    <row r="18272" spans="1:7" hidden="1" x14ac:dyDescent="0.25">
      <c r="A18272" s="28">
        <v>44986</v>
      </c>
      <c r="B18272" s="27" t="s">
        <v>200</v>
      </c>
      <c r="C18272" s="27" t="s">
        <v>182</v>
      </c>
      <c r="D18272" s="27" t="s">
        <v>7</v>
      </c>
      <c r="E18272" s="27" t="s">
        <v>19</v>
      </c>
      <c r="F18272" s="29"/>
      <c r="G18272" s="30">
        <f t="shared" si="325"/>
        <v>312.60218750000001</v>
      </c>
    </row>
    <row r="18273" spans="1:7" hidden="1" x14ac:dyDescent="0.25">
      <c r="A18273" s="28">
        <v>44986</v>
      </c>
      <c r="B18273" s="27" t="s">
        <v>200</v>
      </c>
      <c r="C18273" s="27" t="s">
        <v>182</v>
      </c>
      <c r="D18273" s="27" t="s">
        <v>7</v>
      </c>
      <c r="E18273" s="27" t="s">
        <v>20</v>
      </c>
      <c r="F18273" s="29"/>
      <c r="G18273" s="30">
        <f t="shared" si="325"/>
        <v>312.60218750000001</v>
      </c>
    </row>
    <row r="18274" spans="1:7" hidden="1" x14ac:dyDescent="0.25">
      <c r="A18274" s="28">
        <v>44986</v>
      </c>
      <c r="B18274" s="27" t="s">
        <v>200</v>
      </c>
      <c r="C18274" s="27" t="s">
        <v>182</v>
      </c>
      <c r="D18274" s="27" t="s">
        <v>7</v>
      </c>
      <c r="E18274" s="27" t="s">
        <v>38</v>
      </c>
      <c r="F18274" s="29"/>
      <c r="G18274" s="30">
        <f t="shared" si="325"/>
        <v>312.60218750000001</v>
      </c>
    </row>
    <row r="18275" spans="1:7" hidden="1" x14ac:dyDescent="0.25">
      <c r="A18275" s="28">
        <v>44986</v>
      </c>
      <c r="B18275" s="27" t="s">
        <v>200</v>
      </c>
      <c r="C18275" s="27" t="s">
        <v>182</v>
      </c>
      <c r="D18275" s="27" t="s">
        <v>7</v>
      </c>
      <c r="E18275" s="27" t="s">
        <v>23</v>
      </c>
      <c r="F18275" s="29"/>
      <c r="G18275" s="30">
        <f t="shared" si="325"/>
        <v>312.60218750000001</v>
      </c>
    </row>
    <row r="18276" spans="1:7" hidden="1" x14ac:dyDescent="0.25">
      <c r="A18276" s="28">
        <v>44986</v>
      </c>
      <c r="B18276" s="27" t="s">
        <v>200</v>
      </c>
      <c r="C18276" s="27" t="s">
        <v>182</v>
      </c>
      <c r="D18276" s="27" t="s">
        <v>7</v>
      </c>
      <c r="E18276" s="27" t="s">
        <v>22</v>
      </c>
      <c r="F18276" s="29"/>
      <c r="G18276" s="30">
        <f t="shared" si="325"/>
        <v>312.60218750000001</v>
      </c>
    </row>
    <row r="18277" spans="1:7" hidden="1" x14ac:dyDescent="0.25">
      <c r="A18277" s="28">
        <v>44986</v>
      </c>
      <c r="B18277" s="27" t="s">
        <v>200</v>
      </c>
      <c r="C18277" s="27" t="s">
        <v>182</v>
      </c>
      <c r="D18277" s="27" t="s">
        <v>7</v>
      </c>
      <c r="E18277" s="27" t="s">
        <v>39</v>
      </c>
      <c r="F18277" s="29"/>
      <c r="G18277" s="30">
        <f t="shared" si="325"/>
        <v>312.60218750000001</v>
      </c>
    </row>
    <row r="18278" spans="1:7" hidden="1" x14ac:dyDescent="0.25">
      <c r="A18278" s="28">
        <v>44986</v>
      </c>
      <c r="B18278" s="27" t="s">
        <v>200</v>
      </c>
      <c r="C18278" s="27" t="s">
        <v>182</v>
      </c>
      <c r="D18278" s="27" t="s">
        <v>7</v>
      </c>
      <c r="E18278" s="27" t="s">
        <v>41</v>
      </c>
      <c r="F18278" s="29"/>
      <c r="G18278" s="30">
        <f t="shared" si="325"/>
        <v>312.60218750000001</v>
      </c>
    </row>
    <row r="18279" spans="1:7" hidden="1" x14ac:dyDescent="0.25">
      <c r="A18279" s="28">
        <v>44986</v>
      </c>
      <c r="B18279" s="27" t="s">
        <v>200</v>
      </c>
      <c r="C18279" s="27" t="s">
        <v>182</v>
      </c>
      <c r="D18279" s="27" t="s">
        <v>7</v>
      </c>
      <c r="E18279" s="27" t="s">
        <v>40</v>
      </c>
      <c r="F18279" s="29"/>
      <c r="G18279" s="30">
        <f t="shared" si="325"/>
        <v>312.60218750000001</v>
      </c>
    </row>
    <row r="18280" spans="1:7" hidden="1" x14ac:dyDescent="0.25">
      <c r="A18280" s="28">
        <v>44986</v>
      </c>
      <c r="B18280" s="27" t="s">
        <v>200</v>
      </c>
      <c r="C18280" s="27" t="s">
        <v>182</v>
      </c>
      <c r="D18280" s="27" t="s">
        <v>7</v>
      </c>
      <c r="E18280" s="27" t="s">
        <v>64</v>
      </c>
      <c r="F18280" s="29"/>
      <c r="G18280" s="30">
        <f t="shared" si="325"/>
        <v>312.60218750000001</v>
      </c>
    </row>
    <row r="18281" spans="1:7" hidden="1" x14ac:dyDescent="0.25">
      <c r="A18281" s="28">
        <v>44986</v>
      </c>
      <c r="B18281" s="27" t="s">
        <v>200</v>
      </c>
      <c r="C18281" s="27" t="s">
        <v>182</v>
      </c>
      <c r="D18281" s="27" t="s">
        <v>7</v>
      </c>
      <c r="E18281" s="27" t="s">
        <v>42</v>
      </c>
      <c r="F18281" s="29"/>
      <c r="G18281" s="30">
        <f t="shared" si="325"/>
        <v>312.60218750000001</v>
      </c>
    </row>
    <row r="18282" spans="1:7" hidden="1" x14ac:dyDescent="0.25">
      <c r="A18282" s="28">
        <v>44986</v>
      </c>
      <c r="B18282" s="27" t="s">
        <v>200</v>
      </c>
      <c r="C18282" s="27" t="s">
        <v>182</v>
      </c>
      <c r="D18282" s="27" t="s">
        <v>7</v>
      </c>
      <c r="E18282" s="27" t="s">
        <v>72</v>
      </c>
      <c r="F18282" s="29"/>
      <c r="G18282" s="30">
        <f t="shared" si="325"/>
        <v>312.60218750000001</v>
      </c>
    </row>
    <row r="18283" spans="1:7" hidden="1" x14ac:dyDescent="0.25">
      <c r="A18283" s="28">
        <v>44986</v>
      </c>
      <c r="B18283" s="27" t="s">
        <v>200</v>
      </c>
      <c r="C18283" s="27" t="s">
        <v>182</v>
      </c>
      <c r="D18283" s="27" t="s">
        <v>7</v>
      </c>
      <c r="E18283" s="27" t="s">
        <v>43</v>
      </c>
      <c r="F18283" s="29"/>
      <c r="G18283" s="30">
        <f t="shared" si="325"/>
        <v>312.60218750000001</v>
      </c>
    </row>
    <row r="18284" spans="1:7" hidden="1" x14ac:dyDescent="0.25">
      <c r="A18284" s="28">
        <v>44986</v>
      </c>
      <c r="B18284" s="27" t="s">
        <v>200</v>
      </c>
      <c r="C18284" s="27" t="s">
        <v>182</v>
      </c>
      <c r="D18284" s="27" t="s">
        <v>7</v>
      </c>
      <c r="E18284" s="27" t="s">
        <v>206</v>
      </c>
      <c r="F18284" s="29"/>
      <c r="G18284" s="30">
        <f t="shared" si="325"/>
        <v>312.60218750000001</v>
      </c>
    </row>
    <row r="18285" spans="1:7" hidden="1" x14ac:dyDescent="0.25">
      <c r="A18285" s="28">
        <v>44986</v>
      </c>
      <c r="B18285" s="27" t="s">
        <v>200</v>
      </c>
      <c r="C18285" s="27" t="s">
        <v>182</v>
      </c>
      <c r="D18285" s="27" t="s">
        <v>7</v>
      </c>
      <c r="E18285" s="27" t="s">
        <v>68</v>
      </c>
      <c r="F18285" s="29"/>
      <c r="G18285" s="30">
        <f t="shared" si="325"/>
        <v>312.60218750000001</v>
      </c>
    </row>
    <row r="18286" spans="1:7" hidden="1" x14ac:dyDescent="0.25">
      <c r="A18286" s="28">
        <v>44986</v>
      </c>
      <c r="B18286" s="27" t="s">
        <v>200</v>
      </c>
      <c r="C18286" s="27" t="s">
        <v>182</v>
      </c>
      <c r="D18286" s="27" t="s">
        <v>7</v>
      </c>
      <c r="E18286" s="27" t="s">
        <v>74</v>
      </c>
      <c r="F18286" s="29"/>
      <c r="G18286" s="30">
        <f t="shared" si="325"/>
        <v>312.60218750000001</v>
      </c>
    </row>
    <row r="18287" spans="1:7" hidden="1" x14ac:dyDescent="0.25">
      <c r="A18287" s="28">
        <v>44986</v>
      </c>
      <c r="B18287" s="27" t="s">
        <v>200</v>
      </c>
      <c r="C18287" s="27" t="s">
        <v>182</v>
      </c>
      <c r="D18287" s="27" t="s">
        <v>7</v>
      </c>
      <c r="E18287" s="27" t="s">
        <v>67</v>
      </c>
      <c r="F18287" s="29"/>
      <c r="G18287" s="30">
        <f t="shared" si="325"/>
        <v>312.60218750000001</v>
      </c>
    </row>
    <row r="18288" spans="1:7" hidden="1" x14ac:dyDescent="0.25">
      <c r="A18288" s="28">
        <v>44986</v>
      </c>
      <c r="B18288" s="27" t="s">
        <v>200</v>
      </c>
      <c r="C18288" s="27" t="s">
        <v>182</v>
      </c>
      <c r="D18288" s="27" t="s">
        <v>7</v>
      </c>
      <c r="E18288" s="27" t="s">
        <v>71</v>
      </c>
      <c r="F18288" s="29"/>
      <c r="G18288" s="30">
        <f t="shared" si="325"/>
        <v>312.60218750000001</v>
      </c>
    </row>
    <row r="18289" spans="1:7" hidden="1" x14ac:dyDescent="0.25">
      <c r="A18289" s="28">
        <v>44986</v>
      </c>
      <c r="B18289" s="27" t="s">
        <v>200</v>
      </c>
      <c r="C18289" s="27" t="s">
        <v>182</v>
      </c>
      <c r="D18289" s="27" t="s">
        <v>7</v>
      </c>
      <c r="E18289" s="27" t="s">
        <v>73</v>
      </c>
      <c r="F18289" s="29"/>
      <c r="G18289" s="30">
        <f t="shared" si="325"/>
        <v>312.60218750000001</v>
      </c>
    </row>
    <row r="18290" spans="1:7" hidden="1" x14ac:dyDescent="0.25">
      <c r="A18290" s="28">
        <v>44986</v>
      </c>
      <c r="B18290" s="27" t="s">
        <v>200</v>
      </c>
      <c r="C18290" s="27" t="s">
        <v>182</v>
      </c>
      <c r="D18290" s="27" t="s">
        <v>7</v>
      </c>
      <c r="E18290" s="27" t="s">
        <v>70</v>
      </c>
      <c r="F18290" s="29"/>
      <c r="G18290" s="30">
        <f t="shared" si="325"/>
        <v>312.60218750000001</v>
      </c>
    </row>
    <row r="18291" spans="1:7" hidden="1" x14ac:dyDescent="0.25">
      <c r="A18291" s="28">
        <v>44986</v>
      </c>
      <c r="B18291" s="27" t="s">
        <v>200</v>
      </c>
      <c r="C18291" s="27" t="s">
        <v>182</v>
      </c>
      <c r="D18291" s="27" t="s">
        <v>7</v>
      </c>
      <c r="E18291" s="27" t="s">
        <v>203</v>
      </c>
      <c r="F18291" s="29"/>
      <c r="G18291" s="30">
        <f t="shared" si="325"/>
        <v>312.60218750000001</v>
      </c>
    </row>
    <row r="18292" spans="1:7" hidden="1" x14ac:dyDescent="0.25">
      <c r="A18292" s="28">
        <v>44986</v>
      </c>
      <c r="B18292" s="27" t="s">
        <v>34</v>
      </c>
      <c r="C18292" s="27" t="s">
        <v>50</v>
      </c>
      <c r="D18292" s="27" t="s">
        <v>6</v>
      </c>
      <c r="E18292" s="27" t="s">
        <v>8</v>
      </c>
      <c r="F18292" s="29"/>
      <c r="G18292" s="30">
        <f t="shared" ref="G18292:G18323" si="326">11992.3/32</f>
        <v>374.75937499999998</v>
      </c>
    </row>
    <row r="18293" spans="1:7" hidden="1" x14ac:dyDescent="0.25">
      <c r="A18293" s="28">
        <v>44986</v>
      </c>
      <c r="B18293" s="27" t="s">
        <v>34</v>
      </c>
      <c r="C18293" s="27" t="s">
        <v>50</v>
      </c>
      <c r="D18293" s="27" t="s">
        <v>6</v>
      </c>
      <c r="E18293" s="27" t="s">
        <v>9</v>
      </c>
      <c r="F18293" s="29"/>
      <c r="G18293" s="30">
        <f t="shared" si="326"/>
        <v>374.75937499999998</v>
      </c>
    </row>
    <row r="18294" spans="1:7" hidden="1" x14ac:dyDescent="0.25">
      <c r="A18294" s="28">
        <v>44986</v>
      </c>
      <c r="B18294" s="27" t="s">
        <v>34</v>
      </c>
      <c r="C18294" s="27" t="s">
        <v>50</v>
      </c>
      <c r="D18294" s="27" t="s">
        <v>6</v>
      </c>
      <c r="E18294" s="27" t="s">
        <v>21</v>
      </c>
      <c r="F18294" s="29"/>
      <c r="G18294" s="30">
        <f t="shared" si="326"/>
        <v>374.75937499999998</v>
      </c>
    </row>
    <row r="18295" spans="1:7" hidden="1" x14ac:dyDescent="0.25">
      <c r="A18295" s="28">
        <v>44986</v>
      </c>
      <c r="B18295" s="27" t="s">
        <v>34</v>
      </c>
      <c r="C18295" s="27" t="s">
        <v>50</v>
      </c>
      <c r="D18295" s="27" t="s">
        <v>6</v>
      </c>
      <c r="E18295" s="27" t="s">
        <v>10</v>
      </c>
      <c r="F18295" s="29"/>
      <c r="G18295" s="30">
        <f t="shared" si="326"/>
        <v>374.75937499999998</v>
      </c>
    </row>
    <row r="18296" spans="1:7" hidden="1" x14ac:dyDescent="0.25">
      <c r="A18296" s="28">
        <v>44986</v>
      </c>
      <c r="B18296" s="27" t="s">
        <v>34</v>
      </c>
      <c r="C18296" s="27" t="s">
        <v>50</v>
      </c>
      <c r="D18296" s="27" t="s">
        <v>6</v>
      </c>
      <c r="E18296" s="27" t="s">
        <v>11</v>
      </c>
      <c r="F18296" s="29"/>
      <c r="G18296" s="30">
        <f t="shared" si="326"/>
        <v>374.75937499999998</v>
      </c>
    </row>
    <row r="18297" spans="1:7" hidden="1" x14ac:dyDescent="0.25">
      <c r="A18297" s="28">
        <v>44986</v>
      </c>
      <c r="B18297" s="27" t="s">
        <v>34</v>
      </c>
      <c r="C18297" s="27" t="s">
        <v>50</v>
      </c>
      <c r="D18297" s="27" t="s">
        <v>6</v>
      </c>
      <c r="E18297" s="27" t="s">
        <v>12</v>
      </c>
      <c r="F18297" s="29"/>
      <c r="G18297" s="30">
        <f t="shared" si="326"/>
        <v>374.75937499999998</v>
      </c>
    </row>
    <row r="18298" spans="1:7" hidden="1" x14ac:dyDescent="0.25">
      <c r="A18298" s="28">
        <v>44986</v>
      </c>
      <c r="B18298" s="27" t="s">
        <v>34</v>
      </c>
      <c r="C18298" s="27" t="s">
        <v>50</v>
      </c>
      <c r="D18298" s="27" t="s">
        <v>6</v>
      </c>
      <c r="E18298" s="27" t="s">
        <v>13</v>
      </c>
      <c r="F18298" s="29"/>
      <c r="G18298" s="30">
        <f t="shared" si="326"/>
        <v>374.75937499999998</v>
      </c>
    </row>
    <row r="18299" spans="1:7" hidden="1" x14ac:dyDescent="0.25">
      <c r="A18299" s="28">
        <v>44986</v>
      </c>
      <c r="B18299" s="27" t="s">
        <v>34</v>
      </c>
      <c r="C18299" s="27" t="s">
        <v>50</v>
      </c>
      <c r="D18299" s="27" t="s">
        <v>6</v>
      </c>
      <c r="E18299" s="27" t="s">
        <v>14</v>
      </c>
      <c r="F18299" s="29"/>
      <c r="G18299" s="30">
        <f t="shared" si="326"/>
        <v>374.75937499999998</v>
      </c>
    </row>
    <row r="18300" spans="1:7" hidden="1" x14ac:dyDescent="0.25">
      <c r="A18300" s="28">
        <v>44986</v>
      </c>
      <c r="B18300" s="27" t="s">
        <v>34</v>
      </c>
      <c r="C18300" s="27" t="s">
        <v>50</v>
      </c>
      <c r="D18300" s="27" t="s">
        <v>6</v>
      </c>
      <c r="E18300" s="27" t="s">
        <v>15</v>
      </c>
      <c r="F18300" s="29"/>
      <c r="G18300" s="30">
        <f t="shared" si="326"/>
        <v>374.75937499999998</v>
      </c>
    </row>
    <row r="18301" spans="1:7" hidden="1" x14ac:dyDescent="0.25">
      <c r="A18301" s="28">
        <v>44986</v>
      </c>
      <c r="B18301" s="27" t="s">
        <v>34</v>
      </c>
      <c r="C18301" s="27" t="s">
        <v>50</v>
      </c>
      <c r="D18301" s="27" t="s">
        <v>6</v>
      </c>
      <c r="E18301" s="27" t="s">
        <v>16</v>
      </c>
      <c r="F18301" s="29"/>
      <c r="G18301" s="30">
        <f t="shared" si="326"/>
        <v>374.75937499999998</v>
      </c>
    </row>
    <row r="18302" spans="1:7" hidden="1" x14ac:dyDescent="0.25">
      <c r="A18302" s="28">
        <v>44986</v>
      </c>
      <c r="B18302" s="27" t="s">
        <v>34</v>
      </c>
      <c r="C18302" s="27" t="s">
        <v>50</v>
      </c>
      <c r="D18302" s="27" t="s">
        <v>6</v>
      </c>
      <c r="E18302" s="27" t="s">
        <v>17</v>
      </c>
      <c r="F18302" s="29"/>
      <c r="G18302" s="30">
        <f t="shared" si="326"/>
        <v>374.75937499999998</v>
      </c>
    </row>
    <row r="18303" spans="1:7" hidden="1" x14ac:dyDescent="0.25">
      <c r="A18303" s="28">
        <v>44986</v>
      </c>
      <c r="B18303" s="27" t="s">
        <v>34</v>
      </c>
      <c r="C18303" s="27" t="s">
        <v>50</v>
      </c>
      <c r="D18303" s="27" t="s">
        <v>6</v>
      </c>
      <c r="E18303" s="27" t="s">
        <v>18</v>
      </c>
      <c r="F18303" s="29"/>
      <c r="G18303" s="30">
        <f t="shared" si="326"/>
        <v>374.75937499999998</v>
      </c>
    </row>
    <row r="18304" spans="1:7" hidden="1" x14ac:dyDescent="0.25">
      <c r="A18304" s="28">
        <v>44986</v>
      </c>
      <c r="B18304" s="27" t="s">
        <v>34</v>
      </c>
      <c r="C18304" s="27" t="s">
        <v>50</v>
      </c>
      <c r="D18304" s="27" t="s">
        <v>6</v>
      </c>
      <c r="E18304" s="27" t="s">
        <v>19</v>
      </c>
      <c r="F18304" s="29"/>
      <c r="G18304" s="30">
        <f t="shared" si="326"/>
        <v>374.75937499999998</v>
      </c>
    </row>
    <row r="18305" spans="1:7" hidden="1" x14ac:dyDescent="0.25">
      <c r="A18305" s="28">
        <v>44986</v>
      </c>
      <c r="B18305" s="27" t="s">
        <v>34</v>
      </c>
      <c r="C18305" s="27" t="s">
        <v>50</v>
      </c>
      <c r="D18305" s="27" t="s">
        <v>6</v>
      </c>
      <c r="E18305" s="27" t="s">
        <v>20</v>
      </c>
      <c r="F18305" s="29"/>
      <c r="G18305" s="30">
        <f t="shared" si="326"/>
        <v>374.75937499999998</v>
      </c>
    </row>
    <row r="18306" spans="1:7" hidden="1" x14ac:dyDescent="0.25">
      <c r="A18306" s="28">
        <v>44986</v>
      </c>
      <c r="B18306" s="27" t="s">
        <v>34</v>
      </c>
      <c r="C18306" s="27" t="s">
        <v>50</v>
      </c>
      <c r="D18306" s="27" t="s">
        <v>6</v>
      </c>
      <c r="E18306" s="27" t="s">
        <v>38</v>
      </c>
      <c r="F18306" s="29"/>
      <c r="G18306" s="30">
        <f t="shared" si="326"/>
        <v>374.75937499999998</v>
      </c>
    </row>
    <row r="18307" spans="1:7" hidden="1" x14ac:dyDescent="0.25">
      <c r="A18307" s="28">
        <v>44986</v>
      </c>
      <c r="B18307" s="27" t="s">
        <v>34</v>
      </c>
      <c r="C18307" s="27" t="s">
        <v>50</v>
      </c>
      <c r="D18307" s="27" t="s">
        <v>6</v>
      </c>
      <c r="E18307" s="27" t="s">
        <v>23</v>
      </c>
      <c r="F18307" s="29"/>
      <c r="G18307" s="30">
        <f t="shared" si="326"/>
        <v>374.75937499999998</v>
      </c>
    </row>
    <row r="18308" spans="1:7" hidden="1" x14ac:dyDescent="0.25">
      <c r="A18308" s="28">
        <v>44986</v>
      </c>
      <c r="B18308" s="27" t="s">
        <v>34</v>
      </c>
      <c r="C18308" s="27" t="s">
        <v>50</v>
      </c>
      <c r="D18308" s="27" t="s">
        <v>6</v>
      </c>
      <c r="E18308" s="27" t="s">
        <v>22</v>
      </c>
      <c r="F18308" s="29"/>
      <c r="G18308" s="30">
        <f t="shared" si="326"/>
        <v>374.75937499999998</v>
      </c>
    </row>
    <row r="18309" spans="1:7" hidden="1" x14ac:dyDescent="0.25">
      <c r="A18309" s="28">
        <v>44986</v>
      </c>
      <c r="B18309" s="27" t="s">
        <v>34</v>
      </c>
      <c r="C18309" s="27" t="s">
        <v>50</v>
      </c>
      <c r="D18309" s="27" t="s">
        <v>6</v>
      </c>
      <c r="E18309" s="27" t="s">
        <v>39</v>
      </c>
      <c r="F18309" s="29"/>
      <c r="G18309" s="30">
        <f t="shared" si="326"/>
        <v>374.75937499999998</v>
      </c>
    </row>
    <row r="18310" spans="1:7" hidden="1" x14ac:dyDescent="0.25">
      <c r="A18310" s="28">
        <v>44986</v>
      </c>
      <c r="B18310" s="27" t="s">
        <v>34</v>
      </c>
      <c r="C18310" s="27" t="s">
        <v>50</v>
      </c>
      <c r="D18310" s="27" t="s">
        <v>6</v>
      </c>
      <c r="E18310" s="27" t="s">
        <v>41</v>
      </c>
      <c r="F18310" s="29"/>
      <c r="G18310" s="30">
        <f t="shared" si="326"/>
        <v>374.75937499999998</v>
      </c>
    </row>
    <row r="18311" spans="1:7" hidden="1" x14ac:dyDescent="0.25">
      <c r="A18311" s="28">
        <v>44986</v>
      </c>
      <c r="B18311" s="27" t="s">
        <v>34</v>
      </c>
      <c r="C18311" s="27" t="s">
        <v>50</v>
      </c>
      <c r="D18311" s="27" t="s">
        <v>6</v>
      </c>
      <c r="E18311" s="27" t="s">
        <v>40</v>
      </c>
      <c r="F18311" s="29"/>
      <c r="G18311" s="30">
        <f t="shared" si="326"/>
        <v>374.75937499999998</v>
      </c>
    </row>
    <row r="18312" spans="1:7" hidden="1" x14ac:dyDescent="0.25">
      <c r="A18312" s="28">
        <v>44986</v>
      </c>
      <c r="B18312" s="27" t="s">
        <v>34</v>
      </c>
      <c r="C18312" s="27" t="s">
        <v>50</v>
      </c>
      <c r="D18312" s="27" t="s">
        <v>6</v>
      </c>
      <c r="E18312" s="27" t="s">
        <v>64</v>
      </c>
      <c r="F18312" s="29"/>
      <c r="G18312" s="30">
        <f t="shared" si="326"/>
        <v>374.75937499999998</v>
      </c>
    </row>
    <row r="18313" spans="1:7" hidden="1" x14ac:dyDescent="0.25">
      <c r="A18313" s="28">
        <v>44986</v>
      </c>
      <c r="B18313" s="27" t="s">
        <v>34</v>
      </c>
      <c r="C18313" s="27" t="s">
        <v>50</v>
      </c>
      <c r="D18313" s="27" t="s">
        <v>6</v>
      </c>
      <c r="E18313" s="27" t="s">
        <v>42</v>
      </c>
      <c r="F18313" s="29"/>
      <c r="G18313" s="30">
        <f t="shared" si="326"/>
        <v>374.75937499999998</v>
      </c>
    </row>
    <row r="18314" spans="1:7" hidden="1" x14ac:dyDescent="0.25">
      <c r="A18314" s="28">
        <v>44986</v>
      </c>
      <c r="B18314" s="27" t="s">
        <v>34</v>
      </c>
      <c r="C18314" s="27" t="s">
        <v>50</v>
      </c>
      <c r="D18314" s="27" t="s">
        <v>6</v>
      </c>
      <c r="E18314" s="27" t="s">
        <v>72</v>
      </c>
      <c r="F18314" s="29"/>
      <c r="G18314" s="30">
        <f t="shared" si="326"/>
        <v>374.75937499999998</v>
      </c>
    </row>
    <row r="18315" spans="1:7" hidden="1" x14ac:dyDescent="0.25">
      <c r="A18315" s="28">
        <v>44986</v>
      </c>
      <c r="B18315" s="27" t="s">
        <v>34</v>
      </c>
      <c r="C18315" s="27" t="s">
        <v>50</v>
      </c>
      <c r="D18315" s="27" t="s">
        <v>6</v>
      </c>
      <c r="E18315" s="27" t="s">
        <v>43</v>
      </c>
      <c r="F18315" s="29"/>
      <c r="G18315" s="30">
        <f t="shared" si="326"/>
        <v>374.75937499999998</v>
      </c>
    </row>
    <row r="18316" spans="1:7" hidden="1" x14ac:dyDescent="0.25">
      <c r="A18316" s="28">
        <v>44986</v>
      </c>
      <c r="B18316" s="27" t="s">
        <v>34</v>
      </c>
      <c r="C18316" s="27" t="s">
        <v>50</v>
      </c>
      <c r="D18316" s="27" t="s">
        <v>6</v>
      </c>
      <c r="E18316" s="27" t="s">
        <v>206</v>
      </c>
      <c r="F18316" s="29"/>
      <c r="G18316" s="30">
        <f t="shared" si="326"/>
        <v>374.75937499999998</v>
      </c>
    </row>
    <row r="18317" spans="1:7" hidden="1" x14ac:dyDescent="0.25">
      <c r="A18317" s="28">
        <v>44986</v>
      </c>
      <c r="B18317" s="27" t="s">
        <v>34</v>
      </c>
      <c r="C18317" s="27" t="s">
        <v>50</v>
      </c>
      <c r="D18317" s="27" t="s">
        <v>6</v>
      </c>
      <c r="E18317" s="27" t="s">
        <v>68</v>
      </c>
      <c r="F18317" s="29"/>
      <c r="G18317" s="30">
        <f t="shared" si="326"/>
        <v>374.75937499999998</v>
      </c>
    </row>
    <row r="18318" spans="1:7" hidden="1" x14ac:dyDescent="0.25">
      <c r="A18318" s="28">
        <v>44986</v>
      </c>
      <c r="B18318" s="27" t="s">
        <v>34</v>
      </c>
      <c r="C18318" s="27" t="s">
        <v>50</v>
      </c>
      <c r="D18318" s="27" t="s">
        <v>6</v>
      </c>
      <c r="E18318" s="27" t="s">
        <v>74</v>
      </c>
      <c r="F18318" s="29"/>
      <c r="G18318" s="30">
        <f t="shared" si="326"/>
        <v>374.75937499999998</v>
      </c>
    </row>
    <row r="18319" spans="1:7" hidden="1" x14ac:dyDescent="0.25">
      <c r="A18319" s="28">
        <v>44986</v>
      </c>
      <c r="B18319" s="27" t="s">
        <v>34</v>
      </c>
      <c r="C18319" s="27" t="s">
        <v>50</v>
      </c>
      <c r="D18319" s="27" t="s">
        <v>6</v>
      </c>
      <c r="E18319" s="27" t="s">
        <v>67</v>
      </c>
      <c r="F18319" s="29"/>
      <c r="G18319" s="30">
        <f t="shared" si="326"/>
        <v>374.75937499999998</v>
      </c>
    </row>
    <row r="18320" spans="1:7" hidden="1" x14ac:dyDescent="0.25">
      <c r="A18320" s="28">
        <v>44986</v>
      </c>
      <c r="B18320" s="27" t="s">
        <v>34</v>
      </c>
      <c r="C18320" s="27" t="s">
        <v>50</v>
      </c>
      <c r="D18320" s="27" t="s">
        <v>6</v>
      </c>
      <c r="E18320" s="27" t="s">
        <v>71</v>
      </c>
      <c r="F18320" s="29"/>
      <c r="G18320" s="30">
        <f t="shared" si="326"/>
        <v>374.75937499999998</v>
      </c>
    </row>
    <row r="18321" spans="1:7" hidden="1" x14ac:dyDescent="0.25">
      <c r="A18321" s="28">
        <v>44986</v>
      </c>
      <c r="B18321" s="27" t="s">
        <v>34</v>
      </c>
      <c r="C18321" s="27" t="s">
        <v>50</v>
      </c>
      <c r="D18321" s="27" t="s">
        <v>6</v>
      </c>
      <c r="E18321" s="27" t="s">
        <v>73</v>
      </c>
      <c r="F18321" s="29"/>
      <c r="G18321" s="30">
        <f t="shared" si="326"/>
        <v>374.75937499999998</v>
      </c>
    </row>
    <row r="18322" spans="1:7" hidden="1" x14ac:dyDescent="0.25">
      <c r="A18322" s="28">
        <v>44986</v>
      </c>
      <c r="B18322" s="27" t="s">
        <v>34</v>
      </c>
      <c r="C18322" s="27" t="s">
        <v>50</v>
      </c>
      <c r="D18322" s="27" t="s">
        <v>6</v>
      </c>
      <c r="E18322" s="27" t="s">
        <v>70</v>
      </c>
      <c r="F18322" s="29"/>
      <c r="G18322" s="30">
        <f t="shared" si="326"/>
        <v>374.75937499999998</v>
      </c>
    </row>
    <row r="18323" spans="1:7" hidden="1" x14ac:dyDescent="0.25">
      <c r="A18323" s="28">
        <v>44986</v>
      </c>
      <c r="B18323" s="27" t="s">
        <v>34</v>
      </c>
      <c r="C18323" s="27" t="s">
        <v>50</v>
      </c>
      <c r="D18323" s="27" t="s">
        <v>6</v>
      </c>
      <c r="E18323" s="27" t="s">
        <v>203</v>
      </c>
      <c r="F18323" s="29"/>
      <c r="G18323" s="30">
        <f t="shared" si="326"/>
        <v>374.75937499999998</v>
      </c>
    </row>
    <row r="18324" spans="1:7" hidden="1" x14ac:dyDescent="0.25">
      <c r="A18324" s="28">
        <v>44986</v>
      </c>
      <c r="B18324" s="27" t="s">
        <v>201</v>
      </c>
      <c r="C18324" s="27" t="s">
        <v>202</v>
      </c>
      <c r="D18324" s="27" t="s">
        <v>7</v>
      </c>
      <c r="E18324" s="27" t="s">
        <v>8</v>
      </c>
      <c r="F18324" s="29"/>
      <c r="G18324" s="30">
        <f t="shared" ref="G18324:G18355" si="327">308.78/32</f>
        <v>9.6493749999999991</v>
      </c>
    </row>
    <row r="18325" spans="1:7" hidden="1" x14ac:dyDescent="0.25">
      <c r="A18325" s="28">
        <v>44986</v>
      </c>
      <c r="B18325" s="27" t="s">
        <v>201</v>
      </c>
      <c r="C18325" s="27" t="s">
        <v>202</v>
      </c>
      <c r="D18325" s="27" t="s">
        <v>7</v>
      </c>
      <c r="E18325" s="27" t="s">
        <v>9</v>
      </c>
      <c r="F18325" s="29"/>
      <c r="G18325" s="30">
        <f t="shared" si="327"/>
        <v>9.6493749999999991</v>
      </c>
    </row>
    <row r="18326" spans="1:7" hidden="1" x14ac:dyDescent="0.25">
      <c r="A18326" s="28">
        <v>44986</v>
      </c>
      <c r="B18326" s="27" t="s">
        <v>201</v>
      </c>
      <c r="C18326" s="27" t="s">
        <v>202</v>
      </c>
      <c r="D18326" s="27" t="s">
        <v>7</v>
      </c>
      <c r="E18326" s="27" t="s">
        <v>21</v>
      </c>
      <c r="F18326" s="29"/>
      <c r="G18326" s="30">
        <f t="shared" si="327"/>
        <v>9.6493749999999991</v>
      </c>
    </row>
    <row r="18327" spans="1:7" hidden="1" x14ac:dyDescent="0.25">
      <c r="A18327" s="28">
        <v>44986</v>
      </c>
      <c r="B18327" s="27" t="s">
        <v>201</v>
      </c>
      <c r="C18327" s="27" t="s">
        <v>202</v>
      </c>
      <c r="D18327" s="27" t="s">
        <v>7</v>
      </c>
      <c r="E18327" s="27" t="s">
        <v>10</v>
      </c>
      <c r="F18327" s="29"/>
      <c r="G18327" s="30">
        <f t="shared" si="327"/>
        <v>9.6493749999999991</v>
      </c>
    </row>
    <row r="18328" spans="1:7" hidden="1" x14ac:dyDescent="0.25">
      <c r="A18328" s="28">
        <v>44986</v>
      </c>
      <c r="B18328" s="27" t="s">
        <v>201</v>
      </c>
      <c r="C18328" s="27" t="s">
        <v>202</v>
      </c>
      <c r="D18328" s="27" t="s">
        <v>7</v>
      </c>
      <c r="E18328" s="27" t="s">
        <v>11</v>
      </c>
      <c r="F18328" s="29"/>
      <c r="G18328" s="30">
        <f t="shared" si="327"/>
        <v>9.6493749999999991</v>
      </c>
    </row>
    <row r="18329" spans="1:7" hidden="1" x14ac:dyDescent="0.25">
      <c r="A18329" s="28">
        <v>44986</v>
      </c>
      <c r="B18329" s="27" t="s">
        <v>201</v>
      </c>
      <c r="C18329" s="27" t="s">
        <v>202</v>
      </c>
      <c r="D18329" s="27" t="s">
        <v>7</v>
      </c>
      <c r="E18329" s="27" t="s">
        <v>12</v>
      </c>
      <c r="F18329" s="29"/>
      <c r="G18329" s="30">
        <f t="shared" si="327"/>
        <v>9.6493749999999991</v>
      </c>
    </row>
    <row r="18330" spans="1:7" hidden="1" x14ac:dyDescent="0.25">
      <c r="A18330" s="28">
        <v>44986</v>
      </c>
      <c r="B18330" s="27" t="s">
        <v>201</v>
      </c>
      <c r="C18330" s="27" t="s">
        <v>202</v>
      </c>
      <c r="D18330" s="27" t="s">
        <v>7</v>
      </c>
      <c r="E18330" s="27" t="s">
        <v>13</v>
      </c>
      <c r="F18330" s="29"/>
      <c r="G18330" s="30">
        <f t="shared" si="327"/>
        <v>9.6493749999999991</v>
      </c>
    </row>
    <row r="18331" spans="1:7" hidden="1" x14ac:dyDescent="0.25">
      <c r="A18331" s="28">
        <v>44986</v>
      </c>
      <c r="B18331" s="27" t="s">
        <v>201</v>
      </c>
      <c r="C18331" s="27" t="s">
        <v>202</v>
      </c>
      <c r="D18331" s="27" t="s">
        <v>7</v>
      </c>
      <c r="E18331" s="27" t="s">
        <v>14</v>
      </c>
      <c r="F18331" s="29"/>
      <c r="G18331" s="30">
        <f t="shared" si="327"/>
        <v>9.6493749999999991</v>
      </c>
    </row>
    <row r="18332" spans="1:7" hidden="1" x14ac:dyDescent="0.25">
      <c r="A18332" s="28">
        <v>44986</v>
      </c>
      <c r="B18332" s="27" t="s">
        <v>201</v>
      </c>
      <c r="C18332" s="27" t="s">
        <v>202</v>
      </c>
      <c r="D18332" s="27" t="s">
        <v>7</v>
      </c>
      <c r="E18332" s="27" t="s">
        <v>15</v>
      </c>
      <c r="F18332" s="29"/>
      <c r="G18332" s="30">
        <f t="shared" si="327"/>
        <v>9.6493749999999991</v>
      </c>
    </row>
    <row r="18333" spans="1:7" hidden="1" x14ac:dyDescent="0.25">
      <c r="A18333" s="28">
        <v>44986</v>
      </c>
      <c r="B18333" s="27" t="s">
        <v>201</v>
      </c>
      <c r="C18333" s="27" t="s">
        <v>202</v>
      </c>
      <c r="D18333" s="27" t="s">
        <v>7</v>
      </c>
      <c r="E18333" s="27" t="s">
        <v>16</v>
      </c>
      <c r="F18333" s="29"/>
      <c r="G18333" s="30">
        <f t="shared" si="327"/>
        <v>9.6493749999999991</v>
      </c>
    </row>
    <row r="18334" spans="1:7" hidden="1" x14ac:dyDescent="0.25">
      <c r="A18334" s="28">
        <v>44986</v>
      </c>
      <c r="B18334" s="27" t="s">
        <v>201</v>
      </c>
      <c r="C18334" s="27" t="s">
        <v>202</v>
      </c>
      <c r="D18334" s="27" t="s">
        <v>7</v>
      </c>
      <c r="E18334" s="27" t="s">
        <v>17</v>
      </c>
      <c r="F18334" s="29"/>
      <c r="G18334" s="30">
        <f t="shared" si="327"/>
        <v>9.6493749999999991</v>
      </c>
    </row>
    <row r="18335" spans="1:7" hidden="1" x14ac:dyDescent="0.25">
      <c r="A18335" s="28">
        <v>44986</v>
      </c>
      <c r="B18335" s="27" t="s">
        <v>201</v>
      </c>
      <c r="C18335" s="27" t="s">
        <v>202</v>
      </c>
      <c r="D18335" s="27" t="s">
        <v>7</v>
      </c>
      <c r="E18335" s="27" t="s">
        <v>18</v>
      </c>
      <c r="F18335" s="29"/>
      <c r="G18335" s="30">
        <f t="shared" si="327"/>
        <v>9.6493749999999991</v>
      </c>
    </row>
    <row r="18336" spans="1:7" hidden="1" x14ac:dyDescent="0.25">
      <c r="A18336" s="28">
        <v>44986</v>
      </c>
      <c r="B18336" s="27" t="s">
        <v>201</v>
      </c>
      <c r="C18336" s="27" t="s">
        <v>202</v>
      </c>
      <c r="D18336" s="27" t="s">
        <v>7</v>
      </c>
      <c r="E18336" s="27" t="s">
        <v>19</v>
      </c>
      <c r="F18336" s="29"/>
      <c r="G18336" s="30">
        <f t="shared" si="327"/>
        <v>9.6493749999999991</v>
      </c>
    </row>
    <row r="18337" spans="1:7" hidden="1" x14ac:dyDescent="0.25">
      <c r="A18337" s="28">
        <v>44986</v>
      </c>
      <c r="B18337" s="27" t="s">
        <v>201</v>
      </c>
      <c r="C18337" s="27" t="s">
        <v>202</v>
      </c>
      <c r="D18337" s="27" t="s">
        <v>7</v>
      </c>
      <c r="E18337" s="27" t="s">
        <v>20</v>
      </c>
      <c r="F18337" s="29"/>
      <c r="G18337" s="30">
        <f t="shared" si="327"/>
        <v>9.6493749999999991</v>
      </c>
    </row>
    <row r="18338" spans="1:7" hidden="1" x14ac:dyDescent="0.25">
      <c r="A18338" s="28">
        <v>44986</v>
      </c>
      <c r="B18338" s="27" t="s">
        <v>201</v>
      </c>
      <c r="C18338" s="27" t="s">
        <v>202</v>
      </c>
      <c r="D18338" s="27" t="s">
        <v>7</v>
      </c>
      <c r="E18338" s="27" t="s">
        <v>38</v>
      </c>
      <c r="F18338" s="29"/>
      <c r="G18338" s="30">
        <f t="shared" si="327"/>
        <v>9.6493749999999991</v>
      </c>
    </row>
    <row r="18339" spans="1:7" hidden="1" x14ac:dyDescent="0.25">
      <c r="A18339" s="28">
        <v>44986</v>
      </c>
      <c r="B18339" s="27" t="s">
        <v>201</v>
      </c>
      <c r="C18339" s="27" t="s">
        <v>202</v>
      </c>
      <c r="D18339" s="27" t="s">
        <v>7</v>
      </c>
      <c r="E18339" s="27" t="s">
        <v>23</v>
      </c>
      <c r="F18339" s="29"/>
      <c r="G18339" s="30">
        <f t="shared" si="327"/>
        <v>9.6493749999999991</v>
      </c>
    </row>
    <row r="18340" spans="1:7" hidden="1" x14ac:dyDescent="0.25">
      <c r="A18340" s="28">
        <v>44986</v>
      </c>
      <c r="B18340" s="27" t="s">
        <v>201</v>
      </c>
      <c r="C18340" s="27" t="s">
        <v>202</v>
      </c>
      <c r="D18340" s="27" t="s">
        <v>7</v>
      </c>
      <c r="E18340" s="27" t="s">
        <v>22</v>
      </c>
      <c r="F18340" s="29"/>
      <c r="G18340" s="30">
        <f t="shared" si="327"/>
        <v>9.6493749999999991</v>
      </c>
    </row>
    <row r="18341" spans="1:7" hidden="1" x14ac:dyDescent="0.25">
      <c r="A18341" s="28">
        <v>44986</v>
      </c>
      <c r="B18341" s="27" t="s">
        <v>201</v>
      </c>
      <c r="C18341" s="27" t="s">
        <v>202</v>
      </c>
      <c r="D18341" s="27" t="s">
        <v>7</v>
      </c>
      <c r="E18341" s="27" t="s">
        <v>39</v>
      </c>
      <c r="F18341" s="29"/>
      <c r="G18341" s="30">
        <f t="shared" si="327"/>
        <v>9.6493749999999991</v>
      </c>
    </row>
    <row r="18342" spans="1:7" hidden="1" x14ac:dyDescent="0.25">
      <c r="A18342" s="28">
        <v>44986</v>
      </c>
      <c r="B18342" s="27" t="s">
        <v>201</v>
      </c>
      <c r="C18342" s="27" t="s">
        <v>202</v>
      </c>
      <c r="D18342" s="27" t="s">
        <v>7</v>
      </c>
      <c r="E18342" s="27" t="s">
        <v>41</v>
      </c>
      <c r="F18342" s="29"/>
      <c r="G18342" s="30">
        <f t="shared" si="327"/>
        <v>9.6493749999999991</v>
      </c>
    </row>
    <row r="18343" spans="1:7" hidden="1" x14ac:dyDescent="0.25">
      <c r="A18343" s="28">
        <v>44986</v>
      </c>
      <c r="B18343" s="27" t="s">
        <v>201</v>
      </c>
      <c r="C18343" s="27" t="s">
        <v>202</v>
      </c>
      <c r="D18343" s="27" t="s">
        <v>7</v>
      </c>
      <c r="E18343" s="27" t="s">
        <v>40</v>
      </c>
      <c r="F18343" s="29"/>
      <c r="G18343" s="30">
        <f t="shared" si="327"/>
        <v>9.6493749999999991</v>
      </c>
    </row>
    <row r="18344" spans="1:7" hidden="1" x14ac:dyDescent="0.25">
      <c r="A18344" s="28">
        <v>44986</v>
      </c>
      <c r="B18344" s="27" t="s">
        <v>201</v>
      </c>
      <c r="C18344" s="27" t="s">
        <v>202</v>
      </c>
      <c r="D18344" s="27" t="s">
        <v>7</v>
      </c>
      <c r="E18344" s="27" t="s">
        <v>64</v>
      </c>
      <c r="F18344" s="29"/>
      <c r="G18344" s="30">
        <f t="shared" si="327"/>
        <v>9.6493749999999991</v>
      </c>
    </row>
    <row r="18345" spans="1:7" hidden="1" x14ac:dyDescent="0.25">
      <c r="A18345" s="28">
        <v>44986</v>
      </c>
      <c r="B18345" s="27" t="s">
        <v>201</v>
      </c>
      <c r="C18345" s="27" t="s">
        <v>202</v>
      </c>
      <c r="D18345" s="27" t="s">
        <v>7</v>
      </c>
      <c r="E18345" s="27" t="s">
        <v>42</v>
      </c>
      <c r="F18345" s="29"/>
      <c r="G18345" s="30">
        <f t="shared" si="327"/>
        <v>9.6493749999999991</v>
      </c>
    </row>
    <row r="18346" spans="1:7" hidden="1" x14ac:dyDescent="0.25">
      <c r="A18346" s="28">
        <v>44986</v>
      </c>
      <c r="B18346" s="27" t="s">
        <v>201</v>
      </c>
      <c r="C18346" s="27" t="s">
        <v>202</v>
      </c>
      <c r="D18346" s="27" t="s">
        <v>7</v>
      </c>
      <c r="E18346" s="27" t="s">
        <v>72</v>
      </c>
      <c r="F18346" s="29"/>
      <c r="G18346" s="30">
        <f t="shared" si="327"/>
        <v>9.6493749999999991</v>
      </c>
    </row>
    <row r="18347" spans="1:7" hidden="1" x14ac:dyDescent="0.25">
      <c r="A18347" s="28">
        <v>44986</v>
      </c>
      <c r="B18347" s="27" t="s">
        <v>201</v>
      </c>
      <c r="C18347" s="27" t="s">
        <v>202</v>
      </c>
      <c r="D18347" s="27" t="s">
        <v>7</v>
      </c>
      <c r="E18347" s="27" t="s">
        <v>43</v>
      </c>
      <c r="F18347" s="29"/>
      <c r="G18347" s="30">
        <f t="shared" si="327"/>
        <v>9.6493749999999991</v>
      </c>
    </row>
    <row r="18348" spans="1:7" hidden="1" x14ac:dyDescent="0.25">
      <c r="A18348" s="28">
        <v>44986</v>
      </c>
      <c r="B18348" s="27" t="s">
        <v>201</v>
      </c>
      <c r="C18348" s="27" t="s">
        <v>202</v>
      </c>
      <c r="D18348" s="27" t="s">
        <v>7</v>
      </c>
      <c r="E18348" s="27" t="s">
        <v>206</v>
      </c>
      <c r="F18348" s="29"/>
      <c r="G18348" s="30">
        <f t="shared" si="327"/>
        <v>9.6493749999999991</v>
      </c>
    </row>
    <row r="18349" spans="1:7" hidden="1" x14ac:dyDescent="0.25">
      <c r="A18349" s="28">
        <v>44986</v>
      </c>
      <c r="B18349" s="27" t="s">
        <v>201</v>
      </c>
      <c r="C18349" s="27" t="s">
        <v>202</v>
      </c>
      <c r="D18349" s="27" t="s">
        <v>7</v>
      </c>
      <c r="E18349" s="27" t="s">
        <v>68</v>
      </c>
      <c r="F18349" s="29"/>
      <c r="G18349" s="30">
        <f t="shared" si="327"/>
        <v>9.6493749999999991</v>
      </c>
    </row>
    <row r="18350" spans="1:7" hidden="1" x14ac:dyDescent="0.25">
      <c r="A18350" s="28">
        <v>44986</v>
      </c>
      <c r="B18350" s="27" t="s">
        <v>201</v>
      </c>
      <c r="C18350" s="27" t="s">
        <v>202</v>
      </c>
      <c r="D18350" s="27" t="s">
        <v>7</v>
      </c>
      <c r="E18350" s="27" t="s">
        <v>74</v>
      </c>
      <c r="F18350" s="29"/>
      <c r="G18350" s="30">
        <f t="shared" si="327"/>
        <v>9.6493749999999991</v>
      </c>
    </row>
    <row r="18351" spans="1:7" hidden="1" x14ac:dyDescent="0.25">
      <c r="A18351" s="28">
        <v>44986</v>
      </c>
      <c r="B18351" s="27" t="s">
        <v>201</v>
      </c>
      <c r="C18351" s="27" t="s">
        <v>202</v>
      </c>
      <c r="D18351" s="27" t="s">
        <v>7</v>
      </c>
      <c r="E18351" s="27" t="s">
        <v>67</v>
      </c>
      <c r="F18351" s="29"/>
      <c r="G18351" s="30">
        <f t="shared" si="327"/>
        <v>9.6493749999999991</v>
      </c>
    </row>
    <row r="18352" spans="1:7" hidden="1" x14ac:dyDescent="0.25">
      <c r="A18352" s="28">
        <v>44986</v>
      </c>
      <c r="B18352" s="27" t="s">
        <v>201</v>
      </c>
      <c r="C18352" s="27" t="s">
        <v>202</v>
      </c>
      <c r="D18352" s="27" t="s">
        <v>7</v>
      </c>
      <c r="E18352" s="27" t="s">
        <v>71</v>
      </c>
      <c r="F18352" s="29"/>
      <c r="G18352" s="30">
        <f t="shared" si="327"/>
        <v>9.6493749999999991</v>
      </c>
    </row>
    <row r="18353" spans="1:7" hidden="1" x14ac:dyDescent="0.25">
      <c r="A18353" s="28">
        <v>44986</v>
      </c>
      <c r="B18353" s="27" t="s">
        <v>201</v>
      </c>
      <c r="C18353" s="27" t="s">
        <v>202</v>
      </c>
      <c r="D18353" s="27" t="s">
        <v>7</v>
      </c>
      <c r="E18353" s="27" t="s">
        <v>73</v>
      </c>
      <c r="F18353" s="29"/>
      <c r="G18353" s="30">
        <f t="shared" si="327"/>
        <v>9.6493749999999991</v>
      </c>
    </row>
    <row r="18354" spans="1:7" hidden="1" x14ac:dyDescent="0.25">
      <c r="A18354" s="28">
        <v>44986</v>
      </c>
      <c r="B18354" s="27" t="s">
        <v>201</v>
      </c>
      <c r="C18354" s="27" t="s">
        <v>202</v>
      </c>
      <c r="D18354" s="27" t="s">
        <v>7</v>
      </c>
      <c r="E18354" s="27" t="s">
        <v>70</v>
      </c>
      <c r="F18354" s="29"/>
      <c r="G18354" s="30">
        <f t="shared" si="327"/>
        <v>9.6493749999999991</v>
      </c>
    </row>
    <row r="18355" spans="1:7" hidden="1" x14ac:dyDescent="0.25">
      <c r="A18355" s="28">
        <v>44986</v>
      </c>
      <c r="B18355" s="27" t="s">
        <v>201</v>
      </c>
      <c r="C18355" s="27" t="s">
        <v>202</v>
      </c>
      <c r="D18355" s="27" t="s">
        <v>7</v>
      </c>
      <c r="E18355" s="27" t="s">
        <v>203</v>
      </c>
      <c r="F18355" s="29"/>
      <c r="G18355" s="30">
        <f t="shared" si="327"/>
        <v>9.6493749999999991</v>
      </c>
    </row>
    <row r="18356" spans="1:7" hidden="1" x14ac:dyDescent="0.25">
      <c r="A18356" s="28">
        <v>44986</v>
      </c>
      <c r="B18356" s="27" t="s">
        <v>5</v>
      </c>
      <c r="C18356" s="27" t="s">
        <v>51</v>
      </c>
      <c r="D18356" s="27" t="s">
        <v>51</v>
      </c>
      <c r="E18356" s="27" t="s">
        <v>8</v>
      </c>
      <c r="F18356" s="29">
        <v>680</v>
      </c>
      <c r="G18356" s="30">
        <v>0</v>
      </c>
    </row>
    <row r="18357" spans="1:7" x14ac:dyDescent="0.25">
      <c r="A18357" s="28">
        <v>45017</v>
      </c>
      <c r="B18357" s="27" t="s">
        <v>4</v>
      </c>
      <c r="C18357" s="27" t="s">
        <v>50</v>
      </c>
      <c r="D18357" s="27" t="s">
        <v>7</v>
      </c>
      <c r="E18357" s="27" t="s">
        <v>68</v>
      </c>
      <c r="F18357" s="29"/>
      <c r="G18357" s="30">
        <f>17492.4752+1368.54</f>
        <v>18861.015200000002</v>
      </c>
    </row>
    <row r="18358" spans="1:7" x14ac:dyDescent="0.25">
      <c r="A18358" s="28">
        <v>45017</v>
      </c>
      <c r="B18358" s="27" t="s">
        <v>4</v>
      </c>
      <c r="C18358" s="27" t="s">
        <v>50</v>
      </c>
      <c r="D18358" s="27" t="s">
        <v>7</v>
      </c>
      <c r="E18358" s="27" t="s">
        <v>43</v>
      </c>
      <c r="F18358" s="29"/>
      <c r="G18358" s="30">
        <f>3785.85247+1368.54</f>
        <v>5154.3924699999998</v>
      </c>
    </row>
    <row r="18359" spans="1:7" x14ac:dyDescent="0.25">
      <c r="A18359" s="28">
        <v>45017</v>
      </c>
      <c r="B18359" s="27" t="s">
        <v>4</v>
      </c>
      <c r="C18359" s="27" t="s">
        <v>50</v>
      </c>
      <c r="D18359" s="27" t="s">
        <v>7</v>
      </c>
      <c r="E18359" s="27" t="s">
        <v>9</v>
      </c>
      <c r="F18359" s="29"/>
      <c r="G18359" s="30">
        <f>4096.5163+1368.54</f>
        <v>5465.0563000000002</v>
      </c>
    </row>
    <row r="18360" spans="1:7" x14ac:dyDescent="0.25">
      <c r="A18360" s="28">
        <v>45017</v>
      </c>
      <c r="B18360" s="27" t="s">
        <v>4</v>
      </c>
      <c r="C18360" s="27" t="s">
        <v>50</v>
      </c>
      <c r="D18360" s="27" t="s">
        <v>7</v>
      </c>
      <c r="E18360" s="27" t="s">
        <v>42</v>
      </c>
      <c r="F18360" s="29"/>
      <c r="G18360" s="30">
        <f>1272.27732+1368.54</f>
        <v>2640.8173200000001</v>
      </c>
    </row>
    <row r="18361" spans="1:7" x14ac:dyDescent="0.25">
      <c r="A18361" s="28">
        <v>45017</v>
      </c>
      <c r="B18361" s="27" t="s">
        <v>4</v>
      </c>
      <c r="C18361" s="27" t="s">
        <v>50</v>
      </c>
      <c r="D18361" s="27" t="s">
        <v>7</v>
      </c>
      <c r="E18361" s="27" t="s">
        <v>222</v>
      </c>
      <c r="F18361" s="29"/>
      <c r="G18361" s="30">
        <f>13379.154488+1368.54</f>
        <v>14747.694488000001</v>
      </c>
    </row>
    <row r="18362" spans="1:7" x14ac:dyDescent="0.25">
      <c r="A18362" s="28">
        <v>45017</v>
      </c>
      <c r="B18362" s="27" t="s">
        <v>4</v>
      </c>
      <c r="C18362" s="27" t="s">
        <v>50</v>
      </c>
      <c r="D18362" s="27" t="s">
        <v>7</v>
      </c>
      <c r="E18362" s="27" t="s">
        <v>67</v>
      </c>
      <c r="F18362" s="29"/>
      <c r="G18362" s="30">
        <f>4278.98648+1368.54</f>
        <v>5647.5264799999995</v>
      </c>
    </row>
    <row r="18363" spans="1:7" x14ac:dyDescent="0.25">
      <c r="A18363" s="28">
        <v>45017</v>
      </c>
      <c r="B18363" s="27" t="s">
        <v>4</v>
      </c>
      <c r="C18363" s="27" t="s">
        <v>50</v>
      </c>
      <c r="D18363" s="27" t="s">
        <v>7</v>
      </c>
      <c r="E18363" s="27" t="s">
        <v>22</v>
      </c>
      <c r="F18363" s="29"/>
      <c r="G18363" s="30">
        <f>3739.53901+1368.54</f>
        <v>5108.0790099999995</v>
      </c>
    </row>
    <row r="18364" spans="1:7" x14ac:dyDescent="0.25">
      <c r="A18364" s="28">
        <v>45017</v>
      </c>
      <c r="B18364" s="27" t="s">
        <v>4</v>
      </c>
      <c r="C18364" s="27" t="s">
        <v>50</v>
      </c>
      <c r="D18364" s="27" t="s">
        <v>7</v>
      </c>
      <c r="E18364" s="27" t="s">
        <v>39</v>
      </c>
      <c r="F18364" s="29"/>
      <c r="G18364" s="30">
        <f>1055.45337+1368.54</f>
        <v>2423.9933700000001</v>
      </c>
    </row>
    <row r="18365" spans="1:7" x14ac:dyDescent="0.25">
      <c r="A18365" s="28">
        <v>45017</v>
      </c>
      <c r="B18365" s="27" t="s">
        <v>4</v>
      </c>
      <c r="C18365" s="27" t="s">
        <v>50</v>
      </c>
      <c r="D18365" s="27" t="s">
        <v>7</v>
      </c>
      <c r="E18365" s="27" t="s">
        <v>70</v>
      </c>
      <c r="F18365" s="29"/>
      <c r="G18365" s="30">
        <f>11811.38749+1368.54</f>
        <v>13179.927489999998</v>
      </c>
    </row>
    <row r="18366" spans="1:7" x14ac:dyDescent="0.25">
      <c r="A18366" s="28">
        <v>45017</v>
      </c>
      <c r="B18366" s="27" t="s">
        <v>4</v>
      </c>
      <c r="C18366" s="27" t="s">
        <v>50</v>
      </c>
      <c r="D18366" s="27" t="s">
        <v>7</v>
      </c>
      <c r="E18366" s="27" t="s">
        <v>203</v>
      </c>
      <c r="F18366" s="29"/>
      <c r="G18366" s="30">
        <f>3277.65714+1368.54</f>
        <v>4646.1971400000002</v>
      </c>
    </row>
    <row r="18367" spans="1:7" x14ac:dyDescent="0.25">
      <c r="A18367" s="28">
        <v>45017</v>
      </c>
      <c r="B18367" s="27" t="s">
        <v>4</v>
      </c>
      <c r="C18367" s="27" t="s">
        <v>50</v>
      </c>
      <c r="D18367" s="27" t="s">
        <v>7</v>
      </c>
      <c r="E18367" s="27" t="s">
        <v>72</v>
      </c>
      <c r="F18367" s="29"/>
      <c r="G18367" s="30">
        <f>1039.61667+1368.54</f>
        <v>2408.1566700000003</v>
      </c>
    </row>
    <row r="18368" spans="1:7" x14ac:dyDescent="0.25">
      <c r="A18368" s="28">
        <v>45017</v>
      </c>
      <c r="B18368" s="27" t="s">
        <v>4</v>
      </c>
      <c r="C18368" s="27" t="s">
        <v>50</v>
      </c>
      <c r="D18368" s="27" t="s">
        <v>7</v>
      </c>
      <c r="E18368" s="27" t="s">
        <v>73</v>
      </c>
      <c r="F18368" s="29"/>
      <c r="G18368" s="30">
        <f>6238.757859+1368.54</f>
        <v>7607.2978590000002</v>
      </c>
    </row>
    <row r="18369" spans="1:7" x14ac:dyDescent="0.25">
      <c r="A18369" s="28">
        <v>45017</v>
      </c>
      <c r="B18369" s="27" t="s">
        <v>4</v>
      </c>
      <c r="C18369" s="27" t="s">
        <v>50</v>
      </c>
      <c r="D18369" s="27" t="s">
        <v>7</v>
      </c>
      <c r="E18369" s="27" t="s">
        <v>71</v>
      </c>
      <c r="F18369" s="29"/>
      <c r="G18369" s="30">
        <f>8764.5614+1368.54</f>
        <v>10133.1014</v>
      </c>
    </row>
    <row r="18370" spans="1:7" x14ac:dyDescent="0.25">
      <c r="A18370" s="28">
        <v>45017</v>
      </c>
      <c r="B18370" s="27" t="s">
        <v>4</v>
      </c>
      <c r="C18370" s="27" t="s">
        <v>50</v>
      </c>
      <c r="D18370" s="27" t="s">
        <v>7</v>
      </c>
      <c r="E18370" s="27" t="s">
        <v>64</v>
      </c>
      <c r="F18370" s="29"/>
      <c r="G18370" s="30">
        <f>6269.2425+1368.54</f>
        <v>7637.7825000000003</v>
      </c>
    </row>
    <row r="18371" spans="1:7" x14ac:dyDescent="0.25">
      <c r="A18371" s="28">
        <v>45017</v>
      </c>
      <c r="B18371" s="27" t="s">
        <v>4</v>
      </c>
      <c r="C18371" s="27" t="s">
        <v>50</v>
      </c>
      <c r="D18371" s="27" t="s">
        <v>7</v>
      </c>
      <c r="E18371" s="27" t="s">
        <v>21</v>
      </c>
      <c r="F18371" s="29"/>
      <c r="G18371" s="30">
        <f>5072.314+1368.54</f>
        <v>6440.8540000000003</v>
      </c>
    </row>
    <row r="18372" spans="1:7" x14ac:dyDescent="0.25">
      <c r="A18372" s="28">
        <v>45017</v>
      </c>
      <c r="B18372" s="27" t="s">
        <v>4</v>
      </c>
      <c r="C18372" s="27" t="s">
        <v>50</v>
      </c>
      <c r="D18372" s="27" t="s">
        <v>7</v>
      </c>
      <c r="E18372" s="27" t="s">
        <v>207</v>
      </c>
      <c r="F18372" s="29"/>
      <c r="G18372" s="30">
        <f>58.45141+1368.54</f>
        <v>1426.9914099999999</v>
      </c>
    </row>
    <row r="18373" spans="1:7" x14ac:dyDescent="0.25">
      <c r="A18373" s="28">
        <v>45017</v>
      </c>
      <c r="B18373" s="27" t="s">
        <v>4</v>
      </c>
      <c r="C18373" s="27" t="s">
        <v>50</v>
      </c>
      <c r="D18373" s="27" t="s">
        <v>7</v>
      </c>
      <c r="E18373" s="27" t="s">
        <v>41</v>
      </c>
      <c r="F18373" s="29"/>
      <c r="G18373" s="30">
        <f>4925.67081+1368.54</f>
        <v>6294.2108099999996</v>
      </c>
    </row>
    <row r="18374" spans="1:7" x14ac:dyDescent="0.25">
      <c r="A18374" s="28">
        <v>45017</v>
      </c>
      <c r="B18374" s="27" t="s">
        <v>4</v>
      </c>
      <c r="C18374" s="27" t="s">
        <v>50</v>
      </c>
      <c r="D18374" s="27" t="s">
        <v>7</v>
      </c>
      <c r="E18374" s="27" t="s">
        <v>10</v>
      </c>
      <c r="F18374" s="29"/>
      <c r="G18374" s="30">
        <f>2666.4619+1368.54</f>
        <v>4035.0018999999998</v>
      </c>
    </row>
    <row r="18375" spans="1:7" x14ac:dyDescent="0.25">
      <c r="A18375" s="28">
        <v>45017</v>
      </c>
      <c r="B18375" s="27" t="s">
        <v>4</v>
      </c>
      <c r="C18375" s="27" t="s">
        <v>50</v>
      </c>
      <c r="D18375" s="27" t="s">
        <v>7</v>
      </c>
      <c r="E18375" s="27" t="s">
        <v>11</v>
      </c>
      <c r="F18375" s="29"/>
      <c r="G18375" s="30">
        <f>2356.1846+1368.54</f>
        <v>3724.7246</v>
      </c>
    </row>
    <row r="18376" spans="1:7" x14ac:dyDescent="0.25">
      <c r="A18376" s="28">
        <v>45017</v>
      </c>
      <c r="B18376" s="27" t="s">
        <v>4</v>
      </c>
      <c r="C18376" s="27" t="s">
        <v>50</v>
      </c>
      <c r="D18376" s="27" t="s">
        <v>7</v>
      </c>
      <c r="E18376" s="27" t="s">
        <v>206</v>
      </c>
      <c r="F18376" s="29"/>
      <c r="G18376" s="30">
        <f>4127.6189+1368.54</f>
        <v>5496.1589000000004</v>
      </c>
    </row>
    <row r="18377" spans="1:7" x14ac:dyDescent="0.25">
      <c r="A18377" s="28">
        <v>45017</v>
      </c>
      <c r="B18377" s="27" t="s">
        <v>4</v>
      </c>
      <c r="C18377" s="27" t="s">
        <v>50</v>
      </c>
      <c r="D18377" s="27" t="s">
        <v>7</v>
      </c>
      <c r="E18377" s="27" t="s">
        <v>12</v>
      </c>
      <c r="F18377" s="29"/>
      <c r="G18377" s="30">
        <f>2265.66517+1368.54</f>
        <v>3634.2051700000002</v>
      </c>
    </row>
    <row r="18378" spans="1:7" x14ac:dyDescent="0.25">
      <c r="A18378" s="28">
        <v>45017</v>
      </c>
      <c r="B18378" s="27" t="s">
        <v>4</v>
      </c>
      <c r="C18378" s="27" t="s">
        <v>50</v>
      </c>
      <c r="D18378" s="27" t="s">
        <v>7</v>
      </c>
      <c r="E18378" s="27" t="s">
        <v>13</v>
      </c>
      <c r="F18378" s="29"/>
      <c r="G18378" s="30">
        <f>9221.77609+1368.54</f>
        <v>10590.31609</v>
      </c>
    </row>
    <row r="18379" spans="1:7" x14ac:dyDescent="0.25">
      <c r="A18379" s="28">
        <v>45017</v>
      </c>
      <c r="B18379" s="27" t="s">
        <v>4</v>
      </c>
      <c r="C18379" s="27" t="s">
        <v>50</v>
      </c>
      <c r="D18379" s="27" t="s">
        <v>7</v>
      </c>
      <c r="E18379" s="27" t="s">
        <v>15</v>
      </c>
      <c r="F18379" s="29"/>
      <c r="G18379" s="30">
        <f>4630.22223+1368.54</f>
        <v>5998.7622300000003</v>
      </c>
    </row>
    <row r="18380" spans="1:7" x14ac:dyDescent="0.25">
      <c r="A18380" s="28">
        <v>45017</v>
      </c>
      <c r="B18380" s="27" t="s">
        <v>4</v>
      </c>
      <c r="C18380" s="27" t="s">
        <v>50</v>
      </c>
      <c r="D18380" s="27" t="s">
        <v>7</v>
      </c>
      <c r="E18380" s="27" t="s">
        <v>16</v>
      </c>
      <c r="F18380" s="29"/>
      <c r="G18380" s="30">
        <f>609.3542+1368.54</f>
        <v>1977.8942</v>
      </c>
    </row>
    <row r="18381" spans="1:7" x14ac:dyDescent="0.25">
      <c r="A18381" s="28">
        <v>45017</v>
      </c>
      <c r="B18381" s="27" t="s">
        <v>4</v>
      </c>
      <c r="C18381" s="27" t="s">
        <v>50</v>
      </c>
      <c r="D18381" s="27" t="s">
        <v>7</v>
      </c>
      <c r="E18381" s="27" t="s">
        <v>17</v>
      </c>
      <c r="F18381" s="29"/>
      <c r="G18381" s="30">
        <f>898.5+1368.54</f>
        <v>2267.04</v>
      </c>
    </row>
    <row r="18382" spans="1:7" x14ac:dyDescent="0.25">
      <c r="A18382" s="28">
        <v>45017</v>
      </c>
      <c r="B18382" s="27" t="s">
        <v>4</v>
      </c>
      <c r="C18382" s="27" t="s">
        <v>50</v>
      </c>
      <c r="D18382" s="27" t="s">
        <v>7</v>
      </c>
      <c r="E18382" s="27" t="s">
        <v>19</v>
      </c>
      <c r="F18382" s="29"/>
      <c r="G18382" s="30">
        <f>5417.88393+1368.54</f>
        <v>6786.4239299999999</v>
      </c>
    </row>
    <row r="18383" spans="1:7" x14ac:dyDescent="0.25">
      <c r="A18383" s="28">
        <v>45017</v>
      </c>
      <c r="B18383" s="27" t="s">
        <v>4</v>
      </c>
      <c r="C18383" s="27" t="s">
        <v>50</v>
      </c>
      <c r="D18383" s="27" t="s">
        <v>7</v>
      </c>
      <c r="E18383" s="27" t="s">
        <v>20</v>
      </c>
      <c r="F18383" s="29"/>
      <c r="G18383" s="30">
        <f>3171.908051+1368.54</f>
        <v>4540.4480509999994</v>
      </c>
    </row>
    <row r="18384" spans="1:7" x14ac:dyDescent="0.25">
      <c r="A18384" s="28">
        <v>45017</v>
      </c>
      <c r="B18384" s="27" t="s">
        <v>4</v>
      </c>
      <c r="C18384" s="27" t="s">
        <v>50</v>
      </c>
      <c r="D18384" s="27" t="s">
        <v>7</v>
      </c>
      <c r="E18384" s="27" t="s">
        <v>38</v>
      </c>
      <c r="F18384" s="29"/>
      <c r="G18384" s="30">
        <f>824.16588+1368.54</f>
        <v>2192.70588</v>
      </c>
    </row>
    <row r="18385" spans="1:7" x14ac:dyDescent="0.25">
      <c r="A18385" s="28">
        <v>45017</v>
      </c>
      <c r="B18385" s="27" t="s">
        <v>4</v>
      </c>
      <c r="C18385" s="27" t="s">
        <v>50</v>
      </c>
      <c r="D18385" s="27" t="s">
        <v>7</v>
      </c>
      <c r="E18385" s="27" t="s">
        <v>23</v>
      </c>
      <c r="F18385" s="29"/>
      <c r="G18385" s="30">
        <f>5247.40028+1368.54</f>
        <v>6615.9402799999998</v>
      </c>
    </row>
    <row r="18386" spans="1:7" x14ac:dyDescent="0.25">
      <c r="A18386" s="28">
        <v>45017</v>
      </c>
      <c r="B18386" s="27" t="s">
        <v>4</v>
      </c>
      <c r="C18386" s="27" t="s">
        <v>50</v>
      </c>
      <c r="D18386" s="27" t="s">
        <v>7</v>
      </c>
      <c r="E18386" s="27" t="s">
        <v>40</v>
      </c>
      <c r="F18386" s="29"/>
      <c r="G18386" s="30">
        <f>1609.63755+1368.54</f>
        <v>2978.1775499999999</v>
      </c>
    </row>
    <row r="18387" spans="1:7" x14ac:dyDescent="0.25">
      <c r="A18387" s="28">
        <v>45017</v>
      </c>
      <c r="B18387" s="27" t="s">
        <v>4</v>
      </c>
      <c r="C18387" s="27" t="s">
        <v>50</v>
      </c>
      <c r="D18387" s="27" t="s">
        <v>7</v>
      </c>
      <c r="E18387" s="27" t="s">
        <v>74</v>
      </c>
      <c r="F18387" s="29"/>
      <c r="G18387" s="30">
        <f>1402.08186+1368.54</f>
        <v>2770.6218600000002</v>
      </c>
    </row>
    <row r="18388" spans="1:7" x14ac:dyDescent="0.25">
      <c r="A18388" s="28">
        <v>45017</v>
      </c>
      <c r="B18388" s="27" t="s">
        <v>181</v>
      </c>
      <c r="C18388" s="27" t="s">
        <v>50</v>
      </c>
      <c r="D18388" s="27" t="s">
        <v>6</v>
      </c>
      <c r="E18388" s="27" t="s">
        <v>68</v>
      </c>
      <c r="F18388" s="29"/>
      <c r="G18388" s="30">
        <f>400+1277.697</f>
        <v>1677.6969999999999</v>
      </c>
    </row>
    <row r="18389" spans="1:7" x14ac:dyDescent="0.25">
      <c r="A18389" s="28">
        <v>45017</v>
      </c>
      <c r="B18389" s="27" t="s">
        <v>181</v>
      </c>
      <c r="C18389" s="27" t="s">
        <v>50</v>
      </c>
      <c r="D18389" s="27" t="s">
        <v>6</v>
      </c>
      <c r="E18389" s="27" t="s">
        <v>223</v>
      </c>
      <c r="F18389" s="29"/>
      <c r="G18389" s="30">
        <f>13918.11+1277.697</f>
        <v>15195.807000000001</v>
      </c>
    </row>
    <row r="18390" spans="1:7" x14ac:dyDescent="0.25">
      <c r="A18390" s="28">
        <v>45017</v>
      </c>
      <c r="B18390" s="27" t="s">
        <v>181</v>
      </c>
      <c r="C18390" s="27" t="s">
        <v>50</v>
      </c>
      <c r="D18390" s="27" t="s">
        <v>6</v>
      </c>
      <c r="E18390" s="27" t="s">
        <v>8</v>
      </c>
      <c r="F18390" s="29"/>
      <c r="G18390" s="30">
        <f>2253.09+1277.697</f>
        <v>3530.7870000000003</v>
      </c>
    </row>
    <row r="18391" spans="1:7" x14ac:dyDescent="0.25">
      <c r="A18391" s="28">
        <v>45017</v>
      </c>
      <c r="B18391" s="27" t="s">
        <v>181</v>
      </c>
      <c r="C18391" s="27" t="s">
        <v>50</v>
      </c>
      <c r="D18391" s="27" t="s">
        <v>6</v>
      </c>
      <c r="E18391" s="27" t="s">
        <v>174</v>
      </c>
      <c r="F18391" s="29"/>
      <c r="G18391" s="30">
        <f>571.8+1277.697</f>
        <v>1849.4969999999998</v>
      </c>
    </row>
    <row r="18392" spans="1:7" x14ac:dyDescent="0.25">
      <c r="A18392" s="28">
        <v>45017</v>
      </c>
      <c r="B18392" s="27" t="s">
        <v>181</v>
      </c>
      <c r="C18392" s="27" t="s">
        <v>50</v>
      </c>
      <c r="D18392" s="27" t="s">
        <v>6</v>
      </c>
      <c r="E18392" s="27" t="s">
        <v>67</v>
      </c>
      <c r="F18392" s="29"/>
      <c r="G18392" s="30">
        <f>1059+1277.697</f>
        <v>2336.6970000000001</v>
      </c>
    </row>
    <row r="18393" spans="1:7" x14ac:dyDescent="0.25">
      <c r="A18393" s="28">
        <v>45017</v>
      </c>
      <c r="B18393" s="27" t="s">
        <v>181</v>
      </c>
      <c r="C18393" s="27" t="s">
        <v>50</v>
      </c>
      <c r="D18393" s="27" t="s">
        <v>6</v>
      </c>
      <c r="E18393" s="27" t="s">
        <v>203</v>
      </c>
      <c r="F18393" s="29"/>
      <c r="G18393" s="30">
        <f>280+1277.697</f>
        <v>1557.6969999999999</v>
      </c>
    </row>
    <row r="18394" spans="1:7" x14ac:dyDescent="0.25">
      <c r="A18394" s="28">
        <v>45017</v>
      </c>
      <c r="B18394" s="27" t="s">
        <v>181</v>
      </c>
      <c r="C18394" s="27" t="s">
        <v>50</v>
      </c>
      <c r="D18394" s="27" t="s">
        <v>6</v>
      </c>
      <c r="E18394" s="27" t="s">
        <v>73</v>
      </c>
      <c r="F18394" s="29"/>
      <c r="G18394" s="30">
        <f>1219.8+35+1277.697</f>
        <v>2532.4969999999998</v>
      </c>
    </row>
    <row r="18395" spans="1:7" x14ac:dyDescent="0.25">
      <c r="A18395" s="28">
        <v>45017</v>
      </c>
      <c r="B18395" s="27" t="s">
        <v>181</v>
      </c>
      <c r="C18395" s="27" t="s">
        <v>50</v>
      </c>
      <c r="D18395" s="27" t="s">
        <v>6</v>
      </c>
      <c r="E18395" s="27" t="s">
        <v>71</v>
      </c>
      <c r="F18395" s="29"/>
      <c r="G18395" s="30">
        <f>270+1277.697</f>
        <v>1547.6969999999999</v>
      </c>
    </row>
    <row r="18396" spans="1:7" x14ac:dyDescent="0.25">
      <c r="A18396" s="28">
        <v>45017</v>
      </c>
      <c r="B18396" s="27" t="s">
        <v>181</v>
      </c>
      <c r="C18396" s="27" t="s">
        <v>50</v>
      </c>
      <c r="D18396" s="27" t="s">
        <v>6</v>
      </c>
      <c r="E18396" s="27" t="s">
        <v>41</v>
      </c>
      <c r="F18396" s="29"/>
      <c r="G18396" s="30">
        <f>415+1277.697</f>
        <v>1692.6969999999999</v>
      </c>
    </row>
    <row r="18397" spans="1:7" x14ac:dyDescent="0.25">
      <c r="A18397" s="28">
        <v>45017</v>
      </c>
      <c r="B18397" s="27" t="s">
        <v>181</v>
      </c>
      <c r="C18397" s="27" t="s">
        <v>50</v>
      </c>
      <c r="D18397" s="27" t="s">
        <v>6</v>
      </c>
      <c r="E18397" s="27" t="s">
        <v>10</v>
      </c>
      <c r="F18397" s="29"/>
      <c r="G18397" s="30">
        <f>400+220+1277.697</f>
        <v>1897.6969999999999</v>
      </c>
    </row>
    <row r="18398" spans="1:7" x14ac:dyDescent="0.25">
      <c r="A18398" s="28">
        <v>45017</v>
      </c>
      <c r="B18398" s="27" t="s">
        <v>181</v>
      </c>
      <c r="C18398" s="27" t="s">
        <v>50</v>
      </c>
      <c r="D18398" s="27" t="s">
        <v>6</v>
      </c>
      <c r="E18398" s="27" t="s">
        <v>13</v>
      </c>
      <c r="F18398" s="29"/>
      <c r="G18398" s="30">
        <f>609.9+1277.697</f>
        <v>1887.5969999999998</v>
      </c>
    </row>
    <row r="18399" spans="1:7" x14ac:dyDescent="0.25">
      <c r="A18399" s="28">
        <v>45017</v>
      </c>
      <c r="B18399" s="27" t="s">
        <v>181</v>
      </c>
      <c r="C18399" s="27" t="s">
        <v>50</v>
      </c>
      <c r="D18399" s="27" t="s">
        <v>6</v>
      </c>
      <c r="E18399" s="27" t="s">
        <v>15</v>
      </c>
      <c r="F18399" s="29"/>
      <c r="G18399" s="30">
        <f>300+1277.697</f>
        <v>1577.6969999999999</v>
      </c>
    </row>
    <row r="18400" spans="1:7" x14ac:dyDescent="0.25">
      <c r="A18400" s="28">
        <v>45017</v>
      </c>
      <c r="B18400" s="27" t="s">
        <v>181</v>
      </c>
      <c r="C18400" s="27" t="s">
        <v>50</v>
      </c>
      <c r="D18400" s="27" t="s">
        <v>6</v>
      </c>
      <c r="E18400" s="27" t="s">
        <v>288</v>
      </c>
      <c r="F18400" s="29"/>
      <c r="G18400" s="30">
        <f>500+1277.697</f>
        <v>1777.6969999999999</v>
      </c>
    </row>
    <row r="18401" spans="1:7" x14ac:dyDescent="0.25">
      <c r="A18401" s="28">
        <v>45017</v>
      </c>
      <c r="B18401" s="27" t="s">
        <v>180</v>
      </c>
      <c r="C18401" s="27" t="s">
        <v>50</v>
      </c>
      <c r="D18401" s="27" t="s">
        <v>6</v>
      </c>
      <c r="E18401" s="27" t="s">
        <v>68</v>
      </c>
      <c r="F18401" s="29"/>
      <c r="G18401" s="30">
        <f>2947.6+425.071</f>
        <v>3372.6709999999998</v>
      </c>
    </row>
    <row r="18402" spans="1:7" x14ac:dyDescent="0.25">
      <c r="A18402" s="28">
        <v>45017</v>
      </c>
      <c r="B18402" s="27" t="s">
        <v>180</v>
      </c>
      <c r="C18402" s="27" t="s">
        <v>50</v>
      </c>
      <c r="D18402" s="27" t="s">
        <v>6</v>
      </c>
      <c r="E18402" s="27" t="s">
        <v>8</v>
      </c>
      <c r="F18402" s="29"/>
      <c r="G18402" s="30">
        <f>4385+425.071</f>
        <v>4810.0709999999999</v>
      </c>
    </row>
    <row r="18403" spans="1:7" x14ac:dyDescent="0.25">
      <c r="A18403" s="28">
        <v>45017</v>
      </c>
      <c r="B18403" s="27" t="s">
        <v>180</v>
      </c>
      <c r="C18403" s="27" t="s">
        <v>50</v>
      </c>
      <c r="D18403" s="27" t="s">
        <v>6</v>
      </c>
      <c r="E18403" s="27" t="s">
        <v>9</v>
      </c>
      <c r="F18403" s="29"/>
      <c r="G18403" s="30">
        <f>4450.12+425.071</f>
        <v>4875.1909999999998</v>
      </c>
    </row>
    <row r="18404" spans="1:7" x14ac:dyDescent="0.25">
      <c r="A18404" s="28">
        <v>45017</v>
      </c>
      <c r="B18404" s="27" t="s">
        <v>180</v>
      </c>
      <c r="C18404" s="27" t="s">
        <v>50</v>
      </c>
      <c r="D18404" s="27" t="s">
        <v>6</v>
      </c>
      <c r="E18404" s="27" t="s">
        <v>42</v>
      </c>
      <c r="F18404" s="29"/>
      <c r="G18404" s="30">
        <f>440.88+425.071</f>
        <v>865.95100000000002</v>
      </c>
    </row>
    <row r="18405" spans="1:7" x14ac:dyDescent="0.25">
      <c r="A18405" s="28">
        <v>45017</v>
      </c>
      <c r="B18405" s="27" t="s">
        <v>180</v>
      </c>
      <c r="C18405" s="27" t="s">
        <v>50</v>
      </c>
      <c r="D18405" s="27" t="s">
        <v>6</v>
      </c>
      <c r="E18405" s="27" t="s">
        <v>39</v>
      </c>
      <c r="F18405" s="29"/>
      <c r="G18405" s="30">
        <f>2000+425.071</f>
        <v>2425.0709999999999</v>
      </c>
    </row>
    <row r="18406" spans="1:7" x14ac:dyDescent="0.25">
      <c r="A18406" s="28">
        <v>45017</v>
      </c>
      <c r="B18406" s="27" t="s">
        <v>180</v>
      </c>
      <c r="C18406" s="27" t="s">
        <v>50</v>
      </c>
      <c r="D18406" s="27" t="s">
        <v>6</v>
      </c>
      <c r="E18406" s="27" t="s">
        <v>22</v>
      </c>
      <c r="F18406" s="29"/>
      <c r="G18406" s="30">
        <f>75+425.071</f>
        <v>500.07100000000003</v>
      </c>
    </row>
    <row r="18407" spans="1:7" x14ac:dyDescent="0.25">
      <c r="A18407" s="28">
        <v>45017</v>
      </c>
      <c r="B18407" s="27" t="s">
        <v>180</v>
      </c>
      <c r="C18407" s="27" t="s">
        <v>50</v>
      </c>
      <c r="D18407" s="27" t="s">
        <v>6</v>
      </c>
      <c r="E18407" s="27" t="s">
        <v>71</v>
      </c>
      <c r="F18407" s="29"/>
      <c r="G18407" s="30">
        <f>1916+425.071</f>
        <v>2341.0709999999999</v>
      </c>
    </row>
    <row r="18408" spans="1:7" x14ac:dyDescent="0.25">
      <c r="A18408" s="28">
        <v>45017</v>
      </c>
      <c r="B18408" s="27" t="s">
        <v>180</v>
      </c>
      <c r="C18408" s="27" t="s">
        <v>50</v>
      </c>
      <c r="D18408" s="27" t="s">
        <v>6</v>
      </c>
      <c r="E18408" s="27" t="s">
        <v>64</v>
      </c>
      <c r="F18408" s="29"/>
      <c r="G18408" s="30">
        <f>316+425.071</f>
        <v>741.07100000000003</v>
      </c>
    </row>
    <row r="18409" spans="1:7" x14ac:dyDescent="0.25">
      <c r="A18409" s="28">
        <v>45017</v>
      </c>
      <c r="B18409" s="27" t="s">
        <v>180</v>
      </c>
      <c r="C18409" s="27" t="s">
        <v>50</v>
      </c>
      <c r="D18409" s="27" t="s">
        <v>6</v>
      </c>
      <c r="E18409" s="27" t="s">
        <v>41</v>
      </c>
      <c r="F18409" s="29"/>
      <c r="G18409" s="30">
        <f>540+425.071</f>
        <v>965.07100000000003</v>
      </c>
    </row>
    <row r="18410" spans="1:7" x14ac:dyDescent="0.25">
      <c r="A18410" s="28">
        <v>45017</v>
      </c>
      <c r="B18410" s="27" t="s">
        <v>180</v>
      </c>
      <c r="C18410" s="27" t="s">
        <v>50</v>
      </c>
      <c r="D18410" s="27" t="s">
        <v>6</v>
      </c>
      <c r="E18410" s="27" t="s">
        <v>10</v>
      </c>
      <c r="F18410" s="29"/>
      <c r="G18410" s="30">
        <f>295.5+425.071</f>
        <v>720.57100000000003</v>
      </c>
    </row>
    <row r="18411" spans="1:7" x14ac:dyDescent="0.25">
      <c r="A18411" s="28">
        <v>45017</v>
      </c>
      <c r="B18411" s="27" t="s">
        <v>180</v>
      </c>
      <c r="C18411" s="27" t="s">
        <v>50</v>
      </c>
      <c r="D18411" s="27" t="s">
        <v>6</v>
      </c>
      <c r="E18411" s="27" t="s">
        <v>11</v>
      </c>
      <c r="F18411" s="29"/>
      <c r="G18411" s="30">
        <f>62.5+425.071</f>
        <v>487.57100000000003</v>
      </c>
    </row>
    <row r="18412" spans="1:7" x14ac:dyDescent="0.25">
      <c r="A18412" s="28">
        <v>45017</v>
      </c>
      <c r="B18412" s="27" t="s">
        <v>180</v>
      </c>
      <c r="C18412" s="27" t="s">
        <v>50</v>
      </c>
      <c r="D18412" s="27" t="s">
        <v>6</v>
      </c>
      <c r="E18412" s="27" t="s">
        <v>18</v>
      </c>
      <c r="F18412" s="29"/>
      <c r="G18412" s="30">
        <f>50+425.071</f>
        <v>475.07100000000003</v>
      </c>
    </row>
    <row r="18413" spans="1:7" x14ac:dyDescent="0.25">
      <c r="A18413" s="28">
        <v>45017</v>
      </c>
      <c r="B18413" s="27" t="s">
        <v>180</v>
      </c>
      <c r="C18413" s="27" t="s">
        <v>50</v>
      </c>
      <c r="D18413" s="27" t="s">
        <v>6</v>
      </c>
      <c r="E18413" s="27" t="s">
        <v>20</v>
      </c>
      <c r="F18413" s="29"/>
      <c r="G18413" s="30">
        <f>277.35+425.071</f>
        <v>702.42100000000005</v>
      </c>
    </row>
    <row r="18414" spans="1:7" x14ac:dyDescent="0.25">
      <c r="A18414" s="28">
        <v>45017</v>
      </c>
      <c r="B18414" s="27" t="s">
        <v>180</v>
      </c>
      <c r="C18414" s="27" t="s">
        <v>50</v>
      </c>
      <c r="D18414" s="27" t="s">
        <v>6</v>
      </c>
      <c r="E18414" s="27" t="s">
        <v>74</v>
      </c>
      <c r="F18414" s="29"/>
      <c r="G18414" s="30">
        <f>600+425.071</f>
        <v>1025.0709999999999</v>
      </c>
    </row>
    <row r="18415" spans="1:7" x14ac:dyDescent="0.25">
      <c r="A18415" s="28">
        <v>45017</v>
      </c>
      <c r="B18415" s="27" t="s">
        <v>5</v>
      </c>
      <c r="C18415" s="27" t="s">
        <v>51</v>
      </c>
      <c r="D18415" s="27" t="s">
        <v>51</v>
      </c>
      <c r="E18415" s="27" t="s">
        <v>68</v>
      </c>
      <c r="F18415" s="29">
        <v>6916</v>
      </c>
      <c r="G18415" s="30">
        <v>0</v>
      </c>
    </row>
    <row r="18416" spans="1:7" x14ac:dyDescent="0.25">
      <c r="A18416" s="28">
        <v>45017</v>
      </c>
      <c r="B18416" s="27" t="s">
        <v>5</v>
      </c>
      <c r="C18416" s="27" t="s">
        <v>51</v>
      </c>
      <c r="D18416" s="27" t="s">
        <v>51</v>
      </c>
      <c r="E18416" s="27" t="s">
        <v>43</v>
      </c>
      <c r="F18416" s="29">
        <v>5776</v>
      </c>
      <c r="G18416" s="30">
        <v>0</v>
      </c>
    </row>
    <row r="18417" spans="1:7" x14ac:dyDescent="0.25">
      <c r="A18417" s="28">
        <v>45017</v>
      </c>
      <c r="B18417" s="27" t="s">
        <v>5</v>
      </c>
      <c r="C18417" s="27" t="s">
        <v>51</v>
      </c>
      <c r="D18417" s="27" t="s">
        <v>51</v>
      </c>
      <c r="E18417" s="27" t="s">
        <v>9</v>
      </c>
      <c r="F18417" s="29">
        <v>2795</v>
      </c>
      <c r="G18417" s="30">
        <v>0</v>
      </c>
    </row>
    <row r="18418" spans="1:7" x14ac:dyDescent="0.25">
      <c r="A18418" s="28">
        <v>45017</v>
      </c>
      <c r="B18418" s="27" t="s">
        <v>5</v>
      </c>
      <c r="C18418" s="27" t="s">
        <v>51</v>
      </c>
      <c r="D18418" s="27" t="s">
        <v>51</v>
      </c>
      <c r="E18418" s="27" t="s">
        <v>42</v>
      </c>
      <c r="F18418" s="29">
        <v>2336</v>
      </c>
      <c r="G18418" s="30">
        <v>0</v>
      </c>
    </row>
    <row r="18419" spans="1:7" x14ac:dyDescent="0.25">
      <c r="A18419" s="28">
        <v>45017</v>
      </c>
      <c r="B18419" s="27" t="s">
        <v>5</v>
      </c>
      <c r="C18419" s="27" t="s">
        <v>51</v>
      </c>
      <c r="D18419" s="27" t="s">
        <v>51</v>
      </c>
      <c r="E18419" s="27" t="s">
        <v>222</v>
      </c>
      <c r="F18419" s="29">
        <v>5770</v>
      </c>
      <c r="G18419" s="30">
        <v>0</v>
      </c>
    </row>
    <row r="18420" spans="1:7" x14ac:dyDescent="0.25">
      <c r="A18420" s="28">
        <v>45017</v>
      </c>
      <c r="B18420" s="27" t="s">
        <v>5</v>
      </c>
      <c r="C18420" s="27" t="s">
        <v>51</v>
      </c>
      <c r="D18420" s="27" t="s">
        <v>51</v>
      </c>
      <c r="E18420" s="27" t="s">
        <v>67</v>
      </c>
      <c r="F18420" s="29">
        <v>3820</v>
      </c>
      <c r="G18420" s="30">
        <v>0</v>
      </c>
    </row>
    <row r="18421" spans="1:7" x14ac:dyDescent="0.25">
      <c r="A18421" s="28">
        <v>45017</v>
      </c>
      <c r="B18421" s="27" t="s">
        <v>5</v>
      </c>
      <c r="C18421" s="27" t="s">
        <v>51</v>
      </c>
      <c r="D18421" s="27" t="s">
        <v>51</v>
      </c>
      <c r="E18421" s="27" t="s">
        <v>22</v>
      </c>
      <c r="F18421" s="29">
        <v>2594</v>
      </c>
      <c r="G18421" s="30">
        <v>0</v>
      </c>
    </row>
    <row r="18422" spans="1:7" x14ac:dyDescent="0.25">
      <c r="A18422" s="28">
        <v>45017</v>
      </c>
      <c r="B18422" s="27" t="s">
        <v>5</v>
      </c>
      <c r="C18422" s="27" t="s">
        <v>51</v>
      </c>
      <c r="D18422" s="27" t="s">
        <v>51</v>
      </c>
      <c r="E18422" s="27" t="s">
        <v>39</v>
      </c>
      <c r="F18422" s="29">
        <v>2102</v>
      </c>
      <c r="G18422" s="30">
        <v>0</v>
      </c>
    </row>
    <row r="18423" spans="1:7" x14ac:dyDescent="0.25">
      <c r="A18423" s="28">
        <v>45017</v>
      </c>
      <c r="B18423" s="27" t="s">
        <v>5</v>
      </c>
      <c r="C18423" s="27" t="s">
        <v>51</v>
      </c>
      <c r="D18423" s="27" t="s">
        <v>51</v>
      </c>
      <c r="E18423" s="27" t="s">
        <v>70</v>
      </c>
      <c r="F18423" s="29">
        <v>6210</v>
      </c>
      <c r="G18423" s="30">
        <v>0</v>
      </c>
    </row>
    <row r="18424" spans="1:7" x14ac:dyDescent="0.25">
      <c r="A18424" s="28">
        <v>45017</v>
      </c>
      <c r="B18424" s="27" t="s">
        <v>5</v>
      </c>
      <c r="C18424" s="27" t="s">
        <v>51</v>
      </c>
      <c r="D18424" s="27" t="s">
        <v>51</v>
      </c>
      <c r="E18424" s="27" t="s">
        <v>203</v>
      </c>
      <c r="F18424" s="29">
        <v>7836</v>
      </c>
      <c r="G18424" s="30">
        <v>0</v>
      </c>
    </row>
    <row r="18425" spans="1:7" x14ac:dyDescent="0.25">
      <c r="A18425" s="28">
        <v>45017</v>
      </c>
      <c r="B18425" s="27" t="s">
        <v>5</v>
      </c>
      <c r="C18425" s="27" t="s">
        <v>51</v>
      </c>
      <c r="D18425" s="27" t="s">
        <v>51</v>
      </c>
      <c r="E18425" s="27" t="s">
        <v>72</v>
      </c>
      <c r="F18425" s="29">
        <v>6700</v>
      </c>
      <c r="G18425" s="30">
        <v>0</v>
      </c>
    </row>
    <row r="18426" spans="1:7" x14ac:dyDescent="0.25">
      <c r="A18426" s="28">
        <v>45017</v>
      </c>
      <c r="B18426" s="27" t="s">
        <v>5</v>
      </c>
      <c r="C18426" s="27" t="s">
        <v>51</v>
      </c>
      <c r="D18426" s="27" t="s">
        <v>51</v>
      </c>
      <c r="E18426" s="27" t="s">
        <v>73</v>
      </c>
      <c r="F18426" s="29">
        <v>3196</v>
      </c>
      <c r="G18426" s="30">
        <v>0</v>
      </c>
    </row>
    <row r="18427" spans="1:7" x14ac:dyDescent="0.25">
      <c r="A18427" s="28">
        <v>45017</v>
      </c>
      <c r="B18427" s="27" t="s">
        <v>5</v>
      </c>
      <c r="C18427" s="27" t="s">
        <v>51</v>
      </c>
      <c r="D18427" s="27" t="s">
        <v>51</v>
      </c>
      <c r="E18427" s="27" t="s">
        <v>71</v>
      </c>
      <c r="F18427" s="29">
        <v>4512</v>
      </c>
      <c r="G18427" s="30">
        <v>0</v>
      </c>
    </row>
    <row r="18428" spans="1:7" x14ac:dyDescent="0.25">
      <c r="A18428" s="28">
        <v>45017</v>
      </c>
      <c r="B18428" s="27" t="s">
        <v>5</v>
      </c>
      <c r="C18428" s="27" t="s">
        <v>51</v>
      </c>
      <c r="D18428" s="27" t="s">
        <v>51</v>
      </c>
      <c r="E18428" s="27" t="s">
        <v>64</v>
      </c>
      <c r="F18428" s="29">
        <v>4604</v>
      </c>
      <c r="G18428" s="30">
        <v>0</v>
      </c>
    </row>
    <row r="18429" spans="1:7" x14ac:dyDescent="0.25">
      <c r="A18429" s="28">
        <v>45017</v>
      </c>
      <c r="B18429" s="27" t="s">
        <v>5</v>
      </c>
      <c r="C18429" s="27" t="s">
        <v>51</v>
      </c>
      <c r="D18429" s="27" t="s">
        <v>51</v>
      </c>
      <c r="E18429" s="27" t="s">
        <v>21</v>
      </c>
      <c r="F18429" s="29">
        <v>4897</v>
      </c>
      <c r="G18429" s="30">
        <v>0</v>
      </c>
    </row>
    <row r="18430" spans="1:7" x14ac:dyDescent="0.25">
      <c r="A18430" s="28">
        <v>45017</v>
      </c>
      <c r="B18430" s="27" t="s">
        <v>5</v>
      </c>
      <c r="C18430" s="27" t="s">
        <v>51</v>
      </c>
      <c r="D18430" s="27" t="s">
        <v>51</v>
      </c>
      <c r="E18430" s="27" t="s">
        <v>41</v>
      </c>
      <c r="F18430" s="29">
        <v>3143</v>
      </c>
      <c r="G18430" s="30">
        <v>0</v>
      </c>
    </row>
    <row r="18431" spans="1:7" x14ac:dyDescent="0.25">
      <c r="A18431" s="28">
        <v>45017</v>
      </c>
      <c r="B18431" s="27" t="s">
        <v>5</v>
      </c>
      <c r="C18431" s="27" t="s">
        <v>51</v>
      </c>
      <c r="D18431" s="27" t="s">
        <v>51</v>
      </c>
      <c r="E18431" s="27" t="s">
        <v>10</v>
      </c>
      <c r="F18431" s="29">
        <v>2157</v>
      </c>
      <c r="G18431" s="30">
        <v>0</v>
      </c>
    </row>
    <row r="18432" spans="1:7" x14ac:dyDescent="0.25">
      <c r="A18432" s="28">
        <v>45017</v>
      </c>
      <c r="B18432" s="27" t="s">
        <v>5</v>
      </c>
      <c r="C18432" s="27" t="s">
        <v>51</v>
      </c>
      <c r="D18432" s="27" t="s">
        <v>51</v>
      </c>
      <c r="E18432" s="27" t="s">
        <v>11</v>
      </c>
      <c r="F18432" s="29">
        <v>1377</v>
      </c>
      <c r="G18432" s="30">
        <v>0</v>
      </c>
    </row>
    <row r="18433" spans="1:7" x14ac:dyDescent="0.25">
      <c r="A18433" s="28">
        <v>45017</v>
      </c>
      <c r="B18433" s="27" t="s">
        <v>5</v>
      </c>
      <c r="C18433" s="27" t="s">
        <v>51</v>
      </c>
      <c r="D18433" s="27" t="s">
        <v>51</v>
      </c>
      <c r="E18433" s="27" t="s">
        <v>206</v>
      </c>
      <c r="F18433" s="29">
        <v>3055</v>
      </c>
      <c r="G18433" s="30">
        <v>0</v>
      </c>
    </row>
    <row r="18434" spans="1:7" x14ac:dyDescent="0.25">
      <c r="A18434" s="28">
        <v>45017</v>
      </c>
      <c r="B18434" s="27" t="s">
        <v>5</v>
      </c>
      <c r="C18434" s="27" t="s">
        <v>51</v>
      </c>
      <c r="D18434" s="27" t="s">
        <v>51</v>
      </c>
      <c r="E18434" s="27" t="s">
        <v>12</v>
      </c>
      <c r="F18434" s="29">
        <v>2103</v>
      </c>
      <c r="G18434" s="30">
        <v>0</v>
      </c>
    </row>
    <row r="18435" spans="1:7" x14ac:dyDescent="0.25">
      <c r="A18435" s="28">
        <v>45017</v>
      </c>
      <c r="B18435" s="27" t="s">
        <v>5</v>
      </c>
      <c r="C18435" s="27" t="s">
        <v>51</v>
      </c>
      <c r="D18435" s="27" t="s">
        <v>51</v>
      </c>
      <c r="E18435" s="27" t="s">
        <v>13</v>
      </c>
      <c r="F18435" s="29">
        <v>7082</v>
      </c>
      <c r="G18435" s="30">
        <v>0</v>
      </c>
    </row>
    <row r="18436" spans="1:7" x14ac:dyDescent="0.25">
      <c r="A18436" s="28">
        <v>45017</v>
      </c>
      <c r="B18436" s="27" t="s">
        <v>5</v>
      </c>
      <c r="C18436" s="27" t="s">
        <v>51</v>
      </c>
      <c r="D18436" s="27" t="s">
        <v>51</v>
      </c>
      <c r="E18436" s="27" t="s">
        <v>15</v>
      </c>
      <c r="F18436" s="29">
        <v>4958</v>
      </c>
      <c r="G18436" s="30">
        <v>0</v>
      </c>
    </row>
    <row r="18437" spans="1:7" x14ac:dyDescent="0.25">
      <c r="A18437" s="28">
        <v>45017</v>
      </c>
      <c r="B18437" s="27" t="s">
        <v>5</v>
      </c>
      <c r="C18437" s="27" t="s">
        <v>51</v>
      </c>
      <c r="D18437" s="27" t="s">
        <v>51</v>
      </c>
      <c r="E18437" s="27" t="s">
        <v>16</v>
      </c>
      <c r="F18437" s="29">
        <v>3678</v>
      </c>
      <c r="G18437" s="30">
        <v>0</v>
      </c>
    </row>
    <row r="18438" spans="1:7" x14ac:dyDescent="0.25">
      <c r="A18438" s="28">
        <v>45017</v>
      </c>
      <c r="B18438" s="27" t="s">
        <v>5</v>
      </c>
      <c r="C18438" s="27" t="s">
        <v>51</v>
      </c>
      <c r="D18438" s="27" t="s">
        <v>51</v>
      </c>
      <c r="E18438" s="27" t="s">
        <v>17</v>
      </c>
      <c r="F18438" s="29">
        <v>2760</v>
      </c>
      <c r="G18438" s="30">
        <v>0</v>
      </c>
    </row>
    <row r="18439" spans="1:7" x14ac:dyDescent="0.25">
      <c r="A18439" s="28">
        <v>45017</v>
      </c>
      <c r="B18439" s="27" t="s">
        <v>5</v>
      </c>
      <c r="C18439" s="27" t="s">
        <v>51</v>
      </c>
      <c r="D18439" s="27" t="s">
        <v>51</v>
      </c>
      <c r="E18439" s="27" t="s">
        <v>18</v>
      </c>
      <c r="F18439" s="29">
        <v>4566</v>
      </c>
      <c r="G18439" s="30">
        <v>0</v>
      </c>
    </row>
    <row r="18440" spans="1:7" x14ac:dyDescent="0.25">
      <c r="A18440" s="28">
        <v>45017</v>
      </c>
      <c r="B18440" s="27" t="s">
        <v>5</v>
      </c>
      <c r="C18440" s="27" t="s">
        <v>51</v>
      </c>
      <c r="D18440" s="27" t="s">
        <v>51</v>
      </c>
      <c r="E18440" s="27" t="s">
        <v>19</v>
      </c>
      <c r="F18440" s="29">
        <v>5435</v>
      </c>
      <c r="G18440" s="30">
        <v>0</v>
      </c>
    </row>
    <row r="18441" spans="1:7" x14ac:dyDescent="0.25">
      <c r="A18441" s="28">
        <v>45017</v>
      </c>
      <c r="B18441" s="27" t="s">
        <v>5</v>
      </c>
      <c r="C18441" s="27" t="s">
        <v>51</v>
      </c>
      <c r="D18441" s="27" t="s">
        <v>51</v>
      </c>
      <c r="E18441" s="27" t="s">
        <v>20</v>
      </c>
      <c r="F18441" s="29">
        <v>5645</v>
      </c>
      <c r="G18441" s="30">
        <v>0</v>
      </c>
    </row>
    <row r="18442" spans="1:7" x14ac:dyDescent="0.25">
      <c r="A18442" s="28">
        <v>45017</v>
      </c>
      <c r="B18442" s="27" t="s">
        <v>5</v>
      </c>
      <c r="C18442" s="27" t="s">
        <v>51</v>
      </c>
      <c r="D18442" s="27" t="s">
        <v>51</v>
      </c>
      <c r="E18442" s="27" t="s">
        <v>38</v>
      </c>
      <c r="F18442" s="29">
        <v>538</v>
      </c>
      <c r="G18442" s="30">
        <v>0</v>
      </c>
    </row>
    <row r="18443" spans="1:7" x14ac:dyDescent="0.25">
      <c r="A18443" s="28">
        <v>45017</v>
      </c>
      <c r="B18443" s="27" t="s">
        <v>5</v>
      </c>
      <c r="C18443" s="27" t="s">
        <v>51</v>
      </c>
      <c r="D18443" s="27" t="s">
        <v>51</v>
      </c>
      <c r="E18443" s="27" t="s">
        <v>23</v>
      </c>
      <c r="F18443" s="29">
        <v>4102</v>
      </c>
      <c r="G18443" s="30">
        <v>0</v>
      </c>
    </row>
    <row r="18444" spans="1:7" x14ac:dyDescent="0.25">
      <c r="A18444" s="28">
        <v>45017</v>
      </c>
      <c r="B18444" s="27" t="s">
        <v>5</v>
      </c>
      <c r="C18444" s="27" t="s">
        <v>51</v>
      </c>
      <c r="D18444" s="27" t="s">
        <v>51</v>
      </c>
      <c r="E18444" s="27" t="s">
        <v>40</v>
      </c>
      <c r="F18444" s="29">
        <v>6864</v>
      </c>
      <c r="G18444" s="30">
        <v>0</v>
      </c>
    </row>
    <row r="18445" spans="1:7" x14ac:dyDescent="0.25">
      <c r="A18445" s="28">
        <v>45017</v>
      </c>
      <c r="B18445" s="27" t="s">
        <v>5</v>
      </c>
      <c r="C18445" s="27" t="s">
        <v>51</v>
      </c>
      <c r="D18445" s="27" t="s">
        <v>51</v>
      </c>
      <c r="E18445" s="27" t="s">
        <v>74</v>
      </c>
      <c r="F18445" s="29">
        <v>4927</v>
      </c>
      <c r="G18445" s="30">
        <v>0</v>
      </c>
    </row>
    <row r="18446" spans="1:7" x14ac:dyDescent="0.25">
      <c r="A18446" s="28">
        <v>45017</v>
      </c>
      <c r="B18446" s="27" t="s">
        <v>33</v>
      </c>
      <c r="C18446" s="27" t="s">
        <v>50</v>
      </c>
      <c r="D18446" s="27" t="s">
        <v>7</v>
      </c>
      <c r="E18446" s="27" t="s">
        <v>8</v>
      </c>
      <c r="F18446" s="29"/>
      <c r="G18446" s="30">
        <f t="shared" ref="G18446:G18478" si="328">73048.19/33</f>
        <v>2213.5815151515153</v>
      </c>
    </row>
    <row r="18447" spans="1:7" x14ac:dyDescent="0.25">
      <c r="A18447" s="28">
        <v>45017</v>
      </c>
      <c r="B18447" s="27" t="s">
        <v>33</v>
      </c>
      <c r="C18447" s="27" t="s">
        <v>50</v>
      </c>
      <c r="D18447" s="27" t="s">
        <v>7</v>
      </c>
      <c r="E18447" s="27" t="s">
        <v>9</v>
      </c>
      <c r="F18447" s="29"/>
      <c r="G18447" s="30">
        <f t="shared" si="328"/>
        <v>2213.5815151515153</v>
      </c>
    </row>
    <row r="18448" spans="1:7" x14ac:dyDescent="0.25">
      <c r="A18448" s="28">
        <v>45017</v>
      </c>
      <c r="B18448" s="27" t="s">
        <v>33</v>
      </c>
      <c r="C18448" s="27" t="s">
        <v>50</v>
      </c>
      <c r="D18448" s="27" t="s">
        <v>7</v>
      </c>
      <c r="E18448" s="27" t="s">
        <v>21</v>
      </c>
      <c r="F18448" s="29"/>
      <c r="G18448" s="30">
        <f t="shared" si="328"/>
        <v>2213.5815151515153</v>
      </c>
    </row>
    <row r="18449" spans="1:7" x14ac:dyDescent="0.25">
      <c r="A18449" s="28">
        <v>45017</v>
      </c>
      <c r="B18449" s="27" t="s">
        <v>33</v>
      </c>
      <c r="C18449" s="27" t="s">
        <v>50</v>
      </c>
      <c r="D18449" s="27" t="s">
        <v>7</v>
      </c>
      <c r="E18449" s="27" t="s">
        <v>10</v>
      </c>
      <c r="F18449" s="29"/>
      <c r="G18449" s="30">
        <f t="shared" si="328"/>
        <v>2213.5815151515153</v>
      </c>
    </row>
    <row r="18450" spans="1:7" x14ac:dyDescent="0.25">
      <c r="A18450" s="28">
        <v>45017</v>
      </c>
      <c r="B18450" s="27" t="s">
        <v>33</v>
      </c>
      <c r="C18450" s="27" t="s">
        <v>50</v>
      </c>
      <c r="D18450" s="27" t="s">
        <v>7</v>
      </c>
      <c r="E18450" s="27" t="s">
        <v>11</v>
      </c>
      <c r="F18450" s="29"/>
      <c r="G18450" s="30">
        <f t="shared" si="328"/>
        <v>2213.5815151515153</v>
      </c>
    </row>
    <row r="18451" spans="1:7" x14ac:dyDescent="0.25">
      <c r="A18451" s="28">
        <v>45017</v>
      </c>
      <c r="B18451" s="27" t="s">
        <v>33</v>
      </c>
      <c r="C18451" s="27" t="s">
        <v>50</v>
      </c>
      <c r="D18451" s="27" t="s">
        <v>7</v>
      </c>
      <c r="E18451" s="27" t="s">
        <v>12</v>
      </c>
      <c r="F18451" s="29"/>
      <c r="G18451" s="30">
        <f t="shared" si="328"/>
        <v>2213.5815151515153</v>
      </c>
    </row>
    <row r="18452" spans="1:7" x14ac:dyDescent="0.25">
      <c r="A18452" s="28">
        <v>45017</v>
      </c>
      <c r="B18452" s="27" t="s">
        <v>33</v>
      </c>
      <c r="C18452" s="27" t="s">
        <v>50</v>
      </c>
      <c r="D18452" s="27" t="s">
        <v>7</v>
      </c>
      <c r="E18452" s="27" t="s">
        <v>13</v>
      </c>
      <c r="F18452" s="29"/>
      <c r="G18452" s="30">
        <f t="shared" si="328"/>
        <v>2213.5815151515153</v>
      </c>
    </row>
    <row r="18453" spans="1:7" x14ac:dyDescent="0.25">
      <c r="A18453" s="28">
        <v>45017</v>
      </c>
      <c r="B18453" s="27" t="s">
        <v>33</v>
      </c>
      <c r="C18453" s="27" t="s">
        <v>50</v>
      </c>
      <c r="D18453" s="27" t="s">
        <v>7</v>
      </c>
      <c r="E18453" s="27" t="s">
        <v>14</v>
      </c>
      <c r="F18453" s="29"/>
      <c r="G18453" s="30">
        <f t="shared" si="328"/>
        <v>2213.5815151515153</v>
      </c>
    </row>
    <row r="18454" spans="1:7" x14ac:dyDescent="0.25">
      <c r="A18454" s="28">
        <v>45017</v>
      </c>
      <c r="B18454" s="27" t="s">
        <v>33</v>
      </c>
      <c r="C18454" s="27" t="s">
        <v>50</v>
      </c>
      <c r="D18454" s="27" t="s">
        <v>7</v>
      </c>
      <c r="E18454" s="27" t="s">
        <v>15</v>
      </c>
      <c r="F18454" s="29"/>
      <c r="G18454" s="30">
        <f t="shared" si="328"/>
        <v>2213.5815151515153</v>
      </c>
    </row>
    <row r="18455" spans="1:7" x14ac:dyDescent="0.25">
      <c r="A18455" s="28">
        <v>45017</v>
      </c>
      <c r="B18455" s="27" t="s">
        <v>33</v>
      </c>
      <c r="C18455" s="27" t="s">
        <v>50</v>
      </c>
      <c r="D18455" s="27" t="s">
        <v>7</v>
      </c>
      <c r="E18455" s="27" t="s">
        <v>16</v>
      </c>
      <c r="F18455" s="29"/>
      <c r="G18455" s="30">
        <f t="shared" si="328"/>
        <v>2213.5815151515153</v>
      </c>
    </row>
    <row r="18456" spans="1:7" x14ac:dyDescent="0.25">
      <c r="A18456" s="28">
        <v>45017</v>
      </c>
      <c r="B18456" s="27" t="s">
        <v>33</v>
      </c>
      <c r="C18456" s="27" t="s">
        <v>50</v>
      </c>
      <c r="D18456" s="27" t="s">
        <v>7</v>
      </c>
      <c r="E18456" s="27" t="s">
        <v>17</v>
      </c>
      <c r="F18456" s="29"/>
      <c r="G18456" s="30">
        <f t="shared" si="328"/>
        <v>2213.5815151515153</v>
      </c>
    </row>
    <row r="18457" spans="1:7" x14ac:dyDescent="0.25">
      <c r="A18457" s="28">
        <v>45017</v>
      </c>
      <c r="B18457" s="27" t="s">
        <v>33</v>
      </c>
      <c r="C18457" s="27" t="s">
        <v>50</v>
      </c>
      <c r="D18457" s="27" t="s">
        <v>7</v>
      </c>
      <c r="E18457" s="27" t="s">
        <v>18</v>
      </c>
      <c r="F18457" s="29"/>
      <c r="G18457" s="30">
        <f t="shared" si="328"/>
        <v>2213.5815151515153</v>
      </c>
    </row>
    <row r="18458" spans="1:7" x14ac:dyDescent="0.25">
      <c r="A18458" s="28">
        <v>45017</v>
      </c>
      <c r="B18458" s="27" t="s">
        <v>33</v>
      </c>
      <c r="C18458" s="27" t="s">
        <v>50</v>
      </c>
      <c r="D18458" s="27" t="s">
        <v>7</v>
      </c>
      <c r="E18458" s="27" t="s">
        <v>19</v>
      </c>
      <c r="F18458" s="29"/>
      <c r="G18458" s="30">
        <f t="shared" si="328"/>
        <v>2213.5815151515153</v>
      </c>
    </row>
    <row r="18459" spans="1:7" x14ac:dyDescent="0.25">
      <c r="A18459" s="28">
        <v>45017</v>
      </c>
      <c r="B18459" s="27" t="s">
        <v>33</v>
      </c>
      <c r="C18459" s="27" t="s">
        <v>50</v>
      </c>
      <c r="D18459" s="27" t="s">
        <v>7</v>
      </c>
      <c r="E18459" s="27" t="s">
        <v>20</v>
      </c>
      <c r="F18459" s="29"/>
      <c r="G18459" s="30">
        <f t="shared" si="328"/>
        <v>2213.5815151515153</v>
      </c>
    </row>
    <row r="18460" spans="1:7" x14ac:dyDescent="0.25">
      <c r="A18460" s="28">
        <v>45017</v>
      </c>
      <c r="B18460" s="27" t="s">
        <v>33</v>
      </c>
      <c r="C18460" s="27" t="s">
        <v>50</v>
      </c>
      <c r="D18460" s="27" t="s">
        <v>7</v>
      </c>
      <c r="E18460" s="27" t="s">
        <v>38</v>
      </c>
      <c r="F18460" s="29"/>
      <c r="G18460" s="30">
        <f t="shared" si="328"/>
        <v>2213.5815151515153</v>
      </c>
    </row>
    <row r="18461" spans="1:7" x14ac:dyDescent="0.25">
      <c r="A18461" s="28">
        <v>45017</v>
      </c>
      <c r="B18461" s="27" t="s">
        <v>33</v>
      </c>
      <c r="C18461" s="27" t="s">
        <v>50</v>
      </c>
      <c r="D18461" s="27" t="s">
        <v>7</v>
      </c>
      <c r="E18461" s="27" t="s">
        <v>23</v>
      </c>
      <c r="F18461" s="29"/>
      <c r="G18461" s="30">
        <f t="shared" si="328"/>
        <v>2213.5815151515153</v>
      </c>
    </row>
    <row r="18462" spans="1:7" x14ac:dyDescent="0.25">
      <c r="A18462" s="28">
        <v>45017</v>
      </c>
      <c r="B18462" s="27" t="s">
        <v>33</v>
      </c>
      <c r="C18462" s="27" t="s">
        <v>50</v>
      </c>
      <c r="D18462" s="27" t="s">
        <v>7</v>
      </c>
      <c r="E18462" s="27" t="s">
        <v>22</v>
      </c>
      <c r="F18462" s="29"/>
      <c r="G18462" s="30">
        <f t="shared" si="328"/>
        <v>2213.5815151515153</v>
      </c>
    </row>
    <row r="18463" spans="1:7" x14ac:dyDescent="0.25">
      <c r="A18463" s="28">
        <v>45017</v>
      </c>
      <c r="B18463" s="27" t="s">
        <v>33</v>
      </c>
      <c r="C18463" s="27" t="s">
        <v>50</v>
      </c>
      <c r="D18463" s="27" t="s">
        <v>7</v>
      </c>
      <c r="E18463" s="27" t="s">
        <v>39</v>
      </c>
      <c r="F18463" s="29"/>
      <c r="G18463" s="30">
        <f t="shared" si="328"/>
        <v>2213.5815151515153</v>
      </c>
    </row>
    <row r="18464" spans="1:7" x14ac:dyDescent="0.25">
      <c r="A18464" s="28">
        <v>45017</v>
      </c>
      <c r="B18464" s="27" t="s">
        <v>33</v>
      </c>
      <c r="C18464" s="27" t="s">
        <v>50</v>
      </c>
      <c r="D18464" s="27" t="s">
        <v>7</v>
      </c>
      <c r="E18464" s="27" t="s">
        <v>41</v>
      </c>
      <c r="F18464" s="29"/>
      <c r="G18464" s="30">
        <f t="shared" si="328"/>
        <v>2213.5815151515153</v>
      </c>
    </row>
    <row r="18465" spans="1:7" x14ac:dyDescent="0.25">
      <c r="A18465" s="28">
        <v>45017</v>
      </c>
      <c r="B18465" s="27" t="s">
        <v>33</v>
      </c>
      <c r="C18465" s="27" t="s">
        <v>50</v>
      </c>
      <c r="D18465" s="27" t="s">
        <v>7</v>
      </c>
      <c r="E18465" s="27" t="s">
        <v>40</v>
      </c>
      <c r="F18465" s="29"/>
      <c r="G18465" s="30">
        <f t="shared" si="328"/>
        <v>2213.5815151515153</v>
      </c>
    </row>
    <row r="18466" spans="1:7" x14ac:dyDescent="0.25">
      <c r="A18466" s="28">
        <v>45017</v>
      </c>
      <c r="B18466" s="27" t="s">
        <v>33</v>
      </c>
      <c r="C18466" s="27" t="s">
        <v>50</v>
      </c>
      <c r="D18466" s="27" t="s">
        <v>7</v>
      </c>
      <c r="E18466" s="27" t="s">
        <v>64</v>
      </c>
      <c r="F18466" s="29"/>
      <c r="G18466" s="30">
        <f t="shared" si="328"/>
        <v>2213.5815151515153</v>
      </c>
    </row>
    <row r="18467" spans="1:7" x14ac:dyDescent="0.25">
      <c r="A18467" s="28">
        <v>45017</v>
      </c>
      <c r="B18467" s="27" t="s">
        <v>33</v>
      </c>
      <c r="C18467" s="27" t="s">
        <v>50</v>
      </c>
      <c r="D18467" s="27" t="s">
        <v>7</v>
      </c>
      <c r="E18467" s="27" t="s">
        <v>42</v>
      </c>
      <c r="F18467" s="29"/>
      <c r="G18467" s="30">
        <f t="shared" si="328"/>
        <v>2213.5815151515153</v>
      </c>
    </row>
    <row r="18468" spans="1:7" x14ac:dyDescent="0.25">
      <c r="A18468" s="28">
        <v>45017</v>
      </c>
      <c r="B18468" s="27" t="s">
        <v>33</v>
      </c>
      <c r="C18468" s="27" t="s">
        <v>50</v>
      </c>
      <c r="D18468" s="27" t="s">
        <v>7</v>
      </c>
      <c r="E18468" s="27" t="s">
        <v>72</v>
      </c>
      <c r="F18468" s="29"/>
      <c r="G18468" s="30">
        <f t="shared" si="328"/>
        <v>2213.5815151515153</v>
      </c>
    </row>
    <row r="18469" spans="1:7" x14ac:dyDescent="0.25">
      <c r="A18469" s="28">
        <v>45017</v>
      </c>
      <c r="B18469" s="27" t="s">
        <v>33</v>
      </c>
      <c r="C18469" s="27" t="s">
        <v>50</v>
      </c>
      <c r="D18469" s="27" t="s">
        <v>7</v>
      </c>
      <c r="E18469" s="27" t="s">
        <v>43</v>
      </c>
      <c r="F18469" s="29"/>
      <c r="G18469" s="30">
        <f t="shared" si="328"/>
        <v>2213.5815151515153</v>
      </c>
    </row>
    <row r="18470" spans="1:7" x14ac:dyDescent="0.25">
      <c r="A18470" s="28">
        <v>45017</v>
      </c>
      <c r="B18470" s="27" t="s">
        <v>33</v>
      </c>
      <c r="C18470" s="27" t="s">
        <v>50</v>
      </c>
      <c r="D18470" s="27" t="s">
        <v>7</v>
      </c>
      <c r="E18470" s="27" t="s">
        <v>206</v>
      </c>
      <c r="F18470" s="29"/>
      <c r="G18470" s="30">
        <f t="shared" si="328"/>
        <v>2213.5815151515153</v>
      </c>
    </row>
    <row r="18471" spans="1:7" x14ac:dyDescent="0.25">
      <c r="A18471" s="28">
        <v>45017</v>
      </c>
      <c r="B18471" s="27" t="s">
        <v>33</v>
      </c>
      <c r="C18471" s="27" t="s">
        <v>50</v>
      </c>
      <c r="D18471" s="27" t="s">
        <v>7</v>
      </c>
      <c r="E18471" s="27" t="s">
        <v>68</v>
      </c>
      <c r="F18471" s="29"/>
      <c r="G18471" s="30">
        <f t="shared" si="328"/>
        <v>2213.5815151515153</v>
      </c>
    </row>
    <row r="18472" spans="1:7" x14ac:dyDescent="0.25">
      <c r="A18472" s="28">
        <v>45017</v>
      </c>
      <c r="B18472" s="27" t="s">
        <v>33</v>
      </c>
      <c r="C18472" s="27" t="s">
        <v>50</v>
      </c>
      <c r="D18472" s="27" t="s">
        <v>7</v>
      </c>
      <c r="E18472" s="27" t="s">
        <v>74</v>
      </c>
      <c r="F18472" s="29"/>
      <c r="G18472" s="30">
        <f t="shared" si="328"/>
        <v>2213.5815151515153</v>
      </c>
    </row>
    <row r="18473" spans="1:7" x14ac:dyDescent="0.25">
      <c r="A18473" s="28">
        <v>45017</v>
      </c>
      <c r="B18473" s="27" t="s">
        <v>33</v>
      </c>
      <c r="C18473" s="27" t="s">
        <v>50</v>
      </c>
      <c r="D18473" s="27" t="s">
        <v>7</v>
      </c>
      <c r="E18473" s="27" t="s">
        <v>67</v>
      </c>
      <c r="F18473" s="29"/>
      <c r="G18473" s="30">
        <f t="shared" si="328"/>
        <v>2213.5815151515153</v>
      </c>
    </row>
    <row r="18474" spans="1:7" x14ac:dyDescent="0.25">
      <c r="A18474" s="28">
        <v>45017</v>
      </c>
      <c r="B18474" s="27" t="s">
        <v>33</v>
      </c>
      <c r="C18474" s="27" t="s">
        <v>50</v>
      </c>
      <c r="D18474" s="27" t="s">
        <v>7</v>
      </c>
      <c r="E18474" s="27" t="s">
        <v>71</v>
      </c>
      <c r="F18474" s="29"/>
      <c r="G18474" s="30">
        <f t="shared" si="328"/>
        <v>2213.5815151515153</v>
      </c>
    </row>
    <row r="18475" spans="1:7" x14ac:dyDescent="0.25">
      <c r="A18475" s="28">
        <v>45017</v>
      </c>
      <c r="B18475" s="27" t="s">
        <v>33</v>
      </c>
      <c r="C18475" s="27" t="s">
        <v>50</v>
      </c>
      <c r="D18475" s="27" t="s">
        <v>7</v>
      </c>
      <c r="E18475" s="27" t="s">
        <v>73</v>
      </c>
      <c r="F18475" s="29"/>
      <c r="G18475" s="30">
        <f t="shared" si="328"/>
        <v>2213.5815151515153</v>
      </c>
    </row>
    <row r="18476" spans="1:7" x14ac:dyDescent="0.25">
      <c r="A18476" s="28">
        <v>45017</v>
      </c>
      <c r="B18476" s="27" t="s">
        <v>33</v>
      </c>
      <c r="C18476" s="27" t="s">
        <v>50</v>
      </c>
      <c r="D18476" s="27" t="s">
        <v>7</v>
      </c>
      <c r="E18476" s="27" t="s">
        <v>70</v>
      </c>
      <c r="F18476" s="29"/>
      <c r="G18476" s="30">
        <f t="shared" si="328"/>
        <v>2213.5815151515153</v>
      </c>
    </row>
    <row r="18477" spans="1:7" x14ac:dyDescent="0.25">
      <c r="A18477" s="28">
        <v>45017</v>
      </c>
      <c r="B18477" s="27" t="s">
        <v>33</v>
      </c>
      <c r="C18477" s="27" t="s">
        <v>50</v>
      </c>
      <c r="D18477" s="27" t="s">
        <v>7</v>
      </c>
      <c r="E18477" s="27" t="s">
        <v>203</v>
      </c>
      <c r="F18477" s="29"/>
      <c r="G18477" s="30">
        <f t="shared" si="328"/>
        <v>2213.5815151515153</v>
      </c>
    </row>
    <row r="18478" spans="1:7" x14ac:dyDescent="0.25">
      <c r="A18478" s="28">
        <v>45017</v>
      </c>
      <c r="B18478" s="27" t="s">
        <v>33</v>
      </c>
      <c r="C18478" s="27" t="s">
        <v>50</v>
      </c>
      <c r="D18478" s="27" t="s">
        <v>7</v>
      </c>
      <c r="E18478" s="27" t="s">
        <v>222</v>
      </c>
      <c r="F18478" s="29"/>
      <c r="G18478" s="30">
        <f t="shared" si="328"/>
        <v>2213.5815151515153</v>
      </c>
    </row>
    <row r="18479" spans="1:7" x14ac:dyDescent="0.25">
      <c r="A18479" s="28">
        <v>45017</v>
      </c>
      <c r="B18479" s="27" t="s">
        <v>200</v>
      </c>
      <c r="C18479" s="27" t="s">
        <v>56</v>
      </c>
      <c r="D18479" s="27" t="s">
        <v>6</v>
      </c>
      <c r="E18479" s="27" t="s">
        <v>8</v>
      </c>
      <c r="F18479" s="29"/>
      <c r="G18479" s="30">
        <f t="shared" ref="G18479:G18511" si="329">70157.64259/33</f>
        <v>2125.9891693939394</v>
      </c>
    </row>
    <row r="18480" spans="1:7" x14ac:dyDescent="0.25">
      <c r="A18480" s="28">
        <v>45017</v>
      </c>
      <c r="B18480" s="27" t="s">
        <v>200</v>
      </c>
      <c r="C18480" s="27" t="s">
        <v>56</v>
      </c>
      <c r="D18480" s="27" t="s">
        <v>6</v>
      </c>
      <c r="E18480" s="27" t="s">
        <v>9</v>
      </c>
      <c r="F18480" s="29"/>
      <c r="G18480" s="30">
        <f t="shared" si="329"/>
        <v>2125.9891693939394</v>
      </c>
    </row>
    <row r="18481" spans="1:7" x14ac:dyDescent="0.25">
      <c r="A18481" s="28">
        <v>45017</v>
      </c>
      <c r="B18481" s="27" t="s">
        <v>200</v>
      </c>
      <c r="C18481" s="27" t="s">
        <v>56</v>
      </c>
      <c r="D18481" s="27" t="s">
        <v>6</v>
      </c>
      <c r="E18481" s="27" t="s">
        <v>21</v>
      </c>
      <c r="F18481" s="29"/>
      <c r="G18481" s="30">
        <f t="shared" si="329"/>
        <v>2125.9891693939394</v>
      </c>
    </row>
    <row r="18482" spans="1:7" x14ac:dyDescent="0.25">
      <c r="A18482" s="28">
        <v>45017</v>
      </c>
      <c r="B18482" s="27" t="s">
        <v>200</v>
      </c>
      <c r="C18482" s="27" t="s">
        <v>56</v>
      </c>
      <c r="D18482" s="27" t="s">
        <v>6</v>
      </c>
      <c r="E18482" s="27" t="s">
        <v>10</v>
      </c>
      <c r="F18482" s="29"/>
      <c r="G18482" s="30">
        <f t="shared" si="329"/>
        <v>2125.9891693939394</v>
      </c>
    </row>
    <row r="18483" spans="1:7" x14ac:dyDescent="0.25">
      <c r="A18483" s="28">
        <v>45017</v>
      </c>
      <c r="B18483" s="27" t="s">
        <v>200</v>
      </c>
      <c r="C18483" s="27" t="s">
        <v>56</v>
      </c>
      <c r="D18483" s="27" t="s">
        <v>6</v>
      </c>
      <c r="E18483" s="27" t="s">
        <v>11</v>
      </c>
      <c r="F18483" s="29"/>
      <c r="G18483" s="30">
        <f t="shared" si="329"/>
        <v>2125.9891693939394</v>
      </c>
    </row>
    <row r="18484" spans="1:7" x14ac:dyDescent="0.25">
      <c r="A18484" s="28">
        <v>45017</v>
      </c>
      <c r="B18484" s="27" t="s">
        <v>200</v>
      </c>
      <c r="C18484" s="27" t="s">
        <v>56</v>
      </c>
      <c r="D18484" s="27" t="s">
        <v>6</v>
      </c>
      <c r="E18484" s="27" t="s">
        <v>12</v>
      </c>
      <c r="F18484" s="29"/>
      <c r="G18484" s="30">
        <f t="shared" si="329"/>
        <v>2125.9891693939394</v>
      </c>
    </row>
    <row r="18485" spans="1:7" x14ac:dyDescent="0.25">
      <c r="A18485" s="28">
        <v>45017</v>
      </c>
      <c r="B18485" s="27" t="s">
        <v>200</v>
      </c>
      <c r="C18485" s="27" t="s">
        <v>56</v>
      </c>
      <c r="D18485" s="27" t="s">
        <v>6</v>
      </c>
      <c r="E18485" s="27" t="s">
        <v>13</v>
      </c>
      <c r="F18485" s="29"/>
      <c r="G18485" s="30">
        <f t="shared" si="329"/>
        <v>2125.9891693939394</v>
      </c>
    </row>
    <row r="18486" spans="1:7" x14ac:dyDescent="0.25">
      <c r="A18486" s="28">
        <v>45017</v>
      </c>
      <c r="B18486" s="27" t="s">
        <v>200</v>
      </c>
      <c r="C18486" s="27" t="s">
        <v>56</v>
      </c>
      <c r="D18486" s="27" t="s">
        <v>6</v>
      </c>
      <c r="E18486" s="27" t="s">
        <v>14</v>
      </c>
      <c r="F18486" s="29"/>
      <c r="G18486" s="30">
        <f t="shared" si="329"/>
        <v>2125.9891693939394</v>
      </c>
    </row>
    <row r="18487" spans="1:7" x14ac:dyDescent="0.25">
      <c r="A18487" s="28">
        <v>45017</v>
      </c>
      <c r="B18487" s="27" t="s">
        <v>200</v>
      </c>
      <c r="C18487" s="27" t="s">
        <v>56</v>
      </c>
      <c r="D18487" s="27" t="s">
        <v>6</v>
      </c>
      <c r="E18487" s="27" t="s">
        <v>15</v>
      </c>
      <c r="F18487" s="29"/>
      <c r="G18487" s="30">
        <f t="shared" si="329"/>
        <v>2125.9891693939394</v>
      </c>
    </row>
    <row r="18488" spans="1:7" x14ac:dyDescent="0.25">
      <c r="A18488" s="28">
        <v>45017</v>
      </c>
      <c r="B18488" s="27" t="s">
        <v>200</v>
      </c>
      <c r="C18488" s="27" t="s">
        <v>56</v>
      </c>
      <c r="D18488" s="27" t="s">
        <v>6</v>
      </c>
      <c r="E18488" s="27" t="s">
        <v>16</v>
      </c>
      <c r="F18488" s="29"/>
      <c r="G18488" s="30">
        <f t="shared" si="329"/>
        <v>2125.9891693939394</v>
      </c>
    </row>
    <row r="18489" spans="1:7" x14ac:dyDescent="0.25">
      <c r="A18489" s="28">
        <v>45017</v>
      </c>
      <c r="B18489" s="27" t="s">
        <v>200</v>
      </c>
      <c r="C18489" s="27" t="s">
        <v>56</v>
      </c>
      <c r="D18489" s="27" t="s">
        <v>6</v>
      </c>
      <c r="E18489" s="27" t="s">
        <v>17</v>
      </c>
      <c r="F18489" s="29"/>
      <c r="G18489" s="30">
        <f t="shared" si="329"/>
        <v>2125.9891693939394</v>
      </c>
    </row>
    <row r="18490" spans="1:7" x14ac:dyDescent="0.25">
      <c r="A18490" s="28">
        <v>45017</v>
      </c>
      <c r="B18490" s="27" t="s">
        <v>200</v>
      </c>
      <c r="C18490" s="27" t="s">
        <v>56</v>
      </c>
      <c r="D18490" s="27" t="s">
        <v>6</v>
      </c>
      <c r="E18490" s="27" t="s">
        <v>18</v>
      </c>
      <c r="F18490" s="29"/>
      <c r="G18490" s="30">
        <f t="shared" si="329"/>
        <v>2125.9891693939394</v>
      </c>
    </row>
    <row r="18491" spans="1:7" x14ac:dyDescent="0.25">
      <c r="A18491" s="28">
        <v>45017</v>
      </c>
      <c r="B18491" s="27" t="s">
        <v>200</v>
      </c>
      <c r="C18491" s="27" t="s">
        <v>56</v>
      </c>
      <c r="D18491" s="27" t="s">
        <v>6</v>
      </c>
      <c r="E18491" s="27" t="s">
        <v>19</v>
      </c>
      <c r="F18491" s="29"/>
      <c r="G18491" s="30">
        <f t="shared" si="329"/>
        <v>2125.9891693939394</v>
      </c>
    </row>
    <row r="18492" spans="1:7" x14ac:dyDescent="0.25">
      <c r="A18492" s="28">
        <v>45017</v>
      </c>
      <c r="B18492" s="27" t="s">
        <v>200</v>
      </c>
      <c r="C18492" s="27" t="s">
        <v>56</v>
      </c>
      <c r="D18492" s="27" t="s">
        <v>6</v>
      </c>
      <c r="E18492" s="27" t="s">
        <v>20</v>
      </c>
      <c r="F18492" s="29"/>
      <c r="G18492" s="30">
        <f t="shared" si="329"/>
        <v>2125.9891693939394</v>
      </c>
    </row>
    <row r="18493" spans="1:7" x14ac:dyDescent="0.25">
      <c r="A18493" s="28">
        <v>45017</v>
      </c>
      <c r="B18493" s="27" t="s">
        <v>200</v>
      </c>
      <c r="C18493" s="27" t="s">
        <v>56</v>
      </c>
      <c r="D18493" s="27" t="s">
        <v>6</v>
      </c>
      <c r="E18493" s="27" t="s">
        <v>38</v>
      </c>
      <c r="F18493" s="29"/>
      <c r="G18493" s="30">
        <f t="shared" si="329"/>
        <v>2125.9891693939394</v>
      </c>
    </row>
    <row r="18494" spans="1:7" x14ac:dyDescent="0.25">
      <c r="A18494" s="28">
        <v>45017</v>
      </c>
      <c r="B18494" s="27" t="s">
        <v>200</v>
      </c>
      <c r="C18494" s="27" t="s">
        <v>56</v>
      </c>
      <c r="D18494" s="27" t="s">
        <v>6</v>
      </c>
      <c r="E18494" s="27" t="s">
        <v>23</v>
      </c>
      <c r="F18494" s="29"/>
      <c r="G18494" s="30">
        <f t="shared" si="329"/>
        <v>2125.9891693939394</v>
      </c>
    </row>
    <row r="18495" spans="1:7" x14ac:dyDescent="0.25">
      <c r="A18495" s="28">
        <v>45017</v>
      </c>
      <c r="B18495" s="27" t="s">
        <v>200</v>
      </c>
      <c r="C18495" s="27" t="s">
        <v>56</v>
      </c>
      <c r="D18495" s="27" t="s">
        <v>6</v>
      </c>
      <c r="E18495" s="27" t="s">
        <v>22</v>
      </c>
      <c r="F18495" s="29"/>
      <c r="G18495" s="30">
        <f t="shared" si="329"/>
        <v>2125.9891693939394</v>
      </c>
    </row>
    <row r="18496" spans="1:7" x14ac:dyDescent="0.25">
      <c r="A18496" s="28">
        <v>45017</v>
      </c>
      <c r="B18496" s="27" t="s">
        <v>200</v>
      </c>
      <c r="C18496" s="27" t="s">
        <v>56</v>
      </c>
      <c r="D18496" s="27" t="s">
        <v>6</v>
      </c>
      <c r="E18496" s="27" t="s">
        <v>39</v>
      </c>
      <c r="F18496" s="29"/>
      <c r="G18496" s="30">
        <f t="shared" si="329"/>
        <v>2125.9891693939394</v>
      </c>
    </row>
    <row r="18497" spans="1:7" x14ac:dyDescent="0.25">
      <c r="A18497" s="28">
        <v>45017</v>
      </c>
      <c r="B18497" s="27" t="s">
        <v>200</v>
      </c>
      <c r="C18497" s="27" t="s">
        <v>56</v>
      </c>
      <c r="D18497" s="27" t="s">
        <v>6</v>
      </c>
      <c r="E18497" s="27" t="s">
        <v>41</v>
      </c>
      <c r="F18497" s="29"/>
      <c r="G18497" s="30">
        <f t="shared" si="329"/>
        <v>2125.9891693939394</v>
      </c>
    </row>
    <row r="18498" spans="1:7" x14ac:dyDescent="0.25">
      <c r="A18498" s="28">
        <v>45017</v>
      </c>
      <c r="B18498" s="27" t="s">
        <v>200</v>
      </c>
      <c r="C18498" s="27" t="s">
        <v>56</v>
      </c>
      <c r="D18498" s="27" t="s">
        <v>6</v>
      </c>
      <c r="E18498" s="27" t="s">
        <v>40</v>
      </c>
      <c r="F18498" s="29"/>
      <c r="G18498" s="30">
        <f t="shared" si="329"/>
        <v>2125.9891693939394</v>
      </c>
    </row>
    <row r="18499" spans="1:7" x14ac:dyDescent="0.25">
      <c r="A18499" s="28">
        <v>45017</v>
      </c>
      <c r="B18499" s="27" t="s">
        <v>200</v>
      </c>
      <c r="C18499" s="27" t="s">
        <v>56</v>
      </c>
      <c r="D18499" s="27" t="s">
        <v>6</v>
      </c>
      <c r="E18499" s="27" t="s">
        <v>64</v>
      </c>
      <c r="F18499" s="29"/>
      <c r="G18499" s="30">
        <f t="shared" si="329"/>
        <v>2125.9891693939394</v>
      </c>
    </row>
    <row r="18500" spans="1:7" x14ac:dyDescent="0.25">
      <c r="A18500" s="28">
        <v>45017</v>
      </c>
      <c r="B18500" s="27" t="s">
        <v>200</v>
      </c>
      <c r="C18500" s="27" t="s">
        <v>56</v>
      </c>
      <c r="D18500" s="27" t="s">
        <v>6</v>
      </c>
      <c r="E18500" s="27" t="s">
        <v>42</v>
      </c>
      <c r="F18500" s="29"/>
      <c r="G18500" s="30">
        <f t="shared" si="329"/>
        <v>2125.9891693939394</v>
      </c>
    </row>
    <row r="18501" spans="1:7" x14ac:dyDescent="0.25">
      <c r="A18501" s="28">
        <v>45017</v>
      </c>
      <c r="B18501" s="27" t="s">
        <v>200</v>
      </c>
      <c r="C18501" s="27" t="s">
        <v>56</v>
      </c>
      <c r="D18501" s="27" t="s">
        <v>6</v>
      </c>
      <c r="E18501" s="27" t="s">
        <v>72</v>
      </c>
      <c r="F18501" s="29"/>
      <c r="G18501" s="30">
        <f t="shared" si="329"/>
        <v>2125.9891693939394</v>
      </c>
    </row>
    <row r="18502" spans="1:7" x14ac:dyDescent="0.25">
      <c r="A18502" s="28">
        <v>45017</v>
      </c>
      <c r="B18502" s="27" t="s">
        <v>200</v>
      </c>
      <c r="C18502" s="27" t="s">
        <v>56</v>
      </c>
      <c r="D18502" s="27" t="s">
        <v>6</v>
      </c>
      <c r="E18502" s="27" t="s">
        <v>43</v>
      </c>
      <c r="F18502" s="29"/>
      <c r="G18502" s="30">
        <f t="shared" si="329"/>
        <v>2125.9891693939394</v>
      </c>
    </row>
    <row r="18503" spans="1:7" x14ac:dyDescent="0.25">
      <c r="A18503" s="28">
        <v>45017</v>
      </c>
      <c r="B18503" s="27" t="s">
        <v>200</v>
      </c>
      <c r="C18503" s="27" t="s">
        <v>56</v>
      </c>
      <c r="D18503" s="27" t="s">
        <v>6</v>
      </c>
      <c r="E18503" s="27" t="s">
        <v>206</v>
      </c>
      <c r="F18503" s="29"/>
      <c r="G18503" s="30">
        <f t="shared" si="329"/>
        <v>2125.9891693939394</v>
      </c>
    </row>
    <row r="18504" spans="1:7" x14ac:dyDescent="0.25">
      <c r="A18504" s="28">
        <v>45017</v>
      </c>
      <c r="B18504" s="27" t="s">
        <v>200</v>
      </c>
      <c r="C18504" s="27" t="s">
        <v>56</v>
      </c>
      <c r="D18504" s="27" t="s">
        <v>6</v>
      </c>
      <c r="E18504" s="27" t="s">
        <v>68</v>
      </c>
      <c r="F18504" s="29"/>
      <c r="G18504" s="30">
        <f t="shared" si="329"/>
        <v>2125.9891693939394</v>
      </c>
    </row>
    <row r="18505" spans="1:7" x14ac:dyDescent="0.25">
      <c r="A18505" s="28">
        <v>45017</v>
      </c>
      <c r="B18505" s="27" t="s">
        <v>200</v>
      </c>
      <c r="C18505" s="27" t="s">
        <v>56</v>
      </c>
      <c r="D18505" s="27" t="s">
        <v>6</v>
      </c>
      <c r="E18505" s="27" t="s">
        <v>74</v>
      </c>
      <c r="F18505" s="29"/>
      <c r="G18505" s="30">
        <f t="shared" si="329"/>
        <v>2125.9891693939394</v>
      </c>
    </row>
    <row r="18506" spans="1:7" x14ac:dyDescent="0.25">
      <c r="A18506" s="28">
        <v>45017</v>
      </c>
      <c r="B18506" s="27" t="s">
        <v>200</v>
      </c>
      <c r="C18506" s="27" t="s">
        <v>56</v>
      </c>
      <c r="D18506" s="27" t="s">
        <v>6</v>
      </c>
      <c r="E18506" s="27" t="s">
        <v>67</v>
      </c>
      <c r="F18506" s="29"/>
      <c r="G18506" s="30">
        <f t="shared" si="329"/>
        <v>2125.9891693939394</v>
      </c>
    </row>
    <row r="18507" spans="1:7" x14ac:dyDescent="0.25">
      <c r="A18507" s="28">
        <v>45017</v>
      </c>
      <c r="B18507" s="27" t="s">
        <v>200</v>
      </c>
      <c r="C18507" s="27" t="s">
        <v>56</v>
      </c>
      <c r="D18507" s="27" t="s">
        <v>6</v>
      </c>
      <c r="E18507" s="27" t="s">
        <v>71</v>
      </c>
      <c r="F18507" s="29"/>
      <c r="G18507" s="30">
        <f t="shared" si="329"/>
        <v>2125.9891693939394</v>
      </c>
    </row>
    <row r="18508" spans="1:7" x14ac:dyDescent="0.25">
      <c r="A18508" s="28">
        <v>45017</v>
      </c>
      <c r="B18508" s="27" t="s">
        <v>200</v>
      </c>
      <c r="C18508" s="27" t="s">
        <v>56</v>
      </c>
      <c r="D18508" s="27" t="s">
        <v>6</v>
      </c>
      <c r="E18508" s="27" t="s">
        <v>73</v>
      </c>
      <c r="F18508" s="29"/>
      <c r="G18508" s="30">
        <f t="shared" si="329"/>
        <v>2125.9891693939394</v>
      </c>
    </row>
    <row r="18509" spans="1:7" x14ac:dyDescent="0.25">
      <c r="A18509" s="28">
        <v>45017</v>
      </c>
      <c r="B18509" s="27" t="s">
        <v>200</v>
      </c>
      <c r="C18509" s="27" t="s">
        <v>56</v>
      </c>
      <c r="D18509" s="27" t="s">
        <v>6</v>
      </c>
      <c r="E18509" s="27" t="s">
        <v>70</v>
      </c>
      <c r="F18509" s="29"/>
      <c r="G18509" s="30">
        <f t="shared" si="329"/>
        <v>2125.9891693939394</v>
      </c>
    </row>
    <row r="18510" spans="1:7" x14ac:dyDescent="0.25">
      <c r="A18510" s="28">
        <v>45017</v>
      </c>
      <c r="B18510" s="27" t="s">
        <v>200</v>
      </c>
      <c r="C18510" s="27" t="s">
        <v>56</v>
      </c>
      <c r="D18510" s="27" t="s">
        <v>6</v>
      </c>
      <c r="E18510" s="27" t="s">
        <v>203</v>
      </c>
      <c r="F18510" s="29"/>
      <c r="G18510" s="30">
        <f t="shared" si="329"/>
        <v>2125.9891693939394</v>
      </c>
    </row>
    <row r="18511" spans="1:7" x14ac:dyDescent="0.25">
      <c r="A18511" s="28">
        <v>45017</v>
      </c>
      <c r="B18511" s="27" t="s">
        <v>200</v>
      </c>
      <c r="C18511" s="27" t="s">
        <v>56</v>
      </c>
      <c r="D18511" s="27" t="s">
        <v>6</v>
      </c>
      <c r="E18511" s="27" t="s">
        <v>222</v>
      </c>
      <c r="F18511" s="29"/>
      <c r="G18511" s="30">
        <f t="shared" si="329"/>
        <v>2125.9891693939394</v>
      </c>
    </row>
    <row r="18512" spans="1:7" x14ac:dyDescent="0.25">
      <c r="A18512" s="28">
        <v>45017</v>
      </c>
      <c r="B18512" s="27" t="s">
        <v>200</v>
      </c>
      <c r="C18512" s="27" t="s">
        <v>182</v>
      </c>
      <c r="D18512" s="27" t="s">
        <v>7</v>
      </c>
      <c r="E18512" s="27" t="s">
        <v>8</v>
      </c>
      <c r="F18512" s="29"/>
      <c r="G18512" s="30">
        <f t="shared" ref="G18512:G18544" si="330">9443.539879/33</f>
        <v>286.16787512121209</v>
      </c>
    </row>
    <row r="18513" spans="1:7" x14ac:dyDescent="0.25">
      <c r="A18513" s="28">
        <v>45017</v>
      </c>
      <c r="B18513" s="27" t="s">
        <v>200</v>
      </c>
      <c r="C18513" s="27" t="s">
        <v>182</v>
      </c>
      <c r="D18513" s="27" t="s">
        <v>7</v>
      </c>
      <c r="E18513" s="27" t="s">
        <v>9</v>
      </c>
      <c r="F18513" s="29"/>
      <c r="G18513" s="30">
        <f t="shared" si="330"/>
        <v>286.16787512121209</v>
      </c>
    </row>
    <row r="18514" spans="1:7" x14ac:dyDescent="0.25">
      <c r="A18514" s="28">
        <v>45017</v>
      </c>
      <c r="B18514" s="27" t="s">
        <v>200</v>
      </c>
      <c r="C18514" s="27" t="s">
        <v>182</v>
      </c>
      <c r="D18514" s="27" t="s">
        <v>7</v>
      </c>
      <c r="E18514" s="27" t="s">
        <v>21</v>
      </c>
      <c r="F18514" s="29"/>
      <c r="G18514" s="30">
        <f t="shared" si="330"/>
        <v>286.16787512121209</v>
      </c>
    </row>
    <row r="18515" spans="1:7" x14ac:dyDescent="0.25">
      <c r="A18515" s="28">
        <v>45017</v>
      </c>
      <c r="B18515" s="27" t="s">
        <v>200</v>
      </c>
      <c r="C18515" s="27" t="s">
        <v>182</v>
      </c>
      <c r="D18515" s="27" t="s">
        <v>7</v>
      </c>
      <c r="E18515" s="27" t="s">
        <v>10</v>
      </c>
      <c r="F18515" s="29"/>
      <c r="G18515" s="30">
        <f t="shared" si="330"/>
        <v>286.16787512121209</v>
      </c>
    </row>
    <row r="18516" spans="1:7" x14ac:dyDescent="0.25">
      <c r="A18516" s="28">
        <v>45017</v>
      </c>
      <c r="B18516" s="27" t="s">
        <v>200</v>
      </c>
      <c r="C18516" s="27" t="s">
        <v>182</v>
      </c>
      <c r="D18516" s="27" t="s">
        <v>7</v>
      </c>
      <c r="E18516" s="27" t="s">
        <v>11</v>
      </c>
      <c r="F18516" s="29"/>
      <c r="G18516" s="30">
        <f t="shared" si="330"/>
        <v>286.16787512121209</v>
      </c>
    </row>
    <row r="18517" spans="1:7" x14ac:dyDescent="0.25">
      <c r="A18517" s="28">
        <v>45017</v>
      </c>
      <c r="B18517" s="27" t="s">
        <v>200</v>
      </c>
      <c r="C18517" s="27" t="s">
        <v>182</v>
      </c>
      <c r="D18517" s="27" t="s">
        <v>7</v>
      </c>
      <c r="E18517" s="27" t="s">
        <v>12</v>
      </c>
      <c r="F18517" s="29"/>
      <c r="G18517" s="30">
        <f t="shared" si="330"/>
        <v>286.16787512121209</v>
      </c>
    </row>
    <row r="18518" spans="1:7" x14ac:dyDescent="0.25">
      <c r="A18518" s="28">
        <v>45017</v>
      </c>
      <c r="B18518" s="27" t="s">
        <v>200</v>
      </c>
      <c r="C18518" s="27" t="s">
        <v>182</v>
      </c>
      <c r="D18518" s="27" t="s">
        <v>7</v>
      </c>
      <c r="E18518" s="27" t="s">
        <v>13</v>
      </c>
      <c r="F18518" s="29"/>
      <c r="G18518" s="30">
        <f t="shared" si="330"/>
        <v>286.16787512121209</v>
      </c>
    </row>
    <row r="18519" spans="1:7" x14ac:dyDescent="0.25">
      <c r="A18519" s="28">
        <v>45017</v>
      </c>
      <c r="B18519" s="27" t="s">
        <v>200</v>
      </c>
      <c r="C18519" s="27" t="s">
        <v>182</v>
      </c>
      <c r="D18519" s="27" t="s">
        <v>7</v>
      </c>
      <c r="E18519" s="27" t="s">
        <v>14</v>
      </c>
      <c r="F18519" s="29"/>
      <c r="G18519" s="30">
        <f t="shared" si="330"/>
        <v>286.16787512121209</v>
      </c>
    </row>
    <row r="18520" spans="1:7" x14ac:dyDescent="0.25">
      <c r="A18520" s="28">
        <v>45017</v>
      </c>
      <c r="B18520" s="27" t="s">
        <v>200</v>
      </c>
      <c r="C18520" s="27" t="s">
        <v>182</v>
      </c>
      <c r="D18520" s="27" t="s">
        <v>7</v>
      </c>
      <c r="E18520" s="27" t="s">
        <v>15</v>
      </c>
      <c r="F18520" s="29"/>
      <c r="G18520" s="30">
        <f t="shared" si="330"/>
        <v>286.16787512121209</v>
      </c>
    </row>
    <row r="18521" spans="1:7" x14ac:dyDescent="0.25">
      <c r="A18521" s="28">
        <v>45017</v>
      </c>
      <c r="B18521" s="27" t="s">
        <v>200</v>
      </c>
      <c r="C18521" s="27" t="s">
        <v>182</v>
      </c>
      <c r="D18521" s="27" t="s">
        <v>7</v>
      </c>
      <c r="E18521" s="27" t="s">
        <v>16</v>
      </c>
      <c r="F18521" s="29"/>
      <c r="G18521" s="30">
        <f t="shared" si="330"/>
        <v>286.16787512121209</v>
      </c>
    </row>
    <row r="18522" spans="1:7" x14ac:dyDescent="0.25">
      <c r="A18522" s="28">
        <v>45017</v>
      </c>
      <c r="B18522" s="27" t="s">
        <v>200</v>
      </c>
      <c r="C18522" s="27" t="s">
        <v>182</v>
      </c>
      <c r="D18522" s="27" t="s">
        <v>7</v>
      </c>
      <c r="E18522" s="27" t="s">
        <v>17</v>
      </c>
      <c r="F18522" s="29"/>
      <c r="G18522" s="30">
        <f t="shared" si="330"/>
        <v>286.16787512121209</v>
      </c>
    </row>
    <row r="18523" spans="1:7" x14ac:dyDescent="0.25">
      <c r="A18523" s="28">
        <v>45017</v>
      </c>
      <c r="B18523" s="27" t="s">
        <v>200</v>
      </c>
      <c r="C18523" s="27" t="s">
        <v>182</v>
      </c>
      <c r="D18523" s="27" t="s">
        <v>7</v>
      </c>
      <c r="E18523" s="27" t="s">
        <v>18</v>
      </c>
      <c r="F18523" s="29"/>
      <c r="G18523" s="30">
        <f t="shared" si="330"/>
        <v>286.16787512121209</v>
      </c>
    </row>
    <row r="18524" spans="1:7" x14ac:dyDescent="0.25">
      <c r="A18524" s="28">
        <v>45017</v>
      </c>
      <c r="B18524" s="27" t="s">
        <v>200</v>
      </c>
      <c r="C18524" s="27" t="s">
        <v>182</v>
      </c>
      <c r="D18524" s="27" t="s">
        <v>7</v>
      </c>
      <c r="E18524" s="27" t="s">
        <v>19</v>
      </c>
      <c r="F18524" s="29"/>
      <c r="G18524" s="30">
        <f t="shared" si="330"/>
        <v>286.16787512121209</v>
      </c>
    </row>
    <row r="18525" spans="1:7" x14ac:dyDescent="0.25">
      <c r="A18525" s="28">
        <v>45017</v>
      </c>
      <c r="B18525" s="27" t="s">
        <v>200</v>
      </c>
      <c r="C18525" s="27" t="s">
        <v>182</v>
      </c>
      <c r="D18525" s="27" t="s">
        <v>7</v>
      </c>
      <c r="E18525" s="27" t="s">
        <v>20</v>
      </c>
      <c r="F18525" s="29"/>
      <c r="G18525" s="30">
        <f t="shared" si="330"/>
        <v>286.16787512121209</v>
      </c>
    </row>
    <row r="18526" spans="1:7" x14ac:dyDescent="0.25">
      <c r="A18526" s="28">
        <v>45017</v>
      </c>
      <c r="B18526" s="27" t="s">
        <v>200</v>
      </c>
      <c r="C18526" s="27" t="s">
        <v>182</v>
      </c>
      <c r="D18526" s="27" t="s">
        <v>7</v>
      </c>
      <c r="E18526" s="27" t="s">
        <v>38</v>
      </c>
      <c r="F18526" s="29"/>
      <c r="G18526" s="30">
        <f t="shared" si="330"/>
        <v>286.16787512121209</v>
      </c>
    </row>
    <row r="18527" spans="1:7" x14ac:dyDescent="0.25">
      <c r="A18527" s="28">
        <v>45017</v>
      </c>
      <c r="B18527" s="27" t="s">
        <v>200</v>
      </c>
      <c r="C18527" s="27" t="s">
        <v>182</v>
      </c>
      <c r="D18527" s="27" t="s">
        <v>7</v>
      </c>
      <c r="E18527" s="27" t="s">
        <v>23</v>
      </c>
      <c r="F18527" s="29"/>
      <c r="G18527" s="30">
        <f t="shared" si="330"/>
        <v>286.16787512121209</v>
      </c>
    </row>
    <row r="18528" spans="1:7" x14ac:dyDescent="0.25">
      <c r="A18528" s="28">
        <v>45017</v>
      </c>
      <c r="B18528" s="27" t="s">
        <v>200</v>
      </c>
      <c r="C18528" s="27" t="s">
        <v>182</v>
      </c>
      <c r="D18528" s="27" t="s">
        <v>7</v>
      </c>
      <c r="E18528" s="27" t="s">
        <v>22</v>
      </c>
      <c r="F18528" s="29"/>
      <c r="G18528" s="30">
        <f t="shared" si="330"/>
        <v>286.16787512121209</v>
      </c>
    </row>
    <row r="18529" spans="1:7" x14ac:dyDescent="0.25">
      <c r="A18529" s="28">
        <v>45017</v>
      </c>
      <c r="B18529" s="27" t="s">
        <v>200</v>
      </c>
      <c r="C18529" s="27" t="s">
        <v>182</v>
      </c>
      <c r="D18529" s="27" t="s">
        <v>7</v>
      </c>
      <c r="E18529" s="27" t="s">
        <v>39</v>
      </c>
      <c r="F18529" s="29"/>
      <c r="G18529" s="30">
        <f t="shared" si="330"/>
        <v>286.16787512121209</v>
      </c>
    </row>
    <row r="18530" spans="1:7" x14ac:dyDescent="0.25">
      <c r="A18530" s="28">
        <v>45017</v>
      </c>
      <c r="B18530" s="27" t="s">
        <v>200</v>
      </c>
      <c r="C18530" s="27" t="s">
        <v>182</v>
      </c>
      <c r="D18530" s="27" t="s">
        <v>7</v>
      </c>
      <c r="E18530" s="27" t="s">
        <v>41</v>
      </c>
      <c r="F18530" s="29"/>
      <c r="G18530" s="30">
        <f t="shared" si="330"/>
        <v>286.16787512121209</v>
      </c>
    </row>
    <row r="18531" spans="1:7" x14ac:dyDescent="0.25">
      <c r="A18531" s="28">
        <v>45017</v>
      </c>
      <c r="B18531" s="27" t="s">
        <v>200</v>
      </c>
      <c r="C18531" s="27" t="s">
        <v>182</v>
      </c>
      <c r="D18531" s="27" t="s">
        <v>7</v>
      </c>
      <c r="E18531" s="27" t="s">
        <v>40</v>
      </c>
      <c r="F18531" s="29"/>
      <c r="G18531" s="30">
        <f t="shared" si="330"/>
        <v>286.16787512121209</v>
      </c>
    </row>
    <row r="18532" spans="1:7" x14ac:dyDescent="0.25">
      <c r="A18532" s="28">
        <v>45017</v>
      </c>
      <c r="B18532" s="27" t="s">
        <v>200</v>
      </c>
      <c r="C18532" s="27" t="s">
        <v>182</v>
      </c>
      <c r="D18532" s="27" t="s">
        <v>7</v>
      </c>
      <c r="E18532" s="27" t="s">
        <v>64</v>
      </c>
      <c r="F18532" s="29"/>
      <c r="G18532" s="30">
        <f t="shared" si="330"/>
        <v>286.16787512121209</v>
      </c>
    </row>
    <row r="18533" spans="1:7" x14ac:dyDescent="0.25">
      <c r="A18533" s="28">
        <v>45017</v>
      </c>
      <c r="B18533" s="27" t="s">
        <v>200</v>
      </c>
      <c r="C18533" s="27" t="s">
        <v>182</v>
      </c>
      <c r="D18533" s="27" t="s">
        <v>7</v>
      </c>
      <c r="E18533" s="27" t="s">
        <v>42</v>
      </c>
      <c r="F18533" s="29"/>
      <c r="G18533" s="30">
        <f t="shared" si="330"/>
        <v>286.16787512121209</v>
      </c>
    </row>
    <row r="18534" spans="1:7" x14ac:dyDescent="0.25">
      <c r="A18534" s="28">
        <v>45017</v>
      </c>
      <c r="B18534" s="27" t="s">
        <v>200</v>
      </c>
      <c r="C18534" s="27" t="s">
        <v>182</v>
      </c>
      <c r="D18534" s="27" t="s">
        <v>7</v>
      </c>
      <c r="E18534" s="27" t="s">
        <v>72</v>
      </c>
      <c r="F18534" s="29"/>
      <c r="G18534" s="30">
        <f t="shared" si="330"/>
        <v>286.16787512121209</v>
      </c>
    </row>
    <row r="18535" spans="1:7" x14ac:dyDescent="0.25">
      <c r="A18535" s="28">
        <v>45017</v>
      </c>
      <c r="B18535" s="27" t="s">
        <v>200</v>
      </c>
      <c r="C18535" s="27" t="s">
        <v>182</v>
      </c>
      <c r="D18535" s="27" t="s">
        <v>7</v>
      </c>
      <c r="E18535" s="27" t="s">
        <v>43</v>
      </c>
      <c r="F18535" s="29"/>
      <c r="G18535" s="30">
        <f t="shared" si="330"/>
        <v>286.16787512121209</v>
      </c>
    </row>
    <row r="18536" spans="1:7" x14ac:dyDescent="0.25">
      <c r="A18536" s="28">
        <v>45017</v>
      </c>
      <c r="B18536" s="27" t="s">
        <v>200</v>
      </c>
      <c r="C18536" s="27" t="s">
        <v>182</v>
      </c>
      <c r="D18536" s="27" t="s">
        <v>7</v>
      </c>
      <c r="E18536" s="27" t="s">
        <v>206</v>
      </c>
      <c r="F18536" s="29"/>
      <c r="G18536" s="30">
        <f t="shared" si="330"/>
        <v>286.16787512121209</v>
      </c>
    </row>
    <row r="18537" spans="1:7" x14ac:dyDescent="0.25">
      <c r="A18537" s="28">
        <v>45017</v>
      </c>
      <c r="B18537" s="27" t="s">
        <v>200</v>
      </c>
      <c r="C18537" s="27" t="s">
        <v>182</v>
      </c>
      <c r="D18537" s="27" t="s">
        <v>7</v>
      </c>
      <c r="E18537" s="27" t="s">
        <v>68</v>
      </c>
      <c r="F18537" s="29"/>
      <c r="G18537" s="30">
        <f t="shared" si="330"/>
        <v>286.16787512121209</v>
      </c>
    </row>
    <row r="18538" spans="1:7" x14ac:dyDescent="0.25">
      <c r="A18538" s="28">
        <v>45017</v>
      </c>
      <c r="B18538" s="27" t="s">
        <v>200</v>
      </c>
      <c r="C18538" s="27" t="s">
        <v>182</v>
      </c>
      <c r="D18538" s="27" t="s">
        <v>7</v>
      </c>
      <c r="E18538" s="27" t="s">
        <v>74</v>
      </c>
      <c r="F18538" s="29"/>
      <c r="G18538" s="30">
        <f t="shared" si="330"/>
        <v>286.16787512121209</v>
      </c>
    </row>
    <row r="18539" spans="1:7" x14ac:dyDescent="0.25">
      <c r="A18539" s="28">
        <v>45017</v>
      </c>
      <c r="B18539" s="27" t="s">
        <v>200</v>
      </c>
      <c r="C18539" s="27" t="s">
        <v>182</v>
      </c>
      <c r="D18539" s="27" t="s">
        <v>7</v>
      </c>
      <c r="E18539" s="27" t="s">
        <v>67</v>
      </c>
      <c r="F18539" s="29"/>
      <c r="G18539" s="30">
        <f t="shared" si="330"/>
        <v>286.16787512121209</v>
      </c>
    </row>
    <row r="18540" spans="1:7" x14ac:dyDescent="0.25">
      <c r="A18540" s="28">
        <v>45017</v>
      </c>
      <c r="B18540" s="27" t="s">
        <v>200</v>
      </c>
      <c r="C18540" s="27" t="s">
        <v>182</v>
      </c>
      <c r="D18540" s="27" t="s">
        <v>7</v>
      </c>
      <c r="E18540" s="27" t="s">
        <v>71</v>
      </c>
      <c r="F18540" s="29"/>
      <c r="G18540" s="30">
        <f t="shared" si="330"/>
        <v>286.16787512121209</v>
      </c>
    </row>
    <row r="18541" spans="1:7" x14ac:dyDescent="0.25">
      <c r="A18541" s="28">
        <v>45017</v>
      </c>
      <c r="B18541" s="27" t="s">
        <v>200</v>
      </c>
      <c r="C18541" s="27" t="s">
        <v>182</v>
      </c>
      <c r="D18541" s="27" t="s">
        <v>7</v>
      </c>
      <c r="E18541" s="27" t="s">
        <v>73</v>
      </c>
      <c r="F18541" s="29"/>
      <c r="G18541" s="30">
        <f t="shared" si="330"/>
        <v>286.16787512121209</v>
      </c>
    </row>
    <row r="18542" spans="1:7" x14ac:dyDescent="0.25">
      <c r="A18542" s="28">
        <v>45017</v>
      </c>
      <c r="B18542" s="27" t="s">
        <v>200</v>
      </c>
      <c r="C18542" s="27" t="s">
        <v>182</v>
      </c>
      <c r="D18542" s="27" t="s">
        <v>7</v>
      </c>
      <c r="E18542" s="27" t="s">
        <v>70</v>
      </c>
      <c r="F18542" s="29"/>
      <c r="G18542" s="30">
        <f t="shared" si="330"/>
        <v>286.16787512121209</v>
      </c>
    </row>
    <row r="18543" spans="1:7" x14ac:dyDescent="0.25">
      <c r="A18543" s="28">
        <v>45017</v>
      </c>
      <c r="B18543" s="27" t="s">
        <v>200</v>
      </c>
      <c r="C18543" s="27" t="s">
        <v>182</v>
      </c>
      <c r="D18543" s="27" t="s">
        <v>7</v>
      </c>
      <c r="E18543" s="27" t="s">
        <v>203</v>
      </c>
      <c r="F18543" s="29"/>
      <c r="G18543" s="30">
        <f t="shared" si="330"/>
        <v>286.16787512121209</v>
      </c>
    </row>
    <row r="18544" spans="1:7" x14ac:dyDescent="0.25">
      <c r="A18544" s="28">
        <v>45017</v>
      </c>
      <c r="B18544" s="27" t="s">
        <v>200</v>
      </c>
      <c r="C18544" s="27" t="s">
        <v>182</v>
      </c>
      <c r="D18544" s="27" t="s">
        <v>7</v>
      </c>
      <c r="E18544" s="27" t="s">
        <v>222</v>
      </c>
      <c r="F18544" s="29"/>
      <c r="G18544" s="30">
        <f t="shared" si="330"/>
        <v>286.16787512121209</v>
      </c>
    </row>
    <row r="18545" spans="1:7" x14ac:dyDescent="0.25">
      <c r="A18545" s="28">
        <v>45017</v>
      </c>
      <c r="B18545" s="27" t="s">
        <v>200</v>
      </c>
      <c r="C18545" s="27" t="s">
        <v>55</v>
      </c>
      <c r="D18545" s="27" t="s">
        <v>6</v>
      </c>
      <c r="E18545" s="27" t="s">
        <v>8</v>
      </c>
      <c r="F18545" s="29"/>
      <c r="G18545" s="30">
        <f t="shared" ref="G18545:G18577" si="331">44891.28143/33</f>
        <v>1360.3418615151515</v>
      </c>
    </row>
    <row r="18546" spans="1:7" x14ac:dyDescent="0.25">
      <c r="A18546" s="28">
        <v>45017</v>
      </c>
      <c r="B18546" s="27" t="s">
        <v>200</v>
      </c>
      <c r="C18546" s="27" t="s">
        <v>55</v>
      </c>
      <c r="D18546" s="27" t="s">
        <v>6</v>
      </c>
      <c r="E18546" s="27" t="s">
        <v>9</v>
      </c>
      <c r="F18546" s="29"/>
      <c r="G18546" s="30">
        <f t="shared" si="331"/>
        <v>1360.3418615151515</v>
      </c>
    </row>
    <row r="18547" spans="1:7" x14ac:dyDescent="0.25">
      <c r="A18547" s="28">
        <v>45017</v>
      </c>
      <c r="B18547" s="27" t="s">
        <v>200</v>
      </c>
      <c r="C18547" s="27" t="s">
        <v>55</v>
      </c>
      <c r="D18547" s="27" t="s">
        <v>6</v>
      </c>
      <c r="E18547" s="27" t="s">
        <v>21</v>
      </c>
      <c r="F18547" s="29"/>
      <c r="G18547" s="30">
        <f t="shared" si="331"/>
        <v>1360.3418615151515</v>
      </c>
    </row>
    <row r="18548" spans="1:7" x14ac:dyDescent="0.25">
      <c r="A18548" s="28">
        <v>45017</v>
      </c>
      <c r="B18548" s="27" t="s">
        <v>200</v>
      </c>
      <c r="C18548" s="27" t="s">
        <v>55</v>
      </c>
      <c r="D18548" s="27" t="s">
        <v>6</v>
      </c>
      <c r="E18548" s="27" t="s">
        <v>10</v>
      </c>
      <c r="F18548" s="29"/>
      <c r="G18548" s="30">
        <f t="shared" si="331"/>
        <v>1360.3418615151515</v>
      </c>
    </row>
    <row r="18549" spans="1:7" x14ac:dyDescent="0.25">
      <c r="A18549" s="28">
        <v>45017</v>
      </c>
      <c r="B18549" s="27" t="s">
        <v>200</v>
      </c>
      <c r="C18549" s="27" t="s">
        <v>55</v>
      </c>
      <c r="D18549" s="27" t="s">
        <v>6</v>
      </c>
      <c r="E18549" s="27" t="s">
        <v>11</v>
      </c>
      <c r="F18549" s="29"/>
      <c r="G18549" s="30">
        <f t="shared" si="331"/>
        <v>1360.3418615151515</v>
      </c>
    </row>
    <row r="18550" spans="1:7" x14ac:dyDescent="0.25">
      <c r="A18550" s="28">
        <v>45017</v>
      </c>
      <c r="B18550" s="27" t="s">
        <v>200</v>
      </c>
      <c r="C18550" s="27" t="s">
        <v>55</v>
      </c>
      <c r="D18550" s="27" t="s">
        <v>6</v>
      </c>
      <c r="E18550" s="27" t="s">
        <v>12</v>
      </c>
      <c r="F18550" s="29"/>
      <c r="G18550" s="30">
        <f t="shared" si="331"/>
        <v>1360.3418615151515</v>
      </c>
    </row>
    <row r="18551" spans="1:7" x14ac:dyDescent="0.25">
      <c r="A18551" s="28">
        <v>45017</v>
      </c>
      <c r="B18551" s="27" t="s">
        <v>200</v>
      </c>
      <c r="C18551" s="27" t="s">
        <v>55</v>
      </c>
      <c r="D18551" s="27" t="s">
        <v>6</v>
      </c>
      <c r="E18551" s="27" t="s">
        <v>13</v>
      </c>
      <c r="F18551" s="29"/>
      <c r="G18551" s="30">
        <f t="shared" si="331"/>
        <v>1360.3418615151515</v>
      </c>
    </row>
    <row r="18552" spans="1:7" x14ac:dyDescent="0.25">
      <c r="A18552" s="28">
        <v>45017</v>
      </c>
      <c r="B18552" s="27" t="s">
        <v>200</v>
      </c>
      <c r="C18552" s="27" t="s">
        <v>55</v>
      </c>
      <c r="D18552" s="27" t="s">
        <v>6</v>
      </c>
      <c r="E18552" s="27" t="s">
        <v>14</v>
      </c>
      <c r="F18552" s="29"/>
      <c r="G18552" s="30">
        <f t="shared" si="331"/>
        <v>1360.3418615151515</v>
      </c>
    </row>
    <row r="18553" spans="1:7" x14ac:dyDescent="0.25">
      <c r="A18553" s="28">
        <v>45017</v>
      </c>
      <c r="B18553" s="27" t="s">
        <v>200</v>
      </c>
      <c r="C18553" s="27" t="s">
        <v>55</v>
      </c>
      <c r="D18553" s="27" t="s">
        <v>6</v>
      </c>
      <c r="E18553" s="27" t="s">
        <v>15</v>
      </c>
      <c r="F18553" s="29"/>
      <c r="G18553" s="30">
        <f t="shared" si="331"/>
        <v>1360.3418615151515</v>
      </c>
    </row>
    <row r="18554" spans="1:7" x14ac:dyDescent="0.25">
      <c r="A18554" s="28">
        <v>45017</v>
      </c>
      <c r="B18554" s="27" t="s">
        <v>200</v>
      </c>
      <c r="C18554" s="27" t="s">
        <v>55</v>
      </c>
      <c r="D18554" s="27" t="s">
        <v>6</v>
      </c>
      <c r="E18554" s="27" t="s">
        <v>16</v>
      </c>
      <c r="F18554" s="29"/>
      <c r="G18554" s="30">
        <f t="shared" si="331"/>
        <v>1360.3418615151515</v>
      </c>
    </row>
    <row r="18555" spans="1:7" x14ac:dyDescent="0.25">
      <c r="A18555" s="28">
        <v>45017</v>
      </c>
      <c r="B18555" s="27" t="s">
        <v>200</v>
      </c>
      <c r="C18555" s="27" t="s">
        <v>55</v>
      </c>
      <c r="D18555" s="27" t="s">
        <v>6</v>
      </c>
      <c r="E18555" s="27" t="s">
        <v>17</v>
      </c>
      <c r="F18555" s="29"/>
      <c r="G18555" s="30">
        <f t="shared" si="331"/>
        <v>1360.3418615151515</v>
      </c>
    </row>
    <row r="18556" spans="1:7" x14ac:dyDescent="0.25">
      <c r="A18556" s="28">
        <v>45017</v>
      </c>
      <c r="B18556" s="27" t="s">
        <v>200</v>
      </c>
      <c r="C18556" s="27" t="s">
        <v>55</v>
      </c>
      <c r="D18556" s="27" t="s">
        <v>6</v>
      </c>
      <c r="E18556" s="27" t="s">
        <v>18</v>
      </c>
      <c r="F18556" s="29"/>
      <c r="G18556" s="30">
        <f t="shared" si="331"/>
        <v>1360.3418615151515</v>
      </c>
    </row>
    <row r="18557" spans="1:7" x14ac:dyDescent="0.25">
      <c r="A18557" s="28">
        <v>45017</v>
      </c>
      <c r="B18557" s="27" t="s">
        <v>200</v>
      </c>
      <c r="C18557" s="27" t="s">
        <v>55</v>
      </c>
      <c r="D18557" s="27" t="s">
        <v>6</v>
      </c>
      <c r="E18557" s="27" t="s">
        <v>19</v>
      </c>
      <c r="F18557" s="29"/>
      <c r="G18557" s="30">
        <f t="shared" si="331"/>
        <v>1360.3418615151515</v>
      </c>
    </row>
    <row r="18558" spans="1:7" x14ac:dyDescent="0.25">
      <c r="A18558" s="28">
        <v>45017</v>
      </c>
      <c r="B18558" s="27" t="s">
        <v>200</v>
      </c>
      <c r="C18558" s="27" t="s">
        <v>55</v>
      </c>
      <c r="D18558" s="27" t="s">
        <v>6</v>
      </c>
      <c r="E18558" s="27" t="s">
        <v>20</v>
      </c>
      <c r="F18558" s="29"/>
      <c r="G18558" s="30">
        <f t="shared" si="331"/>
        <v>1360.3418615151515</v>
      </c>
    </row>
    <row r="18559" spans="1:7" x14ac:dyDescent="0.25">
      <c r="A18559" s="28">
        <v>45017</v>
      </c>
      <c r="B18559" s="27" t="s">
        <v>200</v>
      </c>
      <c r="C18559" s="27" t="s">
        <v>55</v>
      </c>
      <c r="D18559" s="27" t="s">
        <v>6</v>
      </c>
      <c r="E18559" s="27" t="s">
        <v>38</v>
      </c>
      <c r="F18559" s="29"/>
      <c r="G18559" s="30">
        <f t="shared" si="331"/>
        <v>1360.3418615151515</v>
      </c>
    </row>
    <row r="18560" spans="1:7" x14ac:dyDescent="0.25">
      <c r="A18560" s="28">
        <v>45017</v>
      </c>
      <c r="B18560" s="27" t="s">
        <v>200</v>
      </c>
      <c r="C18560" s="27" t="s">
        <v>55</v>
      </c>
      <c r="D18560" s="27" t="s">
        <v>6</v>
      </c>
      <c r="E18560" s="27" t="s">
        <v>23</v>
      </c>
      <c r="F18560" s="29"/>
      <c r="G18560" s="30">
        <f t="shared" si="331"/>
        <v>1360.3418615151515</v>
      </c>
    </row>
    <row r="18561" spans="1:7" x14ac:dyDescent="0.25">
      <c r="A18561" s="28">
        <v>45017</v>
      </c>
      <c r="B18561" s="27" t="s">
        <v>200</v>
      </c>
      <c r="C18561" s="27" t="s">
        <v>55</v>
      </c>
      <c r="D18561" s="27" t="s">
        <v>6</v>
      </c>
      <c r="E18561" s="27" t="s">
        <v>22</v>
      </c>
      <c r="F18561" s="29"/>
      <c r="G18561" s="30">
        <f t="shared" si="331"/>
        <v>1360.3418615151515</v>
      </c>
    </row>
    <row r="18562" spans="1:7" x14ac:dyDescent="0.25">
      <c r="A18562" s="28">
        <v>45017</v>
      </c>
      <c r="B18562" s="27" t="s">
        <v>200</v>
      </c>
      <c r="C18562" s="27" t="s">
        <v>55</v>
      </c>
      <c r="D18562" s="27" t="s">
        <v>6</v>
      </c>
      <c r="E18562" s="27" t="s">
        <v>39</v>
      </c>
      <c r="F18562" s="29"/>
      <c r="G18562" s="30">
        <f t="shared" si="331"/>
        <v>1360.3418615151515</v>
      </c>
    </row>
    <row r="18563" spans="1:7" x14ac:dyDescent="0.25">
      <c r="A18563" s="28">
        <v>45017</v>
      </c>
      <c r="B18563" s="27" t="s">
        <v>200</v>
      </c>
      <c r="C18563" s="27" t="s">
        <v>55</v>
      </c>
      <c r="D18563" s="27" t="s">
        <v>6</v>
      </c>
      <c r="E18563" s="27" t="s">
        <v>41</v>
      </c>
      <c r="F18563" s="29"/>
      <c r="G18563" s="30">
        <f t="shared" si="331"/>
        <v>1360.3418615151515</v>
      </c>
    </row>
    <row r="18564" spans="1:7" x14ac:dyDescent="0.25">
      <c r="A18564" s="28">
        <v>45017</v>
      </c>
      <c r="B18564" s="27" t="s">
        <v>200</v>
      </c>
      <c r="C18564" s="27" t="s">
        <v>55</v>
      </c>
      <c r="D18564" s="27" t="s">
        <v>6</v>
      </c>
      <c r="E18564" s="27" t="s">
        <v>40</v>
      </c>
      <c r="F18564" s="29"/>
      <c r="G18564" s="30">
        <f t="shared" si="331"/>
        <v>1360.3418615151515</v>
      </c>
    </row>
    <row r="18565" spans="1:7" x14ac:dyDescent="0.25">
      <c r="A18565" s="28">
        <v>45017</v>
      </c>
      <c r="B18565" s="27" t="s">
        <v>200</v>
      </c>
      <c r="C18565" s="27" t="s">
        <v>55</v>
      </c>
      <c r="D18565" s="27" t="s">
        <v>6</v>
      </c>
      <c r="E18565" s="27" t="s">
        <v>64</v>
      </c>
      <c r="F18565" s="29"/>
      <c r="G18565" s="30">
        <f t="shared" si="331"/>
        <v>1360.3418615151515</v>
      </c>
    </row>
    <row r="18566" spans="1:7" x14ac:dyDescent="0.25">
      <c r="A18566" s="28">
        <v>45017</v>
      </c>
      <c r="B18566" s="27" t="s">
        <v>200</v>
      </c>
      <c r="C18566" s="27" t="s">
        <v>55</v>
      </c>
      <c r="D18566" s="27" t="s">
        <v>6</v>
      </c>
      <c r="E18566" s="27" t="s">
        <v>42</v>
      </c>
      <c r="F18566" s="29"/>
      <c r="G18566" s="30">
        <f t="shared" si="331"/>
        <v>1360.3418615151515</v>
      </c>
    </row>
    <row r="18567" spans="1:7" x14ac:dyDescent="0.25">
      <c r="A18567" s="28">
        <v>45017</v>
      </c>
      <c r="B18567" s="27" t="s">
        <v>200</v>
      </c>
      <c r="C18567" s="27" t="s">
        <v>55</v>
      </c>
      <c r="D18567" s="27" t="s">
        <v>6</v>
      </c>
      <c r="E18567" s="27" t="s">
        <v>72</v>
      </c>
      <c r="F18567" s="29"/>
      <c r="G18567" s="30">
        <f t="shared" si="331"/>
        <v>1360.3418615151515</v>
      </c>
    </row>
    <row r="18568" spans="1:7" x14ac:dyDescent="0.25">
      <c r="A18568" s="28">
        <v>45017</v>
      </c>
      <c r="B18568" s="27" t="s">
        <v>200</v>
      </c>
      <c r="C18568" s="27" t="s">
        <v>55</v>
      </c>
      <c r="D18568" s="27" t="s">
        <v>6</v>
      </c>
      <c r="E18568" s="27" t="s">
        <v>43</v>
      </c>
      <c r="F18568" s="29"/>
      <c r="G18568" s="30">
        <f t="shared" si="331"/>
        <v>1360.3418615151515</v>
      </c>
    </row>
    <row r="18569" spans="1:7" x14ac:dyDescent="0.25">
      <c r="A18569" s="28">
        <v>45017</v>
      </c>
      <c r="B18569" s="27" t="s">
        <v>200</v>
      </c>
      <c r="C18569" s="27" t="s">
        <v>55</v>
      </c>
      <c r="D18569" s="27" t="s">
        <v>6</v>
      </c>
      <c r="E18569" s="27" t="s">
        <v>206</v>
      </c>
      <c r="F18569" s="29"/>
      <c r="G18569" s="30">
        <f t="shared" si="331"/>
        <v>1360.3418615151515</v>
      </c>
    </row>
    <row r="18570" spans="1:7" x14ac:dyDescent="0.25">
      <c r="A18570" s="28">
        <v>45017</v>
      </c>
      <c r="B18570" s="27" t="s">
        <v>200</v>
      </c>
      <c r="C18570" s="27" t="s">
        <v>55</v>
      </c>
      <c r="D18570" s="27" t="s">
        <v>6</v>
      </c>
      <c r="E18570" s="27" t="s">
        <v>68</v>
      </c>
      <c r="F18570" s="29"/>
      <c r="G18570" s="30">
        <f t="shared" si="331"/>
        <v>1360.3418615151515</v>
      </c>
    </row>
    <row r="18571" spans="1:7" x14ac:dyDescent="0.25">
      <c r="A18571" s="28">
        <v>45017</v>
      </c>
      <c r="B18571" s="27" t="s">
        <v>200</v>
      </c>
      <c r="C18571" s="27" t="s">
        <v>55</v>
      </c>
      <c r="D18571" s="27" t="s">
        <v>6</v>
      </c>
      <c r="E18571" s="27" t="s">
        <v>74</v>
      </c>
      <c r="F18571" s="29"/>
      <c r="G18571" s="30">
        <f t="shared" si="331"/>
        <v>1360.3418615151515</v>
      </c>
    </row>
    <row r="18572" spans="1:7" x14ac:dyDescent="0.25">
      <c r="A18572" s="28">
        <v>45017</v>
      </c>
      <c r="B18572" s="27" t="s">
        <v>200</v>
      </c>
      <c r="C18572" s="27" t="s">
        <v>55</v>
      </c>
      <c r="D18572" s="27" t="s">
        <v>6</v>
      </c>
      <c r="E18572" s="27" t="s">
        <v>67</v>
      </c>
      <c r="F18572" s="29"/>
      <c r="G18572" s="30">
        <f t="shared" si="331"/>
        <v>1360.3418615151515</v>
      </c>
    </row>
    <row r="18573" spans="1:7" x14ac:dyDescent="0.25">
      <c r="A18573" s="28">
        <v>45017</v>
      </c>
      <c r="B18573" s="27" t="s">
        <v>200</v>
      </c>
      <c r="C18573" s="27" t="s">
        <v>55</v>
      </c>
      <c r="D18573" s="27" t="s">
        <v>6</v>
      </c>
      <c r="E18573" s="27" t="s">
        <v>71</v>
      </c>
      <c r="F18573" s="29"/>
      <c r="G18573" s="30">
        <f t="shared" si="331"/>
        <v>1360.3418615151515</v>
      </c>
    </row>
    <row r="18574" spans="1:7" x14ac:dyDescent="0.25">
      <c r="A18574" s="28">
        <v>45017</v>
      </c>
      <c r="B18574" s="27" t="s">
        <v>200</v>
      </c>
      <c r="C18574" s="27" t="s">
        <v>55</v>
      </c>
      <c r="D18574" s="27" t="s">
        <v>6</v>
      </c>
      <c r="E18574" s="27" t="s">
        <v>73</v>
      </c>
      <c r="F18574" s="29"/>
      <c r="G18574" s="30">
        <f t="shared" si="331"/>
        <v>1360.3418615151515</v>
      </c>
    </row>
    <row r="18575" spans="1:7" x14ac:dyDescent="0.25">
      <c r="A18575" s="28">
        <v>45017</v>
      </c>
      <c r="B18575" s="27" t="s">
        <v>200</v>
      </c>
      <c r="C18575" s="27" t="s">
        <v>55</v>
      </c>
      <c r="D18575" s="27" t="s">
        <v>6</v>
      </c>
      <c r="E18575" s="27" t="s">
        <v>70</v>
      </c>
      <c r="F18575" s="29"/>
      <c r="G18575" s="30">
        <f t="shared" si="331"/>
        <v>1360.3418615151515</v>
      </c>
    </row>
    <row r="18576" spans="1:7" x14ac:dyDescent="0.25">
      <c r="A18576" s="28">
        <v>45017</v>
      </c>
      <c r="B18576" s="27" t="s">
        <v>200</v>
      </c>
      <c r="C18576" s="27" t="s">
        <v>55</v>
      </c>
      <c r="D18576" s="27" t="s">
        <v>6</v>
      </c>
      <c r="E18576" s="27" t="s">
        <v>203</v>
      </c>
      <c r="F18576" s="29"/>
      <c r="G18576" s="30">
        <f t="shared" si="331"/>
        <v>1360.3418615151515</v>
      </c>
    </row>
    <row r="18577" spans="1:7" x14ac:dyDescent="0.25">
      <c r="A18577" s="28">
        <v>45017</v>
      </c>
      <c r="B18577" s="27" t="s">
        <v>200</v>
      </c>
      <c r="C18577" s="27" t="s">
        <v>55</v>
      </c>
      <c r="D18577" s="27" t="s">
        <v>6</v>
      </c>
      <c r="E18577" s="27" t="s">
        <v>222</v>
      </c>
      <c r="F18577" s="29"/>
      <c r="G18577" s="30">
        <f t="shared" si="331"/>
        <v>1360.3418615151515</v>
      </c>
    </row>
    <row r="18578" spans="1:7" x14ac:dyDescent="0.25">
      <c r="A18578" s="28">
        <v>45017</v>
      </c>
      <c r="B18578" s="27" t="s">
        <v>200</v>
      </c>
      <c r="C18578" s="27" t="s">
        <v>183</v>
      </c>
      <c r="D18578" s="27" t="s">
        <v>7</v>
      </c>
      <c r="E18578" s="27" t="s">
        <v>8</v>
      </c>
      <c r="F18578" s="29"/>
      <c r="G18578" s="30">
        <f t="shared" ref="G18578:G18610" si="332">8012.506602/33</f>
        <v>242.80323036363637</v>
      </c>
    </row>
    <row r="18579" spans="1:7" x14ac:dyDescent="0.25">
      <c r="A18579" s="28">
        <v>45017</v>
      </c>
      <c r="B18579" s="27" t="s">
        <v>200</v>
      </c>
      <c r="C18579" s="27" t="s">
        <v>183</v>
      </c>
      <c r="D18579" s="27" t="s">
        <v>7</v>
      </c>
      <c r="E18579" s="27" t="s">
        <v>9</v>
      </c>
      <c r="F18579" s="29"/>
      <c r="G18579" s="30">
        <f t="shared" si="332"/>
        <v>242.80323036363637</v>
      </c>
    </row>
    <row r="18580" spans="1:7" x14ac:dyDescent="0.25">
      <c r="A18580" s="28">
        <v>45017</v>
      </c>
      <c r="B18580" s="27" t="s">
        <v>200</v>
      </c>
      <c r="C18580" s="27" t="s">
        <v>183</v>
      </c>
      <c r="D18580" s="27" t="s">
        <v>7</v>
      </c>
      <c r="E18580" s="27" t="s">
        <v>21</v>
      </c>
      <c r="F18580" s="29"/>
      <c r="G18580" s="30">
        <f t="shared" si="332"/>
        <v>242.80323036363637</v>
      </c>
    </row>
    <row r="18581" spans="1:7" x14ac:dyDescent="0.25">
      <c r="A18581" s="28">
        <v>45017</v>
      </c>
      <c r="B18581" s="27" t="s">
        <v>200</v>
      </c>
      <c r="C18581" s="27" t="s">
        <v>183</v>
      </c>
      <c r="D18581" s="27" t="s">
        <v>7</v>
      </c>
      <c r="E18581" s="27" t="s">
        <v>10</v>
      </c>
      <c r="F18581" s="29"/>
      <c r="G18581" s="30">
        <f t="shared" si="332"/>
        <v>242.80323036363637</v>
      </c>
    </row>
    <row r="18582" spans="1:7" x14ac:dyDescent="0.25">
      <c r="A18582" s="28">
        <v>45017</v>
      </c>
      <c r="B18582" s="27" t="s">
        <v>200</v>
      </c>
      <c r="C18582" s="27" t="s">
        <v>183</v>
      </c>
      <c r="D18582" s="27" t="s">
        <v>7</v>
      </c>
      <c r="E18582" s="27" t="s">
        <v>11</v>
      </c>
      <c r="F18582" s="29"/>
      <c r="G18582" s="30">
        <f t="shared" si="332"/>
        <v>242.80323036363637</v>
      </c>
    </row>
    <row r="18583" spans="1:7" x14ac:dyDescent="0.25">
      <c r="A18583" s="28">
        <v>45017</v>
      </c>
      <c r="B18583" s="27" t="s">
        <v>200</v>
      </c>
      <c r="C18583" s="27" t="s">
        <v>183</v>
      </c>
      <c r="D18583" s="27" t="s">
        <v>7</v>
      </c>
      <c r="E18583" s="27" t="s">
        <v>12</v>
      </c>
      <c r="F18583" s="29"/>
      <c r="G18583" s="30">
        <f t="shared" si="332"/>
        <v>242.80323036363637</v>
      </c>
    </row>
    <row r="18584" spans="1:7" x14ac:dyDescent="0.25">
      <c r="A18584" s="28">
        <v>45017</v>
      </c>
      <c r="B18584" s="27" t="s">
        <v>200</v>
      </c>
      <c r="C18584" s="27" t="s">
        <v>183</v>
      </c>
      <c r="D18584" s="27" t="s">
        <v>7</v>
      </c>
      <c r="E18584" s="27" t="s">
        <v>13</v>
      </c>
      <c r="F18584" s="29"/>
      <c r="G18584" s="30">
        <f t="shared" si="332"/>
        <v>242.80323036363637</v>
      </c>
    </row>
    <row r="18585" spans="1:7" x14ac:dyDescent="0.25">
      <c r="A18585" s="28">
        <v>45017</v>
      </c>
      <c r="B18585" s="27" t="s">
        <v>200</v>
      </c>
      <c r="C18585" s="27" t="s">
        <v>183</v>
      </c>
      <c r="D18585" s="27" t="s">
        <v>7</v>
      </c>
      <c r="E18585" s="27" t="s">
        <v>14</v>
      </c>
      <c r="F18585" s="29"/>
      <c r="G18585" s="30">
        <f t="shared" si="332"/>
        <v>242.80323036363637</v>
      </c>
    </row>
    <row r="18586" spans="1:7" x14ac:dyDescent="0.25">
      <c r="A18586" s="28">
        <v>45017</v>
      </c>
      <c r="B18586" s="27" t="s">
        <v>200</v>
      </c>
      <c r="C18586" s="27" t="s">
        <v>183</v>
      </c>
      <c r="D18586" s="27" t="s">
        <v>7</v>
      </c>
      <c r="E18586" s="27" t="s">
        <v>15</v>
      </c>
      <c r="F18586" s="29"/>
      <c r="G18586" s="30">
        <f t="shared" si="332"/>
        <v>242.80323036363637</v>
      </c>
    </row>
    <row r="18587" spans="1:7" x14ac:dyDescent="0.25">
      <c r="A18587" s="28">
        <v>45017</v>
      </c>
      <c r="B18587" s="27" t="s">
        <v>200</v>
      </c>
      <c r="C18587" s="27" t="s">
        <v>183</v>
      </c>
      <c r="D18587" s="27" t="s">
        <v>7</v>
      </c>
      <c r="E18587" s="27" t="s">
        <v>16</v>
      </c>
      <c r="F18587" s="29"/>
      <c r="G18587" s="30">
        <f t="shared" si="332"/>
        <v>242.80323036363637</v>
      </c>
    </row>
    <row r="18588" spans="1:7" x14ac:dyDescent="0.25">
      <c r="A18588" s="28">
        <v>45017</v>
      </c>
      <c r="B18588" s="27" t="s">
        <v>200</v>
      </c>
      <c r="C18588" s="27" t="s">
        <v>183</v>
      </c>
      <c r="D18588" s="27" t="s">
        <v>7</v>
      </c>
      <c r="E18588" s="27" t="s">
        <v>17</v>
      </c>
      <c r="F18588" s="29"/>
      <c r="G18588" s="30">
        <f t="shared" si="332"/>
        <v>242.80323036363637</v>
      </c>
    </row>
    <row r="18589" spans="1:7" x14ac:dyDescent="0.25">
      <c r="A18589" s="28">
        <v>45017</v>
      </c>
      <c r="B18589" s="27" t="s">
        <v>200</v>
      </c>
      <c r="C18589" s="27" t="s">
        <v>183</v>
      </c>
      <c r="D18589" s="27" t="s">
        <v>7</v>
      </c>
      <c r="E18589" s="27" t="s">
        <v>18</v>
      </c>
      <c r="F18589" s="29"/>
      <c r="G18589" s="30">
        <f t="shared" si="332"/>
        <v>242.80323036363637</v>
      </c>
    </row>
    <row r="18590" spans="1:7" x14ac:dyDescent="0.25">
      <c r="A18590" s="28">
        <v>45017</v>
      </c>
      <c r="B18590" s="27" t="s">
        <v>200</v>
      </c>
      <c r="C18590" s="27" t="s">
        <v>183</v>
      </c>
      <c r="D18590" s="27" t="s">
        <v>7</v>
      </c>
      <c r="E18590" s="27" t="s">
        <v>19</v>
      </c>
      <c r="F18590" s="29"/>
      <c r="G18590" s="30">
        <f t="shared" si="332"/>
        <v>242.80323036363637</v>
      </c>
    </row>
    <row r="18591" spans="1:7" x14ac:dyDescent="0.25">
      <c r="A18591" s="28">
        <v>45017</v>
      </c>
      <c r="B18591" s="27" t="s">
        <v>200</v>
      </c>
      <c r="C18591" s="27" t="s">
        <v>183</v>
      </c>
      <c r="D18591" s="27" t="s">
        <v>7</v>
      </c>
      <c r="E18591" s="27" t="s">
        <v>20</v>
      </c>
      <c r="F18591" s="29"/>
      <c r="G18591" s="30">
        <f t="shared" si="332"/>
        <v>242.80323036363637</v>
      </c>
    </row>
    <row r="18592" spans="1:7" x14ac:dyDescent="0.25">
      <c r="A18592" s="28">
        <v>45017</v>
      </c>
      <c r="B18592" s="27" t="s">
        <v>200</v>
      </c>
      <c r="C18592" s="27" t="s">
        <v>183</v>
      </c>
      <c r="D18592" s="27" t="s">
        <v>7</v>
      </c>
      <c r="E18592" s="27" t="s">
        <v>38</v>
      </c>
      <c r="F18592" s="29"/>
      <c r="G18592" s="30">
        <f t="shared" si="332"/>
        <v>242.80323036363637</v>
      </c>
    </row>
    <row r="18593" spans="1:7" x14ac:dyDescent="0.25">
      <c r="A18593" s="28">
        <v>45017</v>
      </c>
      <c r="B18593" s="27" t="s">
        <v>200</v>
      </c>
      <c r="C18593" s="27" t="s">
        <v>183</v>
      </c>
      <c r="D18593" s="27" t="s">
        <v>7</v>
      </c>
      <c r="E18593" s="27" t="s">
        <v>23</v>
      </c>
      <c r="F18593" s="29"/>
      <c r="G18593" s="30">
        <f t="shared" si="332"/>
        <v>242.80323036363637</v>
      </c>
    </row>
    <row r="18594" spans="1:7" x14ac:dyDescent="0.25">
      <c r="A18594" s="28">
        <v>45017</v>
      </c>
      <c r="B18594" s="27" t="s">
        <v>200</v>
      </c>
      <c r="C18594" s="27" t="s">
        <v>183</v>
      </c>
      <c r="D18594" s="27" t="s">
        <v>7</v>
      </c>
      <c r="E18594" s="27" t="s">
        <v>22</v>
      </c>
      <c r="F18594" s="29"/>
      <c r="G18594" s="30">
        <f t="shared" si="332"/>
        <v>242.80323036363637</v>
      </c>
    </row>
    <row r="18595" spans="1:7" x14ac:dyDescent="0.25">
      <c r="A18595" s="28">
        <v>45017</v>
      </c>
      <c r="B18595" s="27" t="s">
        <v>200</v>
      </c>
      <c r="C18595" s="27" t="s">
        <v>183</v>
      </c>
      <c r="D18595" s="27" t="s">
        <v>7</v>
      </c>
      <c r="E18595" s="27" t="s">
        <v>39</v>
      </c>
      <c r="F18595" s="29"/>
      <c r="G18595" s="30">
        <f t="shared" si="332"/>
        <v>242.80323036363637</v>
      </c>
    </row>
    <row r="18596" spans="1:7" x14ac:dyDescent="0.25">
      <c r="A18596" s="28">
        <v>45017</v>
      </c>
      <c r="B18596" s="27" t="s">
        <v>200</v>
      </c>
      <c r="C18596" s="27" t="s">
        <v>183</v>
      </c>
      <c r="D18596" s="27" t="s">
        <v>7</v>
      </c>
      <c r="E18596" s="27" t="s">
        <v>41</v>
      </c>
      <c r="F18596" s="29"/>
      <c r="G18596" s="30">
        <f t="shared" si="332"/>
        <v>242.80323036363637</v>
      </c>
    </row>
    <row r="18597" spans="1:7" x14ac:dyDescent="0.25">
      <c r="A18597" s="28">
        <v>45017</v>
      </c>
      <c r="B18597" s="27" t="s">
        <v>200</v>
      </c>
      <c r="C18597" s="27" t="s">
        <v>183</v>
      </c>
      <c r="D18597" s="27" t="s">
        <v>7</v>
      </c>
      <c r="E18597" s="27" t="s">
        <v>40</v>
      </c>
      <c r="F18597" s="29"/>
      <c r="G18597" s="30">
        <f t="shared" si="332"/>
        <v>242.80323036363637</v>
      </c>
    </row>
    <row r="18598" spans="1:7" x14ac:dyDescent="0.25">
      <c r="A18598" s="28">
        <v>45017</v>
      </c>
      <c r="B18598" s="27" t="s">
        <v>200</v>
      </c>
      <c r="C18598" s="27" t="s">
        <v>183</v>
      </c>
      <c r="D18598" s="27" t="s">
        <v>7</v>
      </c>
      <c r="E18598" s="27" t="s">
        <v>64</v>
      </c>
      <c r="F18598" s="29"/>
      <c r="G18598" s="30">
        <f t="shared" si="332"/>
        <v>242.80323036363637</v>
      </c>
    </row>
    <row r="18599" spans="1:7" x14ac:dyDescent="0.25">
      <c r="A18599" s="28">
        <v>45017</v>
      </c>
      <c r="B18599" s="27" t="s">
        <v>200</v>
      </c>
      <c r="C18599" s="27" t="s">
        <v>183</v>
      </c>
      <c r="D18599" s="27" t="s">
        <v>7</v>
      </c>
      <c r="E18599" s="27" t="s">
        <v>42</v>
      </c>
      <c r="F18599" s="29"/>
      <c r="G18599" s="30">
        <f t="shared" si="332"/>
        <v>242.80323036363637</v>
      </c>
    </row>
    <row r="18600" spans="1:7" x14ac:dyDescent="0.25">
      <c r="A18600" s="28">
        <v>45017</v>
      </c>
      <c r="B18600" s="27" t="s">
        <v>200</v>
      </c>
      <c r="C18600" s="27" t="s">
        <v>183</v>
      </c>
      <c r="D18600" s="27" t="s">
        <v>7</v>
      </c>
      <c r="E18600" s="27" t="s">
        <v>72</v>
      </c>
      <c r="F18600" s="29"/>
      <c r="G18600" s="30">
        <f t="shared" si="332"/>
        <v>242.80323036363637</v>
      </c>
    </row>
    <row r="18601" spans="1:7" x14ac:dyDescent="0.25">
      <c r="A18601" s="28">
        <v>45017</v>
      </c>
      <c r="B18601" s="27" t="s">
        <v>200</v>
      </c>
      <c r="C18601" s="27" t="s">
        <v>183</v>
      </c>
      <c r="D18601" s="27" t="s">
        <v>7</v>
      </c>
      <c r="E18601" s="27" t="s">
        <v>43</v>
      </c>
      <c r="F18601" s="29"/>
      <c r="G18601" s="30">
        <f t="shared" si="332"/>
        <v>242.80323036363637</v>
      </c>
    </row>
    <row r="18602" spans="1:7" x14ac:dyDescent="0.25">
      <c r="A18602" s="28">
        <v>45017</v>
      </c>
      <c r="B18602" s="27" t="s">
        <v>200</v>
      </c>
      <c r="C18602" s="27" t="s">
        <v>183</v>
      </c>
      <c r="D18602" s="27" t="s">
        <v>7</v>
      </c>
      <c r="E18602" s="27" t="s">
        <v>206</v>
      </c>
      <c r="F18602" s="29"/>
      <c r="G18602" s="30">
        <f t="shared" si="332"/>
        <v>242.80323036363637</v>
      </c>
    </row>
    <row r="18603" spans="1:7" x14ac:dyDescent="0.25">
      <c r="A18603" s="28">
        <v>45017</v>
      </c>
      <c r="B18603" s="27" t="s">
        <v>200</v>
      </c>
      <c r="C18603" s="27" t="s">
        <v>183</v>
      </c>
      <c r="D18603" s="27" t="s">
        <v>7</v>
      </c>
      <c r="E18603" s="27" t="s">
        <v>68</v>
      </c>
      <c r="F18603" s="29"/>
      <c r="G18603" s="30">
        <f t="shared" si="332"/>
        <v>242.80323036363637</v>
      </c>
    </row>
    <row r="18604" spans="1:7" x14ac:dyDescent="0.25">
      <c r="A18604" s="28">
        <v>45017</v>
      </c>
      <c r="B18604" s="27" t="s">
        <v>200</v>
      </c>
      <c r="C18604" s="27" t="s">
        <v>183</v>
      </c>
      <c r="D18604" s="27" t="s">
        <v>7</v>
      </c>
      <c r="E18604" s="27" t="s">
        <v>74</v>
      </c>
      <c r="F18604" s="29"/>
      <c r="G18604" s="30">
        <f t="shared" si="332"/>
        <v>242.80323036363637</v>
      </c>
    </row>
    <row r="18605" spans="1:7" x14ac:dyDescent="0.25">
      <c r="A18605" s="28">
        <v>45017</v>
      </c>
      <c r="B18605" s="27" t="s">
        <v>200</v>
      </c>
      <c r="C18605" s="27" t="s">
        <v>183</v>
      </c>
      <c r="D18605" s="27" t="s">
        <v>7</v>
      </c>
      <c r="E18605" s="27" t="s">
        <v>67</v>
      </c>
      <c r="F18605" s="29"/>
      <c r="G18605" s="30">
        <f t="shared" si="332"/>
        <v>242.80323036363637</v>
      </c>
    </row>
    <row r="18606" spans="1:7" x14ac:dyDescent="0.25">
      <c r="A18606" s="28">
        <v>45017</v>
      </c>
      <c r="B18606" s="27" t="s">
        <v>200</v>
      </c>
      <c r="C18606" s="27" t="s">
        <v>183</v>
      </c>
      <c r="D18606" s="27" t="s">
        <v>7</v>
      </c>
      <c r="E18606" s="27" t="s">
        <v>71</v>
      </c>
      <c r="F18606" s="29"/>
      <c r="G18606" s="30">
        <f t="shared" si="332"/>
        <v>242.80323036363637</v>
      </c>
    </row>
    <row r="18607" spans="1:7" x14ac:dyDescent="0.25">
      <c r="A18607" s="28">
        <v>45017</v>
      </c>
      <c r="B18607" s="27" t="s">
        <v>200</v>
      </c>
      <c r="C18607" s="27" t="s">
        <v>183</v>
      </c>
      <c r="D18607" s="27" t="s">
        <v>7</v>
      </c>
      <c r="E18607" s="27" t="s">
        <v>73</v>
      </c>
      <c r="F18607" s="29"/>
      <c r="G18607" s="30">
        <f t="shared" si="332"/>
        <v>242.80323036363637</v>
      </c>
    </row>
    <row r="18608" spans="1:7" x14ac:dyDescent="0.25">
      <c r="A18608" s="28">
        <v>45017</v>
      </c>
      <c r="B18608" s="27" t="s">
        <v>200</v>
      </c>
      <c r="C18608" s="27" t="s">
        <v>183</v>
      </c>
      <c r="D18608" s="27" t="s">
        <v>7</v>
      </c>
      <c r="E18608" s="27" t="s">
        <v>70</v>
      </c>
      <c r="F18608" s="29"/>
      <c r="G18608" s="30">
        <f t="shared" si="332"/>
        <v>242.80323036363637</v>
      </c>
    </row>
    <row r="18609" spans="1:7" x14ac:dyDescent="0.25">
      <c r="A18609" s="28">
        <v>45017</v>
      </c>
      <c r="B18609" s="27" t="s">
        <v>200</v>
      </c>
      <c r="C18609" s="27" t="s">
        <v>183</v>
      </c>
      <c r="D18609" s="27" t="s">
        <v>7</v>
      </c>
      <c r="E18609" s="27" t="s">
        <v>203</v>
      </c>
      <c r="F18609" s="29"/>
      <c r="G18609" s="30">
        <f t="shared" si="332"/>
        <v>242.80323036363637</v>
      </c>
    </row>
    <row r="18610" spans="1:7" x14ac:dyDescent="0.25">
      <c r="A18610" s="28">
        <v>45017</v>
      </c>
      <c r="B18610" s="27" t="s">
        <v>200</v>
      </c>
      <c r="C18610" s="27" t="s">
        <v>183</v>
      </c>
      <c r="D18610" s="27" t="s">
        <v>7</v>
      </c>
      <c r="E18610" s="27" t="s">
        <v>222</v>
      </c>
      <c r="F18610" s="29"/>
      <c r="G18610" s="30">
        <f t="shared" si="332"/>
        <v>242.80323036363637</v>
      </c>
    </row>
    <row r="18611" spans="1:7" x14ac:dyDescent="0.25">
      <c r="A18611" s="28">
        <v>45017</v>
      </c>
      <c r="B18611" s="27" t="s">
        <v>200</v>
      </c>
      <c r="C18611" s="27" t="s">
        <v>53</v>
      </c>
      <c r="D18611" s="27" t="s">
        <v>6</v>
      </c>
      <c r="E18611" s="27" t="s">
        <v>8</v>
      </c>
      <c r="F18611" s="29"/>
      <c r="G18611" s="30">
        <f t="shared" ref="G18611:G18643" si="333">11306.8662/33</f>
        <v>342.63230909090908</v>
      </c>
    </row>
    <row r="18612" spans="1:7" x14ac:dyDescent="0.25">
      <c r="A18612" s="28">
        <v>45017</v>
      </c>
      <c r="B18612" s="27" t="s">
        <v>200</v>
      </c>
      <c r="C18612" s="27" t="s">
        <v>53</v>
      </c>
      <c r="D18612" s="27" t="s">
        <v>6</v>
      </c>
      <c r="E18612" s="27" t="s">
        <v>9</v>
      </c>
      <c r="F18612" s="29"/>
      <c r="G18612" s="30">
        <f t="shared" si="333"/>
        <v>342.63230909090908</v>
      </c>
    </row>
    <row r="18613" spans="1:7" x14ac:dyDescent="0.25">
      <c r="A18613" s="28">
        <v>45017</v>
      </c>
      <c r="B18613" s="27" t="s">
        <v>200</v>
      </c>
      <c r="C18613" s="27" t="s">
        <v>53</v>
      </c>
      <c r="D18613" s="27" t="s">
        <v>6</v>
      </c>
      <c r="E18613" s="27" t="s">
        <v>21</v>
      </c>
      <c r="F18613" s="29"/>
      <c r="G18613" s="30">
        <f t="shared" si="333"/>
        <v>342.63230909090908</v>
      </c>
    </row>
    <row r="18614" spans="1:7" x14ac:dyDescent="0.25">
      <c r="A18614" s="28">
        <v>45017</v>
      </c>
      <c r="B18614" s="27" t="s">
        <v>200</v>
      </c>
      <c r="C18614" s="27" t="s">
        <v>53</v>
      </c>
      <c r="D18614" s="27" t="s">
        <v>6</v>
      </c>
      <c r="E18614" s="27" t="s">
        <v>10</v>
      </c>
      <c r="F18614" s="29"/>
      <c r="G18614" s="30">
        <f t="shared" si="333"/>
        <v>342.63230909090908</v>
      </c>
    </row>
    <row r="18615" spans="1:7" x14ac:dyDescent="0.25">
      <c r="A18615" s="28">
        <v>45017</v>
      </c>
      <c r="B18615" s="27" t="s">
        <v>200</v>
      </c>
      <c r="C18615" s="27" t="s">
        <v>53</v>
      </c>
      <c r="D18615" s="27" t="s">
        <v>6</v>
      </c>
      <c r="E18615" s="27" t="s">
        <v>11</v>
      </c>
      <c r="F18615" s="29"/>
      <c r="G18615" s="30">
        <f t="shared" si="333"/>
        <v>342.63230909090908</v>
      </c>
    </row>
    <row r="18616" spans="1:7" x14ac:dyDescent="0.25">
      <c r="A18616" s="28">
        <v>45017</v>
      </c>
      <c r="B18616" s="27" t="s">
        <v>200</v>
      </c>
      <c r="C18616" s="27" t="s">
        <v>53</v>
      </c>
      <c r="D18616" s="27" t="s">
        <v>6</v>
      </c>
      <c r="E18616" s="27" t="s">
        <v>12</v>
      </c>
      <c r="F18616" s="29"/>
      <c r="G18616" s="30">
        <f t="shared" si="333"/>
        <v>342.63230909090908</v>
      </c>
    </row>
    <row r="18617" spans="1:7" x14ac:dyDescent="0.25">
      <c r="A18617" s="28">
        <v>45017</v>
      </c>
      <c r="B18617" s="27" t="s">
        <v>200</v>
      </c>
      <c r="C18617" s="27" t="s">
        <v>53</v>
      </c>
      <c r="D18617" s="27" t="s">
        <v>6</v>
      </c>
      <c r="E18617" s="27" t="s">
        <v>13</v>
      </c>
      <c r="F18617" s="29"/>
      <c r="G18617" s="30">
        <f t="shared" si="333"/>
        <v>342.63230909090908</v>
      </c>
    </row>
    <row r="18618" spans="1:7" x14ac:dyDescent="0.25">
      <c r="A18618" s="28">
        <v>45017</v>
      </c>
      <c r="B18618" s="27" t="s">
        <v>200</v>
      </c>
      <c r="C18618" s="27" t="s">
        <v>53</v>
      </c>
      <c r="D18618" s="27" t="s">
        <v>6</v>
      </c>
      <c r="E18618" s="27" t="s">
        <v>14</v>
      </c>
      <c r="F18618" s="29"/>
      <c r="G18618" s="30">
        <f t="shared" si="333"/>
        <v>342.63230909090908</v>
      </c>
    </row>
    <row r="18619" spans="1:7" x14ac:dyDescent="0.25">
      <c r="A18619" s="28">
        <v>45017</v>
      </c>
      <c r="B18619" s="27" t="s">
        <v>200</v>
      </c>
      <c r="C18619" s="27" t="s">
        <v>53</v>
      </c>
      <c r="D18619" s="27" t="s">
        <v>6</v>
      </c>
      <c r="E18619" s="27" t="s">
        <v>15</v>
      </c>
      <c r="F18619" s="29"/>
      <c r="G18619" s="30">
        <f t="shared" si="333"/>
        <v>342.63230909090908</v>
      </c>
    </row>
    <row r="18620" spans="1:7" x14ac:dyDescent="0.25">
      <c r="A18620" s="28">
        <v>45017</v>
      </c>
      <c r="B18620" s="27" t="s">
        <v>200</v>
      </c>
      <c r="C18620" s="27" t="s">
        <v>53</v>
      </c>
      <c r="D18620" s="27" t="s">
        <v>6</v>
      </c>
      <c r="E18620" s="27" t="s">
        <v>16</v>
      </c>
      <c r="F18620" s="29"/>
      <c r="G18620" s="30">
        <f t="shared" si="333"/>
        <v>342.63230909090908</v>
      </c>
    </row>
    <row r="18621" spans="1:7" x14ac:dyDescent="0.25">
      <c r="A18621" s="28">
        <v>45017</v>
      </c>
      <c r="B18621" s="27" t="s">
        <v>200</v>
      </c>
      <c r="C18621" s="27" t="s">
        <v>53</v>
      </c>
      <c r="D18621" s="27" t="s">
        <v>6</v>
      </c>
      <c r="E18621" s="27" t="s">
        <v>17</v>
      </c>
      <c r="F18621" s="29"/>
      <c r="G18621" s="30">
        <f t="shared" si="333"/>
        <v>342.63230909090908</v>
      </c>
    </row>
    <row r="18622" spans="1:7" x14ac:dyDescent="0.25">
      <c r="A18622" s="28">
        <v>45017</v>
      </c>
      <c r="B18622" s="27" t="s">
        <v>200</v>
      </c>
      <c r="C18622" s="27" t="s">
        <v>53</v>
      </c>
      <c r="D18622" s="27" t="s">
        <v>6</v>
      </c>
      <c r="E18622" s="27" t="s">
        <v>18</v>
      </c>
      <c r="F18622" s="29"/>
      <c r="G18622" s="30">
        <f t="shared" si="333"/>
        <v>342.63230909090908</v>
      </c>
    </row>
    <row r="18623" spans="1:7" x14ac:dyDescent="0.25">
      <c r="A18623" s="28">
        <v>45017</v>
      </c>
      <c r="B18623" s="27" t="s">
        <v>200</v>
      </c>
      <c r="C18623" s="27" t="s">
        <v>53</v>
      </c>
      <c r="D18623" s="27" t="s">
        <v>6</v>
      </c>
      <c r="E18623" s="27" t="s">
        <v>19</v>
      </c>
      <c r="F18623" s="29"/>
      <c r="G18623" s="30">
        <f t="shared" si="333"/>
        <v>342.63230909090908</v>
      </c>
    </row>
    <row r="18624" spans="1:7" x14ac:dyDescent="0.25">
      <c r="A18624" s="28">
        <v>45017</v>
      </c>
      <c r="B18624" s="27" t="s">
        <v>200</v>
      </c>
      <c r="C18624" s="27" t="s">
        <v>53</v>
      </c>
      <c r="D18624" s="27" t="s">
        <v>6</v>
      </c>
      <c r="E18624" s="27" t="s">
        <v>20</v>
      </c>
      <c r="F18624" s="29"/>
      <c r="G18624" s="30">
        <f t="shared" si="333"/>
        <v>342.63230909090908</v>
      </c>
    </row>
    <row r="18625" spans="1:7" x14ac:dyDescent="0.25">
      <c r="A18625" s="28">
        <v>45017</v>
      </c>
      <c r="B18625" s="27" t="s">
        <v>200</v>
      </c>
      <c r="C18625" s="27" t="s">
        <v>53</v>
      </c>
      <c r="D18625" s="27" t="s">
        <v>6</v>
      </c>
      <c r="E18625" s="27" t="s">
        <v>38</v>
      </c>
      <c r="F18625" s="29"/>
      <c r="G18625" s="30">
        <f t="shared" si="333"/>
        <v>342.63230909090908</v>
      </c>
    </row>
    <row r="18626" spans="1:7" x14ac:dyDescent="0.25">
      <c r="A18626" s="28">
        <v>45017</v>
      </c>
      <c r="B18626" s="27" t="s">
        <v>200</v>
      </c>
      <c r="C18626" s="27" t="s">
        <v>53</v>
      </c>
      <c r="D18626" s="27" t="s">
        <v>6</v>
      </c>
      <c r="E18626" s="27" t="s">
        <v>23</v>
      </c>
      <c r="F18626" s="29"/>
      <c r="G18626" s="30">
        <f t="shared" si="333"/>
        <v>342.63230909090908</v>
      </c>
    </row>
    <row r="18627" spans="1:7" x14ac:dyDescent="0.25">
      <c r="A18627" s="28">
        <v>45017</v>
      </c>
      <c r="B18627" s="27" t="s">
        <v>200</v>
      </c>
      <c r="C18627" s="27" t="s">
        <v>53</v>
      </c>
      <c r="D18627" s="27" t="s">
        <v>6</v>
      </c>
      <c r="E18627" s="27" t="s">
        <v>22</v>
      </c>
      <c r="F18627" s="29"/>
      <c r="G18627" s="30">
        <f t="shared" si="333"/>
        <v>342.63230909090908</v>
      </c>
    </row>
    <row r="18628" spans="1:7" x14ac:dyDescent="0.25">
      <c r="A18628" s="28">
        <v>45017</v>
      </c>
      <c r="B18628" s="27" t="s">
        <v>200</v>
      </c>
      <c r="C18628" s="27" t="s">
        <v>53</v>
      </c>
      <c r="D18628" s="27" t="s">
        <v>6</v>
      </c>
      <c r="E18628" s="27" t="s">
        <v>39</v>
      </c>
      <c r="F18628" s="29"/>
      <c r="G18628" s="30">
        <f t="shared" si="333"/>
        <v>342.63230909090908</v>
      </c>
    </row>
    <row r="18629" spans="1:7" x14ac:dyDescent="0.25">
      <c r="A18629" s="28">
        <v>45017</v>
      </c>
      <c r="B18629" s="27" t="s">
        <v>200</v>
      </c>
      <c r="C18629" s="27" t="s">
        <v>53</v>
      </c>
      <c r="D18629" s="27" t="s">
        <v>6</v>
      </c>
      <c r="E18629" s="27" t="s">
        <v>41</v>
      </c>
      <c r="F18629" s="29"/>
      <c r="G18629" s="30">
        <f t="shared" si="333"/>
        <v>342.63230909090908</v>
      </c>
    </row>
    <row r="18630" spans="1:7" x14ac:dyDescent="0.25">
      <c r="A18630" s="28">
        <v>45017</v>
      </c>
      <c r="B18630" s="27" t="s">
        <v>200</v>
      </c>
      <c r="C18630" s="27" t="s">
        <v>53</v>
      </c>
      <c r="D18630" s="27" t="s">
        <v>6</v>
      </c>
      <c r="E18630" s="27" t="s">
        <v>40</v>
      </c>
      <c r="F18630" s="29"/>
      <c r="G18630" s="30">
        <f t="shared" si="333"/>
        <v>342.63230909090908</v>
      </c>
    </row>
    <row r="18631" spans="1:7" x14ac:dyDescent="0.25">
      <c r="A18631" s="28">
        <v>45017</v>
      </c>
      <c r="B18631" s="27" t="s">
        <v>200</v>
      </c>
      <c r="C18631" s="27" t="s">
        <v>53</v>
      </c>
      <c r="D18631" s="27" t="s">
        <v>6</v>
      </c>
      <c r="E18631" s="27" t="s">
        <v>64</v>
      </c>
      <c r="F18631" s="29"/>
      <c r="G18631" s="30">
        <f t="shared" si="333"/>
        <v>342.63230909090908</v>
      </c>
    </row>
    <row r="18632" spans="1:7" x14ac:dyDescent="0.25">
      <c r="A18632" s="28">
        <v>45017</v>
      </c>
      <c r="B18632" s="27" t="s">
        <v>200</v>
      </c>
      <c r="C18632" s="27" t="s">
        <v>53</v>
      </c>
      <c r="D18632" s="27" t="s">
        <v>6</v>
      </c>
      <c r="E18632" s="27" t="s">
        <v>42</v>
      </c>
      <c r="F18632" s="29"/>
      <c r="G18632" s="30">
        <f t="shared" si="333"/>
        <v>342.63230909090908</v>
      </c>
    </row>
    <row r="18633" spans="1:7" x14ac:dyDescent="0.25">
      <c r="A18633" s="28">
        <v>45017</v>
      </c>
      <c r="B18633" s="27" t="s">
        <v>200</v>
      </c>
      <c r="C18633" s="27" t="s">
        <v>53</v>
      </c>
      <c r="D18633" s="27" t="s">
        <v>6</v>
      </c>
      <c r="E18633" s="27" t="s">
        <v>72</v>
      </c>
      <c r="F18633" s="29"/>
      <c r="G18633" s="30">
        <f t="shared" si="333"/>
        <v>342.63230909090908</v>
      </c>
    </row>
    <row r="18634" spans="1:7" x14ac:dyDescent="0.25">
      <c r="A18634" s="28">
        <v>45017</v>
      </c>
      <c r="B18634" s="27" t="s">
        <v>200</v>
      </c>
      <c r="C18634" s="27" t="s">
        <v>53</v>
      </c>
      <c r="D18634" s="27" t="s">
        <v>6</v>
      </c>
      <c r="E18634" s="27" t="s">
        <v>43</v>
      </c>
      <c r="F18634" s="29"/>
      <c r="G18634" s="30">
        <f t="shared" si="333"/>
        <v>342.63230909090908</v>
      </c>
    </row>
    <row r="18635" spans="1:7" x14ac:dyDescent="0.25">
      <c r="A18635" s="28">
        <v>45017</v>
      </c>
      <c r="B18635" s="27" t="s">
        <v>200</v>
      </c>
      <c r="C18635" s="27" t="s">
        <v>53</v>
      </c>
      <c r="D18635" s="27" t="s">
        <v>6</v>
      </c>
      <c r="E18635" s="27" t="s">
        <v>206</v>
      </c>
      <c r="F18635" s="29"/>
      <c r="G18635" s="30">
        <f t="shared" si="333"/>
        <v>342.63230909090908</v>
      </c>
    </row>
    <row r="18636" spans="1:7" x14ac:dyDescent="0.25">
      <c r="A18636" s="28">
        <v>45017</v>
      </c>
      <c r="B18636" s="27" t="s">
        <v>200</v>
      </c>
      <c r="C18636" s="27" t="s">
        <v>53</v>
      </c>
      <c r="D18636" s="27" t="s">
        <v>6</v>
      </c>
      <c r="E18636" s="27" t="s">
        <v>68</v>
      </c>
      <c r="F18636" s="29"/>
      <c r="G18636" s="30">
        <f t="shared" si="333"/>
        <v>342.63230909090908</v>
      </c>
    </row>
    <row r="18637" spans="1:7" x14ac:dyDescent="0.25">
      <c r="A18637" s="28">
        <v>45017</v>
      </c>
      <c r="B18637" s="27" t="s">
        <v>200</v>
      </c>
      <c r="C18637" s="27" t="s">
        <v>53</v>
      </c>
      <c r="D18637" s="27" t="s">
        <v>6</v>
      </c>
      <c r="E18637" s="27" t="s">
        <v>74</v>
      </c>
      <c r="F18637" s="29"/>
      <c r="G18637" s="30">
        <f t="shared" si="333"/>
        <v>342.63230909090908</v>
      </c>
    </row>
    <row r="18638" spans="1:7" x14ac:dyDescent="0.25">
      <c r="A18638" s="28">
        <v>45017</v>
      </c>
      <c r="B18638" s="27" t="s">
        <v>200</v>
      </c>
      <c r="C18638" s="27" t="s">
        <v>53</v>
      </c>
      <c r="D18638" s="27" t="s">
        <v>6</v>
      </c>
      <c r="E18638" s="27" t="s">
        <v>67</v>
      </c>
      <c r="F18638" s="29"/>
      <c r="G18638" s="30">
        <f t="shared" si="333"/>
        <v>342.63230909090908</v>
      </c>
    </row>
    <row r="18639" spans="1:7" x14ac:dyDescent="0.25">
      <c r="A18639" s="28">
        <v>45017</v>
      </c>
      <c r="B18639" s="27" t="s">
        <v>200</v>
      </c>
      <c r="C18639" s="27" t="s">
        <v>53</v>
      </c>
      <c r="D18639" s="27" t="s">
        <v>6</v>
      </c>
      <c r="E18639" s="27" t="s">
        <v>71</v>
      </c>
      <c r="F18639" s="29"/>
      <c r="G18639" s="30">
        <f t="shared" si="333"/>
        <v>342.63230909090908</v>
      </c>
    </row>
    <row r="18640" spans="1:7" x14ac:dyDescent="0.25">
      <c r="A18640" s="28">
        <v>45017</v>
      </c>
      <c r="B18640" s="27" t="s">
        <v>200</v>
      </c>
      <c r="C18640" s="27" t="s">
        <v>53</v>
      </c>
      <c r="D18640" s="27" t="s">
        <v>6</v>
      </c>
      <c r="E18640" s="27" t="s">
        <v>73</v>
      </c>
      <c r="F18640" s="29"/>
      <c r="G18640" s="30">
        <f t="shared" si="333"/>
        <v>342.63230909090908</v>
      </c>
    </row>
    <row r="18641" spans="1:7" x14ac:dyDescent="0.25">
      <c r="A18641" s="28">
        <v>45017</v>
      </c>
      <c r="B18641" s="27" t="s">
        <v>200</v>
      </c>
      <c r="C18641" s="27" t="s">
        <v>53</v>
      </c>
      <c r="D18641" s="27" t="s">
        <v>6</v>
      </c>
      <c r="E18641" s="27" t="s">
        <v>70</v>
      </c>
      <c r="F18641" s="29"/>
      <c r="G18641" s="30">
        <f t="shared" si="333"/>
        <v>342.63230909090908</v>
      </c>
    </row>
    <row r="18642" spans="1:7" x14ac:dyDescent="0.25">
      <c r="A18642" s="28">
        <v>45017</v>
      </c>
      <c r="B18642" s="27" t="s">
        <v>200</v>
      </c>
      <c r="C18642" s="27" t="s">
        <v>53</v>
      </c>
      <c r="D18642" s="27" t="s">
        <v>6</v>
      </c>
      <c r="E18642" s="27" t="s">
        <v>203</v>
      </c>
      <c r="F18642" s="29"/>
      <c r="G18642" s="30">
        <f t="shared" si="333"/>
        <v>342.63230909090908</v>
      </c>
    </row>
    <row r="18643" spans="1:7" x14ac:dyDescent="0.25">
      <c r="A18643" s="28">
        <v>45017</v>
      </c>
      <c r="B18643" s="27" t="s">
        <v>200</v>
      </c>
      <c r="C18643" s="27" t="s">
        <v>53</v>
      </c>
      <c r="D18643" s="27" t="s">
        <v>6</v>
      </c>
      <c r="E18643" s="27" t="s">
        <v>222</v>
      </c>
      <c r="F18643" s="29"/>
      <c r="G18643" s="30">
        <f t="shared" si="333"/>
        <v>342.63230909090908</v>
      </c>
    </row>
    <row r="18644" spans="1:7" x14ac:dyDescent="0.25">
      <c r="A18644" s="28">
        <v>45017</v>
      </c>
      <c r="B18644" s="27" t="s">
        <v>200</v>
      </c>
      <c r="C18644" s="27" t="s">
        <v>54</v>
      </c>
      <c r="D18644" s="27" t="s">
        <v>7</v>
      </c>
      <c r="E18644" s="27" t="s">
        <v>8</v>
      </c>
      <c r="F18644" s="29"/>
      <c r="G18644" s="30">
        <f t="shared" ref="G18644:G18676" si="334">3387.806601/33</f>
        <v>102.66080609090909</v>
      </c>
    </row>
    <row r="18645" spans="1:7" x14ac:dyDescent="0.25">
      <c r="A18645" s="28">
        <v>45017</v>
      </c>
      <c r="B18645" s="27" t="s">
        <v>200</v>
      </c>
      <c r="C18645" s="27" t="s">
        <v>54</v>
      </c>
      <c r="D18645" s="27" t="s">
        <v>7</v>
      </c>
      <c r="E18645" s="27" t="s">
        <v>9</v>
      </c>
      <c r="F18645" s="29"/>
      <c r="G18645" s="30">
        <f t="shared" si="334"/>
        <v>102.66080609090909</v>
      </c>
    </row>
    <row r="18646" spans="1:7" x14ac:dyDescent="0.25">
      <c r="A18646" s="28">
        <v>45017</v>
      </c>
      <c r="B18646" s="27" t="s">
        <v>200</v>
      </c>
      <c r="C18646" s="27" t="s">
        <v>54</v>
      </c>
      <c r="D18646" s="27" t="s">
        <v>7</v>
      </c>
      <c r="E18646" s="27" t="s">
        <v>21</v>
      </c>
      <c r="F18646" s="29"/>
      <c r="G18646" s="30">
        <f t="shared" si="334"/>
        <v>102.66080609090909</v>
      </c>
    </row>
    <row r="18647" spans="1:7" x14ac:dyDescent="0.25">
      <c r="A18647" s="28">
        <v>45017</v>
      </c>
      <c r="B18647" s="27" t="s">
        <v>200</v>
      </c>
      <c r="C18647" s="27" t="s">
        <v>54</v>
      </c>
      <c r="D18647" s="27" t="s">
        <v>7</v>
      </c>
      <c r="E18647" s="27" t="s">
        <v>10</v>
      </c>
      <c r="F18647" s="29"/>
      <c r="G18647" s="30">
        <f t="shared" si="334"/>
        <v>102.66080609090909</v>
      </c>
    </row>
    <row r="18648" spans="1:7" x14ac:dyDescent="0.25">
      <c r="A18648" s="28">
        <v>45017</v>
      </c>
      <c r="B18648" s="27" t="s">
        <v>200</v>
      </c>
      <c r="C18648" s="27" t="s">
        <v>54</v>
      </c>
      <c r="D18648" s="27" t="s">
        <v>7</v>
      </c>
      <c r="E18648" s="27" t="s">
        <v>11</v>
      </c>
      <c r="F18648" s="29"/>
      <c r="G18648" s="30">
        <f t="shared" si="334"/>
        <v>102.66080609090909</v>
      </c>
    </row>
    <row r="18649" spans="1:7" x14ac:dyDescent="0.25">
      <c r="A18649" s="28">
        <v>45017</v>
      </c>
      <c r="B18649" s="27" t="s">
        <v>200</v>
      </c>
      <c r="C18649" s="27" t="s">
        <v>54</v>
      </c>
      <c r="D18649" s="27" t="s">
        <v>7</v>
      </c>
      <c r="E18649" s="27" t="s">
        <v>12</v>
      </c>
      <c r="F18649" s="29"/>
      <c r="G18649" s="30">
        <f t="shared" si="334"/>
        <v>102.66080609090909</v>
      </c>
    </row>
    <row r="18650" spans="1:7" x14ac:dyDescent="0.25">
      <c r="A18650" s="28">
        <v>45017</v>
      </c>
      <c r="B18650" s="27" t="s">
        <v>200</v>
      </c>
      <c r="C18650" s="27" t="s">
        <v>54</v>
      </c>
      <c r="D18650" s="27" t="s">
        <v>7</v>
      </c>
      <c r="E18650" s="27" t="s">
        <v>13</v>
      </c>
      <c r="F18650" s="29"/>
      <c r="G18650" s="30">
        <f t="shared" si="334"/>
        <v>102.66080609090909</v>
      </c>
    </row>
    <row r="18651" spans="1:7" x14ac:dyDescent="0.25">
      <c r="A18651" s="28">
        <v>45017</v>
      </c>
      <c r="B18651" s="27" t="s">
        <v>200</v>
      </c>
      <c r="C18651" s="27" t="s">
        <v>54</v>
      </c>
      <c r="D18651" s="27" t="s">
        <v>7</v>
      </c>
      <c r="E18651" s="27" t="s">
        <v>14</v>
      </c>
      <c r="F18651" s="29"/>
      <c r="G18651" s="30">
        <f t="shared" si="334"/>
        <v>102.66080609090909</v>
      </c>
    </row>
    <row r="18652" spans="1:7" x14ac:dyDescent="0.25">
      <c r="A18652" s="28">
        <v>45017</v>
      </c>
      <c r="B18652" s="27" t="s">
        <v>200</v>
      </c>
      <c r="C18652" s="27" t="s">
        <v>54</v>
      </c>
      <c r="D18652" s="27" t="s">
        <v>7</v>
      </c>
      <c r="E18652" s="27" t="s">
        <v>15</v>
      </c>
      <c r="F18652" s="29"/>
      <c r="G18652" s="30">
        <f t="shared" si="334"/>
        <v>102.66080609090909</v>
      </c>
    </row>
    <row r="18653" spans="1:7" x14ac:dyDescent="0.25">
      <c r="A18653" s="28">
        <v>45017</v>
      </c>
      <c r="B18653" s="27" t="s">
        <v>200</v>
      </c>
      <c r="C18653" s="27" t="s">
        <v>54</v>
      </c>
      <c r="D18653" s="27" t="s">
        <v>7</v>
      </c>
      <c r="E18653" s="27" t="s">
        <v>16</v>
      </c>
      <c r="F18653" s="29"/>
      <c r="G18653" s="30">
        <f t="shared" si="334"/>
        <v>102.66080609090909</v>
      </c>
    </row>
    <row r="18654" spans="1:7" x14ac:dyDescent="0.25">
      <c r="A18654" s="28">
        <v>45017</v>
      </c>
      <c r="B18654" s="27" t="s">
        <v>200</v>
      </c>
      <c r="C18654" s="27" t="s">
        <v>54</v>
      </c>
      <c r="D18654" s="27" t="s">
        <v>7</v>
      </c>
      <c r="E18654" s="27" t="s">
        <v>17</v>
      </c>
      <c r="F18654" s="29"/>
      <c r="G18654" s="30">
        <f t="shared" si="334"/>
        <v>102.66080609090909</v>
      </c>
    </row>
    <row r="18655" spans="1:7" x14ac:dyDescent="0.25">
      <c r="A18655" s="28">
        <v>45017</v>
      </c>
      <c r="B18655" s="27" t="s">
        <v>200</v>
      </c>
      <c r="C18655" s="27" t="s">
        <v>54</v>
      </c>
      <c r="D18655" s="27" t="s">
        <v>7</v>
      </c>
      <c r="E18655" s="27" t="s">
        <v>18</v>
      </c>
      <c r="F18655" s="29"/>
      <c r="G18655" s="30">
        <f t="shared" si="334"/>
        <v>102.66080609090909</v>
      </c>
    </row>
    <row r="18656" spans="1:7" x14ac:dyDescent="0.25">
      <c r="A18656" s="28">
        <v>45017</v>
      </c>
      <c r="B18656" s="27" t="s">
        <v>200</v>
      </c>
      <c r="C18656" s="27" t="s">
        <v>54</v>
      </c>
      <c r="D18656" s="27" t="s">
        <v>7</v>
      </c>
      <c r="E18656" s="27" t="s">
        <v>19</v>
      </c>
      <c r="F18656" s="29"/>
      <c r="G18656" s="30">
        <f t="shared" si="334"/>
        <v>102.66080609090909</v>
      </c>
    </row>
    <row r="18657" spans="1:7" x14ac:dyDescent="0.25">
      <c r="A18657" s="28">
        <v>45017</v>
      </c>
      <c r="B18657" s="27" t="s">
        <v>200</v>
      </c>
      <c r="C18657" s="27" t="s">
        <v>54</v>
      </c>
      <c r="D18657" s="27" t="s">
        <v>7</v>
      </c>
      <c r="E18657" s="27" t="s">
        <v>20</v>
      </c>
      <c r="F18657" s="29"/>
      <c r="G18657" s="30">
        <f t="shared" si="334"/>
        <v>102.66080609090909</v>
      </c>
    </row>
    <row r="18658" spans="1:7" x14ac:dyDescent="0.25">
      <c r="A18658" s="28">
        <v>45017</v>
      </c>
      <c r="B18658" s="27" t="s">
        <v>200</v>
      </c>
      <c r="C18658" s="27" t="s">
        <v>54</v>
      </c>
      <c r="D18658" s="27" t="s">
        <v>7</v>
      </c>
      <c r="E18658" s="27" t="s">
        <v>38</v>
      </c>
      <c r="F18658" s="29"/>
      <c r="G18658" s="30">
        <f t="shared" si="334"/>
        <v>102.66080609090909</v>
      </c>
    </row>
    <row r="18659" spans="1:7" x14ac:dyDescent="0.25">
      <c r="A18659" s="28">
        <v>45017</v>
      </c>
      <c r="B18659" s="27" t="s">
        <v>200</v>
      </c>
      <c r="C18659" s="27" t="s">
        <v>54</v>
      </c>
      <c r="D18659" s="27" t="s">
        <v>7</v>
      </c>
      <c r="E18659" s="27" t="s">
        <v>23</v>
      </c>
      <c r="F18659" s="29"/>
      <c r="G18659" s="30">
        <f t="shared" si="334"/>
        <v>102.66080609090909</v>
      </c>
    </row>
    <row r="18660" spans="1:7" x14ac:dyDescent="0.25">
      <c r="A18660" s="28">
        <v>45017</v>
      </c>
      <c r="B18660" s="27" t="s">
        <v>200</v>
      </c>
      <c r="C18660" s="27" t="s">
        <v>54</v>
      </c>
      <c r="D18660" s="27" t="s">
        <v>7</v>
      </c>
      <c r="E18660" s="27" t="s">
        <v>22</v>
      </c>
      <c r="F18660" s="29"/>
      <c r="G18660" s="30">
        <f t="shared" si="334"/>
        <v>102.66080609090909</v>
      </c>
    </row>
    <row r="18661" spans="1:7" x14ac:dyDescent="0.25">
      <c r="A18661" s="28">
        <v>45017</v>
      </c>
      <c r="B18661" s="27" t="s">
        <v>200</v>
      </c>
      <c r="C18661" s="27" t="s">
        <v>54</v>
      </c>
      <c r="D18661" s="27" t="s">
        <v>7</v>
      </c>
      <c r="E18661" s="27" t="s">
        <v>39</v>
      </c>
      <c r="F18661" s="29"/>
      <c r="G18661" s="30">
        <f t="shared" si="334"/>
        <v>102.66080609090909</v>
      </c>
    </row>
    <row r="18662" spans="1:7" x14ac:dyDescent="0.25">
      <c r="A18662" s="28">
        <v>45017</v>
      </c>
      <c r="B18662" s="27" t="s">
        <v>200</v>
      </c>
      <c r="C18662" s="27" t="s">
        <v>54</v>
      </c>
      <c r="D18662" s="27" t="s">
        <v>7</v>
      </c>
      <c r="E18662" s="27" t="s">
        <v>41</v>
      </c>
      <c r="F18662" s="29"/>
      <c r="G18662" s="30">
        <f t="shared" si="334"/>
        <v>102.66080609090909</v>
      </c>
    </row>
    <row r="18663" spans="1:7" x14ac:dyDescent="0.25">
      <c r="A18663" s="28">
        <v>45017</v>
      </c>
      <c r="B18663" s="27" t="s">
        <v>200</v>
      </c>
      <c r="C18663" s="27" t="s">
        <v>54</v>
      </c>
      <c r="D18663" s="27" t="s">
        <v>7</v>
      </c>
      <c r="E18663" s="27" t="s">
        <v>40</v>
      </c>
      <c r="F18663" s="29"/>
      <c r="G18663" s="30">
        <f t="shared" si="334"/>
        <v>102.66080609090909</v>
      </c>
    </row>
    <row r="18664" spans="1:7" x14ac:dyDescent="0.25">
      <c r="A18664" s="28">
        <v>45017</v>
      </c>
      <c r="B18664" s="27" t="s">
        <v>200</v>
      </c>
      <c r="C18664" s="27" t="s">
        <v>54</v>
      </c>
      <c r="D18664" s="27" t="s">
        <v>7</v>
      </c>
      <c r="E18664" s="27" t="s">
        <v>64</v>
      </c>
      <c r="F18664" s="29"/>
      <c r="G18664" s="30">
        <f t="shared" si="334"/>
        <v>102.66080609090909</v>
      </c>
    </row>
    <row r="18665" spans="1:7" x14ac:dyDescent="0.25">
      <c r="A18665" s="28">
        <v>45017</v>
      </c>
      <c r="B18665" s="27" t="s">
        <v>200</v>
      </c>
      <c r="C18665" s="27" t="s">
        <v>54</v>
      </c>
      <c r="D18665" s="27" t="s">
        <v>7</v>
      </c>
      <c r="E18665" s="27" t="s">
        <v>42</v>
      </c>
      <c r="F18665" s="29"/>
      <c r="G18665" s="30">
        <f t="shared" si="334"/>
        <v>102.66080609090909</v>
      </c>
    </row>
    <row r="18666" spans="1:7" x14ac:dyDescent="0.25">
      <c r="A18666" s="28">
        <v>45017</v>
      </c>
      <c r="B18666" s="27" t="s">
        <v>200</v>
      </c>
      <c r="C18666" s="27" t="s">
        <v>54</v>
      </c>
      <c r="D18666" s="27" t="s">
        <v>7</v>
      </c>
      <c r="E18666" s="27" t="s">
        <v>72</v>
      </c>
      <c r="F18666" s="29"/>
      <c r="G18666" s="30">
        <f t="shared" si="334"/>
        <v>102.66080609090909</v>
      </c>
    </row>
    <row r="18667" spans="1:7" x14ac:dyDescent="0.25">
      <c r="A18667" s="28">
        <v>45017</v>
      </c>
      <c r="B18667" s="27" t="s">
        <v>200</v>
      </c>
      <c r="C18667" s="27" t="s">
        <v>54</v>
      </c>
      <c r="D18667" s="27" t="s">
        <v>7</v>
      </c>
      <c r="E18667" s="27" t="s">
        <v>43</v>
      </c>
      <c r="F18667" s="29"/>
      <c r="G18667" s="30">
        <f t="shared" si="334"/>
        <v>102.66080609090909</v>
      </c>
    </row>
    <row r="18668" spans="1:7" x14ac:dyDescent="0.25">
      <c r="A18668" s="28">
        <v>45017</v>
      </c>
      <c r="B18668" s="27" t="s">
        <v>200</v>
      </c>
      <c r="C18668" s="27" t="s">
        <v>54</v>
      </c>
      <c r="D18668" s="27" t="s">
        <v>7</v>
      </c>
      <c r="E18668" s="27" t="s">
        <v>206</v>
      </c>
      <c r="F18668" s="29"/>
      <c r="G18668" s="30">
        <f t="shared" si="334"/>
        <v>102.66080609090909</v>
      </c>
    </row>
    <row r="18669" spans="1:7" x14ac:dyDescent="0.25">
      <c r="A18669" s="28">
        <v>45017</v>
      </c>
      <c r="B18669" s="27" t="s">
        <v>200</v>
      </c>
      <c r="C18669" s="27" t="s">
        <v>54</v>
      </c>
      <c r="D18669" s="27" t="s">
        <v>7</v>
      </c>
      <c r="E18669" s="27" t="s">
        <v>68</v>
      </c>
      <c r="F18669" s="29"/>
      <c r="G18669" s="30">
        <f t="shared" si="334"/>
        <v>102.66080609090909</v>
      </c>
    </row>
    <row r="18670" spans="1:7" x14ac:dyDescent="0.25">
      <c r="A18670" s="28">
        <v>45017</v>
      </c>
      <c r="B18670" s="27" t="s">
        <v>200</v>
      </c>
      <c r="C18670" s="27" t="s">
        <v>54</v>
      </c>
      <c r="D18670" s="27" t="s">
        <v>7</v>
      </c>
      <c r="E18670" s="27" t="s">
        <v>74</v>
      </c>
      <c r="F18670" s="29"/>
      <c r="G18670" s="30">
        <f t="shared" si="334"/>
        <v>102.66080609090909</v>
      </c>
    </row>
    <row r="18671" spans="1:7" x14ac:dyDescent="0.25">
      <c r="A18671" s="28">
        <v>45017</v>
      </c>
      <c r="B18671" s="27" t="s">
        <v>200</v>
      </c>
      <c r="C18671" s="27" t="s">
        <v>54</v>
      </c>
      <c r="D18671" s="27" t="s">
        <v>7</v>
      </c>
      <c r="E18671" s="27" t="s">
        <v>67</v>
      </c>
      <c r="F18671" s="29"/>
      <c r="G18671" s="30">
        <f t="shared" si="334"/>
        <v>102.66080609090909</v>
      </c>
    </row>
    <row r="18672" spans="1:7" x14ac:dyDescent="0.25">
      <c r="A18672" s="28">
        <v>45017</v>
      </c>
      <c r="B18672" s="27" t="s">
        <v>200</v>
      </c>
      <c r="C18672" s="27" t="s">
        <v>54</v>
      </c>
      <c r="D18672" s="27" t="s">
        <v>7</v>
      </c>
      <c r="E18672" s="27" t="s">
        <v>71</v>
      </c>
      <c r="F18672" s="29"/>
      <c r="G18672" s="30">
        <f t="shared" si="334"/>
        <v>102.66080609090909</v>
      </c>
    </row>
    <row r="18673" spans="1:7" x14ac:dyDescent="0.25">
      <c r="A18673" s="28">
        <v>45017</v>
      </c>
      <c r="B18673" s="27" t="s">
        <v>200</v>
      </c>
      <c r="C18673" s="27" t="s">
        <v>54</v>
      </c>
      <c r="D18673" s="27" t="s">
        <v>7</v>
      </c>
      <c r="E18673" s="27" t="s">
        <v>73</v>
      </c>
      <c r="F18673" s="29"/>
      <c r="G18673" s="30">
        <f t="shared" si="334"/>
        <v>102.66080609090909</v>
      </c>
    </row>
    <row r="18674" spans="1:7" x14ac:dyDescent="0.25">
      <c r="A18674" s="28">
        <v>45017</v>
      </c>
      <c r="B18674" s="27" t="s">
        <v>200</v>
      </c>
      <c r="C18674" s="27" t="s">
        <v>54</v>
      </c>
      <c r="D18674" s="27" t="s">
        <v>7</v>
      </c>
      <c r="E18674" s="27" t="s">
        <v>70</v>
      </c>
      <c r="F18674" s="29"/>
      <c r="G18674" s="30">
        <f t="shared" si="334"/>
        <v>102.66080609090909</v>
      </c>
    </row>
    <row r="18675" spans="1:7" x14ac:dyDescent="0.25">
      <c r="A18675" s="28">
        <v>45017</v>
      </c>
      <c r="B18675" s="27" t="s">
        <v>200</v>
      </c>
      <c r="C18675" s="27" t="s">
        <v>54</v>
      </c>
      <c r="D18675" s="27" t="s">
        <v>7</v>
      </c>
      <c r="E18675" s="27" t="s">
        <v>203</v>
      </c>
      <c r="F18675" s="29"/>
      <c r="G18675" s="30">
        <f t="shared" si="334"/>
        <v>102.66080609090909</v>
      </c>
    </row>
    <row r="18676" spans="1:7" x14ac:dyDescent="0.25">
      <c r="A18676" s="28">
        <v>45017</v>
      </c>
      <c r="B18676" s="27" t="s">
        <v>200</v>
      </c>
      <c r="C18676" s="27" t="s">
        <v>54</v>
      </c>
      <c r="D18676" s="27" t="s">
        <v>7</v>
      </c>
      <c r="E18676" s="27" t="s">
        <v>222</v>
      </c>
      <c r="F18676" s="29"/>
      <c r="G18676" s="30">
        <f t="shared" si="334"/>
        <v>102.66080609090909</v>
      </c>
    </row>
    <row r="18677" spans="1:7" x14ac:dyDescent="0.25">
      <c r="A18677" s="28">
        <v>45017</v>
      </c>
      <c r="B18677" s="27" t="s">
        <v>34</v>
      </c>
      <c r="C18677" s="27" t="s">
        <v>50</v>
      </c>
      <c r="D18677" s="27" t="s">
        <v>6</v>
      </c>
      <c r="E18677" s="27" t="s">
        <v>8</v>
      </c>
      <c r="F18677" s="29"/>
      <c r="G18677" s="30">
        <f t="shared" ref="G18677:G18709" si="335">88130.7/33</f>
        <v>2670.6272727272726</v>
      </c>
    </row>
    <row r="18678" spans="1:7" x14ac:dyDescent="0.25">
      <c r="A18678" s="28">
        <v>45017</v>
      </c>
      <c r="B18678" s="27" t="s">
        <v>34</v>
      </c>
      <c r="C18678" s="27" t="s">
        <v>50</v>
      </c>
      <c r="D18678" s="27" t="s">
        <v>6</v>
      </c>
      <c r="E18678" s="27" t="s">
        <v>9</v>
      </c>
      <c r="F18678" s="29"/>
      <c r="G18678" s="30">
        <f t="shared" si="335"/>
        <v>2670.6272727272726</v>
      </c>
    </row>
    <row r="18679" spans="1:7" x14ac:dyDescent="0.25">
      <c r="A18679" s="28">
        <v>45017</v>
      </c>
      <c r="B18679" s="27" t="s">
        <v>34</v>
      </c>
      <c r="C18679" s="27" t="s">
        <v>50</v>
      </c>
      <c r="D18679" s="27" t="s">
        <v>6</v>
      </c>
      <c r="E18679" s="27" t="s">
        <v>21</v>
      </c>
      <c r="F18679" s="29"/>
      <c r="G18679" s="30">
        <f t="shared" si="335"/>
        <v>2670.6272727272726</v>
      </c>
    </row>
    <row r="18680" spans="1:7" x14ac:dyDescent="0.25">
      <c r="A18680" s="28">
        <v>45017</v>
      </c>
      <c r="B18680" s="27" t="s">
        <v>34</v>
      </c>
      <c r="C18680" s="27" t="s">
        <v>50</v>
      </c>
      <c r="D18680" s="27" t="s">
        <v>6</v>
      </c>
      <c r="E18680" s="27" t="s">
        <v>10</v>
      </c>
      <c r="F18680" s="29"/>
      <c r="G18680" s="30">
        <f t="shared" si="335"/>
        <v>2670.6272727272726</v>
      </c>
    </row>
    <row r="18681" spans="1:7" x14ac:dyDescent="0.25">
      <c r="A18681" s="28">
        <v>45017</v>
      </c>
      <c r="B18681" s="27" t="s">
        <v>34</v>
      </c>
      <c r="C18681" s="27" t="s">
        <v>50</v>
      </c>
      <c r="D18681" s="27" t="s">
        <v>6</v>
      </c>
      <c r="E18681" s="27" t="s">
        <v>11</v>
      </c>
      <c r="F18681" s="29"/>
      <c r="G18681" s="30">
        <f t="shared" si="335"/>
        <v>2670.6272727272726</v>
      </c>
    </row>
    <row r="18682" spans="1:7" x14ac:dyDescent="0.25">
      <c r="A18682" s="28">
        <v>45017</v>
      </c>
      <c r="B18682" s="27" t="s">
        <v>34</v>
      </c>
      <c r="C18682" s="27" t="s">
        <v>50</v>
      </c>
      <c r="D18682" s="27" t="s">
        <v>6</v>
      </c>
      <c r="E18682" s="27" t="s">
        <v>12</v>
      </c>
      <c r="F18682" s="29"/>
      <c r="G18682" s="30">
        <f t="shared" si="335"/>
        <v>2670.6272727272726</v>
      </c>
    </row>
    <row r="18683" spans="1:7" x14ac:dyDescent="0.25">
      <c r="A18683" s="28">
        <v>45017</v>
      </c>
      <c r="B18683" s="27" t="s">
        <v>34</v>
      </c>
      <c r="C18683" s="27" t="s">
        <v>50</v>
      </c>
      <c r="D18683" s="27" t="s">
        <v>6</v>
      </c>
      <c r="E18683" s="27" t="s">
        <v>13</v>
      </c>
      <c r="F18683" s="29"/>
      <c r="G18683" s="30">
        <f t="shared" si="335"/>
        <v>2670.6272727272726</v>
      </c>
    </row>
    <row r="18684" spans="1:7" x14ac:dyDescent="0.25">
      <c r="A18684" s="28">
        <v>45017</v>
      </c>
      <c r="B18684" s="27" t="s">
        <v>34</v>
      </c>
      <c r="C18684" s="27" t="s">
        <v>50</v>
      </c>
      <c r="D18684" s="27" t="s">
        <v>6</v>
      </c>
      <c r="E18684" s="27" t="s">
        <v>14</v>
      </c>
      <c r="F18684" s="29"/>
      <c r="G18684" s="30">
        <f t="shared" si="335"/>
        <v>2670.6272727272726</v>
      </c>
    </row>
    <row r="18685" spans="1:7" x14ac:dyDescent="0.25">
      <c r="A18685" s="28">
        <v>45017</v>
      </c>
      <c r="B18685" s="27" t="s">
        <v>34</v>
      </c>
      <c r="C18685" s="27" t="s">
        <v>50</v>
      </c>
      <c r="D18685" s="27" t="s">
        <v>6</v>
      </c>
      <c r="E18685" s="27" t="s">
        <v>15</v>
      </c>
      <c r="F18685" s="29"/>
      <c r="G18685" s="30">
        <f t="shared" si="335"/>
        <v>2670.6272727272726</v>
      </c>
    </row>
    <row r="18686" spans="1:7" x14ac:dyDescent="0.25">
      <c r="A18686" s="28">
        <v>45017</v>
      </c>
      <c r="B18686" s="27" t="s">
        <v>34</v>
      </c>
      <c r="C18686" s="27" t="s">
        <v>50</v>
      </c>
      <c r="D18686" s="27" t="s">
        <v>6</v>
      </c>
      <c r="E18686" s="27" t="s">
        <v>16</v>
      </c>
      <c r="F18686" s="29"/>
      <c r="G18686" s="30">
        <f t="shared" si="335"/>
        <v>2670.6272727272726</v>
      </c>
    </row>
    <row r="18687" spans="1:7" x14ac:dyDescent="0.25">
      <c r="A18687" s="28">
        <v>45017</v>
      </c>
      <c r="B18687" s="27" t="s">
        <v>34</v>
      </c>
      <c r="C18687" s="27" t="s">
        <v>50</v>
      </c>
      <c r="D18687" s="27" t="s">
        <v>6</v>
      </c>
      <c r="E18687" s="27" t="s">
        <v>17</v>
      </c>
      <c r="F18687" s="29"/>
      <c r="G18687" s="30">
        <f t="shared" si="335"/>
        <v>2670.6272727272726</v>
      </c>
    </row>
    <row r="18688" spans="1:7" x14ac:dyDescent="0.25">
      <c r="A18688" s="28">
        <v>45017</v>
      </c>
      <c r="B18688" s="27" t="s">
        <v>34</v>
      </c>
      <c r="C18688" s="27" t="s">
        <v>50</v>
      </c>
      <c r="D18688" s="27" t="s">
        <v>6</v>
      </c>
      <c r="E18688" s="27" t="s">
        <v>18</v>
      </c>
      <c r="F18688" s="29"/>
      <c r="G18688" s="30">
        <f t="shared" si="335"/>
        <v>2670.6272727272726</v>
      </c>
    </row>
    <row r="18689" spans="1:7" x14ac:dyDescent="0.25">
      <c r="A18689" s="28">
        <v>45017</v>
      </c>
      <c r="B18689" s="27" t="s">
        <v>34</v>
      </c>
      <c r="C18689" s="27" t="s">
        <v>50</v>
      </c>
      <c r="D18689" s="27" t="s">
        <v>6</v>
      </c>
      <c r="E18689" s="27" t="s">
        <v>19</v>
      </c>
      <c r="F18689" s="29"/>
      <c r="G18689" s="30">
        <f t="shared" si="335"/>
        <v>2670.6272727272726</v>
      </c>
    </row>
    <row r="18690" spans="1:7" x14ac:dyDescent="0.25">
      <c r="A18690" s="28">
        <v>45017</v>
      </c>
      <c r="B18690" s="27" t="s">
        <v>34</v>
      </c>
      <c r="C18690" s="27" t="s">
        <v>50</v>
      </c>
      <c r="D18690" s="27" t="s">
        <v>6</v>
      </c>
      <c r="E18690" s="27" t="s">
        <v>20</v>
      </c>
      <c r="F18690" s="29"/>
      <c r="G18690" s="30">
        <f t="shared" si="335"/>
        <v>2670.6272727272726</v>
      </c>
    </row>
    <row r="18691" spans="1:7" x14ac:dyDescent="0.25">
      <c r="A18691" s="28">
        <v>45017</v>
      </c>
      <c r="B18691" s="27" t="s">
        <v>34</v>
      </c>
      <c r="C18691" s="27" t="s">
        <v>50</v>
      </c>
      <c r="D18691" s="27" t="s">
        <v>6</v>
      </c>
      <c r="E18691" s="27" t="s">
        <v>38</v>
      </c>
      <c r="F18691" s="29"/>
      <c r="G18691" s="30">
        <f t="shared" si="335"/>
        <v>2670.6272727272726</v>
      </c>
    </row>
    <row r="18692" spans="1:7" x14ac:dyDescent="0.25">
      <c r="A18692" s="28">
        <v>45017</v>
      </c>
      <c r="B18692" s="27" t="s">
        <v>34</v>
      </c>
      <c r="C18692" s="27" t="s">
        <v>50</v>
      </c>
      <c r="D18692" s="27" t="s">
        <v>6</v>
      </c>
      <c r="E18692" s="27" t="s">
        <v>23</v>
      </c>
      <c r="F18692" s="29"/>
      <c r="G18692" s="30">
        <f t="shared" si="335"/>
        <v>2670.6272727272726</v>
      </c>
    </row>
    <row r="18693" spans="1:7" x14ac:dyDescent="0.25">
      <c r="A18693" s="28">
        <v>45017</v>
      </c>
      <c r="B18693" s="27" t="s">
        <v>34</v>
      </c>
      <c r="C18693" s="27" t="s">
        <v>50</v>
      </c>
      <c r="D18693" s="27" t="s">
        <v>6</v>
      </c>
      <c r="E18693" s="27" t="s">
        <v>22</v>
      </c>
      <c r="F18693" s="29"/>
      <c r="G18693" s="30">
        <f t="shared" si="335"/>
        <v>2670.6272727272726</v>
      </c>
    </row>
    <row r="18694" spans="1:7" x14ac:dyDescent="0.25">
      <c r="A18694" s="28">
        <v>45017</v>
      </c>
      <c r="B18694" s="27" t="s">
        <v>34</v>
      </c>
      <c r="C18694" s="27" t="s">
        <v>50</v>
      </c>
      <c r="D18694" s="27" t="s">
        <v>6</v>
      </c>
      <c r="E18694" s="27" t="s">
        <v>39</v>
      </c>
      <c r="F18694" s="29"/>
      <c r="G18694" s="30">
        <f t="shared" si="335"/>
        <v>2670.6272727272726</v>
      </c>
    </row>
    <row r="18695" spans="1:7" x14ac:dyDescent="0.25">
      <c r="A18695" s="28">
        <v>45017</v>
      </c>
      <c r="B18695" s="27" t="s">
        <v>34</v>
      </c>
      <c r="C18695" s="27" t="s">
        <v>50</v>
      </c>
      <c r="D18695" s="27" t="s">
        <v>6</v>
      </c>
      <c r="E18695" s="27" t="s">
        <v>41</v>
      </c>
      <c r="F18695" s="29"/>
      <c r="G18695" s="30">
        <f t="shared" si="335"/>
        <v>2670.6272727272726</v>
      </c>
    </row>
    <row r="18696" spans="1:7" x14ac:dyDescent="0.25">
      <c r="A18696" s="28">
        <v>45017</v>
      </c>
      <c r="B18696" s="27" t="s">
        <v>34</v>
      </c>
      <c r="C18696" s="27" t="s">
        <v>50</v>
      </c>
      <c r="D18696" s="27" t="s">
        <v>6</v>
      </c>
      <c r="E18696" s="27" t="s">
        <v>40</v>
      </c>
      <c r="F18696" s="29"/>
      <c r="G18696" s="30">
        <f t="shared" si="335"/>
        <v>2670.6272727272726</v>
      </c>
    </row>
    <row r="18697" spans="1:7" x14ac:dyDescent="0.25">
      <c r="A18697" s="28">
        <v>45017</v>
      </c>
      <c r="B18697" s="27" t="s">
        <v>34</v>
      </c>
      <c r="C18697" s="27" t="s">
        <v>50</v>
      </c>
      <c r="D18697" s="27" t="s">
        <v>6</v>
      </c>
      <c r="E18697" s="27" t="s">
        <v>64</v>
      </c>
      <c r="F18697" s="29"/>
      <c r="G18697" s="30">
        <f t="shared" si="335"/>
        <v>2670.6272727272726</v>
      </c>
    </row>
    <row r="18698" spans="1:7" x14ac:dyDescent="0.25">
      <c r="A18698" s="28">
        <v>45017</v>
      </c>
      <c r="B18698" s="27" t="s">
        <v>34</v>
      </c>
      <c r="C18698" s="27" t="s">
        <v>50</v>
      </c>
      <c r="D18698" s="27" t="s">
        <v>6</v>
      </c>
      <c r="E18698" s="27" t="s">
        <v>42</v>
      </c>
      <c r="F18698" s="29"/>
      <c r="G18698" s="30">
        <f t="shared" si="335"/>
        <v>2670.6272727272726</v>
      </c>
    </row>
    <row r="18699" spans="1:7" x14ac:dyDescent="0.25">
      <c r="A18699" s="28">
        <v>45017</v>
      </c>
      <c r="B18699" s="27" t="s">
        <v>34</v>
      </c>
      <c r="C18699" s="27" t="s">
        <v>50</v>
      </c>
      <c r="D18699" s="27" t="s">
        <v>6</v>
      </c>
      <c r="E18699" s="27" t="s">
        <v>72</v>
      </c>
      <c r="F18699" s="29"/>
      <c r="G18699" s="30">
        <f t="shared" si="335"/>
        <v>2670.6272727272726</v>
      </c>
    </row>
    <row r="18700" spans="1:7" x14ac:dyDescent="0.25">
      <c r="A18700" s="28">
        <v>45017</v>
      </c>
      <c r="B18700" s="27" t="s">
        <v>34</v>
      </c>
      <c r="C18700" s="27" t="s">
        <v>50</v>
      </c>
      <c r="D18700" s="27" t="s">
        <v>6</v>
      </c>
      <c r="E18700" s="27" t="s">
        <v>43</v>
      </c>
      <c r="F18700" s="29"/>
      <c r="G18700" s="30">
        <f t="shared" si="335"/>
        <v>2670.6272727272726</v>
      </c>
    </row>
    <row r="18701" spans="1:7" x14ac:dyDescent="0.25">
      <c r="A18701" s="28">
        <v>45017</v>
      </c>
      <c r="B18701" s="27" t="s">
        <v>34</v>
      </c>
      <c r="C18701" s="27" t="s">
        <v>50</v>
      </c>
      <c r="D18701" s="27" t="s">
        <v>6</v>
      </c>
      <c r="E18701" s="27" t="s">
        <v>206</v>
      </c>
      <c r="F18701" s="29"/>
      <c r="G18701" s="30">
        <f t="shared" si="335"/>
        <v>2670.6272727272726</v>
      </c>
    </row>
    <row r="18702" spans="1:7" x14ac:dyDescent="0.25">
      <c r="A18702" s="28">
        <v>45017</v>
      </c>
      <c r="B18702" s="27" t="s">
        <v>34</v>
      </c>
      <c r="C18702" s="27" t="s">
        <v>50</v>
      </c>
      <c r="D18702" s="27" t="s">
        <v>6</v>
      </c>
      <c r="E18702" s="27" t="s">
        <v>68</v>
      </c>
      <c r="F18702" s="29"/>
      <c r="G18702" s="30">
        <f t="shared" si="335"/>
        <v>2670.6272727272726</v>
      </c>
    </row>
    <row r="18703" spans="1:7" x14ac:dyDescent="0.25">
      <c r="A18703" s="28">
        <v>45017</v>
      </c>
      <c r="B18703" s="27" t="s">
        <v>34</v>
      </c>
      <c r="C18703" s="27" t="s">
        <v>50</v>
      </c>
      <c r="D18703" s="27" t="s">
        <v>6</v>
      </c>
      <c r="E18703" s="27" t="s">
        <v>74</v>
      </c>
      <c r="F18703" s="29"/>
      <c r="G18703" s="30">
        <f t="shared" si="335"/>
        <v>2670.6272727272726</v>
      </c>
    </row>
    <row r="18704" spans="1:7" x14ac:dyDescent="0.25">
      <c r="A18704" s="28">
        <v>45017</v>
      </c>
      <c r="B18704" s="27" t="s">
        <v>34</v>
      </c>
      <c r="C18704" s="27" t="s">
        <v>50</v>
      </c>
      <c r="D18704" s="27" t="s">
        <v>6</v>
      </c>
      <c r="E18704" s="27" t="s">
        <v>67</v>
      </c>
      <c r="F18704" s="29"/>
      <c r="G18704" s="30">
        <f t="shared" si="335"/>
        <v>2670.6272727272726</v>
      </c>
    </row>
    <row r="18705" spans="1:7" x14ac:dyDescent="0.25">
      <c r="A18705" s="28">
        <v>45017</v>
      </c>
      <c r="B18705" s="27" t="s">
        <v>34</v>
      </c>
      <c r="C18705" s="27" t="s">
        <v>50</v>
      </c>
      <c r="D18705" s="27" t="s">
        <v>6</v>
      </c>
      <c r="E18705" s="27" t="s">
        <v>71</v>
      </c>
      <c r="F18705" s="29"/>
      <c r="G18705" s="30">
        <f t="shared" si="335"/>
        <v>2670.6272727272726</v>
      </c>
    </row>
    <row r="18706" spans="1:7" x14ac:dyDescent="0.25">
      <c r="A18706" s="28">
        <v>45017</v>
      </c>
      <c r="B18706" s="27" t="s">
        <v>34</v>
      </c>
      <c r="C18706" s="27" t="s">
        <v>50</v>
      </c>
      <c r="D18706" s="27" t="s">
        <v>6</v>
      </c>
      <c r="E18706" s="27" t="s">
        <v>73</v>
      </c>
      <c r="F18706" s="29"/>
      <c r="G18706" s="30">
        <f t="shared" si="335"/>
        <v>2670.6272727272726</v>
      </c>
    </row>
    <row r="18707" spans="1:7" x14ac:dyDescent="0.25">
      <c r="A18707" s="28">
        <v>45017</v>
      </c>
      <c r="B18707" s="27" t="s">
        <v>34</v>
      </c>
      <c r="C18707" s="27" t="s">
        <v>50</v>
      </c>
      <c r="D18707" s="27" t="s">
        <v>6</v>
      </c>
      <c r="E18707" s="27" t="s">
        <v>70</v>
      </c>
      <c r="F18707" s="29"/>
      <c r="G18707" s="30">
        <f t="shared" si="335"/>
        <v>2670.6272727272726</v>
      </c>
    </row>
    <row r="18708" spans="1:7" x14ac:dyDescent="0.25">
      <c r="A18708" s="28">
        <v>45017</v>
      </c>
      <c r="B18708" s="27" t="s">
        <v>34</v>
      </c>
      <c r="C18708" s="27" t="s">
        <v>50</v>
      </c>
      <c r="D18708" s="27" t="s">
        <v>6</v>
      </c>
      <c r="E18708" s="27" t="s">
        <v>203</v>
      </c>
      <c r="F18708" s="29"/>
      <c r="G18708" s="30">
        <f t="shared" si="335"/>
        <v>2670.6272727272726</v>
      </c>
    </row>
    <row r="18709" spans="1:7" x14ac:dyDescent="0.25">
      <c r="A18709" s="28">
        <v>45017</v>
      </c>
      <c r="B18709" s="27" t="s">
        <v>34</v>
      </c>
      <c r="C18709" s="27" t="s">
        <v>50</v>
      </c>
      <c r="D18709" s="27" t="s">
        <v>6</v>
      </c>
      <c r="E18709" s="27" t="s">
        <v>222</v>
      </c>
      <c r="F18709" s="29"/>
      <c r="G18709" s="30">
        <f t="shared" si="335"/>
        <v>2670.6272727272726</v>
      </c>
    </row>
    <row r="18710" spans="1:7" x14ac:dyDescent="0.25">
      <c r="A18710" s="28">
        <v>45017</v>
      </c>
      <c r="B18710" s="27" t="s">
        <v>36</v>
      </c>
      <c r="C18710" s="27" t="s">
        <v>50</v>
      </c>
      <c r="D18710" s="27" t="s">
        <v>6</v>
      </c>
      <c r="E18710" s="27" t="s">
        <v>8</v>
      </c>
      <c r="F18710" s="29"/>
      <c r="G18710" s="30">
        <f t="shared" ref="G18710:G18742" si="336">30500.28/33</f>
        <v>924.25090909090909</v>
      </c>
    </row>
    <row r="18711" spans="1:7" x14ac:dyDescent="0.25">
      <c r="A18711" s="28">
        <v>45017</v>
      </c>
      <c r="B18711" s="27" t="s">
        <v>36</v>
      </c>
      <c r="C18711" s="27" t="s">
        <v>50</v>
      </c>
      <c r="D18711" s="27" t="s">
        <v>6</v>
      </c>
      <c r="E18711" s="27" t="s">
        <v>9</v>
      </c>
      <c r="F18711" s="29"/>
      <c r="G18711" s="30">
        <f t="shared" si="336"/>
        <v>924.25090909090909</v>
      </c>
    </row>
    <row r="18712" spans="1:7" x14ac:dyDescent="0.25">
      <c r="A18712" s="28">
        <v>45017</v>
      </c>
      <c r="B18712" s="27" t="s">
        <v>36</v>
      </c>
      <c r="C18712" s="27" t="s">
        <v>50</v>
      </c>
      <c r="D18712" s="27" t="s">
        <v>6</v>
      </c>
      <c r="E18712" s="27" t="s">
        <v>21</v>
      </c>
      <c r="F18712" s="29"/>
      <c r="G18712" s="30">
        <f t="shared" si="336"/>
        <v>924.25090909090909</v>
      </c>
    </row>
    <row r="18713" spans="1:7" x14ac:dyDescent="0.25">
      <c r="A18713" s="28">
        <v>45017</v>
      </c>
      <c r="B18713" s="27" t="s">
        <v>36</v>
      </c>
      <c r="C18713" s="27" t="s">
        <v>50</v>
      </c>
      <c r="D18713" s="27" t="s">
        <v>6</v>
      </c>
      <c r="E18713" s="27" t="s">
        <v>10</v>
      </c>
      <c r="F18713" s="29"/>
      <c r="G18713" s="30">
        <f t="shared" si="336"/>
        <v>924.25090909090909</v>
      </c>
    </row>
    <row r="18714" spans="1:7" x14ac:dyDescent="0.25">
      <c r="A18714" s="28">
        <v>45017</v>
      </c>
      <c r="B18714" s="27" t="s">
        <v>36</v>
      </c>
      <c r="C18714" s="27" t="s">
        <v>50</v>
      </c>
      <c r="D18714" s="27" t="s">
        <v>6</v>
      </c>
      <c r="E18714" s="27" t="s">
        <v>11</v>
      </c>
      <c r="F18714" s="29"/>
      <c r="G18714" s="30">
        <f t="shared" si="336"/>
        <v>924.25090909090909</v>
      </c>
    </row>
    <row r="18715" spans="1:7" x14ac:dyDescent="0.25">
      <c r="A18715" s="28">
        <v>45017</v>
      </c>
      <c r="B18715" s="27" t="s">
        <v>36</v>
      </c>
      <c r="C18715" s="27" t="s">
        <v>50</v>
      </c>
      <c r="D18715" s="27" t="s">
        <v>6</v>
      </c>
      <c r="E18715" s="27" t="s">
        <v>12</v>
      </c>
      <c r="F18715" s="29"/>
      <c r="G18715" s="30">
        <f t="shared" si="336"/>
        <v>924.25090909090909</v>
      </c>
    </row>
    <row r="18716" spans="1:7" x14ac:dyDescent="0.25">
      <c r="A18716" s="28">
        <v>45017</v>
      </c>
      <c r="B18716" s="27" t="s">
        <v>36</v>
      </c>
      <c r="C18716" s="27" t="s">
        <v>50</v>
      </c>
      <c r="D18716" s="27" t="s">
        <v>6</v>
      </c>
      <c r="E18716" s="27" t="s">
        <v>13</v>
      </c>
      <c r="F18716" s="29"/>
      <c r="G18716" s="30">
        <f t="shared" si="336"/>
        <v>924.25090909090909</v>
      </c>
    </row>
    <row r="18717" spans="1:7" x14ac:dyDescent="0.25">
      <c r="A18717" s="28">
        <v>45017</v>
      </c>
      <c r="B18717" s="27" t="s">
        <v>36</v>
      </c>
      <c r="C18717" s="27" t="s">
        <v>50</v>
      </c>
      <c r="D18717" s="27" t="s">
        <v>6</v>
      </c>
      <c r="E18717" s="27" t="s">
        <v>14</v>
      </c>
      <c r="F18717" s="29"/>
      <c r="G18717" s="30">
        <f t="shared" si="336"/>
        <v>924.25090909090909</v>
      </c>
    </row>
    <row r="18718" spans="1:7" x14ac:dyDescent="0.25">
      <c r="A18718" s="28">
        <v>45017</v>
      </c>
      <c r="B18718" s="27" t="s">
        <v>36</v>
      </c>
      <c r="C18718" s="27" t="s">
        <v>50</v>
      </c>
      <c r="D18718" s="27" t="s">
        <v>6</v>
      </c>
      <c r="E18718" s="27" t="s">
        <v>15</v>
      </c>
      <c r="F18718" s="29"/>
      <c r="G18718" s="30">
        <f t="shared" si="336"/>
        <v>924.25090909090909</v>
      </c>
    </row>
    <row r="18719" spans="1:7" x14ac:dyDescent="0.25">
      <c r="A18719" s="28">
        <v>45017</v>
      </c>
      <c r="B18719" s="27" t="s">
        <v>36</v>
      </c>
      <c r="C18719" s="27" t="s">
        <v>50</v>
      </c>
      <c r="D18719" s="27" t="s">
        <v>6</v>
      </c>
      <c r="E18719" s="27" t="s">
        <v>16</v>
      </c>
      <c r="F18719" s="29"/>
      <c r="G18719" s="30">
        <f t="shared" si="336"/>
        <v>924.25090909090909</v>
      </c>
    </row>
    <row r="18720" spans="1:7" x14ac:dyDescent="0.25">
      <c r="A18720" s="28">
        <v>45017</v>
      </c>
      <c r="B18720" s="27" t="s">
        <v>36</v>
      </c>
      <c r="C18720" s="27" t="s">
        <v>50</v>
      </c>
      <c r="D18720" s="27" t="s">
        <v>6</v>
      </c>
      <c r="E18720" s="27" t="s">
        <v>17</v>
      </c>
      <c r="F18720" s="29"/>
      <c r="G18720" s="30">
        <f t="shared" si="336"/>
        <v>924.25090909090909</v>
      </c>
    </row>
    <row r="18721" spans="1:7" x14ac:dyDescent="0.25">
      <c r="A18721" s="28">
        <v>45017</v>
      </c>
      <c r="B18721" s="27" t="s">
        <v>36</v>
      </c>
      <c r="C18721" s="27" t="s">
        <v>50</v>
      </c>
      <c r="D18721" s="27" t="s">
        <v>6</v>
      </c>
      <c r="E18721" s="27" t="s">
        <v>18</v>
      </c>
      <c r="F18721" s="29"/>
      <c r="G18721" s="30">
        <f t="shared" si="336"/>
        <v>924.25090909090909</v>
      </c>
    </row>
    <row r="18722" spans="1:7" x14ac:dyDescent="0.25">
      <c r="A18722" s="28">
        <v>45017</v>
      </c>
      <c r="B18722" s="27" t="s">
        <v>36</v>
      </c>
      <c r="C18722" s="27" t="s">
        <v>50</v>
      </c>
      <c r="D18722" s="27" t="s">
        <v>6</v>
      </c>
      <c r="E18722" s="27" t="s">
        <v>19</v>
      </c>
      <c r="F18722" s="29"/>
      <c r="G18722" s="30">
        <f t="shared" si="336"/>
        <v>924.25090909090909</v>
      </c>
    </row>
    <row r="18723" spans="1:7" x14ac:dyDescent="0.25">
      <c r="A18723" s="28">
        <v>45017</v>
      </c>
      <c r="B18723" s="27" t="s">
        <v>36</v>
      </c>
      <c r="C18723" s="27" t="s">
        <v>50</v>
      </c>
      <c r="D18723" s="27" t="s">
        <v>6</v>
      </c>
      <c r="E18723" s="27" t="s">
        <v>20</v>
      </c>
      <c r="F18723" s="29"/>
      <c r="G18723" s="30">
        <f t="shared" si="336"/>
        <v>924.25090909090909</v>
      </c>
    </row>
    <row r="18724" spans="1:7" x14ac:dyDescent="0.25">
      <c r="A18724" s="28">
        <v>45017</v>
      </c>
      <c r="B18724" s="27" t="s">
        <v>36</v>
      </c>
      <c r="C18724" s="27" t="s">
        <v>50</v>
      </c>
      <c r="D18724" s="27" t="s">
        <v>6</v>
      </c>
      <c r="E18724" s="27" t="s">
        <v>38</v>
      </c>
      <c r="F18724" s="29"/>
      <c r="G18724" s="30">
        <f t="shared" si="336"/>
        <v>924.25090909090909</v>
      </c>
    </row>
    <row r="18725" spans="1:7" x14ac:dyDescent="0.25">
      <c r="A18725" s="28">
        <v>45017</v>
      </c>
      <c r="B18725" s="27" t="s">
        <v>36</v>
      </c>
      <c r="C18725" s="27" t="s">
        <v>50</v>
      </c>
      <c r="D18725" s="27" t="s">
        <v>6</v>
      </c>
      <c r="E18725" s="27" t="s">
        <v>23</v>
      </c>
      <c r="F18725" s="29"/>
      <c r="G18725" s="30">
        <f t="shared" si="336"/>
        <v>924.25090909090909</v>
      </c>
    </row>
    <row r="18726" spans="1:7" x14ac:dyDescent="0.25">
      <c r="A18726" s="28">
        <v>45017</v>
      </c>
      <c r="B18726" s="27" t="s">
        <v>36</v>
      </c>
      <c r="C18726" s="27" t="s">
        <v>50</v>
      </c>
      <c r="D18726" s="27" t="s">
        <v>6</v>
      </c>
      <c r="E18726" s="27" t="s">
        <v>22</v>
      </c>
      <c r="F18726" s="29"/>
      <c r="G18726" s="30">
        <f t="shared" si="336"/>
        <v>924.25090909090909</v>
      </c>
    </row>
    <row r="18727" spans="1:7" x14ac:dyDescent="0.25">
      <c r="A18727" s="28">
        <v>45017</v>
      </c>
      <c r="B18727" s="27" t="s">
        <v>36</v>
      </c>
      <c r="C18727" s="27" t="s">
        <v>50</v>
      </c>
      <c r="D18727" s="27" t="s">
        <v>6</v>
      </c>
      <c r="E18727" s="27" t="s">
        <v>39</v>
      </c>
      <c r="F18727" s="29"/>
      <c r="G18727" s="30">
        <f t="shared" si="336"/>
        <v>924.25090909090909</v>
      </c>
    </row>
    <row r="18728" spans="1:7" x14ac:dyDescent="0.25">
      <c r="A18728" s="28">
        <v>45017</v>
      </c>
      <c r="B18728" s="27" t="s">
        <v>36</v>
      </c>
      <c r="C18728" s="27" t="s">
        <v>50</v>
      </c>
      <c r="D18728" s="27" t="s">
        <v>6</v>
      </c>
      <c r="E18728" s="27" t="s">
        <v>41</v>
      </c>
      <c r="F18728" s="29"/>
      <c r="G18728" s="30">
        <f t="shared" si="336"/>
        <v>924.25090909090909</v>
      </c>
    </row>
    <row r="18729" spans="1:7" x14ac:dyDescent="0.25">
      <c r="A18729" s="28">
        <v>45017</v>
      </c>
      <c r="B18729" s="27" t="s">
        <v>36</v>
      </c>
      <c r="C18729" s="27" t="s">
        <v>50</v>
      </c>
      <c r="D18729" s="27" t="s">
        <v>6</v>
      </c>
      <c r="E18729" s="27" t="s">
        <v>40</v>
      </c>
      <c r="F18729" s="29"/>
      <c r="G18729" s="30">
        <f t="shared" si="336"/>
        <v>924.25090909090909</v>
      </c>
    </row>
    <row r="18730" spans="1:7" x14ac:dyDescent="0.25">
      <c r="A18730" s="28">
        <v>45017</v>
      </c>
      <c r="B18730" s="27" t="s">
        <v>36</v>
      </c>
      <c r="C18730" s="27" t="s">
        <v>50</v>
      </c>
      <c r="D18730" s="27" t="s">
        <v>6</v>
      </c>
      <c r="E18730" s="27" t="s">
        <v>64</v>
      </c>
      <c r="F18730" s="29"/>
      <c r="G18730" s="30">
        <f t="shared" si="336"/>
        <v>924.25090909090909</v>
      </c>
    </row>
    <row r="18731" spans="1:7" x14ac:dyDescent="0.25">
      <c r="A18731" s="28">
        <v>45017</v>
      </c>
      <c r="B18731" s="27" t="s">
        <v>36</v>
      </c>
      <c r="C18731" s="27" t="s">
        <v>50</v>
      </c>
      <c r="D18731" s="27" t="s">
        <v>6</v>
      </c>
      <c r="E18731" s="27" t="s">
        <v>42</v>
      </c>
      <c r="F18731" s="29"/>
      <c r="G18731" s="30">
        <f t="shared" si="336"/>
        <v>924.25090909090909</v>
      </c>
    </row>
    <row r="18732" spans="1:7" x14ac:dyDescent="0.25">
      <c r="A18732" s="28">
        <v>45017</v>
      </c>
      <c r="B18732" s="27" t="s">
        <v>36</v>
      </c>
      <c r="C18732" s="27" t="s">
        <v>50</v>
      </c>
      <c r="D18732" s="27" t="s">
        <v>6</v>
      </c>
      <c r="E18732" s="27" t="s">
        <v>72</v>
      </c>
      <c r="F18732" s="29"/>
      <c r="G18732" s="30">
        <f t="shared" si="336"/>
        <v>924.25090909090909</v>
      </c>
    </row>
    <row r="18733" spans="1:7" x14ac:dyDescent="0.25">
      <c r="A18733" s="28">
        <v>45017</v>
      </c>
      <c r="B18733" s="27" t="s">
        <v>36</v>
      </c>
      <c r="C18733" s="27" t="s">
        <v>50</v>
      </c>
      <c r="D18733" s="27" t="s">
        <v>6</v>
      </c>
      <c r="E18733" s="27" t="s">
        <v>43</v>
      </c>
      <c r="F18733" s="29"/>
      <c r="G18733" s="30">
        <f t="shared" si="336"/>
        <v>924.25090909090909</v>
      </c>
    </row>
    <row r="18734" spans="1:7" x14ac:dyDescent="0.25">
      <c r="A18734" s="28">
        <v>45017</v>
      </c>
      <c r="B18734" s="27" t="s">
        <v>36</v>
      </c>
      <c r="C18734" s="27" t="s">
        <v>50</v>
      </c>
      <c r="D18734" s="27" t="s">
        <v>6</v>
      </c>
      <c r="E18734" s="27" t="s">
        <v>206</v>
      </c>
      <c r="F18734" s="29"/>
      <c r="G18734" s="30">
        <f t="shared" si="336"/>
        <v>924.25090909090909</v>
      </c>
    </row>
    <row r="18735" spans="1:7" x14ac:dyDescent="0.25">
      <c r="A18735" s="28">
        <v>45017</v>
      </c>
      <c r="B18735" s="27" t="s">
        <v>36</v>
      </c>
      <c r="C18735" s="27" t="s">
        <v>50</v>
      </c>
      <c r="D18735" s="27" t="s">
        <v>6</v>
      </c>
      <c r="E18735" s="27" t="s">
        <v>68</v>
      </c>
      <c r="F18735" s="29"/>
      <c r="G18735" s="30">
        <f t="shared" si="336"/>
        <v>924.25090909090909</v>
      </c>
    </row>
    <row r="18736" spans="1:7" x14ac:dyDescent="0.25">
      <c r="A18736" s="28">
        <v>45017</v>
      </c>
      <c r="B18736" s="27" t="s">
        <v>36</v>
      </c>
      <c r="C18736" s="27" t="s">
        <v>50</v>
      </c>
      <c r="D18736" s="27" t="s">
        <v>6</v>
      </c>
      <c r="E18736" s="27" t="s">
        <v>74</v>
      </c>
      <c r="F18736" s="29"/>
      <c r="G18736" s="30">
        <f t="shared" si="336"/>
        <v>924.25090909090909</v>
      </c>
    </row>
    <row r="18737" spans="1:7" x14ac:dyDescent="0.25">
      <c r="A18737" s="28">
        <v>45017</v>
      </c>
      <c r="B18737" s="27" t="s">
        <v>36</v>
      </c>
      <c r="C18737" s="27" t="s">
        <v>50</v>
      </c>
      <c r="D18737" s="27" t="s">
        <v>6</v>
      </c>
      <c r="E18737" s="27" t="s">
        <v>67</v>
      </c>
      <c r="F18737" s="29"/>
      <c r="G18737" s="30">
        <f t="shared" si="336"/>
        <v>924.25090909090909</v>
      </c>
    </row>
    <row r="18738" spans="1:7" x14ac:dyDescent="0.25">
      <c r="A18738" s="28">
        <v>45017</v>
      </c>
      <c r="B18738" s="27" t="s">
        <v>36</v>
      </c>
      <c r="C18738" s="27" t="s">
        <v>50</v>
      </c>
      <c r="D18738" s="27" t="s">
        <v>6</v>
      </c>
      <c r="E18738" s="27" t="s">
        <v>71</v>
      </c>
      <c r="F18738" s="29"/>
      <c r="G18738" s="30">
        <f t="shared" si="336"/>
        <v>924.25090909090909</v>
      </c>
    </row>
    <row r="18739" spans="1:7" x14ac:dyDescent="0.25">
      <c r="A18739" s="28">
        <v>45017</v>
      </c>
      <c r="B18739" s="27" t="s">
        <v>36</v>
      </c>
      <c r="C18739" s="27" t="s">
        <v>50</v>
      </c>
      <c r="D18739" s="27" t="s">
        <v>6</v>
      </c>
      <c r="E18739" s="27" t="s">
        <v>73</v>
      </c>
      <c r="F18739" s="29"/>
      <c r="G18739" s="30">
        <f t="shared" si="336"/>
        <v>924.25090909090909</v>
      </c>
    </row>
    <row r="18740" spans="1:7" x14ac:dyDescent="0.25">
      <c r="A18740" s="28">
        <v>45017</v>
      </c>
      <c r="B18740" s="27" t="s">
        <v>36</v>
      </c>
      <c r="C18740" s="27" t="s">
        <v>50</v>
      </c>
      <c r="D18740" s="27" t="s">
        <v>6</v>
      </c>
      <c r="E18740" s="27" t="s">
        <v>70</v>
      </c>
      <c r="F18740" s="29"/>
      <c r="G18740" s="30">
        <f t="shared" si="336"/>
        <v>924.25090909090909</v>
      </c>
    </row>
    <row r="18741" spans="1:7" x14ac:dyDescent="0.25">
      <c r="A18741" s="28">
        <v>45017</v>
      </c>
      <c r="B18741" s="27" t="s">
        <v>36</v>
      </c>
      <c r="C18741" s="27" t="s">
        <v>50</v>
      </c>
      <c r="D18741" s="27" t="s">
        <v>6</v>
      </c>
      <c r="E18741" s="27" t="s">
        <v>203</v>
      </c>
      <c r="F18741" s="29"/>
      <c r="G18741" s="30">
        <f t="shared" si="336"/>
        <v>924.25090909090909</v>
      </c>
    </row>
    <row r="18742" spans="1:7" x14ac:dyDescent="0.25">
      <c r="A18742" s="28">
        <v>45017</v>
      </c>
      <c r="B18742" s="27" t="s">
        <v>36</v>
      </c>
      <c r="C18742" s="27" t="s">
        <v>50</v>
      </c>
      <c r="D18742" s="27" t="s">
        <v>6</v>
      </c>
      <c r="E18742" s="27" t="s">
        <v>222</v>
      </c>
      <c r="F18742" s="29"/>
      <c r="G18742" s="30">
        <f t="shared" si="336"/>
        <v>924.25090909090909</v>
      </c>
    </row>
    <row r="18743" spans="1:7" x14ac:dyDescent="0.25">
      <c r="A18743" s="28">
        <v>45017</v>
      </c>
      <c r="B18743" s="27" t="s">
        <v>25</v>
      </c>
      <c r="C18743" s="27" t="s">
        <v>50</v>
      </c>
      <c r="D18743" s="27" t="s">
        <v>7</v>
      </c>
      <c r="E18743" s="27" t="s">
        <v>73</v>
      </c>
      <c r="F18743" s="29"/>
      <c r="G18743" s="30">
        <v>153.88</v>
      </c>
    </row>
    <row r="18744" spans="1:7" x14ac:dyDescent="0.25">
      <c r="A18744" s="28">
        <v>45017</v>
      </c>
      <c r="B18744" s="27" t="s">
        <v>2</v>
      </c>
      <c r="C18744" s="27" t="s">
        <v>50</v>
      </c>
      <c r="D18744" s="27" t="s">
        <v>7</v>
      </c>
      <c r="E18744" s="27" t="s">
        <v>8</v>
      </c>
      <c r="F18744" s="29"/>
      <c r="G18744" s="30">
        <f t="shared" ref="G18744:G18776" si="337">26722.83/33</f>
        <v>809.78272727272736</v>
      </c>
    </row>
    <row r="18745" spans="1:7" x14ac:dyDescent="0.25">
      <c r="A18745" s="28">
        <v>45017</v>
      </c>
      <c r="B18745" s="27" t="s">
        <v>2</v>
      </c>
      <c r="C18745" s="27" t="s">
        <v>50</v>
      </c>
      <c r="D18745" s="27" t="s">
        <v>7</v>
      </c>
      <c r="E18745" s="27" t="s">
        <v>9</v>
      </c>
      <c r="F18745" s="29"/>
      <c r="G18745" s="30">
        <f t="shared" si="337"/>
        <v>809.78272727272736</v>
      </c>
    </row>
    <row r="18746" spans="1:7" x14ac:dyDescent="0.25">
      <c r="A18746" s="28">
        <v>45017</v>
      </c>
      <c r="B18746" s="27" t="s">
        <v>2</v>
      </c>
      <c r="C18746" s="27" t="s">
        <v>50</v>
      </c>
      <c r="D18746" s="27" t="s">
        <v>7</v>
      </c>
      <c r="E18746" s="27" t="s">
        <v>21</v>
      </c>
      <c r="F18746" s="29"/>
      <c r="G18746" s="30">
        <f t="shared" si="337"/>
        <v>809.78272727272736</v>
      </c>
    </row>
    <row r="18747" spans="1:7" x14ac:dyDescent="0.25">
      <c r="A18747" s="28">
        <v>45017</v>
      </c>
      <c r="B18747" s="27" t="s">
        <v>2</v>
      </c>
      <c r="C18747" s="27" t="s">
        <v>50</v>
      </c>
      <c r="D18747" s="27" t="s">
        <v>7</v>
      </c>
      <c r="E18747" s="27" t="s">
        <v>10</v>
      </c>
      <c r="F18747" s="29"/>
      <c r="G18747" s="30">
        <f t="shared" si="337"/>
        <v>809.78272727272736</v>
      </c>
    </row>
    <row r="18748" spans="1:7" x14ac:dyDescent="0.25">
      <c r="A18748" s="28">
        <v>45017</v>
      </c>
      <c r="B18748" s="27" t="s">
        <v>2</v>
      </c>
      <c r="C18748" s="27" t="s">
        <v>50</v>
      </c>
      <c r="D18748" s="27" t="s">
        <v>7</v>
      </c>
      <c r="E18748" s="27" t="s">
        <v>11</v>
      </c>
      <c r="F18748" s="29"/>
      <c r="G18748" s="30">
        <f t="shared" si="337"/>
        <v>809.78272727272736</v>
      </c>
    </row>
    <row r="18749" spans="1:7" x14ac:dyDescent="0.25">
      <c r="A18749" s="28">
        <v>45017</v>
      </c>
      <c r="B18749" s="27" t="s">
        <v>2</v>
      </c>
      <c r="C18749" s="27" t="s">
        <v>50</v>
      </c>
      <c r="D18749" s="27" t="s">
        <v>7</v>
      </c>
      <c r="E18749" s="27" t="s">
        <v>12</v>
      </c>
      <c r="F18749" s="29"/>
      <c r="G18749" s="30">
        <f t="shared" si="337"/>
        <v>809.78272727272736</v>
      </c>
    </row>
    <row r="18750" spans="1:7" x14ac:dyDescent="0.25">
      <c r="A18750" s="28">
        <v>45017</v>
      </c>
      <c r="B18750" s="27" t="s">
        <v>2</v>
      </c>
      <c r="C18750" s="27" t="s">
        <v>50</v>
      </c>
      <c r="D18750" s="27" t="s">
        <v>7</v>
      </c>
      <c r="E18750" s="27" t="s">
        <v>13</v>
      </c>
      <c r="F18750" s="29"/>
      <c r="G18750" s="30">
        <f t="shared" si="337"/>
        <v>809.78272727272736</v>
      </c>
    </row>
    <row r="18751" spans="1:7" x14ac:dyDescent="0.25">
      <c r="A18751" s="28">
        <v>45017</v>
      </c>
      <c r="B18751" s="27" t="s">
        <v>2</v>
      </c>
      <c r="C18751" s="27" t="s">
        <v>50</v>
      </c>
      <c r="D18751" s="27" t="s">
        <v>7</v>
      </c>
      <c r="E18751" s="27" t="s">
        <v>14</v>
      </c>
      <c r="F18751" s="29"/>
      <c r="G18751" s="30">
        <f t="shared" si="337"/>
        <v>809.78272727272736</v>
      </c>
    </row>
    <row r="18752" spans="1:7" x14ac:dyDescent="0.25">
      <c r="A18752" s="28">
        <v>45017</v>
      </c>
      <c r="B18752" s="27" t="s">
        <v>2</v>
      </c>
      <c r="C18752" s="27" t="s">
        <v>50</v>
      </c>
      <c r="D18752" s="27" t="s">
        <v>7</v>
      </c>
      <c r="E18752" s="27" t="s">
        <v>15</v>
      </c>
      <c r="F18752" s="29"/>
      <c r="G18752" s="30">
        <f t="shared" si="337"/>
        <v>809.78272727272736</v>
      </c>
    </row>
    <row r="18753" spans="1:7" x14ac:dyDescent="0.25">
      <c r="A18753" s="28">
        <v>45017</v>
      </c>
      <c r="B18753" s="27" t="s">
        <v>2</v>
      </c>
      <c r="C18753" s="27" t="s">
        <v>50</v>
      </c>
      <c r="D18753" s="27" t="s">
        <v>7</v>
      </c>
      <c r="E18753" s="27" t="s">
        <v>16</v>
      </c>
      <c r="F18753" s="29"/>
      <c r="G18753" s="30">
        <f t="shared" si="337"/>
        <v>809.78272727272736</v>
      </c>
    </row>
    <row r="18754" spans="1:7" x14ac:dyDescent="0.25">
      <c r="A18754" s="28">
        <v>45017</v>
      </c>
      <c r="B18754" s="27" t="s">
        <v>2</v>
      </c>
      <c r="C18754" s="27" t="s">
        <v>50</v>
      </c>
      <c r="D18754" s="27" t="s">
        <v>7</v>
      </c>
      <c r="E18754" s="27" t="s">
        <v>17</v>
      </c>
      <c r="F18754" s="29"/>
      <c r="G18754" s="30">
        <f t="shared" si="337"/>
        <v>809.78272727272736</v>
      </c>
    </row>
    <row r="18755" spans="1:7" x14ac:dyDescent="0.25">
      <c r="A18755" s="28">
        <v>45017</v>
      </c>
      <c r="B18755" s="27" t="s">
        <v>2</v>
      </c>
      <c r="C18755" s="27" t="s">
        <v>50</v>
      </c>
      <c r="D18755" s="27" t="s">
        <v>7</v>
      </c>
      <c r="E18755" s="27" t="s">
        <v>18</v>
      </c>
      <c r="F18755" s="29"/>
      <c r="G18755" s="30">
        <f t="shared" si="337"/>
        <v>809.78272727272736</v>
      </c>
    </row>
    <row r="18756" spans="1:7" x14ac:dyDescent="0.25">
      <c r="A18756" s="28">
        <v>45017</v>
      </c>
      <c r="B18756" s="27" t="s">
        <v>2</v>
      </c>
      <c r="C18756" s="27" t="s">
        <v>50</v>
      </c>
      <c r="D18756" s="27" t="s">
        <v>7</v>
      </c>
      <c r="E18756" s="27" t="s">
        <v>19</v>
      </c>
      <c r="F18756" s="29"/>
      <c r="G18756" s="30">
        <f t="shared" si="337"/>
        <v>809.78272727272736</v>
      </c>
    </row>
    <row r="18757" spans="1:7" x14ac:dyDescent="0.25">
      <c r="A18757" s="28">
        <v>45017</v>
      </c>
      <c r="B18757" s="27" t="s">
        <v>2</v>
      </c>
      <c r="C18757" s="27" t="s">
        <v>50</v>
      </c>
      <c r="D18757" s="27" t="s">
        <v>7</v>
      </c>
      <c r="E18757" s="27" t="s">
        <v>20</v>
      </c>
      <c r="F18757" s="29"/>
      <c r="G18757" s="30">
        <f t="shared" si="337"/>
        <v>809.78272727272736</v>
      </c>
    </row>
    <row r="18758" spans="1:7" x14ac:dyDescent="0.25">
      <c r="A18758" s="28">
        <v>45017</v>
      </c>
      <c r="B18758" s="27" t="s">
        <v>2</v>
      </c>
      <c r="C18758" s="27" t="s">
        <v>50</v>
      </c>
      <c r="D18758" s="27" t="s">
        <v>7</v>
      </c>
      <c r="E18758" s="27" t="s">
        <v>38</v>
      </c>
      <c r="F18758" s="29"/>
      <c r="G18758" s="30">
        <f t="shared" si="337"/>
        <v>809.78272727272736</v>
      </c>
    </row>
    <row r="18759" spans="1:7" x14ac:dyDescent="0.25">
      <c r="A18759" s="28">
        <v>45017</v>
      </c>
      <c r="B18759" s="27" t="s">
        <v>2</v>
      </c>
      <c r="C18759" s="27" t="s">
        <v>50</v>
      </c>
      <c r="D18759" s="27" t="s">
        <v>7</v>
      </c>
      <c r="E18759" s="27" t="s">
        <v>23</v>
      </c>
      <c r="F18759" s="29"/>
      <c r="G18759" s="30">
        <f t="shared" si="337"/>
        <v>809.78272727272736</v>
      </c>
    </row>
    <row r="18760" spans="1:7" x14ac:dyDescent="0.25">
      <c r="A18760" s="28">
        <v>45017</v>
      </c>
      <c r="B18760" s="27" t="s">
        <v>2</v>
      </c>
      <c r="C18760" s="27" t="s">
        <v>50</v>
      </c>
      <c r="D18760" s="27" t="s">
        <v>7</v>
      </c>
      <c r="E18760" s="27" t="s">
        <v>22</v>
      </c>
      <c r="F18760" s="29"/>
      <c r="G18760" s="30">
        <f t="shared" si="337"/>
        <v>809.78272727272736</v>
      </c>
    </row>
    <row r="18761" spans="1:7" x14ac:dyDescent="0.25">
      <c r="A18761" s="28">
        <v>45017</v>
      </c>
      <c r="B18761" s="27" t="s">
        <v>2</v>
      </c>
      <c r="C18761" s="27" t="s">
        <v>50</v>
      </c>
      <c r="D18761" s="27" t="s">
        <v>7</v>
      </c>
      <c r="E18761" s="27" t="s">
        <v>39</v>
      </c>
      <c r="F18761" s="29"/>
      <c r="G18761" s="30">
        <f t="shared" si="337"/>
        <v>809.78272727272736</v>
      </c>
    </row>
    <row r="18762" spans="1:7" x14ac:dyDescent="0.25">
      <c r="A18762" s="28">
        <v>45017</v>
      </c>
      <c r="B18762" s="27" t="s">
        <v>2</v>
      </c>
      <c r="C18762" s="27" t="s">
        <v>50</v>
      </c>
      <c r="D18762" s="27" t="s">
        <v>7</v>
      </c>
      <c r="E18762" s="27" t="s">
        <v>41</v>
      </c>
      <c r="F18762" s="29"/>
      <c r="G18762" s="30">
        <f t="shared" si="337"/>
        <v>809.78272727272736</v>
      </c>
    </row>
    <row r="18763" spans="1:7" x14ac:dyDescent="0.25">
      <c r="A18763" s="28">
        <v>45017</v>
      </c>
      <c r="B18763" s="27" t="s">
        <v>2</v>
      </c>
      <c r="C18763" s="27" t="s">
        <v>50</v>
      </c>
      <c r="D18763" s="27" t="s">
        <v>7</v>
      </c>
      <c r="E18763" s="27" t="s">
        <v>40</v>
      </c>
      <c r="F18763" s="29"/>
      <c r="G18763" s="30">
        <f t="shared" si="337"/>
        <v>809.78272727272736</v>
      </c>
    </row>
    <row r="18764" spans="1:7" x14ac:dyDescent="0.25">
      <c r="A18764" s="28">
        <v>45017</v>
      </c>
      <c r="B18764" s="27" t="s">
        <v>2</v>
      </c>
      <c r="C18764" s="27" t="s">
        <v>50</v>
      </c>
      <c r="D18764" s="27" t="s">
        <v>7</v>
      </c>
      <c r="E18764" s="27" t="s">
        <v>64</v>
      </c>
      <c r="F18764" s="29"/>
      <c r="G18764" s="30">
        <f t="shared" si="337"/>
        <v>809.78272727272736</v>
      </c>
    </row>
    <row r="18765" spans="1:7" x14ac:dyDescent="0.25">
      <c r="A18765" s="28">
        <v>45017</v>
      </c>
      <c r="B18765" s="27" t="s">
        <v>2</v>
      </c>
      <c r="C18765" s="27" t="s">
        <v>50</v>
      </c>
      <c r="D18765" s="27" t="s">
        <v>7</v>
      </c>
      <c r="E18765" s="27" t="s">
        <v>42</v>
      </c>
      <c r="F18765" s="29"/>
      <c r="G18765" s="30">
        <f t="shared" si="337"/>
        <v>809.78272727272736</v>
      </c>
    </row>
    <row r="18766" spans="1:7" x14ac:dyDescent="0.25">
      <c r="A18766" s="28">
        <v>45017</v>
      </c>
      <c r="B18766" s="27" t="s">
        <v>2</v>
      </c>
      <c r="C18766" s="27" t="s">
        <v>50</v>
      </c>
      <c r="D18766" s="27" t="s">
        <v>7</v>
      </c>
      <c r="E18766" s="27" t="s">
        <v>72</v>
      </c>
      <c r="F18766" s="29"/>
      <c r="G18766" s="30">
        <f t="shared" si="337"/>
        <v>809.78272727272736</v>
      </c>
    </row>
    <row r="18767" spans="1:7" x14ac:dyDescent="0.25">
      <c r="A18767" s="28">
        <v>45017</v>
      </c>
      <c r="B18767" s="27" t="s">
        <v>2</v>
      </c>
      <c r="C18767" s="27" t="s">
        <v>50</v>
      </c>
      <c r="D18767" s="27" t="s">
        <v>7</v>
      </c>
      <c r="E18767" s="27" t="s">
        <v>43</v>
      </c>
      <c r="F18767" s="29"/>
      <c r="G18767" s="30">
        <f t="shared" si="337"/>
        <v>809.78272727272736</v>
      </c>
    </row>
    <row r="18768" spans="1:7" x14ac:dyDescent="0.25">
      <c r="A18768" s="28">
        <v>45017</v>
      </c>
      <c r="B18768" s="27" t="s">
        <v>2</v>
      </c>
      <c r="C18768" s="27" t="s">
        <v>50</v>
      </c>
      <c r="D18768" s="27" t="s">
        <v>7</v>
      </c>
      <c r="E18768" s="27" t="s">
        <v>206</v>
      </c>
      <c r="F18768" s="29"/>
      <c r="G18768" s="30">
        <f t="shared" si="337"/>
        <v>809.78272727272736</v>
      </c>
    </row>
    <row r="18769" spans="1:7" x14ac:dyDescent="0.25">
      <c r="A18769" s="28">
        <v>45017</v>
      </c>
      <c r="B18769" s="27" t="s">
        <v>2</v>
      </c>
      <c r="C18769" s="27" t="s">
        <v>50</v>
      </c>
      <c r="D18769" s="27" t="s">
        <v>7</v>
      </c>
      <c r="E18769" s="27" t="s">
        <v>68</v>
      </c>
      <c r="F18769" s="29"/>
      <c r="G18769" s="30">
        <f t="shared" si="337"/>
        <v>809.78272727272736</v>
      </c>
    </row>
    <row r="18770" spans="1:7" x14ac:dyDescent="0.25">
      <c r="A18770" s="28">
        <v>45017</v>
      </c>
      <c r="B18770" s="27" t="s">
        <v>2</v>
      </c>
      <c r="C18770" s="27" t="s">
        <v>50</v>
      </c>
      <c r="D18770" s="27" t="s">
        <v>7</v>
      </c>
      <c r="E18770" s="27" t="s">
        <v>74</v>
      </c>
      <c r="F18770" s="29"/>
      <c r="G18770" s="30">
        <f t="shared" si="337"/>
        <v>809.78272727272736</v>
      </c>
    </row>
    <row r="18771" spans="1:7" x14ac:dyDescent="0.25">
      <c r="A18771" s="28">
        <v>45017</v>
      </c>
      <c r="B18771" s="27" t="s">
        <v>2</v>
      </c>
      <c r="C18771" s="27" t="s">
        <v>50</v>
      </c>
      <c r="D18771" s="27" t="s">
        <v>7</v>
      </c>
      <c r="E18771" s="27" t="s">
        <v>67</v>
      </c>
      <c r="F18771" s="29"/>
      <c r="G18771" s="30">
        <f t="shared" si="337"/>
        <v>809.78272727272736</v>
      </c>
    </row>
    <row r="18772" spans="1:7" x14ac:dyDescent="0.25">
      <c r="A18772" s="28">
        <v>45017</v>
      </c>
      <c r="B18772" s="27" t="s">
        <v>2</v>
      </c>
      <c r="C18772" s="27" t="s">
        <v>50</v>
      </c>
      <c r="D18772" s="27" t="s">
        <v>7</v>
      </c>
      <c r="E18772" s="27" t="s">
        <v>71</v>
      </c>
      <c r="F18772" s="29"/>
      <c r="G18772" s="30">
        <f t="shared" si="337"/>
        <v>809.78272727272736</v>
      </c>
    </row>
    <row r="18773" spans="1:7" x14ac:dyDescent="0.25">
      <c r="A18773" s="28">
        <v>45017</v>
      </c>
      <c r="B18773" s="27" t="s">
        <v>2</v>
      </c>
      <c r="C18773" s="27" t="s">
        <v>50</v>
      </c>
      <c r="D18773" s="27" t="s">
        <v>7</v>
      </c>
      <c r="E18773" s="27" t="s">
        <v>73</v>
      </c>
      <c r="F18773" s="29"/>
      <c r="G18773" s="30">
        <f t="shared" si="337"/>
        <v>809.78272727272736</v>
      </c>
    </row>
    <row r="18774" spans="1:7" x14ac:dyDescent="0.25">
      <c r="A18774" s="28">
        <v>45017</v>
      </c>
      <c r="B18774" s="27" t="s">
        <v>2</v>
      </c>
      <c r="C18774" s="27" t="s">
        <v>50</v>
      </c>
      <c r="D18774" s="27" t="s">
        <v>7</v>
      </c>
      <c r="E18774" s="27" t="s">
        <v>70</v>
      </c>
      <c r="F18774" s="29"/>
      <c r="G18774" s="30">
        <f t="shared" si="337"/>
        <v>809.78272727272736</v>
      </c>
    </row>
    <row r="18775" spans="1:7" x14ac:dyDescent="0.25">
      <c r="A18775" s="28">
        <v>45017</v>
      </c>
      <c r="B18775" s="27" t="s">
        <v>2</v>
      </c>
      <c r="C18775" s="27" t="s">
        <v>50</v>
      </c>
      <c r="D18775" s="27" t="s">
        <v>7</v>
      </c>
      <c r="E18775" s="27" t="s">
        <v>203</v>
      </c>
      <c r="F18775" s="29"/>
      <c r="G18775" s="30">
        <f t="shared" si="337"/>
        <v>809.78272727272736</v>
      </c>
    </row>
    <row r="18776" spans="1:7" x14ac:dyDescent="0.25">
      <c r="A18776" s="28">
        <v>45017</v>
      </c>
      <c r="B18776" s="27" t="s">
        <v>2</v>
      </c>
      <c r="C18776" s="27" t="s">
        <v>50</v>
      </c>
      <c r="D18776" s="27" t="s">
        <v>7</v>
      </c>
      <c r="E18776" s="27" t="s">
        <v>222</v>
      </c>
      <c r="F18776" s="29"/>
      <c r="G18776" s="30">
        <f t="shared" si="337"/>
        <v>809.78272727272736</v>
      </c>
    </row>
  </sheetData>
  <phoneticPr fontId="30" type="noConversion"/>
  <pageMargins left="0.511811024" right="0.511811024" top="0.78740157499999996" bottom="0.78740157499999996" header="0.31496062000000002" footer="0.31496062000000002"/>
  <pageSetup paperSize="9" scale="47" orientation="portrait" horizontalDpi="360" verticalDpi="360" r:id="rId1"/>
  <headerFooter>
    <oddHeader xml:space="preserve">&amp;C        </oddHeader>
  </headerFooter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B0D8F8A3-957F-4569-818B-FB8E9140D349}">
          <x14:formula1>
            <xm:f>VALIDAÇÃO!$A$2:$A$20</xm:f>
          </x14:formula1>
          <xm:sqref>B2:B1048576</xm:sqref>
        </x14:dataValidation>
        <x14:dataValidation type="list" allowBlank="1" showInputMessage="1" showErrorMessage="1" xr:uid="{16A8FF60-176D-42AB-8B51-B4A3895A94D8}">
          <x14:formula1>
            <xm:f>VALIDAÇÃO!$B$2:$B$11</xm:f>
          </x14:formula1>
          <xm:sqref>C2:C1048576</xm:sqref>
        </x14:dataValidation>
        <x14:dataValidation type="list" allowBlank="1" showInputMessage="1" showErrorMessage="1" xr:uid="{CDD4E482-A97F-42A6-8073-9234E2B4D2D2}">
          <x14:formula1>
            <xm:f>VALIDAÇÃO!$C$2:$C$5</xm:f>
          </x14:formula1>
          <xm:sqref>D2:D1048576</xm:sqref>
        </x14:dataValidation>
        <x14:dataValidation type="list" allowBlank="1" showInputMessage="1" showErrorMessage="1" xr:uid="{D841CA57-BC9C-4E51-B96D-349F1F55F89C}">
          <x14:formula1>
            <xm:f>'CADASTRO DE VEÍCULO'!$B$2:$B$72</xm:f>
          </x14:formula1>
          <xm:sqref>E18023:E18396 E18400:E1048576 E2:E18020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F7E58-9656-4FA2-8955-EAC81D51B051}">
  <sheetPr codeName="Planilha4"/>
  <dimension ref="A1:W70"/>
  <sheetViews>
    <sheetView zoomScale="73" zoomScaleNormal="73" workbookViewId="0">
      <pane xSplit="2" ySplit="1" topLeftCell="R50" activePane="bottomRight" state="frozen"/>
      <selection pane="topRight" activeCell="C1" sqref="C1"/>
      <selection pane="bottomLeft" activeCell="A2" sqref="A2"/>
      <selection pane="bottomRight" activeCell="W69" sqref="W69"/>
    </sheetView>
  </sheetViews>
  <sheetFormatPr defaultColWidth="8.85546875" defaultRowHeight="18.75" x14ac:dyDescent="0.25"/>
  <cols>
    <col min="1" max="1" width="25.42578125" style="27" customWidth="1"/>
    <col min="2" max="2" width="20.140625" style="27" bestFit="1" customWidth="1"/>
    <col min="3" max="3" width="27.5703125" style="27" bestFit="1" customWidth="1"/>
    <col min="4" max="4" width="16.42578125" style="27" bestFit="1" customWidth="1"/>
    <col min="5" max="5" width="28.140625" style="27" bestFit="1" customWidth="1"/>
    <col min="6" max="6" width="18.42578125" style="27" bestFit="1" customWidth="1"/>
    <col min="7" max="7" width="27.5703125" style="27" bestFit="1" customWidth="1"/>
    <col min="8" max="8" width="21.42578125" style="27" bestFit="1" customWidth="1"/>
    <col min="9" max="9" width="29.42578125" style="27" bestFit="1" customWidth="1"/>
    <col min="10" max="10" width="15.42578125" style="27" bestFit="1" customWidth="1"/>
    <col min="11" max="11" width="32.85546875" style="27" bestFit="1" customWidth="1"/>
    <col min="12" max="12" width="23" style="27" bestFit="1" customWidth="1"/>
    <col min="13" max="13" width="24.85546875" style="27" bestFit="1" customWidth="1"/>
    <col min="14" max="14" width="13.5703125" style="27" bestFit="1" customWidth="1"/>
    <col min="15" max="15" width="24.42578125" style="27" bestFit="1" customWidth="1"/>
    <col min="16" max="16" width="15" style="27" bestFit="1" customWidth="1"/>
    <col min="17" max="17" width="42.140625" style="27" bestFit="1" customWidth="1"/>
    <col min="18" max="19" width="35.42578125" style="27" bestFit="1" customWidth="1"/>
    <col min="20" max="20" width="36.5703125" style="27" bestFit="1" customWidth="1"/>
    <col min="21" max="21" width="20.42578125" style="27" bestFit="1" customWidth="1"/>
    <col min="22" max="22" width="28.5703125" style="27" bestFit="1" customWidth="1"/>
    <col min="23" max="23" width="41.5703125" style="27" bestFit="1" customWidth="1"/>
    <col min="24" max="16384" width="8.85546875" style="27"/>
  </cols>
  <sheetData>
    <row r="1" spans="1:23" ht="25.15" customHeight="1" x14ac:dyDescent="0.25">
      <c r="A1" s="26" t="s">
        <v>158</v>
      </c>
      <c r="B1" s="26" t="s">
        <v>48</v>
      </c>
      <c r="C1" s="26" t="s">
        <v>60</v>
      </c>
      <c r="D1" s="26" t="s">
        <v>58</v>
      </c>
      <c r="E1" s="26" t="s">
        <v>75</v>
      </c>
      <c r="F1" s="26" t="s">
        <v>76</v>
      </c>
      <c r="G1" s="26" t="s">
        <v>77</v>
      </c>
      <c r="H1" s="26" t="s">
        <v>78</v>
      </c>
      <c r="I1" s="26" t="s">
        <v>79</v>
      </c>
      <c r="J1" s="26" t="s">
        <v>80</v>
      </c>
      <c r="K1" s="26" t="s">
        <v>81</v>
      </c>
      <c r="L1" s="26" t="s">
        <v>82</v>
      </c>
      <c r="M1" s="26" t="s">
        <v>61</v>
      </c>
      <c r="N1" s="26" t="s">
        <v>83</v>
      </c>
      <c r="O1" s="26" t="s">
        <v>240</v>
      </c>
      <c r="P1" s="26" t="s">
        <v>239</v>
      </c>
      <c r="Q1" s="26" t="s">
        <v>178</v>
      </c>
      <c r="R1" s="26" t="s">
        <v>208</v>
      </c>
      <c r="S1" s="26" t="s">
        <v>209</v>
      </c>
      <c r="T1" s="26" t="s">
        <v>210</v>
      </c>
      <c r="U1" s="26" t="s">
        <v>211</v>
      </c>
      <c r="V1" s="26" t="s">
        <v>212</v>
      </c>
      <c r="W1" s="26" t="s">
        <v>213</v>
      </c>
    </row>
    <row r="2" spans="1:23" x14ac:dyDescent="0.25">
      <c r="A2" s="28">
        <v>43466</v>
      </c>
      <c r="B2" s="27" t="s">
        <v>49</v>
      </c>
      <c r="C2" s="27">
        <v>0</v>
      </c>
      <c r="D2" s="27" t="s">
        <v>59</v>
      </c>
      <c r="I2" s="34">
        <v>0</v>
      </c>
      <c r="Q2" s="27">
        <v>0</v>
      </c>
      <c r="R2" s="40">
        <v>43150.940808731393</v>
      </c>
      <c r="S2" s="39">
        <v>0.2</v>
      </c>
      <c r="T2" s="40">
        <f>Tabela162[[#This Row],[VALOR DO VEÍCULO]]*Tabela162[[#This Row],[% DE DEPRECIAÇÃO]]</f>
        <v>8630.1881617462786</v>
      </c>
      <c r="U2" s="33">
        <v>12</v>
      </c>
      <c r="V2" s="58">
        <f>IFERROR((T2/U2),"")</f>
        <v>719.18234681218985</v>
      </c>
      <c r="W2" s="33">
        <v>24</v>
      </c>
    </row>
    <row r="3" spans="1:23" x14ac:dyDescent="0.25">
      <c r="A3" s="28">
        <v>43466</v>
      </c>
      <c r="B3" s="27" t="s">
        <v>37</v>
      </c>
      <c r="C3" s="27">
        <v>1</v>
      </c>
      <c r="D3" s="27" t="s">
        <v>59</v>
      </c>
      <c r="I3" s="34">
        <v>0</v>
      </c>
      <c r="Q3" s="27">
        <v>0</v>
      </c>
      <c r="R3" s="40">
        <v>95707.923694950048</v>
      </c>
      <c r="S3" s="39">
        <v>0.2</v>
      </c>
      <c r="T3" s="40">
        <v>19141.584738990012</v>
      </c>
      <c r="U3" s="33">
        <v>12</v>
      </c>
      <c r="V3" s="58">
        <f t="shared" ref="V3:V28" si="0">IFERROR((T3/U3),"")</f>
        <v>1595.1320615825009</v>
      </c>
      <c r="W3" s="33">
        <v>24</v>
      </c>
    </row>
    <row r="4" spans="1:23" x14ac:dyDescent="0.25">
      <c r="A4" s="28">
        <v>43466</v>
      </c>
      <c r="B4" s="27" t="s">
        <v>394</v>
      </c>
      <c r="C4" s="27">
        <v>1</v>
      </c>
      <c r="D4" s="27" t="s">
        <v>59</v>
      </c>
      <c r="E4" s="27" t="s">
        <v>84</v>
      </c>
      <c r="F4" s="27">
        <v>701736135</v>
      </c>
      <c r="G4" s="27">
        <v>1998</v>
      </c>
      <c r="H4" s="27">
        <v>1998</v>
      </c>
      <c r="I4" s="35">
        <v>13000</v>
      </c>
      <c r="J4" s="33" t="s">
        <v>85</v>
      </c>
      <c r="K4" s="33" t="s">
        <v>86</v>
      </c>
      <c r="L4" s="33">
        <v>0</v>
      </c>
      <c r="M4" s="33" t="s">
        <v>87</v>
      </c>
      <c r="N4" s="33" t="s">
        <v>88</v>
      </c>
      <c r="O4" s="33" t="s">
        <v>89</v>
      </c>
      <c r="P4" s="33" t="s">
        <v>214</v>
      </c>
      <c r="Q4" s="33">
        <v>210</v>
      </c>
      <c r="R4" s="40">
        <v>127308.22066800023</v>
      </c>
      <c r="S4" s="39">
        <v>0.2</v>
      </c>
      <c r="T4" s="40">
        <v>25461.644133600046</v>
      </c>
      <c r="U4" s="33">
        <v>12</v>
      </c>
      <c r="V4" s="58">
        <f t="shared" si="0"/>
        <v>2121.8036778000037</v>
      </c>
      <c r="W4" s="33">
        <v>24</v>
      </c>
    </row>
    <row r="5" spans="1:23" x14ac:dyDescent="0.25">
      <c r="A5" s="28">
        <v>43466</v>
      </c>
      <c r="B5" s="27" t="s">
        <v>9</v>
      </c>
      <c r="C5" s="27">
        <v>1</v>
      </c>
      <c r="D5" s="27" t="s">
        <v>59</v>
      </c>
      <c r="E5" s="27" t="s">
        <v>90</v>
      </c>
      <c r="F5" s="27">
        <v>895161800</v>
      </c>
      <c r="G5" s="27">
        <v>2006</v>
      </c>
      <c r="H5" s="27">
        <v>2006</v>
      </c>
      <c r="I5" s="35">
        <v>14000</v>
      </c>
      <c r="J5" s="33" t="s">
        <v>85</v>
      </c>
      <c r="K5" s="33" t="s">
        <v>86</v>
      </c>
      <c r="L5" s="33">
        <v>0</v>
      </c>
      <c r="M5" s="33" t="s">
        <v>87</v>
      </c>
      <c r="N5" s="33" t="s">
        <v>91</v>
      </c>
      <c r="O5" s="33" t="s">
        <v>89</v>
      </c>
      <c r="P5" s="33" t="s">
        <v>214</v>
      </c>
      <c r="Q5" s="33">
        <v>210</v>
      </c>
      <c r="R5" s="40">
        <v>111495.12689923252</v>
      </c>
      <c r="S5" s="39">
        <v>0.2</v>
      </c>
      <c r="T5" s="40">
        <v>22299.025379846506</v>
      </c>
      <c r="U5" s="33">
        <v>12</v>
      </c>
      <c r="V5" s="58">
        <f t="shared" si="0"/>
        <v>1858.2521149872089</v>
      </c>
      <c r="W5" s="33">
        <v>24</v>
      </c>
    </row>
    <row r="6" spans="1:23" x14ac:dyDescent="0.25">
      <c r="A6" s="28">
        <v>43466</v>
      </c>
      <c r="B6" s="27" t="s">
        <v>21</v>
      </c>
      <c r="C6" s="27">
        <v>1</v>
      </c>
      <c r="D6" s="27" t="s">
        <v>59</v>
      </c>
      <c r="E6" s="27" t="s">
        <v>98</v>
      </c>
      <c r="F6" s="27">
        <v>330313932</v>
      </c>
      <c r="G6" s="27">
        <v>2011</v>
      </c>
      <c r="H6" s="27">
        <v>2011</v>
      </c>
      <c r="I6" s="35">
        <v>6000</v>
      </c>
      <c r="J6" s="33" t="s">
        <v>99</v>
      </c>
      <c r="K6" s="33" t="s">
        <v>100</v>
      </c>
      <c r="L6" s="33">
        <v>0</v>
      </c>
      <c r="M6" s="33" t="s">
        <v>101</v>
      </c>
      <c r="N6" s="33" t="s">
        <v>102</v>
      </c>
      <c r="O6" s="33" t="s">
        <v>89</v>
      </c>
      <c r="P6" s="33" t="s">
        <v>214</v>
      </c>
      <c r="Q6" s="33">
        <v>250</v>
      </c>
      <c r="R6" s="40">
        <v>76579.974653255602</v>
      </c>
      <c r="S6" s="39">
        <v>0.2</v>
      </c>
      <c r="T6" s="40">
        <v>15315.994930651121</v>
      </c>
      <c r="U6" s="33">
        <v>12</v>
      </c>
      <c r="V6" s="58">
        <f t="shared" si="0"/>
        <v>1276.3329108875935</v>
      </c>
      <c r="W6" s="33">
        <v>24</v>
      </c>
    </row>
    <row r="7" spans="1:23" x14ac:dyDescent="0.25">
      <c r="A7" s="28">
        <v>43466</v>
      </c>
      <c r="B7" s="27" t="s">
        <v>10</v>
      </c>
      <c r="C7" s="27">
        <v>1</v>
      </c>
      <c r="D7" s="27" t="s">
        <v>59</v>
      </c>
      <c r="E7" s="27" t="s">
        <v>105</v>
      </c>
      <c r="F7" s="27">
        <v>468099026</v>
      </c>
      <c r="G7" s="27">
        <v>2011</v>
      </c>
      <c r="H7" s="27">
        <v>2012</v>
      </c>
      <c r="I7" s="35">
        <v>13500</v>
      </c>
      <c r="J7" s="33" t="s">
        <v>95</v>
      </c>
      <c r="K7" s="33" t="s">
        <v>106</v>
      </c>
      <c r="L7" s="33">
        <v>0</v>
      </c>
      <c r="M7" s="33" t="s">
        <v>87</v>
      </c>
      <c r="N7" s="33" t="s">
        <v>88</v>
      </c>
      <c r="O7" s="33" t="s">
        <v>89</v>
      </c>
      <c r="P7" s="33" t="s">
        <v>214</v>
      </c>
      <c r="Q7" s="33">
        <v>275</v>
      </c>
      <c r="R7" s="40">
        <v>82324.22789371392</v>
      </c>
      <c r="S7" s="39">
        <v>0.2</v>
      </c>
      <c r="T7" s="40">
        <v>16464.845578742785</v>
      </c>
      <c r="U7" s="33">
        <v>12</v>
      </c>
      <c r="V7" s="58">
        <f t="shared" si="0"/>
        <v>1372.0704648952321</v>
      </c>
      <c r="W7" s="33">
        <v>24</v>
      </c>
    </row>
    <row r="8" spans="1:23" x14ac:dyDescent="0.25">
      <c r="A8" s="28">
        <v>43466</v>
      </c>
      <c r="B8" s="27" t="s">
        <v>11</v>
      </c>
      <c r="C8" s="27">
        <v>1</v>
      </c>
      <c r="D8" s="27" t="s">
        <v>59</v>
      </c>
      <c r="E8" s="27" t="s">
        <v>107</v>
      </c>
      <c r="F8" s="27">
        <v>491714696</v>
      </c>
      <c r="G8" s="27">
        <v>2012</v>
      </c>
      <c r="H8" s="27">
        <v>2012</v>
      </c>
      <c r="I8" s="35">
        <v>3500</v>
      </c>
      <c r="J8" s="33" t="s">
        <v>95</v>
      </c>
      <c r="K8" s="33" t="s">
        <v>108</v>
      </c>
      <c r="L8" s="33">
        <v>0</v>
      </c>
      <c r="M8" s="33" t="s">
        <v>97</v>
      </c>
      <c r="N8" s="33" t="s">
        <v>88</v>
      </c>
      <c r="O8" s="33" t="s">
        <v>89</v>
      </c>
      <c r="P8" s="33" t="s">
        <v>241</v>
      </c>
      <c r="Q8" s="33">
        <v>150</v>
      </c>
      <c r="R8" s="40">
        <v>94888.918838400306</v>
      </c>
      <c r="S8" s="39">
        <v>0.2</v>
      </c>
      <c r="T8" s="40">
        <v>18977.783767680099</v>
      </c>
      <c r="U8" s="33">
        <v>12</v>
      </c>
      <c r="V8" s="58">
        <f t="shared" si="0"/>
        <v>1581.4819806400083</v>
      </c>
      <c r="W8" s="33">
        <v>24</v>
      </c>
    </row>
    <row r="9" spans="1:23" x14ac:dyDescent="0.25">
      <c r="A9" s="28">
        <v>43466</v>
      </c>
      <c r="B9" s="27" t="s">
        <v>12</v>
      </c>
      <c r="C9" s="27">
        <v>1</v>
      </c>
      <c r="D9" s="27" t="s">
        <v>59</v>
      </c>
      <c r="E9" s="27" t="s">
        <v>109</v>
      </c>
      <c r="F9" s="27">
        <v>555662977</v>
      </c>
      <c r="G9" s="27">
        <v>2013</v>
      </c>
      <c r="H9" s="27">
        <v>2013</v>
      </c>
      <c r="I9" s="35">
        <v>3500</v>
      </c>
      <c r="J9" s="33" t="s">
        <v>99</v>
      </c>
      <c r="K9" s="33" t="s">
        <v>110</v>
      </c>
      <c r="L9" s="33">
        <v>0</v>
      </c>
      <c r="M9" s="33" t="s">
        <v>97</v>
      </c>
      <c r="N9" s="33" t="s">
        <v>88</v>
      </c>
      <c r="O9" s="33" t="s">
        <v>89</v>
      </c>
      <c r="P9" s="33" t="s">
        <v>241</v>
      </c>
      <c r="Q9" s="33">
        <v>150</v>
      </c>
      <c r="R9" s="40">
        <v>131329.88835137399</v>
      </c>
      <c r="S9" s="39">
        <v>0.2</v>
      </c>
      <c r="T9" s="40">
        <v>26265.977670274799</v>
      </c>
      <c r="U9" s="33">
        <v>12</v>
      </c>
      <c r="V9" s="58">
        <f t="shared" si="0"/>
        <v>2188.8314725228997</v>
      </c>
      <c r="W9" s="33">
        <v>60</v>
      </c>
    </row>
    <row r="10" spans="1:23" x14ac:dyDescent="0.25">
      <c r="A10" s="28">
        <v>43466</v>
      </c>
      <c r="B10" s="27" t="s">
        <v>13</v>
      </c>
      <c r="C10" s="27">
        <v>1</v>
      </c>
      <c r="D10" s="27" t="s">
        <v>59</v>
      </c>
      <c r="E10" s="27" t="s">
        <v>111</v>
      </c>
      <c r="F10" s="27">
        <v>1028512314</v>
      </c>
      <c r="G10" s="27">
        <v>2014</v>
      </c>
      <c r="H10" s="27">
        <v>2014</v>
      </c>
      <c r="I10" s="35">
        <v>6500</v>
      </c>
      <c r="J10" s="33" t="s">
        <v>85</v>
      </c>
      <c r="K10" s="33" t="s">
        <v>112</v>
      </c>
      <c r="L10" s="33">
        <v>0</v>
      </c>
      <c r="M10" s="33" t="s">
        <v>101</v>
      </c>
      <c r="N10" s="33" t="s">
        <v>91</v>
      </c>
      <c r="O10" s="33" t="s">
        <v>89</v>
      </c>
      <c r="P10" s="33" t="s">
        <v>241</v>
      </c>
      <c r="Q10" s="33">
        <v>180</v>
      </c>
      <c r="R10" s="40">
        <v>97662.661313585588</v>
      </c>
      <c r="S10" s="39">
        <v>0.2</v>
      </c>
      <c r="T10" s="40">
        <v>19532.532262717119</v>
      </c>
      <c r="U10" s="33">
        <v>12</v>
      </c>
      <c r="V10" s="58">
        <f t="shared" si="0"/>
        <v>1627.7110218930932</v>
      </c>
      <c r="W10" s="33">
        <v>60</v>
      </c>
    </row>
    <row r="11" spans="1:23" x14ac:dyDescent="0.25">
      <c r="A11" s="28">
        <v>43466</v>
      </c>
      <c r="B11" s="27" t="s">
        <v>14</v>
      </c>
      <c r="C11" s="27">
        <v>1</v>
      </c>
      <c r="D11" s="27" t="s">
        <v>59</v>
      </c>
      <c r="E11" s="27" t="s">
        <v>113</v>
      </c>
      <c r="F11" s="27">
        <v>1109772022</v>
      </c>
      <c r="G11" s="27">
        <v>2016</v>
      </c>
      <c r="H11" s="27">
        <v>2017</v>
      </c>
      <c r="I11" s="35">
        <v>650</v>
      </c>
      <c r="J11" s="33" t="s">
        <v>114</v>
      </c>
      <c r="K11" s="33" t="s">
        <v>115</v>
      </c>
      <c r="L11" s="33">
        <v>0</v>
      </c>
      <c r="M11" s="33" t="s">
        <v>116</v>
      </c>
      <c r="N11" s="33" t="s">
        <v>102</v>
      </c>
      <c r="O11" s="33" t="s">
        <v>238</v>
      </c>
      <c r="P11" s="33"/>
      <c r="Q11" s="33">
        <v>49</v>
      </c>
      <c r="R11" s="40">
        <v>102869.25383156711</v>
      </c>
      <c r="S11" s="39">
        <v>0.2</v>
      </c>
      <c r="T11" s="40">
        <v>20573.850766313422</v>
      </c>
      <c r="U11" s="33">
        <v>12</v>
      </c>
      <c r="V11" s="58">
        <f t="shared" si="0"/>
        <v>1714.4875638594519</v>
      </c>
      <c r="W11" s="33">
        <v>60</v>
      </c>
    </row>
    <row r="12" spans="1:23" x14ac:dyDescent="0.25">
      <c r="A12" s="28">
        <v>43466</v>
      </c>
      <c r="B12" s="27" t="s">
        <v>15</v>
      </c>
      <c r="C12" s="27">
        <v>1</v>
      </c>
      <c r="D12" s="27" t="s">
        <v>59</v>
      </c>
      <c r="E12" s="27" t="s">
        <v>117</v>
      </c>
      <c r="F12" s="27">
        <v>1112075566</v>
      </c>
      <c r="G12" s="27">
        <v>2016</v>
      </c>
      <c r="H12" s="27">
        <v>2016</v>
      </c>
      <c r="I12" s="35">
        <v>3200</v>
      </c>
      <c r="J12" s="33" t="s">
        <v>85</v>
      </c>
      <c r="K12" s="33" t="s">
        <v>118</v>
      </c>
      <c r="L12" s="33">
        <v>0</v>
      </c>
      <c r="M12" s="33" t="s">
        <v>97</v>
      </c>
      <c r="N12" s="33" t="s">
        <v>91</v>
      </c>
      <c r="O12" s="33" t="s">
        <v>89</v>
      </c>
      <c r="P12" s="33" t="s">
        <v>241</v>
      </c>
      <c r="Q12" s="33">
        <v>150</v>
      </c>
      <c r="R12" s="40">
        <v>104607.37372734281</v>
      </c>
      <c r="S12" s="39">
        <v>0.2</v>
      </c>
      <c r="T12" s="40">
        <v>20921.474745468564</v>
      </c>
      <c r="U12" s="33">
        <v>12</v>
      </c>
      <c r="V12" s="58">
        <f t="shared" si="0"/>
        <v>1743.4562287890469</v>
      </c>
      <c r="W12" s="33">
        <v>60</v>
      </c>
    </row>
    <row r="13" spans="1:23" x14ac:dyDescent="0.25">
      <c r="A13" s="28">
        <v>43466</v>
      </c>
      <c r="B13" s="27" t="s">
        <v>16</v>
      </c>
      <c r="C13" s="27">
        <v>1</v>
      </c>
      <c r="D13" s="27" t="s">
        <v>59</v>
      </c>
      <c r="E13" s="27" t="s">
        <v>119</v>
      </c>
      <c r="F13" s="27">
        <v>1112075981</v>
      </c>
      <c r="G13" s="27">
        <v>2016</v>
      </c>
      <c r="H13" s="27">
        <v>2016</v>
      </c>
      <c r="I13" s="35">
        <v>3500</v>
      </c>
      <c r="J13" s="33" t="s">
        <v>85</v>
      </c>
      <c r="K13" s="33" t="s">
        <v>120</v>
      </c>
      <c r="L13" s="33">
        <v>0</v>
      </c>
      <c r="M13" s="33" t="s">
        <v>97</v>
      </c>
      <c r="N13" s="33" t="s">
        <v>88</v>
      </c>
      <c r="O13" s="33" t="s">
        <v>89</v>
      </c>
      <c r="P13" s="33" t="s">
        <v>241</v>
      </c>
      <c r="Q13" s="33">
        <v>150</v>
      </c>
      <c r="R13" s="40">
        <v>33700.884771619218</v>
      </c>
      <c r="S13" s="39">
        <v>0.2</v>
      </c>
      <c r="T13" s="40">
        <v>6740.1769543238443</v>
      </c>
      <c r="U13" s="33">
        <v>12</v>
      </c>
      <c r="V13" s="58">
        <f t="shared" si="0"/>
        <v>561.68141286032039</v>
      </c>
      <c r="W13" s="33">
        <v>60</v>
      </c>
    </row>
    <row r="14" spans="1:23" x14ac:dyDescent="0.25">
      <c r="A14" s="28">
        <v>43466</v>
      </c>
      <c r="B14" s="27" t="s">
        <v>17</v>
      </c>
      <c r="C14" s="27">
        <v>1</v>
      </c>
      <c r="D14" s="27" t="s">
        <v>59</v>
      </c>
      <c r="E14" s="27" t="s">
        <v>121</v>
      </c>
      <c r="F14" s="27">
        <v>1125515454</v>
      </c>
      <c r="G14" s="27">
        <v>2017</v>
      </c>
      <c r="H14" s="27">
        <v>2017</v>
      </c>
      <c r="I14" s="35">
        <v>13800</v>
      </c>
      <c r="J14" s="33" t="s">
        <v>85</v>
      </c>
      <c r="K14" s="33" t="s">
        <v>93</v>
      </c>
      <c r="L14" s="33">
        <v>0</v>
      </c>
      <c r="M14" s="33" t="s">
        <v>87</v>
      </c>
      <c r="N14" s="33" t="s">
        <v>88</v>
      </c>
      <c r="O14" s="33" t="s">
        <v>89</v>
      </c>
      <c r="P14" s="33" t="s">
        <v>241</v>
      </c>
      <c r="Q14" s="33">
        <v>300</v>
      </c>
      <c r="R14" s="40">
        <v>114209.32107610173</v>
      </c>
      <c r="S14" s="39">
        <v>0.2</v>
      </c>
      <c r="T14" s="40">
        <v>22841.864215220347</v>
      </c>
      <c r="U14" s="33">
        <v>12</v>
      </c>
      <c r="V14" s="58">
        <f t="shared" si="0"/>
        <v>1903.4886846016955</v>
      </c>
      <c r="W14" s="33">
        <v>60</v>
      </c>
    </row>
    <row r="15" spans="1:23" x14ac:dyDescent="0.25">
      <c r="A15" s="28">
        <v>43466</v>
      </c>
      <c r="B15" s="27" t="s">
        <v>18</v>
      </c>
      <c r="C15" s="27">
        <v>1</v>
      </c>
      <c r="D15" s="27" t="s">
        <v>59</v>
      </c>
      <c r="E15" s="27" t="s">
        <v>122</v>
      </c>
      <c r="F15" s="27">
        <v>1143085270</v>
      </c>
      <c r="G15" s="27">
        <v>2017</v>
      </c>
      <c r="H15" s="27">
        <v>2018</v>
      </c>
      <c r="I15" s="35">
        <v>1200</v>
      </c>
      <c r="J15" s="33" t="s">
        <v>123</v>
      </c>
      <c r="K15" s="33" t="s">
        <v>124</v>
      </c>
      <c r="L15" s="33">
        <v>0</v>
      </c>
      <c r="M15" s="33" t="s">
        <v>125</v>
      </c>
      <c r="N15" s="33" t="s">
        <v>102</v>
      </c>
      <c r="O15" s="33" t="s">
        <v>89</v>
      </c>
      <c r="P15" s="33" t="s">
        <v>241</v>
      </c>
      <c r="Q15" s="33">
        <v>100</v>
      </c>
      <c r="R15" s="40">
        <v>129245.69791031227</v>
      </c>
      <c r="S15" s="39">
        <v>0.2</v>
      </c>
      <c r="T15" s="40">
        <v>25849.139582062457</v>
      </c>
      <c r="U15" s="33">
        <v>12</v>
      </c>
      <c r="V15" s="58">
        <f t="shared" si="0"/>
        <v>2154.0949651718715</v>
      </c>
      <c r="W15" s="33">
        <v>60</v>
      </c>
    </row>
    <row r="16" spans="1:23" x14ac:dyDescent="0.25">
      <c r="A16" s="28">
        <v>43466</v>
      </c>
      <c r="B16" s="27" t="s">
        <v>19</v>
      </c>
      <c r="C16" s="27">
        <v>1</v>
      </c>
      <c r="D16" s="27" t="s">
        <v>59</v>
      </c>
      <c r="E16" s="27" t="s">
        <v>126</v>
      </c>
      <c r="F16" s="27">
        <v>1163306700</v>
      </c>
      <c r="G16" s="27">
        <v>2018</v>
      </c>
      <c r="H16" s="27">
        <v>2018</v>
      </c>
      <c r="I16" s="35">
        <v>6500</v>
      </c>
      <c r="J16" s="33" t="s">
        <v>85</v>
      </c>
      <c r="K16" s="33" t="s">
        <v>127</v>
      </c>
      <c r="L16" s="33">
        <v>0</v>
      </c>
      <c r="M16" s="33" t="s">
        <v>101</v>
      </c>
      <c r="N16" s="33" t="s">
        <v>88</v>
      </c>
      <c r="O16" s="33" t="s">
        <v>89</v>
      </c>
      <c r="P16" s="33" t="s">
        <v>241</v>
      </c>
      <c r="Q16" s="33">
        <v>210</v>
      </c>
      <c r="R16" s="40">
        <v>188138.10192606886</v>
      </c>
      <c r="S16" s="39">
        <v>0.2</v>
      </c>
      <c r="T16" s="40">
        <v>37627.620385213777</v>
      </c>
      <c r="U16" s="33">
        <v>12</v>
      </c>
      <c r="V16" s="58">
        <f t="shared" si="0"/>
        <v>3135.6350321011482</v>
      </c>
      <c r="W16" s="33">
        <v>60</v>
      </c>
    </row>
    <row r="17" spans="1:23" x14ac:dyDescent="0.25">
      <c r="A17" s="28">
        <v>43525</v>
      </c>
      <c r="B17" s="27" t="s">
        <v>20</v>
      </c>
      <c r="C17" s="27">
        <v>1</v>
      </c>
      <c r="D17" s="27" t="s">
        <v>59</v>
      </c>
      <c r="E17" s="27" t="s">
        <v>128</v>
      </c>
      <c r="F17" s="27">
        <v>1187250756</v>
      </c>
      <c r="G17" s="27">
        <v>2019</v>
      </c>
      <c r="H17" s="27">
        <v>2020</v>
      </c>
      <c r="I17" s="35">
        <v>1200</v>
      </c>
      <c r="J17" s="33" t="s">
        <v>123</v>
      </c>
      <c r="K17" s="33" t="s">
        <v>124</v>
      </c>
      <c r="L17" s="33">
        <v>0</v>
      </c>
      <c r="M17" s="33" t="s">
        <v>125</v>
      </c>
      <c r="N17" s="33" t="s">
        <v>88</v>
      </c>
      <c r="O17" s="33" t="s">
        <v>89</v>
      </c>
      <c r="P17" s="33" t="s">
        <v>241</v>
      </c>
      <c r="Q17" s="33">
        <v>100</v>
      </c>
      <c r="R17" s="40">
        <v>96221.419890573961</v>
      </c>
      <c r="S17" s="39">
        <v>0.2</v>
      </c>
      <c r="T17" s="40">
        <v>19244.283978114792</v>
      </c>
      <c r="U17" s="33">
        <v>12</v>
      </c>
      <c r="V17" s="58">
        <f t="shared" si="0"/>
        <v>1603.690331509566</v>
      </c>
      <c r="W17" s="33">
        <v>60</v>
      </c>
    </row>
    <row r="18" spans="1:23" x14ac:dyDescent="0.25">
      <c r="A18" s="28">
        <v>43678</v>
      </c>
      <c r="B18" s="27" t="s">
        <v>38</v>
      </c>
      <c r="C18" s="27">
        <v>1</v>
      </c>
      <c r="D18" s="27" t="s">
        <v>59</v>
      </c>
      <c r="E18" s="27" t="s">
        <v>129</v>
      </c>
      <c r="F18" s="27">
        <v>1201695250</v>
      </c>
      <c r="G18" s="27">
        <v>2019</v>
      </c>
      <c r="H18" s="27">
        <v>2020</v>
      </c>
      <c r="I18" s="35">
        <v>650</v>
      </c>
      <c r="J18" s="33" t="s">
        <v>95</v>
      </c>
      <c r="K18" s="33" t="s">
        <v>130</v>
      </c>
      <c r="L18" s="33">
        <v>0</v>
      </c>
      <c r="M18" s="33" t="s">
        <v>116</v>
      </c>
      <c r="N18" s="33" t="s">
        <v>88</v>
      </c>
      <c r="O18" s="33" t="s">
        <v>238</v>
      </c>
      <c r="P18" s="33"/>
      <c r="Q18" s="33">
        <v>55</v>
      </c>
      <c r="R18" s="40">
        <v>145268.50525141042</v>
      </c>
      <c r="S18" s="39">
        <v>0.2</v>
      </c>
      <c r="T18" s="40">
        <v>29053.701050282085</v>
      </c>
      <c r="U18" s="33">
        <v>12</v>
      </c>
      <c r="V18" s="58">
        <f t="shared" si="0"/>
        <v>2421.1417541901737</v>
      </c>
      <c r="W18" s="33">
        <v>60</v>
      </c>
    </row>
    <row r="19" spans="1:23" x14ac:dyDescent="0.25">
      <c r="A19" s="28">
        <v>43709</v>
      </c>
      <c r="B19" s="27" t="s">
        <v>23</v>
      </c>
      <c r="C19" s="27">
        <v>1</v>
      </c>
      <c r="D19" s="27" t="s">
        <v>59</v>
      </c>
      <c r="E19" s="27" t="s">
        <v>131</v>
      </c>
      <c r="F19" s="27">
        <v>1209603699</v>
      </c>
      <c r="G19" s="27">
        <v>2019</v>
      </c>
      <c r="H19" s="27">
        <v>2020</v>
      </c>
      <c r="I19" s="35">
        <v>6500</v>
      </c>
      <c r="J19" s="33" t="s">
        <v>85</v>
      </c>
      <c r="K19" s="33" t="s">
        <v>132</v>
      </c>
      <c r="L19" s="33">
        <v>0</v>
      </c>
      <c r="M19" s="33" t="s">
        <v>101</v>
      </c>
      <c r="N19" s="33" t="s">
        <v>88</v>
      </c>
      <c r="O19" s="33" t="s">
        <v>89</v>
      </c>
      <c r="P19" s="33" t="s">
        <v>241</v>
      </c>
      <c r="Q19" s="33">
        <v>210</v>
      </c>
      <c r="R19" s="40">
        <v>116788.88431764768</v>
      </c>
      <c r="S19" s="39">
        <v>0.2</v>
      </c>
      <c r="T19" s="40">
        <v>23357.776863529536</v>
      </c>
      <c r="U19" s="33">
        <v>12</v>
      </c>
      <c r="V19" s="58">
        <f t="shared" si="0"/>
        <v>1946.4814052941281</v>
      </c>
      <c r="W19" s="33">
        <v>60</v>
      </c>
    </row>
    <row r="20" spans="1:23" x14ac:dyDescent="0.25">
      <c r="A20" s="28">
        <v>43739</v>
      </c>
      <c r="B20" s="27" t="s">
        <v>22</v>
      </c>
      <c r="C20" s="27">
        <v>1</v>
      </c>
      <c r="D20" s="27" t="s">
        <v>59</v>
      </c>
      <c r="E20" s="27" t="s">
        <v>92</v>
      </c>
      <c r="F20" s="27">
        <v>506972283</v>
      </c>
      <c r="G20" s="27">
        <v>2012</v>
      </c>
      <c r="H20" s="27">
        <v>2012</v>
      </c>
      <c r="I20" s="35">
        <v>14000</v>
      </c>
      <c r="J20" s="33" t="s">
        <v>85</v>
      </c>
      <c r="K20" s="33" t="s">
        <v>93</v>
      </c>
      <c r="L20" s="33">
        <v>0</v>
      </c>
      <c r="M20" s="33" t="s">
        <v>87</v>
      </c>
      <c r="N20" s="33" t="s">
        <v>88</v>
      </c>
      <c r="O20" s="33" t="s">
        <v>89</v>
      </c>
      <c r="P20" s="33" t="s">
        <v>241</v>
      </c>
      <c r="Q20" s="33">
        <v>250</v>
      </c>
      <c r="R20" s="40">
        <v>45638.161036946673</v>
      </c>
      <c r="S20" s="39">
        <v>0.2</v>
      </c>
      <c r="T20" s="40">
        <v>9127.6322073893352</v>
      </c>
      <c r="U20" s="33">
        <v>12</v>
      </c>
      <c r="V20" s="58">
        <f t="shared" si="0"/>
        <v>760.63601728244464</v>
      </c>
      <c r="W20" s="33">
        <v>60</v>
      </c>
    </row>
    <row r="21" spans="1:23" x14ac:dyDescent="0.25">
      <c r="A21" s="28">
        <v>44197</v>
      </c>
      <c r="B21" s="27" t="s">
        <v>39</v>
      </c>
      <c r="C21" s="27">
        <v>1</v>
      </c>
      <c r="D21" s="27" t="s">
        <v>59</v>
      </c>
      <c r="E21" s="27" t="s">
        <v>94</v>
      </c>
      <c r="F21" s="27">
        <v>1023465296</v>
      </c>
      <c r="G21" s="27">
        <v>2014</v>
      </c>
      <c r="H21" s="27">
        <v>2014</v>
      </c>
      <c r="I21" s="35">
        <v>3750</v>
      </c>
      <c r="J21" s="33" t="s">
        <v>95</v>
      </c>
      <c r="K21" s="33" t="s">
        <v>96</v>
      </c>
      <c r="L21" s="33">
        <v>0</v>
      </c>
      <c r="M21" s="33" t="s">
        <v>97</v>
      </c>
      <c r="N21" s="33" t="s">
        <v>88</v>
      </c>
      <c r="O21" s="33" t="s">
        <v>89</v>
      </c>
      <c r="P21" s="33" t="s">
        <v>241</v>
      </c>
      <c r="Q21" s="33">
        <v>150</v>
      </c>
      <c r="R21" s="40">
        <v>155343.38691143302</v>
      </c>
      <c r="S21" s="39">
        <v>0.2</v>
      </c>
      <c r="T21" s="40">
        <v>31068.677382286605</v>
      </c>
      <c r="U21" s="33">
        <v>12</v>
      </c>
      <c r="V21" s="58">
        <f t="shared" si="0"/>
        <v>2589.0564485238838</v>
      </c>
      <c r="W21" s="33">
        <v>60</v>
      </c>
    </row>
    <row r="22" spans="1:23" x14ac:dyDescent="0.25">
      <c r="A22" s="28">
        <v>44197</v>
      </c>
      <c r="B22" s="27" t="s">
        <v>41</v>
      </c>
      <c r="C22" s="27">
        <v>1</v>
      </c>
      <c r="D22" s="27" t="s">
        <v>59</v>
      </c>
      <c r="E22" s="27" t="s">
        <v>103</v>
      </c>
      <c r="F22" s="27">
        <v>457689633</v>
      </c>
      <c r="G22" s="27">
        <v>2011</v>
      </c>
      <c r="H22" s="27">
        <v>2012</v>
      </c>
      <c r="I22" s="35">
        <v>6000</v>
      </c>
      <c r="J22" s="33" t="s">
        <v>95</v>
      </c>
      <c r="K22" s="33" t="s">
        <v>104</v>
      </c>
      <c r="L22" s="33">
        <v>0</v>
      </c>
      <c r="M22" s="33" t="s">
        <v>101</v>
      </c>
      <c r="N22" s="33" t="s">
        <v>88</v>
      </c>
      <c r="O22" s="33" t="s">
        <v>89</v>
      </c>
      <c r="P22" s="33" t="s">
        <v>214</v>
      </c>
      <c r="Q22" s="33">
        <v>275</v>
      </c>
      <c r="R22" s="40">
        <v>50055.091338128412</v>
      </c>
      <c r="S22" s="39">
        <v>0.2</v>
      </c>
      <c r="T22" s="40">
        <v>10011.018267625683</v>
      </c>
      <c r="U22" s="33">
        <v>12</v>
      </c>
      <c r="V22" s="58">
        <f t="shared" si="0"/>
        <v>834.25152230214019</v>
      </c>
      <c r="W22" s="33">
        <v>60</v>
      </c>
    </row>
    <row r="23" spans="1:23" x14ac:dyDescent="0.25">
      <c r="A23" s="28">
        <v>44197</v>
      </c>
      <c r="B23" s="27" t="s">
        <v>40</v>
      </c>
      <c r="C23" s="27">
        <v>1</v>
      </c>
      <c r="D23" s="27" t="s">
        <v>59</v>
      </c>
      <c r="E23" s="27" t="s">
        <v>133</v>
      </c>
      <c r="F23" s="27">
        <v>1249802641</v>
      </c>
      <c r="G23" s="27">
        <v>2020</v>
      </c>
      <c r="H23" s="27">
        <v>2021</v>
      </c>
      <c r="I23" s="35">
        <v>650</v>
      </c>
      <c r="J23" s="33" t="s">
        <v>95</v>
      </c>
      <c r="K23" s="33" t="s">
        <v>130</v>
      </c>
      <c r="L23" s="33">
        <v>0</v>
      </c>
      <c r="M23" s="33" t="s">
        <v>116</v>
      </c>
      <c r="N23" s="33" t="s">
        <v>88</v>
      </c>
      <c r="O23" s="33" t="s">
        <v>238</v>
      </c>
      <c r="P23" s="33"/>
      <c r="Q23" s="33">
        <v>55</v>
      </c>
      <c r="R23" s="40">
        <v>50056.091338128397</v>
      </c>
      <c r="S23" s="39">
        <v>0.2</v>
      </c>
      <c r="T23" s="40">
        <v>10011.21826762568</v>
      </c>
      <c r="U23" s="33">
        <v>13</v>
      </c>
      <c r="V23" s="58">
        <f t="shared" si="0"/>
        <v>770.09371289428304</v>
      </c>
      <c r="W23" s="33">
        <v>60</v>
      </c>
    </row>
    <row r="24" spans="1:23" x14ac:dyDescent="0.25">
      <c r="A24" s="28">
        <v>44197</v>
      </c>
      <c r="B24" s="27" t="s">
        <v>64</v>
      </c>
      <c r="C24" s="27">
        <v>1</v>
      </c>
      <c r="D24" s="27" t="s">
        <v>59</v>
      </c>
      <c r="E24" s="27" t="s">
        <v>139</v>
      </c>
      <c r="F24" s="27">
        <v>810144425</v>
      </c>
      <c r="G24" s="27">
        <v>2003</v>
      </c>
      <c r="H24" s="27">
        <v>2003</v>
      </c>
      <c r="I24" s="35">
        <v>14000</v>
      </c>
      <c r="J24" s="33" t="s">
        <v>95</v>
      </c>
      <c r="K24" s="33">
        <v>23210</v>
      </c>
      <c r="L24" s="33">
        <v>0</v>
      </c>
      <c r="M24" s="33" t="s">
        <v>87</v>
      </c>
      <c r="N24" s="33" t="s">
        <v>88</v>
      </c>
      <c r="O24" s="33" t="s">
        <v>89</v>
      </c>
      <c r="P24" s="33" t="s">
        <v>214</v>
      </c>
      <c r="Q24" s="33">
        <v>275</v>
      </c>
      <c r="R24" s="40">
        <v>50057.091338128397</v>
      </c>
      <c r="S24" s="39">
        <v>0.2</v>
      </c>
      <c r="T24" s="40">
        <v>10011.418267625681</v>
      </c>
      <c r="U24" s="33">
        <v>14</v>
      </c>
      <c r="V24" s="58">
        <f t="shared" si="0"/>
        <v>715.10130483040575</v>
      </c>
      <c r="W24" s="33">
        <v>60</v>
      </c>
    </row>
    <row r="25" spans="1:23" x14ac:dyDescent="0.25">
      <c r="A25" s="28">
        <v>44378</v>
      </c>
      <c r="B25" s="27" t="s">
        <v>42</v>
      </c>
      <c r="C25" s="27">
        <v>1</v>
      </c>
      <c r="D25" s="27" t="s">
        <v>59</v>
      </c>
      <c r="E25" s="27" t="s">
        <v>134</v>
      </c>
      <c r="F25" s="27">
        <v>880435194</v>
      </c>
      <c r="G25" s="27">
        <v>2006</v>
      </c>
      <c r="H25" s="27">
        <v>2006</v>
      </c>
      <c r="I25" s="35">
        <v>3500</v>
      </c>
      <c r="J25" s="33" t="s">
        <v>95</v>
      </c>
      <c r="K25" s="33" t="s">
        <v>135</v>
      </c>
      <c r="L25" s="33">
        <v>0</v>
      </c>
      <c r="M25" s="33" t="s">
        <v>97</v>
      </c>
      <c r="N25" s="33" t="s">
        <v>88</v>
      </c>
      <c r="O25" s="33" t="s">
        <v>89</v>
      </c>
      <c r="P25" s="33" t="s">
        <v>214</v>
      </c>
      <c r="Q25" s="33">
        <v>150</v>
      </c>
      <c r="R25" s="40">
        <v>50058.091338128397</v>
      </c>
      <c r="S25" s="39">
        <v>0.2</v>
      </c>
      <c r="T25" s="40">
        <v>10011.618267625679</v>
      </c>
      <c r="U25" s="33">
        <v>15</v>
      </c>
      <c r="V25" s="58">
        <f t="shared" si="0"/>
        <v>667.44121784171193</v>
      </c>
      <c r="W25" s="33">
        <v>60</v>
      </c>
    </row>
    <row r="26" spans="1:23" x14ac:dyDescent="0.25">
      <c r="A26" s="28">
        <v>44409</v>
      </c>
      <c r="B26" s="27" t="s">
        <v>72</v>
      </c>
      <c r="C26" s="27">
        <v>1</v>
      </c>
      <c r="D26" s="27" t="s">
        <v>59</v>
      </c>
      <c r="E26" s="27" t="s">
        <v>150</v>
      </c>
      <c r="F26" s="27">
        <v>1079001635</v>
      </c>
      <c r="G26" s="27">
        <v>2015</v>
      </c>
      <c r="H26" s="27">
        <v>2015</v>
      </c>
      <c r="I26" s="35">
        <v>1200</v>
      </c>
      <c r="J26" s="33" t="s">
        <v>137</v>
      </c>
      <c r="K26" s="33" t="s">
        <v>151</v>
      </c>
      <c r="L26" s="33">
        <v>0</v>
      </c>
      <c r="M26" s="33" t="s">
        <v>125</v>
      </c>
      <c r="N26" s="33" t="s">
        <v>88</v>
      </c>
      <c r="O26" s="33" t="s">
        <v>89</v>
      </c>
      <c r="P26" s="33" t="s">
        <v>241</v>
      </c>
      <c r="Q26" s="33">
        <v>100</v>
      </c>
      <c r="R26" s="40">
        <v>50059.091338128397</v>
      </c>
      <c r="S26" s="39">
        <v>0.2</v>
      </c>
      <c r="T26" s="40">
        <v>10011.81826762568</v>
      </c>
      <c r="U26" s="33">
        <v>16</v>
      </c>
      <c r="V26" s="58">
        <f t="shared" si="0"/>
        <v>625.73864172660501</v>
      </c>
      <c r="W26" s="33">
        <v>60</v>
      </c>
    </row>
    <row r="27" spans="1:23" x14ac:dyDescent="0.25">
      <c r="A27" s="28">
        <v>44409</v>
      </c>
      <c r="B27" s="27" t="s">
        <v>43</v>
      </c>
      <c r="C27" s="27">
        <v>1</v>
      </c>
      <c r="D27" s="27" t="s">
        <v>59</v>
      </c>
      <c r="E27" s="27" t="s">
        <v>136</v>
      </c>
      <c r="F27" s="27">
        <v>1251294950</v>
      </c>
      <c r="G27" s="27">
        <v>2020</v>
      </c>
      <c r="H27" s="27">
        <v>2021</v>
      </c>
      <c r="I27" s="35">
        <v>1200</v>
      </c>
      <c r="J27" s="33" t="s">
        <v>137</v>
      </c>
      <c r="K27" s="33" t="s">
        <v>138</v>
      </c>
      <c r="L27" s="33">
        <v>0</v>
      </c>
      <c r="M27" s="33" t="s">
        <v>125</v>
      </c>
      <c r="N27" s="33" t="s">
        <v>88</v>
      </c>
      <c r="O27" s="33" t="s">
        <v>89</v>
      </c>
      <c r="P27" s="33" t="s">
        <v>241</v>
      </c>
      <c r="Q27" s="33">
        <v>100</v>
      </c>
      <c r="R27" s="40">
        <v>50060.091338128397</v>
      </c>
      <c r="S27" s="39">
        <v>0.2</v>
      </c>
      <c r="T27" s="40">
        <v>10012.018267625681</v>
      </c>
      <c r="U27" s="33">
        <v>17</v>
      </c>
      <c r="V27" s="58">
        <f t="shared" si="0"/>
        <v>588.94225103680481</v>
      </c>
      <c r="W27" s="33">
        <v>60</v>
      </c>
    </row>
    <row r="28" spans="1:23" x14ac:dyDescent="0.25">
      <c r="A28" s="28">
        <v>44531</v>
      </c>
      <c r="B28" s="27" t="s">
        <v>206</v>
      </c>
      <c r="C28" s="27">
        <v>1</v>
      </c>
      <c r="D28" s="27" t="s">
        <v>59</v>
      </c>
      <c r="E28" s="27" t="s">
        <v>140</v>
      </c>
      <c r="F28" s="27">
        <v>548623155</v>
      </c>
      <c r="G28" s="27">
        <v>2013</v>
      </c>
      <c r="H28" s="27">
        <v>2013</v>
      </c>
      <c r="I28" s="35"/>
      <c r="J28" s="33" t="s">
        <v>141</v>
      </c>
      <c r="K28" s="33" t="s">
        <v>142</v>
      </c>
      <c r="L28" s="33">
        <v>0</v>
      </c>
      <c r="M28" s="33" t="s">
        <v>143</v>
      </c>
      <c r="N28" s="33" t="s">
        <v>88</v>
      </c>
      <c r="O28" s="33" t="s">
        <v>89</v>
      </c>
      <c r="P28" s="33" t="s">
        <v>241</v>
      </c>
      <c r="Q28" s="33">
        <v>0</v>
      </c>
      <c r="R28" s="40">
        <v>50061.091338128397</v>
      </c>
      <c r="S28" s="39">
        <v>0.2</v>
      </c>
      <c r="T28" s="40">
        <v>10012.21826762568</v>
      </c>
      <c r="U28" s="33">
        <v>18</v>
      </c>
      <c r="V28" s="58">
        <f t="shared" si="0"/>
        <v>556.23434820142666</v>
      </c>
      <c r="W28" s="33">
        <v>60</v>
      </c>
    </row>
    <row r="29" spans="1:23" x14ac:dyDescent="0.25">
      <c r="A29" s="28">
        <v>44562</v>
      </c>
      <c r="B29" s="27" t="s">
        <v>68</v>
      </c>
      <c r="C29" s="27">
        <v>1</v>
      </c>
      <c r="D29" s="27" t="s">
        <v>59</v>
      </c>
      <c r="E29" s="27" t="s">
        <v>145</v>
      </c>
      <c r="F29" s="27">
        <v>595308295</v>
      </c>
      <c r="G29" s="27">
        <v>2013</v>
      </c>
      <c r="H29" s="27">
        <v>2014</v>
      </c>
      <c r="I29" s="35"/>
      <c r="J29" s="33" t="s">
        <v>141</v>
      </c>
      <c r="K29" s="33" t="s">
        <v>142</v>
      </c>
      <c r="L29" s="33">
        <v>0</v>
      </c>
      <c r="M29" s="33" t="s">
        <v>143</v>
      </c>
      <c r="N29" s="33" t="s">
        <v>146</v>
      </c>
      <c r="O29" s="33" t="s">
        <v>89</v>
      </c>
      <c r="P29" s="33" t="s">
        <v>241</v>
      </c>
      <c r="Q29" s="33">
        <v>0</v>
      </c>
      <c r="R29" s="40">
        <v>47466.034889604533</v>
      </c>
      <c r="S29" s="39">
        <v>0.2</v>
      </c>
      <c r="T29" s="40">
        <v>9493.2069779209069</v>
      </c>
      <c r="U29" s="33">
        <v>12</v>
      </c>
      <c r="V29" s="58">
        <f t="shared" ref="V29:V50" si="1">IFERROR((T29/U29),"")</f>
        <v>791.10058149340887</v>
      </c>
      <c r="W29" s="33">
        <v>60</v>
      </c>
    </row>
    <row r="30" spans="1:23" x14ac:dyDescent="0.25">
      <c r="A30" s="28">
        <v>44652</v>
      </c>
      <c r="B30" s="27" t="s">
        <v>74</v>
      </c>
      <c r="C30" s="27">
        <v>1</v>
      </c>
      <c r="D30" s="27" t="s">
        <v>59</v>
      </c>
      <c r="E30" s="27" t="s">
        <v>154</v>
      </c>
      <c r="F30" s="27">
        <v>1301081920</v>
      </c>
      <c r="G30" s="27">
        <v>2022</v>
      </c>
      <c r="H30" s="27">
        <v>2023</v>
      </c>
      <c r="I30" s="35"/>
      <c r="J30" s="33" t="s">
        <v>123</v>
      </c>
      <c r="K30" s="33" t="s">
        <v>155</v>
      </c>
      <c r="L30" s="33">
        <v>0</v>
      </c>
      <c r="M30" s="33" t="s">
        <v>125</v>
      </c>
      <c r="N30" s="33" t="s">
        <v>102</v>
      </c>
      <c r="O30" s="33" t="s">
        <v>89</v>
      </c>
      <c r="P30" s="33" t="s">
        <v>241</v>
      </c>
      <c r="Q30" s="33">
        <v>0</v>
      </c>
      <c r="R30" s="73"/>
      <c r="S30" s="33"/>
      <c r="T30" s="33"/>
      <c r="U30" s="33"/>
      <c r="V30" s="58" t="str">
        <f t="shared" si="1"/>
        <v/>
      </c>
      <c r="W30" s="33"/>
    </row>
    <row r="31" spans="1:23" x14ac:dyDescent="0.25">
      <c r="A31" s="28">
        <v>44682</v>
      </c>
      <c r="B31" s="27" t="s">
        <v>67</v>
      </c>
      <c r="C31" s="27">
        <v>1</v>
      </c>
      <c r="D31" s="27" t="s">
        <v>59</v>
      </c>
      <c r="E31" s="27" t="s">
        <v>144</v>
      </c>
      <c r="F31" s="27">
        <v>554856395</v>
      </c>
      <c r="G31" s="27">
        <v>2013</v>
      </c>
      <c r="H31" s="27">
        <v>2013</v>
      </c>
      <c r="I31" s="35"/>
      <c r="J31" s="33" t="s">
        <v>85</v>
      </c>
      <c r="K31" s="33" t="s">
        <v>93</v>
      </c>
      <c r="L31" s="33">
        <v>0</v>
      </c>
      <c r="M31" s="33" t="s">
        <v>87</v>
      </c>
      <c r="N31" s="33" t="s">
        <v>88</v>
      </c>
      <c r="O31" s="33" t="s">
        <v>89</v>
      </c>
      <c r="P31" s="33" t="s">
        <v>241</v>
      </c>
      <c r="Q31" s="33">
        <v>0</v>
      </c>
      <c r="R31" s="73"/>
      <c r="S31" s="33"/>
      <c r="T31" s="33"/>
      <c r="U31" s="33"/>
      <c r="V31" s="58" t="str">
        <f t="shared" si="1"/>
        <v/>
      </c>
      <c r="W31" s="33"/>
    </row>
    <row r="32" spans="1:23" x14ac:dyDescent="0.25">
      <c r="A32" s="28">
        <v>44835</v>
      </c>
      <c r="B32" s="27" t="s">
        <v>71</v>
      </c>
      <c r="C32" s="27">
        <v>1</v>
      </c>
      <c r="D32" s="27" t="s">
        <v>59</v>
      </c>
      <c r="E32" s="27" t="s">
        <v>149</v>
      </c>
      <c r="F32" s="27">
        <v>1265661569</v>
      </c>
      <c r="G32" s="27">
        <v>2021</v>
      </c>
      <c r="H32" s="27">
        <v>2021</v>
      </c>
      <c r="I32" s="35"/>
      <c r="J32" s="33" t="s">
        <v>85</v>
      </c>
      <c r="K32" s="33" t="s">
        <v>148</v>
      </c>
      <c r="L32" s="33">
        <v>0</v>
      </c>
      <c r="M32" s="33" t="s">
        <v>143</v>
      </c>
      <c r="N32" s="33" t="s">
        <v>88</v>
      </c>
      <c r="O32" s="33" t="s">
        <v>89</v>
      </c>
      <c r="P32" s="33" t="s">
        <v>241</v>
      </c>
      <c r="Q32" s="33">
        <v>0</v>
      </c>
      <c r="R32" s="73">
        <v>430000</v>
      </c>
      <c r="S32" s="33"/>
      <c r="T32" s="33"/>
      <c r="U32" s="33"/>
      <c r="V32" s="58" t="str">
        <f t="shared" si="1"/>
        <v/>
      </c>
      <c r="W32" s="33"/>
    </row>
    <row r="33" spans="1:23" x14ac:dyDescent="0.25">
      <c r="A33" s="28">
        <v>44835</v>
      </c>
      <c r="B33" s="27" t="s">
        <v>73</v>
      </c>
      <c r="C33" s="27">
        <v>1</v>
      </c>
      <c r="D33" s="27" t="s">
        <v>59</v>
      </c>
      <c r="E33" s="27" t="s">
        <v>152</v>
      </c>
      <c r="F33" s="27">
        <v>1282584305</v>
      </c>
      <c r="G33" s="27">
        <v>2021</v>
      </c>
      <c r="H33" s="27">
        <v>2021</v>
      </c>
      <c r="I33" s="35"/>
      <c r="J33" s="33" t="s">
        <v>85</v>
      </c>
      <c r="K33" s="33" t="s">
        <v>153</v>
      </c>
      <c r="L33" s="33">
        <v>0</v>
      </c>
      <c r="M33" s="33" t="s">
        <v>87</v>
      </c>
      <c r="N33" s="33" t="s">
        <v>88</v>
      </c>
      <c r="O33" s="33" t="s">
        <v>89</v>
      </c>
      <c r="P33" s="33" t="s">
        <v>241</v>
      </c>
      <c r="Q33" s="33">
        <v>0</v>
      </c>
      <c r="R33" s="73">
        <v>430000</v>
      </c>
      <c r="S33" s="33"/>
      <c r="T33" s="33"/>
      <c r="U33" s="33"/>
      <c r="V33" s="58" t="str">
        <f t="shared" si="1"/>
        <v/>
      </c>
      <c r="W33" s="33"/>
    </row>
    <row r="34" spans="1:23" x14ac:dyDescent="0.25">
      <c r="A34" s="28">
        <v>44896</v>
      </c>
      <c r="B34" s="27" t="s">
        <v>70</v>
      </c>
      <c r="C34" s="27">
        <v>1</v>
      </c>
      <c r="D34" s="27" t="s">
        <v>59</v>
      </c>
      <c r="E34" s="27" t="s">
        <v>147</v>
      </c>
      <c r="F34" s="27">
        <v>1263569142</v>
      </c>
      <c r="G34" s="27">
        <v>2021</v>
      </c>
      <c r="H34" s="27">
        <v>2021</v>
      </c>
      <c r="I34" s="35"/>
      <c r="J34" s="33" t="s">
        <v>85</v>
      </c>
      <c r="K34" s="33" t="s">
        <v>148</v>
      </c>
      <c r="L34" s="33">
        <v>0</v>
      </c>
      <c r="M34" s="33" t="s">
        <v>143</v>
      </c>
      <c r="N34" s="33" t="s">
        <v>91</v>
      </c>
      <c r="O34" s="33" t="s">
        <v>89</v>
      </c>
      <c r="P34" s="33" t="s">
        <v>241</v>
      </c>
      <c r="Q34" s="33">
        <v>0</v>
      </c>
      <c r="R34" s="73">
        <v>430000</v>
      </c>
      <c r="S34" s="33"/>
      <c r="T34" s="33"/>
      <c r="U34" s="33"/>
      <c r="V34" s="58" t="str">
        <f t="shared" si="1"/>
        <v/>
      </c>
      <c r="W34" s="33"/>
    </row>
    <row r="35" spans="1:23" x14ac:dyDescent="0.25">
      <c r="A35" s="28">
        <v>44927</v>
      </c>
      <c r="B35" s="27" t="s">
        <v>203</v>
      </c>
      <c r="C35" s="27">
        <v>1</v>
      </c>
      <c r="D35" s="27" t="s">
        <v>59</v>
      </c>
      <c r="E35" s="27" t="s">
        <v>156</v>
      </c>
      <c r="F35" s="27">
        <v>1052885796</v>
      </c>
      <c r="G35" s="27">
        <v>2015</v>
      </c>
      <c r="H35" s="27">
        <v>2016</v>
      </c>
      <c r="I35" s="35">
        <v>640</v>
      </c>
      <c r="J35" s="33" t="s">
        <v>95</v>
      </c>
      <c r="K35" s="33" t="s">
        <v>157</v>
      </c>
      <c r="L35" s="33"/>
      <c r="M35" s="33" t="s">
        <v>116</v>
      </c>
      <c r="N35" s="33" t="s">
        <v>102</v>
      </c>
      <c r="O35" s="33" t="s">
        <v>238</v>
      </c>
      <c r="P35" s="33"/>
      <c r="Q35" s="33">
        <v>0</v>
      </c>
      <c r="R35" s="73"/>
      <c r="S35" s="33"/>
      <c r="T35" s="33"/>
      <c r="U35" s="33"/>
      <c r="V35" s="58" t="str">
        <f t="shared" si="1"/>
        <v/>
      </c>
      <c r="W35" s="33"/>
    </row>
    <row r="36" spans="1:23" x14ac:dyDescent="0.25">
      <c r="A36" s="28">
        <v>44928</v>
      </c>
      <c r="B36" s="27" t="s">
        <v>222</v>
      </c>
      <c r="D36" s="27" t="s">
        <v>59</v>
      </c>
      <c r="I36" s="35"/>
      <c r="J36" s="33"/>
      <c r="K36" s="33"/>
      <c r="L36" s="33"/>
      <c r="M36" s="33"/>
      <c r="N36" s="33"/>
      <c r="O36" s="33"/>
      <c r="P36" s="33"/>
      <c r="Q36" s="33"/>
      <c r="R36" s="73">
        <v>400000</v>
      </c>
      <c r="S36" s="33"/>
      <c r="T36" s="33"/>
      <c r="U36" s="33"/>
      <c r="V36" s="58" t="str">
        <f t="shared" si="1"/>
        <v/>
      </c>
      <c r="W36" s="33"/>
    </row>
    <row r="37" spans="1:23" x14ac:dyDescent="0.25">
      <c r="A37" s="28"/>
      <c r="B37" s="27" t="s">
        <v>358</v>
      </c>
      <c r="I37" s="35"/>
      <c r="J37" s="33"/>
      <c r="K37" s="33"/>
      <c r="L37" s="33"/>
      <c r="M37" s="33"/>
      <c r="N37" s="33"/>
      <c r="O37" s="33"/>
      <c r="P37" s="33"/>
      <c r="Q37" s="33"/>
      <c r="R37" s="73"/>
      <c r="S37" s="33"/>
      <c r="T37" s="33"/>
      <c r="U37" s="33"/>
      <c r="V37" s="58" t="str">
        <f>IFERROR((T37/U37),"")</f>
        <v/>
      </c>
      <c r="W37" s="33"/>
    </row>
    <row r="38" spans="1:23" x14ac:dyDescent="0.25">
      <c r="A38" s="28">
        <v>45154</v>
      </c>
      <c r="B38" s="27" t="s">
        <v>354</v>
      </c>
      <c r="C38" s="27">
        <v>1</v>
      </c>
      <c r="D38" s="27" t="s">
        <v>59</v>
      </c>
      <c r="E38" s="27" t="s">
        <v>355</v>
      </c>
      <c r="F38" s="27">
        <v>1362152231</v>
      </c>
      <c r="G38" s="27">
        <v>2023</v>
      </c>
      <c r="H38" s="27">
        <v>2023</v>
      </c>
      <c r="I38" s="35"/>
      <c r="J38" s="33" t="s">
        <v>85</v>
      </c>
      <c r="K38" s="33" t="s">
        <v>356</v>
      </c>
      <c r="L38" s="33"/>
      <c r="M38" s="33" t="s">
        <v>87</v>
      </c>
      <c r="N38" s="33" t="s">
        <v>88</v>
      </c>
      <c r="O38" s="33" t="s">
        <v>89</v>
      </c>
      <c r="P38" s="33" t="s">
        <v>241</v>
      </c>
      <c r="Q38" s="33"/>
      <c r="R38" s="94">
        <v>557000</v>
      </c>
      <c r="S38" s="39">
        <v>0.2</v>
      </c>
      <c r="T38" s="40" t="e">
        <f>[1]!Tabela162[[#This Row],[VALOR DO VEÍCULO]]*[1]!Tabela162[[#This Row],[% DE DEPRECIAÇÃO]]</f>
        <v>#REF!</v>
      </c>
      <c r="U38" s="33">
        <v>12</v>
      </c>
      <c r="V38" s="58" t="str">
        <f>IFERROR((T38/U38),"")</f>
        <v/>
      </c>
      <c r="W38" s="33">
        <v>60</v>
      </c>
    </row>
    <row r="39" spans="1:23" x14ac:dyDescent="0.25">
      <c r="A39" s="28">
        <v>45139</v>
      </c>
      <c r="B39" s="27" t="s">
        <v>315</v>
      </c>
      <c r="C39" s="27">
        <v>1</v>
      </c>
      <c r="D39" s="27" t="s">
        <v>59</v>
      </c>
      <c r="E39" s="27" t="s">
        <v>350</v>
      </c>
      <c r="F39" s="27">
        <v>1363399877</v>
      </c>
      <c r="G39" s="27">
        <v>2023</v>
      </c>
      <c r="H39" s="27">
        <v>2023</v>
      </c>
      <c r="I39" s="35"/>
      <c r="J39" s="33" t="s">
        <v>351</v>
      </c>
      <c r="K39" s="33" t="s">
        <v>352</v>
      </c>
      <c r="L39" s="33"/>
      <c r="M39" s="33" t="s">
        <v>353</v>
      </c>
      <c r="N39" s="33" t="s">
        <v>316</v>
      </c>
      <c r="O39" s="33" t="s">
        <v>89</v>
      </c>
      <c r="P39" s="33" t="s">
        <v>241</v>
      </c>
      <c r="Q39" s="33"/>
      <c r="R39" s="94">
        <v>194593.36</v>
      </c>
      <c r="S39" s="39">
        <v>0.2</v>
      </c>
      <c r="T39" s="40" t="e">
        <f>[1]!Tabela162[[#This Row],[VALOR DO VEÍCULO]]*[1]!Tabela162[[#This Row],[% DE DEPRECIAÇÃO]]</f>
        <v>#REF!</v>
      </c>
      <c r="U39" s="33">
        <v>12</v>
      </c>
      <c r="V39" s="58" t="str">
        <f>IFERROR((T39/U39),"")</f>
        <v/>
      </c>
      <c r="W39" s="33">
        <v>60</v>
      </c>
    </row>
    <row r="40" spans="1:23" x14ac:dyDescent="0.25">
      <c r="A40" s="28">
        <v>44927</v>
      </c>
      <c r="B40" s="27" t="s">
        <v>207</v>
      </c>
      <c r="C40" s="27">
        <v>1</v>
      </c>
      <c r="D40" s="27" t="s">
        <v>59</v>
      </c>
      <c r="F40" s="27">
        <v>202684334</v>
      </c>
      <c r="I40" s="35"/>
      <c r="J40" s="33"/>
      <c r="K40" s="33"/>
      <c r="L40" s="33"/>
      <c r="M40" s="33" t="s">
        <v>218</v>
      </c>
      <c r="N40" s="33"/>
      <c r="O40" s="33" t="s">
        <v>238</v>
      </c>
      <c r="P40" s="33"/>
      <c r="Q40" s="33"/>
      <c r="R40" s="73"/>
      <c r="S40" s="33"/>
      <c r="T40" s="33"/>
      <c r="U40" s="33"/>
      <c r="V40" s="58" t="str">
        <f t="shared" si="1"/>
        <v/>
      </c>
      <c r="W40" s="33"/>
    </row>
    <row r="41" spans="1:23" x14ac:dyDescent="0.25">
      <c r="A41" s="28">
        <v>45549</v>
      </c>
      <c r="B41" s="27" t="s">
        <v>417</v>
      </c>
      <c r="C41" s="27">
        <v>1</v>
      </c>
      <c r="D41" s="27" t="s">
        <v>59</v>
      </c>
      <c r="E41" s="27" t="s">
        <v>418</v>
      </c>
      <c r="F41" s="27">
        <v>1359634506</v>
      </c>
      <c r="G41" s="27">
        <v>2023</v>
      </c>
      <c r="H41" s="27">
        <v>2024</v>
      </c>
      <c r="I41" s="35"/>
      <c r="J41" s="33" t="s">
        <v>419</v>
      </c>
      <c r="K41" s="33" t="s">
        <v>420</v>
      </c>
      <c r="L41" s="33"/>
      <c r="M41" s="33" t="s">
        <v>63</v>
      </c>
      <c r="N41" s="33" t="s">
        <v>169</v>
      </c>
      <c r="O41" s="33"/>
      <c r="P41" s="33"/>
      <c r="Q41" s="33"/>
      <c r="R41" s="73">
        <v>220000</v>
      </c>
      <c r="S41" s="33">
        <v>0.2</v>
      </c>
      <c r="T41" s="33">
        <v>44000</v>
      </c>
      <c r="U41" s="33">
        <v>12</v>
      </c>
      <c r="V41" s="58">
        <v>3666.6666666666665</v>
      </c>
      <c r="W41" s="33">
        <v>60</v>
      </c>
    </row>
    <row r="42" spans="1:23" x14ac:dyDescent="0.25">
      <c r="A42" s="28">
        <v>45322</v>
      </c>
      <c r="B42" s="27" t="s">
        <v>446</v>
      </c>
      <c r="C42" s="27">
        <v>1</v>
      </c>
      <c r="D42" s="27" t="s">
        <v>59</v>
      </c>
      <c r="E42" s="27" t="s">
        <v>447</v>
      </c>
      <c r="F42" s="27">
        <v>1382949399</v>
      </c>
      <c r="G42" s="27">
        <v>2024</v>
      </c>
      <c r="H42" s="27">
        <v>2024</v>
      </c>
      <c r="I42" s="35"/>
      <c r="J42" s="33" t="s">
        <v>421</v>
      </c>
      <c r="K42" s="33" t="s">
        <v>422</v>
      </c>
      <c r="L42" s="33"/>
      <c r="M42" s="33" t="s">
        <v>87</v>
      </c>
      <c r="N42" s="33" t="s">
        <v>88</v>
      </c>
      <c r="O42" s="33" t="s">
        <v>89</v>
      </c>
      <c r="P42" s="33" t="s">
        <v>241</v>
      </c>
      <c r="Q42" s="33">
        <v>650</v>
      </c>
      <c r="R42" s="73">
        <v>530000</v>
      </c>
      <c r="S42" s="33">
        <v>0.2</v>
      </c>
      <c r="T42" s="33">
        <v>106000</v>
      </c>
      <c r="U42" s="33">
        <v>12</v>
      </c>
      <c r="V42" s="58">
        <v>8833.3333333333339</v>
      </c>
      <c r="W42" s="33">
        <v>60</v>
      </c>
    </row>
    <row r="43" spans="1:23" x14ac:dyDescent="0.25">
      <c r="A43" s="28">
        <v>45257</v>
      </c>
      <c r="B43" s="27" t="s">
        <v>401</v>
      </c>
      <c r="C43" s="27">
        <v>1</v>
      </c>
      <c r="D43" s="27" t="s">
        <v>59</v>
      </c>
      <c r="E43" s="27" t="s">
        <v>423</v>
      </c>
      <c r="F43" s="27" t="s">
        <v>424</v>
      </c>
      <c r="G43" s="27">
        <v>2023</v>
      </c>
      <c r="H43" s="27">
        <v>2024</v>
      </c>
      <c r="I43" s="35"/>
      <c r="J43" s="33" t="s">
        <v>85</v>
      </c>
      <c r="K43" s="33" t="s">
        <v>425</v>
      </c>
      <c r="L43" s="33"/>
      <c r="M43" s="33" t="s">
        <v>87</v>
      </c>
      <c r="N43" s="33" t="s">
        <v>88</v>
      </c>
      <c r="O43" s="33" t="s">
        <v>89</v>
      </c>
      <c r="P43" s="33" t="s">
        <v>241</v>
      </c>
      <c r="Q43" s="33"/>
      <c r="R43" s="73">
        <v>447900</v>
      </c>
      <c r="S43" s="33">
        <v>0.2</v>
      </c>
      <c r="T43" s="33">
        <v>89580</v>
      </c>
      <c r="U43" s="33">
        <v>12</v>
      </c>
      <c r="V43" s="58">
        <v>7465</v>
      </c>
      <c r="W43" s="33">
        <v>60</v>
      </c>
    </row>
    <row r="44" spans="1:23" x14ac:dyDescent="0.25">
      <c r="A44" s="28">
        <v>45257</v>
      </c>
      <c r="B44" s="27" t="s">
        <v>426</v>
      </c>
      <c r="C44" s="27">
        <v>1</v>
      </c>
      <c r="D44" s="27" t="s">
        <v>59</v>
      </c>
      <c r="E44" s="27" t="s">
        <v>427</v>
      </c>
      <c r="F44" s="27">
        <v>1379799489</v>
      </c>
      <c r="G44" s="27">
        <v>2023</v>
      </c>
      <c r="H44" s="27">
        <v>2024</v>
      </c>
      <c r="I44" s="35"/>
      <c r="J44" s="33" t="s">
        <v>123</v>
      </c>
      <c r="K44" s="33" t="s">
        <v>428</v>
      </c>
      <c r="L44" s="33"/>
      <c r="M44" s="33" t="s">
        <v>125</v>
      </c>
      <c r="N44" s="33" t="s">
        <v>88</v>
      </c>
      <c r="O44" s="33" t="s">
        <v>89</v>
      </c>
      <c r="P44" s="33" t="s">
        <v>241</v>
      </c>
      <c r="Q44" s="33"/>
      <c r="R44" s="73">
        <v>193970</v>
      </c>
      <c r="S44" s="33">
        <v>0.2</v>
      </c>
      <c r="T44" s="33">
        <v>38794</v>
      </c>
      <c r="U44" s="33">
        <v>12</v>
      </c>
      <c r="V44" s="58">
        <v>3232.8333333333335</v>
      </c>
      <c r="W44" s="33">
        <v>60</v>
      </c>
    </row>
    <row r="45" spans="1:23" x14ac:dyDescent="0.25">
      <c r="A45" s="28">
        <v>45303</v>
      </c>
      <c r="B45" s="27" t="s">
        <v>429</v>
      </c>
      <c r="C45" s="27">
        <v>1</v>
      </c>
      <c r="D45" s="27" t="s">
        <v>59</v>
      </c>
      <c r="I45" s="35"/>
      <c r="J45" s="33"/>
      <c r="K45" s="33"/>
      <c r="L45" s="33"/>
      <c r="M45" s="33"/>
      <c r="N45" s="33"/>
      <c r="O45" s="33"/>
      <c r="P45" s="33"/>
      <c r="Q45" s="33"/>
      <c r="R45" s="94">
        <v>172800</v>
      </c>
      <c r="S45" s="39">
        <v>0.2</v>
      </c>
      <c r="T45" s="40" t="e">
        <f>[2]!Tabela162[[#This Row],[VALOR DO VEÍCULO]]*[2]!Tabela162[[#This Row],[% DE DEPRECIAÇÃO]]</f>
        <v>#REF!</v>
      </c>
      <c r="U45" s="33">
        <v>12</v>
      </c>
      <c r="V45" s="58" t="str">
        <f>IFERROR((T45/U45),"")</f>
        <v/>
      </c>
      <c r="W45" s="33">
        <v>60</v>
      </c>
    </row>
    <row r="46" spans="1:23" x14ac:dyDescent="0.25">
      <c r="A46" s="28">
        <v>45356</v>
      </c>
      <c r="B46" s="27" t="s">
        <v>430</v>
      </c>
      <c r="C46" s="27">
        <v>1</v>
      </c>
      <c r="D46" s="27" t="s">
        <v>59</v>
      </c>
      <c r="E46" s="27" t="s">
        <v>431</v>
      </c>
      <c r="F46" s="27">
        <v>1376652592</v>
      </c>
      <c r="G46" s="27">
        <v>2024</v>
      </c>
      <c r="H46" s="27">
        <v>2024</v>
      </c>
      <c r="I46" s="35"/>
      <c r="J46" s="33" t="s">
        <v>160</v>
      </c>
      <c r="K46" s="33" t="s">
        <v>432</v>
      </c>
      <c r="L46" s="33"/>
      <c r="M46" s="33" t="s">
        <v>63</v>
      </c>
      <c r="N46" s="33" t="s">
        <v>169</v>
      </c>
      <c r="O46" s="33"/>
      <c r="P46" s="33"/>
      <c r="Q46" s="33"/>
      <c r="R46" s="94">
        <v>172900</v>
      </c>
      <c r="S46" s="39">
        <v>0.2</v>
      </c>
      <c r="T46" s="40" t="e">
        <f>[2]!Tabela162[[#This Row],[VALOR DO VEÍCULO]]*[2]!Tabela162[[#This Row],[% DE DEPRECIAÇÃO]]</f>
        <v>#REF!</v>
      </c>
      <c r="U46" s="33">
        <v>12</v>
      </c>
      <c r="V46" s="58" t="str">
        <f>IFERROR((T46/U46),"")</f>
        <v/>
      </c>
      <c r="W46" s="33">
        <v>60</v>
      </c>
    </row>
    <row r="47" spans="1:23" x14ac:dyDescent="0.25">
      <c r="A47" s="28">
        <v>45329</v>
      </c>
      <c r="B47" s="27" t="s">
        <v>433</v>
      </c>
      <c r="C47" s="27">
        <v>1</v>
      </c>
      <c r="D47" s="27" t="s">
        <v>59</v>
      </c>
      <c r="E47" s="27">
        <v>20240049</v>
      </c>
      <c r="G47" s="27">
        <v>2024</v>
      </c>
      <c r="H47" s="27">
        <v>2024</v>
      </c>
      <c r="I47" s="35"/>
      <c r="J47" s="33" t="s">
        <v>434</v>
      </c>
      <c r="K47" s="33" t="s">
        <v>435</v>
      </c>
      <c r="L47" s="33"/>
      <c r="M47" s="33" t="s">
        <v>436</v>
      </c>
      <c r="N47" s="33"/>
      <c r="O47" s="33" t="s">
        <v>437</v>
      </c>
      <c r="P47" s="33"/>
      <c r="Q47" s="33"/>
      <c r="R47" s="94">
        <v>67000</v>
      </c>
      <c r="S47" s="39">
        <v>0.2</v>
      </c>
      <c r="T47" s="40" t="e">
        <f>[2]!Tabela162[[#This Row],[VALOR DO VEÍCULO]]*[2]!Tabela162[[#This Row],[% DE DEPRECIAÇÃO]]</f>
        <v>#REF!</v>
      </c>
      <c r="U47" s="33">
        <v>12</v>
      </c>
      <c r="V47" s="58" t="str">
        <f>IFERROR((T47/U47),"")</f>
        <v/>
      </c>
      <c r="W47" s="33">
        <v>60</v>
      </c>
    </row>
    <row r="48" spans="1:23" x14ac:dyDescent="0.25">
      <c r="A48" s="28"/>
      <c r="I48" s="35"/>
      <c r="J48" s="33"/>
      <c r="K48" s="33"/>
      <c r="L48" s="33"/>
      <c r="M48" s="33"/>
      <c r="N48" s="33"/>
      <c r="O48" s="33"/>
      <c r="P48" s="33"/>
      <c r="Q48" s="33"/>
      <c r="R48" s="73"/>
      <c r="S48" s="33"/>
      <c r="T48" s="33"/>
      <c r="U48" s="33"/>
      <c r="V48" s="58" t="str">
        <f>IFERROR((T48/U48),"")</f>
        <v/>
      </c>
      <c r="W48" s="33"/>
    </row>
    <row r="49" spans="1:23" x14ac:dyDescent="0.25">
      <c r="A49" s="28"/>
      <c r="I49" s="35"/>
      <c r="J49" s="33"/>
      <c r="K49" s="33"/>
      <c r="L49" s="33"/>
      <c r="M49" s="33"/>
      <c r="N49" s="33"/>
      <c r="O49" s="33"/>
      <c r="P49" s="33"/>
      <c r="Q49" s="33"/>
      <c r="R49" s="73"/>
      <c r="S49" s="33"/>
      <c r="T49" s="33"/>
      <c r="U49" s="33"/>
      <c r="V49" s="58" t="str">
        <f>IFERROR((T49/U49),"")</f>
        <v/>
      </c>
      <c r="W49" s="33"/>
    </row>
    <row r="50" spans="1:23" ht="19.5" x14ac:dyDescent="0.25">
      <c r="A50" s="28">
        <v>44928</v>
      </c>
      <c r="B50" s="57" t="s">
        <v>215</v>
      </c>
      <c r="C50" s="27">
        <v>1</v>
      </c>
      <c r="D50" s="27" t="s">
        <v>59</v>
      </c>
      <c r="I50" s="35"/>
      <c r="J50" s="33"/>
      <c r="K50" s="33"/>
      <c r="L50" s="33"/>
      <c r="M50" s="33"/>
      <c r="N50" s="33"/>
      <c r="O50" s="33" t="s">
        <v>238</v>
      </c>
      <c r="P50" s="33"/>
      <c r="Q50" s="33"/>
      <c r="R50" s="73"/>
      <c r="S50" s="33"/>
      <c r="T50" s="33"/>
      <c r="U50" s="33"/>
      <c r="V50" s="58" t="str">
        <f t="shared" si="1"/>
        <v/>
      </c>
      <c r="W50" s="33"/>
    </row>
    <row r="51" spans="1:23" ht="19.5" x14ac:dyDescent="0.25">
      <c r="A51" s="28">
        <v>44562</v>
      </c>
      <c r="B51" s="55" t="s">
        <v>66</v>
      </c>
      <c r="C51" s="27">
        <v>1</v>
      </c>
      <c r="D51" s="27" t="s">
        <v>59</v>
      </c>
      <c r="E51" s="27" t="s">
        <v>164</v>
      </c>
      <c r="F51" s="27">
        <v>349602140</v>
      </c>
      <c r="G51" s="27">
        <v>2011</v>
      </c>
      <c r="H51" s="27">
        <v>2012</v>
      </c>
      <c r="I51" s="35">
        <v>31000</v>
      </c>
      <c r="J51" s="33" t="s">
        <v>160</v>
      </c>
      <c r="K51" s="33" t="s">
        <v>165</v>
      </c>
      <c r="L51" s="33"/>
      <c r="M51" s="33" t="s">
        <v>63</v>
      </c>
      <c r="N51" s="33" t="s">
        <v>166</v>
      </c>
      <c r="O51" s="33"/>
      <c r="P51" s="33"/>
      <c r="Q51" s="27">
        <v>0</v>
      </c>
      <c r="R51" s="40">
        <v>168985</v>
      </c>
      <c r="S51" s="39">
        <v>0.2</v>
      </c>
      <c r="T51" s="40">
        <v>33797</v>
      </c>
      <c r="U51" s="33">
        <v>19</v>
      </c>
      <c r="V51" s="58">
        <v>1778.7894736842106</v>
      </c>
      <c r="W51" s="33">
        <v>60</v>
      </c>
    </row>
    <row r="52" spans="1:23" ht="19.5" x14ac:dyDescent="0.25">
      <c r="A52" s="28">
        <v>44682</v>
      </c>
      <c r="B52" s="55" t="s">
        <v>65</v>
      </c>
      <c r="C52" s="27">
        <v>1</v>
      </c>
      <c r="D52" s="27" t="s">
        <v>59</v>
      </c>
      <c r="E52" s="27" t="s">
        <v>162</v>
      </c>
      <c r="F52" s="27">
        <v>776598732</v>
      </c>
      <c r="G52" s="27">
        <v>2002</v>
      </c>
      <c r="H52" s="27">
        <v>2002</v>
      </c>
      <c r="I52" s="35">
        <v>31000</v>
      </c>
      <c r="J52" s="33" t="s">
        <v>160</v>
      </c>
      <c r="K52" s="33" t="s">
        <v>163</v>
      </c>
      <c r="L52" s="33"/>
      <c r="M52" s="33" t="s">
        <v>63</v>
      </c>
      <c r="N52" s="33" t="s">
        <v>91</v>
      </c>
      <c r="O52" s="33"/>
      <c r="P52" s="33"/>
      <c r="Q52" s="27">
        <v>0</v>
      </c>
      <c r="R52" s="33"/>
      <c r="S52" s="33"/>
      <c r="T52" s="33"/>
      <c r="U52" s="33"/>
      <c r="V52" s="58" t="s">
        <v>287</v>
      </c>
      <c r="W52" s="33"/>
    </row>
    <row r="53" spans="1:23" ht="19.5" x14ac:dyDescent="0.25">
      <c r="A53" s="28">
        <v>44866</v>
      </c>
      <c r="B53" s="55" t="s">
        <v>62</v>
      </c>
      <c r="C53" s="27">
        <v>1</v>
      </c>
      <c r="D53" s="27" t="s">
        <v>59</v>
      </c>
      <c r="E53" s="27" t="s">
        <v>159</v>
      </c>
      <c r="F53" s="27">
        <v>818351632</v>
      </c>
      <c r="G53" s="27">
        <v>2003</v>
      </c>
      <c r="H53" s="27">
        <v>2004</v>
      </c>
      <c r="I53" s="35">
        <v>31000</v>
      </c>
      <c r="J53" s="33" t="s">
        <v>160</v>
      </c>
      <c r="K53" s="33" t="s">
        <v>161</v>
      </c>
      <c r="L53" s="33"/>
      <c r="M53" s="33" t="s">
        <v>63</v>
      </c>
      <c r="N53" s="33" t="s">
        <v>88</v>
      </c>
      <c r="O53" s="33"/>
      <c r="P53" s="33"/>
      <c r="Q53" s="27">
        <v>0</v>
      </c>
      <c r="R53" s="33"/>
      <c r="S53" s="33"/>
      <c r="T53" s="33"/>
      <c r="U53" s="33"/>
      <c r="V53" s="58" t="s">
        <v>287</v>
      </c>
      <c r="W53" s="33"/>
    </row>
    <row r="54" spans="1:23" ht="19.5" x14ac:dyDescent="0.25">
      <c r="A54" s="28">
        <v>44896</v>
      </c>
      <c r="B54" s="55" t="s">
        <v>69</v>
      </c>
      <c r="C54" s="27">
        <v>1</v>
      </c>
      <c r="D54" s="27" t="s">
        <v>59</v>
      </c>
      <c r="E54" s="27" t="s">
        <v>167</v>
      </c>
      <c r="F54" s="27">
        <v>1024715180</v>
      </c>
      <c r="G54" s="27">
        <v>2014</v>
      </c>
      <c r="H54" s="27">
        <v>2015</v>
      </c>
      <c r="I54" s="35">
        <v>31000</v>
      </c>
      <c r="J54" s="33" t="s">
        <v>160</v>
      </c>
      <c r="K54" s="33" t="s">
        <v>168</v>
      </c>
      <c r="L54" s="33"/>
      <c r="M54" s="33" t="s">
        <v>63</v>
      </c>
      <c r="N54" s="33" t="s">
        <v>169</v>
      </c>
      <c r="O54" s="33"/>
      <c r="P54" s="33"/>
      <c r="Q54" s="27">
        <v>0</v>
      </c>
      <c r="R54" s="33"/>
      <c r="S54" s="33"/>
      <c r="T54" s="33"/>
      <c r="U54" s="33"/>
      <c r="V54" s="58" t="s">
        <v>287</v>
      </c>
      <c r="W54" s="33"/>
    </row>
    <row r="55" spans="1:23" ht="19.5" x14ac:dyDescent="0.25">
      <c r="A55" s="28">
        <v>44896</v>
      </c>
      <c r="B55" s="55" t="s">
        <v>170</v>
      </c>
      <c r="C55" s="27">
        <v>1</v>
      </c>
      <c r="D55" s="27" t="s">
        <v>59</v>
      </c>
      <c r="E55" s="27" t="s">
        <v>171</v>
      </c>
      <c r="F55" s="27">
        <v>828423555</v>
      </c>
      <c r="G55" s="27">
        <v>2004</v>
      </c>
      <c r="H55" s="27">
        <v>2004</v>
      </c>
      <c r="I55" s="35">
        <v>31000</v>
      </c>
      <c r="J55" s="33" t="s">
        <v>172</v>
      </c>
      <c r="K55" s="33" t="s">
        <v>173</v>
      </c>
      <c r="L55" s="33"/>
      <c r="M55" s="33" t="s">
        <v>63</v>
      </c>
      <c r="N55" s="33" t="s">
        <v>88</v>
      </c>
      <c r="O55" s="33"/>
      <c r="P55" s="33"/>
      <c r="Q55" s="27">
        <v>0</v>
      </c>
      <c r="R55" s="33"/>
      <c r="S55" s="33"/>
      <c r="T55" s="33"/>
      <c r="U55" s="33"/>
      <c r="V55" s="58" t="s">
        <v>287</v>
      </c>
      <c r="W55" s="33"/>
    </row>
    <row r="56" spans="1:23" ht="19.5" x14ac:dyDescent="0.25">
      <c r="A56" s="28">
        <v>44927</v>
      </c>
      <c r="B56" s="55" t="s">
        <v>174</v>
      </c>
      <c r="C56" s="27">
        <v>1</v>
      </c>
      <c r="D56" s="27" t="s">
        <v>59</v>
      </c>
      <c r="E56" s="27" t="s">
        <v>175</v>
      </c>
      <c r="F56" s="27">
        <v>907485693</v>
      </c>
      <c r="G56" s="27">
        <v>2007</v>
      </c>
      <c r="H56" s="27">
        <v>2007</v>
      </c>
      <c r="I56" s="35">
        <v>31000</v>
      </c>
      <c r="J56" s="33" t="s">
        <v>176</v>
      </c>
      <c r="K56" s="33" t="s">
        <v>177</v>
      </c>
      <c r="L56" s="33"/>
      <c r="M56" s="33" t="s">
        <v>63</v>
      </c>
      <c r="N56" s="33" t="s">
        <v>146</v>
      </c>
      <c r="O56" s="33"/>
      <c r="P56" s="33"/>
      <c r="Q56" s="27">
        <v>0</v>
      </c>
      <c r="R56" s="33"/>
      <c r="S56" s="33"/>
      <c r="T56" s="33"/>
      <c r="U56" s="33"/>
      <c r="V56" s="58" t="s">
        <v>287</v>
      </c>
      <c r="W56" s="33"/>
    </row>
    <row r="57" spans="1:23" ht="19.5" x14ac:dyDescent="0.25">
      <c r="A57" s="28">
        <v>43466</v>
      </c>
      <c r="B57" s="56" t="s">
        <v>204</v>
      </c>
      <c r="C57" s="27">
        <v>1</v>
      </c>
      <c r="D57" s="27" t="s">
        <v>214</v>
      </c>
      <c r="I57" s="35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58" t="str">
        <f t="shared" ref="V57:V62" si="2">IFERROR((T57/U57),"")</f>
        <v/>
      </c>
      <c r="W57" s="33"/>
    </row>
    <row r="58" spans="1:23" ht="19.5" x14ac:dyDescent="0.25">
      <c r="A58" s="28">
        <v>43466</v>
      </c>
      <c r="B58" s="56" t="s">
        <v>205</v>
      </c>
      <c r="C58" s="27">
        <v>1</v>
      </c>
      <c r="D58" s="27" t="s">
        <v>214</v>
      </c>
      <c r="I58" s="35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58" t="str">
        <f t="shared" si="2"/>
        <v/>
      </c>
      <c r="W58" s="33"/>
    </row>
    <row r="59" spans="1:23" ht="19.5" x14ac:dyDescent="0.25">
      <c r="A59" s="28">
        <v>43467</v>
      </c>
      <c r="B59" s="56" t="s">
        <v>216</v>
      </c>
      <c r="C59" s="27">
        <v>1</v>
      </c>
      <c r="D59" s="27" t="s">
        <v>214</v>
      </c>
      <c r="I59" s="35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58" t="str">
        <f t="shared" si="2"/>
        <v/>
      </c>
      <c r="W59" s="33"/>
    </row>
    <row r="60" spans="1:23" ht="19.5" x14ac:dyDescent="0.25">
      <c r="A60" s="28">
        <v>43468</v>
      </c>
      <c r="B60" s="56" t="s">
        <v>217</v>
      </c>
      <c r="C60" s="27">
        <v>1</v>
      </c>
      <c r="D60" s="27" t="s">
        <v>214</v>
      </c>
      <c r="I60" s="35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58" t="str">
        <f t="shared" si="2"/>
        <v/>
      </c>
      <c r="W60" s="33"/>
    </row>
    <row r="61" spans="1:23" ht="19.5" x14ac:dyDescent="0.25">
      <c r="A61" s="28">
        <v>43469</v>
      </c>
      <c r="B61" s="56" t="s">
        <v>223</v>
      </c>
      <c r="D61" s="27" t="s">
        <v>214</v>
      </c>
      <c r="I61" s="35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58" t="str">
        <f t="shared" si="2"/>
        <v/>
      </c>
      <c r="W61" s="33"/>
    </row>
    <row r="62" spans="1:23" x14ac:dyDescent="0.25">
      <c r="A62" s="28">
        <v>45124</v>
      </c>
      <c r="B62" s="27" t="s">
        <v>301</v>
      </c>
      <c r="C62" s="27">
        <v>1</v>
      </c>
      <c r="D62" s="27" t="s">
        <v>59</v>
      </c>
      <c r="E62" s="27" t="s">
        <v>302</v>
      </c>
      <c r="F62" s="27">
        <v>543737195</v>
      </c>
      <c r="G62" s="27">
        <v>2013</v>
      </c>
      <c r="H62" s="27">
        <v>2013</v>
      </c>
      <c r="I62" s="35"/>
      <c r="J62" s="33" t="s">
        <v>303</v>
      </c>
      <c r="K62" s="33" t="s">
        <v>304</v>
      </c>
      <c r="L62" s="33"/>
      <c r="M62" s="33" t="s">
        <v>143</v>
      </c>
      <c r="N62" s="33" t="s">
        <v>102</v>
      </c>
      <c r="O62" s="33" t="s">
        <v>89</v>
      </c>
      <c r="P62" s="33" t="s">
        <v>241</v>
      </c>
      <c r="Q62" s="33"/>
      <c r="R62" s="73">
        <v>275000</v>
      </c>
      <c r="S62" s="33"/>
      <c r="T62" s="33"/>
      <c r="U62" s="33"/>
      <c r="V62" s="58" t="str">
        <f t="shared" si="2"/>
        <v/>
      </c>
      <c r="W62" s="33"/>
    </row>
    <row r="63" spans="1:23" x14ac:dyDescent="0.25">
      <c r="A63" s="28">
        <v>45139</v>
      </c>
      <c r="B63" s="27" t="s">
        <v>315</v>
      </c>
      <c r="I63" s="35"/>
      <c r="J63" s="33"/>
      <c r="K63" s="33"/>
      <c r="L63" s="33"/>
      <c r="M63" s="33" t="s">
        <v>125</v>
      </c>
      <c r="N63" s="33" t="s">
        <v>316</v>
      </c>
      <c r="O63" s="33" t="s">
        <v>89</v>
      </c>
      <c r="P63" s="33" t="s">
        <v>241</v>
      </c>
      <c r="Q63" s="33"/>
      <c r="R63" s="33"/>
      <c r="S63" s="33"/>
      <c r="T63" s="33"/>
      <c r="U63" s="33"/>
      <c r="V63" s="58" t="str">
        <f t="shared" ref="V63:V68" si="3">IFERROR((T63/U63),"")</f>
        <v/>
      </c>
      <c r="W63" s="33"/>
    </row>
    <row r="64" spans="1:23" x14ac:dyDescent="0.25">
      <c r="A64" s="28">
        <v>45519</v>
      </c>
      <c r="B64" s="27" t="s">
        <v>564</v>
      </c>
      <c r="C64" s="27">
        <v>1</v>
      </c>
      <c r="D64" s="27" t="s">
        <v>59</v>
      </c>
      <c r="E64" s="27" t="s">
        <v>565</v>
      </c>
      <c r="F64" s="27">
        <v>1402372997</v>
      </c>
      <c r="G64" s="27">
        <v>2024</v>
      </c>
      <c r="H64" s="27">
        <v>2025</v>
      </c>
      <c r="I64" s="35"/>
      <c r="J64" s="33" t="s">
        <v>95</v>
      </c>
      <c r="K64" s="33" t="s">
        <v>566</v>
      </c>
      <c r="L64" s="33"/>
      <c r="M64" s="33" t="s">
        <v>143</v>
      </c>
      <c r="N64" s="33" t="s">
        <v>316</v>
      </c>
      <c r="O64" s="33" t="s">
        <v>89</v>
      </c>
      <c r="P64" s="33" t="s">
        <v>241</v>
      </c>
      <c r="Q64" s="33"/>
      <c r="R64" s="33"/>
      <c r="S64" s="33"/>
      <c r="T64" s="33"/>
      <c r="U64" s="33"/>
      <c r="V64" s="58" t="str">
        <f t="shared" si="3"/>
        <v/>
      </c>
      <c r="W64" s="33"/>
    </row>
    <row r="65" spans="1:23" x14ac:dyDescent="0.25">
      <c r="A65" s="28">
        <v>45582</v>
      </c>
      <c r="B65" s="27" t="s">
        <v>567</v>
      </c>
      <c r="C65" s="27">
        <v>1</v>
      </c>
      <c r="D65" s="27" t="s">
        <v>59</v>
      </c>
      <c r="E65" s="27" t="s">
        <v>568</v>
      </c>
      <c r="F65" s="27">
        <v>1406650576</v>
      </c>
      <c r="G65" s="27">
        <v>2024</v>
      </c>
      <c r="H65" s="27">
        <v>2025</v>
      </c>
      <c r="I65" s="35"/>
      <c r="J65" s="33" t="s">
        <v>95</v>
      </c>
      <c r="K65" s="33" t="s">
        <v>566</v>
      </c>
      <c r="L65" s="33"/>
      <c r="M65" s="33" t="s">
        <v>143</v>
      </c>
      <c r="N65" s="33" t="s">
        <v>146</v>
      </c>
      <c r="O65" s="33" t="s">
        <v>89</v>
      </c>
      <c r="P65" s="33" t="s">
        <v>241</v>
      </c>
      <c r="Q65" s="33"/>
      <c r="R65" s="33"/>
      <c r="S65" s="33"/>
      <c r="T65" s="33"/>
      <c r="U65" s="33"/>
      <c r="V65" s="58" t="str">
        <f t="shared" si="3"/>
        <v/>
      </c>
      <c r="W65" s="33"/>
    </row>
    <row r="66" spans="1:23" x14ac:dyDescent="0.25">
      <c r="A66" s="28">
        <v>45608</v>
      </c>
      <c r="B66" s="27" t="s">
        <v>569</v>
      </c>
      <c r="C66" s="27">
        <v>1</v>
      </c>
      <c r="D66" s="27" t="s">
        <v>59</v>
      </c>
      <c r="E66" s="27" t="s">
        <v>570</v>
      </c>
      <c r="F66" s="27">
        <v>1409993318</v>
      </c>
      <c r="G66" s="27">
        <v>2024</v>
      </c>
      <c r="H66" s="27">
        <v>2024</v>
      </c>
      <c r="I66" s="35"/>
      <c r="J66" s="33" t="s">
        <v>421</v>
      </c>
      <c r="K66" s="33" t="s">
        <v>571</v>
      </c>
      <c r="L66" s="33"/>
      <c r="M66" s="33" t="s">
        <v>87</v>
      </c>
      <c r="N66" s="33" t="s">
        <v>102</v>
      </c>
      <c r="O66" s="33" t="s">
        <v>89</v>
      </c>
      <c r="P66" s="33" t="s">
        <v>241</v>
      </c>
      <c r="Q66" s="33"/>
      <c r="R66" s="33"/>
      <c r="S66" s="33"/>
      <c r="T66" s="33"/>
      <c r="U66" s="33"/>
      <c r="V66" s="58" t="str">
        <f t="shared" si="3"/>
        <v/>
      </c>
      <c r="W66" s="33"/>
    </row>
    <row r="67" spans="1:23" x14ac:dyDescent="0.3">
      <c r="A67" s="28">
        <v>45694</v>
      </c>
      <c r="B67" s="27" t="s">
        <v>615</v>
      </c>
      <c r="C67" s="27">
        <v>1</v>
      </c>
      <c r="D67" s="27" t="s">
        <v>59</v>
      </c>
      <c r="E67" s="122" t="s">
        <v>616</v>
      </c>
      <c r="F67" s="122">
        <v>1425102554</v>
      </c>
      <c r="G67" s="27">
        <v>2024</v>
      </c>
      <c r="H67" s="27">
        <v>2025</v>
      </c>
      <c r="I67" s="35"/>
      <c r="J67" s="33" t="s">
        <v>95</v>
      </c>
      <c r="K67" s="123" t="s">
        <v>566</v>
      </c>
      <c r="L67" s="33"/>
      <c r="M67" s="33" t="s">
        <v>143</v>
      </c>
      <c r="N67" s="33" t="s">
        <v>617</v>
      </c>
      <c r="O67" s="33" t="s">
        <v>89</v>
      </c>
      <c r="P67" s="33" t="s">
        <v>241</v>
      </c>
      <c r="Q67" s="33"/>
      <c r="R67" s="33"/>
      <c r="S67" s="33"/>
      <c r="T67" s="33"/>
      <c r="U67" s="33"/>
      <c r="V67" s="58" t="str">
        <f t="shared" si="3"/>
        <v/>
      </c>
      <c r="W67" s="33"/>
    </row>
    <row r="68" spans="1:23" x14ac:dyDescent="0.3">
      <c r="A68" s="28">
        <v>45692</v>
      </c>
      <c r="B68" s="27" t="s">
        <v>681</v>
      </c>
      <c r="C68" s="27">
        <v>1</v>
      </c>
      <c r="D68" s="27" t="s">
        <v>59</v>
      </c>
      <c r="E68" s="27" t="s">
        <v>682</v>
      </c>
      <c r="F68" s="122">
        <v>1434620074</v>
      </c>
      <c r="G68" s="27">
        <v>2024</v>
      </c>
      <c r="H68" s="27">
        <v>2025</v>
      </c>
      <c r="I68" s="35"/>
      <c r="J68" s="33" t="s">
        <v>421</v>
      </c>
      <c r="K68" s="123" t="s">
        <v>571</v>
      </c>
      <c r="L68" s="33"/>
      <c r="M68" s="33" t="s">
        <v>87</v>
      </c>
      <c r="N68" s="33" t="s">
        <v>102</v>
      </c>
      <c r="O68" s="33" t="s">
        <v>89</v>
      </c>
      <c r="P68" s="33" t="s">
        <v>241</v>
      </c>
      <c r="Q68" s="33"/>
      <c r="R68" s="33"/>
      <c r="S68" s="33"/>
      <c r="T68" s="33"/>
      <c r="U68" s="33"/>
      <c r="V68" s="58" t="str">
        <f t="shared" si="3"/>
        <v/>
      </c>
      <c r="W68" s="33"/>
    </row>
    <row r="69" spans="1:23" x14ac:dyDescent="0.25">
      <c r="A69" s="28">
        <v>45689</v>
      </c>
      <c r="B69" s="125" t="s">
        <v>694</v>
      </c>
      <c r="C69" s="27">
        <v>1</v>
      </c>
      <c r="D69" s="27" t="s">
        <v>59</v>
      </c>
      <c r="E69" s="27" t="s">
        <v>695</v>
      </c>
      <c r="F69" s="126">
        <v>1048674140</v>
      </c>
      <c r="G69" s="127">
        <v>2015</v>
      </c>
      <c r="H69" s="127">
        <v>2015</v>
      </c>
      <c r="I69" s="35"/>
      <c r="J69" s="128" t="s">
        <v>696</v>
      </c>
      <c r="K69" s="128" t="s">
        <v>697</v>
      </c>
      <c r="L69" s="128"/>
      <c r="M69" s="128" t="s">
        <v>218</v>
      </c>
      <c r="N69" s="128" t="s">
        <v>91</v>
      </c>
      <c r="O69" s="128" t="s">
        <v>244</v>
      </c>
      <c r="P69" s="33"/>
      <c r="Q69" s="128"/>
      <c r="R69" s="128"/>
      <c r="S69" s="128"/>
      <c r="T69" s="128"/>
      <c r="U69" s="128"/>
      <c r="V69" s="58" t="str">
        <f>IFERROR((T69/U69),"")</f>
        <v/>
      </c>
      <c r="W69" s="128"/>
    </row>
    <row r="70" spans="1:23" x14ac:dyDescent="0.25">
      <c r="A70"/>
      <c r="B70"/>
      <c r="C70"/>
      <c r="D70"/>
      <c r="E70"/>
      <c r="F70"/>
      <c r="G70"/>
      <c r="H70"/>
    </row>
  </sheetData>
  <phoneticPr fontId="30" type="noConversion"/>
  <dataValidations count="1">
    <dataValidation type="list" allowBlank="1" showInputMessage="1" showErrorMessage="1" sqref="B57:B58" xr:uid="{496D3964-9EF9-4E49-A3FB-AFA5DACC43AF}">
      <formula1>$B$2:$B$72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  <legacy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E523-CD39-4274-95C5-43A4B1979289}">
  <sheetPr codeName="Planilha5"/>
  <dimension ref="A1:F13"/>
  <sheetViews>
    <sheetView showGridLines="0"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ColWidth="8.85546875" defaultRowHeight="18.75" x14ac:dyDescent="0.25"/>
  <cols>
    <col min="1" max="1" width="27.42578125" style="27" customWidth="1"/>
    <col min="2" max="2" width="26.42578125" style="27" bestFit="1" customWidth="1"/>
    <col min="3" max="3" width="43.5703125" style="27" bestFit="1" customWidth="1"/>
    <col min="4" max="4" width="8.85546875" style="27"/>
    <col min="5" max="5" width="26.42578125" style="27" bestFit="1" customWidth="1"/>
    <col min="6" max="6" width="12.140625" style="27" bestFit="1" customWidth="1"/>
    <col min="7" max="16384" width="8.85546875" style="27"/>
  </cols>
  <sheetData>
    <row r="1" spans="1:6" ht="25.15" customHeight="1" thickBot="1" x14ac:dyDescent="0.3">
      <c r="A1" s="26" t="s">
        <v>184</v>
      </c>
      <c r="B1" s="26" t="s">
        <v>185</v>
      </c>
      <c r="C1" s="26" t="s">
        <v>186</v>
      </c>
      <c r="E1" s="27" t="s">
        <v>45</v>
      </c>
      <c r="F1" s="36" t="s">
        <v>199</v>
      </c>
    </row>
    <row r="2" spans="1:6" ht="19.5" thickTop="1" x14ac:dyDescent="0.25">
      <c r="A2" s="27" t="s">
        <v>187</v>
      </c>
      <c r="B2" s="27">
        <v>1</v>
      </c>
      <c r="C2" s="30">
        <v>2.8</v>
      </c>
      <c r="E2" s="27" t="s">
        <v>6</v>
      </c>
      <c r="F2" s="37">
        <v>0.55000000000000004</v>
      </c>
    </row>
    <row r="3" spans="1:6" x14ac:dyDescent="0.25">
      <c r="A3" s="27" t="s">
        <v>188</v>
      </c>
      <c r="B3" s="27">
        <v>2</v>
      </c>
      <c r="C3" s="30">
        <v>2.8</v>
      </c>
      <c r="E3" s="27" t="s">
        <v>7</v>
      </c>
      <c r="F3" s="38">
        <f>100%-F2</f>
        <v>0.44999999999999996</v>
      </c>
    </row>
    <row r="4" spans="1:6" x14ac:dyDescent="0.25">
      <c r="A4" s="27" t="s">
        <v>189</v>
      </c>
      <c r="B4" s="27">
        <v>3</v>
      </c>
      <c r="C4" s="30">
        <v>2.8</v>
      </c>
    </row>
    <row r="5" spans="1:6" x14ac:dyDescent="0.25">
      <c r="A5" s="27" t="s">
        <v>190</v>
      </c>
      <c r="B5" s="27">
        <v>4</v>
      </c>
      <c r="C5" s="30">
        <v>2.8</v>
      </c>
    </row>
    <row r="6" spans="1:6" x14ac:dyDescent="0.25">
      <c r="A6" s="27" t="s">
        <v>191</v>
      </c>
      <c r="B6" s="27">
        <v>5</v>
      </c>
      <c r="C6" s="30">
        <v>2.8</v>
      </c>
    </row>
    <row r="7" spans="1:6" x14ac:dyDescent="0.25">
      <c r="A7" s="27" t="s">
        <v>192</v>
      </c>
      <c r="B7" s="27">
        <v>6</v>
      </c>
      <c r="C7" s="30">
        <v>2.8</v>
      </c>
    </row>
    <row r="8" spans="1:6" x14ac:dyDescent="0.25">
      <c r="A8" s="27" t="s">
        <v>193</v>
      </c>
      <c r="B8" s="27">
        <v>7</v>
      </c>
      <c r="C8" s="30">
        <v>2.8</v>
      </c>
    </row>
    <row r="9" spans="1:6" x14ac:dyDescent="0.25">
      <c r="A9" s="27" t="s">
        <v>194</v>
      </c>
      <c r="B9" s="27">
        <v>8</v>
      </c>
      <c r="C9" s="30">
        <v>2.8</v>
      </c>
    </row>
    <row r="10" spans="1:6" x14ac:dyDescent="0.25">
      <c r="A10" s="27" t="s">
        <v>195</v>
      </c>
      <c r="B10" s="27">
        <v>9</v>
      </c>
      <c r="C10" s="30">
        <v>2.8</v>
      </c>
    </row>
    <row r="11" spans="1:6" x14ac:dyDescent="0.25">
      <c r="A11" s="27" t="s">
        <v>196</v>
      </c>
      <c r="B11" s="27">
        <v>10</v>
      </c>
      <c r="C11" s="30">
        <v>2.8</v>
      </c>
    </row>
    <row r="12" spans="1:6" x14ac:dyDescent="0.25">
      <c r="A12" s="27" t="s">
        <v>197</v>
      </c>
      <c r="B12" s="27">
        <v>11</v>
      </c>
      <c r="C12" s="30">
        <v>2.8</v>
      </c>
    </row>
    <row r="13" spans="1:6" x14ac:dyDescent="0.25">
      <c r="A13" s="27" t="s">
        <v>198</v>
      </c>
      <c r="B13" s="27">
        <v>12</v>
      </c>
      <c r="C13" s="30">
        <v>2.8</v>
      </c>
    </row>
  </sheetData>
  <phoneticPr fontId="30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  <ignoredErrors>
    <ignoredError sqref="F2" calculatedColumn="1"/>
  </ignoredErrors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2C477-0419-4BB6-B625-6996DEC5360A}">
  <sheetPr codeName="Planilha6"/>
  <dimension ref="A1:K239"/>
  <sheetViews>
    <sheetView showGridLines="0" topLeftCell="B226" zoomScale="115" zoomScaleNormal="115" workbookViewId="0">
      <selection activeCell="F239" sqref="F239"/>
    </sheetView>
  </sheetViews>
  <sheetFormatPr defaultColWidth="8.85546875" defaultRowHeight="18.75" x14ac:dyDescent="0.25"/>
  <cols>
    <col min="1" max="1" width="39.42578125" style="27" bestFit="1" customWidth="1"/>
    <col min="2" max="2" width="37.42578125" style="27" bestFit="1" customWidth="1"/>
    <col min="3" max="3" width="27.5703125" style="27" bestFit="1" customWidth="1"/>
    <col min="4" max="5" width="8.85546875" style="27"/>
    <col min="6" max="6" width="47.42578125" style="27" bestFit="1" customWidth="1"/>
    <col min="7" max="7" width="9.140625"/>
    <col min="8" max="8" width="8.85546875" style="27"/>
    <col min="9" max="9" width="47.42578125" style="27" bestFit="1" customWidth="1"/>
    <col min="10" max="10" width="8.85546875" style="27"/>
    <col min="11" max="11" width="55.5703125" style="27" customWidth="1"/>
    <col min="12" max="16384" width="8.85546875" style="27"/>
  </cols>
  <sheetData>
    <row r="1" spans="1:11" ht="25.15" customHeight="1" thickBot="1" x14ac:dyDescent="0.3">
      <c r="A1" s="26" t="s">
        <v>44</v>
      </c>
      <c r="B1" s="26" t="s">
        <v>46</v>
      </c>
      <c r="C1" s="26" t="s">
        <v>45</v>
      </c>
      <c r="F1" s="27" t="s">
        <v>236</v>
      </c>
      <c r="I1" s="61" t="s">
        <v>242</v>
      </c>
      <c r="K1" s="27" t="s">
        <v>236</v>
      </c>
    </row>
    <row r="2" spans="1:11" ht="19.5" thickTop="1" x14ac:dyDescent="0.25">
      <c r="A2" s="27" t="s">
        <v>200</v>
      </c>
      <c r="B2" s="27" t="s">
        <v>56</v>
      </c>
      <c r="C2" s="27" t="s">
        <v>6</v>
      </c>
      <c r="F2" s="27" t="s">
        <v>268</v>
      </c>
      <c r="I2" s="59" t="s">
        <v>89</v>
      </c>
    </row>
    <row r="3" spans="1:11" x14ac:dyDescent="0.25">
      <c r="A3" s="27" t="s">
        <v>179</v>
      </c>
      <c r="B3" s="27" t="s">
        <v>182</v>
      </c>
      <c r="C3" s="27" t="s">
        <v>7</v>
      </c>
      <c r="F3" s="27" t="s">
        <v>269</v>
      </c>
      <c r="I3" s="60" t="s">
        <v>238</v>
      </c>
    </row>
    <row r="4" spans="1:11" x14ac:dyDescent="0.25">
      <c r="A4" s="27" t="s">
        <v>34</v>
      </c>
      <c r="B4" s="27" t="s">
        <v>55</v>
      </c>
      <c r="C4" s="27" t="s">
        <v>51</v>
      </c>
      <c r="F4" s="27" t="s">
        <v>270</v>
      </c>
      <c r="I4" s="59" t="s">
        <v>241</v>
      </c>
    </row>
    <row r="5" spans="1:11" x14ac:dyDescent="0.25">
      <c r="A5" s="27" t="s">
        <v>36</v>
      </c>
      <c r="B5" s="27" t="s">
        <v>183</v>
      </c>
      <c r="F5" s="27" t="s">
        <v>271</v>
      </c>
      <c r="I5" s="27" t="s">
        <v>245</v>
      </c>
    </row>
    <row r="6" spans="1:11" x14ac:dyDescent="0.25">
      <c r="A6" s="27" t="s">
        <v>26</v>
      </c>
      <c r="B6" s="27" t="s">
        <v>53</v>
      </c>
      <c r="F6" s="27" t="s">
        <v>272</v>
      </c>
      <c r="I6" s="27" t="s">
        <v>244</v>
      </c>
    </row>
    <row r="7" spans="1:11" x14ac:dyDescent="0.25">
      <c r="A7" s="27" t="s">
        <v>181</v>
      </c>
      <c r="B7" s="27" t="s">
        <v>54</v>
      </c>
      <c r="F7" s="27" t="s">
        <v>274</v>
      </c>
    </row>
    <row r="8" spans="1:11" x14ac:dyDescent="0.25">
      <c r="A8" s="27" t="s">
        <v>35</v>
      </c>
      <c r="B8" s="27" t="s">
        <v>50</v>
      </c>
      <c r="F8" s="27" t="s">
        <v>273</v>
      </c>
      <c r="I8" s="62"/>
    </row>
    <row r="9" spans="1:11" x14ac:dyDescent="0.25">
      <c r="A9" s="27" t="s">
        <v>4</v>
      </c>
      <c r="B9" s="27" t="s">
        <v>51</v>
      </c>
      <c r="F9" s="27" t="s">
        <v>257</v>
      </c>
      <c r="I9" s="63"/>
    </row>
    <row r="10" spans="1:11" x14ac:dyDescent="0.25">
      <c r="A10" s="27" t="s">
        <v>180</v>
      </c>
      <c r="B10" s="27" t="s">
        <v>202</v>
      </c>
      <c r="F10" s="27" t="s">
        <v>256</v>
      </c>
      <c r="I10" s="62"/>
    </row>
    <row r="11" spans="1:11" x14ac:dyDescent="0.25">
      <c r="A11" s="27" t="s">
        <v>2</v>
      </c>
      <c r="F11" s="27" t="s">
        <v>258</v>
      </c>
      <c r="I11" s="63"/>
    </row>
    <row r="12" spans="1:11" x14ac:dyDescent="0.25">
      <c r="A12" s="27" t="s">
        <v>3</v>
      </c>
      <c r="F12" s="27" t="s">
        <v>259</v>
      </c>
      <c r="I12" s="62"/>
    </row>
    <row r="13" spans="1:11" x14ac:dyDescent="0.25">
      <c r="A13" s="27" t="s">
        <v>32</v>
      </c>
      <c r="F13" s="27" t="s">
        <v>260</v>
      </c>
      <c r="I13" s="63"/>
    </row>
    <row r="14" spans="1:11" x14ac:dyDescent="0.25">
      <c r="A14" s="27" t="s">
        <v>25</v>
      </c>
      <c r="F14" s="27" t="s">
        <v>275</v>
      </c>
      <c r="I14" s="62"/>
    </row>
    <row r="15" spans="1:11" x14ac:dyDescent="0.25">
      <c r="A15" s="27" t="s">
        <v>24</v>
      </c>
      <c r="F15" s="27" t="s">
        <v>255</v>
      </c>
      <c r="I15" s="63"/>
    </row>
    <row r="16" spans="1:11" x14ac:dyDescent="0.25">
      <c r="A16" s="27" t="s">
        <v>33</v>
      </c>
      <c r="F16" s="27" t="s">
        <v>237</v>
      </c>
      <c r="I16" s="62"/>
    </row>
    <row r="17" spans="1:11" x14ac:dyDescent="0.25">
      <c r="A17" s="27" t="s">
        <v>5</v>
      </c>
      <c r="F17" s="27" t="s">
        <v>233</v>
      </c>
      <c r="I17" s="63"/>
    </row>
    <row r="18" spans="1:11" x14ac:dyDescent="0.25">
      <c r="A18" s="27" t="s">
        <v>201</v>
      </c>
      <c r="F18" s="27" t="s">
        <v>261</v>
      </c>
      <c r="I18" s="62"/>
    </row>
    <row r="19" spans="1:11" x14ac:dyDescent="0.25">
      <c r="F19" s="27" t="s">
        <v>282</v>
      </c>
      <c r="I19" s="63"/>
    </row>
    <row r="20" spans="1:11" x14ac:dyDescent="0.25">
      <c r="F20" s="27" t="s">
        <v>262</v>
      </c>
      <c r="I20" s="62"/>
    </row>
    <row r="21" spans="1:11" x14ac:dyDescent="0.25">
      <c r="F21" s="27" t="s">
        <v>253</v>
      </c>
      <c r="I21" s="63"/>
    </row>
    <row r="22" spans="1:11" x14ac:dyDescent="0.25">
      <c r="F22" s="27" t="s">
        <v>263</v>
      </c>
      <c r="I22" s="62"/>
    </row>
    <row r="23" spans="1:11" x14ac:dyDescent="0.25">
      <c r="F23" s="27" t="s">
        <v>264</v>
      </c>
      <c r="I23" s="63"/>
    </row>
    <row r="24" spans="1:11" x14ac:dyDescent="0.25">
      <c r="F24" s="27" t="s">
        <v>246</v>
      </c>
      <c r="I24" s="62"/>
    </row>
    <row r="25" spans="1:11" x14ac:dyDescent="0.25">
      <c r="F25" s="27" t="s">
        <v>278</v>
      </c>
      <c r="I25" s="63"/>
    </row>
    <row r="26" spans="1:11" x14ac:dyDescent="0.25">
      <c r="F26" s="27" t="s">
        <v>277</v>
      </c>
      <c r="I26" s="62"/>
    </row>
    <row r="27" spans="1:11" x14ac:dyDescent="0.25">
      <c r="F27" s="27" t="s">
        <v>283</v>
      </c>
      <c r="I27" s="63"/>
    </row>
    <row r="28" spans="1:11" x14ac:dyDescent="0.25">
      <c r="F28" s="27" t="s">
        <v>265</v>
      </c>
      <c r="I28" s="62"/>
    </row>
    <row r="29" spans="1:11" x14ac:dyDescent="0.25">
      <c r="F29" s="62" t="s">
        <v>254</v>
      </c>
      <c r="I29" s="63"/>
      <c r="K29" s="62"/>
    </row>
    <row r="30" spans="1:11" x14ac:dyDescent="0.25">
      <c r="F30" s="27" t="s">
        <v>252</v>
      </c>
      <c r="I30" s="62"/>
    </row>
    <row r="31" spans="1:11" x14ac:dyDescent="0.25">
      <c r="F31" s="27" t="s">
        <v>266</v>
      </c>
      <c r="I31" s="63"/>
    </row>
    <row r="32" spans="1:11" x14ac:dyDescent="0.25">
      <c r="F32" s="27" t="s">
        <v>234</v>
      </c>
      <c r="I32" s="62"/>
    </row>
    <row r="33" spans="6:11" x14ac:dyDescent="0.25">
      <c r="F33" s="27" t="s">
        <v>267</v>
      </c>
      <c r="I33" s="63"/>
    </row>
    <row r="34" spans="6:11" x14ac:dyDescent="0.25">
      <c r="F34" s="63" t="s">
        <v>235</v>
      </c>
      <c r="I34" s="62"/>
      <c r="K34" s="63"/>
    </row>
    <row r="35" spans="6:11" x14ac:dyDescent="0.25">
      <c r="F35" s="27" t="s">
        <v>250</v>
      </c>
      <c r="I35" s="63"/>
    </row>
    <row r="36" spans="6:11" x14ac:dyDescent="0.25">
      <c r="F36" s="62" t="s">
        <v>249</v>
      </c>
      <c r="I36" s="62"/>
      <c r="K36" s="62"/>
    </row>
    <row r="37" spans="6:11" x14ac:dyDescent="0.25">
      <c r="F37" s="27" t="s">
        <v>281</v>
      </c>
      <c r="I37" s="63"/>
    </row>
    <row r="38" spans="6:11" x14ac:dyDescent="0.25">
      <c r="F38" s="27" t="s">
        <v>247</v>
      </c>
      <c r="I38" s="62"/>
    </row>
    <row r="39" spans="6:11" x14ac:dyDescent="0.25">
      <c r="F39" s="27" t="s">
        <v>248</v>
      </c>
      <c r="I39" s="63"/>
    </row>
    <row r="40" spans="6:11" x14ac:dyDescent="0.25">
      <c r="F40" s="27" t="s">
        <v>276</v>
      </c>
    </row>
    <row r="41" spans="6:11" x14ac:dyDescent="0.25">
      <c r="F41" s="27" t="s">
        <v>251</v>
      </c>
    </row>
    <row r="42" spans="6:11" x14ac:dyDescent="0.25">
      <c r="F42" s="27" t="s">
        <v>279</v>
      </c>
    </row>
    <row r="43" spans="6:11" x14ac:dyDescent="0.25">
      <c r="F43" s="27" t="s">
        <v>280</v>
      </c>
    </row>
    <row r="44" spans="6:11" x14ac:dyDescent="0.25">
      <c r="F44" s="27" t="s">
        <v>284</v>
      </c>
    </row>
    <row r="45" spans="6:11" x14ac:dyDescent="0.25">
      <c r="F45" s="27" t="s">
        <v>285</v>
      </c>
    </row>
    <row r="46" spans="6:11" x14ac:dyDescent="0.25">
      <c r="F46" s="27" t="s">
        <v>286</v>
      </c>
    </row>
    <row r="47" spans="6:11" x14ac:dyDescent="0.25">
      <c r="F47" s="27" t="s">
        <v>289</v>
      </c>
    </row>
    <row r="48" spans="6:11" x14ac:dyDescent="0.25">
      <c r="F48" s="27" t="s">
        <v>290</v>
      </c>
    </row>
    <row r="49" spans="6:6" x14ac:dyDescent="0.25">
      <c r="F49" s="27" t="s">
        <v>291</v>
      </c>
    </row>
    <row r="50" spans="6:6" x14ac:dyDescent="0.25">
      <c r="F50" s="27" t="s">
        <v>292</v>
      </c>
    </row>
    <row r="51" spans="6:6" x14ac:dyDescent="0.25">
      <c r="F51" s="27" t="s">
        <v>293</v>
      </c>
    </row>
    <row r="52" spans="6:6" x14ac:dyDescent="0.25">
      <c r="F52" s="27" t="s">
        <v>294</v>
      </c>
    </row>
    <row r="53" spans="6:6" x14ac:dyDescent="0.25">
      <c r="F53" s="27" t="s">
        <v>295</v>
      </c>
    </row>
    <row r="54" spans="6:6" x14ac:dyDescent="0.25">
      <c r="F54" s="27" t="s">
        <v>296</v>
      </c>
    </row>
    <row r="55" spans="6:6" x14ac:dyDescent="0.25">
      <c r="F55" s="27" t="s">
        <v>299</v>
      </c>
    </row>
    <row r="56" spans="6:6" x14ac:dyDescent="0.25">
      <c r="F56" s="27" t="s">
        <v>300</v>
      </c>
    </row>
    <row r="57" spans="6:6" x14ac:dyDescent="0.25">
      <c r="F57" s="27" t="s">
        <v>305</v>
      </c>
    </row>
    <row r="58" spans="6:6" x14ac:dyDescent="0.25">
      <c r="F58" s="27" t="s">
        <v>306</v>
      </c>
    </row>
    <row r="59" spans="6:6" x14ac:dyDescent="0.25">
      <c r="F59" s="27" t="s">
        <v>307</v>
      </c>
    </row>
    <row r="60" spans="6:6" x14ac:dyDescent="0.25">
      <c r="F60" s="27" t="s">
        <v>308</v>
      </c>
    </row>
    <row r="61" spans="6:6" x14ac:dyDescent="0.25">
      <c r="F61" s="27" t="s">
        <v>309</v>
      </c>
    </row>
    <row r="62" spans="6:6" x14ac:dyDescent="0.25">
      <c r="F62" s="27" t="s">
        <v>310</v>
      </c>
    </row>
    <row r="63" spans="6:6" x14ac:dyDescent="0.25">
      <c r="F63" s="27" t="s">
        <v>311</v>
      </c>
    </row>
    <row r="64" spans="6:6" x14ac:dyDescent="0.25">
      <c r="F64" s="27" t="s">
        <v>312</v>
      </c>
    </row>
    <row r="65" spans="6:6" x14ac:dyDescent="0.25">
      <c r="F65" s="27" t="s">
        <v>313</v>
      </c>
    </row>
    <row r="66" spans="6:6" x14ac:dyDescent="0.25">
      <c r="F66" s="27" t="s">
        <v>317</v>
      </c>
    </row>
    <row r="67" spans="6:6" x14ac:dyDescent="0.25">
      <c r="F67" s="27" t="s">
        <v>318</v>
      </c>
    </row>
    <row r="68" spans="6:6" x14ac:dyDescent="0.25">
      <c r="F68" s="27" t="s">
        <v>319</v>
      </c>
    </row>
    <row r="69" spans="6:6" x14ac:dyDescent="0.25">
      <c r="F69" s="27" t="s">
        <v>320</v>
      </c>
    </row>
    <row r="70" spans="6:6" x14ac:dyDescent="0.25">
      <c r="F70" s="27" t="s">
        <v>329</v>
      </c>
    </row>
    <row r="71" spans="6:6" x14ac:dyDescent="0.25">
      <c r="F71" s="27" t="s">
        <v>330</v>
      </c>
    </row>
    <row r="72" spans="6:6" x14ac:dyDescent="0.25">
      <c r="F72" s="27" t="s">
        <v>331</v>
      </c>
    </row>
    <row r="73" spans="6:6" x14ac:dyDescent="0.25">
      <c r="F73" s="27" t="s">
        <v>332</v>
      </c>
    </row>
    <row r="74" spans="6:6" x14ac:dyDescent="0.25">
      <c r="F74" s="27" t="s">
        <v>333</v>
      </c>
    </row>
    <row r="75" spans="6:6" x14ac:dyDescent="0.25">
      <c r="F75" s="27" t="s">
        <v>334</v>
      </c>
    </row>
    <row r="76" spans="6:6" x14ac:dyDescent="0.25">
      <c r="F76" s="27" t="s">
        <v>335</v>
      </c>
    </row>
    <row r="77" spans="6:6" x14ac:dyDescent="0.25">
      <c r="F77" s="27" t="s">
        <v>336</v>
      </c>
    </row>
    <row r="78" spans="6:6" x14ac:dyDescent="0.25">
      <c r="F78" s="27" t="s">
        <v>324</v>
      </c>
    </row>
    <row r="79" spans="6:6" x14ac:dyDescent="0.25">
      <c r="F79" s="27" t="s">
        <v>337</v>
      </c>
    </row>
    <row r="80" spans="6:6" x14ac:dyDescent="0.25">
      <c r="F80" s="27" t="s">
        <v>344</v>
      </c>
    </row>
    <row r="81" spans="6:6" x14ac:dyDescent="0.25">
      <c r="F81" s="27" t="s">
        <v>345</v>
      </c>
    </row>
    <row r="82" spans="6:6" x14ac:dyDescent="0.25">
      <c r="F82" s="27" t="s">
        <v>346</v>
      </c>
    </row>
    <row r="83" spans="6:6" x14ac:dyDescent="0.25">
      <c r="F83" s="27" t="s">
        <v>347</v>
      </c>
    </row>
    <row r="84" spans="6:6" x14ac:dyDescent="0.25">
      <c r="F84" s="27" t="s">
        <v>348</v>
      </c>
    </row>
    <row r="85" spans="6:6" x14ac:dyDescent="0.25">
      <c r="F85" s="27" t="s">
        <v>349</v>
      </c>
    </row>
    <row r="86" spans="6:6" x14ac:dyDescent="0.25">
      <c r="F86" s="27" t="s">
        <v>343</v>
      </c>
    </row>
    <row r="87" spans="6:6" x14ac:dyDescent="0.25">
      <c r="F87" s="27" t="s">
        <v>357</v>
      </c>
    </row>
    <row r="88" spans="6:6" x14ac:dyDescent="0.25">
      <c r="F88" s="27" t="s">
        <v>359</v>
      </c>
    </row>
    <row r="89" spans="6:6" x14ac:dyDescent="0.25">
      <c r="F89" s="27" t="s">
        <v>360</v>
      </c>
    </row>
    <row r="90" spans="6:6" x14ac:dyDescent="0.25">
      <c r="F90" s="27" t="s">
        <v>361</v>
      </c>
    </row>
    <row r="91" spans="6:6" x14ac:dyDescent="0.25">
      <c r="F91" s="27" t="s">
        <v>362</v>
      </c>
    </row>
    <row r="92" spans="6:6" x14ac:dyDescent="0.25">
      <c r="F92" s="27" t="s">
        <v>363</v>
      </c>
    </row>
    <row r="93" spans="6:6" x14ac:dyDescent="0.25">
      <c r="F93" s="27" t="s">
        <v>364</v>
      </c>
    </row>
    <row r="94" spans="6:6" x14ac:dyDescent="0.25">
      <c r="F94" s="27" t="s">
        <v>371</v>
      </c>
    </row>
    <row r="95" spans="6:6" x14ac:dyDescent="0.25">
      <c r="F95" s="27" t="s">
        <v>372</v>
      </c>
    </row>
    <row r="96" spans="6:6" x14ac:dyDescent="0.25">
      <c r="F96" s="27" t="s">
        <v>373</v>
      </c>
    </row>
    <row r="97" spans="6:6" x14ac:dyDescent="0.25">
      <c r="F97" s="27" t="s">
        <v>374</v>
      </c>
    </row>
    <row r="98" spans="6:6" x14ac:dyDescent="0.25">
      <c r="F98" s="27" t="s">
        <v>376</v>
      </c>
    </row>
    <row r="99" spans="6:6" x14ac:dyDescent="0.25">
      <c r="F99" s="27" t="s">
        <v>377</v>
      </c>
    </row>
    <row r="100" spans="6:6" x14ac:dyDescent="0.25">
      <c r="F100" s="27" t="s">
        <v>378</v>
      </c>
    </row>
    <row r="101" spans="6:6" x14ac:dyDescent="0.25">
      <c r="F101" s="27" t="s">
        <v>379</v>
      </c>
    </row>
    <row r="102" spans="6:6" x14ac:dyDescent="0.25">
      <c r="F102" s="27" t="s">
        <v>380</v>
      </c>
    </row>
    <row r="103" spans="6:6" x14ac:dyDescent="0.25">
      <c r="F103" s="27" t="s">
        <v>381</v>
      </c>
    </row>
    <row r="104" spans="6:6" x14ac:dyDescent="0.25">
      <c r="F104" s="27" t="s">
        <v>382</v>
      </c>
    </row>
    <row r="105" spans="6:6" x14ac:dyDescent="0.25">
      <c r="F105" s="27" t="s">
        <v>383</v>
      </c>
    </row>
    <row r="106" spans="6:6" x14ac:dyDescent="0.25">
      <c r="F106" s="27" t="s">
        <v>384</v>
      </c>
    </row>
    <row r="107" spans="6:6" x14ac:dyDescent="0.25">
      <c r="F107" s="27" t="s">
        <v>385</v>
      </c>
    </row>
    <row r="108" spans="6:6" x14ac:dyDescent="0.25">
      <c r="F108" s="27" t="s">
        <v>386</v>
      </c>
    </row>
    <row r="109" spans="6:6" x14ac:dyDescent="0.25">
      <c r="F109" s="27" t="s">
        <v>387</v>
      </c>
    </row>
    <row r="110" spans="6:6" x14ac:dyDescent="0.25">
      <c r="F110" s="27" t="s">
        <v>389</v>
      </c>
    </row>
    <row r="111" spans="6:6" x14ac:dyDescent="0.25">
      <c r="F111" s="27" t="s">
        <v>390</v>
      </c>
    </row>
    <row r="112" spans="6:6" x14ac:dyDescent="0.25">
      <c r="F112" s="27" t="s">
        <v>391</v>
      </c>
    </row>
    <row r="113" spans="6:6" x14ac:dyDescent="0.25">
      <c r="F113" s="27" t="s">
        <v>392</v>
      </c>
    </row>
    <row r="114" spans="6:6" x14ac:dyDescent="0.25">
      <c r="F114" s="27" t="s">
        <v>393</v>
      </c>
    </row>
    <row r="115" spans="6:6" x14ac:dyDescent="0.25">
      <c r="F115" s="27" t="s">
        <v>395</v>
      </c>
    </row>
    <row r="116" spans="6:6" x14ac:dyDescent="0.25">
      <c r="F116" s="27" t="s">
        <v>396</v>
      </c>
    </row>
    <row r="117" spans="6:6" x14ac:dyDescent="0.25">
      <c r="F117" s="27" t="s">
        <v>397</v>
      </c>
    </row>
    <row r="118" spans="6:6" x14ac:dyDescent="0.25">
      <c r="F118" s="27" t="s">
        <v>398</v>
      </c>
    </row>
    <row r="119" spans="6:6" x14ac:dyDescent="0.25">
      <c r="F119" s="27" t="s">
        <v>399</v>
      </c>
    </row>
    <row r="120" spans="6:6" x14ac:dyDescent="0.25">
      <c r="F120" s="27" t="s">
        <v>400</v>
      </c>
    </row>
    <row r="121" spans="6:6" x14ac:dyDescent="0.25">
      <c r="F121" s="27" t="s">
        <v>402</v>
      </c>
    </row>
    <row r="122" spans="6:6" x14ac:dyDescent="0.25">
      <c r="F122" s="27" t="s">
        <v>403</v>
      </c>
    </row>
    <row r="123" spans="6:6" x14ac:dyDescent="0.25">
      <c r="F123" s="27" t="s">
        <v>404</v>
      </c>
    </row>
    <row r="124" spans="6:6" x14ac:dyDescent="0.25">
      <c r="F124" s="27" t="s">
        <v>405</v>
      </c>
    </row>
    <row r="125" spans="6:6" x14ac:dyDescent="0.25">
      <c r="F125" s="27" t="s">
        <v>406</v>
      </c>
    </row>
    <row r="126" spans="6:6" x14ac:dyDescent="0.25">
      <c r="F126" s="27" t="s">
        <v>407</v>
      </c>
    </row>
    <row r="127" spans="6:6" x14ac:dyDescent="0.25">
      <c r="F127" s="27" t="s">
        <v>408</v>
      </c>
    </row>
    <row r="128" spans="6:6" x14ac:dyDescent="0.25">
      <c r="F128" s="27" t="s">
        <v>411</v>
      </c>
    </row>
    <row r="129" spans="6:6" x14ac:dyDescent="0.25">
      <c r="F129" s="27" t="s">
        <v>412</v>
      </c>
    </row>
    <row r="130" spans="6:6" x14ac:dyDescent="0.25">
      <c r="F130" s="27" t="s">
        <v>413</v>
      </c>
    </row>
    <row r="131" spans="6:6" x14ac:dyDescent="0.25">
      <c r="F131" s="27" t="s">
        <v>414</v>
      </c>
    </row>
    <row r="132" spans="6:6" x14ac:dyDescent="0.25">
      <c r="F132" s="27" t="s">
        <v>415</v>
      </c>
    </row>
    <row r="133" spans="6:6" x14ac:dyDescent="0.25">
      <c r="F133" s="27" t="s">
        <v>416</v>
      </c>
    </row>
    <row r="134" spans="6:6" x14ac:dyDescent="0.25">
      <c r="F134" s="27" t="s">
        <v>439</v>
      </c>
    </row>
    <row r="135" spans="6:6" x14ac:dyDescent="0.25">
      <c r="F135" s="27" t="s">
        <v>443</v>
      </c>
    </row>
    <row r="136" spans="6:6" x14ac:dyDescent="0.25">
      <c r="F136" s="27" t="s">
        <v>448</v>
      </c>
    </row>
    <row r="137" spans="6:6" x14ac:dyDescent="0.25">
      <c r="F137" s="27" t="s">
        <v>449</v>
      </c>
    </row>
    <row r="138" spans="6:6" x14ac:dyDescent="0.25">
      <c r="F138" s="27" t="s">
        <v>450</v>
      </c>
    </row>
    <row r="139" spans="6:6" x14ac:dyDescent="0.25">
      <c r="F139" s="27" t="s">
        <v>452</v>
      </c>
    </row>
    <row r="140" spans="6:6" x14ac:dyDescent="0.25">
      <c r="F140" s="27" t="s">
        <v>453</v>
      </c>
    </row>
    <row r="141" spans="6:6" x14ac:dyDescent="0.25">
      <c r="F141" s="27" t="s">
        <v>460</v>
      </c>
    </row>
    <row r="142" spans="6:6" x14ac:dyDescent="0.25">
      <c r="F142" s="27" t="s">
        <v>461</v>
      </c>
    </row>
    <row r="143" spans="6:6" x14ac:dyDescent="0.25">
      <c r="F143" s="27" t="s">
        <v>462</v>
      </c>
    </row>
    <row r="144" spans="6:6" x14ac:dyDescent="0.25">
      <c r="F144" s="27" t="s">
        <v>463</v>
      </c>
    </row>
    <row r="145" spans="6:6" x14ac:dyDescent="0.25">
      <c r="F145" s="27" t="s">
        <v>465</v>
      </c>
    </row>
    <row r="146" spans="6:6" x14ac:dyDescent="0.25">
      <c r="F146" s="27" t="s">
        <v>478</v>
      </c>
    </row>
    <row r="147" spans="6:6" x14ac:dyDescent="0.25">
      <c r="F147" s="27" t="s">
        <v>479</v>
      </c>
    </row>
    <row r="148" spans="6:6" x14ac:dyDescent="0.25">
      <c r="F148" s="27" t="s">
        <v>480</v>
      </c>
    </row>
    <row r="149" spans="6:6" x14ac:dyDescent="0.25">
      <c r="F149" s="27" t="s">
        <v>481</v>
      </c>
    </row>
    <row r="150" spans="6:6" x14ac:dyDescent="0.25">
      <c r="F150" s="27" t="s">
        <v>482</v>
      </c>
    </row>
    <row r="151" spans="6:6" x14ac:dyDescent="0.25">
      <c r="F151" s="27" t="s">
        <v>483</v>
      </c>
    </row>
    <row r="152" spans="6:6" x14ac:dyDescent="0.25">
      <c r="F152" s="27" t="s">
        <v>484</v>
      </c>
    </row>
    <row r="153" spans="6:6" x14ac:dyDescent="0.25">
      <c r="F153" s="27" t="s">
        <v>485</v>
      </c>
    </row>
    <row r="154" spans="6:6" x14ac:dyDescent="0.25">
      <c r="F154" s="27" t="s">
        <v>487</v>
      </c>
    </row>
    <row r="155" spans="6:6" x14ac:dyDescent="0.25">
      <c r="F155" s="27" t="s">
        <v>489</v>
      </c>
    </row>
    <row r="156" spans="6:6" x14ac:dyDescent="0.25">
      <c r="F156" s="27" t="s">
        <v>490</v>
      </c>
    </row>
    <row r="157" spans="6:6" x14ac:dyDescent="0.25">
      <c r="F157" s="27" t="s">
        <v>494</v>
      </c>
    </row>
    <row r="158" spans="6:6" x14ac:dyDescent="0.25">
      <c r="F158" s="27" t="s">
        <v>497</v>
      </c>
    </row>
    <row r="159" spans="6:6" x14ac:dyDescent="0.25">
      <c r="F159" s="27" t="s">
        <v>498</v>
      </c>
    </row>
    <row r="160" spans="6:6" x14ac:dyDescent="0.25">
      <c r="F160" s="27" t="s">
        <v>499</v>
      </c>
    </row>
    <row r="161" spans="6:6" x14ac:dyDescent="0.25">
      <c r="F161" s="27" t="s">
        <v>511</v>
      </c>
    </row>
    <row r="162" spans="6:6" x14ac:dyDescent="0.25">
      <c r="F162" s="27" t="s">
        <v>512</v>
      </c>
    </row>
    <row r="163" spans="6:6" x14ac:dyDescent="0.25">
      <c r="F163" s="27" t="s">
        <v>513</v>
      </c>
    </row>
    <row r="164" spans="6:6" x14ac:dyDescent="0.25">
      <c r="F164" s="27" t="s">
        <v>514</v>
      </c>
    </row>
    <row r="165" spans="6:6" x14ac:dyDescent="0.25">
      <c r="F165" s="27" t="s">
        <v>516</v>
      </c>
    </row>
    <row r="166" spans="6:6" x14ac:dyDescent="0.25">
      <c r="F166" s="27" t="s">
        <v>519</v>
      </c>
    </row>
    <row r="167" spans="6:6" x14ac:dyDescent="0.25">
      <c r="F167" s="27" t="s">
        <v>531</v>
      </c>
    </row>
    <row r="168" spans="6:6" x14ac:dyDescent="0.25">
      <c r="F168" s="27" t="s">
        <v>532</v>
      </c>
    </row>
    <row r="169" spans="6:6" x14ac:dyDescent="0.25">
      <c r="F169" s="27" t="s">
        <v>533</v>
      </c>
    </row>
    <row r="170" spans="6:6" x14ac:dyDescent="0.25">
      <c r="F170" s="27" t="s">
        <v>534</v>
      </c>
    </row>
    <row r="171" spans="6:6" x14ac:dyDescent="0.25">
      <c r="F171" s="27" t="s">
        <v>535</v>
      </c>
    </row>
    <row r="172" spans="6:6" x14ac:dyDescent="0.25">
      <c r="F172" s="27" t="s">
        <v>451</v>
      </c>
    </row>
    <row r="173" spans="6:6" x14ac:dyDescent="0.25">
      <c r="F173" s="27" t="s">
        <v>549</v>
      </c>
    </row>
    <row r="174" spans="6:6" x14ac:dyDescent="0.25">
      <c r="F174" s="27" t="s">
        <v>550</v>
      </c>
    </row>
    <row r="175" spans="6:6" x14ac:dyDescent="0.25">
      <c r="F175" s="27" t="s">
        <v>560</v>
      </c>
    </row>
    <row r="176" spans="6:6" x14ac:dyDescent="0.25">
      <c r="F176" s="27" t="s">
        <v>561</v>
      </c>
    </row>
    <row r="177" spans="6:6" x14ac:dyDescent="0.25">
      <c r="F177" s="27" t="s">
        <v>562</v>
      </c>
    </row>
    <row r="178" spans="6:6" x14ac:dyDescent="0.25">
      <c r="F178" s="27" t="s">
        <v>563</v>
      </c>
    </row>
    <row r="179" spans="6:6" x14ac:dyDescent="0.25">
      <c r="F179" s="27" t="s">
        <v>572</v>
      </c>
    </row>
    <row r="180" spans="6:6" x14ac:dyDescent="0.25">
      <c r="F180" s="27" t="s">
        <v>573</v>
      </c>
    </row>
    <row r="181" spans="6:6" x14ac:dyDescent="0.25">
      <c r="F181" s="27" t="s">
        <v>574</v>
      </c>
    </row>
    <row r="182" spans="6:6" x14ac:dyDescent="0.25">
      <c r="F182" s="27" t="s">
        <v>575</v>
      </c>
    </row>
    <row r="183" spans="6:6" x14ac:dyDescent="0.25">
      <c r="F183" s="27" t="s">
        <v>577</v>
      </c>
    </row>
    <row r="184" spans="6:6" x14ac:dyDescent="0.25">
      <c r="F184" s="27" t="s">
        <v>578</v>
      </c>
    </row>
    <row r="185" spans="6:6" x14ac:dyDescent="0.25">
      <c r="F185" s="27" t="s">
        <v>580</v>
      </c>
    </row>
    <row r="186" spans="6:6" x14ac:dyDescent="0.25">
      <c r="F186" s="27" t="s">
        <v>581</v>
      </c>
    </row>
    <row r="187" spans="6:6" x14ac:dyDescent="0.25">
      <c r="F187" s="27" t="s">
        <v>579</v>
      </c>
    </row>
    <row r="188" spans="6:6" x14ac:dyDescent="0.25">
      <c r="F188" s="27" t="s">
        <v>582</v>
      </c>
    </row>
    <row r="189" spans="6:6" x14ac:dyDescent="0.25">
      <c r="F189" s="27" t="s">
        <v>583</v>
      </c>
    </row>
    <row r="190" spans="6:6" x14ac:dyDescent="0.25">
      <c r="F190" s="27" t="s">
        <v>584</v>
      </c>
    </row>
    <row r="191" spans="6:6" x14ac:dyDescent="0.25">
      <c r="F191" s="27" t="s">
        <v>585</v>
      </c>
    </row>
    <row r="192" spans="6:6" x14ac:dyDescent="0.25">
      <c r="F192" s="27" t="s">
        <v>586</v>
      </c>
    </row>
    <row r="193" spans="6:6" x14ac:dyDescent="0.25">
      <c r="F193" s="27" t="s">
        <v>587</v>
      </c>
    </row>
    <row r="194" spans="6:6" x14ac:dyDescent="0.25">
      <c r="F194" s="27" t="s">
        <v>588</v>
      </c>
    </row>
    <row r="195" spans="6:6" x14ac:dyDescent="0.25">
      <c r="F195" s="27" t="s">
        <v>589</v>
      </c>
    </row>
    <row r="196" spans="6:6" x14ac:dyDescent="0.25">
      <c r="F196" s="27" t="s">
        <v>590</v>
      </c>
    </row>
    <row r="197" spans="6:6" x14ac:dyDescent="0.25">
      <c r="F197" s="27" t="s">
        <v>591</v>
      </c>
    </row>
    <row r="198" spans="6:6" x14ac:dyDescent="0.25">
      <c r="F198" s="27" t="s">
        <v>592</v>
      </c>
    </row>
    <row r="199" spans="6:6" x14ac:dyDescent="0.25">
      <c r="F199" s="27" t="s">
        <v>593</v>
      </c>
    </row>
    <row r="200" spans="6:6" x14ac:dyDescent="0.25">
      <c r="F200" s="27" t="s">
        <v>594</v>
      </c>
    </row>
    <row r="201" spans="6:6" x14ac:dyDescent="0.25">
      <c r="F201" s="27" t="s">
        <v>595</v>
      </c>
    </row>
    <row r="202" spans="6:6" x14ac:dyDescent="0.25">
      <c r="F202" s="27" t="s">
        <v>596</v>
      </c>
    </row>
    <row r="203" spans="6:6" x14ac:dyDescent="0.25">
      <c r="F203" s="27" t="s">
        <v>597</v>
      </c>
    </row>
    <row r="204" spans="6:6" x14ac:dyDescent="0.25">
      <c r="F204" s="27" t="s">
        <v>598</v>
      </c>
    </row>
    <row r="205" spans="6:6" x14ac:dyDescent="0.25">
      <c r="F205" s="27" t="s">
        <v>599</v>
      </c>
    </row>
    <row r="206" spans="6:6" x14ac:dyDescent="0.25">
      <c r="F206" s="27" t="s">
        <v>600</v>
      </c>
    </row>
    <row r="207" spans="6:6" x14ac:dyDescent="0.25">
      <c r="F207" s="27" t="s">
        <v>601</v>
      </c>
    </row>
    <row r="208" spans="6:6" x14ac:dyDescent="0.25">
      <c r="F208" s="27" t="s">
        <v>602</v>
      </c>
    </row>
    <row r="209" spans="6:6" x14ac:dyDescent="0.25">
      <c r="F209" s="27" t="s">
        <v>603</v>
      </c>
    </row>
    <row r="210" spans="6:6" x14ac:dyDescent="0.25">
      <c r="F210" s="27" t="s">
        <v>604</v>
      </c>
    </row>
    <row r="211" spans="6:6" x14ac:dyDescent="0.25">
      <c r="F211" s="27" t="s">
        <v>605</v>
      </c>
    </row>
    <row r="212" spans="6:6" x14ac:dyDescent="0.25">
      <c r="F212" s="27" t="s">
        <v>606</v>
      </c>
    </row>
    <row r="213" spans="6:6" x14ac:dyDescent="0.25">
      <c r="F213" s="27" t="s">
        <v>607</v>
      </c>
    </row>
    <row r="214" spans="6:6" x14ac:dyDescent="0.25">
      <c r="F214" s="27" t="s">
        <v>608</v>
      </c>
    </row>
    <row r="215" spans="6:6" x14ac:dyDescent="0.25">
      <c r="F215" s="27" t="s">
        <v>609</v>
      </c>
    </row>
    <row r="216" spans="6:6" x14ac:dyDescent="0.25">
      <c r="F216" s="27" t="s">
        <v>610</v>
      </c>
    </row>
    <row r="217" spans="6:6" x14ac:dyDescent="0.25">
      <c r="F217" s="27" t="s">
        <v>611</v>
      </c>
    </row>
    <row r="218" spans="6:6" x14ac:dyDescent="0.25">
      <c r="F218" s="27" t="s">
        <v>612</v>
      </c>
    </row>
    <row r="219" spans="6:6" x14ac:dyDescent="0.25">
      <c r="F219" s="27" t="s">
        <v>613</v>
      </c>
    </row>
    <row r="220" spans="6:6" x14ac:dyDescent="0.25">
      <c r="F220" s="27" t="s">
        <v>614</v>
      </c>
    </row>
    <row r="221" spans="6:6" x14ac:dyDescent="0.25">
      <c r="F221" s="27" t="s">
        <v>618</v>
      </c>
    </row>
    <row r="222" spans="6:6" x14ac:dyDescent="0.25">
      <c r="F222" s="27" t="s">
        <v>619</v>
      </c>
    </row>
    <row r="223" spans="6:6" x14ac:dyDescent="0.25">
      <c r="F223" s="27" t="s">
        <v>620</v>
      </c>
    </row>
    <row r="224" spans="6:6" x14ac:dyDescent="0.25">
      <c r="F224" s="27" t="s">
        <v>621</v>
      </c>
    </row>
    <row r="225" spans="6:6" x14ac:dyDescent="0.25">
      <c r="F225" s="27" t="s">
        <v>622</v>
      </c>
    </row>
    <row r="226" spans="6:6" x14ac:dyDescent="0.25">
      <c r="F226" s="27" t="s">
        <v>623</v>
      </c>
    </row>
    <row r="227" spans="6:6" x14ac:dyDescent="0.25">
      <c r="F227" s="27" t="s">
        <v>624</v>
      </c>
    </row>
    <row r="228" spans="6:6" x14ac:dyDescent="0.25">
      <c r="F228" s="27" t="s">
        <v>625</v>
      </c>
    </row>
    <row r="229" spans="6:6" x14ac:dyDescent="0.25">
      <c r="F229" s="27" t="s">
        <v>626</v>
      </c>
    </row>
    <row r="230" spans="6:6" x14ac:dyDescent="0.25">
      <c r="F230" s="27" t="s">
        <v>627</v>
      </c>
    </row>
    <row r="231" spans="6:6" x14ac:dyDescent="0.25">
      <c r="F231" s="27" t="s">
        <v>628</v>
      </c>
    </row>
    <row r="232" spans="6:6" x14ac:dyDescent="0.25">
      <c r="F232" s="27" t="s">
        <v>629</v>
      </c>
    </row>
    <row r="233" spans="6:6" x14ac:dyDescent="0.25">
      <c r="F233" s="27" t="s">
        <v>641</v>
      </c>
    </row>
    <row r="234" spans="6:6" x14ac:dyDescent="0.25">
      <c r="F234" s="27" t="s">
        <v>672</v>
      </c>
    </row>
    <row r="235" spans="6:6" x14ac:dyDescent="0.25">
      <c r="F235" s="27" t="s">
        <v>698</v>
      </c>
    </row>
    <row r="236" spans="6:6" x14ac:dyDescent="0.25">
      <c r="F236" s="27" t="s">
        <v>699</v>
      </c>
    </row>
    <row r="237" spans="6:6" x14ac:dyDescent="0.25">
      <c r="F237" s="27" t="s">
        <v>700</v>
      </c>
    </row>
    <row r="238" spans="6:6" x14ac:dyDescent="0.25">
      <c r="F238" s="27" t="s">
        <v>701</v>
      </c>
    </row>
    <row r="239" spans="6:6" x14ac:dyDescent="0.25">
      <c r="F239" s="27" t="s">
        <v>702</v>
      </c>
    </row>
  </sheetData>
  <sortState ref="I9:I39">
    <sortCondition ref="I8:I39"/>
  </sortState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  <tableParts count="4"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F105-D603-45BF-B2B1-0C1E2025583D}">
  <sheetPr codeName="Planilha8"/>
  <dimension ref="A1:E32"/>
  <sheetViews>
    <sheetView workbookViewId="0">
      <selection activeCell="N18" sqref="N18"/>
    </sheetView>
  </sheetViews>
  <sheetFormatPr defaultRowHeight="15" x14ac:dyDescent="0.25"/>
  <cols>
    <col min="1" max="1" width="16.85546875" customWidth="1"/>
    <col min="2" max="2" width="15.42578125" bestFit="1" customWidth="1"/>
    <col min="4" max="4" width="13.5703125" bestFit="1" customWidth="1"/>
    <col min="5" max="5" width="15.42578125" bestFit="1" customWidth="1"/>
  </cols>
  <sheetData>
    <row r="1" spans="1:5" ht="21" x14ac:dyDescent="0.35">
      <c r="A1" s="161" t="s">
        <v>220</v>
      </c>
      <c r="B1" s="161"/>
      <c r="D1" s="161" t="s">
        <v>221</v>
      </c>
      <c r="E1" s="161"/>
    </row>
    <row r="2" spans="1:5" ht="19.5" x14ac:dyDescent="0.25">
      <c r="A2" s="41" t="s">
        <v>48</v>
      </c>
      <c r="B2" s="41" t="s">
        <v>5</v>
      </c>
      <c r="D2" s="41" t="s">
        <v>48</v>
      </c>
      <c r="E2" s="41" t="s">
        <v>5</v>
      </c>
    </row>
    <row r="3" spans="1:5" ht="18.75" x14ac:dyDescent="0.25">
      <c r="A3" s="42" t="s">
        <v>9</v>
      </c>
      <c r="B3" s="43">
        <v>5338</v>
      </c>
      <c r="D3" s="42" t="s">
        <v>9</v>
      </c>
      <c r="E3" s="43">
        <v>784</v>
      </c>
    </row>
    <row r="4" spans="1:5" ht="18.75" x14ac:dyDescent="0.25">
      <c r="A4" s="44" t="s">
        <v>21</v>
      </c>
      <c r="B4" s="45">
        <v>3166</v>
      </c>
      <c r="D4" s="44" t="s">
        <v>21</v>
      </c>
      <c r="E4" s="45">
        <v>1977</v>
      </c>
    </row>
    <row r="5" spans="1:5" ht="18.75" x14ac:dyDescent="0.25">
      <c r="A5" s="42" t="s">
        <v>10</v>
      </c>
      <c r="B5" s="43">
        <v>3697</v>
      </c>
      <c r="D5" s="42" t="s">
        <v>10</v>
      </c>
      <c r="E5" s="43">
        <v>4245.9799999999996</v>
      </c>
    </row>
    <row r="6" spans="1:5" ht="18.75" x14ac:dyDescent="0.25">
      <c r="A6" s="44" t="s">
        <v>11</v>
      </c>
      <c r="B6" s="45">
        <v>578</v>
      </c>
      <c r="D6" s="44" t="s">
        <v>11</v>
      </c>
      <c r="E6" s="45">
        <v>844</v>
      </c>
    </row>
    <row r="7" spans="1:5" ht="18.75" x14ac:dyDescent="0.25">
      <c r="A7" s="42" t="s">
        <v>12</v>
      </c>
      <c r="B7" s="43">
        <v>2016</v>
      </c>
      <c r="D7" s="42" t="s">
        <v>12</v>
      </c>
      <c r="E7" s="43">
        <v>1406</v>
      </c>
    </row>
    <row r="8" spans="1:5" ht="18.75" x14ac:dyDescent="0.25">
      <c r="A8" s="44" t="s">
        <v>13</v>
      </c>
      <c r="B8" s="45">
        <v>9913</v>
      </c>
      <c r="D8" s="44" t="s">
        <v>13</v>
      </c>
      <c r="E8" s="45">
        <v>5198</v>
      </c>
    </row>
    <row r="9" spans="1:5" ht="18.75" x14ac:dyDescent="0.25">
      <c r="A9" s="42" t="s">
        <v>14</v>
      </c>
      <c r="B9" s="43">
        <v>474</v>
      </c>
      <c r="D9" s="42" t="s">
        <v>14</v>
      </c>
      <c r="E9" s="43"/>
    </row>
    <row r="10" spans="1:5" ht="18.75" x14ac:dyDescent="0.25">
      <c r="A10" s="44" t="s">
        <v>15</v>
      </c>
      <c r="B10" s="45">
        <v>4184</v>
      </c>
      <c r="D10" s="44" t="s">
        <v>15</v>
      </c>
      <c r="E10" s="45">
        <v>3211</v>
      </c>
    </row>
    <row r="11" spans="1:5" ht="18.75" x14ac:dyDescent="0.25">
      <c r="A11" s="42" t="s">
        <v>16</v>
      </c>
      <c r="B11" s="43">
        <v>1086</v>
      </c>
      <c r="D11" s="42" t="s">
        <v>16</v>
      </c>
      <c r="E11" s="43">
        <v>1002</v>
      </c>
    </row>
    <row r="12" spans="1:5" ht="18.75" x14ac:dyDescent="0.25">
      <c r="A12" s="44" t="s">
        <v>17</v>
      </c>
      <c r="B12" s="45">
        <v>3265</v>
      </c>
      <c r="D12" s="44" t="s">
        <v>17</v>
      </c>
      <c r="E12" s="45">
        <v>1476</v>
      </c>
    </row>
    <row r="13" spans="1:5" ht="18.75" x14ac:dyDescent="0.25">
      <c r="A13" s="42" t="s">
        <v>18</v>
      </c>
      <c r="B13" s="43">
        <v>5246</v>
      </c>
      <c r="D13" s="42" t="s">
        <v>18</v>
      </c>
      <c r="E13" s="43">
        <v>845</v>
      </c>
    </row>
    <row r="14" spans="1:5" ht="18.75" x14ac:dyDescent="0.25">
      <c r="A14" s="44" t="s">
        <v>19</v>
      </c>
      <c r="B14" s="45">
        <v>4178</v>
      </c>
      <c r="D14" s="44" t="s">
        <v>19</v>
      </c>
      <c r="E14" s="45">
        <v>3598</v>
      </c>
    </row>
    <row r="15" spans="1:5" ht="18.75" x14ac:dyDescent="0.25">
      <c r="A15" s="42" t="s">
        <v>20</v>
      </c>
      <c r="B15" s="43">
        <v>8084</v>
      </c>
      <c r="D15" s="42" t="s">
        <v>20</v>
      </c>
      <c r="E15" s="43">
        <v>2792</v>
      </c>
    </row>
    <row r="16" spans="1:5" ht="18.75" x14ac:dyDescent="0.25">
      <c r="A16" s="44" t="s">
        <v>23</v>
      </c>
      <c r="B16" s="45">
        <v>5061</v>
      </c>
      <c r="D16" s="44" t="s">
        <v>23</v>
      </c>
      <c r="E16" s="45"/>
    </row>
    <row r="17" spans="1:5" ht="18.75" x14ac:dyDescent="0.25">
      <c r="A17" s="42" t="s">
        <v>22</v>
      </c>
      <c r="B17" s="43">
        <v>2044</v>
      </c>
      <c r="D17" s="42" t="s">
        <v>22</v>
      </c>
      <c r="E17" s="43">
        <v>1215</v>
      </c>
    </row>
    <row r="18" spans="1:5" ht="18.75" x14ac:dyDescent="0.25">
      <c r="A18" s="44" t="s">
        <v>39</v>
      </c>
      <c r="B18" s="45">
        <v>2448</v>
      </c>
      <c r="D18" s="44" t="s">
        <v>39</v>
      </c>
      <c r="E18" s="45">
        <v>6331</v>
      </c>
    </row>
    <row r="19" spans="1:5" ht="18.75" x14ac:dyDescent="0.25">
      <c r="A19" s="42" t="s">
        <v>41</v>
      </c>
      <c r="B19" s="43">
        <v>3793</v>
      </c>
      <c r="D19" s="42" t="s">
        <v>41</v>
      </c>
      <c r="E19" s="43">
        <v>2561</v>
      </c>
    </row>
    <row r="20" spans="1:5" ht="18.75" x14ac:dyDescent="0.25">
      <c r="A20" s="44" t="s">
        <v>40</v>
      </c>
      <c r="B20" s="45">
        <v>7573</v>
      </c>
      <c r="D20" s="44" t="s">
        <v>40</v>
      </c>
      <c r="E20" s="45">
        <v>2805</v>
      </c>
    </row>
    <row r="21" spans="1:5" ht="18.75" x14ac:dyDescent="0.25">
      <c r="A21" s="42" t="s">
        <v>64</v>
      </c>
      <c r="B21" s="43">
        <v>4970</v>
      </c>
      <c r="D21" s="42" t="s">
        <v>64</v>
      </c>
      <c r="E21" s="43">
        <v>2792</v>
      </c>
    </row>
    <row r="22" spans="1:5" ht="18.75" x14ac:dyDescent="0.25">
      <c r="A22" s="44" t="s">
        <v>42</v>
      </c>
      <c r="B22" s="45">
        <v>1778</v>
      </c>
      <c r="D22" s="44" t="s">
        <v>42</v>
      </c>
      <c r="E22" s="45">
        <v>1438</v>
      </c>
    </row>
    <row r="23" spans="1:5" ht="18.75" x14ac:dyDescent="0.25">
      <c r="A23" s="42" t="s">
        <v>72</v>
      </c>
      <c r="B23" s="43">
        <v>4941</v>
      </c>
      <c r="D23" s="42" t="s">
        <v>72</v>
      </c>
      <c r="E23" s="45">
        <v>2786</v>
      </c>
    </row>
    <row r="24" spans="1:5" ht="18.75" x14ac:dyDescent="0.25">
      <c r="A24" s="44" t="s">
        <v>43</v>
      </c>
      <c r="B24" s="45">
        <v>7949</v>
      </c>
      <c r="D24" s="44" t="s">
        <v>43</v>
      </c>
      <c r="E24" s="45">
        <v>1805</v>
      </c>
    </row>
    <row r="25" spans="1:5" ht="18.75" x14ac:dyDescent="0.25">
      <c r="A25" s="42" t="s">
        <v>206</v>
      </c>
      <c r="B25" s="43">
        <v>6942</v>
      </c>
      <c r="D25" s="42" t="s">
        <v>206</v>
      </c>
      <c r="E25" s="43">
        <v>749</v>
      </c>
    </row>
    <row r="26" spans="1:5" ht="18.75" x14ac:dyDescent="0.25">
      <c r="A26" s="44" t="s">
        <v>68</v>
      </c>
      <c r="B26" s="45">
        <v>11037</v>
      </c>
      <c r="D26" s="44" t="s">
        <v>68</v>
      </c>
      <c r="E26" s="45">
        <v>3267</v>
      </c>
    </row>
    <row r="27" spans="1:5" ht="18.75" x14ac:dyDescent="0.25">
      <c r="A27" s="42" t="s">
        <v>74</v>
      </c>
      <c r="B27" s="43">
        <v>7300</v>
      </c>
      <c r="D27" s="42" t="s">
        <v>74</v>
      </c>
      <c r="E27" s="43">
        <v>1531</v>
      </c>
    </row>
    <row r="28" spans="1:5" ht="18.75" x14ac:dyDescent="0.25">
      <c r="A28" s="44" t="s">
        <v>67</v>
      </c>
      <c r="B28" s="45">
        <v>3788</v>
      </c>
      <c r="D28" s="44" t="s">
        <v>67</v>
      </c>
      <c r="E28" s="45">
        <v>1764</v>
      </c>
    </row>
    <row r="29" spans="1:5" ht="18.75" x14ac:dyDescent="0.25">
      <c r="A29" s="42" t="s">
        <v>71</v>
      </c>
      <c r="B29" s="43">
        <v>7502</v>
      </c>
      <c r="D29" s="42" t="s">
        <v>71</v>
      </c>
      <c r="E29" s="43">
        <v>3010</v>
      </c>
    </row>
    <row r="30" spans="1:5" ht="18.75" x14ac:dyDescent="0.25">
      <c r="A30" s="44" t="s">
        <v>73</v>
      </c>
      <c r="B30" s="45">
        <v>3111</v>
      </c>
      <c r="D30" s="44" t="s">
        <v>73</v>
      </c>
      <c r="E30" s="43"/>
    </row>
    <row r="31" spans="1:5" ht="18.75" x14ac:dyDescent="0.25">
      <c r="A31" s="42" t="s">
        <v>70</v>
      </c>
      <c r="B31" s="43">
        <v>7857</v>
      </c>
      <c r="D31" s="42" t="s">
        <v>70</v>
      </c>
      <c r="E31" s="43">
        <v>4394</v>
      </c>
    </row>
    <row r="32" spans="1:5" ht="18.75" x14ac:dyDescent="0.25">
      <c r="A32" s="44" t="s">
        <v>203</v>
      </c>
      <c r="B32" s="45">
        <v>7286</v>
      </c>
      <c r="D32" s="44" t="s">
        <v>203</v>
      </c>
      <c r="E32" s="45">
        <v>3981</v>
      </c>
    </row>
  </sheetData>
  <autoFilter ref="A2:B2" xr:uid="{A53AF105-D603-45BF-B2B1-0C1E2025583D}"/>
  <mergeCells count="2">
    <mergeCell ref="A1:B1"/>
    <mergeCell ref="D1:E1"/>
  </mergeCells>
  <pageMargins left="0.511811024" right="0.511811024" top="0.78740157499999996" bottom="0.78740157499999996" header="0.31496062000000002" footer="0.31496062000000002"/>
  <pageSetup paperSize="9"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B693EB-54BD-4F83-8000-D36AC3329C30}">
          <x14:formula1>
            <xm:f>'CADASTRO DE VEÍCULO'!$B$2:$B$72</xm:f>
          </x14:formula1>
          <xm:sqref>A3:A32 D3:D32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BB1EDA-59AE-4B11-9F40-183A588683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5</vt:i4>
      </vt:variant>
    </vt:vector>
  </HeadingPairs>
  <TitlesOfParts>
    <vt:vector size="15" baseType="lpstr">
      <vt:lpstr>MENU</vt:lpstr>
      <vt:lpstr>Planilha2</vt:lpstr>
      <vt:lpstr>ABASTECIMENTOS </vt:lpstr>
      <vt:lpstr>Planilha4</vt:lpstr>
      <vt:lpstr>Planilha3</vt:lpstr>
      <vt:lpstr>CUSTO DA FROTA</vt:lpstr>
      <vt:lpstr>CADASTRO DE VEÍCULO</vt:lpstr>
      <vt:lpstr>OBJETIVOS</vt:lpstr>
      <vt:lpstr>VALIDAÇÃO</vt:lpstr>
      <vt:lpstr>Planilha1</vt:lpstr>
      <vt:lpstr>CUSTO_KM_RODADO_MENU</vt:lpstr>
      <vt:lpstr>FRETE_SOBRE_FATURAMENTO_MENU</vt:lpstr>
      <vt:lpstr>GESTÃO_DOS_CUSTOS_MENU</vt:lpstr>
      <vt:lpstr>GESTÃO_M.O.D_MENU</vt:lpstr>
      <vt:lpstr>OCIOSIDADE_DA_FROTA_MENU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Darlei Veiga</dc:creator>
  <cp:lastModifiedBy>Rota381 .</cp:lastModifiedBy>
  <cp:lastPrinted>2023-05-11T13:02:14Z</cp:lastPrinted>
  <dcterms:created xsi:type="dcterms:W3CDTF">2014-07-25T12:05:58Z</dcterms:created>
  <dcterms:modified xsi:type="dcterms:W3CDTF">2025-07-02T20:12:22Z</dcterms:modified>
</cp:coreProperties>
</file>